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all\Desktop\projects\cibm\src\excel\"/>
    </mc:Choice>
  </mc:AlternateContent>
  <bookViews>
    <workbookView xWindow="0" yWindow="0" windowWidth="17256" windowHeight="5688"/>
  </bookViews>
  <sheets>
    <sheet name="General" sheetId="1" r:id="rId1"/>
    <sheet name="Database2" sheetId="3" state="hidden" r:id="rId2"/>
    <sheet name="General - FA" sheetId="4" r:id="rId3"/>
    <sheet name="SEF" sheetId="5" r:id="rId4"/>
    <sheet name="Trust" sheetId="6" r:id="rId5"/>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6" l="1"/>
  <c r="C92" i="1"/>
  <c r="F152" i="1"/>
  <c r="F22" i="4"/>
  <c r="B129" i="1"/>
  <c r="B115" i="1"/>
  <c r="E32" i="4"/>
  <c r="C5" i="5"/>
  <c r="B170" i="1"/>
  <c r="D4" i="4"/>
  <c r="B9" i="1"/>
  <c r="F3" i="5"/>
  <c r="B7" i="6"/>
  <c r="B61" i="1"/>
  <c r="E3" i="4"/>
  <c r="B8" i="5"/>
  <c r="B7" i="4"/>
  <c r="B36" i="4"/>
  <c r="F159" i="1"/>
  <c r="E81" i="1"/>
  <c r="B23" i="1"/>
  <c r="F3" i="4"/>
  <c r="A155" i="1"/>
  <c r="C123" i="1"/>
  <c r="E86" i="1"/>
  <c r="F12" i="6"/>
  <c r="E7" i="5"/>
  <c r="E13" i="6"/>
  <c r="C15" i="1"/>
  <c r="E8" i="4"/>
  <c r="B20" i="4"/>
  <c r="D86" i="1"/>
  <c r="F154" i="1"/>
  <c r="C142" i="1"/>
  <c r="E98" i="1"/>
  <c r="A11" i="1"/>
  <c r="A103" i="1"/>
  <c r="D108" i="1"/>
  <c r="C109" i="1"/>
  <c r="D91" i="1"/>
  <c r="F150" i="1"/>
  <c r="A159" i="1"/>
  <c r="C103" i="1"/>
  <c r="D83" i="1"/>
  <c r="F38" i="1"/>
  <c r="F16" i="1"/>
  <c r="F23" i="1"/>
  <c r="C18" i="4"/>
  <c r="F137" i="1"/>
  <c r="B141" i="1"/>
  <c r="F72" i="1"/>
  <c r="E73" i="1"/>
  <c r="B98" i="1"/>
  <c r="A9" i="4"/>
  <c r="E79" i="1"/>
  <c r="C7" i="4"/>
  <c r="D137" i="1"/>
  <c r="E65" i="1"/>
  <c r="E7" i="6"/>
  <c r="E162" i="1"/>
  <c r="D129" i="1"/>
  <c r="B83" i="1"/>
  <c r="C118" i="1"/>
  <c r="F171" i="1"/>
  <c r="B157" i="1"/>
  <c r="E104" i="1"/>
  <c r="B8" i="1"/>
  <c r="A136" i="1"/>
  <c r="B6" i="4"/>
  <c r="F14" i="1"/>
  <c r="E6" i="5"/>
  <c r="D16" i="1"/>
  <c r="D1" i="5"/>
  <c r="F36" i="1"/>
  <c r="A78" i="1"/>
  <c r="A26" i="4"/>
  <c r="A29" i="4"/>
  <c r="F46" i="1"/>
  <c r="D25" i="4"/>
  <c r="A53" i="1"/>
  <c r="F116" i="1"/>
  <c r="C9" i="6"/>
  <c r="F156" i="1"/>
  <c r="D103" i="1"/>
  <c r="C2" i="1"/>
  <c r="F4" i="1"/>
  <c r="D26" i="4"/>
  <c r="F130" i="1"/>
  <c r="B43" i="1"/>
  <c r="A6" i="6"/>
  <c r="E164" i="1"/>
  <c r="F29" i="4"/>
  <c r="D14" i="6"/>
  <c r="C11" i="1"/>
  <c r="C126" i="1"/>
  <c r="A9" i="1"/>
  <c r="C160" i="1"/>
  <c r="F57" i="1"/>
  <c r="E49" i="1"/>
  <c r="B151" i="1"/>
  <c r="E85" i="1"/>
  <c r="D31" i="1"/>
  <c r="A34" i="4"/>
  <c r="E105" i="1"/>
  <c r="B59" i="1"/>
  <c r="A135" i="1"/>
  <c r="E47" i="1"/>
  <c r="E34" i="4"/>
  <c r="E18" i="4"/>
  <c r="C143" i="1"/>
  <c r="B65" i="1"/>
  <c r="C141" i="1"/>
  <c r="B66" i="1"/>
  <c r="C24" i="4"/>
  <c r="C128" i="1"/>
  <c r="D119" i="1"/>
  <c r="A97" i="1"/>
  <c r="D147" i="1"/>
  <c r="F111" i="1"/>
  <c r="D17" i="1"/>
  <c r="D168" i="1"/>
  <c r="B40" i="1"/>
  <c r="F143" i="1"/>
  <c r="F162" i="1"/>
  <c r="B20" i="1"/>
  <c r="B12" i="6"/>
  <c r="F18" i="4"/>
  <c r="C36" i="4"/>
  <c r="D2" i="6"/>
  <c r="A17" i="1"/>
  <c r="C10" i="4"/>
  <c r="D21" i="4"/>
  <c r="D98" i="1"/>
  <c r="E131" i="1"/>
  <c r="C17" i="6"/>
  <c r="F9" i="4"/>
  <c r="F123" i="1"/>
  <c r="A60" i="1"/>
  <c r="F88" i="1"/>
  <c r="A54" i="1"/>
  <c r="B11" i="6"/>
  <c r="D51" i="1"/>
  <c r="C130" i="1"/>
  <c r="B1" i="4"/>
  <c r="A6" i="4"/>
  <c r="D14" i="4"/>
  <c r="D15" i="1"/>
  <c r="E50" i="1"/>
  <c r="D117" i="1"/>
  <c r="F112" i="1"/>
  <c r="F107" i="1"/>
  <c r="E150" i="1"/>
  <c r="B104" i="1"/>
  <c r="E11" i="6"/>
  <c r="A116" i="1"/>
  <c r="A79" i="1"/>
  <c r="E9" i="1"/>
  <c r="B34" i="4"/>
  <c r="C30" i="1"/>
  <c r="F87" i="1"/>
  <c r="B96" i="1"/>
  <c r="F134" i="1"/>
  <c r="B15" i="4"/>
  <c r="E13" i="1"/>
  <c r="B164" i="1"/>
  <c r="A73" i="1"/>
  <c r="E118" i="1"/>
  <c r="A119" i="1"/>
  <c r="B146" i="1"/>
  <c r="F140" i="1"/>
  <c r="C79" i="1"/>
  <c r="D11" i="1"/>
  <c r="C62" i="1"/>
  <c r="D161" i="1"/>
  <c r="D34" i="4"/>
  <c r="B95" i="1"/>
  <c r="C19" i="1"/>
  <c r="F42" i="1"/>
  <c r="A70" i="1"/>
  <c r="A18" i="6"/>
  <c r="D170" i="1"/>
  <c r="E59" i="1"/>
  <c r="D162" i="1"/>
  <c r="D54" i="1"/>
  <c r="E24" i="4"/>
  <c r="E93" i="1"/>
  <c r="A38" i="1"/>
  <c r="A99" i="1"/>
  <c r="A130" i="1"/>
  <c r="A90" i="1"/>
  <c r="B54" i="1"/>
  <c r="A158" i="1"/>
  <c r="A19" i="4"/>
  <c r="B79" i="1"/>
  <c r="D4" i="6"/>
  <c r="A4" i="1"/>
  <c r="D27" i="1"/>
  <c r="B57" i="1"/>
  <c r="F77" i="1"/>
  <c r="D25" i="1"/>
  <c r="D150" i="1"/>
  <c r="B21" i="1"/>
  <c r="E125" i="1"/>
  <c r="B60" i="1"/>
  <c r="E52" i="1"/>
  <c r="A128" i="1"/>
  <c r="C94" i="1"/>
  <c r="A170" i="1"/>
  <c r="C157" i="1"/>
  <c r="D72" i="1"/>
  <c r="F168" i="1"/>
  <c r="C44" i="1"/>
  <c r="E136" i="1"/>
  <c r="A108" i="1"/>
  <c r="F16" i="4"/>
  <c r="A154" i="1"/>
  <c r="A109" i="1"/>
  <c r="E15" i="1"/>
  <c r="D78" i="1"/>
  <c r="F7" i="1"/>
  <c r="E158" i="1"/>
  <c r="F38" i="4"/>
  <c r="E61" i="1"/>
  <c r="C71" i="1"/>
  <c r="D1" i="1"/>
  <c r="A127" i="1"/>
  <c r="D38" i="1"/>
  <c r="D112" i="1"/>
  <c r="C34" i="1"/>
  <c r="C16" i="6"/>
  <c r="C1" i="1"/>
  <c r="D90" i="1"/>
  <c r="F80" i="1"/>
  <c r="C100" i="1"/>
  <c r="C29" i="1"/>
  <c r="E60" i="1"/>
  <c r="B5" i="5"/>
  <c r="C64" i="1"/>
  <c r="A101" i="1"/>
  <c r="F34" i="4"/>
  <c r="A35" i="1"/>
  <c r="B35" i="4"/>
  <c r="C27" i="4"/>
  <c r="A153" i="1"/>
  <c r="D79" i="1"/>
  <c r="D102" i="1"/>
  <c r="E115" i="1"/>
  <c r="C165" i="1"/>
  <c r="B4" i="4"/>
  <c r="C96" i="1"/>
  <c r="D159" i="1"/>
  <c r="E21" i="4"/>
  <c r="C58" i="1"/>
  <c r="E140" i="1"/>
  <c r="F7" i="6"/>
  <c r="D135" i="1"/>
  <c r="A15" i="4"/>
  <c r="C65" i="1"/>
  <c r="B18" i="4"/>
  <c r="E133" i="1"/>
  <c r="F165" i="1"/>
  <c r="B172" i="1"/>
  <c r="A6" i="1"/>
  <c r="E102" i="1"/>
  <c r="E58" i="1"/>
  <c r="D110" i="1"/>
  <c r="B24" i="1"/>
  <c r="F14" i="6"/>
  <c r="A33" i="4"/>
  <c r="F98" i="1"/>
  <c r="E76" i="1"/>
  <c r="A144" i="1"/>
  <c r="D172" i="1"/>
  <c r="F164" i="1"/>
  <c r="C25" i="4"/>
  <c r="F161" i="1"/>
  <c r="E168" i="1"/>
  <c r="C41" i="1"/>
  <c r="E82" i="1"/>
  <c r="B15" i="6"/>
  <c r="F131" i="1"/>
  <c r="F24" i="4"/>
  <c r="D77" i="1"/>
  <c r="C67" i="1"/>
  <c r="D154" i="1"/>
  <c r="E39" i="1"/>
  <c r="F68" i="1"/>
  <c r="F90" i="1"/>
  <c r="B147" i="1"/>
  <c r="E124" i="1"/>
  <c r="B22" i="4"/>
  <c r="E10" i="6"/>
  <c r="A4" i="6"/>
  <c r="A76" i="1"/>
  <c r="A121" i="1"/>
  <c r="A34" i="1"/>
  <c r="A47" i="1"/>
  <c r="E159" i="1"/>
  <c r="C83" i="1"/>
  <c r="E37" i="4"/>
  <c r="A161" i="1"/>
  <c r="E26" i="4"/>
  <c r="F71" i="1"/>
  <c r="C33" i="4"/>
  <c r="F32" i="1"/>
  <c r="C18" i="1"/>
  <c r="F27" i="4"/>
  <c r="E33" i="4"/>
  <c r="D28" i="1"/>
  <c r="C43" i="1"/>
  <c r="A7" i="4"/>
  <c r="D81" i="1"/>
  <c r="C170" i="1"/>
  <c r="B23" i="4"/>
  <c r="A10" i="1"/>
  <c r="D104" i="1"/>
  <c r="D165" i="1"/>
  <c r="A139" i="1"/>
  <c r="E24" i="1"/>
  <c r="E110" i="1"/>
  <c r="F2" i="4"/>
  <c r="E169" i="1"/>
  <c r="D60" i="1"/>
  <c r="C27" i="1"/>
  <c r="E8" i="5"/>
  <c r="F95" i="1"/>
  <c r="F55" i="1"/>
  <c r="B38" i="1"/>
  <c r="E101" i="1"/>
  <c r="D133" i="1"/>
  <c r="D70" i="1"/>
  <c r="B9" i="4"/>
  <c r="F169" i="1"/>
  <c r="A3" i="1"/>
  <c r="B158" i="1"/>
  <c r="C101" i="1"/>
  <c r="D140" i="1"/>
  <c r="B84" i="1"/>
  <c r="B17" i="4"/>
  <c r="A16" i="6"/>
  <c r="E31" i="1"/>
  <c r="C9" i="4"/>
  <c r="F166" i="1"/>
  <c r="E14" i="4"/>
  <c r="D58" i="1"/>
  <c r="B16" i="6"/>
  <c r="F5" i="4"/>
  <c r="D11" i="6"/>
  <c r="E29" i="4"/>
  <c r="B124" i="1"/>
  <c r="D87" i="1"/>
  <c r="A29" i="1"/>
  <c r="D35" i="1"/>
  <c r="F6" i="6"/>
  <c r="C26" i="4"/>
  <c r="E16" i="1"/>
  <c r="A8" i="6"/>
  <c r="B21" i="4"/>
  <c r="B155" i="1"/>
  <c r="C16" i="4"/>
  <c r="F15" i="1"/>
  <c r="B127" i="1"/>
  <c r="C72" i="1"/>
  <c r="C117" i="1"/>
  <c r="B161" i="1"/>
  <c r="D36" i="1"/>
  <c r="B14" i="6"/>
  <c r="B31" i="4"/>
  <c r="D32" i="4"/>
  <c r="C106" i="1"/>
  <c r="F126" i="1"/>
  <c r="F18" i="1"/>
  <c r="F59" i="1"/>
  <c r="F133" i="1"/>
  <c r="D12" i="6"/>
  <c r="A140" i="1"/>
  <c r="D99" i="1"/>
  <c r="F74" i="1"/>
  <c r="D139" i="1"/>
  <c r="B6" i="5"/>
  <c r="F3" i="1"/>
  <c r="B11" i="1"/>
  <c r="A12" i="4"/>
  <c r="C159" i="1"/>
  <c r="B2" i="5"/>
  <c r="A166" i="1"/>
  <c r="C127" i="1"/>
  <c r="A115" i="1"/>
  <c r="F29" i="1"/>
  <c r="C112" i="1"/>
  <c r="A14" i="1"/>
  <c r="B90" i="1"/>
  <c r="E48" i="1"/>
  <c r="C125" i="1"/>
  <c r="A30" i="1"/>
  <c r="A118" i="1"/>
  <c r="B135" i="1"/>
  <c r="E146" i="1"/>
  <c r="B15" i="1"/>
  <c r="F139" i="1"/>
  <c r="E66" i="1"/>
  <c r="E22" i="4"/>
  <c r="D30" i="4"/>
  <c r="D2" i="1"/>
  <c r="A21" i="1"/>
  <c r="F160" i="1"/>
  <c r="C155" i="1"/>
  <c r="B16" i="1"/>
  <c r="E14" i="6"/>
  <c r="B8" i="4"/>
  <c r="A18" i="4"/>
  <c r="A20" i="4"/>
  <c r="B33" i="4"/>
  <c r="E89" i="1"/>
  <c r="A145" i="1"/>
  <c r="A35" i="4"/>
  <c r="A11" i="4"/>
  <c r="D48" i="1"/>
  <c r="B3" i="5"/>
  <c r="F167" i="1"/>
  <c r="D13" i="1"/>
  <c r="F23" i="4"/>
  <c r="E3" i="6"/>
  <c r="B41" i="1"/>
  <c r="F1" i="5"/>
  <c r="E154" i="1"/>
  <c r="D138" i="1"/>
  <c r="B37" i="4"/>
  <c r="E134" i="1"/>
  <c r="C59" i="1"/>
  <c r="E43" i="1"/>
  <c r="E42" i="1"/>
  <c r="F17" i="6"/>
  <c r="F41" i="1"/>
  <c r="F50" i="1"/>
  <c r="D2" i="5"/>
  <c r="F118" i="1"/>
  <c r="E28" i="4"/>
  <c r="E123" i="1"/>
  <c r="B109" i="1"/>
  <c r="F25" i="1"/>
  <c r="A20" i="1"/>
  <c r="A17" i="6"/>
  <c r="D65" i="1"/>
  <c r="A28" i="1"/>
  <c r="C80" i="1"/>
  <c r="E20" i="4"/>
  <c r="B32" i="4"/>
  <c r="C7" i="6"/>
  <c r="D149" i="1"/>
  <c r="E160" i="1"/>
  <c r="C107" i="1"/>
  <c r="F141" i="1"/>
  <c r="D113" i="1"/>
  <c r="F9" i="1"/>
  <c r="A113" i="1"/>
  <c r="C15" i="4"/>
  <c r="E153" i="1"/>
  <c r="C108" i="1"/>
  <c r="A11" i="6"/>
  <c r="E13" i="4"/>
  <c r="C55" i="1"/>
  <c r="F60" i="1"/>
  <c r="B142" i="1"/>
  <c r="A22" i="1"/>
  <c r="F1" i="6"/>
  <c r="B113" i="1"/>
  <c r="F26" i="4"/>
  <c r="D16" i="4"/>
  <c r="C34" i="4"/>
  <c r="C13" i="1"/>
  <c r="E25" i="4"/>
  <c r="C11" i="4"/>
  <c r="E156" i="1"/>
  <c r="B101" i="1"/>
  <c r="E27" i="1"/>
  <c r="D153" i="1"/>
  <c r="D8" i="4"/>
  <c r="C97" i="1"/>
  <c r="B119" i="1"/>
  <c r="D46" i="1"/>
  <c r="F67" i="1"/>
  <c r="F1" i="1"/>
  <c r="A77" i="1"/>
  <c r="D6" i="6"/>
  <c r="A142" i="1"/>
  <c r="A157" i="1"/>
  <c r="E129" i="1"/>
  <c r="A40" i="1"/>
  <c r="B67" i="1"/>
  <c r="C93" i="1"/>
  <c r="F2" i="1"/>
  <c r="F104" i="1"/>
  <c r="E36" i="4"/>
  <c r="F62" i="1"/>
  <c r="D1" i="4"/>
  <c r="F14" i="4"/>
  <c r="A43" i="1"/>
  <c r="B22" i="1"/>
  <c r="A123" i="1"/>
  <c r="A83" i="1"/>
  <c r="A36" i="1"/>
  <c r="C38" i="1"/>
  <c r="B24" i="4"/>
  <c r="D22" i="1"/>
  <c r="A114" i="1"/>
  <c r="D93" i="1"/>
  <c r="D12" i="1"/>
  <c r="D4" i="1"/>
  <c r="C145" i="1"/>
  <c r="E1" i="6"/>
  <c r="F11" i="4"/>
  <c r="F45" i="1"/>
  <c r="F127" i="1"/>
  <c r="E71" i="1"/>
  <c r="C35" i="4"/>
  <c r="B123" i="1"/>
  <c r="D56" i="1"/>
  <c r="E120" i="1"/>
  <c r="A15" i="6"/>
  <c r="C138" i="1"/>
  <c r="E142" i="1"/>
  <c r="B19" i="4"/>
  <c r="A111" i="1"/>
  <c r="B53" i="1"/>
  <c r="E10" i="1"/>
  <c r="B58" i="1"/>
  <c r="A64" i="1"/>
  <c r="F7" i="5"/>
  <c r="D18" i="1"/>
  <c r="C115" i="1"/>
  <c r="C3" i="6"/>
  <c r="C15" i="6"/>
  <c r="D75" i="1"/>
  <c r="D33" i="1"/>
  <c r="C36" i="1"/>
  <c r="B139" i="1"/>
  <c r="B111" i="1"/>
  <c r="E5" i="4"/>
  <c r="C16" i="1"/>
  <c r="A16" i="1"/>
  <c r="A12" i="6"/>
  <c r="C168" i="1"/>
  <c r="C12" i="1"/>
  <c r="A106" i="1"/>
  <c r="D57" i="1"/>
  <c r="B81" i="1"/>
  <c r="D69" i="1"/>
  <c r="A7" i="5"/>
  <c r="E167" i="1"/>
  <c r="B163" i="1"/>
  <c r="F117" i="1"/>
  <c r="D142" i="1"/>
  <c r="C5" i="6"/>
  <c r="F149" i="1"/>
  <c r="B14" i="4"/>
  <c r="C85" i="1"/>
  <c r="B29" i="1"/>
  <c r="A85" i="1"/>
  <c r="C70" i="1"/>
  <c r="C50" i="1"/>
  <c r="C4" i="4"/>
  <c r="F99" i="1"/>
  <c r="B38" i="4"/>
  <c r="D12" i="4"/>
  <c r="B62" i="1"/>
  <c r="A96" i="1"/>
  <c r="D47" i="1"/>
  <c r="D7" i="4"/>
  <c r="C3" i="1"/>
  <c r="D37" i="1"/>
  <c r="D5" i="6"/>
  <c r="E1" i="5"/>
  <c r="C119" i="1"/>
  <c r="C152" i="1"/>
  <c r="C110" i="1"/>
  <c r="C48" i="1"/>
  <c r="A13" i="4"/>
  <c r="E108" i="1"/>
  <c r="C77" i="1"/>
  <c r="C146" i="1"/>
  <c r="F124" i="1"/>
  <c r="C140" i="1"/>
  <c r="D96" i="1"/>
  <c r="D20" i="1"/>
  <c r="B10" i="6"/>
  <c r="C42" i="1"/>
  <c r="C19" i="4"/>
  <c r="E97" i="1"/>
  <c r="A82" i="1"/>
  <c r="C98" i="1"/>
  <c r="A126" i="1"/>
  <c r="F4" i="5"/>
  <c r="F8" i="6"/>
  <c r="A5" i="5"/>
  <c r="D32" i="1"/>
  <c r="A156" i="1"/>
  <c r="B112" i="1"/>
  <c r="E31" i="4"/>
  <c r="D152" i="1"/>
  <c r="C69" i="1"/>
  <c r="F144" i="1"/>
  <c r="F7" i="4"/>
  <c r="E74" i="1"/>
  <c r="D124" i="1"/>
  <c r="F11" i="1"/>
  <c r="D22" i="4"/>
  <c r="A63" i="1"/>
  <c r="E63" i="1"/>
  <c r="B44" i="1"/>
  <c r="F146" i="1"/>
  <c r="B10" i="1"/>
  <c r="A102" i="1"/>
  <c r="A7" i="1"/>
  <c r="F61" i="1"/>
  <c r="A8" i="1"/>
  <c r="F122" i="1"/>
  <c r="B86" i="1"/>
  <c r="D49" i="1"/>
  <c r="E18" i="1"/>
  <c r="E6" i="4"/>
  <c r="D55" i="1"/>
  <c r="B120" i="1"/>
  <c r="F19" i="1"/>
  <c r="D145" i="1"/>
  <c r="F5" i="6"/>
  <c r="C161" i="1"/>
  <c r="E17" i="4"/>
  <c r="D163" i="1"/>
  <c r="D24" i="4"/>
  <c r="A13" i="1"/>
  <c r="F138" i="1"/>
  <c r="C3" i="4"/>
  <c r="D131" i="1"/>
  <c r="C163" i="1"/>
  <c r="B92" i="1"/>
  <c r="B19" i="1"/>
  <c r="D9" i="1"/>
  <c r="A30" i="4"/>
  <c r="F31" i="4"/>
  <c r="D114" i="1"/>
  <c r="C151" i="1"/>
  <c r="F11" i="6"/>
  <c r="B126" i="1"/>
  <c r="B97" i="1"/>
  <c r="B153" i="1"/>
  <c r="F105" i="1"/>
  <c r="F33" i="1"/>
  <c r="D28" i="4"/>
  <c r="C129" i="1"/>
  <c r="C1" i="4"/>
  <c r="C116" i="1"/>
  <c r="E145" i="1"/>
  <c r="A95" i="1"/>
  <c r="E5" i="1"/>
  <c r="A37" i="1"/>
  <c r="E117" i="1"/>
  <c r="F53" i="1"/>
  <c r="E16" i="6"/>
  <c r="B5" i="1"/>
  <c r="E55" i="1"/>
  <c r="B160" i="1"/>
  <c r="E11" i="4"/>
  <c r="E14" i="1"/>
  <c r="D109" i="1"/>
  <c r="F24" i="1"/>
  <c r="D42" i="1"/>
  <c r="C6" i="1"/>
  <c r="D94" i="1"/>
  <c r="B91" i="1"/>
  <c r="E165" i="1"/>
  <c r="B49" i="1"/>
  <c r="F10" i="4"/>
  <c r="F58" i="1"/>
  <c r="F10" i="1"/>
  <c r="B108" i="1"/>
  <c r="E157" i="1"/>
  <c r="B46" i="1"/>
  <c r="D169" i="1"/>
  <c r="D89" i="1"/>
  <c r="A39" i="1"/>
  <c r="A117" i="1"/>
  <c r="A110" i="1"/>
  <c r="B2" i="1"/>
  <c r="F13" i="1"/>
  <c r="C68" i="1"/>
  <c r="F31" i="1"/>
  <c r="B8" i="6"/>
  <c r="D5" i="4"/>
  <c r="F39" i="4"/>
  <c r="A21" i="4"/>
  <c r="F36" i="4"/>
  <c r="D100" i="1"/>
  <c r="A15" i="1"/>
  <c r="E122" i="1"/>
  <c r="A18" i="1"/>
  <c r="E152" i="1"/>
  <c r="D15" i="4"/>
  <c r="C4" i="1"/>
  <c r="F128" i="1"/>
  <c r="D33" i="4"/>
  <c r="C2" i="4"/>
  <c r="E54" i="1"/>
  <c r="C74" i="1"/>
  <c r="A151" i="1"/>
  <c r="D35" i="4"/>
  <c r="D3" i="1"/>
  <c r="B33" i="1"/>
  <c r="E137" i="1"/>
  <c r="B34" i="1"/>
  <c r="B77" i="1"/>
  <c r="E109" i="1"/>
  <c r="E57" i="1"/>
  <c r="F157" i="1"/>
  <c r="C169" i="1"/>
  <c r="A23" i="4"/>
  <c r="B27" i="4"/>
  <c r="A129" i="1"/>
  <c r="E130" i="1"/>
  <c r="A92" i="1"/>
  <c r="F39" i="1"/>
  <c r="F109" i="1"/>
  <c r="A10" i="4"/>
  <c r="E19" i="4"/>
  <c r="E151" i="1"/>
  <c r="E163" i="1"/>
  <c r="B28" i="4"/>
  <c r="A27" i="4"/>
  <c r="B13" i="1"/>
  <c r="A8" i="5"/>
  <c r="A124" i="1"/>
  <c r="D101" i="1"/>
  <c r="E116" i="1"/>
  <c r="B93" i="1"/>
  <c r="C14" i="1"/>
  <c r="E21" i="1"/>
  <c r="A67" i="1"/>
  <c r="C133" i="1"/>
  <c r="E100" i="1"/>
  <c r="A17" i="4"/>
  <c r="E6" i="6"/>
  <c r="F37" i="1"/>
  <c r="E4" i="1"/>
  <c r="B94" i="1"/>
  <c r="A86" i="1"/>
  <c r="B9" i="6"/>
  <c r="A42" i="1"/>
  <c r="F13" i="6"/>
  <c r="A71" i="1"/>
  <c r="B166" i="1"/>
  <c r="D105" i="1"/>
  <c r="B29" i="4"/>
  <c r="D8" i="6"/>
  <c r="C56" i="1"/>
  <c r="E39" i="4"/>
  <c r="D151" i="1"/>
  <c r="E112" i="1"/>
  <c r="D20" i="4"/>
  <c r="B25" i="1"/>
  <c r="A45" i="1"/>
  <c r="E27" i="4"/>
  <c r="E90" i="1"/>
  <c r="F44" i="1"/>
  <c r="C149" i="1"/>
  <c r="E36" i="1"/>
  <c r="F54" i="1"/>
  <c r="D29" i="1"/>
  <c r="F3" i="6"/>
  <c r="C121" i="1"/>
  <c r="D66" i="1"/>
  <c r="E68" i="1"/>
  <c r="A94" i="1"/>
  <c r="B74" i="1"/>
  <c r="D126" i="1"/>
  <c r="E16" i="4"/>
  <c r="F15" i="6"/>
  <c r="E172" i="1"/>
  <c r="E20" i="1"/>
  <c r="F19" i="4"/>
  <c r="D121" i="1"/>
  <c r="E143" i="1"/>
  <c r="D29" i="4"/>
  <c r="F18" i="6"/>
  <c r="C1" i="6"/>
  <c r="B73" i="1"/>
  <c r="D92" i="1"/>
  <c r="E144" i="1"/>
  <c r="B26" i="1"/>
  <c r="C167" i="1"/>
  <c r="E161" i="1"/>
  <c r="C57" i="1"/>
  <c r="D74" i="1"/>
  <c r="D85" i="1"/>
  <c r="F22" i="1"/>
  <c r="C76" i="1"/>
  <c r="D14" i="1"/>
  <c r="B4" i="1"/>
  <c r="C8" i="6"/>
  <c r="B30" i="1"/>
  <c r="B18" i="6"/>
  <c r="A88" i="1"/>
  <c r="D107" i="1"/>
  <c r="E87" i="1"/>
  <c r="A4" i="4"/>
  <c r="E15" i="6"/>
  <c r="E80" i="1"/>
  <c r="D67" i="1"/>
  <c r="A3" i="5"/>
  <c r="D155" i="1"/>
  <c r="B150" i="1"/>
  <c r="A84" i="1"/>
  <c r="F93" i="1"/>
  <c r="A91" i="1"/>
  <c r="F147" i="1"/>
  <c r="C21" i="1"/>
  <c r="E45" i="1"/>
  <c r="E12" i="4"/>
  <c r="A171" i="1"/>
  <c r="F85" i="1"/>
  <c r="E4" i="6"/>
  <c r="B63" i="1"/>
  <c r="A148" i="1"/>
  <c r="F142" i="1"/>
  <c r="C60" i="1"/>
  <c r="B11" i="4"/>
  <c r="F64" i="1"/>
  <c r="B3" i="1"/>
  <c r="B70" i="1"/>
  <c r="D11" i="4"/>
  <c r="E7" i="1"/>
  <c r="F135" i="1"/>
  <c r="C4" i="6"/>
  <c r="D120" i="1"/>
  <c r="A132" i="1"/>
  <c r="D156" i="1"/>
  <c r="D125" i="1"/>
  <c r="C22" i="4"/>
  <c r="F63" i="1"/>
  <c r="B107" i="1"/>
  <c r="B64" i="1"/>
  <c r="A93" i="1"/>
  <c r="B2" i="4"/>
  <c r="C156" i="1"/>
  <c r="C31" i="4"/>
  <c r="F120" i="1"/>
  <c r="F89" i="1"/>
  <c r="E23" i="4"/>
  <c r="F69" i="1"/>
  <c r="B171" i="1"/>
  <c r="D18" i="4"/>
  <c r="B39" i="4"/>
  <c r="D15" i="6"/>
  <c r="F51" i="1"/>
  <c r="D127" i="1"/>
  <c r="D24" i="1"/>
  <c r="E119" i="1"/>
  <c r="C4" i="5"/>
  <c r="C7" i="1"/>
  <c r="C120" i="1"/>
  <c r="D7" i="5"/>
  <c r="B6" i="6"/>
  <c r="C32" i="4"/>
  <c r="E30" i="4"/>
  <c r="E2" i="5"/>
  <c r="A162" i="1"/>
  <c r="F73" i="1"/>
  <c r="F5" i="5"/>
  <c r="B68" i="1"/>
  <c r="F49" i="1"/>
  <c r="E67" i="1"/>
  <c r="F102" i="1"/>
  <c r="B3" i="6"/>
  <c r="A50" i="1"/>
  <c r="F1" i="4"/>
  <c r="A25" i="4"/>
  <c r="E10" i="4"/>
  <c r="E8" i="6"/>
  <c r="F110" i="1"/>
  <c r="C10" i="1"/>
  <c r="D21" i="1"/>
  <c r="A147" i="1"/>
  <c r="C38" i="4"/>
  <c r="D6" i="4"/>
  <c r="C3" i="5"/>
  <c r="F96" i="1"/>
  <c r="E2" i="1"/>
  <c r="C39" i="4"/>
  <c r="B105" i="1"/>
  <c r="F129" i="1"/>
  <c r="B25" i="4"/>
  <c r="C7" i="5"/>
  <c r="D36" i="4"/>
  <c r="E70" i="1"/>
  <c r="E111" i="1"/>
  <c r="F12" i="1"/>
  <c r="E2" i="4"/>
  <c r="B156" i="1"/>
  <c r="A2" i="4"/>
  <c r="F163" i="1"/>
  <c r="F132" i="1"/>
  <c r="E28" i="1"/>
  <c r="A14" i="6"/>
  <c r="C171" i="1"/>
  <c r="B75" i="1"/>
  <c r="E72" i="1"/>
  <c r="B52" i="1"/>
  <c r="A81" i="1"/>
  <c r="B132" i="1"/>
  <c r="E138" i="1"/>
  <c r="F170" i="1"/>
  <c r="B118" i="1"/>
  <c r="D44" i="1"/>
  <c r="B102" i="1"/>
  <c r="A37" i="4"/>
  <c r="F34" i="1"/>
  <c r="C13" i="4"/>
  <c r="C37" i="4"/>
  <c r="E94" i="1"/>
  <c r="E37" i="1"/>
  <c r="A6" i="5"/>
  <c r="D41" i="1"/>
  <c r="D111" i="1"/>
  <c r="C111" i="1"/>
  <c r="E155" i="1"/>
  <c r="A74" i="1"/>
  <c r="C14" i="6"/>
  <c r="E99" i="1"/>
  <c r="E2" i="6"/>
  <c r="D160" i="1"/>
  <c r="A137" i="1"/>
  <c r="B152" i="1"/>
  <c r="D3" i="5"/>
  <c r="D10" i="1"/>
  <c r="F75" i="1"/>
  <c r="A66" i="1"/>
  <c r="A56" i="1"/>
  <c r="F113" i="1"/>
  <c r="B51" i="1"/>
  <c r="C54" i="1"/>
  <c r="C63" i="1"/>
  <c r="E5" i="5"/>
  <c r="B5" i="4"/>
  <c r="D62" i="1"/>
  <c r="A14" i="4"/>
  <c r="D166" i="1"/>
  <c r="B88" i="1"/>
  <c r="C148" i="1"/>
  <c r="C52" i="1"/>
  <c r="F81" i="1"/>
  <c r="D61" i="1"/>
  <c r="E5" i="6"/>
  <c r="C8" i="1"/>
  <c r="D122" i="1"/>
  <c r="E6" i="1"/>
  <c r="B117" i="1"/>
  <c r="A150" i="1"/>
  <c r="A120" i="1"/>
  <c r="F17" i="1"/>
  <c r="B133" i="1"/>
  <c r="F119" i="1"/>
  <c r="D8" i="5"/>
  <c r="E38" i="1"/>
  <c r="C29" i="4"/>
  <c r="C139" i="1"/>
  <c r="C5" i="1"/>
  <c r="D82" i="1"/>
  <c r="C23" i="4"/>
  <c r="F121" i="1"/>
  <c r="F153" i="1"/>
  <c r="A57" i="1"/>
  <c r="B13" i="4"/>
  <c r="C132" i="1"/>
  <c r="A5" i="6"/>
  <c r="F43" i="1"/>
  <c r="F9" i="6"/>
  <c r="C131" i="1"/>
  <c r="B85" i="1"/>
  <c r="B125" i="1"/>
  <c r="D9" i="6"/>
  <c r="B47" i="1"/>
  <c r="E62" i="1"/>
  <c r="E69" i="1"/>
  <c r="B168" i="1"/>
  <c r="F5" i="1"/>
  <c r="C6" i="5"/>
  <c r="F4" i="6"/>
  <c r="C162" i="1"/>
  <c r="C164" i="1"/>
  <c r="E135" i="1"/>
  <c r="C158" i="1"/>
  <c r="C75" i="1"/>
  <c r="B39" i="1"/>
  <c r="E132" i="1"/>
  <c r="D71" i="1"/>
  <c r="F145" i="1"/>
  <c r="C1" i="5"/>
  <c r="A8" i="4"/>
  <c r="A10" i="6"/>
  <c r="F8" i="4"/>
  <c r="E41" i="1"/>
  <c r="B140" i="1"/>
  <c r="B87" i="1"/>
  <c r="B72" i="1"/>
  <c r="C95" i="1"/>
  <c r="F82" i="1"/>
  <c r="F20" i="4"/>
  <c r="D148" i="1"/>
  <c r="B7" i="1"/>
  <c r="F26" i="1"/>
  <c r="A32" i="1"/>
  <c r="A49" i="1"/>
  <c r="E166" i="1"/>
  <c r="B138" i="1"/>
  <c r="D115" i="1"/>
  <c r="E23" i="1"/>
  <c r="C2" i="6"/>
  <c r="D52" i="1"/>
  <c r="D13" i="6"/>
  <c r="D3" i="6"/>
  <c r="E113" i="1"/>
  <c r="D68" i="1"/>
  <c r="C26" i="1"/>
  <c r="B5" i="6"/>
  <c r="A46" i="1"/>
  <c r="E148" i="1"/>
  <c r="E22" i="1"/>
  <c r="D7" i="6"/>
  <c r="D38" i="4"/>
  <c r="A143" i="1"/>
  <c r="D3" i="4"/>
  <c r="A105" i="1"/>
  <c r="C51" i="1"/>
  <c r="C30" i="4"/>
  <c r="C6" i="4"/>
  <c r="B110" i="1"/>
  <c r="D27" i="4"/>
  <c r="B162" i="1"/>
  <c r="D39" i="4"/>
  <c r="B99" i="1"/>
  <c r="C136" i="1"/>
  <c r="B4" i="5"/>
  <c r="C20" i="4"/>
  <c r="B1" i="6"/>
  <c r="A98" i="1"/>
  <c r="A65" i="1"/>
  <c r="F108" i="1"/>
  <c r="C14" i="4"/>
  <c r="C17" i="1"/>
  <c r="F8" i="5"/>
  <c r="B136" i="1"/>
  <c r="B14" i="1"/>
  <c r="B36" i="1"/>
  <c r="B134" i="1"/>
  <c r="A160" i="1"/>
  <c r="E3" i="1"/>
  <c r="C8" i="4"/>
  <c r="A48" i="1"/>
  <c r="C40" i="1"/>
  <c r="C39" i="1"/>
  <c r="E171" i="1"/>
  <c r="A89" i="1"/>
  <c r="A165" i="1"/>
  <c r="C9" i="1"/>
  <c r="F97" i="1"/>
  <c r="A125" i="1"/>
  <c r="A122" i="1"/>
  <c r="E17" i="1"/>
  <c r="E64" i="1"/>
  <c r="D45" i="1"/>
  <c r="E127" i="1"/>
  <c r="B145" i="1"/>
  <c r="E17" i="6"/>
  <c r="D17" i="4"/>
  <c r="E1" i="1"/>
  <c r="B82" i="1"/>
  <c r="D30" i="1"/>
  <c r="F172" i="1"/>
  <c r="F79" i="1"/>
  <c r="D9" i="4"/>
  <c r="E35" i="1"/>
  <c r="E95" i="1"/>
  <c r="C144" i="1"/>
  <c r="E7" i="4"/>
  <c r="F83" i="1"/>
  <c r="A152" i="1"/>
  <c r="C24" i="1"/>
  <c r="C45" i="1"/>
  <c r="D16" i="6"/>
  <c r="A172" i="1"/>
  <c r="F13" i="4"/>
  <c r="A3" i="6"/>
  <c r="A104" i="1"/>
  <c r="E25" i="1"/>
  <c r="B26" i="4"/>
  <c r="F30" i="4"/>
  <c r="C49" i="1"/>
  <c r="F86" i="1"/>
  <c r="E126" i="1"/>
  <c r="A138" i="1"/>
  <c r="C13" i="6"/>
  <c r="B114" i="1"/>
  <c r="A164" i="1"/>
  <c r="C5" i="4"/>
  <c r="D73" i="1"/>
  <c r="B103" i="1"/>
  <c r="F6" i="1"/>
  <c r="C78" i="1"/>
  <c r="D10" i="6"/>
  <c r="E92" i="1"/>
  <c r="E1" i="4"/>
  <c r="A59" i="1"/>
  <c r="D157" i="1"/>
  <c r="D31" i="4"/>
  <c r="F158" i="1"/>
  <c r="A168" i="1"/>
  <c r="E46" i="1"/>
  <c r="E121" i="1"/>
  <c r="D141" i="1"/>
  <c r="C21" i="4"/>
  <c r="E96" i="1"/>
  <c r="B71" i="1"/>
  <c r="F30" i="1"/>
  <c r="C114" i="1"/>
  <c r="B32" i="1"/>
  <c r="E33" i="1"/>
  <c r="A55" i="1"/>
  <c r="E56" i="1"/>
  <c r="D116" i="1"/>
  <c r="B28" i="1"/>
  <c r="A141" i="1"/>
  <c r="B128" i="1"/>
  <c r="B165" i="1"/>
  <c r="C46" i="1"/>
  <c r="A112" i="1"/>
  <c r="E170" i="1"/>
  <c r="F35" i="1"/>
  <c r="E128" i="1"/>
  <c r="C99" i="1"/>
  <c r="F100" i="1"/>
  <c r="B169" i="1"/>
  <c r="A28" i="4"/>
  <c r="D5" i="1"/>
  <c r="D97" i="1"/>
  <c r="E29" i="1"/>
  <c r="F21" i="1"/>
  <c r="C82" i="1"/>
  <c r="E4" i="4"/>
  <c r="B154" i="1"/>
  <c r="B35" i="1"/>
  <c r="F6" i="4"/>
  <c r="D84" i="1"/>
  <c r="B6" i="1"/>
  <c r="A169" i="1"/>
  <c r="F4" i="4"/>
  <c r="C87" i="1"/>
  <c r="C17" i="4"/>
  <c r="B1" i="1"/>
  <c r="D10" i="4"/>
  <c r="F148" i="1"/>
  <c r="E88" i="1"/>
  <c r="B50" i="1"/>
  <c r="B55" i="1"/>
  <c r="D34" i="1"/>
  <c r="C73" i="1"/>
  <c r="F91" i="1"/>
  <c r="D76" i="1"/>
  <c r="C81" i="1"/>
  <c r="B30" i="4"/>
  <c r="E32" i="1"/>
  <c r="C172" i="1"/>
  <c r="D146" i="1"/>
  <c r="C122" i="1"/>
  <c r="E84" i="1"/>
  <c r="B4" i="6"/>
  <c r="A2" i="6"/>
  <c r="D158" i="1"/>
  <c r="C147" i="1"/>
  <c r="F37" i="4"/>
  <c r="A31" i="4"/>
  <c r="A23" i="1"/>
  <c r="A39" i="4"/>
  <c r="B122" i="1"/>
  <c r="F70" i="1"/>
  <c r="B31" i="1"/>
  <c r="D19" i="1"/>
  <c r="B80" i="1"/>
  <c r="F28" i="4"/>
  <c r="D53" i="1"/>
  <c r="F25" i="4"/>
  <c r="C90" i="1"/>
  <c r="F17" i="4"/>
  <c r="F76" i="1"/>
  <c r="E77" i="1"/>
  <c r="F155" i="1"/>
  <c r="A68" i="1"/>
  <c r="C31" i="1"/>
  <c r="D123" i="1"/>
  <c r="B16" i="4"/>
  <c r="C8" i="5"/>
  <c r="A16" i="4"/>
  <c r="B48" i="1"/>
  <c r="D80" i="1"/>
  <c r="A44" i="1"/>
  <c r="F48" i="1"/>
  <c r="D88" i="1"/>
  <c r="C47" i="1"/>
  <c r="C33" i="1"/>
  <c r="E11" i="1"/>
  <c r="A52" i="1"/>
  <c r="F28" i="1"/>
  <c r="F6" i="5"/>
  <c r="E147" i="1"/>
  <c r="F114" i="1"/>
  <c r="A26" i="1"/>
  <c r="B167" i="1"/>
  <c r="E19" i="1"/>
  <c r="F115" i="1"/>
  <c r="A4" i="5"/>
  <c r="F78" i="1"/>
  <c r="C23" i="1"/>
  <c r="F101" i="1"/>
  <c r="B149" i="1"/>
  <c r="A31" i="1"/>
  <c r="E141" i="1"/>
  <c r="F16" i="6"/>
  <c r="B121" i="1"/>
  <c r="D2" i="4"/>
  <c r="D164" i="1"/>
  <c r="D59" i="1"/>
  <c r="E103" i="1"/>
  <c r="B3" i="4"/>
  <c r="F66" i="1"/>
  <c r="F103" i="1"/>
  <c r="F106" i="1"/>
  <c r="A19" i="1"/>
  <c r="B56" i="1"/>
  <c r="A149" i="1"/>
  <c r="C66" i="1"/>
  <c r="E114" i="1"/>
  <c r="D19" i="4"/>
  <c r="D43" i="1"/>
  <c r="A5" i="4"/>
  <c r="A80" i="1"/>
  <c r="C18" i="6"/>
  <c r="C153" i="1"/>
  <c r="C22" i="1"/>
  <c r="F10" i="6"/>
  <c r="B7" i="5"/>
  <c r="F21" i="4"/>
  <c r="C134" i="1"/>
  <c r="A12" i="1"/>
  <c r="E53" i="1"/>
  <c r="C25" i="1"/>
  <c r="E106" i="1"/>
  <c r="B106" i="1"/>
  <c r="C154" i="1"/>
  <c r="C166" i="1"/>
  <c r="F40" i="1"/>
  <c r="D40" i="1"/>
  <c r="C61" i="1"/>
  <c r="C137" i="1"/>
  <c r="D143" i="1"/>
  <c r="B18" i="1"/>
  <c r="E40" i="1"/>
  <c r="C35" i="1"/>
  <c r="D6" i="1"/>
  <c r="D26" i="1"/>
  <c r="C135" i="1"/>
  <c r="A27" i="1"/>
  <c r="D37" i="4"/>
  <c r="F65" i="1"/>
  <c r="F32" i="4"/>
  <c r="F27" i="1"/>
  <c r="A24" i="4"/>
  <c r="A5" i="1"/>
  <c r="B17" i="6"/>
  <c r="A38" i="4"/>
  <c r="B12" i="4"/>
  <c r="A2" i="1"/>
  <c r="B37" i="1"/>
  <c r="A7" i="6"/>
  <c r="C12" i="4"/>
  <c r="F94" i="1"/>
  <c r="C28" i="4"/>
  <c r="B69" i="1"/>
  <c r="D23" i="4"/>
  <c r="B12" i="1"/>
  <c r="C104" i="1"/>
  <c r="A100" i="1"/>
  <c r="C150" i="1"/>
  <c r="A13" i="6"/>
  <c r="E38" i="4"/>
  <c r="F56" i="1"/>
  <c r="D6" i="5"/>
  <c r="A69" i="1"/>
  <c r="E75" i="1"/>
  <c r="C88" i="1"/>
  <c r="E3" i="5"/>
  <c r="F47" i="1"/>
  <c r="C37" i="1"/>
  <c r="C89" i="1"/>
  <c r="B42" i="1"/>
  <c r="B148" i="1"/>
  <c r="C20" i="1"/>
  <c r="A167" i="1"/>
  <c r="B45" i="1"/>
  <c r="C102" i="1"/>
  <c r="F151" i="1"/>
  <c r="A146" i="1"/>
  <c r="B76" i="1"/>
  <c r="A36" i="4"/>
  <c r="B89" i="1"/>
  <c r="C28" i="1"/>
  <c r="B78" i="1"/>
  <c r="F84" i="1"/>
  <c r="B27" i="1"/>
  <c r="E83" i="1"/>
  <c r="A163" i="1"/>
  <c r="A2" i="5"/>
  <c r="C6" i="6"/>
  <c r="D130" i="1"/>
  <c r="F15" i="4"/>
  <c r="E91" i="1"/>
  <c r="C32" i="1"/>
  <c r="E34" i="1"/>
  <c r="A32" i="4"/>
  <c r="F92" i="1"/>
  <c r="E15" i="4"/>
  <c r="F52" i="1"/>
  <c r="C113" i="1"/>
  <c r="D106" i="1"/>
  <c r="A9" i="6"/>
  <c r="E4" i="5"/>
  <c r="D8" i="1"/>
  <c r="B10" i="4"/>
  <c r="B131" i="1"/>
  <c r="D50" i="1"/>
  <c r="F125" i="1"/>
  <c r="D144" i="1"/>
  <c r="B137" i="1"/>
  <c r="A3" i="4"/>
  <c r="B13" i="6"/>
  <c r="A107" i="1"/>
  <c r="A51" i="1"/>
  <c r="F2" i="5"/>
  <c r="B144" i="1"/>
  <c r="E149" i="1"/>
  <c r="A87" i="1"/>
  <c r="A33" i="1"/>
  <c r="D1" i="6"/>
  <c r="D23" i="1"/>
  <c r="E78" i="1"/>
  <c r="E51" i="1"/>
  <c r="D64" i="1"/>
  <c r="D17" i="6"/>
  <c r="A72" i="1"/>
  <c r="F8" i="1"/>
  <c r="A131" i="1"/>
  <c r="C2" i="5"/>
  <c r="E107" i="1"/>
  <c r="B130" i="1"/>
  <c r="B1" i="5"/>
  <c r="C53" i="1"/>
  <c r="F12" i="4"/>
  <c r="C12" i="6"/>
  <c r="A25" i="1"/>
  <c r="C124" i="1"/>
  <c r="E139" i="1"/>
  <c r="A58" i="1"/>
  <c r="F33" i="4"/>
  <c r="D95" i="1"/>
  <c r="A133" i="1"/>
  <c r="B100" i="1"/>
  <c r="A61" i="1"/>
  <c r="E12" i="1"/>
  <c r="D118" i="1"/>
  <c r="A134" i="1"/>
  <c r="D136" i="1"/>
  <c r="D18" i="6"/>
  <c r="D7" i="1"/>
  <c r="B159" i="1"/>
  <c r="F2" i="6"/>
  <c r="E9" i="6"/>
  <c r="A62" i="1"/>
  <c r="D132" i="1"/>
  <c r="C11" i="6"/>
  <c r="B116" i="1"/>
  <c r="E12" i="6"/>
  <c r="C91" i="1"/>
  <c r="E8" i="1"/>
  <c r="F20" i="1"/>
  <c r="B17" i="1"/>
  <c r="D63" i="1"/>
  <c r="A41" i="1"/>
  <c r="E30" i="1"/>
  <c r="E9" i="4"/>
  <c r="D167" i="1"/>
  <c r="D128" i="1"/>
  <c r="C10" i="6"/>
  <c r="F35" i="4"/>
  <c r="A24" i="1"/>
  <c r="D134" i="1"/>
  <c r="B143" i="1"/>
  <c r="E18" i="6"/>
  <c r="A22" i="4"/>
  <c r="C84" i="1"/>
  <c r="D13" i="4"/>
  <c r="E35" i="4"/>
  <c r="E26" i="1"/>
  <c r="E44" i="1"/>
  <c r="D39" i="1"/>
  <c r="A75" i="1"/>
  <c r="F136" i="1"/>
  <c r="C105" i="1"/>
  <c r="C86" i="1"/>
  <c r="E40" i="4" l="1"/>
</calcChain>
</file>

<file path=xl/sharedStrings.xml><?xml version="1.0" encoding="utf-8"?>
<sst xmlns="http://schemas.openxmlformats.org/spreadsheetml/2006/main" count="62338" uniqueCount="20354">
  <si>
    <t>TOTAL</t>
  </si>
  <si>
    <t>Check #</t>
  </si>
  <si>
    <t>Date</t>
  </si>
  <si>
    <t>Payee</t>
  </si>
  <si>
    <t>Particulars</t>
  </si>
  <si>
    <t>Amount</t>
  </si>
  <si>
    <t>Status</t>
  </si>
  <si>
    <t>Release Date</t>
  </si>
  <si>
    <t>Fund</t>
  </si>
  <si>
    <t>DBP General</t>
  </si>
  <si>
    <t xml:space="preserve">U-Bix Subic Bay Corporation </t>
  </si>
  <si>
    <t xml:space="preserve">DDM Solution Enterprise </t>
  </si>
  <si>
    <t>1% retention for office supplies for use of MDH</t>
  </si>
  <si>
    <t>Allowance for the month of June, 2022</t>
  </si>
  <si>
    <t xml:space="preserve">National Printing Office </t>
  </si>
  <si>
    <t>Printing of Personalized Accountable Forms to be used in the Provincial Treasurer's Office</t>
  </si>
  <si>
    <t>DONATION TO CLIENT FOR PURCHASE OF BASIC NECESSITIES</t>
  </si>
  <si>
    <t xml:space="preserve">Emilia dela Rosa </t>
  </si>
  <si>
    <t>Payment of honorarium of Municipal Treasurers for the month of September 2022</t>
  </si>
  <si>
    <t xml:space="preserve">Jose Enrique S. Garcia III </t>
  </si>
  <si>
    <t xml:space="preserve">Judita M. Tungol </t>
  </si>
  <si>
    <t>Allowance for the month of September</t>
  </si>
  <si>
    <t>Subsidy to Barangay Bagumbayan Pilar Bataan for their annual cultural activity on October 12, 2022</t>
  </si>
  <si>
    <t>Donation of her presentation onsite for the 9th international scholars conference on October 25-26, 2022</t>
  </si>
  <si>
    <t>Tax refund for CY 2003</t>
  </si>
  <si>
    <t xml:space="preserve">GE-Channel Enterprises </t>
  </si>
  <si>
    <t xml:space="preserve">Converge Information and Communications Technology Solutions, Inc. </t>
  </si>
  <si>
    <t>Tax refund for CY 2018</t>
  </si>
  <si>
    <t>LABOR AND MATERIALS FOR THE CONSTRUCTION OF TWO (2) STOREY FOUR (4) CLASSROOMS SCHOOL BUILDING AT MABATANG NATIONAL HIGH SCHOOL, BRGY. MABATANG, ABUCAY, BATAAN</t>
  </si>
  <si>
    <t>DBP SEF</t>
  </si>
  <si>
    <t>1% retention for toner for taskalfa 2552cl for use of PEO</t>
  </si>
  <si>
    <t xml:space="preserve">Deped, Bataan </t>
  </si>
  <si>
    <t xml:space="preserve">Marivic Triguero </t>
  </si>
  <si>
    <t>Cash advance</t>
  </si>
  <si>
    <t>1% retention for different procurements of the PGB</t>
  </si>
  <si>
    <t>LBP General</t>
  </si>
  <si>
    <t xml:space="preserve">Japi Printzone Corporation </t>
  </si>
  <si>
    <t xml:space="preserve">Raio Resto Services </t>
  </si>
  <si>
    <t>Meals incurred during various meetings</t>
  </si>
  <si>
    <t xml:space="preserve">Ellen Atienza </t>
  </si>
  <si>
    <t xml:space="preserve">Maribeth Bugay </t>
  </si>
  <si>
    <t xml:space="preserve">Jerson Reyes </t>
  </si>
  <si>
    <t xml:space="preserve">Fuel Plus Trading </t>
  </si>
  <si>
    <t xml:space="preserve">AFAB Power </t>
  </si>
  <si>
    <t xml:space="preserve">PLDT Inc. </t>
  </si>
  <si>
    <t>Payment of PLDT Fiber Telephone Bills in the office of the SP Office of (Vice Governor Garcia, Secretary Salazar and Board Member Dominguez) for the period of October 18 - November 17, 2022</t>
  </si>
  <si>
    <t xml:space="preserve">Dexter T. Veluz </t>
  </si>
  <si>
    <t>DONATION TO CLIENT FOR HIS MEDICAL NEEDS</t>
  </si>
  <si>
    <t xml:space="preserve">Zabala Funeral Services </t>
  </si>
  <si>
    <t xml:space="preserve">K and A2 Paint and Body Works </t>
  </si>
  <si>
    <t xml:space="preserve">Holylife Funeral Services </t>
  </si>
  <si>
    <t xml:space="preserve">Salvador Funeral Services </t>
  </si>
  <si>
    <t xml:space="preserve">BMI Trading </t>
  </si>
  <si>
    <t xml:space="preserve">Frederick Agricultural Products Distribution </t>
  </si>
  <si>
    <t xml:space="preserve">MCT Auto Shop </t>
  </si>
  <si>
    <t xml:space="preserve">Sta. Ana Enterprises </t>
  </si>
  <si>
    <t xml:space="preserve">Techmart Corporation </t>
  </si>
  <si>
    <t>Implementation of Performance Management and Monitoring Services (IT-BPO Services) of the Office of Strategy Management</t>
  </si>
  <si>
    <t>Replacement of transmission parts and starter assembly of Mitsubishi FB L-300 SHS-787 of PEO owned by the Provincial Government of Bataan</t>
  </si>
  <si>
    <t xml:space="preserve">Patient Care Corporation </t>
  </si>
  <si>
    <t xml:space="preserve">AlloyMTD, Bataan Inc. </t>
  </si>
  <si>
    <t>OTHER SUPPLIES AND MATERIALS for the use of Mariveles District Hospital</t>
  </si>
  <si>
    <t>Toner 3380 for the use of Orani District Hospital</t>
  </si>
  <si>
    <t>Payment of 50% Scholarship grant of 1 Teacher (Gurong Iskolar) taking her Masteral Education as part of the Iskolar ng Bataan Program of the Provincial Government of Bataan</t>
  </si>
  <si>
    <t xml:space="preserve">Bluepepper Catering </t>
  </si>
  <si>
    <t xml:space="preserve">Wangtseng Export Enterprises </t>
  </si>
  <si>
    <t xml:space="preserve">Metcare Biomedical Enterprise </t>
  </si>
  <si>
    <t xml:space="preserve">Heureux Catering Services </t>
  </si>
  <si>
    <t xml:space="preserve">Melba's Funeral Parlor </t>
  </si>
  <si>
    <t>DONATION TO AMPARO DELA CRUZ FOR HER BURIAL EXPENSES</t>
  </si>
  <si>
    <t>Released</t>
  </si>
  <si>
    <t xml:space="preserve">GSIS </t>
  </si>
  <si>
    <t xml:space="preserve">Rowena Marie M. Soriano </t>
  </si>
  <si>
    <t>Payment for salary from October 24-31, 2022</t>
  </si>
  <si>
    <t xml:space="preserve">Balanga Medical Center (BMCC) Corporation </t>
  </si>
  <si>
    <t xml:space="preserve">Oscar M. Lasam </t>
  </si>
  <si>
    <t>Payment of allowance for the month of October 2022</t>
  </si>
  <si>
    <t xml:space="preserve">Arceli C. Punay </t>
  </si>
  <si>
    <t xml:space="preserve">Geraldine L. Buenaventura </t>
  </si>
  <si>
    <t xml:space="preserve">Dorina S. Castro-Baltazar </t>
  </si>
  <si>
    <t xml:space="preserve">Kristine Joy B. Paguio </t>
  </si>
  <si>
    <t xml:space="preserve">Rodel Patrick V. Bairan </t>
  </si>
  <si>
    <t xml:space="preserve">Johnnel S. Soriano </t>
  </si>
  <si>
    <t xml:space="preserve">Romulo S. Mandocdoc Jr. </t>
  </si>
  <si>
    <t>Allowance for the month of October 2022</t>
  </si>
  <si>
    <t xml:space="preserve">Bureau of Treasury </t>
  </si>
  <si>
    <t>Payment of fidelity bond premium</t>
  </si>
  <si>
    <t xml:space="preserve">Bethsaida D. Ongoco </t>
  </si>
  <si>
    <t xml:space="preserve">Karen Suello </t>
  </si>
  <si>
    <t>Payment of her RIC Allowance for the month of September 2022</t>
  </si>
  <si>
    <t xml:space="preserve">Marlene D. Guinto </t>
  </si>
  <si>
    <t xml:space="preserve">Enriquetta Bantugan </t>
  </si>
  <si>
    <t xml:space="preserve">Aida del Rosario </t>
  </si>
  <si>
    <t xml:space="preserve">Rosalinda Atienza </t>
  </si>
  <si>
    <t>Payment of honorarium of Municipal Treasurers for the month of October 2022</t>
  </si>
  <si>
    <t xml:space="preserve">Erwin Villapando </t>
  </si>
  <si>
    <t xml:space="preserve">Melba San Juan </t>
  </si>
  <si>
    <t xml:space="preserve">Dominador C. Masangkay </t>
  </si>
  <si>
    <t xml:space="preserve">Jeanalyn O. Bantugan </t>
  </si>
  <si>
    <t xml:space="preserve">J &amp; G Funeral Services </t>
  </si>
  <si>
    <t>DONATION TO CLIENT FOR HER HOSPITAL BILL</t>
  </si>
  <si>
    <t>DONATION TO ANTONIO AMBROCIO FOR HIS BURIAL EXPENSES</t>
  </si>
  <si>
    <t xml:space="preserve">Norma C. Banzon </t>
  </si>
  <si>
    <t xml:space="preserve">Maribel M. Española </t>
  </si>
  <si>
    <t>DONATION TO LEONORA MAGPANTAY FOR HER HOSPITAL BILL</t>
  </si>
  <si>
    <t xml:space="preserve">Emma S. Camiling </t>
  </si>
  <si>
    <t>DONATION TO FERNANDO SAYAS FOR HIS HOSPITAL BILL</t>
  </si>
  <si>
    <t xml:space="preserve">Anabelle Claravall </t>
  </si>
  <si>
    <t xml:space="preserve">Imelda Santiago </t>
  </si>
  <si>
    <t xml:space="preserve">Alfredo Manasan </t>
  </si>
  <si>
    <t xml:space="preserve">Marian Diwa </t>
  </si>
  <si>
    <t>Allowance for the month of October</t>
  </si>
  <si>
    <t>DONATION FOR THE HOSPITAL BILLS COVERING THE PERIOD OCTOBER 24-28,2022</t>
  </si>
  <si>
    <t xml:space="preserve">Ma. Teresa Pagtalunan-Mauleon </t>
  </si>
  <si>
    <t xml:space="preserve">Charina P. Pascua </t>
  </si>
  <si>
    <t xml:space="preserve">Suzette C. Sebastian </t>
  </si>
  <si>
    <t xml:space="preserve">Wimbek Ferekus S. Tajonera </t>
  </si>
  <si>
    <t xml:space="preserve">Keith S. Marcelo </t>
  </si>
  <si>
    <t xml:space="preserve">Damaso P. Asuncion Jr. </t>
  </si>
  <si>
    <t xml:space="preserve">Maricar Paloma dela Cruz-Buban </t>
  </si>
  <si>
    <t xml:space="preserve">Leticia Nicolas </t>
  </si>
  <si>
    <t xml:space="preserve">Philip M. Cruz </t>
  </si>
  <si>
    <t xml:space="preserve">D.C. Punzalan Funeral Services </t>
  </si>
  <si>
    <t xml:space="preserve">Salta Funeral Homes </t>
  </si>
  <si>
    <t xml:space="preserve">Dinalupihan Water District </t>
  </si>
  <si>
    <t xml:space="preserve">Innove Communications, Inc. </t>
  </si>
  <si>
    <t xml:space="preserve">JCINSP Manolet L. Datan, MPA </t>
  </si>
  <si>
    <t xml:space="preserve">Jonie Rose Trading </t>
  </si>
  <si>
    <t>Office supplies for use in the Provincial Treasurer's Office</t>
  </si>
  <si>
    <t xml:space="preserve">St. Joseph Cable TV System </t>
  </si>
  <si>
    <t>Payment of allowance of the Comelec Field Officers for the month of September 2022</t>
  </si>
  <si>
    <t xml:space="preserve">Melanio Sibayan </t>
  </si>
  <si>
    <t xml:space="preserve">Armi Ronquillo </t>
  </si>
  <si>
    <t xml:space="preserve">Hilda Rodrigo </t>
  </si>
  <si>
    <t xml:space="preserve">Cristeto Manuel </t>
  </si>
  <si>
    <t xml:space="preserve">Jenny Manalo </t>
  </si>
  <si>
    <t xml:space="preserve">Rossana Cruz </t>
  </si>
  <si>
    <t xml:space="preserve">Iris Flores </t>
  </si>
  <si>
    <t xml:space="preserve">Joy Eleazar Caro </t>
  </si>
  <si>
    <t xml:space="preserve">Arsenia Bondoc </t>
  </si>
  <si>
    <t xml:space="preserve">Maribeth Abadecio </t>
  </si>
  <si>
    <t xml:space="preserve">Chris Ian Silva </t>
  </si>
  <si>
    <t xml:space="preserve">Jovy Z. Banzon </t>
  </si>
  <si>
    <t xml:space="preserve">Rosalie L. Gerio </t>
  </si>
  <si>
    <t>DONATION TO LORETA LEAñO FOR HER BURIAL EXPENSES</t>
  </si>
  <si>
    <t xml:space="preserve">Angelica L. Rosadiño </t>
  </si>
  <si>
    <t>DONATION TO QUIEL JESSRAEL ROSADIñO FOR HIS HOSPITAL BILL</t>
  </si>
  <si>
    <t>DONATION TO CLIENT FOR HIS HOSPITAL BILL</t>
  </si>
  <si>
    <t xml:space="preserve">Evelyn B. Manrique </t>
  </si>
  <si>
    <t>DONATION TO CLIENT FOR HER HOSPITAL BILL AND MEDICAL NEEDS</t>
  </si>
  <si>
    <t>DONATION TO CLIENT FOR HER MEDICAL NEEDS</t>
  </si>
  <si>
    <t xml:space="preserve">Abuntoy Glassware </t>
  </si>
  <si>
    <t xml:space="preserve">Rosalie P. Manubay, MD. </t>
  </si>
  <si>
    <t xml:space="preserve">Cynthia M. Tolentino </t>
  </si>
  <si>
    <t xml:space="preserve">Angelito M. Sunga </t>
  </si>
  <si>
    <t xml:space="preserve">Doroteo M. Austria </t>
  </si>
  <si>
    <t xml:space="preserve">Benjamin C. Serrano Jr. </t>
  </si>
  <si>
    <t xml:space="preserve">Jorge S. Estanislao </t>
  </si>
  <si>
    <t xml:space="preserve">Manuel N. Beltran </t>
  </si>
  <si>
    <t xml:space="preserve">Regine P. Mendoza </t>
  </si>
  <si>
    <t>Replenishment of Revolving Fund for payment of donation to indigent constituents from Province of Bataan (November 09-10)</t>
  </si>
  <si>
    <t xml:space="preserve">Loida T. Ocampo </t>
  </si>
  <si>
    <t xml:space="preserve">Peninsula Electric Cooperative, Inc. </t>
  </si>
  <si>
    <t>LBP Trust</t>
  </si>
  <si>
    <t>Donation to Client for her medical needs</t>
  </si>
  <si>
    <t xml:space="preserve">Vilma G. Pizarro </t>
  </si>
  <si>
    <t>Donation to client for his medical needs</t>
  </si>
  <si>
    <t>Donation to client for her hospital bill</t>
  </si>
  <si>
    <t xml:space="preserve">Enviro Scope Synergy, Inc. </t>
  </si>
  <si>
    <t xml:space="preserve">Lhanz CJ Trading and Computer Center Inc. </t>
  </si>
  <si>
    <t>Donation to Leonora Magpantay for her medical needs</t>
  </si>
  <si>
    <t xml:space="preserve">Greensun Automotive Enterprises, Inc. </t>
  </si>
  <si>
    <t>PVB General</t>
  </si>
  <si>
    <t xml:space="preserve">Jeffrey S. Onde </t>
  </si>
  <si>
    <t>Donation to their operational expenses re: Project Usig operations againts illegal drugs for the month of March, April &amp; June 2022</t>
  </si>
  <si>
    <t xml:space="preserve">Real-Tech Mobile Innovation Inc. </t>
  </si>
  <si>
    <t xml:space="preserve">Isaac and Catalina Medical Center Inc. </t>
  </si>
  <si>
    <t>DONATION FOR THE HOSPITAL BILLS COVERING THE PERIOD OCTOBER 10-14,2022</t>
  </si>
  <si>
    <t xml:space="preserve">Bernadette R. Manahan </t>
  </si>
  <si>
    <t xml:space="preserve">Partial payment of her 47 days maternity leave with pay covering the period of November 15, 2021 to December 31, 2021 as Nurse II in the PHO </t>
  </si>
  <si>
    <t xml:space="preserve">Marivic T. Triguero </t>
  </si>
  <si>
    <t>Cash advance in payment of various obligations</t>
  </si>
  <si>
    <t>Payment of fidelity bond of Ms. Nimfa R. Jimenez</t>
  </si>
  <si>
    <t>Set up of revolving fund for payment of donations to indigent constituents of Bataan</t>
  </si>
  <si>
    <t xml:space="preserve">HDMF </t>
  </si>
  <si>
    <t>Remittance of PAG-IBIG II (SAVINGS) of Provincial Employees nuder General Fund for the month of December 2021</t>
  </si>
  <si>
    <t xml:space="preserve">Capitol Employees of Bataan Multi Purpose Cooperative </t>
  </si>
  <si>
    <t>Remittance for the month of December 2021</t>
  </si>
  <si>
    <t xml:space="preserve">Philhealth </t>
  </si>
  <si>
    <t xml:space="preserve">Government Service Insurance System </t>
  </si>
  <si>
    <t>Additional Remittance of salary loan instamment of Mr. Reynaldo De leon of PHO which deducted from his 139.317 days terminal leave</t>
  </si>
  <si>
    <t xml:space="preserve">PB Variety Store </t>
  </si>
  <si>
    <t>Payment for the 1% Retention for payment of different procurement of the Provincial Government of Bataan</t>
  </si>
  <si>
    <t xml:space="preserve">Addisonkyle Trading </t>
  </si>
  <si>
    <t>Payment for the 1% Retention for payment of Radio Communication Equipment</t>
  </si>
  <si>
    <t xml:space="preserve">Alicia D. Pizarro </t>
  </si>
  <si>
    <t>Cash Advance to defray expenses of 2022 Bataan Foundation Day Expenses</t>
  </si>
  <si>
    <t xml:space="preserve">Development Bank of the Philippines </t>
  </si>
  <si>
    <t>Remittance of salary loan installment of Provincial employees  for December 2021</t>
  </si>
  <si>
    <t>Payment of monthly internet subscription plan for the period of August. 17, 2021- December 16, 2021 for NBI-Mariveles Satellite Office in FAB Building, Mariveles, Bataan as part of the Tripartite MOA Among (PGB) Provincial Government of Bataan, (NBI) National Bureau of Investigation, (FAB) Freeport Area of Bataan</t>
  </si>
  <si>
    <t>Payment of monthly internet subscription plan for the period of December. 17, 2021- January 16, 2021 for NBI-Mariveles Satellite Office in FAB Building, Mariveles, Bataan as part of the Tripartite MOA Among (PGB) Provincial Government of Bataan, (NBI) National Bureau of Investigation, (FAB) Freeport Area of Bataan</t>
  </si>
  <si>
    <t xml:space="preserve">Bence Trading </t>
  </si>
  <si>
    <t xml:space="preserve">Berzan Enterprise </t>
  </si>
  <si>
    <t>1% retention for laboratoty reagents for use of ODH</t>
  </si>
  <si>
    <t xml:space="preserve">J.F. Agrivet Supply and Animal Clinic </t>
  </si>
  <si>
    <t>1% retention for dog foods &amp; vitamins for Bomb Detection Dogs of Bataan Provincial Police for July-Dec 2018</t>
  </si>
  <si>
    <t xml:space="preserve">Health and Development Solutions, Inc. </t>
  </si>
  <si>
    <t>1% retention for height Board for use of PHO-Nutrition program</t>
  </si>
  <si>
    <t xml:space="preserve">Dimax Technologies Center </t>
  </si>
  <si>
    <t xml:space="preserve">Macare Medicals, Inc. </t>
  </si>
  <si>
    <t>PAYMENT FOR EMERGENCY PURCHASE OF rt-pcr tEAST kITS WITH FREE USE OF MACHINES FOR THE USE OF MDH DURING COVID-19 EMERGENCY RESPONSE</t>
  </si>
  <si>
    <t xml:space="preserve">Philippine Red Cross </t>
  </si>
  <si>
    <t>Payment of blood serve fee for the blood and blood products supplied in Orani District Hospital for November 2021</t>
  </si>
  <si>
    <t>Payment of Internet Subscription to PLDT under Billing Account 0278698671 and Telephone Subscription to PLDT under Billing Accounts 0277357615 and 0277359928 for the period November 17, 2021-December 16, 2021 for the use of Mariveles District Hospital</t>
  </si>
  <si>
    <t>Payment of electric bills for the month of November 2021 (ODH,JCPMH,Luminaire-Pilar,&amp;BCMH)</t>
  </si>
  <si>
    <t>Payment of electric bill of 1Bataan Command Center, Orani for the month of November 2021</t>
  </si>
  <si>
    <t>Payment of Electric Bill of J.C. Payumo Memorial Hospital for the month of November 2021</t>
  </si>
  <si>
    <t xml:space="preserve">Albert S. Garcia </t>
  </si>
  <si>
    <t>Reimbursement of his expenses incurred in the payment of car maintenance check up of service vehicle Grand Starex with plate no. KO-P403</t>
  </si>
  <si>
    <t>Payment of participation fee for the repair of service vehilce van with conduction sticker FOC 164</t>
  </si>
  <si>
    <t>Repleishment of revolving fund for payment of donations of indigents constituents in the Province of Bataan for the period of January 4-5, 2022</t>
  </si>
  <si>
    <t xml:space="preserve">Hector T. Santos, MD. </t>
  </si>
  <si>
    <t>Reimbursement of the amount paid for the parts and labor for the 110,000 KM preventive maintenance check up of Nissan Urvan NV350 NAO-4147 for the use of MDH</t>
  </si>
  <si>
    <t xml:space="preserve">Nadera, Victor Emmanuel Carmelo D. </t>
  </si>
  <si>
    <t>Payment of Economic Relief Assistance 2021</t>
  </si>
  <si>
    <t>Payment of Internet Bill for the period covering December 22, 2021 to January 21, 2022</t>
  </si>
  <si>
    <t xml:space="preserve">Paolo Renato Agna </t>
  </si>
  <si>
    <t>Payment of Hazard Pay during ECQ and MECQ from September 1- October 31, 2021</t>
  </si>
  <si>
    <t xml:space="preserve">Chalor Howell S. Icban </t>
  </si>
  <si>
    <t>To Reimburse his expenses incurred in the payment of Internet Subscription of Jose Payumo Dinalupihan (Special Assistance Program Office) Period Covered April 2021 and May 2021</t>
  </si>
  <si>
    <t xml:space="preserve">Marisa Balderia </t>
  </si>
  <si>
    <t>To refund amount due to taxpayer for real p[roperty tax payment</t>
  </si>
  <si>
    <t xml:space="preserve">Landbank of the Philippines </t>
  </si>
  <si>
    <t>To payment for Ten (10) pcs. Commercial Check Books</t>
  </si>
  <si>
    <t>Remittance of salary &amp; rice loan installment of JO employees for December 2021</t>
  </si>
  <si>
    <t xml:space="preserve">Social Security System </t>
  </si>
  <si>
    <t>Remittance of SSS contribution of JO employees for December 2021</t>
  </si>
  <si>
    <t xml:space="preserve">Noraliza R. Alvarez </t>
  </si>
  <si>
    <t>Donation for and in behalf of the deceased Barangay Tanod Bonifacio Jr. A. Rubias of Baranagay Alasasin, Mariveles, Bataan</t>
  </si>
  <si>
    <t>Remittance of Pag-ibig MPL &amp; calamity loan JO employees  December 2021</t>
  </si>
  <si>
    <t>Remittance of Pag-ibig contribution JO employees  for December 2021</t>
  </si>
  <si>
    <t xml:space="preserve">Vanessa Oliveros </t>
  </si>
  <si>
    <t>Payment of Hazard Pay during ECQ and MECQ from August 1- October 31, 2021</t>
  </si>
  <si>
    <t xml:space="preserve">Freelance Network Marketing Business &amp; General Services </t>
  </si>
  <si>
    <t>1% retention for zoological supplies for vaccination &amp; animal treatment</t>
  </si>
  <si>
    <t xml:space="preserve">Pre-An's Enterprises </t>
  </si>
  <si>
    <t>Ans' Enterprises-1% retention for zoological supplies for vaccination &amp; animal treatment</t>
  </si>
  <si>
    <t xml:space="preserve">Quezon's Furniture &amp; Trading </t>
  </si>
  <si>
    <t>1% retention for 18 pieces of pedestalsteel cabinet with 3 drawers gray for use of SP staff</t>
  </si>
  <si>
    <t xml:space="preserve">JTIM Enterprises </t>
  </si>
  <si>
    <t xml:space="preserve">Victoria Builders and Trading </t>
  </si>
  <si>
    <t>Labor &amp; Materials for widening of Maluya Road Central Balanga City Bataan</t>
  </si>
  <si>
    <t xml:space="preserve">ARB Pharmaceutical </t>
  </si>
  <si>
    <t>1% retention for passbox for PCR laboratory at MDH for COVID-19 emergency response</t>
  </si>
  <si>
    <t xml:space="preserve">RBM Enterprises </t>
  </si>
  <si>
    <t xml:space="preserve">SM Agri-Mac Trading </t>
  </si>
  <si>
    <t>1% retention for agricultural production &amp; post harvest machinery &amp; equipment</t>
  </si>
  <si>
    <t xml:space="preserve">Arayem Trade </t>
  </si>
  <si>
    <t>1% retention for 1 unit copier machine heavy duty to be used at the Vice gov</t>
  </si>
  <si>
    <t xml:space="preserve">Philcopy Corporation </t>
  </si>
  <si>
    <t>Payment of cash advance for market purchases of Jose C. Payumo Memorial Hospital for CY 2022</t>
  </si>
  <si>
    <t>Payment of Fidelity Bond of Juliana D. Almero</t>
  </si>
  <si>
    <t>Payment of fidelity bond premium of bonded personnel in Provincial Treasurer's Office</t>
  </si>
  <si>
    <t xml:space="preserve">Maria Khristine dela Fuente </t>
  </si>
  <si>
    <t>Reimbursement of the amount paid for fuel consumption of the government vehicle Ford Everest IP 0770 for the month of December 2021</t>
  </si>
  <si>
    <t xml:space="preserve">Gena A. Abara, MD, MHA </t>
  </si>
  <si>
    <t>Cash Advance payment for incidental expenses of Jose C. Payumo Memorial Hospital for CY 2022</t>
  </si>
  <si>
    <t>Payment of Fire Insurance covering the : 1.1Bataan Command Center (Bulding) 2.Bataan General Hospital Annex (Provincial Capitol Building) 3.NBI Building</t>
  </si>
  <si>
    <t>Reimbursement of his expenses incurred in the payment of various expenses in the Office of the Governor dated November 9,10,15 and December 3, 2021</t>
  </si>
  <si>
    <t>To Reimburse his expenses the payment of dried goods given to Medical Partners of the Provincial Government of Bataan for Medical Assistance Program</t>
  </si>
  <si>
    <t xml:space="preserve">Dexter B. Dominguez </t>
  </si>
  <si>
    <t>Payment of his service rendered for the month of December 2021</t>
  </si>
  <si>
    <t>Remittance of philhealth contribution of consultants for Dec 2021</t>
  </si>
  <si>
    <t>Provincial Government of Bataan - NoCap Trust Fund</t>
  </si>
  <si>
    <t>TRANSFER THE AMOUNT OF INITIAL DEPOSIT TO BE USED FOR THE OPENING OF TRUST FUND CHECKING ACCOUNT FOR NO CONTACT APPREHENSION PROGRAM</t>
  </si>
  <si>
    <t xml:space="preserve">Ma. Lourdes B. Dilig </t>
  </si>
  <si>
    <t>Cash advance for payment of petty cash fund as per SP Resolution No. 028 dated January 15, 2020</t>
  </si>
  <si>
    <t xml:space="preserve">Victor B. Ubaldo </t>
  </si>
  <si>
    <t xml:space="preserve"> Reimb. amount paid for the Snacks for Year-end Assembly of PG-ENRO on December 16, 2021</t>
  </si>
  <si>
    <t xml:space="preserve">Maritesse SD. Teopengco, MD. </t>
  </si>
  <si>
    <t>Reimbursement of the amount paid for payment of Meals for Year End Assessment of Strategic Initiative and Whirlwind for 2021 and Planning 2022 of Bagac Community and Medicare Hospital on December 17, 2021</t>
  </si>
  <si>
    <t>Replenishment of Revolving Fund for payment of donations of indigents constituents in the Province of Bataan (January 6-7, 2022)</t>
  </si>
  <si>
    <t xml:space="preserve">Romano L. Del Rosario </t>
  </si>
  <si>
    <t>Reimbursement of Meals for the Regular Session of Sangguniang Panlalawigan on November 22, 2021</t>
  </si>
  <si>
    <t>Reimbursement of  Snacks and Meals to be served during the Mobile Blood Donation of Orani District Hospital on November 25, 2021</t>
  </si>
  <si>
    <t xml:space="preserve">Engr. Johanna R. Dizon </t>
  </si>
  <si>
    <t>Reimbursement of Snack &amp; Lunch to be served in the Seed Inspectors &amp; Seed Growers Quarterly meeting to be held on December 15, 2021 at the 4th Floor Bunker Building Capitol Balanga City, Bataan</t>
  </si>
  <si>
    <t xml:space="preserve">Johanna R. Dizon </t>
  </si>
  <si>
    <t>Reimbursement of Snacks &amp; Lunch to be served in the RIC training demonstration on Food/Fruits/Vegetables Processing to be held on December 14, 2021</t>
  </si>
  <si>
    <t>Reimbursement of his expenses and tokens incurred in the payment of various expenses for medical assistance dated October 16 &amp; November 3,4 &amp; 5,2021</t>
  </si>
  <si>
    <t>Reimbursement of his expenses incurred in the payment of car maintenance check up of service vehicle Toyota  Fortuner with plate no. S1-S834</t>
  </si>
  <si>
    <t>Reimbursement of Parts &amp; labor for the 140,000 km preventive maintenance check-up for Ford Everest IO-4423 c/o BM Manuel N. Beltran</t>
  </si>
  <si>
    <t>Reimbursement of his expenses and tokens incurred in the payment of various expenses for Medical Assistance dated November 19, 2021</t>
  </si>
  <si>
    <t>Reimbursement of his expenses incurred in the payment of various expenses for medical assistance dated September 26, October 23, November 23,26,28,29 December 3 and 4, 2021</t>
  </si>
  <si>
    <t>To Reimburse his expenses incurrd in thw payment of meals for Vaccination Team at People Center</t>
  </si>
  <si>
    <t xml:space="preserve">Philger Noel B. Inovejas </t>
  </si>
  <si>
    <t>Payment of allowance in Regional Trial Court for the month of December 2021</t>
  </si>
  <si>
    <t xml:space="preserve">Cherry F. Sanchez </t>
  </si>
  <si>
    <t xml:space="preserve">Leo L. Visitacion </t>
  </si>
  <si>
    <t xml:space="preserve">Perlito R. Bautista </t>
  </si>
  <si>
    <t xml:space="preserve">Marian M. Diwa </t>
  </si>
  <si>
    <t>Payment of allowance as Clerk of Court II of MTC Abucay, Bataan for the month of December 2021</t>
  </si>
  <si>
    <t>Payment of allowance for the month of December 2021</t>
  </si>
  <si>
    <t xml:space="preserve">Thea Marie S. Malcampo </t>
  </si>
  <si>
    <t xml:space="preserve">Kenneth Cube Paguio </t>
  </si>
  <si>
    <t xml:space="preserve">Sherlyn L. Ragasa </t>
  </si>
  <si>
    <t xml:space="preserve">Atty. Francis S. Mandocdoc </t>
  </si>
  <si>
    <t>Payment of Provincial Allowance for the month of December 2021</t>
  </si>
  <si>
    <t xml:space="preserve">Rofel Princess E. Espino </t>
  </si>
  <si>
    <t xml:space="preserve">Fatima Leoan T. Lumabas </t>
  </si>
  <si>
    <t xml:space="preserve">Stacy Anne V. Pagarigan </t>
  </si>
  <si>
    <t xml:space="preserve">Donnabelle B. Sierra </t>
  </si>
  <si>
    <t xml:space="preserve">Fatima Naryl K. Pogongan </t>
  </si>
  <si>
    <t xml:space="preserve">Darwin A. Delatado </t>
  </si>
  <si>
    <t xml:space="preserve">Gay D. Gonzaga </t>
  </si>
  <si>
    <t xml:space="preserve">Nestly A. Querubin </t>
  </si>
  <si>
    <t xml:space="preserve">Abigael R. Chavez </t>
  </si>
  <si>
    <t xml:space="preserve">April Jacob C. Castro </t>
  </si>
  <si>
    <t xml:space="preserve">James P. Bendaen </t>
  </si>
  <si>
    <t xml:space="preserve">Wilhelmina M. Diwa </t>
  </si>
  <si>
    <t xml:space="preserve">Edcar T. Latauan </t>
  </si>
  <si>
    <t xml:space="preserve">Sheena Esteban-Bartolome </t>
  </si>
  <si>
    <t>Bartolome- Payment of Provincial Allowance for the month of December 2021</t>
  </si>
  <si>
    <t xml:space="preserve">Romeo E. Bonifacio, Jr. </t>
  </si>
  <si>
    <t xml:space="preserve">Eden C. Bautista </t>
  </si>
  <si>
    <t>Payment of her RIC Allowance for the month of December 2021</t>
  </si>
  <si>
    <t xml:space="preserve">Catalina O. Sumandal </t>
  </si>
  <si>
    <t xml:space="preserve">Violeta M. Rodrigo </t>
  </si>
  <si>
    <t>DONATION TO MARIA RODRIGO FOR HIS BURIAL EXPENSES QR: 1214210019</t>
  </si>
  <si>
    <t xml:space="preserve">Keesha Camille D. Del Rosario </t>
  </si>
  <si>
    <t xml:space="preserve">Emmanuel A. Silva </t>
  </si>
  <si>
    <t xml:space="preserve">Evangeline B. Antonio </t>
  </si>
  <si>
    <t xml:space="preserve">Paladin E. Palad </t>
  </si>
  <si>
    <t xml:space="preserve">Allan J. Balingit </t>
  </si>
  <si>
    <t xml:space="preserve">Rosario R. Baluyot </t>
  </si>
  <si>
    <t>Payment of Allowance for the month of December 2021</t>
  </si>
  <si>
    <t xml:space="preserve">Amelita Cruz-Corpuz </t>
  </si>
  <si>
    <t xml:space="preserve">Kim Israel S. Buhain </t>
  </si>
  <si>
    <t xml:space="preserve">Edralin F. Medina </t>
  </si>
  <si>
    <t xml:space="preserve">James Michael E. Esteban </t>
  </si>
  <si>
    <t xml:space="preserve">Joel M. Magtuloy </t>
  </si>
  <si>
    <t xml:space="preserve">Ma. Paulette S. de Leon </t>
  </si>
  <si>
    <t xml:space="preserve">Jay-Ar M. Magpayo </t>
  </si>
  <si>
    <t>Ar M. Magpayo- Payment of Allowance for the month of December 2021</t>
  </si>
  <si>
    <t xml:space="preserve">Carlito V. Amistoso </t>
  </si>
  <si>
    <t xml:space="preserve">Rovelyn B. Baluyot </t>
  </si>
  <si>
    <t xml:space="preserve">Estela S. Oliveria </t>
  </si>
  <si>
    <t xml:space="preserve">Emmanuel N. Larioza </t>
  </si>
  <si>
    <t xml:space="preserve">Ma. Cristina J. Mendoza-Pizarro </t>
  </si>
  <si>
    <t>PIZARRO-Payment of allowance for the month of December 2021</t>
  </si>
  <si>
    <t xml:space="preserve">Minerva A. Jimenez-Ines </t>
  </si>
  <si>
    <t>Ines-Payment of allowance for the month of December 2021</t>
  </si>
  <si>
    <t>Payment of Internet Landline of Jose C. Payumo Memorial Hospital for the period of December 22, 2021 to January 21, 2022</t>
  </si>
  <si>
    <t>Payment of Insurance of Five (5) units service vehicle owned by Provincial Government of Bataan</t>
  </si>
  <si>
    <t xml:space="preserve">Luz R. Enriquez </t>
  </si>
  <si>
    <t>Reimbursement of mobile expenses for the period of October 15, 2021 to November 14, 2021 and November 15, 2021 to December 14, 2021 paid on January 5, 2022</t>
  </si>
  <si>
    <t xml:space="preserve">John Erik B. Macatangay </t>
  </si>
  <si>
    <t xml:space="preserve">Hector T. Santos, MD, MHA </t>
  </si>
  <si>
    <t>Reimbursement for Payment in Liscensing (LTO) of Mariveles District Hospital</t>
  </si>
  <si>
    <t>Reimbursement of his expenses incurred in the payment of Acrylic Signage Logo were used for the Wall of Pledgers to Office of the Special Assistance Program (SAP) and 1Bataan Malasakit Dialysis Assistance (1BMDA) last November 25, 2021</t>
  </si>
  <si>
    <t>Reimbursed payment for Renewal of Level I Hospital for One stop-shop government hospital of JPMH licensing under OR# 9258928 dated December 15, 2021</t>
  </si>
  <si>
    <t xml:space="preserve">Jeffrey T. Calma </t>
  </si>
  <si>
    <t>Reimbursement the amount paid for LTO Registration of nineteen (19) service vehicle owned by PGB</t>
  </si>
  <si>
    <t xml:space="preserve">Emelita R. Estigoy </t>
  </si>
  <si>
    <t>Reimbursement for Payment of Water Analysis of Mariveles District Hospital</t>
  </si>
  <si>
    <t xml:space="preserve">Armando T. Pascasio </t>
  </si>
  <si>
    <t>Payment of his last salary for the month of September 1-5, 2021</t>
  </si>
  <si>
    <t xml:space="preserve">Marjorie Faye D. Sucgang </t>
  </si>
  <si>
    <t>Payment of Hazard Pay during ECQ and MECQ from September 1 to October 15, 2021</t>
  </si>
  <si>
    <t xml:space="preserve">Jessel S. Quirequire </t>
  </si>
  <si>
    <t xml:space="preserve">Louise Claire A. Navoa </t>
  </si>
  <si>
    <t>Payment of Hazard pay during ECQ and MECQ from June 16 to August 31, 2021</t>
  </si>
  <si>
    <t xml:space="preserve">Gladys Mae M. De Vera </t>
  </si>
  <si>
    <t>Payment of Hazard Pay during MECQ for September 2021</t>
  </si>
  <si>
    <t xml:space="preserve">Gellene's Meat Shop </t>
  </si>
  <si>
    <t>Payment  of assorted meat and processed food for the consumption of inmates of Bataan District Jail within the period of November 1-10, 2021</t>
  </si>
  <si>
    <t xml:space="preserve">Chubab's Marine Products Trading </t>
  </si>
  <si>
    <t>Payment of assorted marine products for the consumption of inmates of Bataan District Jail within the period of November 1-10, 2021</t>
  </si>
  <si>
    <t>Reimbursement of the amount paid for appliances for World Teacher's Day celebration on October 05, 2021</t>
  </si>
  <si>
    <t xml:space="preserve">Alberto S. Venturina, D.V.M. </t>
  </si>
  <si>
    <t>Reimb.amount paid for  Meat Processing and Packaging Demonstration in Four (4) Municipalities</t>
  </si>
  <si>
    <t xml:space="preserve">Michelle Caraig </t>
  </si>
  <si>
    <t>Reimbursement of the amount paid for Snacks for the beneficiaries of DOLE- TUPAD Orientation for the month of August 2021</t>
  </si>
  <si>
    <t>Reimbursement of the amount paid for the parts and labor for 75,000km preventive maintenance check up of Hyundai starex MP9073 service vehicle of COA owned by the Provincial Government of Bataan</t>
  </si>
  <si>
    <t xml:space="preserve">Marilyn C. Tigas </t>
  </si>
  <si>
    <t>Reimbursement for cash subsidy re: Virtual Day Care Workers/ Teachers General Assembly dated December 16, 2021</t>
  </si>
  <si>
    <t>Reimbursement of Payment for Orani District Hospital License to Operate a Clinical Laboratory and Ambulance Service</t>
  </si>
  <si>
    <t xml:space="preserve">Gay T. Escalada-Clavel </t>
  </si>
  <si>
    <t>Payment of allowance in the Regional Trial Court of Bataan- Branch 3 for the month of December 1-31, 2021</t>
  </si>
  <si>
    <t xml:space="preserve">Constantino S. Molinar </t>
  </si>
  <si>
    <t xml:space="preserve">Marion Jacqueline P. Poblete </t>
  </si>
  <si>
    <t>Payment of allowance for the period of December, 2021</t>
  </si>
  <si>
    <t xml:space="preserve">Jenny Vi C. Trinidad-Laygo </t>
  </si>
  <si>
    <t xml:space="preserve">Genseric Gerard E. Macapanpan </t>
  </si>
  <si>
    <t xml:space="preserve">John Ruiz L. Gatchalian </t>
  </si>
  <si>
    <t xml:space="preserve">Jocelyn B. Fuentes </t>
  </si>
  <si>
    <t>Cash Advance to defray payment of Daily Market Purchase expenses of Orani District Hospital for CY 2022</t>
  </si>
  <si>
    <t xml:space="preserve">Atty. Edlyn T. Almario </t>
  </si>
  <si>
    <t xml:space="preserve">Christopher B. Cale </t>
  </si>
  <si>
    <t xml:space="preserve">Ana Florence Cuntapay-Oamil </t>
  </si>
  <si>
    <t xml:space="preserve">Juliet Sangalang-Salaria </t>
  </si>
  <si>
    <t xml:space="preserve">Ludivino Joseph Augusto L. Tobias Jr. </t>
  </si>
  <si>
    <t xml:space="preserve">Rolando Tungol </t>
  </si>
  <si>
    <t xml:space="preserve">Marlene R. Garcia </t>
  </si>
  <si>
    <t>Payment of her Salary and PERA for the period of November to December 2021 and PEI, CNA, and ERA for the year 2021</t>
  </si>
  <si>
    <t xml:space="preserve">Toyota Bataan, Inc. </t>
  </si>
  <si>
    <t>Payment of participation fee for the repair of service vehicle 2021 Toyota Hiace Super Grandia with Conduction Sticker No. S2Q007</t>
  </si>
  <si>
    <t xml:space="preserve">Alyanna Marie T. Pascual </t>
  </si>
  <si>
    <t>Payment of her salary from December 18-31, 2021</t>
  </si>
  <si>
    <t xml:space="preserve">Cherry G. Chavez </t>
  </si>
  <si>
    <t xml:space="preserve">Hon. Judge Ma. Lourdes Eltanal-Ignacio </t>
  </si>
  <si>
    <t xml:space="preserve">Ma. Luisa F. Corona </t>
  </si>
  <si>
    <t>DONATION TO FLORIZEL FRIAS FOR HIS BURIAL EXPENSES QR: 1214210025</t>
  </si>
  <si>
    <t xml:space="preserve">Arra Robea O. Adrados </t>
  </si>
  <si>
    <t>DONATION TO CLIENT AND VANCE ARO GALSIM FOR THEIR HOSPITAL BILLS QR: 1214210018</t>
  </si>
  <si>
    <t xml:space="preserve">Rosel Ann A. Dragon </t>
  </si>
  <si>
    <t>DONATION TO TONI ROSE ARAGON FOR HER HOSPITAL BILL QR: 1214210001</t>
  </si>
  <si>
    <t xml:space="preserve">Bernadette Q. Flores </t>
  </si>
  <si>
    <t>DONATION TO ZHEN ARCI FLORES FOR HIS HOSPITAL BILL QR: 1214210011</t>
  </si>
  <si>
    <t xml:space="preserve">Reynalyn O. Bundang </t>
  </si>
  <si>
    <t>DONATION TO REYNALDO OCAMPO FOR HIS HOSPITAL BILL QR: 1215210006</t>
  </si>
  <si>
    <t xml:space="preserve">Jean Suzette Z. Dizon </t>
  </si>
  <si>
    <t>Payment of her salary for the month of June 1-30, 2021 as Administrative Assistant V</t>
  </si>
  <si>
    <t xml:space="preserve">Erickson B. Pincil </t>
  </si>
  <si>
    <t>DONATION TO NUMERIANO PINCIL FOR HIS HOSPITAL BILL QR: 1214210012</t>
  </si>
  <si>
    <t xml:space="preserve">Gina M. Natanawan </t>
  </si>
  <si>
    <t>DONATION TO CERILA MANALO FOR HER HOSPITAL BILL QR: 1214210023</t>
  </si>
  <si>
    <t xml:space="preserve">Sheena R. Muli </t>
  </si>
  <si>
    <t>DONATION TO CRUSETH YVONNE MULI FOR HER MEDICAL NEEDS QR: 1214210021</t>
  </si>
  <si>
    <t xml:space="preserve">Erlinda S. Palomares </t>
  </si>
  <si>
    <t>DONATION TO OSCAR SALAZAR FOR HIS MEDICAL NEEDS QR: 1214210004</t>
  </si>
  <si>
    <t xml:space="preserve">Arlene B. Almario </t>
  </si>
  <si>
    <t>DONATION TO JOEVANNY BASE FOR HIS HOSPITAL BILL QR: 1203210032</t>
  </si>
  <si>
    <t xml:space="preserve">April D. Base </t>
  </si>
  <si>
    <t>DONATION TO EMMAN NOEL ALMARIO FOR HIS HOSPITAL BILL QR: 1203210026</t>
  </si>
  <si>
    <t xml:space="preserve">Joanlyn W. Basi </t>
  </si>
  <si>
    <t>DONATION TO DANILO BASI JR. FOR HIS MEDICAL NEEDS QR: 1207210028</t>
  </si>
  <si>
    <t xml:space="preserve">Abel A. Salonga </t>
  </si>
  <si>
    <t>DONATION TO CLIENT FOR HER MEDICAL NEEDS QR: 1206210016</t>
  </si>
  <si>
    <t xml:space="preserve">Joselito A. Jornal </t>
  </si>
  <si>
    <t>DONATION TO HELEN JORNAL FOR HER HOSPITAL BILL QR: 1206210020</t>
  </si>
  <si>
    <t xml:space="preserve">Anamay R. Aldaba </t>
  </si>
  <si>
    <t>DONATION TO MEYNARD ALDABA FOR HIS BURIAL EXPENSES QR: 1207210032</t>
  </si>
  <si>
    <t xml:space="preserve">Albert R. Dayo </t>
  </si>
  <si>
    <t>DONATION TO ALFREDO DAYO FOR HIS BURIAL EXPENSES QR: 1207210035</t>
  </si>
  <si>
    <t xml:space="preserve">Jennifer M. Andres </t>
  </si>
  <si>
    <t>DONATION TO WILSON ORTIZ FOR HIS BURIAL EXPENSES QR: 1207210030</t>
  </si>
  <si>
    <t xml:space="preserve">Jonas I. Dela Rosa </t>
  </si>
  <si>
    <t>DONATION TO JESPEARL DELA ROSA AND STEPHEN KLAY DELA ROSA FOR THEIR HOSPITAL BILLS QR: 1207210006</t>
  </si>
  <si>
    <t xml:space="preserve">Jerome M. Felipe </t>
  </si>
  <si>
    <t>DONATION TO MARIBEL FELIPE FOR HER HOSPITAL BILL QR: 1207210016</t>
  </si>
  <si>
    <t xml:space="preserve">Josephine M. Capili </t>
  </si>
  <si>
    <t>DONATION TO JOSE GERWIN CAPILI FOR HIS HOSPITAL BILL QR: 1206210007</t>
  </si>
  <si>
    <t xml:space="preserve">Conrado P. Santos </t>
  </si>
  <si>
    <t>DONATION TO CLIENT FOR HIS MEDICAL NEEDS QR: 1202210017</t>
  </si>
  <si>
    <t xml:space="preserve">Eric B. Paguio </t>
  </si>
  <si>
    <t>DONATION TO ROBERTO PAGUIO FOR HIS BURIAL EXPENSES QR: 1202210018</t>
  </si>
  <si>
    <t xml:space="preserve">Rizaldy T. Bozar </t>
  </si>
  <si>
    <t>DONATION TO LUZ BOZAR FOR HER MEDICAL NEEDS</t>
  </si>
  <si>
    <t xml:space="preserve">Rodelyn F. Valencia </t>
  </si>
  <si>
    <t>DONATION TO RODOLFO FABIAN FOR HIS BURIAL EXPENSES</t>
  </si>
  <si>
    <t xml:space="preserve">Wilfredo T. Pascual </t>
  </si>
  <si>
    <t xml:space="preserve">Marilou B. Pelostratos </t>
  </si>
  <si>
    <t xml:space="preserve">Ronald T. Hipolito </t>
  </si>
  <si>
    <t>DONATION TO MARITA HIPOLITO FOR HER BURIAL EXPENSES</t>
  </si>
  <si>
    <t xml:space="preserve">Dennis N. Malixi </t>
  </si>
  <si>
    <t>DONATION TO DOLORA MALIXI FOR HER HOSPITAL BILL</t>
  </si>
  <si>
    <t xml:space="preserve">Ma. Audrea L. Dalay </t>
  </si>
  <si>
    <t>DONATION TO NEMESIO DALAY FOR HIS HOSPITAL BILL</t>
  </si>
  <si>
    <t xml:space="preserve">Mary Jane B. Bantog </t>
  </si>
  <si>
    <t>DONATION TO JEFFREY VILLAZOR FOR HIS BURIAL EXPENSES</t>
  </si>
  <si>
    <t xml:space="preserve">Jennifer B. Diverson </t>
  </si>
  <si>
    <t>DONATION TO MANUEL BUSTAMANTE FOR HIS HOSPITAL BILL AND PROFESSIONAL FEE</t>
  </si>
  <si>
    <t xml:space="preserve">Noel T. Baluyot </t>
  </si>
  <si>
    <t>DONATION TO ESPERANZA BALUYOT FOR HER BURIAL EXPENSES\</t>
  </si>
  <si>
    <t xml:space="preserve">Arsenia F. Frianela </t>
  </si>
  <si>
    <t>DONATION TO KRIZEL FRIANELA FOR HER HOSPITAL BILL QR: 1201210018</t>
  </si>
  <si>
    <t>Payment of Fidelity Bond  of Jose C. Payumo Memorial Hospital personnel for CY 2022</t>
  </si>
  <si>
    <t>Payment of Fidelity Bond Premium of Bonded Personnel in PGO</t>
  </si>
  <si>
    <t>Reimbursement of Meals for Year End Assessment of Strategic Initiative and Whirlwind for 2021 and Planning for 2022 of PSWDO on December 23, 2021 at the PSWDO Conference Room.</t>
  </si>
  <si>
    <t>Reimbursement of Meals for Year End Assessment of Strategic Initiative and Whirlwind for 2021 and Planning for 2022 of Capitol Security and Inteligence Unit on December 18, 2021</t>
  </si>
  <si>
    <t>Reimbursement of Lunch to be served during Year end assessment on December 22, 2021 of the Office of the Provincial Agriculturist</t>
  </si>
  <si>
    <t>Reimbursement of payment made for the meals delivered by Bluepepper Catering during the opening and lighting ceremony of Bataan Tourism Park on December 1, 2021</t>
  </si>
  <si>
    <t>Reimbursement of Emergency Purchases of NBB Patients of Jose C. Payumo Memorial Hospital for the period from January 1, 2022 to January 4, 2022</t>
  </si>
  <si>
    <t>Payment of Insurance of Fourteen (14) units service vehicle owned by Provincial Government of Bataan</t>
  </si>
  <si>
    <t>Reimbursement for payment of Renewal License to Operate a Clinical Laboratory , Infirmary of Facility of Bagac Community and Medicare Hosptai for the year 2022</t>
  </si>
  <si>
    <t>Reimbursement of payment made for the Performers of Tourism Park from December 31, 201 to January 2, 2022</t>
  </si>
  <si>
    <t>Reimbursement of incidental expenses from December 30, 2021 to December 31, 2021 of Jose Payumo Memorial Hospital</t>
  </si>
  <si>
    <t xml:space="preserve">Gloria Medina </t>
  </si>
  <si>
    <t>Donation for and in behalf of the deceased Barangay Tanod Arnold Medina of Ibaba, Samal, Bataan</t>
  </si>
  <si>
    <t xml:space="preserve">Teledatacom Philippines, Inc. </t>
  </si>
  <si>
    <t>Payment for the renewal of Fortigate 200E for the use of security &amp; protection of MBDA Server of 1Bataan Command Center</t>
  </si>
  <si>
    <t xml:space="preserve">Michelle I. Abesamis </t>
  </si>
  <si>
    <t>Cash Advance to the defray Patient's Subsistence expenses of Mariveles District Hospital for CY 2022</t>
  </si>
  <si>
    <t>Cash Advance to the Defray Philhealth No Balance Billing (NBB) of Indigent patients in Mariveles District Hospital for CY 2022</t>
  </si>
  <si>
    <t>Cash Advance to the defray miscellaneous expenses of Mariveles District Hospital for CY 2022</t>
  </si>
  <si>
    <t xml:space="preserve">Alfred John B. Quiroz </t>
  </si>
  <si>
    <t>Payment of Hazard Pay during ECQ and MECQ from  October 1- 31, 2021</t>
  </si>
  <si>
    <t xml:space="preserve">Charlie V. Alba </t>
  </si>
  <si>
    <t>Payment of Hazard Pay during ECQ and MECQ from October 1-31, 2021collections which was previously accounted  JCPMH</t>
  </si>
  <si>
    <t xml:space="preserve">Ramela P. Buensuceso </t>
  </si>
  <si>
    <t>Payment of her 6 days salary for September 2021</t>
  </si>
  <si>
    <t xml:space="preserve">Precious D. Manuel </t>
  </si>
  <si>
    <t>To reimburse his expenses incurred in the payment of Cash Prizes during LakBayani 2021</t>
  </si>
  <si>
    <t xml:space="preserve">Melchor A. Cui </t>
  </si>
  <si>
    <t>Reimbursement of Hotjobs Monthly Web Hosting Fee charge by Amazon Web Services for the month of November 2021 and Web SSL Comodo Certification paid on Dec 21,2021</t>
  </si>
  <si>
    <t xml:space="preserve">Bataan Doctors Hospital and Medical Center Inc. </t>
  </si>
  <si>
    <t>DONATION TO FRINCESS BANTILES AND SAMANTHA ALTHEA BANTILES FOR THEIR HOSPITAL BILLS QR: 1215210010</t>
  </si>
  <si>
    <t xml:space="preserve">Anabelle M. Nolasco </t>
  </si>
  <si>
    <t>DONATION TO MYRNA MARTIAS FOR HER MEDICAL NEEDS] QR: 1214210013</t>
  </si>
  <si>
    <t>DONATION TO ELTON JOHN HOMO FOR HIS HOSPITAL BILL QR: 1215210007</t>
  </si>
  <si>
    <t xml:space="preserve">Raelene del Mundo </t>
  </si>
  <si>
    <t>DONATION TO ARLYN DEL MUNDO FOR HER MEDICAL NEEDS QR: 1214210007</t>
  </si>
  <si>
    <t xml:space="preserve">Jennylyn A. Clarin </t>
  </si>
  <si>
    <t>DONATION TO RODANTE LABRADOR FOR HIS HOSPITAL BILL QR: 1215210008</t>
  </si>
  <si>
    <t xml:space="preserve">Alex Dela Peña Bagtas </t>
  </si>
  <si>
    <t>Reimb. of the amount paid for parts and labor Preventive maintenance change oil &amp; check up 35,000 km for service vehicle Starex CRDI MU 8265 c/o Vice Governor Ma. Christina M. Garcia</t>
  </si>
  <si>
    <t xml:space="preserve">Nancy M. De Lara </t>
  </si>
  <si>
    <t>DONATION TO ALFREDO DE LARA FOR HIS HOSPITAL BILL</t>
  </si>
  <si>
    <t xml:space="preserve">Jennifer D. Martinez </t>
  </si>
  <si>
    <t>DONATION TO CLIENT FOR HIS MEDICAL NEEDS QR: 1214210014</t>
  </si>
  <si>
    <t xml:space="preserve">Dante L. Carreon </t>
  </si>
  <si>
    <t>DONATION TO JOCELYN CARREON FOR HER BURIAL EXPENSES QR: 1214210024</t>
  </si>
  <si>
    <t xml:space="preserve">The Authority of the Freeport Area of Bataan </t>
  </si>
  <si>
    <t>Payment of water bill of MDH for the month of  October and November 2021</t>
  </si>
  <si>
    <t>Reimbursement pmade for the honorarium of performers of Bataan Tourism Park Outreach Performance on Dec 17 &amp; 19,2021</t>
  </si>
  <si>
    <t xml:space="preserve">Dennis Christian D. Villanueva </t>
  </si>
  <si>
    <t>Payment of allowance for the period ofDecember 2021</t>
  </si>
  <si>
    <t xml:space="preserve">Ruel C. De Guzman </t>
  </si>
  <si>
    <t>Payment of allowance in Regional Trial Court of Bataan for the month of December 1-31, 2021</t>
  </si>
  <si>
    <t xml:space="preserve">Roberto M. David </t>
  </si>
  <si>
    <t xml:space="preserve">Atty. Romeo L. De Lemos </t>
  </si>
  <si>
    <t xml:space="preserve">Atty. Rosario E. Gaspar </t>
  </si>
  <si>
    <t xml:space="preserve">Ronald M. Taguinod </t>
  </si>
  <si>
    <t xml:space="preserve">Jose Marie A. Quimboy </t>
  </si>
  <si>
    <t xml:space="preserve">Christine Joy D. Prestoza </t>
  </si>
  <si>
    <t xml:space="preserve">Romeo Joseph M. Gatbunton </t>
  </si>
  <si>
    <t xml:space="preserve">Bataan Today </t>
  </si>
  <si>
    <t>Payment of advertisement and greetings</t>
  </si>
  <si>
    <t xml:space="preserve">Frances O. Cabuquit </t>
  </si>
  <si>
    <t>Payment of service rendered for the month of December 2021</t>
  </si>
  <si>
    <t xml:space="preserve">Karla O. Alba-Alfonso </t>
  </si>
  <si>
    <t xml:space="preserve">Reimond C. Agana </t>
  </si>
  <si>
    <t xml:space="preserve">Romielyn T. Salazar </t>
  </si>
  <si>
    <t xml:space="preserve">Romalyn Joy N. David </t>
  </si>
  <si>
    <t xml:space="preserve">Atty. Leylann Generoso R. Manuel </t>
  </si>
  <si>
    <t>Payment of allowance of the Comelec Field Officers for the month of December 2021</t>
  </si>
  <si>
    <t xml:space="preserve">Maribeth S. Abadecio </t>
  </si>
  <si>
    <t xml:space="preserve">Maritess B. Baltazar </t>
  </si>
  <si>
    <t xml:space="preserve">Arsenia V. Bondoc </t>
  </si>
  <si>
    <t xml:space="preserve">Joy Eleazar A. Caro </t>
  </si>
  <si>
    <t>Reimbursement of accreditation fee renewal of JCPJMH Level 1 Hospital and ABTC for Philhealth Accreditation for January 1, 2022 to December 31, 2022</t>
  </si>
  <si>
    <t xml:space="preserve">Bernadita L. Carreon </t>
  </si>
  <si>
    <t xml:space="preserve">Rossana N. Cruz </t>
  </si>
  <si>
    <t xml:space="preserve">Jenny M. Manalo </t>
  </si>
  <si>
    <t xml:space="preserve">Cristeto S. Manuel </t>
  </si>
  <si>
    <t xml:space="preserve">Hilda R. Rodrigo </t>
  </si>
  <si>
    <t xml:space="preserve">Armi M. Ronquillo </t>
  </si>
  <si>
    <t xml:space="preserve">Melanio C. Sibayan </t>
  </si>
  <si>
    <t xml:space="preserve">Mary Grace A. Viuya </t>
  </si>
  <si>
    <t xml:space="preserve">JCINSP. Manolet L. Data, MPA </t>
  </si>
  <si>
    <t>Payment of his allowance for the month of December 2021</t>
  </si>
  <si>
    <t xml:space="preserve">Richelmina A. Velasco </t>
  </si>
  <si>
    <t xml:space="preserve">Raquel P. Duran </t>
  </si>
  <si>
    <t>- Payment of provincial allowance for the month of December 2021</t>
  </si>
  <si>
    <t xml:space="preserve">Lester G. Sicalag </t>
  </si>
  <si>
    <t>Payment of provincial allowance for the month of December 2021</t>
  </si>
  <si>
    <t xml:space="preserve">Alfredo P. Manasan </t>
  </si>
  <si>
    <t>DONATION FOR THE HOSPITAL BILLS COVERING THE PERIOD DECEMBER 6-10, 2021</t>
  </si>
  <si>
    <t xml:space="preserve">Centro Medico de Santisimo Rosario Inc </t>
  </si>
  <si>
    <t>Donation for the hospital bills covering the period December 6-10, 2021</t>
  </si>
  <si>
    <t xml:space="preserve">Rosa Cecilia G. Andres </t>
  </si>
  <si>
    <t>DONATION TO BLANCHE MARGAUX SISON FOR HER HOSPITAL BILL QR: 1221210011</t>
  </si>
  <si>
    <t xml:space="preserve">Reynato L. Baz Jr. </t>
  </si>
  <si>
    <t>DONATION TO CLIENT FOR HIS HOSPITAL BILL QR: 1220210002</t>
  </si>
  <si>
    <t xml:space="preserve">Mary Anne L. Prado </t>
  </si>
  <si>
    <t>DONATION TO MARIA REGINA LIBANG FOR HER HOSPITAL BILL QR: 1220210025</t>
  </si>
  <si>
    <t xml:space="preserve">Rene D. Cruzada </t>
  </si>
  <si>
    <t>DONATION TO CLIENT FOR HIS HOSPITAL BILL QR: 1221210013</t>
  </si>
  <si>
    <t xml:space="preserve">Ann Sheryl N. Hollis </t>
  </si>
  <si>
    <t>DONATION TO THE CLIENT FOR HER MEDICAL NEEDS QR: 1220210024</t>
  </si>
  <si>
    <t xml:space="preserve">Adorado D. Muega </t>
  </si>
  <si>
    <t>DONATION TO LILIAN MUEGA FOR HER HOSPITAL BILL QR: 1220210022</t>
  </si>
  <si>
    <t xml:space="preserve">Alfredo O. Catanghal </t>
  </si>
  <si>
    <t>DONATION TO CLIENT FOR HIS MEDICAL NEEDS QR: 1220210006</t>
  </si>
  <si>
    <t xml:space="preserve">Consuelo M. Garcia </t>
  </si>
  <si>
    <t>DONATION TO HONORIO GARCIA FOR HIS HOSPITAL BILL AND MEDICAL NEEDS QR: 1220210001</t>
  </si>
  <si>
    <t xml:space="preserve">Vilma S. Gonzales </t>
  </si>
  <si>
    <t>DONATION TO MARIBEL ESTANISLAO FOR HER MEDICAL NEEDS QR: 1221210012</t>
  </si>
  <si>
    <t xml:space="preserve">Christohper L. Aguisanda </t>
  </si>
  <si>
    <t>DONATION TO MA. THERESA AGUISANDA FOR HER HOSPITAL BILL QR: 1220210023</t>
  </si>
  <si>
    <t xml:space="preserve">Rogelio M. Dela Cruz </t>
  </si>
  <si>
    <t>DONATION TO MARIETTA DELA CRUZ FOR HER MEDICAL NEEDS QR: 1220210003</t>
  </si>
  <si>
    <t xml:space="preserve">Norberto B. David </t>
  </si>
  <si>
    <t>DONATION TO ANNALYN DAVID FOR HER HOSPITAL BILL QR: 1214210022</t>
  </si>
  <si>
    <t xml:space="preserve">Rizza G. Malixi </t>
  </si>
  <si>
    <t>DONATION TO RICHELLE GUILA FOR HER HOSPITAL BILL QR: 1214210017</t>
  </si>
  <si>
    <t xml:space="preserve">Ria I. Fabunan </t>
  </si>
  <si>
    <t>DONATION TO CLIENT AND RAM DIZON FOR THEIR HOSPITAL BILLS QR: 1214210010</t>
  </si>
  <si>
    <t xml:space="preserve">Russel R. Narciso </t>
  </si>
  <si>
    <t>DOANTION TO CLIENT FOR HIS MEDICAL NEEDS QR: 1214210016</t>
  </si>
  <si>
    <t xml:space="preserve">Martinez Funeral Home </t>
  </si>
  <si>
    <t>Payment for the funeral services rendered under the Libreng Libing Program for the period November 11,13,30, December 1 &amp; 12, 2021</t>
  </si>
  <si>
    <t>Payment of telephone expenses landline of Orani District Hospital for billing period December 22, 2021- January 21, 2022</t>
  </si>
  <si>
    <t xml:space="preserve">Del Carmen Funeral Services </t>
  </si>
  <si>
    <t>Payment for the funeral services rebderd under the Libreng Libing Program for the period August 28, October 24, November 4,5,12,17, December 10,19, and 21, 202</t>
  </si>
  <si>
    <t xml:space="preserve">Maria Irene Santos </t>
  </si>
  <si>
    <t xml:space="preserve">Liberty F. Tolentino </t>
  </si>
  <si>
    <t>Payment of Hazard Pay for the period of September 1 to October 31, 2021</t>
  </si>
  <si>
    <t xml:space="preserve">Noa S. Oria </t>
  </si>
  <si>
    <t>Payment Economic Relief Assistance 2021</t>
  </si>
  <si>
    <t xml:space="preserve">Maryed Jaicas J. Manrique </t>
  </si>
  <si>
    <t>Payment of her first salary as Security Officer I wiith a monthy rate of P23,877.00 from December 1 to 31, 2021</t>
  </si>
  <si>
    <t xml:space="preserve">Mary Ann Q. Ragel </t>
  </si>
  <si>
    <t>Payment of her first salary as Security Officer III wiith a monthy rate of P23,877.00 from December 1 to 31, 2021</t>
  </si>
  <si>
    <t xml:space="preserve">Kristina P. Cundangan </t>
  </si>
  <si>
    <t>Payment of overtime pay for the month of December 2021</t>
  </si>
  <si>
    <t xml:space="preserve">Efren C. Lizardo </t>
  </si>
  <si>
    <t>Reimbursement for the amount paid for the mobile expenses for the period of June 22 to July 21, July22 to August 21, August 22 to September 21, September 22 to October 21, Ocytober 22 to November 21 and November 22 to December 21, 2021</t>
  </si>
  <si>
    <t xml:space="preserve">Jose R. Colminero </t>
  </si>
  <si>
    <t>Reimbursement for the amount paid for mailed letters and couriers for the month of December 2021</t>
  </si>
  <si>
    <t xml:space="preserve">McBombeth's Flower Shop </t>
  </si>
  <si>
    <t>Payment for corona stand as a gesture of Respect, Condolences and Sympathy to the bereaved family to the deceased in the Province of Bataan for the month of November 2021</t>
  </si>
  <si>
    <t xml:space="preserve">Victoriano B. Sobejana III </t>
  </si>
  <si>
    <t>DONATION TO KAREN FAITH SOBEJANA FOR HER HOSPITAL BILL AND MEDICAL NEEDS QR: 1220210016</t>
  </si>
  <si>
    <t xml:space="preserve">Efren Jr. M. Sartiga </t>
  </si>
  <si>
    <t>DONATION TO MELANIE SARTIGA FOR HER HOSPITAL BILL QR: 1217210012</t>
  </si>
  <si>
    <t xml:space="preserve">Maryneth Joy C. Yago </t>
  </si>
  <si>
    <t>DONATION TO MARIO YAGO FOR HIS BURIAL EXPENSES QR: 1217210006</t>
  </si>
  <si>
    <t xml:space="preserve">Nestor Jr. A. Sotto </t>
  </si>
  <si>
    <t>DONATION TO RICARDO ALFONZO FOR HIS HOSPITAL BILL QR: 0104220036</t>
  </si>
  <si>
    <t xml:space="preserve">Emily S. Nuguid </t>
  </si>
  <si>
    <t>DONATION TO PEDRO SUBA FOR HIS BURIAL EXPENSES QR: 1216210034</t>
  </si>
  <si>
    <t xml:space="preserve">Alma V. Signio </t>
  </si>
  <si>
    <t>DONATION TO PRIAM LEXUS GESTO FOR HIS MEDICAL NEEDS QR: 1217210008</t>
  </si>
  <si>
    <t xml:space="preserve">Lorna S. Cariño </t>
  </si>
  <si>
    <t>DONATION TO MA. LECHA JHUNEL ANNE PUNZALAN FOR HER HOSPITAL BILL QR: 1216210030</t>
  </si>
  <si>
    <t xml:space="preserve">Marielle A. Tuazon </t>
  </si>
  <si>
    <t>DONATION TO LUCILA TUAZON FOR HER MEDICAL NEEDS QR: 1216210027</t>
  </si>
  <si>
    <t xml:space="preserve">Jestina S. Diwa </t>
  </si>
  <si>
    <t>DONATION TO CRISTINA ADRIANO FOR HER MEDICAL NEEDS QR: 1216210024</t>
  </si>
  <si>
    <t xml:space="preserve">Romeo III R. Santos </t>
  </si>
  <si>
    <t>DONATION TO REN ERVIN SANTOS FOR HIS HOSPITAL BILL QR: 1216210029</t>
  </si>
  <si>
    <t xml:space="preserve">Alyssa N. Guinto </t>
  </si>
  <si>
    <t>DONATION TO ARIANNE MIRANDA AND YURIEL MIRANDA FOR THEIR HOSPITAL BILLS QR: 1216210033</t>
  </si>
  <si>
    <t xml:space="preserve">Michelle R. Quezon </t>
  </si>
  <si>
    <t>DONATION TO JOSE QUEZON FOR HIS MEDICAL NEEDS QR: 1216210036</t>
  </si>
  <si>
    <t xml:space="preserve">Charles P. Remocal </t>
  </si>
  <si>
    <t>DONATION TO AL REMOCAL FOR HIS HOSPITAL BILL QR: 1216210022</t>
  </si>
  <si>
    <t xml:space="preserve">Marissa G. Miguel </t>
  </si>
  <si>
    <t>DONATION TO ESPELITA MIGUEL FOR HER HOSPITAL BILL QR: 1216210032</t>
  </si>
  <si>
    <t xml:space="preserve">Yolanda S. Malatumbaga </t>
  </si>
  <si>
    <t>DONATION TO NATIVIDAD RETES FOR HER HOSPITAL BILL QR: 0104220030</t>
  </si>
  <si>
    <t xml:space="preserve">John Paolo S. Medina </t>
  </si>
  <si>
    <t>DONATION TO KIMBERLY MEDINA AND PATRICE KEI MEDINA FOR THEIR HOSPITAL BILLS QR: 0104220029</t>
  </si>
  <si>
    <t xml:space="preserve">Eloei Dyan S. Fabian </t>
  </si>
  <si>
    <t>DONATION TO CLIENT AND RAMIEL FRANCES ROMAN FOR THEIR HOSPITAL BILLS QR: 0104220016</t>
  </si>
  <si>
    <t xml:space="preserve">Lea V. Tolentino </t>
  </si>
  <si>
    <t>DONATION TO LEANDRO VILLANUEVA FOR HIS MEDICAL NEEDS QR: 0104220017</t>
  </si>
  <si>
    <t xml:space="preserve">Arvie G. Valencia </t>
  </si>
  <si>
    <t>DONATION TO RYLE AVRIEL VALENCIA FOR HIS HOSPITAL BILL QR: 0104220018</t>
  </si>
  <si>
    <t xml:space="preserve">Marissa S. Carreon </t>
  </si>
  <si>
    <t>DONATION TO DANILO CARREON FOR HIS HOSPITAL BILL QR: 0104220009</t>
  </si>
  <si>
    <t xml:space="preserve">Editha V. Valencia </t>
  </si>
  <si>
    <t>DONATION TO ZENAIDA VALENCIA FOR HER HOSPITAL BILL QR: 0104220020</t>
  </si>
  <si>
    <t xml:space="preserve">Luis G. Crisostomo </t>
  </si>
  <si>
    <t>DONATION TO JOSEPHINE CRISOSTOMO FOR HER BURIAL EXPENSES QR: 0104220033</t>
  </si>
  <si>
    <t xml:space="preserve">St. Joseph Memorial Services of Balanga Inc. </t>
  </si>
  <si>
    <t>DONATION TO FERNANDO SANDOVAL AND AMELITO MALLARI FOR THEIR BURIAL EXPENSES QR: 0104220031</t>
  </si>
  <si>
    <t xml:space="preserve">Centro Medico de Santisimo Rosario Inc. </t>
  </si>
  <si>
    <t>DONATION FOR THE HOSPITAL BILLS AND MEDICAL NEEDS COVERING THE PERIOD NOVEMBER 29-DECEMBER 3, 2021</t>
  </si>
  <si>
    <t xml:space="preserve">Antonio Ray A. Ortiguerra </t>
  </si>
  <si>
    <t>Donations from PGB, other LGUs, PGB employees &amp; prvate individuals for the typhoon Odette victims</t>
  </si>
  <si>
    <t xml:space="preserve">Ability Prints </t>
  </si>
  <si>
    <t>For Printing of indoor sticker to be used in the Provincial Treasurer's Office</t>
  </si>
  <si>
    <t xml:space="preserve">Ricardo C. Herrera </t>
  </si>
  <si>
    <t>Reimbursement of Meals for Year-End Assessment of Strategic Initiative and Whirlwind for 2021 and Planning for 2022 of The Provincial Assessor's Office on December 21, 2021</t>
  </si>
  <si>
    <t xml:space="preserve">Maria Margarita R. Roque </t>
  </si>
  <si>
    <t>Reimb. of the amount paid for Meals for the Special Session of Sangguniang Panlalawigan on December 10, 2021</t>
  </si>
  <si>
    <t>Payment for the renewal of Zoom Subscription for video conferencing/meeting solution of Provincial Government of Bataan Departments</t>
  </si>
  <si>
    <t>Payment of Internet Subscription to PLDT under Billing Account 0278696871 and Telephone Subscription to PLDT under Billing Accounts 0277357615 and 0277359928 for the period December 17, 2021- January 16, 2022 for the use of Mariveles District Hospital</t>
  </si>
  <si>
    <t>To refund amount pertaining to the balance of fund received by Bataan for Dept of Budget &amp; bayanihan grant</t>
  </si>
  <si>
    <t xml:space="preserve">Abul Khayr Amalon M. Alonto II </t>
  </si>
  <si>
    <t>RATA for the month of January 2022</t>
  </si>
  <si>
    <t>Payment of Electric Bill for the month of November 2021 (Checkpoint- Palihan, Checkpoint-Balsik)</t>
  </si>
  <si>
    <t>Payment of Electric Bill of MULTI PURPOSE CENTER, TILAPIA, Pantingan for the month of November 2021</t>
  </si>
  <si>
    <t>Payment of Electric Bill of ESTABLISHMENT OF PROVINCIAL PLANT (Pilar) for the month of November 2021</t>
  </si>
  <si>
    <t>Payment of Electric bill of PGSO Checkpoint Brgy. Tucop, Dinalupihan, for the month of November 2021</t>
  </si>
  <si>
    <t>Payment for the funeral services rendered under the Libreng Libing Program for the period October 28,29, November 9,10,13 and 19, 2021</t>
  </si>
  <si>
    <t>Payment of electric bill of MBDA relay (Orion) for the month of November 2021</t>
  </si>
  <si>
    <t>PURPOSE COOPERATIVE- Payment for the newspaper subscription for the month of December 2021</t>
  </si>
  <si>
    <t>Payment of electric bill of CCTV for the month of November 2021</t>
  </si>
  <si>
    <t>Payment of electric bill of 1Bataan malasakit Dialysis Center for the month of November 2021</t>
  </si>
  <si>
    <t>Payment of electric bill of various offices, buildings and street lights owned by PGB for the month of November 2021</t>
  </si>
  <si>
    <t>Payment of Telephone Bill of Jose C. Payumo Memorial Hospital for the period of November 22, 2021 to December 21, 2021</t>
  </si>
  <si>
    <t xml:space="preserve">Hermosa Water District </t>
  </si>
  <si>
    <t>Payment of water bill for Balsik checkpoint for the month of December 2021</t>
  </si>
  <si>
    <t xml:space="preserve">Balanga Water District </t>
  </si>
  <si>
    <t>Payment of water bill for bataan tricycle terminal, balanga city for the month of November 2021</t>
  </si>
  <si>
    <t>Payment of electric bill of MDH for the month of November 2021</t>
  </si>
  <si>
    <t>Payment of internet subscription of account number 656849940 for the period of November 17, 2021 to December 16, 2021</t>
  </si>
  <si>
    <t xml:space="preserve">Joven Bautista </t>
  </si>
  <si>
    <t>Cash Prize winner for Logo Making Contest during 2021 Virtual Provincial Cooperative Month Celebration on October 20, 2021</t>
  </si>
  <si>
    <t xml:space="preserve">Archie F. Santos </t>
  </si>
  <si>
    <t>DONATION TO CLIENT FOR HIS PROFESSIONAL FEE AND HOSPITAL BILL QR: 1216210035</t>
  </si>
  <si>
    <t xml:space="preserve">Mark Anthony O. Peria </t>
  </si>
  <si>
    <t>DONATION TO AMIELYN GOLPO FOR HER HOSPITAL BILL QR: 1216210020</t>
  </si>
  <si>
    <t xml:space="preserve">Clarissa L. Santos </t>
  </si>
  <si>
    <t>DONATION TO BENJAMIN SANTOS FOR HIS BURIAL EXPENSES QR: 1216210010</t>
  </si>
  <si>
    <t>DONATION FOR THE HOSPITAL BILLS COVERING THE PERIOD DECEMBER 10, 2021</t>
  </si>
  <si>
    <t xml:space="preserve">Dennis C. Carlos </t>
  </si>
  <si>
    <t>DONATION TO MA. VICTORIA CARLOS FOR HER MEDICAL NEEDS QR: 0104220023</t>
  </si>
  <si>
    <t xml:space="preserve">Eleonor E. Obra </t>
  </si>
  <si>
    <t>DONATION TO ELY OBRA FOR HIS HOSPITAL BILL QR: 0104220027</t>
  </si>
  <si>
    <t xml:space="preserve">Ma. Kate G. Berino </t>
  </si>
  <si>
    <t>DONATION TO CLIENT AND KHAELLE LIAN LANTIN FOR THEIR HOSPITAL BILL QR: 0104220035</t>
  </si>
  <si>
    <t xml:space="preserve">Eden M. Rubiano </t>
  </si>
  <si>
    <t>DONATION TO RAUL MANRIQUE FOR HIS BURIAL EXPENSES QR: 0104220028</t>
  </si>
  <si>
    <t xml:space="preserve">St. Joseph Memorial Services of Balanga, Inc. </t>
  </si>
  <si>
    <t>DONATION TO TEODORO ANZA FOR HIS BURIAL EXPENSES QR: 0104220021</t>
  </si>
  <si>
    <t xml:space="preserve">Imelda E. Bustamante </t>
  </si>
  <si>
    <t>DONATION TO EDWIN BUSTAMANTE FOR HIS HOSPITAL BILL QR: 0104220022</t>
  </si>
  <si>
    <t xml:space="preserve">Annaliza O. Sambas </t>
  </si>
  <si>
    <t>DONATION TO CRISELDA OCBINA FOR HER MEDICAL NEEDS QR: 0104220034</t>
  </si>
  <si>
    <t xml:space="preserve">Alta D. Paguio </t>
  </si>
  <si>
    <t>DONATION TO ROLANDO PAGUIO FOR HIS BURIAL EXPENSES QR: 1220210010</t>
  </si>
  <si>
    <t xml:space="preserve">Norman P. Muli </t>
  </si>
  <si>
    <t>DONATION TO NYMPHA BUCO FOR HER MEDICAL NEEDS QR: 1220210011</t>
  </si>
  <si>
    <t xml:space="preserve">Arlene S. Bautista </t>
  </si>
  <si>
    <t>DONATION TO YISHIN GRACE BAUTISTA FOR HER MEDICAL NEEDS QR: 1220210007</t>
  </si>
  <si>
    <t xml:space="preserve">Honorio M. Samzon </t>
  </si>
  <si>
    <t>DONATION TO CLIENT FOR HIS MEDICAL NEEDS QR: 1217210015</t>
  </si>
  <si>
    <t xml:space="preserve">Kathrina S. De Gracia </t>
  </si>
  <si>
    <t>DONATION TO RONALDO SANCHEZ FOR HIS BURIAL EXPENSES QR: 1217210013</t>
  </si>
  <si>
    <t xml:space="preserve">Marjori Joy A. Larion </t>
  </si>
  <si>
    <t>DONATION TO MINERVA LARION FOR HER MEDICAL NEEDS QR: 1217210014</t>
  </si>
  <si>
    <t xml:space="preserve">Ronald Allan C. Garcia </t>
  </si>
  <si>
    <t>DONATION TO LOLITO GARCIA FOR HIS HOSPITAL BILL QR: 1220210015</t>
  </si>
  <si>
    <t xml:space="preserve">Marites A. Nueva </t>
  </si>
  <si>
    <t>DONATION TO JENNIFER NUEVA FOR HER HOSPITAL BILL</t>
  </si>
  <si>
    <t xml:space="preserve">Josephine N. Solomon </t>
  </si>
  <si>
    <t>DONATION TO AIZA VALERIO FOR HER HOSPITAL BILL</t>
  </si>
  <si>
    <t xml:space="preserve">Rosie C. Perello </t>
  </si>
  <si>
    <t>DONATION TO ROBERTO PERELLO FOR HIS HOSPITAL BILL QR: 1217210005</t>
  </si>
  <si>
    <t xml:space="preserve">Aeriel Josephine B. Joson </t>
  </si>
  <si>
    <t>DONATION TO CLIENT AND IAM MIGUEL JOSON FOR HIS HOSPITAL BILL QR: 1217210004</t>
  </si>
  <si>
    <t>Payment of electric bill of PGSO Checkpoint Brgy. Roosevelt, Dinalupihan, for the month of November 2021</t>
  </si>
  <si>
    <t>Payment of Electric Bills of Bataan People's Center II for the month of November 2021</t>
  </si>
  <si>
    <t xml:space="preserve">Smart Communications, Inc. </t>
  </si>
  <si>
    <t>Payment of mobile expenses for the covered period of November 16 - December 15, 202</t>
  </si>
  <si>
    <t>Payment of internet subscription of account number 656682647 for the period of November 17, 2021 to December 16, 2021</t>
  </si>
  <si>
    <t>Payment of internet subscription of account number 656678917 for the period of November 17, 2021 to December 16, 2021</t>
  </si>
  <si>
    <t>Payment for Mobile expenses for the covered period of November</t>
  </si>
  <si>
    <t>Monthly Subscription fee on ASDN Pri Service for the  911 hotline/876484499 for the month of November 27 to December 26, 2021</t>
  </si>
  <si>
    <t>Payment for Mobile Expenses for the covered period of Novermber, 2021</t>
  </si>
  <si>
    <t>Replenishment of Revolving Fund for payment of donation to indigent constituents from Province of Bataan (January 10-12)</t>
  </si>
  <si>
    <t xml:space="preserve">Bureau of Internal Revenue </t>
  </si>
  <si>
    <t>Payment of Documentary Stamp for processing of transfer tax of a certain parcel of land under OCT No. 038-RO2021000070 (13602) owned by PGB with a total area of 703 sq.m. located at Brgy. Poblacion, Balanga City, Bataan</t>
  </si>
  <si>
    <t xml:space="preserve">Joshua Patrick A. Soriao </t>
  </si>
  <si>
    <t>DONATION TO CLIENT FOR HIS HOSPITAL BILL QR: 0104220026</t>
  </si>
  <si>
    <t>Payment for the monthly subscription of newspaper delivered in Vice Gov and SP Secretariat office for the month of December 2021</t>
  </si>
  <si>
    <t xml:space="preserve">Irma C. Layug </t>
  </si>
  <si>
    <t>DONATION TO THE CLIENT FOR HER MEDICAL NEEDS QR: 1220210017</t>
  </si>
  <si>
    <t xml:space="preserve">Salvador Funeral </t>
  </si>
  <si>
    <t>DONATION TO RUDY CANLAS FOR HIS BURIAL EXPENSES QR: 1215210009</t>
  </si>
  <si>
    <t xml:space="preserve">Rosemarie M. Tumacder </t>
  </si>
  <si>
    <t>DONATION TO ABEL TUMACDER FOR HIS BURIAL EXPENSES QR: 1214210020</t>
  </si>
  <si>
    <t xml:space="preserve">Marilou R. Ramos </t>
  </si>
  <si>
    <t>DONATION TO RONNIE RAMOS FOR HER HOSPITAL BILL QR: 0104220024</t>
  </si>
  <si>
    <t xml:space="preserve">Dennis M. Villaluz </t>
  </si>
  <si>
    <t>DONATION TO LEONOR VILLALUZ FOR HER HOSPITAL BILL QR: 0104220025</t>
  </si>
  <si>
    <t>Reimbursement of gasoline for the period of Nov 2-30,2021</t>
  </si>
  <si>
    <t>Reimbursement of the amount paid for fuel consumption of the government vehicle Ford Everesti IP 0816 for the month of December 2021</t>
  </si>
  <si>
    <t xml:space="preserve">Edgardo P. Calimbas </t>
  </si>
  <si>
    <t>Reimbursement of the amount paid for fuel consumption of the government  vehicle Ford Everest IO 4973 for the month of December 2021</t>
  </si>
  <si>
    <t xml:space="preserve">Ma. Cristina M. Garcia </t>
  </si>
  <si>
    <t>Reimbursement of the amount paid for fuel consumption of the government vehicle Hyundai Starex MU 8265 for the month of December 2021</t>
  </si>
  <si>
    <t xml:space="preserve">Gerardo Ongoco </t>
  </si>
  <si>
    <t>Reimbursement of Labor and Materials for the re-upholstery of seat cover of Isuzu Elf SJA-707 of PEO owned by the Provincial Government of Bataan</t>
  </si>
  <si>
    <t>Payment of assorted marine products for the consumption of inmates of Bataan District Jail within the period of November 11-20, 2021</t>
  </si>
  <si>
    <t>Payment of assorted vegetables products for the consumption of inmates of Bataan District Jail within the period of November 1-10, 2021</t>
  </si>
  <si>
    <t>Payment of LPG-50KGS for the consumption of inmates of Bataan District Jail within the period of December 2021</t>
  </si>
  <si>
    <t>Payment of assorted  meat and processed for the consumption of inmates of Bataan District Jail within the perio dof November 21-30, 2021</t>
  </si>
  <si>
    <t>Payment of assorted  meat and processed for the consumption of inmates of Bataan District Jail within the perio dof November 11-20, 2021</t>
  </si>
  <si>
    <t>Payment of various grocery items for the consumption of inmates of Bataan District Jail within the perio dof November 21-30, 2021</t>
  </si>
  <si>
    <t>Payment of various grocery consumption for the consumption of inmates of Bataan District Jail within the period of November 11-20, 2021</t>
  </si>
  <si>
    <t>Payment of LPG-50kgs for the consumption of inmates of Bataan District Jail within the period of November 2021</t>
  </si>
  <si>
    <t>Payment of various grocery items for the consumption of inmates of Bataan District Jail within the period of November 1-10, 2021</t>
  </si>
  <si>
    <t>To CA for payment of various obligation</t>
  </si>
  <si>
    <t xml:space="preserve">Imelda I. Santiago </t>
  </si>
  <si>
    <t>Allowance for the month of December 2021</t>
  </si>
  <si>
    <t xml:space="preserve">Anabelle D. Claravall </t>
  </si>
  <si>
    <t xml:space="preserve">Dilig, Irish Jasnina T. </t>
  </si>
  <si>
    <t>Payment of Hazard Pay during ECQ and MECQ from September 1 to October 31, 2021</t>
  </si>
  <si>
    <t xml:space="preserve">De Chavez, Leslee F. </t>
  </si>
  <si>
    <t xml:space="preserve">Angelica Claire R. De Leon </t>
  </si>
  <si>
    <t>Payment of Hazard Pay during ECQ and MECQ from June 16 to August 31, 2021</t>
  </si>
  <si>
    <t xml:space="preserve">Zenaida B. Pangilinan </t>
  </si>
  <si>
    <t>Payment of her last salary for September 1-2, 2021</t>
  </si>
  <si>
    <t xml:space="preserve">Reginaldo B. Baltazar </t>
  </si>
  <si>
    <t>DONATION TO JUANITA BALTAZAR FOR HER BURIAL EXPENSES QR: 0103220023</t>
  </si>
  <si>
    <t xml:space="preserve">Hazel D. Alipio </t>
  </si>
  <si>
    <t>DONATION TO RZEL RUTH ALIPIO FOR HER HOSPITAL BILL AND MEDICAL NEEDS QR: 0103220034</t>
  </si>
  <si>
    <t xml:space="preserve">Lorena G. Tolentino </t>
  </si>
  <si>
    <t>DONATION TO RICARDO TOLENTINO FOR HIS HOSPITAL BILL AND PROFESSIONAL FEE QR: 0103220015</t>
  </si>
  <si>
    <t xml:space="preserve">Perlita D. Guevarra </t>
  </si>
  <si>
    <t>DONATION TO VERONICA MUGAR FOR HER HOSPITAL BILL QR: 0103220014</t>
  </si>
  <si>
    <t xml:space="preserve">Erick B. Trinidad </t>
  </si>
  <si>
    <t>DONATION TO MARINELLE TRINIDAD FOR HER HOSPITAL BILL QR: 0103220020</t>
  </si>
  <si>
    <t xml:space="preserve">MArieta P. Angeles </t>
  </si>
  <si>
    <t>DONATION TO BRIGIDA PINGUL FOR HER HOSPITAL BILL QR: 0103220021</t>
  </si>
  <si>
    <t xml:space="preserve">Melvin Joseph C. Francisco </t>
  </si>
  <si>
    <t>DONATION TO ROSARIO FRANCISCO FOR HER HOSPITAL BIL AND MEDICAL NEEDS QR: 0103220022</t>
  </si>
  <si>
    <t xml:space="preserve">Marc Leo T. Crisostomo </t>
  </si>
  <si>
    <t>DONATION TO MARIFE CRISOSTOMO FOR HER HOSPITAL BILL QR: 0103220024</t>
  </si>
  <si>
    <t xml:space="preserve">Edgardo Jr M. Ditche </t>
  </si>
  <si>
    <t>DONATION TO ANGELA DITCHE AND DWAYNE CALLIX DITCHE FOR THEIR HOSPITAL BILLS QR: 0103220025</t>
  </si>
  <si>
    <t xml:space="preserve">Chona S. Bacani </t>
  </si>
  <si>
    <t>DONATION TO MICHAEL LAURENCE BACANI FOR HIS HOSPITAL BILL AND MEDICAL NEEDS QR: 0103220032</t>
  </si>
  <si>
    <t xml:space="preserve">Flordeliza D. Munar </t>
  </si>
  <si>
    <t>DONATION TO ANNE ROSE MUNAR FOR HER HOSPITAL BILL QR: 0103220031</t>
  </si>
  <si>
    <t xml:space="preserve">Blesilda B. Habagat </t>
  </si>
  <si>
    <t>DONATION TO BERNARDO HABAGAT FOR HIS HOSPITAL BILL QR: 0103220027</t>
  </si>
  <si>
    <t xml:space="preserve">Maura G. Enriquez </t>
  </si>
  <si>
    <t>DONATION TO CLIENT FOR HER MEDICAL NEEDS QR: 0103220033</t>
  </si>
  <si>
    <t xml:space="preserve">Aileen P. Loyola </t>
  </si>
  <si>
    <t>DONATION TO KYLA NICOLE PEREZ FOR HER HOSPITAL BILL AND MEDICAL NEEDS QR: 0103220028</t>
  </si>
  <si>
    <t xml:space="preserve">Orion St. Michael Hospital Inc </t>
  </si>
  <si>
    <t>Donation for the hospital bills covering the period December 10, 2021</t>
  </si>
  <si>
    <t xml:space="preserve">Marxis C. Saldaña </t>
  </si>
  <si>
    <t>Donation for and in behalf of the deceased Barangay Tanod Orlando S. Saldana of Barangay East Daan Bago, Samal, Bataan</t>
  </si>
  <si>
    <t xml:space="preserve">Prosecutor Julius Abraham C. Ferrer </t>
  </si>
  <si>
    <t>Payment for Allowance for the period of December 2021</t>
  </si>
  <si>
    <t xml:space="preserve">Prosecutor Maricez J. Ablola-Labang </t>
  </si>
  <si>
    <t xml:space="preserve">Prosecutor Janale A. Salaum </t>
  </si>
  <si>
    <t>Payment for Allowance for the period of December , 2021</t>
  </si>
  <si>
    <t xml:space="preserve">Teresa Cazeñas </t>
  </si>
  <si>
    <t>Payment of Honorarium for the month of November  2021</t>
  </si>
  <si>
    <t xml:space="preserve">Prosecutor Ethel Marie Degollado-Guiua </t>
  </si>
  <si>
    <t xml:space="preserve">Prosecutor Nadine A. Guzman </t>
  </si>
  <si>
    <t xml:space="preserve">Prosecutor Errol A. Primero </t>
  </si>
  <si>
    <t xml:space="preserve">Prosecutor Dindo D. Beber </t>
  </si>
  <si>
    <t xml:space="preserve">Prosecutor Ramoncito Bienvenido T. Ocampo Jr </t>
  </si>
  <si>
    <t>Payment of allowance for the month of December  2021</t>
  </si>
  <si>
    <t xml:space="preserve">Jennifer Salazar </t>
  </si>
  <si>
    <t>Payment of Honorarium for the month of November 2021</t>
  </si>
  <si>
    <t xml:space="preserve">Perla Malabanan </t>
  </si>
  <si>
    <t xml:space="preserve">Elizabeth Cruz </t>
  </si>
  <si>
    <t xml:space="preserve">Arnel Dionisio </t>
  </si>
  <si>
    <t xml:space="preserve">Jocelyn Linao </t>
  </si>
  <si>
    <t xml:space="preserve">Emilia Carpio </t>
  </si>
  <si>
    <t xml:space="preserve">Ronald Dacion </t>
  </si>
  <si>
    <t xml:space="preserve">Chito Regie de Dios </t>
  </si>
  <si>
    <t xml:space="preserve">Serafin Bunsoy Jr </t>
  </si>
  <si>
    <t xml:space="preserve">Aireen Penequito </t>
  </si>
  <si>
    <t xml:space="preserve">John Paul T. Holgado </t>
  </si>
  <si>
    <t>Payment of Hazard pay during ECQ and MECQ from September 1 - October 31, 2021</t>
  </si>
  <si>
    <t>Reimbursement of the amount paid for fuel consumption of the government  vehicle Ford Everest IO 0801 for the month of December 2021</t>
  </si>
  <si>
    <t>Reimbursement of the amount paid for fuel consumption of the government  vehicle Ford Everest IO 0189for the month of December 2021</t>
  </si>
  <si>
    <t xml:space="preserve">Chalor Howell Icban </t>
  </si>
  <si>
    <t>To reimburse his expenses incurred in the payment of internet subscription of Bulwagan ng Bayan (special assistance program office) (April 2021 and May 2021)</t>
  </si>
  <si>
    <t xml:space="preserve">Gena A. Abara MD MHA </t>
  </si>
  <si>
    <t>Reimbursement of Meals for the Year-End Assessment of JMPH on December 22,2021</t>
  </si>
  <si>
    <t xml:space="preserve">Rosalie P. Manubay MD </t>
  </si>
  <si>
    <t>Reimbursement of gasoline, oil and lubricants expenses of ODH from October 1-15, 2021</t>
  </si>
  <si>
    <t>Reimbursement of gasoline. oil and lubricants expenses of Orani District Hospital from November 16-30, 2021</t>
  </si>
  <si>
    <t>Reimbursement of the amount paid for fuel consumption of the government  vehicle Ford Everest C1T417 for the month of December 2021</t>
  </si>
  <si>
    <t xml:space="preserve">Maritesse SD. Teopengco MD </t>
  </si>
  <si>
    <t>Reimbursement for registration and training to  ' Basic Pollution Control Officer's Training and Enviromental Management Seminar for Managing Head @ Global Environment Protection Services Co. on December 13-17, 2021</t>
  </si>
  <si>
    <t xml:space="preserve">Penelco Inc </t>
  </si>
  <si>
    <t>Payment of Electric Bills of BJMP (Mega Processing COVID-19 Facility) for the month of November</t>
  </si>
  <si>
    <t xml:space="preserve">J/INSP Rizza F. Fuentes </t>
  </si>
  <si>
    <t xml:space="preserve">Joseph Noel C. Longboan </t>
  </si>
  <si>
    <t xml:space="preserve">Godofredo B. Galicia Jr </t>
  </si>
  <si>
    <t>Reimbursement of the amount paid for fuel consumption of the government  vehicle Ford Everest C2X097 for the month of December 2021</t>
  </si>
  <si>
    <t>Reimbursement of the amount paid for fuel consumption of the government  vehicle Ford EverestIO 4423 for the month of December 2021</t>
  </si>
  <si>
    <t xml:space="preserve">Noel Joseph L. Valdecañas </t>
  </si>
  <si>
    <t>Reimbursement of the amount paid for fuel consumption of the government  vehicle Ford Everest IO 0800 for the month of December 2021</t>
  </si>
  <si>
    <t xml:space="preserve">Romano L. del Rosario </t>
  </si>
  <si>
    <t>Reimbursement of the amount paid for fuel consumption of the government  vehicle Ford Everest IP 1451 for the month of December 2021</t>
  </si>
  <si>
    <t xml:space="preserve">Rosita Sison </t>
  </si>
  <si>
    <t>Reimbursement of the amount paid for fuel consumption of the government  vehicle Toyota Hilux VU 2619 for the month of December 2021</t>
  </si>
  <si>
    <t xml:space="preserve">Jose C. Villapando Sr. </t>
  </si>
  <si>
    <t>Reimbursement of the amount paid for fuel allowance of Ford Everest IO 9547 for the month of December 2021</t>
  </si>
  <si>
    <t xml:space="preserve">Ludivina G. Banzon </t>
  </si>
  <si>
    <t>Reimbursement of her expenses incurred in the payment of meals/alimango, sugpo, suahe, hipon, and hipon(TUMPOK) During Various Meeting with MALACAñANG STAFF/S and Visitors of Gov. Abet Dated December 29, 2021 and January 06, 2022</t>
  </si>
  <si>
    <t xml:space="preserve">Reynaldo T. Ibe Jr </t>
  </si>
  <si>
    <t>Reimbursement of the amount paid for fuel allowance of Ford Everest IO 8925 for the month of December 2021</t>
  </si>
  <si>
    <t xml:space="preserve">Smart Communications, Inc </t>
  </si>
  <si>
    <t>Payment for mobile expenses for the covered period of Dec 1-31, 2021</t>
  </si>
  <si>
    <t>Reimbursement of gasoline expenses of Jose C. Payumo Memorial Hospital for the period from November 21, 2021 to November 30, 2021</t>
  </si>
  <si>
    <t>Reimbursement of gasoline, oil and lubricants expenses  of Orani District Hospital from September 1-15, 2021</t>
  </si>
  <si>
    <t xml:space="preserve"> Reimbursement of gasoline, oil and lubricants expenses of ODH from September 16-30, 2021</t>
  </si>
  <si>
    <t xml:space="preserve">Bataan St. Joseph Hospital &amp; Medical Center Corp. </t>
  </si>
  <si>
    <t>DONATION FOR THE HOSPITAL BILLS AND MEDICAL NEEDS COVERING THE PERIOD NOVEMBER 29 - DEC. 3, 2021</t>
  </si>
  <si>
    <t>Reimbursement of gasoline, oild and lubricants expenses of Orani District Hospital from November 1-15, 2021</t>
  </si>
  <si>
    <t>Reimbursement of gasoline, oil and lubricants exepsnes of Orani District Hospital from October 16-31, 2021</t>
  </si>
  <si>
    <t>DONATION FOR THE HOSPITAL BILLS AND MEDICAL NEEDS COVERING THE PERIOD DECBMBER 6-10, 2021</t>
  </si>
  <si>
    <t xml:space="preserve">PLDT, Inc </t>
  </si>
  <si>
    <t>Payment of telephone and internet bill for the PHO Jan 6  - Feb 5, 2022</t>
  </si>
  <si>
    <t>Payment of PLDT FIBER for the month of December 22, 2021 to January 21, 2022 in the Provincial Tourism Office</t>
  </si>
  <si>
    <t>Cash advance for various obligation</t>
  </si>
  <si>
    <t xml:space="preserve">Julieta P. Licaros </t>
  </si>
  <si>
    <t>DONATION TO LEONARDO LICAROS FOR HIS HOSPITAL BILL QR: 0104220038</t>
  </si>
  <si>
    <t xml:space="preserve">Zairah Dezza Tierr F. de Castro </t>
  </si>
  <si>
    <t>DONATION TO DELIA GANTIA FOR HER HOSPITAL BILL AND MEDICAL NEEDS QR: 0105220005</t>
  </si>
  <si>
    <t xml:space="preserve">Cornelio M. Navarro </t>
  </si>
  <si>
    <t>DONATION TO CLIENT FOR HIS HOSPITAL BILL QR: 0105220028</t>
  </si>
  <si>
    <t xml:space="preserve">Amparo C. Valencia </t>
  </si>
  <si>
    <t>DONATION TO REYNALDO VALENCIA FOR HIS HOSPITAL BILL QR: 0106220007</t>
  </si>
  <si>
    <t xml:space="preserve">Eliza L. Mangila </t>
  </si>
  <si>
    <t>DONATION TO LESLIE MANGILA FOR HER HOSPITAL BILL QR: 0105220004</t>
  </si>
  <si>
    <t xml:space="preserve">Noli G. Quintana </t>
  </si>
  <si>
    <t>DONATION TO ELSA QUINTANA FOR HER HOSPITAL BILL QR: 0105220029</t>
  </si>
  <si>
    <t xml:space="preserve">Jemalyn C. Napana </t>
  </si>
  <si>
    <t>DONATION TO LITO NAPANA FOR HIS HOSPITAL BILL QR: 0106220005</t>
  </si>
  <si>
    <t xml:space="preserve">Jervynn N. dela Cruz </t>
  </si>
  <si>
    <t>DONATION TO JOSIENESS BALUYOT AND STELLA ALLIA DELA CRUZ FOR THEIR HOSPITAL BILLS\</t>
  </si>
  <si>
    <t xml:space="preserve">Ceejay P. Pamintuan </t>
  </si>
  <si>
    <t>DONATION TO CRISTY SAMANIEGO FOR HER HOSPITAL BILL</t>
  </si>
  <si>
    <t xml:space="preserve">Jhungien B. Talosig </t>
  </si>
  <si>
    <t>DONATION TO PERFECTO BERNARDINO FOR HIS HOSPITAL BILL</t>
  </si>
  <si>
    <t xml:space="preserve">Armina A. Izon </t>
  </si>
  <si>
    <t>DONATION TO RYAN IZON FOR HIS HOSPITAL BILL QR: 0105220017</t>
  </si>
  <si>
    <t xml:space="preserve">John rey C. de Mesa </t>
  </si>
  <si>
    <t>DONATION TO CLIENT FOR HIS MEDICAL NEEDS QR: 0104220040</t>
  </si>
  <si>
    <t xml:space="preserve">Evelyn C. Cruz </t>
  </si>
  <si>
    <t>DONATION TO CLIENT FOR HER MEDICAL NEEDS QR: 0105220012</t>
  </si>
  <si>
    <t xml:space="preserve">Mark Lester T. Diwa </t>
  </si>
  <si>
    <t>DONATION TO MARK ANTHONY DIWA FOR HIS MEDICAL NEEDS QR: 0104220039</t>
  </si>
  <si>
    <t xml:space="preserve">Jomae Angelica M. Elijorde </t>
  </si>
  <si>
    <t>DONATION TO JULIUS MANGAHAS FOR HIS MEDICAL NEEDS QR: 0104220037</t>
  </si>
  <si>
    <t xml:space="preserve">Corazon B. Tomas </t>
  </si>
  <si>
    <t>DONATION TO CARMELITA PIOQUINTO FOR HER BURIAL EXPENSES QR: 0105220013</t>
  </si>
  <si>
    <t xml:space="preserve">Ma. Cecilia C. de Jesus </t>
  </si>
  <si>
    <t>DONATION TO ROLAN DE JESUS FOR HIS BURIAL EXPENSES QR: 0105220021</t>
  </si>
  <si>
    <t>Payment for the funeral services rendered under the Libreng Libing Program for the period December 4,12,18, and 28, 2021</t>
  </si>
  <si>
    <t xml:space="preserve">Christian Paul S. Capati </t>
  </si>
  <si>
    <t>DONATION TO JACOB CEEJAE CAPATI, CHRISTINE JAECEE CAPATI AND CIANALINE JAECEE CAPATI FOR THEIR HOSPITAL BILLS QR: 0104220005</t>
  </si>
  <si>
    <t xml:space="preserve">Marietta R. Reyes </t>
  </si>
  <si>
    <t>DONATION TO ARMANDO REYES FOR HIS HOSPITAL BILL AND MEDICAL NEEDS QR: 0105220016</t>
  </si>
  <si>
    <t xml:space="preserve">Philipp B. Lazaro </t>
  </si>
  <si>
    <t>DONATIONTO PHIA MIRIELLE LAZARO FOR HER HOSPITAL BILL QR: 0105220014</t>
  </si>
  <si>
    <t xml:space="preserve">Jean R. Manalaotao </t>
  </si>
  <si>
    <t>DONATION TO CLIENT FOR HER MEDICAL NEEDS QR: 0105220024</t>
  </si>
  <si>
    <t xml:space="preserve">Conrado E. Santos, Jr. </t>
  </si>
  <si>
    <t>DONATION TO FRANKLIN SANTOS FOR HIS BURIAL EXPENSES QR: 0105220018</t>
  </si>
  <si>
    <t>DONATION FOR THE HOSPITAL BILLS COVERING THE PERIOD DEC. 20-22, 2021</t>
  </si>
  <si>
    <t>DONATION FOR THE HOSPITAL BILLS COVERING THE PERIOD DEC. 21-24, 2021</t>
  </si>
  <si>
    <t>DONATION FOR THE HOSPITAL BILLS COVERING THE PERIOD DEC. 20-24, 2021</t>
  </si>
  <si>
    <t>DONATION FOR THE HOSPITAL BILLS COVERING THE PERIOD DECEMBER 20-24, 2021</t>
  </si>
  <si>
    <t>Reimbursement of her expenses incurred in the payment of meals/alimango, sugpo and hipon during various meeting with NKTI Officials and Visitors of GOV. Abet Dated January 13, 2022</t>
  </si>
  <si>
    <t>Reimbursement of payment for PhilHealth Accreditation Fees of Orani District Hospital for January 01-December 31,2022</t>
  </si>
  <si>
    <t>TECH MOBILE INNOVATION INC.- Payment of internet subscrption plan for vehicle tracker of PEO for the period of January 2022</t>
  </si>
  <si>
    <t>Payment of Plan 300 for employees assigned as monitoring, and analysing COVID 2019 related data in the Province of Bataan Covering period for the month of December 2021</t>
  </si>
  <si>
    <t>Payment of Water Bill of Jose C. Payumo Memorial Hospital, Dialysis for the month of December 2021</t>
  </si>
  <si>
    <t>To Reimburse his expenses incurred in the payment of marine products and styro box for various meetings</t>
  </si>
  <si>
    <t xml:space="preserve">Charito S. Tuazon </t>
  </si>
  <si>
    <t>Payment for the Rice Subsidy of the late Philip S. Tuazon for the period January to June 2021</t>
  </si>
  <si>
    <t>Payment of PLDT Fiber Telephone Bills in the Office of the Sangguniang Panlalawigan Office of (Vice Governor Garcia, Secretary Salazar and Board Member  Dominguez) for the month of December 2021</t>
  </si>
  <si>
    <t>Payment of monthly subscription fee for the services of Internet Connection of Bulwagan ng Bayan covering period June 17 to December 16, 2021</t>
  </si>
  <si>
    <t xml:space="preserve">Delia Dacolo </t>
  </si>
  <si>
    <t>DONATION TO ELMA PARALLAG FOR HER HOSPITAL BILL QR: 0103220030</t>
  </si>
  <si>
    <t xml:space="preserve">Julie Ann S. Dando </t>
  </si>
  <si>
    <t>DONATION TO CAROLINA DANDO FOR HER HOSPITAL BILL QR: 0103220029</t>
  </si>
  <si>
    <t xml:space="preserve">Susana Avendaño </t>
  </si>
  <si>
    <t>DONATION TO CLIENT FOR HER MEDICAL NEEDS QR: 0105220020</t>
  </si>
  <si>
    <t xml:space="preserve">Florentino Jr. M. Vanadero </t>
  </si>
  <si>
    <t>DONATION TO ROSITA VANADERO FOR HER BURIAL EXPENSES QR: 0106220004</t>
  </si>
  <si>
    <t xml:space="preserve">Carousell Flores </t>
  </si>
  <si>
    <t>DONATION TO JULIANA FLORES FOR HER MEDICAL NEEDS QR: 0105220023</t>
  </si>
  <si>
    <t xml:space="preserve">Marjoelyn Tiongco </t>
  </si>
  <si>
    <t>DONATION TO JOSIPHINE TIONGCO FOR HER HOSPITAL BILL QR: 0106220006</t>
  </si>
  <si>
    <t>DONATION TO ALFREDO MALIT, OSCAR FLORES, VIRMA CHAVEZ AND ARIEL PEñA FOR THEIR BURIAL EXPENSES QR: 0105220036</t>
  </si>
  <si>
    <t xml:space="preserve">Reymart Amado </t>
  </si>
  <si>
    <t>DONATION TO CLIENT FOR PURCHASE OF BASIC NECESSITIES QR: 0105220033</t>
  </si>
  <si>
    <t>DONATION TO LOURDES RUBIANO, ILUMINADA CRUZ, FLORENCIO CORDOVA, RODOLFO ESPINO AND VILLAMOR IBON FOR THEIR BURIAL EXPENSES QR: 0103220035</t>
  </si>
  <si>
    <t xml:space="preserve">Jay Nicole Samaniego </t>
  </si>
  <si>
    <t>DONATION TO ROSALINA SAMANIEGO FOR HER BURIAL EXPENSES QR: 0105220022</t>
  </si>
  <si>
    <t xml:space="preserve">Claro de Castro </t>
  </si>
  <si>
    <t>DONATION TO FE DE CASTRO FOR HER B URIAL EXPENSES QR: 0105220015</t>
  </si>
  <si>
    <t>Payment of BIZLOAD for Brgy. Captains assigned as monitoring gathering, and analyzing COVID 2019 related data in the Province of Bataan covering period for the month of January 2022</t>
  </si>
  <si>
    <t>Payment of telephone bill for the month of December 17 to January 16, 2022 in the Provicial Tourism Office</t>
  </si>
  <si>
    <t>Payment of telephone bill for the PHO Nov. 17 - Dec. 16, 2021</t>
  </si>
  <si>
    <t>Payment for the internet subscription of account number 656678917 for the period of December 17, 2021 to January 16, 2022</t>
  </si>
  <si>
    <t>Payment for the internet subscription of account number 656849940 for the period of December 17, 2021 to January 16, 2022</t>
  </si>
  <si>
    <t xml:space="preserve">Maritesse Teopengco </t>
  </si>
  <si>
    <t>Cash advance for incidental expenses, daily market purchases and fund to cover up expenses for NBB patients of BCMH</t>
  </si>
  <si>
    <t xml:space="preserve">Mavis Inc. </t>
  </si>
  <si>
    <t>Payment for the intenet subscrion for the period covered from January 2022</t>
  </si>
  <si>
    <t xml:space="preserve">Bataan Space Cable Network, Inc. </t>
  </si>
  <si>
    <t>Payment for the internet subscription with account number 13544 for th eperiod of December, 2021 to January, 2022 and transfer fee (From BJMP to The Bunker)</t>
  </si>
  <si>
    <t xml:space="preserve">Jonathan A. Minas </t>
  </si>
  <si>
    <t>Donation for participating the Run-Bike-Run at 2021 National Duathlon Trials on December 12, 2021 at Clark Pampanga</t>
  </si>
  <si>
    <t>Converge Information and Communications Technology Solutions Inc.</t>
  </si>
  <si>
    <t>Payment for the internet subscription of account number 656682647 for the period of December 17, 2021 to January 16, 2022</t>
  </si>
  <si>
    <t>Payment of monthly subscription fee for the services of Internet of NBI  Covering Period 12/17 - 1/16/22</t>
  </si>
  <si>
    <t>Payment of monthly subscription fee for the services of Internet of Internet Connection of PIO Covering Period 12/17 - 1/16/22</t>
  </si>
  <si>
    <t xml:space="preserve">Rosalie Manubay </t>
  </si>
  <si>
    <t>Cash Advance to defray miscellaneous expenses and NBB of ODH for CY 2022</t>
  </si>
  <si>
    <t xml:space="preserve">Gena Abara </t>
  </si>
  <si>
    <t>Reimbursement of Emergency Purchases of NBB Patients of JPMH for the period of January 5,2022 to January 7,2022</t>
  </si>
  <si>
    <t>Reimbursement of Emergency Purchases of JPMH from Jan 1 - 6,2022</t>
  </si>
  <si>
    <t xml:space="preserve">Miko Mendiola </t>
  </si>
  <si>
    <t>DONATION TO JENNIE LYN MENDIOLA AND JIANNA MAVERY MENDIOLA FOR THEIR HOSPITAL BILLS QR: 0107220037</t>
  </si>
  <si>
    <t xml:space="preserve">Leticia Roxas </t>
  </si>
  <si>
    <t>DONAITON TO RENATO ROXAS FOR HIS BURIAL EXPENSES QR: 0107220036</t>
  </si>
  <si>
    <t xml:space="preserve">Ortiguerra Funeral Services </t>
  </si>
  <si>
    <t>DONATION TO ROGELIO GACUTAN FOR HIS BURIAL EXPENSES QR: 0107220035</t>
  </si>
  <si>
    <t xml:space="preserve">Mae Ann Cayabyab </t>
  </si>
  <si>
    <t>DONATION TO MIKLEEN CAYABYAB FOR HIS HOSPITAL BILL QR: 0107220031</t>
  </si>
  <si>
    <t xml:space="preserve">Jayson Dela Rama </t>
  </si>
  <si>
    <t>DONATION TO MA. FATIMA DELA RAMA AND MIGUEL ANTONIO DELA RAMA FOR THEIR HOSPITAL BILLS QR: 0107220033</t>
  </si>
  <si>
    <t xml:space="preserve">Hewlett Pearl Bawalan </t>
  </si>
  <si>
    <t>DONATION TO ROLANDO BAWALAN FOR HIS HOSPITAL BILL QR: 0107220034</t>
  </si>
  <si>
    <t xml:space="preserve">Efren Guzman </t>
  </si>
  <si>
    <t>DONATION TO AMELITA GUZMAN FOR HER HOSPITAL BILL QR: 0107220032</t>
  </si>
  <si>
    <t xml:space="preserve">Amelia Enriquez </t>
  </si>
  <si>
    <t>DONATION TO ANTHONY ENRIQUEZ FOR HIS HOSPITAL BILL QR: 0107220023</t>
  </si>
  <si>
    <t xml:space="preserve">Michael Kevin Domingo </t>
  </si>
  <si>
    <t>DONATION TO JEANA KRIS DOMINGO AND JEAN MIKHAEL DOMINGO FOR THEIR HOSPITAL BILLS QR: 0107220001</t>
  </si>
  <si>
    <t xml:space="preserve">Zaldy Cacacho </t>
  </si>
  <si>
    <t>DONATION TO ELIZABETH CACACHO FOR HER HOSPITAL BILL AND MEDICAL NEEDS QR: 0107220025</t>
  </si>
  <si>
    <t xml:space="preserve">Eduardo Tiambeng </t>
  </si>
  <si>
    <t>DONATION TO AURORA TIMBENG FOR HER HOSITAL BILL AND MEDICAL NEEDS QR: 0107220028</t>
  </si>
  <si>
    <t xml:space="preserve">Cristine Rodrigo </t>
  </si>
  <si>
    <t>DONATION TO BENJAMIN RODRIGO JR. FOR HIS HOSPITALBILL AND MEDICAL NEEDS QR: 0107220027</t>
  </si>
  <si>
    <t xml:space="preserve">Ma. Jesusa Amor Hermoso </t>
  </si>
  <si>
    <t>DONATION TO CLIENT FOR HER HOSPITAL BILL QR: 0107220030</t>
  </si>
  <si>
    <t xml:space="preserve">Marriz Gian Nocum </t>
  </si>
  <si>
    <t>DONATION TO CLIENT FOR HER HOSPITAL BILL QR: 0107220029</t>
  </si>
  <si>
    <t xml:space="preserve">Reinalyn Rivera </t>
  </si>
  <si>
    <t>DONATION TO ANGELITA RIVERA FOR HER MEDICAL NEEDS QR: 0107220039</t>
  </si>
  <si>
    <t xml:space="preserve">MJR Funeral Services </t>
  </si>
  <si>
    <t>DONATION TO CHRISTOPHER SIMBULAN FOR HIS BURIAL EXPENSES QR: 0107220021</t>
  </si>
  <si>
    <t xml:space="preserve">Evangeline Montemayor </t>
  </si>
  <si>
    <t>DONATION TO ARSENIA LIBOT FOR HER MEDICAL NEEDS QR: 0107220022</t>
  </si>
  <si>
    <t xml:space="preserve">Armando Bantay </t>
  </si>
  <si>
    <t>DONATION TO AVELINO BANTAY FOR HIS HOSPITAL BILL QR: 1213210019</t>
  </si>
  <si>
    <t xml:space="preserve">Jeffrey Sampang </t>
  </si>
  <si>
    <t>DONATION TO JOVYNES DE LUMEN FOR HER HOSPITAL BILL QR: 1213210018</t>
  </si>
  <si>
    <t xml:space="preserve">Christian dela Rosa </t>
  </si>
  <si>
    <t>DONATION TO JANET RAMOS AND JULIENE PRINCE RAMOS FOR THEIR HOSPITAL BILLS QR: 1213210031</t>
  </si>
  <si>
    <t xml:space="preserve">Fredia Tap-ayao </t>
  </si>
  <si>
    <t>AYAO / LIMAY BATAAN-DONATION TO FIDEL TAP-AYAO FOR HIS HOSPITAL BILL QR: 1213210021</t>
  </si>
  <si>
    <t xml:space="preserve">Chandra Murillo </t>
  </si>
  <si>
    <t>DONATION TO LYDIA ROMERO FOR HER BURIAL EXPESNES QR: 1213210029</t>
  </si>
  <si>
    <t xml:space="preserve">Maribeth Espino </t>
  </si>
  <si>
    <t>DONATION TO CLIENT FOR HER MEDICAL NEEDS QR: 1210210005</t>
  </si>
  <si>
    <t xml:space="preserve">Benny Jr. A. Flores </t>
  </si>
  <si>
    <t>DONATION TO FATIMA CABACUNGAN FOR HER HOSPITAL BILL QR: 0107220024</t>
  </si>
  <si>
    <t xml:space="preserve">John Allen Lar </t>
  </si>
  <si>
    <t>DONATION TO MARYJANE LAR AND ATHAN JARON LAR FOR THEIR HOSPITAL BILLS QR: 1213210022</t>
  </si>
  <si>
    <t xml:space="preserve">Darwin Bautista </t>
  </si>
  <si>
    <t>DONATION TO ROLANDO BAUTISTA FOR HIS BURIAL EXPENSES QR: 1213210030</t>
  </si>
  <si>
    <t xml:space="preserve">Melton Sagum </t>
  </si>
  <si>
    <t>DONATION TO JOSEPHINE MANALO FOR HER MEDICAL NEEDS QR: 1213210026</t>
  </si>
  <si>
    <t xml:space="preserve">S.A. Russel Angeles </t>
  </si>
  <si>
    <t>DONATION TO CLIENT FOR HER HOSPITAL BILL QR: 1213210028</t>
  </si>
  <si>
    <t xml:space="preserve">Ronaldo de Castro </t>
  </si>
  <si>
    <t>DONATION TO MARITES DE CASTRO FOR HER HOSPITAL BILL QR: 1213210024</t>
  </si>
  <si>
    <t xml:space="preserve">Rogelio II R. Diverson </t>
  </si>
  <si>
    <t>DONATION TO EMELIE ENRIQUEZ FOR HER HOSPITAL BILL QR: 1213210027</t>
  </si>
  <si>
    <t xml:space="preserve">Deona May Lopez </t>
  </si>
  <si>
    <t>DONATION TO JULIE FRANCISCO FOR HER HOSPITAL BILL AND MEDICAL NEEDS QR: 1213210017</t>
  </si>
  <si>
    <t xml:space="preserve">Mariel Dionisio </t>
  </si>
  <si>
    <t>DONATION TO MARCEL DIONISIO FOR HIS HOSPITAL BILL QR: 1213210025</t>
  </si>
  <si>
    <t xml:space="preserve">Kevin Ongkengco </t>
  </si>
  <si>
    <t>DONATION TO NOMER ONGKENGCO FOR HIS HOSPITAL BILL QR: 1213210023</t>
  </si>
  <si>
    <t xml:space="preserve">Marybeth Joy Yago </t>
  </si>
  <si>
    <t>DONATION TO MARIO YAGO FOR HIS BURIAL EXPENSES QR: 1203210030</t>
  </si>
  <si>
    <t xml:space="preserve">Ruby Ann Llagas </t>
  </si>
  <si>
    <t>DONATION TO CLIENT FOR HER BURIAL HOSPITAL BILL QR: 1203210017</t>
  </si>
  <si>
    <t xml:space="preserve">Shirley Roxas </t>
  </si>
  <si>
    <t>DONATION TO MILES GWYNETH FOR HER HOSPITAL BILL QR: 1203210038</t>
  </si>
  <si>
    <t xml:space="preserve">Jennifer Jaramilla </t>
  </si>
  <si>
    <t>DONATION TO DANILO BALUYOT FOR HIS BURIAL EXPENSES QR: 1210210025</t>
  </si>
  <si>
    <t xml:space="preserve">Emilio Jr. Dela Cruz Bautista </t>
  </si>
  <si>
    <t>DONATION TO CEDRICK BAUTISTA FOR HIS PROFESSIONAL FEE QR: 1210210027</t>
  </si>
  <si>
    <t xml:space="preserve">Iñego III P. Tabale </t>
  </si>
  <si>
    <t>DONATION TO MATTHEW IñEGO TABALE FOR HIS HOSPITAL BILL QR: 1210210024</t>
  </si>
  <si>
    <t xml:space="preserve">Jhamina-Ann Roberto </t>
  </si>
  <si>
    <t>ANN C. ROBERTO / ORANI BATAAN-DONATION TO ARNEL ROBERTO FOR HIS HOSPITAL BILL QR: 1210210019</t>
  </si>
  <si>
    <t xml:space="preserve">Benjamin Izon </t>
  </si>
  <si>
    <t>DONATION TO ERNESTO IZON FOR HIS HOSPITAL BILL QR: 1210210032</t>
  </si>
  <si>
    <t xml:space="preserve">Raffy Izon </t>
  </si>
  <si>
    <t>DONATION TO ARDIE IZON AND ARGO RAFAEL IZON FOR THEIR HOSPITAL BILLS AND PROFESSIONAL FEE QR: 1210210028</t>
  </si>
  <si>
    <t xml:space="preserve">Maria Cristina Riño </t>
  </si>
  <si>
    <t>DONATION TO JOHN CARLO RIñO FOR HIS HOSPITAL BILL QR: 1210210026</t>
  </si>
  <si>
    <t>Petty cash fund replenishment</t>
  </si>
  <si>
    <t xml:space="preserve">Christel Joy Cruz </t>
  </si>
  <si>
    <t>Donationfor and in behalf of the deceased Tanod Rodolfo M. Cruz of Barangay Bagumbayan, Balanga City, Bataan</t>
  </si>
  <si>
    <t xml:space="preserve">Liga ng mga Barangay sa Pilipinas - Bataan Chapter </t>
  </si>
  <si>
    <t>Subsidy to Liga ng mga Barangay sa Pilipinas Chapter for their Liga different activities for the month of January to April 2022</t>
  </si>
  <si>
    <t>Payment of monthly subscription fee for the services of Internet of Internet Connection of 7th Floor Covering Period 12/17 - 1/16/22</t>
  </si>
  <si>
    <t xml:space="preserve">Ma. Liliosa Oconer </t>
  </si>
  <si>
    <t xml:space="preserve">Minerva Siasat </t>
  </si>
  <si>
    <t>DONATION TO MOISES AMORADO FOR HIS BURIAL EXPENSES</t>
  </si>
  <si>
    <t xml:space="preserve">Reygel Cuellar </t>
  </si>
  <si>
    <t>DONATION TO PRINCESS JOY SANCHEZ AND NAOMI ALLIYAH CUELLAR FOR THEIR HOSPITAL BILLS</t>
  </si>
  <si>
    <t xml:space="preserve">Evangeline Flores </t>
  </si>
  <si>
    <t>DONATION TO JEFFREY FLORES FOR HIS HOSPITAL BILL AND PROFESSIONAL FEE</t>
  </si>
  <si>
    <t xml:space="preserve">Elsa Mananiego </t>
  </si>
  <si>
    <t>DONATION TO MELANIA NICADAO FOR HER HOSPITAL BILL</t>
  </si>
  <si>
    <t xml:space="preserve">Reynaldo Nuguid </t>
  </si>
  <si>
    <t xml:space="preserve">Daniel Victor Fernandez </t>
  </si>
  <si>
    <t>DONATION TO NENITA FERNANDEZ FOR HER HOSPITAL BILL , PROFESSIONAL FEE AND MEDICAL NEEDS</t>
  </si>
  <si>
    <t xml:space="preserve">Rogelio Sr. Dangculos </t>
  </si>
  <si>
    <t>DONATION TO MARIA MAE DANGCULOS FOR HER HOSPITAL BILL AND MEDICAL NEEDS</t>
  </si>
  <si>
    <t xml:space="preserve">Ma. Cristina Suing </t>
  </si>
  <si>
    <t>DONATION TO ANGELITA BERNALES FOR HER MEDICAL NEEDS</t>
  </si>
  <si>
    <t xml:space="preserve">Larricel Manalili </t>
  </si>
  <si>
    <t>DONATION TO ARIA ELORI MANALILI FOR HER HOSPITAL BILL</t>
  </si>
  <si>
    <t xml:space="preserve">Roselia Pagtalunan </t>
  </si>
  <si>
    <t>DONATION TO RALPH ROSEL PAGTALUNAN FOR HIS HOSPITAL BILL AND PROFESSIONAL FEE</t>
  </si>
  <si>
    <t xml:space="preserve">Renato Capili </t>
  </si>
  <si>
    <t>DONATION TO MYRNA PINERO FOR HER HOSPITAL BILL</t>
  </si>
  <si>
    <t xml:space="preserve">Rosalyn Gutierrez </t>
  </si>
  <si>
    <t>DONATION TO ROSALIA MANALANSAN FOR HER HOSPITAL BILL</t>
  </si>
  <si>
    <t xml:space="preserve">Nilda Dabu </t>
  </si>
  <si>
    <t>DONATION TO ROBERTO JR. DABU FOR HIS BURIAL EXPENSES</t>
  </si>
  <si>
    <t xml:space="preserve">Romalyn Ongkengco </t>
  </si>
  <si>
    <t>DONATION TO ALVIN JAIME FOR HIS BURIAL EXPENSES</t>
  </si>
  <si>
    <t xml:space="preserve">Rosanna dela Cruz </t>
  </si>
  <si>
    <t>DONATION TO CHIQUI DELA CRUZ FOR HER HOSPITAL BILL</t>
  </si>
  <si>
    <t xml:space="preserve">Rosanna Perello </t>
  </si>
  <si>
    <t>DONATION TO JOSEFINA MARTINES FOR HER HOSPITAL BILL AND MEDICAL NEEDS</t>
  </si>
  <si>
    <t xml:space="preserve">Margie Diverson </t>
  </si>
  <si>
    <t>DONATION TO GERALDINE CABAIS FOR HER MEDICAL NEEDS</t>
  </si>
  <si>
    <t xml:space="preserve">Rochelle Bacani </t>
  </si>
  <si>
    <t>DONATION TO GIAHANNA THEA BACANI FOR HER BURIAL EXPENSES</t>
  </si>
  <si>
    <t xml:space="preserve">Judy Lynn Medina </t>
  </si>
  <si>
    <t>DONATION TO HERMINIA PEREZ FOR HER BURIAL EXPENSES</t>
  </si>
  <si>
    <t xml:space="preserve">Sheila Mae Ubando </t>
  </si>
  <si>
    <t>DONATION TO ZOSIMA TUYOR FOR HER HOSPITAL BILL</t>
  </si>
  <si>
    <t xml:space="preserve">Ailyn Bernas </t>
  </si>
  <si>
    <t>DONATION TO JOHNY MANGALIMAN JR. FOR HIS MEDICAL NEEDS</t>
  </si>
  <si>
    <t xml:space="preserve">Alicia Lim </t>
  </si>
  <si>
    <t>DONATION TO ALFREDO LIM FOR HIS HOSPITAL BILL</t>
  </si>
  <si>
    <t xml:space="preserve">Silver Mae San Antonio </t>
  </si>
  <si>
    <t>DONATION TO CLIENT AND CHRISTIAN ALBERT SAN ANTONIO FOR THEIR HOSPITAL BILLS</t>
  </si>
  <si>
    <t xml:space="preserve">Marieta Sablay </t>
  </si>
  <si>
    <t>DONATION TO ILUMINADA PASCUAL FOR HER BURIAL EXPENSES</t>
  </si>
  <si>
    <t>DONATION FOR THE HOSPITAL BILLS AND MEDICAL NEEDS COVERING THE PERIOD DEC. 20-23, 2021</t>
  </si>
  <si>
    <t xml:space="preserve">Emelita Mendoza </t>
  </si>
  <si>
    <t>DONATION TO ROGER MENDOZA FOR HIS BURIAL EXPENSES</t>
  </si>
  <si>
    <t xml:space="preserve">Gladys Llorente </t>
  </si>
  <si>
    <t>DONATION TO MARCELA UMALI FOR HER HOSPITAL BILL</t>
  </si>
  <si>
    <t xml:space="preserve">Norlyn Garcia </t>
  </si>
  <si>
    <t>DONATION TO LIANNE FAYE LEYNES FOR HER HOSPITAL BILL</t>
  </si>
  <si>
    <t xml:space="preserve">Angelina Parungao </t>
  </si>
  <si>
    <t xml:space="preserve">Joselito Sanchez </t>
  </si>
  <si>
    <t>DONATION TO MARK JERIC SANCHEZ FOR HIS HOSPITAL BILL</t>
  </si>
  <si>
    <t xml:space="preserve">Angelie de Jesus Pestaño </t>
  </si>
  <si>
    <t>DONATION TO ERNESTO PESTANO FOR HIS BURIAL EXPENSES</t>
  </si>
  <si>
    <t xml:space="preserve">Eden Biag </t>
  </si>
  <si>
    <t>DONATION TO FELICISIMO MAGPOC FOR HIS MEDICAL NEEDS</t>
  </si>
  <si>
    <t xml:space="preserve">Roland Edolmo </t>
  </si>
  <si>
    <t>DONATION TO ALIYAH SAMARA EDOLMO FOR HER HOSPITAL BILL</t>
  </si>
  <si>
    <t xml:space="preserve">April Rose Magnampo </t>
  </si>
  <si>
    <t>DONATION TO SAISY VIDAL FOR HER BURIAL EXPENSES</t>
  </si>
  <si>
    <t xml:space="preserve">Jocelyn Legaspi </t>
  </si>
  <si>
    <t>DONATION TO NORMINDA LEGASPI FOR HER BURIAL EXPENSES</t>
  </si>
  <si>
    <t xml:space="preserve">Annie Perea </t>
  </si>
  <si>
    <t>DONATION TO ORLY EVANGELISTA FOR HIS HOSPITAL BILL</t>
  </si>
  <si>
    <t xml:space="preserve">Lorna Guinto </t>
  </si>
  <si>
    <t>DONATION TO DANILO GUINTO FOR HIS MEDICAL NEEDS</t>
  </si>
  <si>
    <t xml:space="preserve">Ma. Florinda Saldaña </t>
  </si>
  <si>
    <t xml:space="preserve">Marianne Tayag </t>
  </si>
  <si>
    <t>DONATION TO RENATO RAMOS FOR HIS BURIAL EXPENSES</t>
  </si>
  <si>
    <t xml:space="preserve">Ricardo Dizon </t>
  </si>
  <si>
    <t>DONATION TO NATIVIDAD DIZON FOR HER BURIAL EXPENSES</t>
  </si>
  <si>
    <t xml:space="preserve">Chona de Silva </t>
  </si>
  <si>
    <t>DONATION TO CHARLENE MAE DE SILVA FOR HER MEDICAL NEEDS</t>
  </si>
  <si>
    <t xml:space="preserve">Rosanna Wong </t>
  </si>
  <si>
    <t>DONATION TO AMOR PENANO FOR HER HOSPITAL BILL</t>
  </si>
  <si>
    <t>DONATION TO ALBERTO DIMAYUGA FOR HIS BURIAL EXPENSES</t>
  </si>
  <si>
    <t xml:space="preserve">Sharon Dabu </t>
  </si>
  <si>
    <t>DONATION TO ROBER DABU FOR HIS HOSPITAL BILL</t>
  </si>
  <si>
    <t xml:space="preserve">Jhoanne Tolentino </t>
  </si>
  <si>
    <t>DONATION TO DANIEL TOLENTINO FOR HIS BURIAL EXPENSES</t>
  </si>
  <si>
    <t xml:space="preserve">Adelaida Layug </t>
  </si>
  <si>
    <t>DONATION TO FEDERICO LAYUG FOR HIS BURIAL EXPENSES</t>
  </si>
  <si>
    <t xml:space="preserve">Susan Vicente </t>
  </si>
  <si>
    <t>DONATION TO MARIO VICENTE FOR HIS BURIAL EXPENSES</t>
  </si>
  <si>
    <t xml:space="preserve">Adelmo Tolentino </t>
  </si>
  <si>
    <t>DONATION TO ROSA MARIA TOLENTINO FOR HER HOSPITAL BILL</t>
  </si>
  <si>
    <t xml:space="preserve">Cherry May Gamueda </t>
  </si>
  <si>
    <t>DONATION TO RICO GAMUEDA FOR HIS HOSPITAL BILL</t>
  </si>
  <si>
    <t xml:space="preserve">Mia Lyn de Guia Rivera </t>
  </si>
  <si>
    <t>DONATION TO MYRA RIVERA FOR HER MEDICAL NEEDS</t>
  </si>
  <si>
    <t>DONATION FOR THE HOSPITAL BILLS AND MEDICAL NEEDS COVERING THE PERIOD DECEMBER 13-18, 2021</t>
  </si>
  <si>
    <t>DONATION FOR THE HOSPITAL BILLS COVERING THE PERIOD DECEMBER 13-16, 2021</t>
  </si>
  <si>
    <t xml:space="preserve">Orion St. Michael Hospital Inc. </t>
  </si>
  <si>
    <t>DONATION FOR THE HOSPITAL BILL COVERING THE PERIOD DECEMBER 17, 2021</t>
  </si>
  <si>
    <t>DONATION FOR THE HOSPITAL BILLS COVERING THE PERIOD DEC. 13-17, 2021</t>
  </si>
  <si>
    <t>Reimbursement of Emergency Purchases of NBB Patients of JPMH for the period from January 8 - 12, 2022</t>
  </si>
  <si>
    <t>DONATION FOR THE HOSPITAL BILLS ANDMEDICAL NEEDS COVERING TEH PERIOD DEC. 27-31,2021</t>
  </si>
  <si>
    <t>DONATION FOR THE HOSPITAL BILLS COVERIG THE PERIOD DEEMBER 6-10, 2021</t>
  </si>
  <si>
    <t>DONATION TO ERLANDO JR. PERALTA FOR HIS BURIAL EXPENSES QR: 1210210022</t>
  </si>
  <si>
    <t xml:space="preserve">Marites R. Apales </t>
  </si>
  <si>
    <t>DONATION TO ALBERTO APALES FOR HIS BURIAL EXPENSES QR: 0106220030</t>
  </si>
  <si>
    <t xml:space="preserve">Jovy Ikerly A. Romero </t>
  </si>
  <si>
    <t>DONATION TO CEASAR JR. ARZADON FOR HIS BURIAL EXPENSES QR: 0106220031</t>
  </si>
  <si>
    <t>DONATION TO RICO ALINSUNURIN FOR HSI BURIAL EXPENSES QR: 0106220022</t>
  </si>
  <si>
    <t xml:space="preserve">Franz Donelle D. Canare </t>
  </si>
  <si>
    <t>DONATION TO FRITZ DARYLLE CANARE FOR HIS BURIAL EXPENSES QR: 0106220026</t>
  </si>
  <si>
    <t xml:space="preserve">Josephine T. Villaflor </t>
  </si>
  <si>
    <t>DONATION TO FEDERICO VILLAFLOR FOR HIS BURIAL EXPENSES QR: 0106220011</t>
  </si>
  <si>
    <t>DONATION FOR THE HOSPITAL BILLS COVERING THE PERIOD DEC. 28-29, 2021</t>
  </si>
  <si>
    <t>DONATION FOR THE HOSPITAL BILLS COVERING THE PERIOD DECEMBER 13-17, 2021</t>
  </si>
  <si>
    <t xml:space="preserve">Lailanie P. Remis </t>
  </si>
  <si>
    <t>DONATION TO PERLITA REMIS FOR HER HOSPITAL BILL QR: 0106220032</t>
  </si>
  <si>
    <t xml:space="preserve">Ella V. Cruz </t>
  </si>
  <si>
    <t>DONATION TO LALYN VALERIO FOR HER HOSPITAL BILL QR: 0106220028</t>
  </si>
  <si>
    <t xml:space="preserve">Ricardo Luis C. Magtira </t>
  </si>
  <si>
    <t>DONATIONTO CLIENT FOR HIS HOPITAL BILL QR: 0106220021</t>
  </si>
  <si>
    <t xml:space="preserve">Maria Socorro I. Perez </t>
  </si>
  <si>
    <t>DONATION TO LEONARDO ARCADIO ISIDRO JR. FOR HIS HOSPITAL BILL AND MEDICAL NEEDS QR: 0107220026</t>
  </si>
  <si>
    <t xml:space="preserve">Jay Adrian R. Gorospe </t>
  </si>
  <si>
    <t>DONATION TO PATRICIA GROSPE AND MIKAEL KYRIE GROSPE FOR THEIR HOSPITAL BILLS QR: 0106220025</t>
  </si>
  <si>
    <t xml:space="preserve">Teresita C. Molina </t>
  </si>
  <si>
    <t>DONATION TO WILSON MOLINA FOR HIS HOSPITAL BILL QR: 0106220023</t>
  </si>
  <si>
    <t xml:space="preserve">Denniren F. Veneracion </t>
  </si>
  <si>
    <t>DONATION TO DESHLY FERNANDO FOR HER HOSPITAL BILL AND MEDICAL NEEDS QR: 0106220027</t>
  </si>
  <si>
    <t xml:space="preserve">Nicolas S. Tolentino </t>
  </si>
  <si>
    <t>DONATION TO LEONILA TOLENTINO FOR HER MEDICAL NEEDS QR: 0106220024</t>
  </si>
  <si>
    <t xml:space="preserve">Ierne S. Dimaculangan </t>
  </si>
  <si>
    <t>DONATION TO CARMELO DIMACULANGAN FOR HIS MEDICAL NEEDS QR: 0107220038</t>
  </si>
  <si>
    <t xml:space="preserve">Carlo T. Ramos </t>
  </si>
  <si>
    <t>DONATION TO CLIENT FOR HIS MEDICAL NEEDS QR: 0106220033</t>
  </si>
  <si>
    <t>Reimbursement of Emergency Purchases of Jose C. Payumo Memorial Hospital from January 6, 2022 to January 13, 2022</t>
  </si>
  <si>
    <t>Payment of Plan 300 for Employees assigned as monitoring, gathering, and analysing COVID 2019 related data in the Province of Bataan Covering Period for the month of October and November 2021</t>
  </si>
  <si>
    <t>Payment of Plan 300 for employees assigned as monitoring, gathering, and analysing COVID 2019 related data in the Province of Bataan Covering period for the month of September 1-30, 2021</t>
  </si>
  <si>
    <t xml:space="preserve">Dennis M. Carlos </t>
  </si>
  <si>
    <t>DONATION TO DELFIN CARLOS FOR HIS HOSPITAL BILL QR: 0214220002</t>
  </si>
  <si>
    <t xml:space="preserve">Aiko N. Briz </t>
  </si>
  <si>
    <t>DONATION TO MARITES BRIZ FOR HER HOSPITAL BILL QR: 0214220006</t>
  </si>
  <si>
    <t xml:space="preserve">Aida S. Santos </t>
  </si>
  <si>
    <t>DONATION TO ROSARIO SANCHEZ FOR HER BURIAL EXPENSES QR: 0214220004</t>
  </si>
  <si>
    <t xml:space="preserve">Rodrigo S. Dela Cruz </t>
  </si>
  <si>
    <t>DONATION TO ERLINDA DELA CRUZ FOR HER MEDICAL NEEDS QR: 0214220007</t>
  </si>
  <si>
    <t xml:space="preserve">Nestle C. Magsino </t>
  </si>
  <si>
    <t>DONATION TO NESTOR MAGSINO FOR HIS HOSPITAL BILL AND MEDICAL NEEDS QR: 0214220003</t>
  </si>
  <si>
    <t xml:space="preserve">Ofelia N. Labog </t>
  </si>
  <si>
    <t>DONATION TO ALICIA TABIRARA FOR HER HOSPITAL BILL QR: 0214220005</t>
  </si>
  <si>
    <t xml:space="preserve">Edna L. Santos </t>
  </si>
  <si>
    <t>DONATION TO CESAR DE SILVA FOR HIS BURIAL EXPENSES QR: 0211220018</t>
  </si>
  <si>
    <t xml:space="preserve">Benjamin C. Martinez </t>
  </si>
  <si>
    <t>DONATION TO ELOISA MARTINEZ FOR HER MEDICAL NEEDS QR: 0211220017</t>
  </si>
  <si>
    <t xml:space="preserve">Arthur S. Quezon </t>
  </si>
  <si>
    <t>DONATION TO TERESITA DELOS SANTOS FOR HER HOSPITAL BILL QR: 0210220014</t>
  </si>
  <si>
    <t xml:space="preserve">Lenie L. Salazar </t>
  </si>
  <si>
    <t>DONATION TO GLORIA LAGUILLES FORH ER HOSPITAL BILL QR: 0211220022</t>
  </si>
  <si>
    <t xml:space="preserve">Rolly L. Dela Cruz </t>
  </si>
  <si>
    <t>DONATION TO MARK ANTHONY LIBRELLA FOR HIS BURIAL EXPENSES QR: 0211220007</t>
  </si>
  <si>
    <t xml:space="preserve">Brian N. Sampang </t>
  </si>
  <si>
    <t>DONATION TO REGINE SAMPANG FOR HER HOSPITAL BILL, PROFESSIONAL FEE AND MEDICAL NEEDS QR: 0211220013</t>
  </si>
  <si>
    <t xml:space="preserve">Maristella D. Fabian </t>
  </si>
  <si>
    <t>DONATION TO MARCIA RENEE FABIAN FOR HER MEDICAL NEEDS QR: 0214220008</t>
  </si>
  <si>
    <t xml:space="preserve">Imee O. Gando </t>
  </si>
  <si>
    <t>DONATION TO LEONORA ROSETE FOR HER HOSPITAL BILL QR: 0211220015</t>
  </si>
  <si>
    <t xml:space="preserve">Rosita R. Lauron </t>
  </si>
  <si>
    <t>DONATION TO FELIX LAURON FOR HIS BURIAL EXPENSES QR: 0211220012</t>
  </si>
  <si>
    <t xml:space="preserve">Charlito T. Adraneda Jr. </t>
  </si>
  <si>
    <t>DONATION TO CLARITO ADRANEDA FOR HIS BURIAL EXPENSES QR: 0215220004</t>
  </si>
  <si>
    <t xml:space="preserve">Jocelyn A. Ibasco </t>
  </si>
  <si>
    <t>DONATION TO MANUEL IBASCO FOR HIS BURIAL EXPENSES QR: 0211220001</t>
  </si>
  <si>
    <t xml:space="preserve">Annabel C. Ranulo </t>
  </si>
  <si>
    <t>DONATION TO JEFFEY RANULO FOR HIS MEDICAL NEEDS QR: 0215220002</t>
  </si>
  <si>
    <t xml:space="preserve">Danilo R. Mardo </t>
  </si>
  <si>
    <t>DONATION TO ROWENA CAPARAS FOR HER HOSPITAL BILL QR: 0215220006</t>
  </si>
  <si>
    <t xml:space="preserve">Nelson G. Reyes </t>
  </si>
  <si>
    <t>DONATION TO ALFREDO REYES FOR HIS HOSPITAL BILL AND MEDICAL NEEDS QR: 0215220005</t>
  </si>
  <si>
    <t xml:space="preserve">Richelle de Lara Diwa </t>
  </si>
  <si>
    <t>DONATION TO JEFFREY MENDOZA FOR HIS MEDICAL NEEDS QR: 0215220008</t>
  </si>
  <si>
    <t xml:space="preserve">Funeraria Yambao </t>
  </si>
  <si>
    <t>DONATION TO ROLANDO CANOY FOR HIS BURIAL EXPENSES QR: 0215220001</t>
  </si>
  <si>
    <t xml:space="preserve">Mylene C. Tuliao </t>
  </si>
  <si>
    <t>DONATION TO RONALD TULIAO FOR HIS MEDICAL NEEDS QR: 0215220010</t>
  </si>
  <si>
    <t xml:space="preserve">Anne Marielle D. Imbat </t>
  </si>
  <si>
    <t>Payment for her salary for the month of January 3-31, 2022</t>
  </si>
  <si>
    <t xml:space="preserve">Resvah Farah T. Lulu </t>
  </si>
  <si>
    <t xml:space="preserve">Sarah A. Palaypay </t>
  </si>
  <si>
    <t>Payment for her first salary for the month of January 3-31, 2022</t>
  </si>
  <si>
    <t xml:space="preserve">Daisy Lou A. De Guzman </t>
  </si>
  <si>
    <t xml:space="preserve">EZGaz Trading </t>
  </si>
  <si>
    <t>Payment of fuel consumption for the period of January 17-23, 2022 (PGO)</t>
  </si>
  <si>
    <t>Reimbursement of market purchases of Jose C. Payumo Memorial Hospital for the period of February 1 to 10, 2022</t>
  </si>
  <si>
    <t>Reimbursement of Water Analysis test for Physical and Chemical, Bacteriological and Heterothropic Plate Count test of Dialysis unit of Jose C. Payumo Jr. Memorial Hospital</t>
  </si>
  <si>
    <t>Payment of newspaper subscription for the month of January 2022</t>
  </si>
  <si>
    <t>Replenishment of emergency of NBB patients of JPMH for the period from February 8-10, 2022</t>
  </si>
  <si>
    <t>Payment of MBDA fuel consumption for the period of January 24 - 30, 2022</t>
  </si>
  <si>
    <t>Payment of fuel consumption for period of January 24-30, 2022 (PGO)</t>
  </si>
  <si>
    <t xml:space="preserve">Authority of the Freeport Area of Bataan </t>
  </si>
  <si>
    <t>Payment of annual certification fee of Provincial Government of Bataan as FAB Enterprise</t>
  </si>
  <si>
    <t xml:space="preserve">Arlyn M. Barquin </t>
  </si>
  <si>
    <t>Payment of her first salary as Administrative Officer IV with a monthly rate of P35,907 for January 3-31, 2022 and salary as Computer Operator I with a monthly rate of P18,037.00 for the January 1-2, 2022</t>
  </si>
  <si>
    <t xml:space="preserve">Bataan St. Joseph Hospital &amp; Medical Center corp. </t>
  </si>
  <si>
    <t>DONATION FOR THE HOSPITAL BILLS AND MEDICAL NEEDS COVERING THE PERIOD JANUARY 10-14, 2022</t>
  </si>
  <si>
    <t xml:space="preserve">Grace S. De Jesus </t>
  </si>
  <si>
    <t>DONATION TO GLADYS GERO FOR HER HOSPITAL BILL AND MEDICAL NEEDS QR: 0210220021</t>
  </si>
  <si>
    <t>Cash advance for payment of various obligations</t>
  </si>
  <si>
    <t xml:space="preserve">Jinky L. Recio </t>
  </si>
  <si>
    <t>Payment of monetized leave for the year 2022</t>
  </si>
  <si>
    <t>Payment for the funeral services under the Libreng Libing Program for the period January 1,16 &amp; 21, 2022</t>
  </si>
  <si>
    <t>Payment for the funeral service rendered under the libring libing program for the period of December 23, 2021. January 1-25, 2022</t>
  </si>
  <si>
    <t>Payment for the funeral services under the Libreng Libing Program for the period May 4,5,7,8,11,12,16,17,19,20,21,24,25,26,27,28,29 &amp; 30, 2021</t>
  </si>
  <si>
    <t xml:space="preserve">Malasimbu Memorial Homes </t>
  </si>
  <si>
    <t>Payment for the funeral services under the Libreng Libing Program for the period January 11,17,20&amp;24 2022</t>
  </si>
  <si>
    <t xml:space="preserve">Christopher F. Pizarro </t>
  </si>
  <si>
    <t>Payment of his first salary salary and RATA as Provincial Government Department Head with a monthly rate of P113,891.00 from January 3 to 31, 2022</t>
  </si>
  <si>
    <t>Reimbursement of the amount paid for fuel consumption of the government vehicle Ford Everest IP 0189 for the month of January 2022</t>
  </si>
  <si>
    <t>Reimbursement of the amount paid for fuel consumption of the government vehicle Hyundai Starex MU 8265 for the month of January 2022</t>
  </si>
  <si>
    <t>Reimbursement of his expenses incurred in the payment of various tokens given to various visitors of Gov. Abet Garcia dated October 28,29, and December 3, 2021</t>
  </si>
  <si>
    <t>To reimburse his expenses incurred for SK and LYDC Continuing Training</t>
  </si>
  <si>
    <t>Reimbursement for market purchase of MDH for the period of January 24-30,2022</t>
  </si>
  <si>
    <t>Payment of newspaper for the month of January 2022</t>
  </si>
  <si>
    <t>Payment of newspaper for the month of January 2022 (VGO and SP)</t>
  </si>
  <si>
    <t>PURPOSE COOPERATIVE- Payment for the newspaper subscription for the month of January 2022</t>
  </si>
  <si>
    <t>Payment for mobile expenses for the covered period of January 1-31, 2022</t>
  </si>
  <si>
    <t>Replenishment of Emergency Purchases of NBB Patients of Jose C. Payumo Jr. Memorial Hospital for the period from February 4, 2022 to February 7, 2022</t>
  </si>
  <si>
    <t xml:space="preserve">Bagac Water District </t>
  </si>
  <si>
    <t>Payment of water expenses of Bagac Community and Medicare Hospital</t>
  </si>
  <si>
    <t xml:space="preserve">Association of Local Budget Officers R-III </t>
  </si>
  <si>
    <t>Registration Fee for the 3-day Seminar-Workshop on Preparation of the Project Procurement Management Plan (PPMP) and the Annual Procurement Plan (APP): Concepts, Principles and Techniques on March 23-25, 222</t>
  </si>
  <si>
    <t xml:space="preserve">Association of Government Internal Auditors, Inc. </t>
  </si>
  <si>
    <t>III (ALBO R-III)- Payment of registration fee of Atty. Mark Lorenz C Quezon, SP secretary attending two (2) days Virtual Seminar Workshop on the Used of the eBudget System, on Feb-23-24, 2022</t>
  </si>
  <si>
    <t>Replenishment of Emergency Purchases of NBB Patients of Jose C. Payumo Jr. Memorial Hospital for the period from February 11, 2022 to February 14, 2022</t>
  </si>
  <si>
    <t>Reimbursement of the amount paid for fuel consumption of the government vehicle Ford Everest IP 0800for the month of January 2022</t>
  </si>
  <si>
    <t xml:space="preserve">Association of Local Budget Officer R-III </t>
  </si>
  <si>
    <t>III- Registration fee to Two-Day virtual Seminar-Workshop on February 23-24, 2022 8:00 AM TO 12:00 PM</t>
  </si>
  <si>
    <t>Reimbursement of Parts and Labor for the 60,000 km preventive maintenance check-up for Hyundai Coaster White NCI 7450 for the use of Mariveles District Hospital &amp; Parts and Labor for the 115,00 km preventive maintenance check-up of Nissan Urvan NV350 NAO-4147</t>
  </si>
  <si>
    <t>Payment of fuel consumption for the period of Nov 8-14,2021 (MDH)</t>
  </si>
  <si>
    <t>Payment of fuel consumption for the period of Nov 1-7,2021 (MDH)</t>
  </si>
  <si>
    <t>Replenishment of revolving fund for the payment of donations of indigents constituents in the province of bataan (Feb16-17,2022)</t>
  </si>
  <si>
    <t>III- Payment of registration fee for the two-day Seminar-Workshop on the Use of the eBudget System on February 23-24, 2022</t>
  </si>
  <si>
    <t>DONATION FOR THE HOSPITAL BILLS COVERING THE PERIOD FEB. 2-3, 2022</t>
  </si>
  <si>
    <t>DONATION FOR THE HOSPITAL BILLS COVERING THE PERIOD JAN. 31-FEB. 2, 2022</t>
  </si>
  <si>
    <t xml:space="preserve">Flordeliza S. Dait </t>
  </si>
  <si>
    <t>DONATION TO VIVENDIAL DILOY FOR HER MEDICAL NEEDSQR:  0215220003</t>
  </si>
  <si>
    <t>DONATION FOR THE HOSPITAL BILLS COVERING THE PERIOD FEB. 3-4,2022</t>
  </si>
  <si>
    <t xml:space="preserve">Buns &amp; Bowls Diner </t>
  </si>
  <si>
    <t>Payment of meals and snacks incurred for Vaccination Team - Vista Mall Bataan</t>
  </si>
  <si>
    <t xml:space="preserve">Poweradio Mobile and Enterprises </t>
  </si>
  <si>
    <t>Payment of Rental of Sound System during various event in the Office of the Governor last December 16,20,23,28,2021 and January 4, 2022</t>
  </si>
  <si>
    <t xml:space="preserve">Sanven Medical Enterprises </t>
  </si>
  <si>
    <t>Medicines to be use for Bagac Community and Medicare Hospital.</t>
  </si>
  <si>
    <t>Payment of medical, dental and laboratory supplies of Orani District Hospital</t>
  </si>
  <si>
    <t xml:space="preserve">Manuelito Inieto </t>
  </si>
  <si>
    <t>DONATION TO MANUELITO JR. INIETO FOR HIS BURIAL EXPENSESQR: 0215220017</t>
  </si>
  <si>
    <t xml:space="preserve">Angela Cruz </t>
  </si>
  <si>
    <t>DONATION TO RICARDO GATDULA FOR HIS BURIAL EXPENSESQR:  0215220009</t>
  </si>
  <si>
    <t xml:space="preserve">Ruth Gay Bustos </t>
  </si>
  <si>
    <t>DONATION TO ZACHARY DAYNE OSAVO FOR HIS HOSPITAL BILLQR:  0215220019</t>
  </si>
  <si>
    <t xml:space="preserve">Arnelie de Leon </t>
  </si>
  <si>
    <t>DONATION TO CLIENT FOR HER MEDICAL NEEDSQR:  0215220028</t>
  </si>
  <si>
    <t xml:space="preserve">Aidee Bongalon </t>
  </si>
  <si>
    <t>DONATION TO JUIBILE BONGALON FOR HER MEDICAL NEEDSQR:  0215220015</t>
  </si>
  <si>
    <t xml:space="preserve">Aileen Tolentino </t>
  </si>
  <si>
    <t>DONATION TO FERDINAND TOLENTINO FOR HIS MEDICAL NEEDSQR:  0215220011</t>
  </si>
  <si>
    <t xml:space="preserve">John Edward Vergara </t>
  </si>
  <si>
    <t>DONATION TO CLIENT FOR HIS MEDICAL NEEDSQR:  0215220016</t>
  </si>
  <si>
    <t xml:space="preserve">Marcial Jr. B. Quinacman </t>
  </si>
  <si>
    <t>DONATION TO CLIENT FOR HIS MEDICAL NEEDSQR:  0216220004</t>
  </si>
  <si>
    <t xml:space="preserve">Elisa Cruz </t>
  </si>
  <si>
    <t>DONATION TO IRENE GIGANTE FOR HER HOSPITAL BILLQR:  0215220022</t>
  </si>
  <si>
    <t xml:space="preserve">Elfie Buensuceso </t>
  </si>
  <si>
    <t>DONATION TO ESTRELLITA SACDALAN FOR HER MEDICAL NEEDSQR:  0215220027</t>
  </si>
  <si>
    <t xml:space="preserve">Aileen Joy Regencia </t>
  </si>
  <si>
    <t>DONATION TO MELCHOR SEVILLA FOR HIS HOSPITAL BILLQR:  0215220021</t>
  </si>
  <si>
    <t xml:space="preserve">Michael Icban </t>
  </si>
  <si>
    <t>DONATION TO BERNARDO ICBAN FOR HIS HOSPITAL BILLQR:  0215220025</t>
  </si>
  <si>
    <t xml:space="preserve">Mildred Arguelles </t>
  </si>
  <si>
    <t>DONATION TO FRANCIS SACDALAN FOR HIS HOSPITAL BILLQR:  0215220020</t>
  </si>
  <si>
    <t xml:space="preserve">Irene Gomez </t>
  </si>
  <si>
    <t>DONATION TO CLIENT FOR HER HOSPITAL BILLQR:  0215220023</t>
  </si>
  <si>
    <t xml:space="preserve">Angelito Ocampo </t>
  </si>
  <si>
    <t>DONATION TO PEDRO OCAMPO FOR HIS BURIAL EXPENSESQR:  0215220018</t>
  </si>
  <si>
    <t>Reimbursement of gasoline expenses of JPMH for the period from January 17 - 31, 2022</t>
  </si>
  <si>
    <t xml:space="preserve">Globe Telecom, Inc. </t>
  </si>
  <si>
    <t>Payment for the subscription fee on mobile unlimited call &amp; text postpaid plan (Globe to Globe) for the period of December 27 - January 26, 2022 for official Use of PEO</t>
  </si>
  <si>
    <t xml:space="preserve">Converge Information and Communications Techonology Solutions, Inc. </t>
  </si>
  <si>
    <t>Payment of internet Bill of 1Bataan Command Center Account Number 0030300182942 for the month of February 1-28, 20221</t>
  </si>
  <si>
    <t>Monthly Ssubscription fee of Metor Ethernet Service for the use of CCTV Cameras of MBDA for the month of February 1-28, 2022</t>
  </si>
  <si>
    <t>Payment of Internet Bill of MBDA Account Number 0030300011924 for the month of February 1-28, 2022</t>
  </si>
  <si>
    <t xml:space="preserve">Godofredo B. Galicia, Jr. </t>
  </si>
  <si>
    <t>Reimbursement of the amount paid for fuel consumption of the government vehicle Ford Everest C2X097 for the month of January 2022</t>
  </si>
  <si>
    <t>Payment of meals and snacks incurred during Consultative Meeting on Brgy. Baseco County's Request on the Land Titling &amp; Distribution</t>
  </si>
  <si>
    <t>Replenishment of cash advance for emergency purchases of Jose C. Payumo Jr. Memorial Hospital from February 4, 2022 to February 7, 2022</t>
  </si>
  <si>
    <t xml:space="preserve">Jocelyn Fuentes </t>
  </si>
  <si>
    <t>Replenishment of cash advance to defray payment of Daily Market Purchase from February 8-14, 2022</t>
  </si>
  <si>
    <t>Reimbursement of his expenses incurred in the payment of various expenses for medical assistance dated December 7, 20,24,2021, January 12, February 4,9,and 13, 2022</t>
  </si>
  <si>
    <t xml:space="preserve">Albert Garcia </t>
  </si>
  <si>
    <t>To reimburse his expenses incurred in the payment of meals and snacks and other expenses during various meetings</t>
  </si>
  <si>
    <t xml:space="preserve">Lester Sicalag </t>
  </si>
  <si>
    <t>Payment of allowance for the period of January 2022</t>
  </si>
  <si>
    <t xml:space="preserve">Angeles University Foundation Medical Center Inc. </t>
  </si>
  <si>
    <t>Expanded NBS Collection Kit for the use of Orani District Hospital</t>
  </si>
  <si>
    <t xml:space="preserve">Reynaldo T. Ibe Jr. </t>
  </si>
  <si>
    <t>Payment of 24 days Monetized Leave Credits for the year 2022</t>
  </si>
  <si>
    <t xml:space="preserve">Mark Rafael B. Ramos </t>
  </si>
  <si>
    <t>Payment of his first salary as Local Disaster Risk Reduction and Management Assistant with a monthly rate of P18,998.00 from January 3 to January 31, 2022</t>
  </si>
  <si>
    <t xml:space="preserve">Edgardo F. Calara Jr. </t>
  </si>
  <si>
    <t>DONATION FOR THE HOSPITAL BILLS AND MEDICAL NEEDS COVERING THE PERIOD JAN. 31-FEBRUARY 4,2022</t>
  </si>
  <si>
    <t xml:space="preserve">Elizabeth Bakery &amp; Grocery </t>
  </si>
  <si>
    <t>1% retention for canned sardines for lockdown distribution provincewide due to COVID-19 pandemic</t>
  </si>
  <si>
    <t xml:space="preserve">Association of Government Internal Auditors, Inc. (AGIA, Inc.) </t>
  </si>
  <si>
    <t>Payment of registration fee for online seminar on management Audit to be attended by Rogine B Reyes and Juluis M. Abes on March 8-11,2022</t>
  </si>
  <si>
    <t>Replenishment of revolving fund for payment of donations of indigents constituents in the Province of Bataan (February 18 &amp; 21, 2022)</t>
  </si>
  <si>
    <t>Petty Cash fund replenishment for February 4-22, 2022</t>
  </si>
  <si>
    <t>Payment for the 1% Retention for supply &amp; delivery of 10 units client PC for the Bataan District Jail</t>
  </si>
  <si>
    <t xml:space="preserve">Crown Royale Hotel and Resort Corporation </t>
  </si>
  <si>
    <t>Payment of Room Accomodation incurred during Command Conference for the Insurgency Planning of the Province of Bataan for Coastal lines Facing the West Philippine</t>
  </si>
  <si>
    <t xml:space="preserve">Royal One General Merchandise </t>
  </si>
  <si>
    <t xml:space="preserve">Peninsula Electric Cooperative Inc. </t>
  </si>
  <si>
    <t>Payment of Electric bill of 1Bataan Command Center, Orani for the month of January 2022</t>
  </si>
  <si>
    <t xml:space="preserve">Zohaila M. Dimalawang </t>
  </si>
  <si>
    <t>Replacement of check no 77722258 dated November 11, 2021 refund of philhealth contribution for POCtober 2021</t>
  </si>
  <si>
    <t>Reimbursement of his various expenses and goods givent tp various congressman, mayors, board members, managers, doctors and others dated November 23, December 6,7,10, and 21, 2021</t>
  </si>
  <si>
    <t xml:space="preserve">Arbat Trading </t>
  </si>
  <si>
    <t>1% retention for printoing of 1Bataan newsletter issue 6 vol 1 for use of PGB</t>
  </si>
  <si>
    <t xml:space="preserve">Bataan St. Joseph Hospital &amp; Medical Center Corp </t>
  </si>
  <si>
    <t>DONATION FOR THE HOSPITAL BILLS AND MEDICAL NEEDS COVERING THE PERIOD JAN. 24-28, 2022</t>
  </si>
  <si>
    <t xml:space="preserve">Oro Oxygen Corporation </t>
  </si>
  <si>
    <t>Medical Oxygen for the use of Jose C. Payumo Memorial Hospital, Dinalupihan, Bataan for COVID-19 Pandemic Response</t>
  </si>
  <si>
    <t xml:space="preserve">Association of Local Budget Officer R-III (ALBO R-III) </t>
  </si>
  <si>
    <t>III- Seminar workshop on the use of ebudget system</t>
  </si>
  <si>
    <t xml:space="preserve">Marissa Pincil </t>
  </si>
  <si>
    <t>Payment of 30 days monetizled leave for the year 2022</t>
  </si>
  <si>
    <t xml:space="preserve">Angeline OL. Lara </t>
  </si>
  <si>
    <t>Reimbursement of the payment for the renewal of Envato Elements Subscription - Video Templates, WP Themes, Photos and Grpahic Templates to be use for the production and promotional videos of the Provincial Government of Bataan</t>
  </si>
  <si>
    <t>Payment of fuel consumption for the period of January 31 to February 6, 2022 (PGO)</t>
  </si>
  <si>
    <t>Payment for the funeral services rendered under the Libreng Libing Program for the period January 6,16,21,23, and 29, 2022</t>
  </si>
  <si>
    <t>Payment for the funeral services rendered under the Libreng Libing Program for the period January 3,17, February 2 and 4, 202</t>
  </si>
  <si>
    <t>Payment for the funeral services rendered under the Libreng Libing Program for the period January 6,8,23,24, and 25, 2022</t>
  </si>
  <si>
    <t xml:space="preserve">Yambao Funeral Services </t>
  </si>
  <si>
    <t>DONATION TO DANIEL DIMAANO FOR HIS BURIAL EXPENSES</t>
  </si>
  <si>
    <t xml:space="preserve">Sandy Diego </t>
  </si>
  <si>
    <t>DONATION TO ROLANDO DIEGO FOR HIS BURIAL EXPENSES</t>
  </si>
  <si>
    <t xml:space="preserve">Benignon Dula </t>
  </si>
  <si>
    <t>DONATION TO ADELWISA DULA FOR HER HOSPITAL BILL</t>
  </si>
  <si>
    <t xml:space="preserve">Kate Fernandez </t>
  </si>
  <si>
    <t>DONATION TO EMILY FERNANDEZ FOR HER HOSPITAL BILL</t>
  </si>
  <si>
    <t xml:space="preserve">Cristina Borja </t>
  </si>
  <si>
    <t>DONATION TO JOASE ZUñIGA FOR HIS HOSPITAL BILL</t>
  </si>
  <si>
    <t xml:space="preserve">Jerwin dela Peña Gatdula </t>
  </si>
  <si>
    <t>DONATION TO MARJORIE ANN GATDULA AND JASPHER ZAYD GATDULA FOR THEIR HOSPITAL BILLS</t>
  </si>
  <si>
    <t xml:space="preserve">Rebecca Hernandez </t>
  </si>
  <si>
    <t xml:space="preserve">Maria Kathrina Polintan </t>
  </si>
  <si>
    <t>DONATION TO RAMIL POLINTAN FOR HIS MEDICAL NEEDS</t>
  </si>
  <si>
    <t xml:space="preserve">Connie Ariel </t>
  </si>
  <si>
    <t>DONATION TO ALVIN AIGENMAN ANIEL FOR HIS MEDICAL NEEDS</t>
  </si>
  <si>
    <t xml:space="preserve">Elizabeth Manalaysay </t>
  </si>
  <si>
    <t>DONATION TO EDGARDO MANALAYSAY FOR HIS HOSPITAL BILL AND MEDICAL NEEDS</t>
  </si>
  <si>
    <t>Remittance of Philhealth contribution of JO employees for February 2022</t>
  </si>
  <si>
    <t>Payment of Electric bill of JPMH for the month of January 2022</t>
  </si>
  <si>
    <t>Payment of Electric bill of Provincial Council for Welfrare for the month of January 2022</t>
  </si>
  <si>
    <t>Payment of Electric bill of Bataan Christian Youth for the month of January 2022</t>
  </si>
  <si>
    <t>Payment of Electric bill of PGO-PSWDO for the month of January 2022</t>
  </si>
  <si>
    <t>Payment of Electric bill of 1Bataan Malasakit Dialysis Center for the month of January 2022</t>
  </si>
  <si>
    <t xml:space="preserve">Ma. Bambi Rhoda Sanchez </t>
  </si>
  <si>
    <t>DONATION TO JASON SANCHEZ FOR HIS HOSPITAL BILL</t>
  </si>
  <si>
    <t xml:space="preserve">Jomar Gaza </t>
  </si>
  <si>
    <t>Reimbursement of the amount paid for fuel consumption of the government vehicle Ford Everest IO 9548 for the month of February, 2022</t>
  </si>
  <si>
    <t xml:space="preserve">Manolet Datan </t>
  </si>
  <si>
    <t>Payment of allowance for the month of January 2022</t>
  </si>
  <si>
    <t>Replenishment of miscellaneous expenses of Orani District Hospital from January 20-February 5, 2022</t>
  </si>
  <si>
    <t xml:space="preserve">Maricar Alonzo </t>
  </si>
  <si>
    <t>Full Payment of her 105 days maternity leave with full pay covering the period of January 1-15, 2022 and payment of her salary for the period of January 6-31, 2022 as Nurse I in Mariveles District Hospital, Mariveles, Bataan at the rate of P35,097.00</t>
  </si>
  <si>
    <t>Payment of PLDT Fiber Telephone Bills in the Office of the Sangguniang Panlalawigan Office of Vice Governor Garcia, Secretary Salazar and Board Member Dominguez for the month of February 2022</t>
  </si>
  <si>
    <t>Petty cash fund replenishment for March 23-April 6, 2022</t>
  </si>
  <si>
    <t xml:space="preserve">Noli M. Montemayor </t>
  </si>
  <si>
    <t>Payment of his first salary as Security Agent II for the month of March, 2022</t>
  </si>
  <si>
    <t>Payment of Salary and PERA for the period of February - March, 2022</t>
  </si>
  <si>
    <t xml:space="preserve">Gena A. Abara, MD,MHA </t>
  </si>
  <si>
    <t>Replenishment of Emergency Purchases of NBB Patients of JPMH for the period from March 29 - 30, 2022</t>
  </si>
  <si>
    <t>Replenishment of emergency purchases of JPMH from March 21 - 23, 2022</t>
  </si>
  <si>
    <t>Replenishment of market purchase of JPMH for the period of March 23 - 31, 2022</t>
  </si>
  <si>
    <t>MAULEON- Payment of allowance for the month of March 2022</t>
  </si>
  <si>
    <t>Payment of allowance for the month of March 2022</t>
  </si>
  <si>
    <t xml:space="preserve">Winbek Ferekus S. Tajonera </t>
  </si>
  <si>
    <t xml:space="preserve">Romulo S. Mandocdoc Jr </t>
  </si>
  <si>
    <t xml:space="preserve">Conchita Q. Serrano </t>
  </si>
  <si>
    <t>Payment for the 255.750 days Terminal Leave</t>
  </si>
  <si>
    <t>Payment of allowance in Regional Trial Court of Bataan for the month of March 2022</t>
  </si>
  <si>
    <t xml:space="preserve">John Carlou I. Ramos </t>
  </si>
  <si>
    <t>Payment of his first salary as Farm Foremanfor the month of March, 2022</t>
  </si>
  <si>
    <t xml:space="preserve">Arnel C. Isidro </t>
  </si>
  <si>
    <t>Payment of his first salary as Farm Worker II for the month of March, 2022</t>
  </si>
  <si>
    <t xml:space="preserve">Romar Je A. Medina </t>
  </si>
  <si>
    <t xml:space="preserve">Alexander G. Pelea </t>
  </si>
  <si>
    <t>Payment of his first salary as Medical Officer III from January 3 to March 31, 2022</t>
  </si>
  <si>
    <t>Payment of internet bill of MBDA Account Number 003030001 1924 for the month of April 1-30,2022</t>
  </si>
  <si>
    <t>Payment of internet bill of 1Bataan Command Center Account Number 0030300182942 for the month of April 1-30,2022</t>
  </si>
  <si>
    <t>Monthly Subcription fee of Metro Ethernet Service for the use of CCTV Camera of MBDA for the month of April 1-30, 2022</t>
  </si>
  <si>
    <t>Reimbursement of Parts and labor for the replacement of tires of Nissan Urvan F2J-084</t>
  </si>
  <si>
    <t xml:space="preserve">KTamayo Food &amp; Event Catering Services </t>
  </si>
  <si>
    <t>Payment of meals incurred during various meetings</t>
  </si>
  <si>
    <t xml:space="preserve">Antonio Ray A. Ortiguera </t>
  </si>
  <si>
    <t xml:space="preserve">Christine Nel L. Dolor </t>
  </si>
  <si>
    <t>Payment for her salary differential for the month of March 2022</t>
  </si>
  <si>
    <t xml:space="preserve">Mary Anne R. Suguitan </t>
  </si>
  <si>
    <t>Payment of her first salary as Nurse I for the month of March 2022</t>
  </si>
  <si>
    <t xml:space="preserve">Goudie Manila Construction and Development Corporation </t>
  </si>
  <si>
    <t>Construction of 1 BOSCCO at the Bataan Gov't Center and Business Hub-</t>
  </si>
  <si>
    <t>Construction of fit-out of the bunker bldg for the Pag-ibig</t>
  </si>
  <si>
    <t xml:space="preserve">Vivian Q. Benamir </t>
  </si>
  <si>
    <t>Payment of honorarium of Municipal Treasurers for the month of March 2022</t>
  </si>
  <si>
    <t xml:space="preserve">Jacqueline I. Esquivel </t>
  </si>
  <si>
    <t xml:space="preserve">Rhoda S. Agcaoile </t>
  </si>
  <si>
    <t xml:space="preserve">Rhodora Manalansan </t>
  </si>
  <si>
    <t xml:space="preserve">Marissa Tumalad </t>
  </si>
  <si>
    <t xml:space="preserve">Fe Sagre </t>
  </si>
  <si>
    <t xml:space="preserve">Cecilia Calixta </t>
  </si>
  <si>
    <t>Other supplies and materials for the use of Provincial Engineer's Office Repainting of Traffic lines/markings of Provincial Roads of Bataan</t>
  </si>
  <si>
    <t xml:space="preserve">KServico Trade Inc. </t>
  </si>
  <si>
    <t>Servico Trade Inc- Parts &amp; Labor for the 12,000 km preventive maintenance Kawasaki Bigbike 650cc MV3539 AND Replacement of other deffective parts of MBDA owned by the Provincial Government of Bataan</t>
  </si>
  <si>
    <t>Various grocery items for the consumption of inmates of Bataan District Jail within the period of February 16-28, 2022</t>
  </si>
  <si>
    <t>Various grocery items for the consumption of Bataan District Jail within the period of February 1-15, 2022</t>
  </si>
  <si>
    <t>Various grocery items for the consumption of inmates of Bataan District Jail within the period of January 11-31, 2022</t>
  </si>
  <si>
    <t>Various groceries for the consumption of inmates of Bataan District Jail within the period of January 1-10, 2022</t>
  </si>
  <si>
    <t xml:space="preserve">Octa Enterprise </t>
  </si>
  <si>
    <t>Printer, Wifi all-in-one Ink Tank for the use of PPDO for efficient and quality production of colored photo documents</t>
  </si>
  <si>
    <t xml:space="preserve">JIC Trading </t>
  </si>
  <si>
    <t>Additional materials for the re-routing of electric power transmission lines of COVID 19 vaccine's Cold Storage Facility from old power transformer to a new house including tapping to a power generator</t>
  </si>
  <si>
    <t>Fuel on different service vehicle used by PTO, PIO, BJMP, PPDO, PCEDO, Tpourism, PGENRO, PDRRMO, PHO, PVO March 21-27, 2022</t>
  </si>
  <si>
    <t>Cash advance for payment of overtime</t>
  </si>
  <si>
    <t xml:space="preserve">ITP Construction </t>
  </si>
  <si>
    <t>Design &amp; build for the construction of bldg Bataan the old capitol of the Bunker</t>
  </si>
  <si>
    <t>Payment of Home Bro Ultera Plan 999 for the period March 26, 2022 to April 25, 2022</t>
  </si>
  <si>
    <t xml:space="preserve">Bataan Space Cable Network </t>
  </si>
  <si>
    <t>Payment of internet subcription with account number 13544 for the period of April 1-30, 2022</t>
  </si>
  <si>
    <t xml:space="preserve">Land Bank of the Philippines </t>
  </si>
  <si>
    <t>To payment of twenty (20 pcs commercial checkbooks</t>
  </si>
  <si>
    <t>Payment of internet subscription for the period of April 1-30, 2022</t>
  </si>
  <si>
    <t xml:space="preserve">Maria Khristine G. Dela Fuente </t>
  </si>
  <si>
    <t>Reimburseemnt of fuel for MArch 2022</t>
  </si>
  <si>
    <t xml:space="preserve">EZ Gaz Trading </t>
  </si>
  <si>
    <t>Fuel on different service vehicle used by SOCO,PNP &amp; OPA March 14-20, 2022</t>
  </si>
  <si>
    <t xml:space="preserve">ATP Construction </t>
  </si>
  <si>
    <t>Construction of fit-out of the bunker building for Vice Governor's Office Capitol Compound, City of Balanga, Bataan</t>
  </si>
  <si>
    <t xml:space="preserve">Lhanz CJ Trading &amp; Computer Center Inc. </t>
  </si>
  <si>
    <t>ICT Equipment to be used in the Office of the Vice Governor, BM Ibe and Sec. to the SP</t>
  </si>
  <si>
    <t>Fuel on different service vehicle used by ENRO March 21-27, 2022</t>
  </si>
  <si>
    <t>Fuel on different service vehicle used by OPA, BJMP, PNP, PIO, Tourism, PHO &amp; PVO March 7-13, 2022</t>
  </si>
  <si>
    <t>Fuel on different service vehicle used by PTO, PIO, BJMP, PPDO, PCEDO, Tpourism, PGENRO, PDRRMO, PHO, PVO March 14-20, 2022 March 14-20, 2022</t>
  </si>
  <si>
    <t xml:space="preserve">3K.P Manpower Agency </t>
  </si>
  <si>
    <t>Payment of janitorial services rendered by Twelve (12) Utility Personnel deployed in Bataan General Hospital Annex for the period covered from February 1-16, 2022</t>
  </si>
  <si>
    <t>Remittance for the month of March 2022</t>
  </si>
  <si>
    <t>Payment of fuel consumption for the period of March 14-20, 2022 (PEO)</t>
  </si>
  <si>
    <t xml:space="preserve">Ludivino Joseph Augusto L. Tobias, Jr. </t>
  </si>
  <si>
    <t xml:space="preserve">Maricar Paloma Dela Cruz-Buban </t>
  </si>
  <si>
    <t>Buban- Payment of allowance for the month of March 2022</t>
  </si>
  <si>
    <t xml:space="preserve">Damaso P. Asuncion, Jr. </t>
  </si>
  <si>
    <t>Oamil- Payment of allowance for the month of March 2022</t>
  </si>
  <si>
    <t>Salaria- Payment of allowance for the month of March 2022</t>
  </si>
  <si>
    <t>Payment of fuel consumption for the period of March 21-27,2022 (PGO)</t>
  </si>
  <si>
    <t>Payment of allowance for the period of March 2022</t>
  </si>
  <si>
    <t xml:space="preserve">Cristina T. Guiao-Garcia </t>
  </si>
  <si>
    <t>Garcia-Payment of allowance of the Comelec Field Officers for the month of January 2022</t>
  </si>
  <si>
    <t>Payment of allowance of the Comelec Field Officers for the month of January 2022</t>
  </si>
  <si>
    <t>Payment of allowance of the Comelec Field Officers for the month of March 2022</t>
  </si>
  <si>
    <t xml:space="preserve">Iris S. Flores </t>
  </si>
  <si>
    <t xml:space="preserve">National Kidney and Transplant Institute </t>
  </si>
  <si>
    <t>Payment of Registration for 2022 National External Quality Assessment Scheme (NEQAS) in Blood Count</t>
  </si>
  <si>
    <t xml:space="preserve">Lung Center of the Philippines </t>
  </si>
  <si>
    <t>Payment of 2022 National External Quality Assessment Scheme (NEQAS) - CC Cycle Program</t>
  </si>
  <si>
    <t>Replenishment of Emergency Purchasesof NBB Patients of JCPMH for the period of March 31 to April 4, 2022</t>
  </si>
  <si>
    <t xml:space="preserve">Albert Raymond S. Garcia </t>
  </si>
  <si>
    <t>Reimbursement of his expenses incurred in the payment of various expenses for medical assistance dated March 8, 9, 11 and 21, 2022</t>
  </si>
  <si>
    <t>Replenishment of cash advance to defray payment of Daily Market Purchase from March 25-31,2022</t>
  </si>
  <si>
    <t>Replenishment of cash advance for emergency purchases of Jose C Payumo Jr. Memorial Hospital from March 24,2022 to March 28,2022</t>
  </si>
  <si>
    <t xml:space="preserve">Gina D. Tantiangco </t>
  </si>
  <si>
    <t>Reimbursement of registration/training fee in attending a Competency Development in Peritoneal Dialysis (CDPD) on March 28 - May 20,2022 at National Kidney and Transplant Institute under OR# 8546796 dated March 23, 2022</t>
  </si>
  <si>
    <t>Reimbursement of the amount paid for fuel consumption of the government vehicle HI-LUX VU2619 for the month of March 2022</t>
  </si>
  <si>
    <t>Reimbursement of the amount paid for fuel consumption of the government vehicle Ford Everest C2X097 for the month of MARCH 2022</t>
  </si>
  <si>
    <t>Reimbursement of the amount paid for fuel consumption of the government vehicle Ford Everest IP 0801 for the month of March 2022</t>
  </si>
  <si>
    <t xml:space="preserve">Godofredo B. Galicia Jr. </t>
  </si>
  <si>
    <t>Reimbursement of Parts and labor for 20,000km preventive maintenance checkup of Ford Everest C2-0927 c/o BM Godofredo B Galicia</t>
  </si>
  <si>
    <t>Payment for monthly subscription of newspaper delivered in Vice Goc and SP Secretariat office for the month of March 2022</t>
  </si>
  <si>
    <t xml:space="preserve">Tony and Ann's Catering Services </t>
  </si>
  <si>
    <t>Meals for the Regular Session of Sangguniang Panlalawigan on March 7, 2022</t>
  </si>
  <si>
    <t>Meals for the Regular Session of Sangguniang Panlalawigan on February 28, 2022</t>
  </si>
  <si>
    <t xml:space="preserve">Louis Restaurant </t>
  </si>
  <si>
    <t>Meals for the Committee Meetings of different Committees of Sangguniang Panlalawigan on March 08, 2022</t>
  </si>
  <si>
    <t>Non-commonly used supplies to be used in the office of the Vice- Governor</t>
  </si>
  <si>
    <t xml:space="preserve">Shaira's Kitchenette </t>
  </si>
  <si>
    <t>Meals for the SK meeting with the Bataan Youth Development Council on March 9, 2022</t>
  </si>
  <si>
    <t>Meals for the Regular Session of Sangguniang Panlalawigan on February 21, 2022</t>
  </si>
  <si>
    <t>Reimbursement of the amount paid for fuel cosumption of the government vehicle Hyundai Starex MU 8265 for the month of March 2022</t>
  </si>
  <si>
    <t>Reimbursement of the amount paid for fuel consumption of the government vehicle FORD EVEREST IP 1451 for the month of March 2022</t>
  </si>
  <si>
    <t xml:space="preserve">Jomar L. Gaza </t>
  </si>
  <si>
    <t>Reimbursement of the amount paid for fuel consumption of the government vehicle Ford Everest IO 9548 for the month of March 2022</t>
  </si>
  <si>
    <t xml:space="preserve">Raymund C. Macomis </t>
  </si>
  <si>
    <t>Payment of monetize leave</t>
  </si>
  <si>
    <t xml:space="preserve">Digital Xpress Printing Services </t>
  </si>
  <si>
    <t>Printing of Tarpaulin for National Dental Health Month Celebration of February 24, 2022</t>
  </si>
  <si>
    <t>Printing of Tarpaulings for Real Property Tax advertisemet to be distributed among various barangays in the Province of Bataan</t>
  </si>
  <si>
    <t>Payment of water expenses of BCMH for the month of March 1, 2022 to April 1, 2022</t>
  </si>
  <si>
    <t xml:space="preserve">Helen C. Dela Cruz </t>
  </si>
  <si>
    <t>Tax refund for CY 2014 for Mr Froilan dela Cruz</t>
  </si>
  <si>
    <t xml:space="preserve">Armando C. Sabino </t>
  </si>
  <si>
    <t>Tax refund for CY 2003, 2004 &amp; 2014</t>
  </si>
  <si>
    <t xml:space="preserve">Estrella B. Paguio </t>
  </si>
  <si>
    <t>Reimbursement of the amount paid for fuel consumption of the government vehicle FORD EVEREST IO 4973 for the month of March 2022</t>
  </si>
  <si>
    <t xml:space="preserve">Jose C. Villapando, Sr. </t>
  </si>
  <si>
    <t>Reimbursement of the amount paid for fuel allowance of Ford Everest IO 9547 for the month of March 2022</t>
  </si>
  <si>
    <t>Reimbursement of the amount paid for fuel consumption of the government vehicle Ford Everest IP 0189 for the month pf March 202</t>
  </si>
  <si>
    <t xml:space="preserve">Benjamin C. Serrano, Sr. </t>
  </si>
  <si>
    <t>Reimbursement of the amount paid for fuel consumption of government vehicle Ford Everest IP 0816 for the month of March 2022</t>
  </si>
  <si>
    <t>Reimbursement of the amount paid for fuel consumption of the government vehicle Ford Everest IP 0800 for the month of March 2022</t>
  </si>
  <si>
    <t>Reimbursement of the amount paid for fuel consumption of the government vehicle Ford Everest IO 4421 for the month of March 2022</t>
  </si>
  <si>
    <t>Reimbursement of the amount paid for fuel consumption of the government vehicle Ford Everest C1 T417 for the month of March 2022</t>
  </si>
  <si>
    <t>Replenishment of Emergency Purchases of NBB Patients of JPMH for the period of April 8-11, 2022</t>
  </si>
  <si>
    <t>Replenishment of cash advence for emergency purchase of JPMH from April 1-8, 2022</t>
  </si>
  <si>
    <t>Replenishment of cash advance for emergency purchases of JPMH from April 9 - 14, 2022</t>
  </si>
  <si>
    <t>Replenishment of cash advance to defray payment of Daily Market Purchase from April 1-8, 2022</t>
  </si>
  <si>
    <t>Replenishment for market purchases of Jose C. Payumo Jr. Memorial Hospital for the period of April 1 to 11, 2022</t>
  </si>
  <si>
    <t>Reimbursement of gasoline, oil and lubricant expenses of ODH March 1-15,2022</t>
  </si>
  <si>
    <t>Reimbursement of gasoline, oil and lubricant expenses of ODH March 16-31,2022</t>
  </si>
  <si>
    <t>Payment for Mobile Expenses for the covered period of March 1-31, 2022</t>
  </si>
  <si>
    <t xml:space="preserve">Molo's Catering Services </t>
  </si>
  <si>
    <t>Meals and Snacks of Vaccination Team for COVID19 at PENELCO for the period covered for January 2022</t>
  </si>
  <si>
    <t>Meals and Snacks of Vaccination Team for COVID19 at PENELCO for the period covered for February 2022</t>
  </si>
  <si>
    <t>Emergency Purchase of Medical Oxygen for the use of Orani District Hospital</t>
  </si>
  <si>
    <t>Replenishment of Incidental Expenses and Daily Market Purchase of BCMH from March 16-31,2022</t>
  </si>
  <si>
    <t>Petty cash fund replenishment for the period of April 11 - 22, 2022</t>
  </si>
  <si>
    <t>Joan F. Dela Cruz</t>
  </si>
  <si>
    <t>Payment of 15 days monetized leave credits</t>
  </si>
  <si>
    <t xml:space="preserve">Teresa P. Refuerzo </t>
  </si>
  <si>
    <t>Payment of fuel on different service vehicle used by BJMP Female March 14-20, 2022</t>
  </si>
  <si>
    <t>Reimbursement of gasoline expenses of JPMH for the period from April 1-10, 2022</t>
  </si>
  <si>
    <t>Assorted marine products for the consumption of inmates of Bataan District Jail within the period of March 16-31, 2022</t>
  </si>
  <si>
    <t xml:space="preserve">Teresita D. Flores </t>
  </si>
  <si>
    <t>Tax refund for Cy 2004 on behalf of Mr Manuel Flores, deceased husband of the claimnbant Mrs Teresita D. Flores</t>
  </si>
  <si>
    <t>Assorted meat and processed food for the consumption of inmates of Bataan District Jail within the period of March 16-31, 2022</t>
  </si>
  <si>
    <t xml:space="preserve">Rosanna M. Buccahan </t>
  </si>
  <si>
    <t>Reimbursement of AM Snacks for Kalusugan Hatid sa Katutubong Kapatid on APRIL 5 &amp; 7, 2022</t>
  </si>
  <si>
    <t>Payment of assorted vegetables products for the consumption of inmates of Bataan District Jail within the period of March 1-15, 2022</t>
  </si>
  <si>
    <t xml:space="preserve">Maricar D. Guila </t>
  </si>
  <si>
    <t>Payment of tax refund for C.Y. 2016 on behalf of Mr. Martial Guila who is currently working abroad, husband of the claimant, Mrs. Maricar Guila</t>
  </si>
  <si>
    <t xml:space="preserve">Sarah D. Bacani </t>
  </si>
  <si>
    <t>Payment of tax refund for C.Y. 2017 on behalf of Ms. April de Padua Wirtanen who is currently abroad, sister of the claimant, Ms. Sarah de Padua Bacani</t>
  </si>
  <si>
    <t>Cash advance for payment of wages of Job Order employees under 3.5% engineering supervision for the month of February 1-24, 2022</t>
  </si>
  <si>
    <t xml:space="preserve">Philippine Veterans Bank </t>
  </si>
  <si>
    <t>Payment for two (2) pcs commercial checkbooks</t>
  </si>
  <si>
    <t>Replenishment of cash advance for Emergency Purchases of Jose C. Payumo Jr. Memorial Hospital from April 15-19, 2022</t>
  </si>
  <si>
    <t>Replenishment for market purchases of Jose C. Payumo Jr. Memorial Hospital for the period of April 12-21, 2022</t>
  </si>
  <si>
    <t>Replenishment of Emergency Purchases of NBB Patients of Jose C. Payumo Jr. Memorial Hospital from April 12-19, 2022</t>
  </si>
  <si>
    <t>Replenishment of cash advance to defray payment of Daily Market Purchase from April 9-16, 2022</t>
  </si>
  <si>
    <t>Philhealth</t>
  </si>
  <si>
    <t>Remittance of contribution of JO employees for the month of April 2022</t>
  </si>
  <si>
    <t xml:space="preserve">Rejeana Kaye P. Torres </t>
  </si>
  <si>
    <t>Payment of maternity leave for the period of March 28 - July 10, 2022</t>
  </si>
  <si>
    <t xml:space="preserve">Joselito M. Dula </t>
  </si>
  <si>
    <t>Payment of 91.299 days Terminal Leave CY 2022</t>
  </si>
  <si>
    <t xml:space="preserve">Maria Khristine G. dela Fuente </t>
  </si>
  <si>
    <t>Reimbursement of the amount paid for Mobile and internet allowance for the period of February 15 - March 14, 2022 (Month of April 2022)</t>
  </si>
  <si>
    <t>Petty cash fund replenishment for April 21-26, 2022</t>
  </si>
  <si>
    <t xml:space="preserve">Levin G. Castor </t>
  </si>
  <si>
    <t>Payment of his overtime pay for the period of March 2022</t>
  </si>
  <si>
    <t xml:space="preserve">Gasak Farmers Agriculture Cooperative </t>
  </si>
  <si>
    <t>Replacement for check no 1895459 dated November 19, 2020</t>
  </si>
  <si>
    <t xml:space="preserve">San Lazaro Hospital </t>
  </si>
  <si>
    <t>Payment of 2022 NEQAS Registration in SEROLOGY</t>
  </si>
  <si>
    <t>Allowance for the month of March, 2022</t>
  </si>
  <si>
    <t>Cash advance for OT for MArch 2022</t>
  </si>
  <si>
    <t xml:space="preserve">Reynaldo T. Ibe, Jr. </t>
  </si>
  <si>
    <t>Reimbursement of the amount paid for fuel allowance of Ford Everest IO 8925 for the month of March 2022</t>
  </si>
  <si>
    <t xml:space="preserve">Manolet L. Datan, MPA </t>
  </si>
  <si>
    <t>Allowance for the month of March 2022</t>
  </si>
  <si>
    <t>Payment of yearl Rental of 3 units of 50KVA Transformer of Bataan Christian Youth Foundation (bataan library) on April 2022</t>
  </si>
  <si>
    <t>Payment of yearly Rental of 1 unbit 37 1/2 KVA Transformer of Bagac Medicare Hospital for April 2022</t>
  </si>
  <si>
    <t>Payment of yearly Rental of 1 unit 10KVA Transformer of Capitol Drive St. Lights for April 2022</t>
  </si>
  <si>
    <t>Payment of electric bill of 1bataan command center, orani for the month of March 2022</t>
  </si>
  <si>
    <t>Payment of Electric bill of MDH for the month of March 2022</t>
  </si>
  <si>
    <t>Payment of Electric Bill of Balanga Tricycle Terminal, Roman Hi-way, Balanga City for the month of March 2022</t>
  </si>
  <si>
    <t>Payment of Electric Bill of Bataan Christian Youth for the month of March 2022</t>
  </si>
  <si>
    <t>Payment of electric bill of JPMH for the period of March 2022</t>
  </si>
  <si>
    <t>Payment of internet bill for the period covering April 18, 2022 to May 17, 2022</t>
  </si>
  <si>
    <t>Payment of Electric Bill of Multi Purpose Center, Tilapya, Pantingan, Pilar for the month of March 2022</t>
  </si>
  <si>
    <t>Payment of Electric Bill of PGO-PSWDO for the month of March 2022</t>
  </si>
  <si>
    <t>Payment of Electric Bill of Provl Counsil for welfare for the month of March 2022</t>
  </si>
  <si>
    <t xml:space="preserve">Rosita R. Bernabe </t>
  </si>
  <si>
    <t xml:space="preserve">Jennie V. Zabala </t>
  </si>
  <si>
    <t>Payment of 11 days vacation leave</t>
  </si>
  <si>
    <t xml:space="preserve">Joel L. Sarmiento </t>
  </si>
  <si>
    <t>Reimbursement for payment to Registration Fee: NEQAS - CC CYCLE REGISTRATION for the year 2022 of Clinical Laboratory of Mariveles District Hospital</t>
  </si>
  <si>
    <t xml:space="preserve">Research Institute for Tropical Medicine </t>
  </si>
  <si>
    <t>Payment of 2022 NEQAS Registration in PARASITOLOGY</t>
  </si>
  <si>
    <t>Payment of telephone expenses landline of ODH for billing period March 21, - April 20, 2022</t>
  </si>
  <si>
    <t xml:space="preserve">Precy D. Juco </t>
  </si>
  <si>
    <t>Payment of maternity leave for the period of February 28 - June 12, 2022</t>
  </si>
  <si>
    <t xml:space="preserve">Albert G. Layug </t>
  </si>
  <si>
    <t>Paymentof his first salary from March 23 - April 30, 2022</t>
  </si>
  <si>
    <t xml:space="preserve">Patricio B. Omega II </t>
  </si>
  <si>
    <t xml:space="preserve">R-Jayson D. Eugenio </t>
  </si>
  <si>
    <t>JAYSON D. EUGENIO - Paymentof his first salary from March 23 - April 30, 2022</t>
  </si>
  <si>
    <t xml:space="preserve">Alden P. Manalansan </t>
  </si>
  <si>
    <t xml:space="preserve">Joram P. Rojas </t>
  </si>
  <si>
    <t xml:space="preserve">Jaybee B. Dela Cruz </t>
  </si>
  <si>
    <t>Payment of salary for the month of April 2022</t>
  </si>
  <si>
    <t xml:space="preserve">Clouie Ann D. Jaime </t>
  </si>
  <si>
    <t>Payment of her first salary from March 23,2022 to April 30,2022</t>
  </si>
  <si>
    <t>Payment of electric bill of various offices, buildings and street lights owned by PGB for the month of March 2022</t>
  </si>
  <si>
    <t>Payment of Electric bills for the month of March 2022 (ODH/JPMH/ luminaire-Pilar/BCMH)</t>
  </si>
  <si>
    <t>Payment of Electric Bill of MBDA Satellite Office for the month of March 2022</t>
  </si>
  <si>
    <t xml:space="preserve">Jerome L. Patdu </t>
  </si>
  <si>
    <t>Payment of Electric Bill of PDRRMO - Capitol Site for the month of March 2022</t>
  </si>
  <si>
    <t>Payment of Electric Bill of PGSO Checkpoint Brgy. Roosevelt, Dinalupihan for the month of March 2022</t>
  </si>
  <si>
    <t>Payment of Electric Bills of BJMP (Mega Processing Covid-19 Facility) for the month of March 2022</t>
  </si>
  <si>
    <t>Payment of Electric Bill of Bataan People's Center 3 for the month of March 2022</t>
  </si>
  <si>
    <t>Payment of Electric Bill of PGSO Checkpoint Brgy. Tucop, Dinalupihan for the month of March 2022</t>
  </si>
  <si>
    <t>Payment of PLDT Fiber Telephone Bills in the office of the Sangguniang Panlalawigan office of (Vice Governor Garcia, Secretary Salazar and Board Member Dominguez) for the month of April 2022</t>
  </si>
  <si>
    <t>Reimbursement of Medicines, SUpplies, x-ray, &amp; laboratory expenses under the philhealth no balance billing (NBB) of indigent patients in ODH from March 5-23, 2022</t>
  </si>
  <si>
    <t xml:space="preserve">McBombeth's Flowershop </t>
  </si>
  <si>
    <t>Wreath and stage arrangement for the Araw ng Kagitingan and Galing Bataan Trade Fair Opening from March 28 to April 9, 2022</t>
  </si>
  <si>
    <t xml:space="preserve">Microhms Electronics, Trading &amp; Services </t>
  </si>
  <si>
    <t>Parts &amp; labor for the replacement of Axle Bearing &amp; other defective parts of Toyota Hilux VV0143 of MBDA owned by the Provincial Government of Bataan</t>
  </si>
  <si>
    <t>Emergency Purchase of Other Supplies and Materials for the use of New Bataan District Jail at Brgy. Dona Orani, Bataan</t>
  </si>
  <si>
    <t xml:space="preserve">JAPI Printzone Corporation </t>
  </si>
  <si>
    <t>Printing of 1Bataan Newsletter Issue 6 Vol.2 for the use of Provincial Government of Bataan</t>
  </si>
  <si>
    <t xml:space="preserve">DDM Solution Enteprise </t>
  </si>
  <si>
    <t>Office Supplies for use in the Provincial Treasurer's Office</t>
  </si>
  <si>
    <t>ICT Equipment for the used of CHPD</t>
  </si>
  <si>
    <t xml:space="preserve">J and D Funeral Homes </t>
  </si>
  <si>
    <t>Payment for the funeral services rendered under the Libreng Libing Program for the period of January 6, February 1,5,14,22,23, and 28, 2022</t>
  </si>
  <si>
    <t xml:space="preserve">Buns and Bowls Diner </t>
  </si>
  <si>
    <t>Meals for Visit of Senator Risa Hontiveros on February 23, 2022</t>
  </si>
  <si>
    <t>Payment of his expenses incurred in the payment of Meals during various visitors of Gov. Abet Garcia dated November 4, December 6,17,22,2021, January 3, February 17, March 1,2,and 7, 2022</t>
  </si>
  <si>
    <t>Payment of meals and snacks incurred for Bataan Tourism Park Security</t>
  </si>
  <si>
    <t>Janitorial Supplies for the used of MBDA</t>
  </si>
  <si>
    <t xml:space="preserve">Almark Gadget Computer Sales &amp; Services </t>
  </si>
  <si>
    <t>Laptop for the use of PPDO</t>
  </si>
  <si>
    <t>AM Snacks and Lunch for Mass Blood Donation on March 23, 2022</t>
  </si>
  <si>
    <t xml:space="preserve">H2 Go Water Refilling Station </t>
  </si>
  <si>
    <t>Drinking Water for February 2022 for Mega Processing Facility during COVID-19 Emergency Response</t>
  </si>
  <si>
    <t>Meals for the SK Regular Session on March 25, 2022</t>
  </si>
  <si>
    <t>PMS 270,000km and Repair the deffective parts of the vehicle assigned to the Office of the Governor namely our Toyota HiAce Commuter with Conduction Sticker VR0088</t>
  </si>
  <si>
    <t>Pulldown the A/C and clean the deffective parts of the vehicle assigned to the Office of the Governor Namely our Toyota HiACE Commuter with conduction sticker VR0088</t>
  </si>
  <si>
    <t>Drinking water for the consumption of Covid Patient and staff of Mega Processing Facility from January 16-31, 2022 during Covid-19 Pandemic</t>
  </si>
  <si>
    <t>Emergency Purchase of Food Delivery Pushcart for the use of New Bataan District Jail at Brgy. Dona, Orani, Bataan</t>
  </si>
  <si>
    <t xml:space="preserve">Sitio Eatery </t>
  </si>
  <si>
    <t>Meals and Snacks to be served on Compliance Seminar on Governance and Management of Cooperatives on April 7, 2022</t>
  </si>
  <si>
    <t xml:space="preserve">Gadget Box Electronics Trading </t>
  </si>
  <si>
    <t>Office Supplies for the use of Bagac Community and Medicare Hospital</t>
  </si>
  <si>
    <t>Meals for the Regular Session of Sangguniang Panlalawigan on March 21, 2022</t>
  </si>
  <si>
    <t>Remittance of Pag-ibig II Savings of the provincial employees  April 2022</t>
  </si>
  <si>
    <t>Additional remittance of philhealth contribution of provincial employees for January 2022</t>
  </si>
  <si>
    <t>Remittance of philhealth contribution of consultants for March 2022</t>
  </si>
  <si>
    <t>Remittance of integrated insurance contribution, emergency loan, REL, cash advance, optional insurance premium, policy loan, REL, GFAL, MPL and computer Loan for the month of April 2022</t>
  </si>
  <si>
    <t xml:space="preserve">CEMBA </t>
  </si>
  <si>
    <t>Remittance of salary loan installment of provincial employees for April  2022</t>
  </si>
  <si>
    <t>Additional remittance of philhealth contribution of provincial employees for February 2022 Batch 1</t>
  </si>
  <si>
    <t xml:space="preserve">Jhaps Meat and Vegetable Store </t>
  </si>
  <si>
    <t>Assorted meats and processed food for the consumption of Covid Patients and Staff of Mega Processing Facility from March 1-15, 2022 during Covid-19 Pandemic</t>
  </si>
  <si>
    <t>Assorted meats and processed food for the consumption of Covid Patient and Staff of Mega Processing Facility from March 16-31, 2022 during Covid - 19 Pandemic</t>
  </si>
  <si>
    <t>Various grocery items for the consumption of inmates of Bataan District Jail within the period of March 16-31 2022</t>
  </si>
  <si>
    <t>Assorted vegetables for the consumption of Covid Patient and Staff of Mega Processing Facility from March 16-31, 2022 during Covid-19 Pandemic</t>
  </si>
  <si>
    <t>Assorted marine products for the consumption of Covid Patient and Staff of Mega Processing Facility</t>
  </si>
  <si>
    <t>Various grocery items for the consumption of inmates of Bataan District Jail within the period of March 1-15, 2022</t>
  </si>
  <si>
    <t>Various grocery items for the consumption of Covid Patients and Staff of Mega Processing Facility from March 1-15, 2022 during Covid-19 Pandemic</t>
  </si>
  <si>
    <t>Assorted vegetables for the consumption of Covid Patients and Staff of Mega Processing Facility from March 1-15, 2022 during Covid-19 Pandemic</t>
  </si>
  <si>
    <t>Assorted marine products for the consumption of Covid Patients and Staff of Mega Processing Facility from March 1-15, 2022 during Covid-19 Pandemic</t>
  </si>
  <si>
    <t>Assorted marine products for the consumption of Covid Patient and Staff of Mega Processing Facility from February 16-28, 2022 during Covid-19 Pandemic</t>
  </si>
  <si>
    <t>Various grocery items for the consumption of Covid Patient and Staff of Mega Processing Facility from February 16-28, 2022 during Covid-19 Pandemic</t>
  </si>
  <si>
    <t>Assorted vegetables for the consumption of Covid Patient and Staff of Mega Processing Facility from February 16-28, 2022 during Covid-19 Pandemic</t>
  </si>
  <si>
    <t>Assorted meats and processed food for the consumption of Covid Patient and Staff of Mega Processing Facility from February 16-28, 2022 during Covid-19 Pandemic</t>
  </si>
  <si>
    <t>Assorted Marine Products for the Consumption of COVID Patient and Staff of MEga Processing Facility from February 1-15, 2022 during Covid-19 Pandemic</t>
  </si>
  <si>
    <t>Various Grocery Items for the Consumption of COVID Patient and Staff of MEga Processing Facility from February 1-15, 2022 during Covid-19 Pandemic</t>
  </si>
  <si>
    <t>Various items for the consumption of Covid Patient and staff of Mega Processing Facility from January 16-31, 2022 during Covid-19 Pandemic</t>
  </si>
  <si>
    <t>Assorted meats and processed food for the consumption of Covid Patient and staff of Mega Processing Facility from January 16-31, 2022 during Covid-19 Pandemic</t>
  </si>
  <si>
    <t>Voucher box for the use of Office of the Provincial Accountant</t>
  </si>
  <si>
    <t>Assorted vegetables for the consumption of Covid Patient and staff of Mega Processing Facility from January 16-31, 2022 during Covid-19 Pandemic</t>
  </si>
  <si>
    <t>Assorted meats and processed food for the consumption of COVID Patient and Staff of Mega Processing Facility from January 1-15, 2022 during COVID - 19 Pandemic</t>
  </si>
  <si>
    <t>Marine products for the consumption of Covid Patient and staff of Mega Processing Facility from January 16-31, 2022 during Covid-19 Pandemic</t>
  </si>
  <si>
    <t>Assorted Meats and Processed Food for the Consumption of COVID Patient and Staff of MEga Processing Facility from February 1-15, 2022 during Covid-19 Pandemic</t>
  </si>
  <si>
    <t>Meals to be served for WOMEN WITH DISABILITY Training on Training on FOOT &amp; HAND REFLEXOLOGY &amp; CHAIR MASSAGE</t>
  </si>
  <si>
    <t>Office Supplies for the use of Mariveles District Hospital</t>
  </si>
  <si>
    <t>Replacement and repair the defectives parts of the vehicle assigned to the office of the Governor namely our Toyota Hiace Commuter with Conduction Sticker VR0088</t>
  </si>
  <si>
    <t>Parts &amp; Labor for the 325,000 km preventive maintenance Toyota Hilux A1U268 of MBDA owned by the Provincial Government of Bataan</t>
  </si>
  <si>
    <t>Meals and Snacks to be served on Compliance Seminar on Fundamentals of Cooperative on April 5, 2022</t>
  </si>
  <si>
    <t>Assorted Vegetables for the consumption of COVID Patient and Staff of MEga Processing Facility from February 1-15, 2022 during Covid-19 Pandemic</t>
  </si>
  <si>
    <t xml:space="preserve">Bataan Tourism Service Cooperative </t>
  </si>
  <si>
    <t>Token to be used in Meeting and Ocular with DHSUD Region Director on March 4, 2022</t>
  </si>
  <si>
    <t>Ink to be used for the printing of NBI Clearance Certificates and other related documents for the NBI Mariveles Satellite Office, NBI Balanga Satellite Office and NBI Bataan District Office</t>
  </si>
  <si>
    <t>Meals for the Liga ng mga Barangay Assembly on March 31, 2022</t>
  </si>
  <si>
    <t xml:space="preserve">Maria Rosario R. Carlos </t>
  </si>
  <si>
    <t>Refund for MPL amortization for April 2022</t>
  </si>
  <si>
    <t xml:space="preserve">Emiliano Pomer </t>
  </si>
  <si>
    <t>Service rendered for the month of April 2022</t>
  </si>
  <si>
    <t xml:space="preserve">Macare Medicals Inc. </t>
  </si>
  <si>
    <t>1% retention for RT-PCR Test Kits with free use of machines for use of MDH during COVID-19 emergency response</t>
  </si>
  <si>
    <t>1% retention for payt of materials for electrical system of Negative Pressure tents at MDH during COVID-19 emergency respomnse during COVID-19 emergency response</t>
  </si>
  <si>
    <t>Payment of Water bill for 1 Bataan Malasakit Dialysis Center for the month of March, 2022</t>
  </si>
  <si>
    <t>Payment of Water bill for Tucop PGSO Checkpoint for the month of March 2022</t>
  </si>
  <si>
    <t>Payment of fuel consumption for the period of December 6-12, 2021 (LEGAL)</t>
  </si>
  <si>
    <t>Payment of fuel on different service vehicle used by PNP, PDRRMO &amp; SOCO for the period of March 28 -April 3, 2022</t>
  </si>
  <si>
    <t>Tokens given to various visitors calling on the Provincial Governor on various occasions &amp; purposes</t>
  </si>
  <si>
    <t>Payment of meals incurred during courtesy call visit of Vice President Leni Robredo &amp; Co.</t>
  </si>
  <si>
    <t xml:space="preserve">G-for-L Enterprises </t>
  </si>
  <si>
    <t>Electrostatic Wireless Sprayer and Fogging solution for the used of Provincial Engineer's Office</t>
  </si>
  <si>
    <t xml:space="preserve">Supreme Builders Construction and Trading </t>
  </si>
  <si>
    <t>Plant Installation at the Bunker Building 4th, 5th, 6th and 7th Floor of the Bunker Building, City of Balanga, Bataan</t>
  </si>
  <si>
    <t>Lighting Fixtures for the used of MBDA 1Bataan Comman Center and Tactical Center</t>
  </si>
  <si>
    <t>Replenishment of Emergency Purchases of NBB Patients of JPMH for the period from April 20 - 23, 2022</t>
  </si>
  <si>
    <t>Replenishment of Emergency purchase of NBB Patients JPMH for the period from April 24 - 26, 2022</t>
  </si>
  <si>
    <t>Payment of fuel on different service vehicle used by PNP, BJMP-MALE, Tourism &amp; BJMP Female March 21-27, 2022</t>
  </si>
  <si>
    <t>Payment for the funeral services rendered under the Libreng Libing Program for the period March 22, 2020 June 1,4,7,8,9,13,14,15,16,17,18,23,24,26,27,28, and 30, 2021</t>
  </si>
  <si>
    <t xml:space="preserve">Funeraria Leal </t>
  </si>
  <si>
    <t>Payment for the funeral services rendered under the Libreng Libing Program for the period of February 6 and 8, 2022</t>
  </si>
  <si>
    <t xml:space="preserve">Zorayda S. Vicente </t>
  </si>
  <si>
    <t>Donation for and in behalf of the deceased Barangay Tanod Angelito D. Vicente of Barangay Bilolo, Orion, Bataan</t>
  </si>
  <si>
    <t>Payment for the funeral services rendered under the Libreng Libing Program for the period of January 22,27,28, February 11 and 12, 2022</t>
  </si>
  <si>
    <t>Payment of fuel on different service vehicle used by PNP, PHO, &amp; BJMP 9-December 6-12, 2021</t>
  </si>
  <si>
    <t>Payment of fuel consumption for the period of April 4-10, 2022 (PGO)</t>
  </si>
  <si>
    <t>Payment of fuel consumption for the period of April 11-17, 2022 (PGO)</t>
  </si>
  <si>
    <t>Non-commonly used office supplies for the use of Jose C Payumo Jr Memorial Hospital Dinalupihan, Bataan</t>
  </si>
  <si>
    <t>Payment of fuel consumption for the period of March 21-27, 2022 (PEO)</t>
  </si>
  <si>
    <t>Payment of fuel consumption for the period of April 4-10, 2022 (MBDA)</t>
  </si>
  <si>
    <t>Payment of fuel consumption for the period of April 11-17, 2022 (MBDA)</t>
  </si>
  <si>
    <t xml:space="preserve">Christian V. Bernaldo </t>
  </si>
  <si>
    <t>DONATION TO ZENAIDA BERNALDO FOR HER BURIAL EXPENSES QR: 0317220001</t>
  </si>
  <si>
    <t xml:space="preserve">Almond Jay M. Fernandez </t>
  </si>
  <si>
    <t>DONATION TO PAULA MARIE FERNANDEZ FOR HER HOSPITAL BLL QR: 0317220005</t>
  </si>
  <si>
    <t xml:space="preserve">Michael V. Cornejo </t>
  </si>
  <si>
    <t>DONATION TO ANNA MICHELLE CORNEJO FOR HER HOSPITAL BILL QR: 0317220004</t>
  </si>
  <si>
    <t xml:space="preserve">Abegail V. Castillo </t>
  </si>
  <si>
    <t>DONATION TO VILMA CASTILLO FOR HER HOSPITAL BILL QR: 0317220008</t>
  </si>
  <si>
    <t xml:space="preserve">Carmelita L. Abella </t>
  </si>
  <si>
    <t>DONATION TO CLIENT FOR HER HOSPITAL BILL AND MEDICAL NEEDS QR: 0317220006</t>
  </si>
  <si>
    <t xml:space="preserve">Ronald H. Ramirez </t>
  </si>
  <si>
    <t>DONATION TO CLIENT FOR HIS MEDICAL NEEDS QR: 0317220002</t>
  </si>
  <si>
    <t xml:space="preserve">Melanie G. Barrientos </t>
  </si>
  <si>
    <t>DONATION TO AMELIA GUEVARRA FOR HER MEDICAL NEEDS QR: 0317220003</t>
  </si>
  <si>
    <t xml:space="preserve">Renato T. Torres, Jr. </t>
  </si>
  <si>
    <t>DONATION TO EUGENIA TORRES FOR HER HOSPITAL BILL QR: 0318220005</t>
  </si>
  <si>
    <t>DONATION TO PEPITO GUINTO FOR HIS HOSPITAL BILL QR: 0318220003</t>
  </si>
  <si>
    <t xml:space="preserve">Jonathan G. Mendoza </t>
  </si>
  <si>
    <t>DONATION TO REMEDIOS MENDOZA FOR HER HOSPITAL BILL QR: 0318220004</t>
  </si>
  <si>
    <t xml:space="preserve">Gennielyn B. Carel </t>
  </si>
  <si>
    <t>DONATION TO MAEZY ALLIA CAREL AND AYA BETTINA LUMBAO FOR THEIR HOSPITAL BILLS</t>
  </si>
  <si>
    <t xml:space="preserve">Rubilita dela Cruz Diaz </t>
  </si>
  <si>
    <t>DONATION TO MAYBELLE JOY VILLANUEVA FOR HER MEDICAL NEEDS QR: 0318220001</t>
  </si>
  <si>
    <t xml:space="preserve">Rowena S. Lapid </t>
  </si>
  <si>
    <t>DONATION TO CLIENT FOR HER HOSPITAL BILL AND PROFESSIONAL FEE QR: 0318220006</t>
  </si>
  <si>
    <t xml:space="preserve">Amy Divina L. Cagang </t>
  </si>
  <si>
    <t>DONATION TO BIENVENIDA LUANZON FOR HER MEDICAL NEEDS QR: 0318220002</t>
  </si>
  <si>
    <t xml:space="preserve">Patricia B. Cuartero </t>
  </si>
  <si>
    <t>DONATION TO KYLE CEDRICK CUARTERO FOR HIS HOSPITAL BILL QR: 0318220013</t>
  </si>
  <si>
    <t xml:space="preserve">Sylvester M. Carpio </t>
  </si>
  <si>
    <t>DONATION TO MARILOU CARPIO FOR HER HOSPITAL BILL QR: 0323220024</t>
  </si>
  <si>
    <t>Printing of Tarpaulin for Rabies Awareness Month to be distributed provincewide</t>
  </si>
  <si>
    <t xml:space="preserve">Glenn B. Barrientos </t>
  </si>
  <si>
    <t>Tax refund for CY 2005</t>
  </si>
  <si>
    <t>Emergency Purchase of Medical Oxygen for the use of Jose C Payumo Jr Memorial Hospital, Dinalupihan Bataan</t>
  </si>
  <si>
    <t>Computer Ink for the used of PSWDO Office</t>
  </si>
  <si>
    <t>Meals and snacks for the 2022 National Women's Month Celebration (One - Day Seminar) at Camp Cirilo S Tolentino Balanga City, Bataan on March 22, 2022</t>
  </si>
  <si>
    <t>Replenishment of cash advance for emergency purchases of Jose C. Payumo Jr. Memorial Hospital from April 20, 2022 to April 21, 2022</t>
  </si>
  <si>
    <t>Replenishment of cash advance for emergency purchases of JPMH from April 22 - 25, 2022</t>
  </si>
  <si>
    <t>Payment of electric bill for the month of March 2022 Checkpoint Palihan and Balsik</t>
  </si>
  <si>
    <t>Payment of Electric bill of establishment of provincial plant (pilar) for the month of March 2022</t>
  </si>
  <si>
    <t>Payment of Electric bill of MBDA Relay (Orion) for the month of March 2022</t>
  </si>
  <si>
    <t>Remittance of salary &amp; rice loan installment of JO employees for April 2022</t>
  </si>
  <si>
    <t>Remittance of SSS contribution of JO employees for  April  2022</t>
  </si>
  <si>
    <t>Meals for the meetings of different Committees of the Sangguniang Panlalawigan on March 23, 2022</t>
  </si>
  <si>
    <t>Replenishment of cash advance to defray payment of Daily Market Purchase from April 17-23, 2022</t>
  </si>
  <si>
    <t>DONATION TO ROLDAN MACALINAO FOR HIS BURIAL EXPENSES QR: 0318220015</t>
  </si>
  <si>
    <t xml:space="preserve">Jennalyn B. Manacmul </t>
  </si>
  <si>
    <t>DONATION TO JULIETA BASI FOR HER HOSPITAL BILL AND PROFESSIONAL FEE QR: 0318220016</t>
  </si>
  <si>
    <t xml:space="preserve">Jennifer I. Magpayo </t>
  </si>
  <si>
    <t>DONATION TO ALBERT GABRIEL FOR HOSPITAL BILL AND MEDICAL NEEDS QR: 0318220014</t>
  </si>
  <si>
    <t xml:space="preserve">Jermae O. Aguilon </t>
  </si>
  <si>
    <t>DONATION TO ALBERTO AGUILON FOR HIS HOSPITAL BILL QR: 0318220017</t>
  </si>
  <si>
    <t xml:space="preserve">Arsenia D. Velasco </t>
  </si>
  <si>
    <t>DONATION TO MARY GRACE VELASCO FOR HER HOSPITAL BILL QR: 0318220008</t>
  </si>
  <si>
    <t xml:space="preserve">Marilyn B. Raymundo </t>
  </si>
  <si>
    <t>DONATION TO MONICA BITONIO FOR HER HOSPITAL BILL QR: 0318220017</t>
  </si>
  <si>
    <t xml:space="preserve">Erlinda dela Cruz de Guzman </t>
  </si>
  <si>
    <t>DONATION TO CLIENT FOR HER MEDICAL NEEDS QR: 0318220011</t>
  </si>
  <si>
    <t>DONATION FOR THE HOSPITAL BILLS COVERING THE PERIOD MARCH 1-4, 2022</t>
  </si>
  <si>
    <t xml:space="preserve">Diana C. Allum </t>
  </si>
  <si>
    <t>DONATION TO DANTES CANLAS FOR HIS BURIAL EXPENSES QR: 0323220030</t>
  </si>
  <si>
    <t xml:space="preserve">Juan S. Dela Cruz </t>
  </si>
  <si>
    <t>DONATION TO NICOLE JOHN DELA CRUZ FOR HIS BURIAL EXPENSES QR: 0323220029</t>
  </si>
  <si>
    <t xml:space="preserve">Milfred Dela Torre Dizon </t>
  </si>
  <si>
    <t>DONATION RO ALFREDO DIZON FOR HIS HOSPITAL BILL QR: 0323220018</t>
  </si>
  <si>
    <t xml:space="preserve">Neriza de Jesus Serrano </t>
  </si>
  <si>
    <t>DONATION TO RAY ALLAN SERRANO FOR HIS HOSPITAL BILL QR: 0323220019</t>
  </si>
  <si>
    <t xml:space="preserve">Lagrimas M. Cruz </t>
  </si>
  <si>
    <t>DONATION TO EFREN CRUZ FOR HIS HOSPITAL BILL QR: 0323220021</t>
  </si>
  <si>
    <t xml:space="preserve">Myrna M. Lobo </t>
  </si>
  <si>
    <t>DONATION TO RUBY MAGNO FOR HER HOSPITAL BILL QR: 0323220028</t>
  </si>
  <si>
    <t xml:space="preserve">Rogelio S. Tayo </t>
  </si>
  <si>
    <t>DONATION TO SOLEDAD TAYO FOR HER MEDICAL NEEDS QR: 0323220017</t>
  </si>
  <si>
    <t xml:space="preserve">Teresita M. Quinto </t>
  </si>
  <si>
    <t>DONATION TO CLIENT FOR HER MEDICAL NEEDS QR: 0323220025</t>
  </si>
  <si>
    <t xml:space="preserve">Keith Nariz D. Adraneda </t>
  </si>
  <si>
    <t>DONATION TO REMEDIOS DELA CRUZ FOR HER MEDICAL NEEDS QR: 0323220020</t>
  </si>
  <si>
    <t xml:space="preserve">Paul John C. Cruz </t>
  </si>
  <si>
    <t>DONATION TO ARMANDO CRUZ FOR HIS MEDICAL NEEDS QR: 0323220023</t>
  </si>
  <si>
    <t xml:space="preserve">Earvin Randolph D. Cruz </t>
  </si>
  <si>
    <t>DONATION TO LUCIA DE LEON FOR HER MEDICAL NEEDS QR: 0323220026</t>
  </si>
  <si>
    <t xml:space="preserve">Gina M. Santiago </t>
  </si>
  <si>
    <t>DONATION TO CLIENT FOR HER MEDICAL NEEDS QR: 0323220027</t>
  </si>
  <si>
    <t xml:space="preserve">Melencio M. Eracho </t>
  </si>
  <si>
    <t>DONATION TO MARITES ERACHO FOR HER HOSPITAL BLL QR: 0323220031</t>
  </si>
  <si>
    <t>DONATION TO SANDY AGTUNONG FOR HIS BURIAL EXPENSES QR: 0323220022</t>
  </si>
  <si>
    <t>Payment of fuel consumption for the period of April 04-10, 2022 ( LEGAL)</t>
  </si>
  <si>
    <t>Payment of fuel consumption for the period of March 21 - 27, 2022 (MDH)</t>
  </si>
  <si>
    <t>Payment of fuel consumption for the period of April 04-10, 2022 (BCMH)</t>
  </si>
  <si>
    <t>Payment of fuel consumption for the period of April 11-17, 2022 (BCMH)</t>
  </si>
  <si>
    <t>Reimbursement of the amount paid for LTO Registration of Fourteen (14) Services vehicle</t>
  </si>
  <si>
    <t>Reimbursement of the amount paid for LTO Registration of Eight (8) Services vehicle</t>
  </si>
  <si>
    <t>Payment of fuel consumption for the period of March 28 - April 03, 2022 (LEGAL)</t>
  </si>
  <si>
    <t>Servico Trade Inc- Parts &amp; Labor for the 3000 km preventive maintenance Kawasaki Bigbike 650cc MV3729 of MBDA owned by the Provincial Government of Bataan</t>
  </si>
  <si>
    <t>Servico Trade Inc- Parts &amp; Labor for the 9000 km preventive maintenance Kawasaki Bigbike 650cc MV3722 of MBDA owned by the Provincial Government of Bataan</t>
  </si>
  <si>
    <t>ICT Equipment for BPML: Battle of Bataan Gallery to be used of CHPD</t>
  </si>
  <si>
    <t>Laboratory Reagents for the use of Orani District Hospital</t>
  </si>
  <si>
    <t>Servico Trade Inc-Parts &amp; Labor for the 9000 km preventive maintenance Kawasaki Bigbike 650cc MV3730 of MBDA owned by the Provincial Government of Bataan</t>
  </si>
  <si>
    <t>Office materials for Clearance Processing Operation of NBI Bataan District Office located inside the 1Bataan Command Center, Dona, Orani, Bataan</t>
  </si>
  <si>
    <t>Parts and labor for 50,000 km preventive maintenance check-up of Toyota Hilux P1P649 of PEO owned by the Provincial Government of Bataan</t>
  </si>
  <si>
    <t>Snacks for the 2022 National Women's Month Celebration (Culmination Activity) at Camp PFC Cirilo S Tolentino, Balanga City, Bataan on March 31, 2022</t>
  </si>
  <si>
    <t xml:space="preserve">Quadgen Pharmaceutical </t>
  </si>
  <si>
    <t>Laboratory Supplies for various district Hospitals and vaccination sites during Covid-19 Pandemic</t>
  </si>
  <si>
    <t>Printing of PTO Letterhead &amp; Mailing Envelope, with Logo for use in the Provincial Treasurer's Office</t>
  </si>
  <si>
    <t xml:space="preserve">Wyn's Gen Manpower Services &amp; Enterprises Corp. </t>
  </si>
  <si>
    <t>Replacement of one (1) pc 3SM battery for Toyota Fortuner SHV-258 of PGO owned by the Provincial Government of Bataan</t>
  </si>
  <si>
    <t>Snacks to be served on Galing! Bataan Brand Development Program-Technical Working Group Meeting on March 31, 2022</t>
  </si>
  <si>
    <t>Meals and Snacks to be served on Galing! Bataan Awards for MSMEs Board of Judges Meeting on March 25, 2022</t>
  </si>
  <si>
    <t>Reimbursement of Preventive maintenance changeoil &amp; checkup 40,000 km service vehicle Starex CRDI MU8265 c/o Vice Governor Ma. Cristina M. Garcia</t>
  </si>
  <si>
    <t xml:space="preserve">Charmeen S. Gloria </t>
  </si>
  <si>
    <t>Non accountable forms for the use of Jose C Payumo Jr Memorial Hospital, Dinalupihan, Bataan</t>
  </si>
  <si>
    <t>Reimbursement of Newborn Hearing Kit for the use of Orani District Hospital</t>
  </si>
  <si>
    <t xml:space="preserve">Octa Enterprises </t>
  </si>
  <si>
    <t>Replacement of detective hard disk drive for Laptop</t>
  </si>
  <si>
    <t xml:space="preserve">Copylandia Office Systems Corporation </t>
  </si>
  <si>
    <t>RISO ink for the use of Jose C Payumo Jr Memorial Hospital Dinalupihan, Bataan</t>
  </si>
  <si>
    <t>Parts &amp; Labor for the replacement of Magnetic clutch &amp; other defective parts of Toyota Hilux VV0143 of MBDA owned by the Provincial Government of Bataan</t>
  </si>
  <si>
    <t>Lunch for Bataan Provincial- Wide Settlement of Issues of Indegenous Cultural Communities/ Indigenous (ICCs/IPS) on March 9, 2022</t>
  </si>
  <si>
    <t xml:space="preserve">CMC Tire &amp; Service Centre </t>
  </si>
  <si>
    <t>Materials Needed for One Year Change Oil / Preventive Maintenance for the Vehicle Assigned to the Office of the Governor Toyota Innova with Plate Number SHJ-962</t>
  </si>
  <si>
    <t>Assorted marine products for the consumption of Covid Patients and Staff of Mega Processing Facility from January 1-15, 2022 during COVID - 19 Pandemic</t>
  </si>
  <si>
    <t>Meals and Snacks to be served during the conduct of PDRRMC Meeting re; Validation of Score Card (Adapt of NRC: Human Development and Environment) on March 14, 2022 at MBDA Conference Room, Command Center, Orani Bataan</t>
  </si>
  <si>
    <t>Trolley to be used in the Provincial Budget Office</t>
  </si>
  <si>
    <t xml:space="preserve">Balanga Auto Supply </t>
  </si>
  <si>
    <t>Other Supplies for the use of MBDA</t>
  </si>
  <si>
    <t>Servico Trade Inc-Parts &amp; Labor for the 12,000 km preventive maintenance Kawasaki Bigbike 650cc MV3541 AND Replacement of other deffective parts of MBDA owned by the Provincial Government of Bataan</t>
  </si>
  <si>
    <t>Servico Trade Inc- Parts &amp; Labor for the 12,000 km preventive maintenance Kawasaki Bigbike 650cc MV3536 AND Replacement of other deffective parts of MBDA owned by the Provincial Government of Bataan</t>
  </si>
  <si>
    <t>Snack &amp; Lunch to be served in the Municipal Agricultural Engineering Coordinator's meeting to be hold on March 31, 2022 at Pantingan, Pilar, Bataan</t>
  </si>
  <si>
    <t>Ink for Hp Smart Tank 500 and Canon G1020 printer for the use of Provincial Engineer's Office</t>
  </si>
  <si>
    <t>PMS 50,000 KM AND REPAIR THE DEFECTIVES PARTS OF THE VEHICLE ASSIGNED TO THE OFFICE OF THE GOVERNOR NAMELY OUR TOYOTA FORTUNER 4X2G DSL A/T WITH CONDUCTION STICKER P5M142</t>
  </si>
  <si>
    <t>Parts &amp; Labor for the 40,000 km preventive maintenance Toyota Hilux FX S0S287 of MBDA owned by the Provincial Government of Bataan</t>
  </si>
  <si>
    <t>Meals for the REGULAR Session of Sangguniang Panlalawigan on March 14, 2022</t>
  </si>
  <si>
    <t>Bix Subic Bay Corporation-f two (2) pieces toner for the copier in the office of the SP Secretariat</t>
  </si>
  <si>
    <t xml:space="preserve">Karpa II Security Services </t>
  </si>
  <si>
    <t>Security services rendered by 72 security guards deployed at Capitol Compound City of Balanga Bataan for MArch 1-31, 2022</t>
  </si>
  <si>
    <t xml:space="preserve">St. Moritz Security Agency, Inc. </t>
  </si>
  <si>
    <t>Security Services for Bataan General Hospital &amp; Medical Center for the period covered from March 1-31, 2022</t>
  </si>
  <si>
    <t xml:space="preserve">Jessica M. Sarmiento </t>
  </si>
  <si>
    <t>DONATION TO CARL JUSTINE MANZAN FOR HIS HOSPITAL BILL QR: 0406220006</t>
  </si>
  <si>
    <t>DONATION FOR THE HOSPITAL BILLS AND MEDICAL NEEDS COVERING THE PERIOD FEBRUARY 28 MARCH 4, 2022</t>
  </si>
  <si>
    <t>Payment for the funeral services under the Libreng Libing Program for the period January 31, February 4, 5, 14 and 17, 2022</t>
  </si>
  <si>
    <t xml:space="preserve">Legarda V. Goliat </t>
  </si>
  <si>
    <t>DONATION TO CLIENT FOR HER MEDICAL NEEDS QR: 0317220007</t>
  </si>
  <si>
    <t>RATA for the month of May, 2022</t>
  </si>
  <si>
    <t>Payment of fuel consumption for the period of March 28 - April 3, 2022 (BJMP)</t>
  </si>
  <si>
    <t>Replenishment of Emergency Purchase of NBB Patients of JPMH for the period from April 27 - 30, 2022</t>
  </si>
  <si>
    <t>Payment of electric bill of CCTV for the month of March 2022</t>
  </si>
  <si>
    <t>Payment of Materials and labor for the extension of Three Phase primary Line (Rice Processing), Sunrise Compound, Brgy Orani, Bataan</t>
  </si>
  <si>
    <t>Payment of Materials and labor for the extension of Three Phase primary Line ( Evacuation Center), Sunrise Compound, Brgy Orani, Bataan</t>
  </si>
  <si>
    <t>Payment of Water bill for Bataan Tricycle terminal, Balanga City for the month of February - March, 2022</t>
  </si>
  <si>
    <t>Payment of Water bill for Balsik Checkpoint for the month January of April 2022</t>
  </si>
  <si>
    <t>Janitorial services rendered by 12 utility personnel in Bataan Geneal hospital Annex for MArch 1-31, 2022</t>
  </si>
  <si>
    <t>Replenishment of Revolving Fund for payment of donation to indigent constituents from Province of Bataan (May 04, 2022)</t>
  </si>
  <si>
    <t xml:space="preserve">Julio Jose B. Tuazon </t>
  </si>
  <si>
    <t>Payment of his step increment differential for the period January 2, 2022 to April 30, 2022</t>
  </si>
  <si>
    <t xml:space="preserve">Jonna Jane J. Austria </t>
  </si>
  <si>
    <t>Payment of her salary differential for the period March 23 - April 30, 2022</t>
  </si>
  <si>
    <t xml:space="preserve">Bernadette Manahan </t>
  </si>
  <si>
    <t>Payment of her salary differential as Nurse III for the period of March 1-31, 2022</t>
  </si>
  <si>
    <t>Payment of her salary for the period of April 1-30, 2022</t>
  </si>
  <si>
    <t xml:space="preserve">Karen B. Malibunas </t>
  </si>
  <si>
    <t xml:space="preserve">Melissa L. Hermosa </t>
  </si>
  <si>
    <t xml:space="preserve">Gilbert M. Atuan </t>
  </si>
  <si>
    <t>Payment of his salary for the period of April 1-30, 2022</t>
  </si>
  <si>
    <t xml:space="preserve">Jeffrey M. Omagap </t>
  </si>
  <si>
    <t>Replenishment of Revolving Fund for payment of donation to indigent constituents from Province of Bataan (March25, 2022)</t>
  </si>
  <si>
    <t>Remittance of Pag-ibig MPL &amp; calamity loan JO employees  April 2022</t>
  </si>
  <si>
    <t>Remittance of Pag-ibig contribution JO employees  for  April 2022</t>
  </si>
  <si>
    <t xml:space="preserve">Maridel C. Datu </t>
  </si>
  <si>
    <t>Payment of her 105 days maternity leave for the period of February 21 - June 5, 2022</t>
  </si>
  <si>
    <t xml:space="preserve">Krizzia Anne V. Ilagan </t>
  </si>
  <si>
    <t>Payment of her 105 days maternity leave for the period of March 25 - July 7, 2022</t>
  </si>
  <si>
    <t>Payment of monthly subscription plan for the period of April 18 - May 17, 2022</t>
  </si>
  <si>
    <t xml:space="preserve">Danica Lolita C. Tigas </t>
  </si>
  <si>
    <t>Payment of his salary differential for the period of March to April, 2022</t>
  </si>
  <si>
    <t>Payment of meals and snacks incurred for ODH during Covid19 pandemic.</t>
  </si>
  <si>
    <t>Payment of telephone expenses (237 - 2414) for the period of April 18 - May 17, 2022</t>
  </si>
  <si>
    <t>DONATION FOR THE HOSPITAL BILLS COVERING THE PERIOD MARCH 21-25, 2022</t>
  </si>
  <si>
    <t>DONATION FOR THE HOSPITAL BILLS AND MEDICAL NEEDS COVERING THE PERIOD MARCH 21-25, 2022</t>
  </si>
  <si>
    <t>DONATION FOR THE HOSPITAL BILLS COVERING THE PERIOD APRIL 4-6, 2022</t>
  </si>
  <si>
    <t xml:space="preserve">Zenaida S. Sulit </t>
  </si>
  <si>
    <t>DONATION TO CLIENT FOR HER HOSPITAL BILL QR: 0411220020</t>
  </si>
  <si>
    <t xml:space="preserve">Cindy D. Santos </t>
  </si>
  <si>
    <t>DONATION TO EDGARD SANTOS FOR HIS MEDICAL NEEDS QR: 0411220011</t>
  </si>
  <si>
    <t xml:space="preserve">Gerard Emmanuel V. Reyes </t>
  </si>
  <si>
    <t>DONATION TO JESUSA REYES FOR HER HOSPITAL BILL QR: 0406220007</t>
  </si>
  <si>
    <t xml:space="preserve">Danica Angel B. Torres </t>
  </si>
  <si>
    <t>DONATION TO BERNARDO TORRES FOR HIS BURIAL EXPENSES QR: 0325220011</t>
  </si>
  <si>
    <t xml:space="preserve">John Dominic G. Morales </t>
  </si>
  <si>
    <t>DONATION TO DINDO MORALES FOR HIS BURIAL EXPENSES QR: 0325220013</t>
  </si>
  <si>
    <t xml:space="preserve">Lolita B. Paragatos </t>
  </si>
  <si>
    <t>DONATION TO FERDINAND TUNGUIA FOR HIS HOSPITAL BILL QR: 0325220004</t>
  </si>
  <si>
    <t xml:space="preserve">Danilo G. Muñoz </t>
  </si>
  <si>
    <t>DONATION TO JEANNELL MUñOZ AND SCHAAN DANIEL MUñOZ FOR THEIR HOSPITAL BILLS QR: 0325220005</t>
  </si>
  <si>
    <t xml:space="preserve">Helen T. Cruz </t>
  </si>
  <si>
    <t>DONATION TO ERNESTO VALDEZ FOR HIS HOSPITAL BILL QR: 0325220002</t>
  </si>
  <si>
    <t xml:space="preserve">Honey Dela Cruz Gozon </t>
  </si>
  <si>
    <t>DONATION TO NORMA DELA CRUZ FOR HER HOSPITAL BILL QR: 0325220003</t>
  </si>
  <si>
    <t xml:space="preserve">Leilani O. Petalberos </t>
  </si>
  <si>
    <t>DONATION TO RODORA OMA FOR HER HOSPITAL BILL QR: 0325220012</t>
  </si>
  <si>
    <t xml:space="preserve">Jonalyn R. Calma </t>
  </si>
  <si>
    <t>DONATION TO YUAN CALMA FOR HIS HOSPITAL BILL QR: 0325220018</t>
  </si>
  <si>
    <t xml:space="preserve">Alexander C. Martinez </t>
  </si>
  <si>
    <t>DONATION TO SARALLE MARTINEZ FOR HER MEDICAL NEEDS QR: 0325220021</t>
  </si>
  <si>
    <t xml:space="preserve">Minnie D. Palermo </t>
  </si>
  <si>
    <t>DONATION TO FILOMENA DIZON FOR HER MEDICAL NEEDS QR: 0325220014</t>
  </si>
  <si>
    <t>DONATION TO JUAN BAHIA JR. FOR HIS BURIAL EXPENSES QR: 0322220018</t>
  </si>
  <si>
    <t xml:space="preserve">Jaypee C. Ocampo </t>
  </si>
  <si>
    <t>DONATION TO ELLIE MARGAUX OCAMPO FOR HER BURIAL EXPENSES QR: 0325220016</t>
  </si>
  <si>
    <t xml:space="preserve">Bernaldo Jr. S. Duran </t>
  </si>
  <si>
    <t>DONATION TO CLIENT FOR PURCHASE OF BASIC NECESSITIES QR: 0325220010</t>
  </si>
  <si>
    <t xml:space="preserve">Jezrehl L. Dela Rosa </t>
  </si>
  <si>
    <t>DONATION TO ELVIRA DELA ROSA FOR HER HOSPITAL BILL AND MEDICAL NEEDS QR: 0325220001</t>
  </si>
  <si>
    <t xml:space="preserve">Adrian C. Picar </t>
  </si>
  <si>
    <t>DONATION TO ROGELIO PICAR FOR HIS HOSPITAL BILL QR: 0325220007</t>
  </si>
  <si>
    <t xml:space="preserve">Reggie F. Altura </t>
  </si>
  <si>
    <t>DONATION TO KINA ALYSSA ALTURA FOR HER HOSPITAL BILL QR: 03250008</t>
  </si>
  <si>
    <t xml:space="preserve">Lyra T. Serrano </t>
  </si>
  <si>
    <t>DONATION TO CHLOE ERANDIO FOR HER HOSPITAL BILL QR: 0325220017</t>
  </si>
  <si>
    <t xml:space="preserve">Gemma S. Samson </t>
  </si>
  <si>
    <t>DONATION TO RODELIO SALVADOR FOR HIS HOSPITAL BILL QR: 0325220025</t>
  </si>
  <si>
    <t xml:space="preserve">Mary Ann H. Bagtas </t>
  </si>
  <si>
    <t>DONATION TO CORAZON TRINIDAD FOR HER HOSPITAL BILL QR: 0325220027</t>
  </si>
  <si>
    <t xml:space="preserve">Antonio S. Dimacali </t>
  </si>
  <si>
    <t>DONATION TO GREGORIA DIMACALI FOR HER MEDICAL NEEDS QR: 0325220022</t>
  </si>
  <si>
    <t xml:space="preserve">May C. Medina </t>
  </si>
  <si>
    <t>DONATION TO JOEY MEDINA FOR HIS MEDICAL NEEDS QR: 0325220023</t>
  </si>
  <si>
    <t xml:space="preserve">Judith D. Lapada </t>
  </si>
  <si>
    <t>DONATION TO JERICHA LAPADA FOR HER MEDICAL NEEDS QR: 0325220028</t>
  </si>
  <si>
    <t xml:space="preserve">Ma. Rudilyn L. Escartin </t>
  </si>
  <si>
    <t>DONATION TO MAUREEN LOYOLA FOR HER MEDICAL NEEDS</t>
  </si>
  <si>
    <t>Payment of Security Services rendered by 158 Security Guards deployed in Bataan Command Center, Motorpool, Bataan Tourism Center, Bataan Provincial Health Office, OIC Det. Com., JPMH, ODH, BCMH EROAD ALAS-ASIN, &amp; Mariveles District Hospital for the month of March 1-31, 2022</t>
  </si>
  <si>
    <t>Reimbursement for market purchase of MDH for the period of April 02-22, 2022</t>
  </si>
  <si>
    <t>Replenishment of incidental expenses and Daily market purchase of BCMH from April 1-15, 2022</t>
  </si>
  <si>
    <t>Replenishment of cash advence for emergency purchases of JPMH from April 26, 2022 to April 27, 2022</t>
  </si>
  <si>
    <t>Payment of internet landline of JPMH for the period of April 21, 2022 to May 20, 2022</t>
  </si>
  <si>
    <t>Payment of telephone bill for hotline (047) 613-8888/ 652661831, 1Bataan Command Center / MBDA Office for the month period up to March 17 - April 16, 2022</t>
  </si>
  <si>
    <t>Monthly subscription fee on ASDN Pri Service for the 911 hotline/ 876484499 for the month March 27 - April 26, 2022</t>
  </si>
  <si>
    <t>Payment of telephone bill for hotline 911/653746601, 1Bataan Command Center/ MBDA Office for the month period up to March 17 - April 16, 2022</t>
  </si>
  <si>
    <t>Payment for telephone bill and internet for the period of March 17 - April 16, 2022</t>
  </si>
  <si>
    <t>Payment of fuel consumption for the period of March 28 - April 3, 2022 (PGSO) A9W 631</t>
  </si>
  <si>
    <t>Payment of fuel consumption for the period of April 04-10, 2022 (PGSO)</t>
  </si>
  <si>
    <t>Payment of fuel consumption for the period of March 14 -20, 2022 (PGSO)</t>
  </si>
  <si>
    <t>Payment of fuel consumption for the period of April 18-24, 2022 (BCMH)</t>
  </si>
  <si>
    <t>Payment of fuel consumption for the period of March 21 - 27, 2022 (PGSO)</t>
  </si>
  <si>
    <t>Payment of fuel on different service vehicle used by PPDO, SOCO, OPA &amp; PHO March 21-27, 2022</t>
  </si>
  <si>
    <t>Payment of fuel consumption for the period of March 28 - April 3, 2022 (PGSO) SHP-848</t>
  </si>
  <si>
    <t>Payment of Billboard, Tarpaulin with Full Wood Farm, Tarpaulin, Sticker on Acrylic Signages to be used for No Contact Apprehension, MDH, Tarp, NBI Tarps, Stickers and Acrylic Collatgs dated January 7,17,18, and February 8, 2022</t>
  </si>
  <si>
    <t>Payment of meals incurred during Visit of Vice President Leni Robredo and Visit of Former VP Jojo Binar and Senator Nancy Binay</t>
  </si>
  <si>
    <t xml:space="preserve">Toyota Bataan Inc. </t>
  </si>
  <si>
    <t>Parts and Labor for Preventive maintenance for 100,000 km check-up for Toyota Innova A4U 964</t>
  </si>
  <si>
    <t xml:space="preserve">D.N. Vigo Machine Shop </t>
  </si>
  <si>
    <t>Parts and Labor for the replacement of rack end pinion and resurface of brake drum and rotor disc of Adventure SHS-907 of PEO owned by the Provincial Government of Bataan</t>
  </si>
  <si>
    <t>Health Material for Clearance Processing operation of NBI Bataan District Office located inside the 1Bataan Command Center, Dona, Orani, Bataan</t>
  </si>
  <si>
    <t xml:space="preserve">Maria Teresa Guiao's Furniture </t>
  </si>
  <si>
    <t>Pedestal cabinet as storage of documents and other supplies to be used of CHPD</t>
  </si>
  <si>
    <t>Parts and labor for replacement of four (4) tire and ball joint for the vehicle assigned to the Office of the Governor Toyota Innova with plate number SHJ-962</t>
  </si>
  <si>
    <t xml:space="preserve">BJ2 Foods Corporation </t>
  </si>
  <si>
    <t>Meals for the Vaccination Area (Bataan People's Center) from January 2022 during Covid-19 Pandemic</t>
  </si>
  <si>
    <t>RISO INK and RISO Master for the use of PGSO</t>
  </si>
  <si>
    <t>Office Supplies for the used of MBDA</t>
  </si>
  <si>
    <t>2 Laptop for PITO for the Development and Enhancement Program of RPT Online Portal System and Centralize System for 1Bataan</t>
  </si>
  <si>
    <t>Meals and Snacks for Water Search and Rescue Response System. Strategy and Tactics Training on March 7-11, 2022 at Black Sand Resort Bagac and Sibul Spring Resort Abucay, Bataan</t>
  </si>
  <si>
    <t xml:space="preserve">CMC Tire and Service Centre </t>
  </si>
  <si>
    <t>Materials Needed for One Year Change Oil / Preventive Maintenance for the Vehicle Assigned to the Office of the Governor Toyota Innova with Plate Number SJG-485</t>
  </si>
  <si>
    <t>Double deck bed with mattress for the use in Bataan Drug Rehabilitation Center</t>
  </si>
  <si>
    <t>Other Supplies and Materials (Audio and Visual Equipment and Supplies) to be used by Provincial Disaster Risk Reduction and Management Office</t>
  </si>
  <si>
    <t>1 unit Desktop Computer as a dedicated server of the eBudget System roll-out/digitalization of budgeting process of local government units</t>
  </si>
  <si>
    <t>Replenishment of Revolving Fund for payment of donation to indigent constituents from Province of Bataan (May 05-06)</t>
  </si>
  <si>
    <t>Supply, delivery and distribution of Goods to Bataan Constituents as Tulong Mula sa Pamahalaan during Covid-19 pandemic</t>
  </si>
  <si>
    <t>Parts and Labor for the 5,000 kilometers for preventive maintenance of HiAce Commuter Van S2Q209 for the use of PHO</t>
  </si>
  <si>
    <t>Replacement of defective timing belt of Adventure SHS-907 of PEO owned by the Provincial Government of Bataan</t>
  </si>
  <si>
    <t>Parts and Labor for Installation of 3M Customized Matting for Innova and Bosch Silver of the Vehicle Assigned to the Office of the Governor Toyota Innova with Plate / Conduction Sticker A9R043</t>
  </si>
  <si>
    <t>Office Supplies (Barcode sticker-MOLEC) for the use of Mariveles District Hospital</t>
  </si>
  <si>
    <t>PMS 10,000 KM and Repair the defectives parts of the vehicle assigned to the Office of the Governor namely our Toyota Commuter Deluxe with conduction sticker S2Q208</t>
  </si>
  <si>
    <t>Janitorial Supplies for Stock Purposes</t>
  </si>
  <si>
    <t>Replace and repair the defectives parts of the vehicle assigned to the office of the governor toyota 2018 / hiace gl grandia dsl / at with conduction sticker a5n033</t>
  </si>
  <si>
    <t>Office Supplies for Stock Purposes</t>
  </si>
  <si>
    <t>To Payment for thrirty pcs. (30) Commercial checkbooks</t>
  </si>
  <si>
    <t xml:space="preserve">Isaac and Catalina Medical Center </t>
  </si>
  <si>
    <t>DONATION FOR THE HOSPITAL BILL COVERING THE PERIOD MARCH 29, 2022</t>
  </si>
  <si>
    <t>DONATION FOR THE HOSPITAL BILLS COVERING THE PERIOD APRIL 4-7, 2022</t>
  </si>
  <si>
    <t xml:space="preserve">Soledad M. Vibal </t>
  </si>
  <si>
    <t>DONATION TO MARISOL MONTEVIRGEN FOR HER BURIAL EXPENSES QR: 0425220003</t>
  </si>
  <si>
    <t xml:space="preserve">Elenita Q. Alegarbes </t>
  </si>
  <si>
    <t>DONATION TO IGNACIO ALEGARBES FOR HIS HOSPITAL BILL, PROFESSIONAL FEE AND MEDICAL NEEDS QR: 0425220002</t>
  </si>
  <si>
    <t xml:space="preserve">Evelinda B. Agliam </t>
  </si>
  <si>
    <t>DONATION TO PRINCESS KIM AGLIAM FOR HER HOSPITAL BILL AND MEDICAL NEEDS QR: 0425220001</t>
  </si>
  <si>
    <t xml:space="preserve">Ma. Kristina Bernadette A. Gimena </t>
  </si>
  <si>
    <t>DONATION TO MILA ANGELES FOR HER HOSPITAL BILL QR: 0425220005</t>
  </si>
  <si>
    <t xml:space="preserve">Teresita M. Siasat </t>
  </si>
  <si>
    <t>DONATION TO ANTONIO SIASAT FOR HIS HOSPITAL BILL QR: 0425220004</t>
  </si>
  <si>
    <t xml:space="preserve">Ronald Y. Javier </t>
  </si>
  <si>
    <t>DONATION TO RIZELLE JAVIER AND RYZER THEON JAVIER FOR THIER HOSPITAL BILL QR: 0427220008</t>
  </si>
  <si>
    <t xml:space="preserve">Paul John Abdul L. Cabrera </t>
  </si>
  <si>
    <t>DONATION TO PHILIP CABRERA FOR HIS HOSPITAL BILL QR: 0427220005</t>
  </si>
  <si>
    <t xml:space="preserve">Maria Dolores T. Ladines </t>
  </si>
  <si>
    <t>DONATION TO BENEDICTO LANDINES FOR HIS HOSPITAL BILL QR: 0427220010</t>
  </si>
  <si>
    <t xml:space="preserve">Michelle B. Salandanan </t>
  </si>
  <si>
    <t>DONATION TO ROLANDO SALANDANAN FOR HIS HOSPITAL BILL QR: 0426220004</t>
  </si>
  <si>
    <t xml:space="preserve">Remedios C. Tolentino </t>
  </si>
  <si>
    <t>DONATION TO CLIENT FOR HER MEDICAL NEEDS QR: 0427220009</t>
  </si>
  <si>
    <t xml:space="preserve">Maricris M. Medina </t>
  </si>
  <si>
    <t>DONATION TO RONALDO MEDINA FOR HIS MEDICAL NEEDS QR: 0427220004</t>
  </si>
  <si>
    <t xml:space="preserve">Imelda M. Vinzon </t>
  </si>
  <si>
    <t>DONATION TO CLIENT FOR HER MEDICAL NEEDS QR: 0427220007</t>
  </si>
  <si>
    <t xml:space="preserve">Erlinda A. Blanas </t>
  </si>
  <si>
    <t>DONATION TO CLIENT FOR HER MEDICAL NEEDS QR: 0426220003</t>
  </si>
  <si>
    <t xml:space="preserve">Liezel S. Mira </t>
  </si>
  <si>
    <t>DONATION TO REYNIDA SABADO FOR HER MEDICAL NEEDS QR: 0427220006</t>
  </si>
  <si>
    <t xml:space="preserve">Emerech E. Mendoza </t>
  </si>
  <si>
    <t>DONATION TO CLIENT FOR HER MEDICAL NEEDS QR: 0427220003</t>
  </si>
  <si>
    <t xml:space="preserve">Jay Pee N. Layug </t>
  </si>
  <si>
    <t>DONATION TO VIRGIE LAYUG FOR HER MEDICAL NEEDS QR: 0419220001DIN</t>
  </si>
  <si>
    <t xml:space="preserve">Carmi D. Marcelo </t>
  </si>
  <si>
    <t>DONATION TO JOCELYN MARCELO FOR HER MEDICAL NEEDS QR: 0411220018</t>
  </si>
  <si>
    <t xml:space="preserve">Ana Marry P. Punzalan </t>
  </si>
  <si>
    <t>DONATION TO AURORA PATDU FOR HER BURIAL EXPENSES QR: 0411220007</t>
  </si>
  <si>
    <t xml:space="preserve">Kaceelyn M. Silva </t>
  </si>
  <si>
    <t>DONATION TO CHLOE BASI FOR HER MEDICAL NEEDS QR: 0411220012</t>
  </si>
  <si>
    <t xml:space="preserve">Jennie T. Cruz </t>
  </si>
  <si>
    <t>DONATION TO NONIETO TRINIDAD FOR HIS HOSPITAL BILL QR: 0411220022</t>
  </si>
  <si>
    <t>DONATION TO NORIE VIEN CORAñ FOR HIS BURIAL EXPENSES QR: 0411220001</t>
  </si>
  <si>
    <t xml:space="preserve">Cesar V. Aguirre Sr. </t>
  </si>
  <si>
    <t>DONATION TO CLIENT FOR HIS HOSPITAL BILL QR: 0411220014</t>
  </si>
  <si>
    <t>DONATION TO ROMEO GATDULA FOR HIS BURIAL EXPENSES QR: 0411220010</t>
  </si>
  <si>
    <t xml:space="preserve">Salita T. Quicho </t>
  </si>
  <si>
    <t>DONATION TO ROCHELLE QUICHO FOR HER HOSPITAL BILL QR: 0411220016</t>
  </si>
  <si>
    <t xml:space="preserve">Annie Rose M. Dillumas </t>
  </si>
  <si>
    <t>DONATION TO ADORA DILLUMAS FOR HER HER BURIAL EXPENSES QR: 0411220009</t>
  </si>
  <si>
    <t xml:space="preserve">Mary Faith C. Labog </t>
  </si>
  <si>
    <t>DONATION TO MARK ALFRED LABOG FOR HIS MEDICAL NEEDS QR: 0411220015</t>
  </si>
  <si>
    <t>DONATION TO MIGUEL MATITO FOR HIS BURIAL EXPENSES QR: 0411220021</t>
  </si>
  <si>
    <t xml:space="preserve">Benny F. Loyola </t>
  </si>
  <si>
    <t>DONATION TO KYLE BENJAMIN LOYOLA FOR HIS MEDICAL NEEDS QR: 0411220006</t>
  </si>
  <si>
    <t xml:space="preserve">Ariel R. Orias </t>
  </si>
  <si>
    <t>DONATION TO MARY ANN DOSAL FOR HER HOSPITAL BILL QR: 0411220002</t>
  </si>
  <si>
    <t xml:space="preserve">Bobby Jo M. Sapuyot </t>
  </si>
  <si>
    <t>DONATION TO CLARO SAPUYOT / LIMAY BATAAN QR: 041122013</t>
  </si>
  <si>
    <t xml:space="preserve">Norman U. Saplala </t>
  </si>
  <si>
    <t>DONATION TO CLIENT FOR HIS MEDICAL NEEDS QR: 0406220002</t>
  </si>
  <si>
    <t xml:space="preserve">Sharon S. Datu </t>
  </si>
  <si>
    <t>DONATION TO JOSHUA DANIEL FOR HIS MEDICAL NEEDS QR: 0405220010</t>
  </si>
  <si>
    <t xml:space="preserve">Lilia M. Moreno </t>
  </si>
  <si>
    <t>DONATION TO RODOLFO MANIANGAP FOR HIS BURIAL EXPENSES QR: 0406220004</t>
  </si>
  <si>
    <t xml:space="preserve">Imelda A. Velasco </t>
  </si>
  <si>
    <t>DONATION TO CLIENT FOR PURCHASE OF BASIC NECESSITIES QR: 0406220012</t>
  </si>
  <si>
    <t xml:space="preserve">Arturo P. Magdalera </t>
  </si>
  <si>
    <t>DONATION TO ARMANDO MAGDALERA FOR HIS HOSPITAL BILL QR: 0405220008</t>
  </si>
  <si>
    <t xml:space="preserve">Alfredo Jr. M. Tolentino </t>
  </si>
  <si>
    <t>DONATION TO CONOR MCGYVER TOLENTINO FOR HIS MEDICAL NEEDS QR: 0405220003</t>
  </si>
  <si>
    <t xml:space="preserve">Edlyn Rosales </t>
  </si>
  <si>
    <t>DONATION TO MARY ROSE ROSALES FOR HER HOSPITAL BILL QR: 0405220011</t>
  </si>
  <si>
    <t xml:space="preserve">Estela Oliveria </t>
  </si>
  <si>
    <t>Payment of Allowance for the month of April 2022</t>
  </si>
  <si>
    <t xml:space="preserve">Emmanuel Larioza </t>
  </si>
  <si>
    <t xml:space="preserve">Frances Cabuquit </t>
  </si>
  <si>
    <t>Payment of service rendered for the month of April 2022</t>
  </si>
  <si>
    <t xml:space="preserve">Karla Alba-Alfonso </t>
  </si>
  <si>
    <t>Alfonso-Payment of service rendered for the month of April 2022</t>
  </si>
  <si>
    <t xml:space="preserve">Romielyn Salazar </t>
  </si>
  <si>
    <t xml:space="preserve">Reimond Agana </t>
  </si>
  <si>
    <t xml:space="preserve">Philip Cruz </t>
  </si>
  <si>
    <t>Payment of allowance for the month of April 2022</t>
  </si>
  <si>
    <t>Buban- Payment of allowance for the month of April 2022</t>
  </si>
  <si>
    <t xml:space="preserve">Damaso Asuncion Jr. </t>
  </si>
  <si>
    <t>Oamil- Payment of allowance for the month of April 2022</t>
  </si>
  <si>
    <t xml:space="preserve">Juliet Sangalang Salaria </t>
  </si>
  <si>
    <t>Salaria- Payment of allowance for the month of April 2022</t>
  </si>
  <si>
    <t xml:space="preserve">Ludivino Joseph Augusto Tobias Jr. </t>
  </si>
  <si>
    <t xml:space="preserve">Philger Noel Inovejas </t>
  </si>
  <si>
    <t xml:space="preserve">Thea Marie Malcampo </t>
  </si>
  <si>
    <t xml:space="preserve">Sherlyn Ragasa </t>
  </si>
  <si>
    <t xml:space="preserve">Oscar Lasam </t>
  </si>
  <si>
    <t xml:space="preserve">Arceli Punay </t>
  </si>
  <si>
    <t xml:space="preserve">Geraldine Buenaventura </t>
  </si>
  <si>
    <t xml:space="preserve">Romulo Mandocdoc Jr. </t>
  </si>
  <si>
    <t>Allowance for the month of April 2022</t>
  </si>
  <si>
    <t xml:space="preserve">Aileen D. Salenga </t>
  </si>
  <si>
    <t>Payment for Overtime pay for the month of April 2022</t>
  </si>
  <si>
    <t xml:space="preserve">Romalyn Joy David </t>
  </si>
  <si>
    <t xml:space="preserve">Ryan B. Dizon </t>
  </si>
  <si>
    <t>Payment of his first salary for the period of March to April, 2022</t>
  </si>
  <si>
    <t xml:space="preserve">Roberto N. Gonzales </t>
  </si>
  <si>
    <t>DONATION TO PHILIP GONZALES FOR HIS MEDICAL NEEDS QR: 0406220003</t>
  </si>
  <si>
    <t>Reimbursement of gasoline dated March 2-31, 2022</t>
  </si>
  <si>
    <t>Allowance for the month of April, 2022</t>
  </si>
  <si>
    <t>Payment of allowance in Regional Trial Court for the month of April 2022</t>
  </si>
  <si>
    <t xml:space="preserve">Gilbert Argonza </t>
  </si>
  <si>
    <t xml:space="preserve">Leo Visitacion </t>
  </si>
  <si>
    <t xml:space="preserve">Perlito Bautista </t>
  </si>
  <si>
    <t xml:space="preserve">Antonio Ray Ortiguerra </t>
  </si>
  <si>
    <t>Payment of allowance in Regional Trial Court of Bataan for the month of April 2022</t>
  </si>
  <si>
    <t xml:space="preserve">Ruel de Guzman </t>
  </si>
  <si>
    <t xml:space="preserve">Roberto David </t>
  </si>
  <si>
    <t xml:space="preserve">Atty. Romeo de Lemos </t>
  </si>
  <si>
    <t xml:space="preserve">Atty. Rosario Gaspar </t>
  </si>
  <si>
    <t xml:space="preserve">Dominador Masangkay </t>
  </si>
  <si>
    <t xml:space="preserve">Ronald Taguinod </t>
  </si>
  <si>
    <t xml:space="preserve">Marion Jacqueline Poblete </t>
  </si>
  <si>
    <t>Payment of allowance for the period of April 2022</t>
  </si>
  <si>
    <t xml:space="preserve">Jenny Vi Trinidad Laygo </t>
  </si>
  <si>
    <t>Laygo - Payment of allowance for the period of April 2022</t>
  </si>
  <si>
    <t xml:space="preserve">Genseric Gerard Macapanpan </t>
  </si>
  <si>
    <t xml:space="preserve">John Ruiz Gatchalian </t>
  </si>
  <si>
    <t>IGNACIO- Payment of allowance for the month of April 2022</t>
  </si>
  <si>
    <t xml:space="preserve">Atty. Edlyn Almario </t>
  </si>
  <si>
    <t xml:space="preserve">Christopher Cale </t>
  </si>
  <si>
    <t xml:space="preserve">Emmanuel Silva </t>
  </si>
  <si>
    <t xml:space="preserve">Evangeline Antonio </t>
  </si>
  <si>
    <t xml:space="preserve">Paladin Palad </t>
  </si>
  <si>
    <t xml:space="preserve">Allan Balingit </t>
  </si>
  <si>
    <t xml:space="preserve">Joseph Noel Longboan </t>
  </si>
  <si>
    <t xml:space="preserve">Rovelyn Baluyot </t>
  </si>
  <si>
    <t xml:space="preserve">Armilyn P. Incleto </t>
  </si>
  <si>
    <t>Payment of her first salary for the period of March 23-31 to April 1-30, 2022</t>
  </si>
  <si>
    <t xml:space="preserve">Erwin John P. Bautista </t>
  </si>
  <si>
    <t>Payment of first salary for March 17-31, 2022 &amp; April 2022</t>
  </si>
  <si>
    <t xml:space="preserve">Mary Jane T. Cruz </t>
  </si>
  <si>
    <t>Payment of her first salary for the period of March -April, 2022</t>
  </si>
  <si>
    <t xml:space="preserve">Nannette R. Padilla </t>
  </si>
  <si>
    <t>Payment of her salary for the period of March -April, 2022</t>
  </si>
  <si>
    <t xml:space="preserve">Mariam Valencia </t>
  </si>
  <si>
    <t>Payment of monetized leave</t>
  </si>
  <si>
    <t xml:space="preserve">Jeffrey B. Roman </t>
  </si>
  <si>
    <t xml:space="preserve">Jefferson Hidalgo </t>
  </si>
  <si>
    <t>Payment of his salary for the period March - April, 2022</t>
  </si>
  <si>
    <t xml:space="preserve">Karen Tuazon </t>
  </si>
  <si>
    <t>Payment of salary for the period of April , 2022</t>
  </si>
  <si>
    <t xml:space="preserve">Clarence Mencias </t>
  </si>
  <si>
    <t>Payment of her first salary for the period March - April, 2022</t>
  </si>
  <si>
    <t xml:space="preserve">Earl Anthony M. Lingad </t>
  </si>
  <si>
    <t>Payment of first salary for the period of March to April, 2022</t>
  </si>
  <si>
    <t xml:space="preserve">Ginette Lopez </t>
  </si>
  <si>
    <t xml:space="preserve">Hanzel Reiko G. Garcia </t>
  </si>
  <si>
    <t xml:space="preserve">Jayper Merla </t>
  </si>
  <si>
    <t>Payment of salary differential for the month of March - April, 2022</t>
  </si>
  <si>
    <t xml:space="preserve">Crisanta B. Dela Cirna </t>
  </si>
  <si>
    <t>Salary Differential from March - April, 2022</t>
  </si>
  <si>
    <t xml:space="preserve">Wyn's Gen Manpower Services and Enterprises Co. </t>
  </si>
  <si>
    <t>Replacement of shock absorber and moyle of ISUZU JITNEY VAN SHP-848 c/o PGSO</t>
  </si>
  <si>
    <t>Meals and snacks to be served on TWG Agri Data Driven and Financing Insurance Meeting on April 7, 2022</t>
  </si>
  <si>
    <t>Parts and Labor for the 30,000 kilometers for preventive maintenance of HIACE Commuter VAN P7L132 the use of PHO</t>
  </si>
  <si>
    <t>External Hard Drive to be used of CHPD as file backup</t>
  </si>
  <si>
    <t>Payment of fuel on different service vehicle used by PIO, OPA, BJMP-MALE, PPDO, PVO, PGENRO, PCEDO &amp; PHO March 28-April 3, 2022</t>
  </si>
  <si>
    <t>Payment of fuel consumption of PNP for April 4-10, 2022</t>
  </si>
  <si>
    <t>Payment of fuel consumption for the period of March 28 - April 3, 2022 (PGSO) KO S994</t>
  </si>
  <si>
    <t>Payment of fuel consumption for the period of March 21 - 27, 2022 (PGSO) A9W 631</t>
  </si>
  <si>
    <t>Payment of fuel consumption for the period of March 21 - 27, 2022 (PGSO) KOS 994</t>
  </si>
  <si>
    <t>Aircon for the server room of MIS</t>
  </si>
  <si>
    <t>Cash advance for overtime for MArch &amp; April 2022</t>
  </si>
  <si>
    <t>Reimbursement of the amount paid for fuel consumption of the government vehicle Ford Everest IP 0770 for the month of April 2022</t>
  </si>
  <si>
    <t>Bookbinding of Minutes of the Meeting for the year 2021 and Journal of Proceedings for the year 2019,2020 and 2021</t>
  </si>
  <si>
    <t>Payment of newspaper for the month of April, 2022</t>
  </si>
  <si>
    <t>Reimbursement of the amount paid for fuel allowance of Ford Everest IO 9547 for the month of April, 2022</t>
  </si>
  <si>
    <t>Cash advance for payment of Registration Fee, air fare, per diem and other expenses for attending LVGP National executive Committee meeting/87th National Assembly on May 25-28, 2022</t>
  </si>
  <si>
    <t>Advance payment of registration fee and per diem of Board Members attending PBMLP R3 Meeting/End_term Assembly on May 26-28, 2022</t>
  </si>
  <si>
    <t>Reimbursement of the amount paid for fuel consumption of the government vehicle Hyundai Starex MU 8265 for the month of April 2022</t>
  </si>
  <si>
    <t xml:space="preserve">Manloito G. Castro </t>
  </si>
  <si>
    <t>DONATION TO EDGAR CASTRO FOR HIS BURIAL EXPENSES QR: 0512220001</t>
  </si>
  <si>
    <t xml:space="preserve">Aniecita V. Deves </t>
  </si>
  <si>
    <t>DONATION TO MYRNA POSADAS FOR HER HOSPITAL BILL QR: 0512220010</t>
  </si>
  <si>
    <t xml:space="preserve">Carlos M. Garde </t>
  </si>
  <si>
    <t>DONATION TO CLIENT FOR HIS MEDICAL NEEDS QR: 0511220001</t>
  </si>
  <si>
    <t xml:space="preserve">Bryan Phil S. Cueto </t>
  </si>
  <si>
    <t>DONATION TO CLIENT FOR HIS MEDICAL NEEDS QR: 0512220005</t>
  </si>
  <si>
    <t xml:space="preserve">Emely C. Quindoy </t>
  </si>
  <si>
    <t>DONATION TO EDITHA CUSTODIO FOR HER MEDICAL NEEDS QR: 0419220001</t>
  </si>
  <si>
    <t>Replenishment of cash advence for emergency purchases of JPMH from May 3 -10, 2022</t>
  </si>
  <si>
    <t>Replenishment of Miscellaneous Expenses of MDH used for COVID-19 for the period of April 18 - May 04, 2022</t>
  </si>
  <si>
    <t>Reimbursement of Snack Lunch to be served in RIC-4-H quarterly meeting to be held on May 11, 2022 at Gen Lim, Orion, Bataan</t>
  </si>
  <si>
    <t>Replenishment of cash advance to defray payment of Daily Market Purchase from May 1-8, 2022</t>
  </si>
  <si>
    <t>Replenishment for market purchases of JPMH for the period of May, 2022</t>
  </si>
  <si>
    <t>Reimbursement of Meals and snacks for the Survey if Lou Farm, located at Cataning, Balanga City, Bataan with Tourism Personnel &amp; PEO from May 4, 5 &amp; 6, 2022</t>
  </si>
  <si>
    <t xml:space="preserve">Barangay Treasurer - Del Rosario, Pilar, Bataan </t>
  </si>
  <si>
    <t>DEL ROSARIO PILAR BATAAN - Subsidy for their annual cultural activity on May 21, 2022</t>
  </si>
  <si>
    <t>Reimbursement of the amount paid for mobile expenses for the period of January 21 - February 20, 2022 and February 21 - March 20, 2022</t>
  </si>
  <si>
    <t xml:space="preserve">Sonia C. Casas </t>
  </si>
  <si>
    <t>DONATION TO FEDERICO CASUMABAL FOR HIS HOSPITAL BILL QR: 0421220003</t>
  </si>
  <si>
    <t>DONATION FOR THE HOSPITAL BILL OF VARIOUS CLIENT COVERING THE PERIOD APRIL 27 TO MAY 2, 2022</t>
  </si>
  <si>
    <t xml:space="preserve">Albert B. Corpuz </t>
  </si>
  <si>
    <t>DONATION TO CHRISTEL ANNE CORPUZ FOR HER HOSPITAL BILL QR: 0511220003</t>
  </si>
  <si>
    <t xml:space="preserve">Westcoast Automotive Corporation </t>
  </si>
  <si>
    <t>Parts and labor for the replacement of drive belt, idler and tensioner for service vehicle Ford Everest IO - 8925 c/o BM Reynaldo T. Ibe, Jr.</t>
  </si>
  <si>
    <t xml:space="preserve">Rosita N. Sison </t>
  </si>
  <si>
    <t>Reimbursement of the amount paid for fuel consumption of the government vehicle Hi-LUX VU2619 for the month of April 2022</t>
  </si>
  <si>
    <t>Reimbursement of the amount paid for fuel consumption of the government vehicle FORD EVEREST IO 4973 for the month of April, 2022</t>
  </si>
  <si>
    <t>Reimbursement of the amount paid for fuel consumption of the government vehicle Ford Everest IO 4421 for the month of April, 2022</t>
  </si>
  <si>
    <t>Reimbursement of gasoline, oil and lubricants expenses of ODH from February 1-28, 2022</t>
  </si>
  <si>
    <t>Payment of water expenses of BCMH for the month of April 1, 2022 to May 2, 2022</t>
  </si>
  <si>
    <t>Paymet of monthly subscription fee on mobile unlimited call &amp; text postpaid plan for the month of April 13 - May 12, 2022</t>
  </si>
  <si>
    <t>Replenishment of Revolving Fund for payment of donation to indigent constituents from Province of Bataan</t>
  </si>
  <si>
    <t>Payment of Plan 300 of Employees assigne as monitoring gathering and analysing Covid 2019 for the period of February, 2022</t>
  </si>
  <si>
    <t>Payment of Plan 300 of Employees assigne as monitoring gathering and analysing Covid 2019 for the period of March, 2022</t>
  </si>
  <si>
    <t>Replenishment of Revolving Fund for payment of donation to indigent constituents from Province of Bataan (June 03)</t>
  </si>
  <si>
    <t>Remittance of Pag-ibig contribution JO employees for May 2022</t>
  </si>
  <si>
    <t>Remittance of Pag-ibig MPL &amp; calamity loan JO employees MAy 2022</t>
  </si>
  <si>
    <t>Blood service fee for the blooad and blood products of ODH March 2022</t>
  </si>
  <si>
    <t>Payment of Blood Service fee for the blood and blood products supplied in ODH for April 2022</t>
  </si>
  <si>
    <t>Payment of fuel consumption for the period of May 2-8, 2022</t>
  </si>
  <si>
    <t>Payment of fuel consumption for the period of May 16-22, 2022 (MBDA)</t>
  </si>
  <si>
    <t xml:space="preserve">Cristina Canlas </t>
  </si>
  <si>
    <t>Refund for the double payt of transfer tax under OR 6638716 dated May 31, 2022</t>
  </si>
  <si>
    <t>Janitorial Supplies for the use of 2nd District Congressional Office</t>
  </si>
  <si>
    <t>AM/PM Snacks and Lunch to be served for PESO Managers and LMI Focal Persons Training on LMI and SPRS Report Preparation on May 5, 2022 at 5th Floor Training Room 1 &amp; 2, The Bunker Bldg., Provincial Capitol, Balanga City, Bataan</t>
  </si>
  <si>
    <t>Meals for the meeting of the different Committees of the Sangguniang Panlalawigan on April 13,2022</t>
  </si>
  <si>
    <t>Medical Supplies for the use of Mariveles District Hospital</t>
  </si>
  <si>
    <t xml:space="preserve">Gerard's Frame Station </t>
  </si>
  <si>
    <t>Frames 10.5" x 15" with matting for framing of congratulatory / condolence and the likes Resolutions for SP use</t>
  </si>
  <si>
    <t>Assorted vegetable products for the consumption of inmates of Bataan Districts Jail within the period of April 16-30 2022</t>
  </si>
  <si>
    <t>Payment of fuel consumption for the period of May 09-15, 2022 (LEGAL)</t>
  </si>
  <si>
    <t xml:space="preserve">Bataan General Hospital and Medical Center </t>
  </si>
  <si>
    <t>Payment of Internet Bill of MBDA Account number 0030300011924 for the month of June 1-30, 2022</t>
  </si>
  <si>
    <t xml:space="preserve">Vernon Rey Santiago </t>
  </si>
  <si>
    <t>Payment of Donation to Bataan Crime Lab for their Administrative and Operational Expenses for March 16 - May 15, 2022</t>
  </si>
  <si>
    <t>Monthly subscription fee on ASDN Pri Service for the 911 hotline/ 876484499 for the month April 27, 2021 to May 26, 2022</t>
  </si>
  <si>
    <t>Payment of Monthly subscription Fee for the services of the Internet Connection of 7th Floor Covering period 3/17 -4/16/2022</t>
  </si>
  <si>
    <t>Payment of Internet Bill of Metro Ethernet Service for the use of CCTV Cameras of MBDA for the month of June 1-30, 2022</t>
  </si>
  <si>
    <t>Payment of Internet Bill of 1Bataan Command Center Account Number 0030300182942 for the month of June 1-30, 2022</t>
  </si>
  <si>
    <t>Cash advance for payment of registration fee and perdiem for attending LVGP National Executive Committee meeting on June 09-10,2022</t>
  </si>
  <si>
    <t>Payment of fidelity bond of Mr. Ronaldo Banzon and Ms. Charmeen Gloria of Provincial Treasurer's Office</t>
  </si>
  <si>
    <t>Payment of dog food for additional support for canine food maintenance</t>
  </si>
  <si>
    <t>Replacement of defective headlight assembly of FB L-300 SHS-787 of PEO owned by the Provincial Government of Bataan</t>
  </si>
  <si>
    <t>X-ray Supplies for the use of Orani District Hospital</t>
  </si>
  <si>
    <t>Replacement of temperature gauge and bracket of TAMARAW FX SGJ-104 for the use of PHO</t>
  </si>
  <si>
    <t>Parts and labor for the 15,000km preventive maintenance for HIACE Commuter VAN S2N937 for the use of PHO</t>
  </si>
  <si>
    <t>Parts and labor for the 190000 km maintenance check up of Toyota Hi-Ace GL Grandia Ambulance VF-1701 of ODH</t>
  </si>
  <si>
    <t xml:space="preserve">Gena A. Abara, MD </t>
  </si>
  <si>
    <t>Reimb. of participation fee for NEQAS National Reference Laboratory for Clinical Chemistry Cycle Program CY 2022</t>
  </si>
  <si>
    <t>Payment of Provincial Allowance for the month of May 2022</t>
  </si>
  <si>
    <t xml:space="preserve">Romeo E Bonifacio Jr </t>
  </si>
  <si>
    <t xml:space="preserve">April Jacob D. Castro </t>
  </si>
  <si>
    <t xml:space="preserve">May Kathleen R. Tablan </t>
  </si>
  <si>
    <t>Bartolome- Payment of Provincial Allowance for the month of May 2022</t>
  </si>
  <si>
    <t>Payment of allowance for the month of May 2022</t>
  </si>
  <si>
    <t xml:space="preserve">Romeo L. de Lemos </t>
  </si>
  <si>
    <t xml:space="preserve">Rosario E. Gaspar </t>
  </si>
  <si>
    <t xml:space="preserve">Mario Jacqueline P. Poblete </t>
  </si>
  <si>
    <t>Payment of allowance for the period of May 2022</t>
  </si>
  <si>
    <t xml:space="preserve">John Ruiz I. Gatchalian </t>
  </si>
  <si>
    <t xml:space="preserve">Francis S. Mandocdoc </t>
  </si>
  <si>
    <t>Payment of Allowance for the month of May 2022</t>
  </si>
  <si>
    <t xml:space="preserve">Ma. Paulette S. De Leon </t>
  </si>
  <si>
    <t>Ar M. Magpayo- Payment of Allowance for the month of May 2022</t>
  </si>
  <si>
    <t>Payment of allowance in Regional Trial Court of Bataan for the month of May 2022</t>
  </si>
  <si>
    <t>Payment of Electric bills for the month of April 2022</t>
  </si>
  <si>
    <t>Payment of Electric bills Checkpoint palihan &amp; balsik for the month of April 2022</t>
  </si>
  <si>
    <t>Payment of electric bill of PICE - Capitol site for the month of August - November 2021</t>
  </si>
  <si>
    <t>Payment of Monthly subscription fee for the services of Internet Connection of Malasakit Mariveles Covering Period April 27 - June 16, 2022</t>
  </si>
  <si>
    <t>Payment of yearl Rental of 1 units of 75KVA Transformer of Provincial Eng'g Office on May 2022</t>
  </si>
  <si>
    <t>Payment of overtime for the month of May 2022</t>
  </si>
  <si>
    <t>Payment for funeral services under Libreng Libing Program rendered on April 1,6,13,17,21 and 26,2022</t>
  </si>
  <si>
    <t>Payment of yearl Rental of 3 units of 167KVA Transformer of 1Bataan Command Center on May 2022</t>
  </si>
  <si>
    <t>Payment for the funeral services rendered under the Libreng Libing Program for the period of April 9-28, 2022</t>
  </si>
  <si>
    <t>Payment of Monthly subscription fee for the services of Internet Connection of 7th Floor the Bunker Covering Period April 17 - May 16, 2022</t>
  </si>
  <si>
    <t xml:space="preserve">Asia Pacific College of Advanced Studies, Inc. </t>
  </si>
  <si>
    <t>Payment of scholarship grant of 345 students for 2nd semester of school year 2020-2021 of the Iskolar ng Bataan Program</t>
  </si>
  <si>
    <t xml:space="preserve">Eastwoods Professional College of Science and Technology </t>
  </si>
  <si>
    <t>Payment of scholarship of 93 students for 2nd semester of school year 2020-2021 of the Iskolar ng Bataan Program of the PGB</t>
  </si>
  <si>
    <t xml:space="preserve">AMA Computer Learning Center </t>
  </si>
  <si>
    <t>Payment of scholarship of 28 students for 2nd semester of school year 2020-2021 of the Iskolar ng Bataan Program of the PGB</t>
  </si>
  <si>
    <t xml:space="preserve">Bataan Maritime Institute </t>
  </si>
  <si>
    <t>Payment of scholarship of 25 students for 2nd semester of school year 2020-2021 of the Iskolar ng Bataan Program of the PGB</t>
  </si>
  <si>
    <t xml:space="preserve">Microcity College of Business and Technology Inc. </t>
  </si>
  <si>
    <t>Payment of scholarship grant of 17 students for 2nd semester of school year 2020-2021 of the Iskolar ng Bataan Program</t>
  </si>
  <si>
    <t xml:space="preserve">PWU-CDCEC Bataan, Inc. </t>
  </si>
  <si>
    <t>CDCEC BATAAN, INC.- Payment of scholarship of 37 students for 2nd semester of school year 2020-2021 of the Iskolar ng Bataan Program of the PGB</t>
  </si>
  <si>
    <t>Meals and snacks for the Firearms Proficiency Training at Mt. Samat Firing Range Batas on March 18, 2022</t>
  </si>
  <si>
    <t>Projector and A3 printer to be used for documentation report and presentation in the Office of PGO-Housing</t>
  </si>
  <si>
    <t>Payt of Meals for Visitors of Governor Albert S. Garcia on April 10, 2022</t>
  </si>
  <si>
    <t>Meals during the PPP Center courtesy meeting with Gov. Albert Raymond S. Garcia and Bataan PPP and Investment Center on April 04, 2022</t>
  </si>
  <si>
    <t>Window type aircon for the use of RTC Branch 5, Dinalupihan, Bataan</t>
  </si>
  <si>
    <t xml:space="preserve">Fill and Go Water Refilling Station </t>
  </si>
  <si>
    <t>Drinking Water to be used in the Office of the Governor</t>
  </si>
  <si>
    <t>Meals for year end assessment of Sanggunian Panlalawigan on December 14, 2021</t>
  </si>
  <si>
    <t>Payment of allowance in the Regional Trial Court of Bataan- Branch 3 for the month of May 2022</t>
  </si>
  <si>
    <t xml:space="preserve">Mark Joseph M. Escudero </t>
  </si>
  <si>
    <t>Payment of allowance in Regional Trial Court for the month of May 2022</t>
  </si>
  <si>
    <t xml:space="preserve">Gilbert S. Argonza </t>
  </si>
  <si>
    <t>Tokens for various calling on the Provincial Governor on various occasions &amp; purposes</t>
  </si>
  <si>
    <t xml:space="preserve">Tresmaria Office Supplies Trading </t>
  </si>
  <si>
    <t>Equipments to be used at PGB-SAP 1Bataan Malasakit Dialysis Assistance Office</t>
  </si>
  <si>
    <t>AM Snacks for Vaccination Program on fight against Covid-19 Awarding Ceremony on May 2, 2022</t>
  </si>
  <si>
    <t>Replenishment of revolving fund for payment of donation of indigents constituents in the province of Bataan</t>
  </si>
  <si>
    <t>Replenishment of cash advance to defray payment of Daily Market Purchase from May 25-31, 2022</t>
  </si>
  <si>
    <t xml:space="preserve">Gena A. Abara, MD. </t>
  </si>
  <si>
    <t>Replenishment of emergency purchases of JPMH from May 24 - 27, 2022</t>
  </si>
  <si>
    <t xml:space="preserve">Mary Grace P. Santos </t>
  </si>
  <si>
    <t>Payment of her salary for the month 1-31, 2022 and Midyear bonus for the year 2022</t>
  </si>
  <si>
    <t xml:space="preserve">Ferdianne Antonie B. Bermudo </t>
  </si>
  <si>
    <t>Payment of 50% of scholarship grant of 1 teacher (Gurong Iskolar) for taking Masteral Education as part of the Iskolar ng Bataan of the Provincial Government of Bataan</t>
  </si>
  <si>
    <t xml:space="preserve">Jenny P. Magtanong </t>
  </si>
  <si>
    <t xml:space="preserve">Jeanette D. Roman </t>
  </si>
  <si>
    <t xml:space="preserve">Sarah B. Cruz </t>
  </si>
  <si>
    <t>Reimbursement of certified true copy of 33 title, Ipag, Mariveles Bataan</t>
  </si>
  <si>
    <t xml:space="preserve">Emy G Lazatin </t>
  </si>
  <si>
    <t xml:space="preserve">Bataan Heroes College Inc. </t>
  </si>
  <si>
    <t>Payment of scholarship grant of 524 students for 2nd semester of school year 2020-2021 of the Iskolar ng Bataan Program</t>
  </si>
  <si>
    <t>Allowance for the month of May, 2022</t>
  </si>
  <si>
    <t>Payment of Water Bill of JPMH, Dialysis for the month of April, 2022</t>
  </si>
  <si>
    <t xml:space="preserve">Real-Tech Mobile Innovation Inv. </t>
  </si>
  <si>
    <t>Payment of Internet subscription plan for vehicle tracker of PEO for the period of June, 2022</t>
  </si>
  <si>
    <t xml:space="preserve">Capitol Employees of Bataan Multi-Purpose Cooperative </t>
  </si>
  <si>
    <t>Payment of Newspaper for the month of May 2022</t>
  </si>
  <si>
    <t>Payment for the funeral services rendered under the Libreng Libing Program for the period December 1-31, 2021</t>
  </si>
  <si>
    <t xml:space="preserve">AZJ Funeral Services </t>
  </si>
  <si>
    <t>Payment for the funeral services rendered under the Libreng Libing Program for the period April 8,12,14,21 and 25, 2022</t>
  </si>
  <si>
    <t>Payment of fuel consumption for the period of April 18-24, 2022 (PGSO</t>
  </si>
  <si>
    <t>Payment of fuel consumption for the period of April 18-24, 2022 (PGSO)</t>
  </si>
  <si>
    <t xml:space="preserve">Norman R. Llanda </t>
  </si>
  <si>
    <t>Payment of his overtime pay for the period of May, 2022</t>
  </si>
  <si>
    <t>Payment of fuel consumption for the period of April 11-17, 2022 (PGSO)</t>
  </si>
  <si>
    <t>Payment of fuel consumption for the period of April 4-10, 2022 (PGSO)</t>
  </si>
  <si>
    <t xml:space="preserve">Almer's Eatery </t>
  </si>
  <si>
    <t>AM Snacks and Lunch to be served on the training on free range chicken at Hermosa on April 28, 2022 and Pilar on April 29, 2022</t>
  </si>
  <si>
    <t xml:space="preserve">ZBG Great Foods Corporation </t>
  </si>
  <si>
    <t>Meals for the meetings of different Committees of SP on June 1, 2022</t>
  </si>
  <si>
    <t>Heavy Snacks for Provincial Development Council (Full Council) Meeting on April 29, 2022</t>
  </si>
  <si>
    <t>Kyocera Parts for the repair of Kyocera 7119 used in the Provincial Accountant's Office</t>
  </si>
  <si>
    <t>Office Supplies for 2nd Quarter for the use of PPDO</t>
  </si>
  <si>
    <t xml:space="preserve">Ludovino Joseph Augusto L. Tobias Jr. </t>
  </si>
  <si>
    <t>Allowance for the month of May 2022</t>
  </si>
  <si>
    <t xml:space="preserve">Ma. Lourdes Eltanal-Ignacio </t>
  </si>
  <si>
    <t>Payment for Allowance for the period of May 2022</t>
  </si>
  <si>
    <t xml:space="preserve">Prosecutor Jeffrey C. Cruz </t>
  </si>
  <si>
    <t>Payment of service rendered for the month of May 2022</t>
  </si>
  <si>
    <t xml:space="preserve">Edlyn T. Almario </t>
  </si>
  <si>
    <t xml:space="preserve">Bataan Peninsula State University </t>
  </si>
  <si>
    <t>Payment of Scholarship grant of 2 Students for 2nd Trimester 2020-2021 and 1st trimester 2021-2022 of the Iskolar ng Bataan Program of the Provincial Government of Bataan</t>
  </si>
  <si>
    <t>Payment of Scholarship grant of 62 Teachers (Gurong Iskolar) for 2nd trimester 2021-2022 of the Iskolar ng Bataan Program of the Provincial Government of Baataan</t>
  </si>
  <si>
    <t xml:space="preserve">College of Subic Montessori Inc. </t>
  </si>
  <si>
    <t>Payment of Scholarship grant of 29 students for 2nd semester of school-year 2020-2021 of the Iskolar ng Bataan Program of the Provincial Government of Bataan</t>
  </si>
  <si>
    <t xml:space="preserve">Jay Mark D. Sinag </t>
  </si>
  <si>
    <t xml:space="preserve">Denise Carns D. Paguio </t>
  </si>
  <si>
    <t>Donation for her Educational Assistance</t>
  </si>
  <si>
    <t xml:space="preserve">Jewel Mae R. Benoman </t>
  </si>
  <si>
    <t>Donation for her educational assistance (College)</t>
  </si>
  <si>
    <t>Payment of news paper for the month of May 2022</t>
  </si>
  <si>
    <t>Snack and Lunch to be served in the Mun. Organic Agriculture Coordinator meeting to be held on May 11, 2022 at Banzon Farm Resort ,General Lim, Orion, Bataan</t>
  </si>
  <si>
    <t>Meals to be served on Galing! Bataan Awards Board of Judges for Cooperatives Meeting on May 19, 2022</t>
  </si>
  <si>
    <t>Meals for the Year End Assessment of Strategic Initiative and Whirlwind for 2021 and Planning for 2022 of the PTO on Dec 17, 2021</t>
  </si>
  <si>
    <t>Purchase of medical oxygen for the use of ODH</t>
  </si>
  <si>
    <t>White Board for the use of the Provincial Population Office</t>
  </si>
  <si>
    <t xml:space="preserve">Petneeds Veterinary Care and Grooming Center </t>
  </si>
  <si>
    <t>Purchase of Dog Soap and medicin to be used during the World Rabies Day on September 29,2021</t>
  </si>
  <si>
    <t>Puchase of Medical Oxygen for the use of BCMH</t>
  </si>
  <si>
    <t>Meals for the Regular Session of Sangguniang Panlalawigan on April 11, 2022</t>
  </si>
  <si>
    <t>Preventive maintenance for 90,000 km change oil and replacement of oil for Ford Everest IP-1451 c/o BM Romano L. Del Rosario</t>
  </si>
  <si>
    <t>Motorcycle Top Box for the used of 650cc Kawasaki Bigbike</t>
  </si>
  <si>
    <t>Reimbursement of gasoline expenses of JPMH for the period from May 1-15, 2022</t>
  </si>
  <si>
    <t>Payment of fuel consumption for the period of May 16-22, 2022</t>
  </si>
  <si>
    <t xml:space="preserve">Proworx Car Care &amp; Collision Center Vehicle Repair Service </t>
  </si>
  <si>
    <t>Payment of Participation fee for the Repair of service vehicle 2017 Toyota Hi Ace Commuter Van with Conduction Sticker No. VQ 9940</t>
  </si>
  <si>
    <t xml:space="preserve">Jaymarc V. Buan </t>
  </si>
  <si>
    <t>Donation for educational assistance (thesis writing)</t>
  </si>
  <si>
    <t xml:space="preserve">Jayson del Rosario Ocampo </t>
  </si>
  <si>
    <t xml:space="preserve">Zaira Mae B. Garcia </t>
  </si>
  <si>
    <t xml:space="preserve">Emiliano S. Pomer </t>
  </si>
  <si>
    <t>Service rendered for the month of May, 2022</t>
  </si>
  <si>
    <t>Reimbursement of the amount paid for fuel allowance of Ford Everest IO 9547 for the month of May, 2022</t>
  </si>
  <si>
    <t>Reimbursement of the amount paid for fuel consumption of the government vehicle FORD EVEREST IP 1451 for the month of May 2022</t>
  </si>
  <si>
    <t>Reimbursement of the amount paid for fuel consumption of the government vehicle Ford Everest IP 0801 for the month of May 2022</t>
  </si>
  <si>
    <t xml:space="preserve">Provincial Government of Bataan </t>
  </si>
  <si>
    <t>To transfer to UCPB GEn Fund for scholarship grant for 2nd sem SY 2020-2021 under Iskolar ng Bataan</t>
  </si>
  <si>
    <t>Replenishment of Revolving Fund for payment of donation to indigent constituents from Province of Bataan (JUNE 08-09)</t>
  </si>
  <si>
    <t>Payment of honorarium of Municipal Treasurers for the month of May 2022</t>
  </si>
  <si>
    <t xml:space="preserve">Rosalina Atienza </t>
  </si>
  <si>
    <t>Payment of her RIC Allowance for the month of May 2022</t>
  </si>
  <si>
    <t xml:space="preserve">Jeanalyn D. Bantugan </t>
  </si>
  <si>
    <t>Payment for monthly subscription of newspaper in VG and SP office for the month of May 2022</t>
  </si>
  <si>
    <t>Reimbursement of medical oxygen for the use of MDH</t>
  </si>
  <si>
    <t>Replenishment for market purchases of JPMH for the period of May 24 - 31, 2022</t>
  </si>
  <si>
    <t>Reimbursement of the amount paid for fuel consumption of the government vehicle Ford Everest C2X097 for the month of May 2022</t>
  </si>
  <si>
    <t>Payment of fuel consumption for the period of May 02-08, 2022 (PGSO)</t>
  </si>
  <si>
    <t xml:space="preserve">Samuel Odunlami </t>
  </si>
  <si>
    <t>Donation to Bataan Football club for the fourth edition of fitness zoom training on June 4 -July 18, 2022</t>
  </si>
  <si>
    <t>Reimbursement of the amount paid for fuel consumption of the government vehicle Ford Everest IP 0770 for the month of May, 2022</t>
  </si>
  <si>
    <t xml:space="preserve">Rosita A. Dela Rosa </t>
  </si>
  <si>
    <t>DONATION TO CLIENT FOR HER MEDICAL NEEDS QR: 0608220028</t>
  </si>
  <si>
    <t xml:space="preserve">Jonathan C. Pineda </t>
  </si>
  <si>
    <t>DONATION TO MAY LINGAD FOR HER MEDICAL NEEDS QR: 0608220027</t>
  </si>
  <si>
    <t xml:space="preserve">Reynaldo P. Guevarra </t>
  </si>
  <si>
    <t>DONATION TO NERIZ NIñA MEDINA AND PENELOPE NIANA GUEVARRA FOR THEIR HOSPITAL BILLS QR: 060822026</t>
  </si>
  <si>
    <t xml:space="preserve">Leila C. Estocio </t>
  </si>
  <si>
    <t>DONATION TO ERHLIC MONDOL ESTIOCO FOR HIS HOSPITAL BILL QR: 060822023</t>
  </si>
  <si>
    <t xml:space="preserve">Leonardo V. R. Peralta </t>
  </si>
  <si>
    <t>DONATION TO MARY ANN PERALTA FOR HER HOSPITAL BILL QR: 0608220025</t>
  </si>
  <si>
    <t xml:space="preserve">Christine Joy D. Raymundo </t>
  </si>
  <si>
    <t>DONATION TO CHRISTINA RAYMUNDO FOR HER HOSPITAL BILL QR: 0608220022</t>
  </si>
  <si>
    <t xml:space="preserve">Annabel Del Rosario Tongol Funeral Services </t>
  </si>
  <si>
    <t>DONATION TO JOSELITO BATOL FOR HIS BURIAL EXPENSES QR: 0608220021</t>
  </si>
  <si>
    <t xml:space="preserve">Christopher R. Vergara </t>
  </si>
  <si>
    <t>DONATION TO BIANCA RINOA VERGARA FOR HER HOSPITAL BILL QR: 0608220020</t>
  </si>
  <si>
    <t>DONATION TO CLARITA GONZALES FOR HER BURIAL EXPENSES QR: 0608220024</t>
  </si>
  <si>
    <t>DONATION TO TERESITA MACAPAGAL FOR HER BURIAL EXPENSES QR: 0608220019</t>
  </si>
  <si>
    <t>Payment of fuel consumption for the period of May 02-15, 2022 (COA)</t>
  </si>
  <si>
    <t xml:space="preserve">Ramon R. Cañas </t>
  </si>
  <si>
    <t>Cash advance for financial assistance of 131 examinees under Board/Bar examination FA of the PGB</t>
  </si>
  <si>
    <t>Payment of allowance for the month of April2022</t>
  </si>
  <si>
    <t>MAULEON- Payment of allowance for the month of April 2022</t>
  </si>
  <si>
    <t>Payment of newspaper subscription for the month of May, 2022</t>
  </si>
  <si>
    <t>Petty Cash replenishment for June 2-13, 2022</t>
  </si>
  <si>
    <t>Payment of fuel consumption for the period of May 16-22 (COA)</t>
  </si>
  <si>
    <t>Replenishment of Revolving Fund for payment of donations of indigent constituents in the province of Bataan (June 10&amp;13, 2022)</t>
  </si>
  <si>
    <t>Replenishment of Emergency Purchases of NBB Patients of JPMH for the period from May 24-29, 2022</t>
  </si>
  <si>
    <t>Replenishment of Emergency Purchases of NBB Patients of JPMH for the period from May 31 - June 5, 2022</t>
  </si>
  <si>
    <t>Replenishment of Emergency purchases of NBB patients of JPMH for the period from June 6 - 8, 2022</t>
  </si>
  <si>
    <t xml:space="preserve">Mayrose Lorenzo </t>
  </si>
  <si>
    <t>Allowance for the period of April, 2022</t>
  </si>
  <si>
    <t>Payment of water bill for charlie company for the month of May 2022</t>
  </si>
  <si>
    <t>Payment of telephone bill of jpmh for the period of April 21 - May 20, 2022</t>
  </si>
  <si>
    <t>Payment of Water bill for MALASKIT DIALYSIS CTR for the month of Apirl - May, 2022</t>
  </si>
  <si>
    <t>Payment of Water bill for Tucop PGSO Checkpoint for the month of Apirl - May, 2022</t>
  </si>
  <si>
    <t>Payment of BIZLOAD for Brgy Capts assigned as monitoring gathering, and analysing COVID 2019 related data in the Province of Bataan Covering Period for the month of June 2022</t>
  </si>
  <si>
    <t>Payment of PLDT Fiber for the month of May 21, 2022 to June 20, 2022</t>
  </si>
  <si>
    <t>Payment for the internet subscription with account number 13544 for the period of Junse 1-30, 2022</t>
  </si>
  <si>
    <t>Reimbursement of the amount paid for fuel consumption of the government vehicle Ford Everest C1 T417 for the month of May, 2022</t>
  </si>
  <si>
    <t>Reimbursement of the amount paid for fuel consumption of the government vehicle Ford Everest IO 4421 for the month of May, 2022</t>
  </si>
  <si>
    <t>Reimbursement of the amount paid for fuel allowance of government vehicle IO 8925 for the month of April 2022</t>
  </si>
  <si>
    <t>Reimbursement of the amount paid for fuel consumption of the government vehicle FORD EVEREST IO 4973 for the month of May, 2022</t>
  </si>
  <si>
    <t>Payment of fuel consumption for the period of May 16-22, 2022 (LEGAL)</t>
  </si>
  <si>
    <t>Reimbursement of the amount paid LTO registration of Two (2) service vehicle owned by the PGB</t>
  </si>
  <si>
    <t>Replenishment of incidental expenses and Daily market purchase of BCMH from May 16-31, 2022</t>
  </si>
  <si>
    <t xml:space="preserve">Andrea Amor v. Abarsosa </t>
  </si>
  <si>
    <t>DONATION TO DENNIES M. ABARSOSA FOR HIS MEDICAL NEEDS QR: 0608220011</t>
  </si>
  <si>
    <t xml:space="preserve">Arnel Pangilinan </t>
  </si>
  <si>
    <t>Payment of overtime pay for the month of May 2022</t>
  </si>
  <si>
    <t xml:space="preserve">Vicente R. Escabillo </t>
  </si>
  <si>
    <t>DONATION TO MARY JANE ESCABILLO FOR HER HOSPITAL BILL QR: 0608220018</t>
  </si>
  <si>
    <t xml:space="preserve">Arturo F. Dacayo </t>
  </si>
  <si>
    <t>DONATION TO ZENAIDA F. DACAYAO FOR HER BURIAL EXPENSES QR: 0608220016</t>
  </si>
  <si>
    <t xml:space="preserve">Sheryl D. Caraan </t>
  </si>
  <si>
    <t>DONATION TO MYRNA D. DE OCAMPO FOR HER HOSPITAL BILL QR: 0608220014</t>
  </si>
  <si>
    <t xml:space="preserve">Agnes P. Mascardo </t>
  </si>
  <si>
    <t>DONATION TO PETRONILA F. PONCE FOR HER BURIAL EXPENSES QR: 0608220015</t>
  </si>
  <si>
    <t xml:space="preserve">Angelica D. Diaz </t>
  </si>
  <si>
    <t>DONATION TO BAYANI F. DEL ROSARIO FOR HIS HOSPITAL BILL QR: 0608220013</t>
  </si>
  <si>
    <t xml:space="preserve">Jocelyn A. Lim </t>
  </si>
  <si>
    <t>DONATION TO JOSEFINA R. ALTA FOR HER HOSPITAL BILL QR: 0608220012</t>
  </si>
  <si>
    <t>Medical Oxygen for Covid 19 Response for the use of Orani District Hospital</t>
  </si>
  <si>
    <t>Meals and Snacks to be served on Compliance Seminar on Credit and Risk Management of Cooperatives on May 13, 2022</t>
  </si>
  <si>
    <t xml:space="preserve">Buns &amp; Bowls </t>
  </si>
  <si>
    <t>Meals and snacks for 2022 Seal of Good Local Governance (SGLG) Regional Assessment and Validation Activity on April 12, 2022</t>
  </si>
  <si>
    <t>Meals for the Regular Session of Sangguniang Panlalawigan on April 18, 2022</t>
  </si>
  <si>
    <t xml:space="preserve">TopJ Trading </t>
  </si>
  <si>
    <t>Purchase of materials for the construction of water irrigation system at Barangay Diwa, Pilar, Bataan</t>
  </si>
  <si>
    <t>Laboratory reagents for Hermatology for the use of Jose Payumo Memorial Hospital Dinalupihan, Bataan</t>
  </si>
  <si>
    <t>Laboratory supplies to be use for Bagac Community and Medicare Hospital</t>
  </si>
  <si>
    <t xml:space="preserve">Steritex Medical System </t>
  </si>
  <si>
    <t>Medical Supplies for the use of Orani District Hospital</t>
  </si>
  <si>
    <t>Tarpaulin for team building &amp; CBR Evaluation cum celebration of international day of person with disabilities on December 16,17, 2021</t>
  </si>
  <si>
    <t>Printing of Tarpaulin to be used for Webinar of R.A. 11313 or the safe Spaces act in observance of the 18-day campaign to end violence againts women on November 25 to December 12, 2021</t>
  </si>
  <si>
    <t>Purchase of Token for Speaker/Trainers/Faciltators of Training Course of Diversified and Intergrated Farming System from September 7-10,2021</t>
  </si>
  <si>
    <t>Office Supplies for the use of PG-ENRO</t>
  </si>
  <si>
    <t>Printing of tarpaulin to be used for CP assessment for intermidate whellchair provision on Dec. 4,5,11,18 and 19, 2021</t>
  </si>
  <si>
    <t>Purchase token with courier for Pawikan Festival 2021 Celebration</t>
  </si>
  <si>
    <t xml:space="preserve">Color Me Crazy Tarpaulin Printing </t>
  </si>
  <si>
    <t>Tarpaulin printing for signing memorandum of agreement with National Agencies for the Establishment of 1Bataan Inter-Agency Action Center on August 10, 2021</t>
  </si>
  <si>
    <t>Snacks for Vaccination Program in fight Against Covid-19 Awarding Ceremony on April 25, 2022</t>
  </si>
  <si>
    <t>An's Enterprises-X-ray Supplies for the use of Orani District Hospital</t>
  </si>
  <si>
    <t xml:space="preserve">Marivent Resort Hotel, Inc. </t>
  </si>
  <si>
    <t>Payment of entrance fee for the visitors of governor Albert S. Garcia from Regional Directors of DSWD Nationwide on May 19, 2022</t>
  </si>
  <si>
    <t>Medical Oxygen for the use of Bagac Community and Medicare Hospital</t>
  </si>
  <si>
    <t>Printer for the use of CSIU</t>
  </si>
  <si>
    <t>Three (3) pcs uninterrupted power supply for the replacement of unserviceable UPS used by SP staff.</t>
  </si>
  <si>
    <t>Replacement of of wiper blade for H100 C/O PGSO</t>
  </si>
  <si>
    <t>Parts and labor for the replacement of four (4) pcs of tire 185 R14 8ply for Mitsubishi L-300 Prisoners Van NF2299 of BJMP</t>
  </si>
  <si>
    <t>Parts and labor for 80,000km PMS service check up and maintenance of the vehicle assigned to the office of the Governor Toyota Innova with plate number A9R043</t>
  </si>
  <si>
    <t>Non-commonly used office supplies for the use of Orani District Hospital</t>
  </si>
  <si>
    <t>Wireless Rechargeable Mouse for the used of Emergency Operation Center at 1Bataan Command Center MBDA</t>
  </si>
  <si>
    <t>Office Equipment for Clearance Processing Operation of NBI Bataan District Office located inside the 1Bataan Command Center, Dona, Orani, Bataa</t>
  </si>
  <si>
    <t>Printers for replacement to defective unit used in the Provincial Treasurer's Office</t>
  </si>
  <si>
    <t>UTP Cable to be used for the transfer of vaccination site from Bataan People Center (BGC) to Old (BPC) to Old Capitol Bldg. (New PHO Bldg.)</t>
  </si>
  <si>
    <t>Replacement of Battery for HP Laptop of IAS</t>
  </si>
  <si>
    <t>ULTRA FAST WIFI SPEED ROUTER for the use of MBDA at 1Bataan Command Center</t>
  </si>
  <si>
    <t>Reimbursment of Medicines, Supplies, X-ray, &amp; Laboratory Expenses under the Philhealth No Balance Billing (NBB) of indigent patients in ODH from May 3 - 15, 2022</t>
  </si>
  <si>
    <t>Meals for Visitors of Governor Albert S. Garcia on April 20, 2022</t>
  </si>
  <si>
    <t>Snacks for visitors of Governor Abet Garcia on May 2, 2022</t>
  </si>
  <si>
    <t>Snacks for visitors of Governor Abet Garcia on April 25, 2022</t>
  </si>
  <si>
    <t>Meals for year end assessment of strategic initiative and whirlwind for 2021 and Planning for 2022 of Office of Strategy Management (OSM) on December 29, 2021</t>
  </si>
  <si>
    <t>Lunch &amp; PM Snacks for Municipal Dentists Quarterly Meeting on April 20, 2022</t>
  </si>
  <si>
    <t>Replacement of Battery of the Vehicle Assigned to the Office of the Governor Namely our Toyota Commuter with Plate Number VR0088</t>
  </si>
  <si>
    <t>Parts and labor for 90,000 km PMS service check up and maintenance of the vehicle assigned to the office of the Governor Toyota Hiace GL with Plate number A5N033</t>
  </si>
  <si>
    <t>Refill of Medical Oxygen for the use of the Provincial Rescue Response Operations</t>
  </si>
  <si>
    <t>Meals for year end assessment of strategic initiative and whirlwind for 2021 and Planning for 2022 of Iskolar ng Bataan on December 29, 2021</t>
  </si>
  <si>
    <t>Refill of Medical Oxygen for the use of MBDA for the Provincial Rescue Response</t>
  </si>
  <si>
    <t>Token for ICM program for LGUs on December 14-17, 2022</t>
  </si>
  <si>
    <t>Supplies and materials for Establishment of Pawikan Hatcheries</t>
  </si>
  <si>
    <t xml:space="preserve">Quezon Furniture &amp; Trading </t>
  </si>
  <si>
    <t>Office materials and equipment for Clearance Processing Operation of NBI Bataan District Office located inside the 1Bataan Command Center, Dona, Orani, Bataan</t>
  </si>
  <si>
    <t>Parts &amp; Labor for the 15,000 km preventive maintenance Toyota Hilux POR413 of MBDA owned by Provincial Government of Bataan</t>
  </si>
  <si>
    <t>Meals for the Regular Session of Sangguniang Panlalawigan on April 25, 2022</t>
  </si>
  <si>
    <t>Replenishment of Revolving Fund for payment of donations of indigent constituents in the Province of Bataan for the period of June 14-15, 2022</t>
  </si>
  <si>
    <t>Payment of monetized leave credits</t>
  </si>
  <si>
    <t xml:space="preserve">Eloisa B. Manalo </t>
  </si>
  <si>
    <t>Cash Advance for Transportation expenses, per diem and registration fees while attending the Year-End Performance Assessment for FY 2021 and Mid Year Perdormance Assessment for FY 2022 of Local Treasurer &amp; Assessors at Subic Grand Harbour Hotel, Waterfront Road Subic, Zambales on June 22-24,2022</t>
  </si>
  <si>
    <t xml:space="preserve">Rose Ann B. Nucom </t>
  </si>
  <si>
    <t>Payment of insurance of twelve (12) unit service vehicles owned by PGB</t>
  </si>
  <si>
    <t>Replenishment of cash advance for emergency purchases of JPMH from May 28 - May 31, 2022</t>
  </si>
  <si>
    <t>Replenishment of cash advance to defray of Daily Market Purchase from June 1-7, 2022</t>
  </si>
  <si>
    <t>Reimbursement of gasoline for the period of April 1-29, 2022</t>
  </si>
  <si>
    <t xml:space="preserve">Provincial Government of Bataan - General Fund </t>
  </si>
  <si>
    <t>General fund-to transfer to LBP GF sccount for pay,emt of payroll and loan amortization</t>
  </si>
  <si>
    <t>Payment of Internet Subscription and Telephone Subscription to PLDT for the period of May 17- June 16, 2022 for the use of MDH</t>
  </si>
  <si>
    <t>Reimbursement of the amount paid for fuel consumption of the government vehicle Ford Everest IO 9548 for the month of May, 2022</t>
  </si>
  <si>
    <t>Reimbursement of the amount paid for fuel consumption of the government vehicle Hi-LUX VU2619 for the month of May, 2022</t>
  </si>
  <si>
    <t>Cash advance for payment of Registration Fee and perdiem for attending PCL Bataan Congress on June 20-22, 2022</t>
  </si>
  <si>
    <t>AM/PM Snacks and Lunch to be served for Hybrid Job Fair 2022 on May 20, 2022 at Bataan People's Center, Capitol Compound, Balanga City, Bataan</t>
  </si>
  <si>
    <t xml:space="preserve">Soiltech Arvaza Corporation </t>
  </si>
  <si>
    <t>Request for the Calibration Services of the Quality Control Equipment and Tools</t>
  </si>
  <si>
    <t>Lunch for Visitor of Governor Albert Garcia from BUREAU OF LOCAL GOVERNMENT FINANCE on April 27, 2022</t>
  </si>
  <si>
    <t>PM Snacks for Local Health Board Meeting on April 22, 2022</t>
  </si>
  <si>
    <t>Various grocery items for the consumption of inmates of Bataan District Jail within the period of May 1-15, 2022</t>
  </si>
  <si>
    <t>Assorted marine products for the consumption of inmates of Bataan District Jail within the period of May 16-31, 2022</t>
  </si>
  <si>
    <t>Assorted marine products for the consumption of inmates of Bataan District Jail within the period of May 1-15, 2022</t>
  </si>
  <si>
    <t>Various grocery items for the consumption of inmates of Bataan District Jail within the period of May 16-31, 2022</t>
  </si>
  <si>
    <t>LPG-50kgs for the consumption of inmates of Bataan District Jail within the period of May 2022</t>
  </si>
  <si>
    <t>Assorted meat and processed food for the consumption of inmates of Bataan District Jail within the period of May 1-15, 2022</t>
  </si>
  <si>
    <t>Payment of registration fee and perdiem for attending PCL Bataan Congress on June 20-22, 2022</t>
  </si>
  <si>
    <t>Payment of registration fee and perdiem of Board Members and staff attending PCL Bataan Congree on June 20-22, 2022</t>
  </si>
  <si>
    <t>Advance payment of registration fee and per diem for attending PCL Bataan Congress on June 20-22, 2022</t>
  </si>
  <si>
    <t>Reimbursement of gasoline expenses of JPMH for the period from May 16 - 31, 2022</t>
  </si>
  <si>
    <t>Payment of yearl Rental of 3 units of 75KVA Transformer of Bataan Tourism Center on October April 2021</t>
  </si>
  <si>
    <t>Payment of Internet Subscription to PLDT under Billing Account 657777803 for the period of March 17 - June 16, 2022 for the use of MDH</t>
  </si>
  <si>
    <t>Payment of internet bill for the PHO June 6-July 5, 2022</t>
  </si>
  <si>
    <t>Payment of Corona Stand as gesture of respect, Condelences and Symphaty to the bereaved family April 2022</t>
  </si>
  <si>
    <t>OCAMPO - Allowance for the month of May, 2022</t>
  </si>
  <si>
    <t xml:space="preserve">Supt Jose R. Colminero </t>
  </si>
  <si>
    <t>Payment of fuel consumption for the period of May 2-8,2022 (PEO)</t>
  </si>
  <si>
    <t>Payment of fuel consumption on different service vehicle used by PNP, Tourism, SOCO, PDRRMO, PHO, PCEDO, PPDO, P{GENRO &amp; PVO for the period of May 9-15, 2022</t>
  </si>
  <si>
    <t>Payment of fuel consumption for the period of May 23-29, 2022 (MBDA)</t>
  </si>
  <si>
    <t>Reimbursement of Meals and Snacks for various meetings</t>
  </si>
  <si>
    <t>Replenishment for market purcahses of JPMH for the period of June 1-8, 2022</t>
  </si>
  <si>
    <t>Payment of fuel consumption for the period of May 9-15, 2022</t>
  </si>
  <si>
    <t>Payment of fuel consumption on different service vehicle used by OPA, SOCO, PIO, BJMP-Male, BJMP-Female, PHO &amp; PNP for the period of May2-8, 2022</t>
  </si>
  <si>
    <t>Payment of fuel consumption on different service vehicle used by PCEDO, SOCO, PDRRMO, PIO, BJMP-Male, PDENRO, PVO &amp; PPDO for the period of May 16-22, 2022</t>
  </si>
  <si>
    <t>Payment of fuel consumption for the period of May 9-15, 2022 (PGSO)</t>
  </si>
  <si>
    <t>Payment of fuel consumption PIO for the period of April 25-May 1, 2022</t>
  </si>
  <si>
    <t xml:space="preserve">Lea C. Salonga </t>
  </si>
  <si>
    <t>DONATION TO EVELYN SALONGA FOR HER HOSPITAL BILL QR: 0602220009DIN</t>
  </si>
  <si>
    <t xml:space="preserve">Nelson G. Macalma </t>
  </si>
  <si>
    <t>DONATION TO APRIL LEI DABU FOR HER HOSPITAL BILL QR: 0531220008DIN</t>
  </si>
  <si>
    <t xml:space="preserve">Christina C. Vergara </t>
  </si>
  <si>
    <t>DONATION TO MAURO JR. VERGARA FOR HIS BURIAL EXPENSES QR: 0608220008</t>
  </si>
  <si>
    <t xml:space="preserve">Ronaldo B. Sorait </t>
  </si>
  <si>
    <t>DONATION TO MARITES SORIAT FOR HER HOSPITAL BILL QR: 0608220001</t>
  </si>
  <si>
    <t xml:space="preserve">Joel D. Valencia </t>
  </si>
  <si>
    <t>DONATION TO CARMELITA VALENCIA FOR HER BURIAL EXPENSES QR: 0613220001</t>
  </si>
  <si>
    <t>Replenishment of cash advance for emergency purchases of JPMH from June 1 - 5, 2022</t>
  </si>
  <si>
    <t xml:space="preserve">Milagros C. Tadena </t>
  </si>
  <si>
    <t>DONATION TO EMMANUEL TADENA FOR HIS MEDICAL NEEDS ' QR: 0608220017</t>
  </si>
  <si>
    <t xml:space="preserve">Raymond G. Alfaro </t>
  </si>
  <si>
    <t>DONATION TO CLIENT FOR HIS MEDICAL NEEDS QR: 0608220009</t>
  </si>
  <si>
    <t xml:space="preserve">Romeo S. Flores </t>
  </si>
  <si>
    <t>DONATION TO MELISSA FLORES FOR HER HSOPITAL BILL QR: 0608220007</t>
  </si>
  <si>
    <t xml:space="preserve">Daizza Marie B. Cabantog </t>
  </si>
  <si>
    <t>DONATION TO DANIEL CABANTOG FOR HIS BURIAL EXPENSES QR: 0608220006</t>
  </si>
  <si>
    <t xml:space="preserve">Jinky J. Alejo </t>
  </si>
  <si>
    <t>Donation for the educational assistance of her son Genard J. Alejo</t>
  </si>
  <si>
    <t>Advance payment of his travelling and training expenses for attending the Year-End Performance Assessment of FY 2021 and Mid-Year Performance Assessment of FY 2022 of the Local Treasurer and Assesors on June 22-24, 2022</t>
  </si>
  <si>
    <t>Reimbursement of Snacks &amp; drinks during meeting with PCSO, SMC &amp; NEDA</t>
  </si>
  <si>
    <t xml:space="preserve">Annabel del Rosario Tongol Funeral Services </t>
  </si>
  <si>
    <t>Payment for the funeral services under the Libreng Libing Program for the period April 1,5,17 &amp;22,2022</t>
  </si>
  <si>
    <t>DONATION FOR THE HOSPITAL BILLS COVERING THE PERIOD MARCH 7-11, 2022</t>
  </si>
  <si>
    <t xml:space="preserve">Cynthia S. Morales </t>
  </si>
  <si>
    <t>DONATION TO CLARENCE MORALES FOR HIS HOSPITAL BILL AND MEDICAL NEEDS QR: 0609220016</t>
  </si>
  <si>
    <t xml:space="preserve">Maria Cecilia G. de Leon </t>
  </si>
  <si>
    <t>DONATION TO CLIENT FOR HER HOSPITAL BILL QR: 0609220013</t>
  </si>
  <si>
    <t xml:space="preserve">Clarita B. Busa </t>
  </si>
  <si>
    <t>DONATION TO VERONICA BUSA FOR HER HOSPITAL BILL QR: 060922012</t>
  </si>
  <si>
    <t xml:space="preserve">Albert N. Mina </t>
  </si>
  <si>
    <t>DONATION TO CRESENCIA MINA FOR HER MEDICAL NEEDS QR: 0610220004</t>
  </si>
  <si>
    <t xml:space="preserve">Susan de Lara Zabala </t>
  </si>
  <si>
    <t>DONATION TO CLIENT FOR HER MEDICAL NEEDS QR: 0609220014</t>
  </si>
  <si>
    <t xml:space="preserve">Helen A. Resente </t>
  </si>
  <si>
    <t>DONATION TO BELLA ALMARIO FOR HER BURIAL EXPENSES QR: 0610220007</t>
  </si>
  <si>
    <t xml:space="preserve">Rainier B. Velasco </t>
  </si>
  <si>
    <t>DONATION TO CLIENT FOR HIS MEDICAL NEEDS QR: 0610220005</t>
  </si>
  <si>
    <t xml:space="preserve">Rio Joyce M. Vista </t>
  </si>
  <si>
    <t>DONATION TO ESPERANZA MALLARI FOR HER HOSPITAL BILL AND MEDICAL NEEDS ' QR: 0610220010</t>
  </si>
  <si>
    <t>Reimbursement of the amount paid for fuel consumption of the government vehicle Hyundai Starex MU 8265 for the month of May 2022</t>
  </si>
  <si>
    <t>Reimbursement of mobile expenses for the month of March, April and May 2022</t>
  </si>
  <si>
    <t>Replenishment of revolving fund</t>
  </si>
  <si>
    <t>Parts &amp; Labor for the 340,000 km preventive maintenance Toyota Hilux A1Z842 of MBDA owened by PGB</t>
  </si>
  <si>
    <t>Drinking water for March 2022 for Mega Processing Facility during Covid-19 Pandemic</t>
  </si>
  <si>
    <t>Meals for the Year End Assessment of Strategic Initiative and Whirlwind for 2021 and Planning for 2022 of the PDRRMO on Dec 17, 2021</t>
  </si>
  <si>
    <t>For replacement of four (4) pcs tire 195R15 8ply, for change oil and replacement oil filter and adjust breaks for Nissan Amulance OW-3902 for JPMH</t>
  </si>
  <si>
    <t>Replacement of defective battery for Isuzu Elf SJA-707 of PEO owned by the Provincial Government of Bataan</t>
  </si>
  <si>
    <t xml:space="preserve">1921 Auto Supply </t>
  </si>
  <si>
    <t>Replacement of defective battery to Isuzu Dumptruck D1N881 &amp; D1N884 of Provincial Engineer's Office owned by the Provincial Government of Bataan</t>
  </si>
  <si>
    <t>Parts &amp; Labor for the replacement of four pcs tire with complete alignment for Mitsubishi SJA-377 of BCMH</t>
  </si>
  <si>
    <t>Parts &amp; labor for the 30,000km preventive maintenanace check up of Hiace Commuter Van P3J567 of the Office of the Provincial Agriculturist</t>
  </si>
  <si>
    <t>Replacement of transmission parts and starter assembly of Mitsubishi FB L-300 SHS-641 of PEO owned by the Provincial Government of Bataan</t>
  </si>
  <si>
    <t>Replacement of valve cover gasket of Toyota Innova SHJ-973 of PEO owned by the Provincial Government of Bataan</t>
  </si>
  <si>
    <t>For change oil of Toyota Ambulance P1-A213 and Nissan ABW-4680 to be use of Bagac Community and Medicare Hospital</t>
  </si>
  <si>
    <t>Repair of Airconditioning System of Nissan Ambulance SJA-377</t>
  </si>
  <si>
    <t>Replacement of one (1) pc battery for Toyota Hilux POR-413</t>
  </si>
  <si>
    <t>Replacement of 3SM Battery for the use of MBDA Service vehicle SHW-604, NII-529, POM-457 &amp; PII-551 owned by the PGB</t>
  </si>
  <si>
    <t>Parts and Labor for the replacement of four (4) pcs of tire 205/65 R15 for Toyota Innova SJA-845 of PEO owned by PGB</t>
  </si>
  <si>
    <t>Purchase of Tensioner Bearing assembly for the service vehicle toyota innova with plate no. SJG 485</t>
  </si>
  <si>
    <t>Replacement of contact point, condenser fan belts and wiper blade of Tamaraw FX-SGJ-104</t>
  </si>
  <si>
    <t>Replacement of one (1) pience internal hard drive for the CPU assigned to Mr. Jose Gerry Guinto</t>
  </si>
  <si>
    <t>Channel Enterprises- External Hard Drive to keep and save important files / documents for the use of PESO</t>
  </si>
  <si>
    <t xml:space="preserve">CMC Tires &amp; Service Centre </t>
  </si>
  <si>
    <t>Parts and Labor for the replacement of four (4) pcs of tire 205/65 R15 for Toyota Innova SHB-954 of PEOowned by PGB</t>
  </si>
  <si>
    <t>Meals and snacks for Bataan Electric Public Utility Program meeting on April 25, 2022</t>
  </si>
  <si>
    <t>Meals incurred during meeting with Cong Joet Garcia</t>
  </si>
  <si>
    <t>Anti-Virus for server for the use of the Provincial Assessor's Office</t>
  </si>
  <si>
    <t xml:space="preserve">Josefina C. Trinidad </t>
  </si>
  <si>
    <t>Tax refund on behalf of Mr Jonald Jigo Trinidad who is currently working inb Manila son of the claimnant Mrs Josefina C Trinidad</t>
  </si>
  <si>
    <t xml:space="preserve">Angeline A. Rivera </t>
  </si>
  <si>
    <t>DONATION TO FELIPE RIVERA FOR HIS HOSPITAL BILL QR: 0610220003</t>
  </si>
  <si>
    <t>Fabrication, installation, and delivery of materials and equipment for BPML: Battle of Bataan Gallery</t>
  </si>
  <si>
    <t>Payment of Bunker Genset's Diesel During Power Interruption Dated May 06, 2022</t>
  </si>
  <si>
    <t xml:space="preserve">Wilmer D. Junio </t>
  </si>
  <si>
    <t>DONATION TO WILMA DIMALANTA FOR HER HOSPITAL BILL QR: 0613220005</t>
  </si>
  <si>
    <t xml:space="preserve">Myda R. Opiana </t>
  </si>
  <si>
    <t>DONATION TO MARILOU BARRUN FOR HER HOSPITAL BILL QR: 0613220003</t>
  </si>
  <si>
    <t xml:space="preserve">Vilma M. Ladines </t>
  </si>
  <si>
    <t>DONATION TO LOLITA MAGPOC FOR HER BURIAL EXPENSES QR: 0613220004</t>
  </si>
  <si>
    <t xml:space="preserve">Eleonor B. Tolentino </t>
  </si>
  <si>
    <t>DONATON TO DONITA BUENAFLOR FOR HER HOSPITAL BILL QR: 0610220012</t>
  </si>
  <si>
    <t xml:space="preserve">Marivic B. Gonzales </t>
  </si>
  <si>
    <t>DONATION TO JOSE JOEVIC GONZALES FOR HIS MEDICAL NEEDS QR: 0613220007</t>
  </si>
  <si>
    <t xml:space="preserve">Annabelle N. Tuazon </t>
  </si>
  <si>
    <t>DONATION TO PAUL LUCAS TUAZON FOR HIS HOSPITAL BILL / HERMOSA BATAAN QR: 0610220006</t>
  </si>
  <si>
    <t>Reimbursement of Water Analysis test for Bacteriological and Heterothropic Plate count test for 6 Stations</t>
  </si>
  <si>
    <t>Replenishment for market purchase of MDH for the period of May 19 - June 1, 2022</t>
  </si>
  <si>
    <t>Payment of fuel consumption for the period of April 25-30, 2022 (PGSO)</t>
  </si>
  <si>
    <t>Fuel on different service vehicle used by OPA, Tourism, BJMP-FEmale, PDRRMO, PPDO, PIO, PGENRO, PTO, PHO, PVO &amp; PCEDO May 23-29, 2022</t>
  </si>
  <si>
    <t>Payment for the funeral services under the Libreng Libing Program for the period May 16,23 &amp; 27, 2022</t>
  </si>
  <si>
    <t>Payment of allowance of the Comelec Field Officers for the month of MAy 2022</t>
  </si>
  <si>
    <t xml:space="preserve">Atty. Cristina T. Guiao-Garcia </t>
  </si>
  <si>
    <t>Garcia-Payment of allowance of the Comelec Field Officers for the month of April 2022</t>
  </si>
  <si>
    <t>DONATION TO RENATO MEDINA FOR HIS BURIAL EXPENSES</t>
  </si>
  <si>
    <t xml:space="preserve">Rochelle Ann P. Dominguez </t>
  </si>
  <si>
    <t>DONATION TO ROSAURO DOMINGUEZ FOR HIS BURIAL EXPENSES QR: 0609220005</t>
  </si>
  <si>
    <t xml:space="preserve">Michelle dela Cruz Santos </t>
  </si>
  <si>
    <t>DONATION TO NORMA SANTOS FOR HER BURIAL EXPENSES QR: 0608220010</t>
  </si>
  <si>
    <t xml:space="preserve">Jorizce C. Rivera </t>
  </si>
  <si>
    <t>DONATION TO JOSEPHINE RIVERA FOR HER BURIAL EXPENSES QR: 0609220003</t>
  </si>
  <si>
    <t xml:space="preserve">Agnes Dela Rosa Reyes </t>
  </si>
  <si>
    <t>DONATION TO ZENAIDA DELA ROSA FOR HER MEDICAL NEEDS QR: 0609220004</t>
  </si>
  <si>
    <t xml:space="preserve">Ronald R. Guillermo </t>
  </si>
  <si>
    <t>DONATION TO MICHELLE GUILLERMO FOR HER MEDICAL NEEDS QR: 0609220001</t>
  </si>
  <si>
    <t xml:space="preserve">Jonna D. Guila </t>
  </si>
  <si>
    <t>DONATION TO LOHAN GUILA FOR HIS MEDICAL NEEDS QR: 0609220008</t>
  </si>
  <si>
    <t xml:space="preserve">Manuel G. Mangantulao </t>
  </si>
  <si>
    <t>DONATION TO CLIENT FOR HIS MEDICAL NEEDS QR: 0609220006</t>
  </si>
  <si>
    <t xml:space="preserve">Jose R. Bustamante </t>
  </si>
  <si>
    <t>DONATION TO JINKY BUSTAMANTE FOR HER MEDICAL NEEDS QR: 0608220030</t>
  </si>
  <si>
    <t xml:space="preserve">Joselito A. Monjardin </t>
  </si>
  <si>
    <t>DONATION TO JANNAH PETRICIA MONJARDIN FOR HER MEDICAL NEEDS QR: 0609220010</t>
  </si>
  <si>
    <t xml:space="preserve">Aldrin M. Singca </t>
  </si>
  <si>
    <t>DONATION TO ALVIN SINGCA FOR HIS MEDICAL NEEDS QR: 0609220007</t>
  </si>
  <si>
    <t xml:space="preserve">Maricel V. Ramos </t>
  </si>
  <si>
    <t>DONATION TO CHITO RAMOS FOR HIS MEDICAL NEEDS QR: 0609220002</t>
  </si>
  <si>
    <t xml:space="preserve">Erlinda E. Jimenez </t>
  </si>
  <si>
    <t>DONATION TO RAUL JIMENEZ FOR HIS HOSPITAL BILL QR: 0609220015</t>
  </si>
  <si>
    <t xml:space="preserve">Joseph P. Vianzon </t>
  </si>
  <si>
    <t>DONATION TO SHERRYL GUANLAO FOR HER HOSPITAL BILL AND MEDICAL NEEDS QR: 0608220003</t>
  </si>
  <si>
    <t>Replenishment of Revolving Fund for payment of donation to indigent constituents from Province of Bataan (June 17 - 20)</t>
  </si>
  <si>
    <t>Reimbursement of Medicines, Supplies, X-ray, &amp; Laboratory Expenses under the Philhealth No Balance Billing (NBB) of indigent patients in ODH from May 16-June 2,2022</t>
  </si>
  <si>
    <t xml:space="preserve">Jayboy D. Ocampo </t>
  </si>
  <si>
    <t>DONATION TO CHENG ANN OCAMPO AND TYROWN JACOB OCAMPO FOR THEIR HOSPITAL BILLS QR: 0614220016</t>
  </si>
  <si>
    <t xml:space="preserve">The Authority of Freeport Area of Bataan </t>
  </si>
  <si>
    <t>Payment of Water Bill of MDH for the month of March - April, 2022</t>
  </si>
  <si>
    <t>Payment of Honorarium for the month of MAy 2022</t>
  </si>
  <si>
    <t xml:space="preserve">Chito Riego de Dios </t>
  </si>
  <si>
    <t xml:space="preserve">Serafin Bunsoy Jr. </t>
  </si>
  <si>
    <t>Replenishment of cash advance to defray payment of Daily Market Purchase from June 8-13, 2022</t>
  </si>
  <si>
    <t>Replenishment of cash advance for emergency purchases of JPMH from June 6 - 9, 2022</t>
  </si>
  <si>
    <t>Payment of honorarium for the month of MAy 2022</t>
  </si>
  <si>
    <t xml:space="preserve">Scarabus, Inc. </t>
  </si>
  <si>
    <t>1% retention for additional supply of sets of notebook, pencil &amp; ballpen for elementary , secondary &amp; senior high school provincewide</t>
  </si>
  <si>
    <t xml:space="preserve">Lord Eglyn Merchandising </t>
  </si>
  <si>
    <t>1% retention for feeds to be used in swine multiplier &amp; technodemo farm in Mariveles Bataan</t>
  </si>
  <si>
    <t xml:space="preserve">Angeles Univesity Foundation Medical Center, Inc. </t>
  </si>
  <si>
    <t>Ans Enterprises-1% retention for ultra violet ray sterilization trolley for use of BCMH during COVID 2=19 emergency response</t>
  </si>
  <si>
    <t>1% retention for service vehicle for Bagac-Morong road for patrolling &amp; monitoring</t>
  </si>
  <si>
    <t>Payment of TextBlast Subscription for the use for information dissemination of COVID19 Program of Bataan Province for the month of January to May 2022</t>
  </si>
  <si>
    <t>Payment of Internet Subscription for the period of June -30, 2022</t>
  </si>
  <si>
    <t>Payment of internet subscription for June 1-30, 2022</t>
  </si>
  <si>
    <t>Replenishment of Emergency Purchases of NBB Patients of JPMH for the period from June 9 - 13, 2022</t>
  </si>
  <si>
    <t>Replenishment of Miscellaneous Expenses of MDH used for Covid-19 for the period of May 16-30, 2022</t>
  </si>
  <si>
    <t>Cash advance for OT for January-March 2022</t>
  </si>
  <si>
    <t xml:space="preserve">Mia Trinna N. Gaynilo </t>
  </si>
  <si>
    <t>Payment for maternity leave</t>
  </si>
  <si>
    <t>DONATION TO IRENEO ARIBAS FOR HIS BURIAL EXPENSES\ QR: 0613220018</t>
  </si>
  <si>
    <t xml:space="preserve">Ardee G. Aspiras </t>
  </si>
  <si>
    <t>DONATION TO LIWAYWAY ASPIRAS FOR HER HOSPITAL BILL QR: 0613220006</t>
  </si>
  <si>
    <t xml:space="preserve">Maricel A. Buan </t>
  </si>
  <si>
    <t>DONATION TO HERMINIO RAMIREZ FOR HIS HOSPITAL QR: 0610220015</t>
  </si>
  <si>
    <t xml:space="preserve">Anacorita C. Lopez </t>
  </si>
  <si>
    <t>DONATION TO FELIX CALALUAN FOR HIS HOSPITAL BILL QR: 0610220016</t>
  </si>
  <si>
    <t>DONATION TO ALVIN ABAD FOR HIS BURIAL EXPENSES QR: 0613220011</t>
  </si>
  <si>
    <t xml:space="preserve">Rizalina M. Marcelino </t>
  </si>
  <si>
    <t>DONATION TO GIL MARCELINO FOR HIS HOSPITAL BILL AND MEDICAL NEEDS QR: 0613220008</t>
  </si>
  <si>
    <t xml:space="preserve">Josephine S. Tabugan </t>
  </si>
  <si>
    <t>DONATION TO JUDITH TABUGAN AND ZION JINZ BANZON FOR THEIR HOSPITAL BILLS' QR: 0613220015</t>
  </si>
  <si>
    <t xml:space="preserve">Rafael B. Trinidad </t>
  </si>
  <si>
    <t>DONATION TO CANDELARIA TRINIDAD FOR HER HOSPITAL BILL QR: 0613220019</t>
  </si>
  <si>
    <t xml:space="preserve">Edgardo Jr. A. Jimenez </t>
  </si>
  <si>
    <t>DONATION TO MICHELLE ALBARDA FOR HER HOSPITAL BILL QR: 0613220013</t>
  </si>
  <si>
    <t xml:space="preserve">Rossil Adrian C. Arellano </t>
  </si>
  <si>
    <t>DONATION TO ROWENA ARELLANO FOR HER HOSPITAL BILL QR: 0610220009</t>
  </si>
  <si>
    <t xml:space="preserve">Juanita S. Perez </t>
  </si>
  <si>
    <t>DONATION TO RYAN JOSEPH PEREZ FOR HIS HOSPITAL BILL AND PROFESSIONAL FEE QR: 0613220009</t>
  </si>
  <si>
    <t xml:space="preserve">Austin E. Acas </t>
  </si>
  <si>
    <t>DONATION TO ALMA ACAS FOR HER MEDICAL NEEDS QR: 0613220016</t>
  </si>
  <si>
    <t xml:space="preserve">Mary Jane D. Angel </t>
  </si>
  <si>
    <t>DONATION TO BREN JOSEPH SAMIANO FOR HIS HOSPITAL BILL QR: 0613220012</t>
  </si>
  <si>
    <t>To purchase of adblue for the used of Boom Truck of PEO owned by the Provincial Government of Bataan</t>
  </si>
  <si>
    <t>Materials Needed for One Year Change Oil / Preventive Maintenance for the Vehicle Assigned to the Office of the Governor Toyota Innova with Plate Number SLB-225</t>
  </si>
  <si>
    <t>Room Accommodation for the Visitors of Governor Albert Garcia on May 2-3, 2022</t>
  </si>
  <si>
    <t>Hard drive for back up storage of the documentation of the Provincial Information</t>
  </si>
  <si>
    <t>Medical Oxygen</t>
  </si>
  <si>
    <t>Materials needed for one year change oil and preventive maintenance of Isuzu Elf SJA-707 of PEO owned by the Provincial Government of Bataan</t>
  </si>
  <si>
    <t>Lunch for the year-end assessment of PGSO and Bids and Awards (BAC) Personnel on December 22, 2021</t>
  </si>
  <si>
    <t xml:space="preserve">Enrico T. Yuzon </t>
  </si>
  <si>
    <t>Reimbursement for Meals (Lunch) to be served on June 8, 2022 at 7th Floor, PGO Boardroom, The Bunker Building, for the coordination meeting with the concerned officials for the concerns on Philippine Sports Commission Training Center in Cabog-Cabog, Balanga City, Bataan</t>
  </si>
  <si>
    <t>Token to be given to National Bureau of Investigation (NBI) Manila Officials during NBI Mariveles and Orani Inauguration and visit of Philippine Coast Guard Commander and Officials during courtesy call with the Provincial Governor on April 12, 2022</t>
  </si>
  <si>
    <t>Other Supplies and Materials for the use of Provincial Engineer's Office</t>
  </si>
  <si>
    <t>Token for Guest Speaker at Cooperative Assessment Information System Orientation April 13, 2022</t>
  </si>
  <si>
    <t>Wide format printer for the use of PGO</t>
  </si>
  <si>
    <t>Reimbursement of Meals and snacks for the Mobile Blood Donation program of JCPJMH to be held on June 11, 2022 at Bulwagan ng Bayan, Dinalupihan, Bataan</t>
  </si>
  <si>
    <t>PAYMENT OF ASSORTED VEGETABLE PRODUCTS FOR THE CONSUMPTION OF INMATES OF BATAAN DSITRICT JAIL WITHIN THE PERIOD OF MAY 16-31,2022</t>
  </si>
  <si>
    <t>Assorted meat and processed food for the consumption of inmates of Bataan District Jail within the period of May 16-31, 2022</t>
  </si>
  <si>
    <t xml:space="preserve">Digital Express Printing Services </t>
  </si>
  <si>
    <t>Printing of Tarpaulins and Signage intended to inform the public of NBI Bataan District Office at 1Bataan Office located inside the 1Bataan Command Center, Doña, Orani, Bataan</t>
  </si>
  <si>
    <t>Parts and labor for 140,000km preventive maintenance check-up of Toyota Fortuner A5T753</t>
  </si>
  <si>
    <t>Assorted vegetables products for the consumption of inmates of Bataan District Jail within the period of May 1-15, 2022</t>
  </si>
  <si>
    <t>T-Shirt to be used for the Provincial Women's Commission on March 24, 2022</t>
  </si>
  <si>
    <t>Rental Water Dispenser for the Araw ng Kagitingan from April 8 to 9, 2022</t>
  </si>
  <si>
    <t>To Purchase of additional horn for the used of Isuzu Dumptruct D1N881</t>
  </si>
  <si>
    <t>Replacement of defective parts of ISUZU JITNEY VAN SHP-848 C/O PGSO</t>
  </si>
  <si>
    <t>Office supplies to be used of CHP</t>
  </si>
  <si>
    <t>Token to be given in FAB Central Groundbreaking on April 07, 2022</t>
  </si>
  <si>
    <t>Reimbursement of the amount paid for fuel consumption of the government vehicle Ford Everest IP 0800 for the month of May, 2022</t>
  </si>
  <si>
    <t>Reimbursement of the amount paid for fuel consumption of the government vehicle Ford Everest IP 0189 for the month of May 2022</t>
  </si>
  <si>
    <t>Replenishment of Medicines, Supplies, X-ray &amp; Laboratory Expenses under the PhilHealth No Balance Billing (NBB) of indigent patients in ODH from June 3-10,2022</t>
  </si>
  <si>
    <t>Replenishment of Emergency purchases of NBB patients of JPMH for the period from June 14 - 17, 2022</t>
  </si>
  <si>
    <t>Petty cash fund replenishment for June 16-22, 2022</t>
  </si>
  <si>
    <t>Payment of Fidelity Bond Premioum of Ms. Gladdys Mendoza and Ms. Melbrin Owel of PTO</t>
  </si>
  <si>
    <t>Payment of fidelity bond premium of Azucena E, Sugatain for the year 2022</t>
  </si>
  <si>
    <t>Meals to be served during the Inauguration of COA Building Located at Abucay, Bataan on April 28, 2022</t>
  </si>
  <si>
    <t>Payment of Donation to Bataan Crime Lab for their Administrative and Operations Expenses for May 16 - June 15, 2022</t>
  </si>
  <si>
    <t>DONATION FOR THE HOSPITAL BILLS OF VARIOUS CLIENTS COVERING THE PERIOD JUNE 6-10, 2022</t>
  </si>
  <si>
    <t>Payment of fuel consumption for the period of May 30 - June 5, 2022 (MBDA</t>
  </si>
  <si>
    <t>Fuel on different service vehicle used by BJMP Female &amp; BJMP Male May 16-22, 2022</t>
  </si>
  <si>
    <t>Payment of fuel consumption for the period of May 30 - June 5, 2022</t>
  </si>
  <si>
    <t>Payment of fuel consumption for the period of May 23-29, 2022</t>
  </si>
  <si>
    <t>Payment of water expense for the period of May 2 - June 1, 2022</t>
  </si>
  <si>
    <t xml:space="preserve">Regine R. Sta. Ana </t>
  </si>
  <si>
    <t>DONATION TO REGULO STA ANA FOR HIS BURIAL EXPENSES QR: 0614220017</t>
  </si>
  <si>
    <t xml:space="preserve">Annabelle C. Sarmiento </t>
  </si>
  <si>
    <t>DONATION TO MARIA CRUZ FOR HER HOSPITAL BILL QR: 0614220022</t>
  </si>
  <si>
    <t xml:space="preserve">Alicia de Leon Ramos </t>
  </si>
  <si>
    <t>DONATION TO ALEXANDER RAMOS FOR HIS HOSPITAL BILL QR: 0614220006</t>
  </si>
  <si>
    <t xml:space="preserve">Jonalyn L. Alzadon </t>
  </si>
  <si>
    <t>DONATION TO LLORD CALVIN ALZADON FOR HIS HOSPITAL BILL AND MEDICAL NEEDS QR: 0614220014</t>
  </si>
  <si>
    <t xml:space="preserve">Nora S. Durago </t>
  </si>
  <si>
    <t>DONATION TO GUILLERMO DURAGO FOR HIS HOSPITAL BILL QR: 0614220018</t>
  </si>
  <si>
    <t xml:space="preserve">Arnold dela Cruz Ramos </t>
  </si>
  <si>
    <t>DONATION TO ANGELITA MULLENO FOR HER HOSPITAL BILL AND PROFESSIONAL FEE QR: 0614220004</t>
  </si>
  <si>
    <t xml:space="preserve">John Ian G. Pantonilla </t>
  </si>
  <si>
    <t>DONATION TO PATRICIA DORATHY PANTONILLA FOR HER HOSPITAL BILL QR: 0614220015</t>
  </si>
  <si>
    <t xml:space="preserve">Marides G. Borromeo </t>
  </si>
  <si>
    <t>DONATION TO LUCITA BORROMEO FOR HER MEDICAL NEEDS QR: 0614220032</t>
  </si>
  <si>
    <t xml:space="preserve">Vanessa J. Velasco </t>
  </si>
  <si>
    <t>DONATION TO ARISTOTLE VELASCO FOR HIS HOSPITAL BILL QR: 0610220017</t>
  </si>
  <si>
    <t xml:space="preserve">Lancer de Guzman del Rosario </t>
  </si>
  <si>
    <t>DONATION TO FAUSTINO DEL ROSARIO FOR HIS HOSPITAL BILL QR: 0614220009</t>
  </si>
  <si>
    <t xml:space="preserve">Melanie Joyce M. Angeles </t>
  </si>
  <si>
    <t>DONATION TO MAXIMA ANGELES FOR HER HOSPITAL BILL QR: 0614220008</t>
  </si>
  <si>
    <t xml:space="preserve">Abegael T. Tejada </t>
  </si>
  <si>
    <t>DONATION TO AVERY CHRIS TEJADA FOR HIS HOSPITAL BILL QR: 0614220002</t>
  </si>
  <si>
    <t xml:space="preserve">Violeta D. Santiago </t>
  </si>
  <si>
    <t>DONATION TO JOHN LEVI SANTIAGO FOR HIS HOSPITAL BILL QR: 0614220001</t>
  </si>
  <si>
    <t xml:space="preserve">Madel de Leon Martinez </t>
  </si>
  <si>
    <t>DONATION TO MELANIA DE LEON FOR HER HOSPITAL BILL QR: 0614220005</t>
  </si>
  <si>
    <t xml:space="preserve">Gerlie S. Atienza </t>
  </si>
  <si>
    <t>DONATION TO GERARDO SALVADOR FOR HIS HOSPITAL BILL QR: 0614220023</t>
  </si>
  <si>
    <t xml:space="preserve">Centro Medico de Santisimo Rosario, Inc. </t>
  </si>
  <si>
    <t>DONATION TO CRIS ANGELO HERNANDEZ FOR HIS HOSPITAL BILL QR: 0614220011</t>
  </si>
  <si>
    <t xml:space="preserve">Milaña A. Lopez </t>
  </si>
  <si>
    <t>DONATION TO CLIENT FOR HER MEDICAL NEEDS QR: 0608220004</t>
  </si>
  <si>
    <t xml:space="preserve">Buenaventura S. Laus </t>
  </si>
  <si>
    <t>DONATION TO CLIENT FOR HIS MEDICAL NEEDS QR: 0614220003</t>
  </si>
  <si>
    <t xml:space="preserve">Queeny A. Cura </t>
  </si>
  <si>
    <t>DONATION TO FEDERICO JR. CURA FOR HIS MEDICAL NEEDS QR: 0614220007</t>
  </si>
  <si>
    <t xml:space="preserve">Jose Edwin Z. De Luna </t>
  </si>
  <si>
    <t>DONATION TO GINA DE LUNA FOR HER BURIAL EXPENSES QR: 0615220023</t>
  </si>
  <si>
    <t xml:space="preserve">Mario T. Supnad </t>
  </si>
  <si>
    <t>DONATION TO RONALDO DAVID FOR HIS HOSPITAL BILL QR: 0615220026</t>
  </si>
  <si>
    <t xml:space="preserve">Ruby Anne S. Dinglasan </t>
  </si>
  <si>
    <t>DONATION TO KEITH CYRUS DINGLASAN FOR HIS HOSPITAL BILL QR: 0615220024</t>
  </si>
  <si>
    <t xml:space="preserve">Rosalie Z. Seducon </t>
  </si>
  <si>
    <t>DONATION TO CLIENT FOR HER HOSPITAL BILL AND PROFESSIONAL FEE QR: 0615220020</t>
  </si>
  <si>
    <t xml:space="preserve">Jofelyn D. Enriquez </t>
  </si>
  <si>
    <t>DONATION TO DAELYN ROSE ENRIQUEZ FOR HER HOSPITAL BILL AND MEDICAL NEEDS QR: 0613220017</t>
  </si>
  <si>
    <t xml:space="preserve">Teresita C. Sabian </t>
  </si>
  <si>
    <t>DONATION TO RENALYN SABIAN FOR HER MEDICAL NEEDS QR: 0615220027</t>
  </si>
  <si>
    <t xml:space="preserve">Elizabeth B. Ramirez </t>
  </si>
  <si>
    <t>DONATION TO ROSALINA RAMIREZ FOR HER BURIAL EXPENSES QR: 0614220033</t>
  </si>
  <si>
    <t xml:space="preserve">Filemon L. Jimenez Jr. </t>
  </si>
  <si>
    <t>DONATION TO MARINA JIMENEZ FOR HER BURIAL EXPENSES QR: 0615220004</t>
  </si>
  <si>
    <t xml:space="preserve">Meliza D. Yambao </t>
  </si>
  <si>
    <t>DONATION TO RAYMOND YAMBAO FOR HIS PROFESSIONAL FEE QR: 0615220013</t>
  </si>
  <si>
    <t xml:space="preserve">Femalyn D. Yere </t>
  </si>
  <si>
    <t>DONATION TO LEM YERE FOR HIS HOSPITAL BILL QR: 0615220003</t>
  </si>
  <si>
    <t xml:space="preserve">Mary Grace R. Suing </t>
  </si>
  <si>
    <t>DONATION TO ROWEL REYES FOR HIS HOSPITAL BILL QR: 0615220002</t>
  </si>
  <si>
    <t xml:space="preserve">Amalia dela Cruz Acosta </t>
  </si>
  <si>
    <t>DONATION TO PRUDENCIO DELA CRUZ SR. FOR HIS HOSPITAL BILL QR: 0615220005</t>
  </si>
  <si>
    <t xml:space="preserve">Yucky John J. Dela Cruz </t>
  </si>
  <si>
    <t>DONATION TO CLARISSA DELA CRUZ AND LUCAS VITO DELA CRUZ FOR THEIR HOSPITAL BILLS QR: 0615220015</t>
  </si>
  <si>
    <t xml:space="preserve">Cesar C. De Guzman </t>
  </si>
  <si>
    <t>DONATION TO CLIENT FOR HIS MEDICAL NEEDS QR: 0615220012</t>
  </si>
  <si>
    <t xml:space="preserve">Gina S. Calara </t>
  </si>
  <si>
    <t>DONATION TO ROMEO CALARA JR. FOR HIS MEDICAL NEEDS QR: 0615220011</t>
  </si>
  <si>
    <t xml:space="preserve">Daniel B. Romero </t>
  </si>
  <si>
    <t>DONATION TO DAN EARL ROMERO FOR HIS BURIAL EXPENSES QR: 0616220003</t>
  </si>
  <si>
    <t xml:space="preserve">Rasheed Isac M. Zabala </t>
  </si>
  <si>
    <t>DONATION TO BRYAN ZABALA FOR HIS PROFESSIONAL FEE QR: 0615220008</t>
  </si>
  <si>
    <t xml:space="preserve">Jocelyn C. Bailen </t>
  </si>
  <si>
    <t>DONATION TO CLIENT FOR PURCHASE OF BASIC NECESSITIES QR: 0615220018</t>
  </si>
  <si>
    <t xml:space="preserve">Karen H. Salvador </t>
  </si>
  <si>
    <t>DONATION TO NHOLAN GALICIA FOR HIS HOSPITAL BILL QR: 0615220014</t>
  </si>
  <si>
    <t xml:space="preserve">Regina Mae S. Dispo </t>
  </si>
  <si>
    <t>DONATION TO CLIENT FOR HER HOSPITAL BILL QR: 0615220017</t>
  </si>
  <si>
    <t xml:space="preserve">Venus M. Hernandez </t>
  </si>
  <si>
    <t>DONATION TO MARK JOHN HERNANDES FOR HIS HOSPITAL BILL QR: 0615220001</t>
  </si>
  <si>
    <t xml:space="preserve">Raquel P. Dassun </t>
  </si>
  <si>
    <t>DONATION TO MARIAM MARUELA DASSUN FOR HER HOSPITAL BILL AND PROFESSIONAL FEE QR: 0616220002</t>
  </si>
  <si>
    <t>DONATION TO MA. VICTORIA CARLOS FOR HER MEDICAL NEEDS QR: 0615220021</t>
  </si>
  <si>
    <t xml:space="preserve">Rica M. Blancaflor </t>
  </si>
  <si>
    <t>DONATION TO ANDREW BLANCAFLOR FOR HIS MEDICAL NEEDS QR: 0615220016</t>
  </si>
  <si>
    <t xml:space="preserve">Susan A.Cipriano </t>
  </si>
  <si>
    <t>DONATION TO RICARDO CIPRIANO FOR HIS MEDICAL NEEDS QR: 0616220004</t>
  </si>
  <si>
    <t xml:space="preserve">Althea S. Apolinario </t>
  </si>
  <si>
    <t>DONATION TO CLIENT FOR HER MEDICAL NEEDS QR: 0615220010</t>
  </si>
  <si>
    <t>DONATION TO NYMPHA BUCO FOR HER BURIAL EXPENSES QR: 0616220020</t>
  </si>
  <si>
    <t xml:space="preserve">Estrelita D. Venegas </t>
  </si>
  <si>
    <t>DONATION TO MIRIAM DE JESUS FOR HER HOSPITAL BILL QR: 0614220010</t>
  </si>
  <si>
    <t xml:space="preserve">Marcelino C. Manuel </t>
  </si>
  <si>
    <t>DONATION TO TEODORICO MANUEL FOR HIS HOSPITAL BILL AND PROFESSIONAL FEE QR: 0616220015</t>
  </si>
  <si>
    <t xml:space="preserve">Cherry L. Reyes </t>
  </si>
  <si>
    <t>DONATION TO TERESITA LEYNES FOR HER HOSPITAL BILL QR: 0616220023</t>
  </si>
  <si>
    <t xml:space="preserve">Joseph G. San Jose </t>
  </si>
  <si>
    <t>DONATION TO JOSELLE SAN JOSE FOR HER HOSPITAL BILL QR: 0616220021</t>
  </si>
  <si>
    <t xml:space="preserve">Dalisay D. Ventura </t>
  </si>
  <si>
    <t>DONATION TO RODEL VENTURA FOR HIS HOSPITAL BILL QR: 0616220009</t>
  </si>
  <si>
    <t xml:space="preserve">Jasmin P. Ambrocio </t>
  </si>
  <si>
    <t>DONATION TO EDGARDO PEñA JR. FOR HIS MEDICAL NEEDS QR: 0616220022</t>
  </si>
  <si>
    <t xml:space="preserve">Sheryl P. Nuguid </t>
  </si>
  <si>
    <t>DONATION TO GLADYS GARCIA FOR HER MEDICAL NEEDS QR: 0616220014</t>
  </si>
  <si>
    <t>DONATION TO CLIENT FOR HER MEDICAL NEEDS QR: 0616220007</t>
  </si>
  <si>
    <t xml:space="preserve">Divina F. Castillo </t>
  </si>
  <si>
    <t>DONATION TO CLIENT FOR HER MEDICAL NEEDS QR: 0615220007</t>
  </si>
  <si>
    <t xml:space="preserve">Karen M. Ronquillo </t>
  </si>
  <si>
    <t>DONATION TO ROMEO HILARIO FOR HIS BURIAL EXPENSES QR: 0616220006</t>
  </si>
  <si>
    <t xml:space="preserve">Mary Ann B. Tolentino </t>
  </si>
  <si>
    <t>DONATION TO ANA BUGARIN FOR HER BURIAL EXPENSES QR: 0616220010</t>
  </si>
  <si>
    <t xml:space="preserve">Sunset Funeral Homes </t>
  </si>
  <si>
    <t>DONATION TO RITO IGNACIO FOR HIS BURIAL EXPENSES QR: 0616220013</t>
  </si>
  <si>
    <t xml:space="preserve">Ver A. Pascual </t>
  </si>
  <si>
    <t>DONATION TO EMERALD PASCUAL AND AMICA ELIN PASCUAL FOR THEIR HOSPITAL BILLS QR: 0616220012</t>
  </si>
  <si>
    <t xml:space="preserve">Luciana E. Dela Cruz </t>
  </si>
  <si>
    <t>DONATION TO VICTORIANO DELA CRUZ FOR HIS HOSPITAL BILL QR: 0616220011</t>
  </si>
  <si>
    <t xml:space="preserve">Jamaica R. Belanio </t>
  </si>
  <si>
    <t>DONATION TO LOURDES BELANIO FOR HER HOSPITAL BILL QR: 0613220001MAR</t>
  </si>
  <si>
    <t xml:space="preserve">Rocel M. Zaballa </t>
  </si>
  <si>
    <t>DONATION TO ROSITA DEL ROSARIO FOR HER HOSPITAL BILL QR: 0616220005</t>
  </si>
  <si>
    <t xml:space="preserve">Angelo B. Serrano </t>
  </si>
  <si>
    <t>DONATION TO BETTY SERRANO FOR HER MEDICAL NEEDS QR: 0609220001DIN</t>
  </si>
  <si>
    <t xml:space="preserve">Jelyn G. Ng </t>
  </si>
  <si>
    <t>DONATION TO LUPO ESTANISLAO FOR HIS MEDICAL NEEDS QR: 0609220002DIN</t>
  </si>
  <si>
    <t xml:space="preserve">Bobby L. Valencia </t>
  </si>
  <si>
    <t>DONATION TO KAREN SANTIAGO AND MAXENE VALENCIA FOR THEIR HOSPITAL BILLS QR: 0613220021</t>
  </si>
  <si>
    <t>Part and labor for 90,000km preventive maintenance check-up of Ford Everest IO-9547 c/o BM Jose C. Villapando, SR</t>
  </si>
  <si>
    <t>Replenishment of revolving fund for payment of donation to indigent constituents from the Province of Bataan</t>
  </si>
  <si>
    <t>FK-7105 for the replacement of defective parts of KYOCERA digital copier used in the Provincial Treasurer's Office</t>
  </si>
  <si>
    <t xml:space="preserve">Philpost Balanga </t>
  </si>
  <si>
    <t>Stamps for mailing of documents to be used in the office of the sangguniang panlalawigan</t>
  </si>
  <si>
    <t xml:space="preserve">Kevin R. Sanchez </t>
  </si>
  <si>
    <t>DONATION TO CLIENT FOR HIS MEDICAL NEEDS QR: 0617220034</t>
  </si>
  <si>
    <t>DONATION TO JOSE QUEZON FOR HIS MEDICAL NEEDS QR: 0617220024</t>
  </si>
  <si>
    <t xml:space="preserve">Teresa D. Peralta </t>
  </si>
  <si>
    <t>DONATION TO MIA PERALTA AND LEMARC PAUL PERALTA FOR THEIR HOSPITAL BILLS QR: 0617220025</t>
  </si>
  <si>
    <t xml:space="preserve">Elvie A. Alico </t>
  </si>
  <si>
    <t>DONATION TO ABEL ALICO FOR HIS HOSPITAL BILL QR: 0617220030</t>
  </si>
  <si>
    <t xml:space="preserve">Ariel M. De Jesus </t>
  </si>
  <si>
    <t>DONATION TO CHERYL KATON FOR HER BURIAL EXPENSES QR: 0617220029</t>
  </si>
  <si>
    <t>DONATION TO BAYANI F. DEL ROSARIO FOR HIS HOSPITAL BILL QR: 0617220031</t>
  </si>
  <si>
    <t xml:space="preserve">Oscar M. Tigas </t>
  </si>
  <si>
    <t>DONATION TO YOLANDA TIGAS FOR HER HOSPITAL BILL QR: 0617220026</t>
  </si>
  <si>
    <t>DONATION TO RICHARD SALENGA FOR HIS HOSPITAL BILL QR: 0617220032</t>
  </si>
  <si>
    <t xml:space="preserve">Maricris H. Ortega </t>
  </si>
  <si>
    <t>DONATION TO MA. SOCORRO HERRERA FOR HOSPITAL BILL AND MEDICAL NEEDS QR: 0620220007</t>
  </si>
  <si>
    <t>DONATION TO CLIENT FOR HIS MEDICAL NEEDS QR: 0620220008</t>
  </si>
  <si>
    <t xml:space="preserve">Maria Cecilia G. Prades </t>
  </si>
  <si>
    <t>DONATION TO ROBERTO GONZALES FOR HIS HOSPITAL BILL QR: 0620220014</t>
  </si>
  <si>
    <t xml:space="preserve">Jevy D. Gutierrez </t>
  </si>
  <si>
    <t>DONATION TO ATHENA GUTIERREZ FOR THEIR HOSPITAL BILLS QR: 0620220011</t>
  </si>
  <si>
    <t xml:space="preserve">Herminia R. Escaler </t>
  </si>
  <si>
    <t>DONATION TO CRISALDE ESCALER FOR HIS BURIAL EXPENSES</t>
  </si>
  <si>
    <t xml:space="preserve">Marvin Mark F. Reyes </t>
  </si>
  <si>
    <t>DONATION TO GILDA REYES FOR HER HOSPITAL BILL QR: 0615220029</t>
  </si>
  <si>
    <t xml:space="preserve">Roldan Jay A. Santos </t>
  </si>
  <si>
    <t>DONATION TO CHELA SANTOS AND MALIA JADE SANTOS FOR THEIR HOSPITAL BILLS QR: 0620220023</t>
  </si>
  <si>
    <t xml:space="preserve">Leilani C. Benlayo </t>
  </si>
  <si>
    <t>DONATION TO ROBERTO BENLAYO FOR HIS HOSPITAL BILL QR: 0620220004</t>
  </si>
  <si>
    <t xml:space="preserve">Marites R. Literal </t>
  </si>
  <si>
    <t>DONATION TO ROSITA RAMOS FOR HER HOSPITAL BILL QR: 0620220006</t>
  </si>
  <si>
    <t xml:space="preserve">Rowena G. Payawal </t>
  </si>
  <si>
    <t>DONATION TO JOHN CARLO PAYAWAL FOR HIS HOSPITAL BILL AND MEDICAL NEEDS QR: 0620220025</t>
  </si>
  <si>
    <t xml:space="preserve">Michael Harley T. Gache </t>
  </si>
  <si>
    <t>DONATION TO LEAH GACHE FOR HER HOSPITAL BILL QR: 0617220014</t>
  </si>
  <si>
    <t>DONATION TO MARK DEXTER DE MESA FOR HIS BURIAL EXPENSES QR: 0617220027</t>
  </si>
  <si>
    <t>Payment of fuel consumption for the period of June 6-12, 2022 (PGO)</t>
  </si>
  <si>
    <t>Fuel on different service vehicle used by BJMP Female &amp; BJMP Male May 9-15, 2022</t>
  </si>
  <si>
    <t>Replenishment for market purchase of MDH for the period of June 02-13, 2022</t>
  </si>
  <si>
    <t xml:space="preserve">Josefina T. Timoteo </t>
  </si>
  <si>
    <t>TAx refund for CY 2022</t>
  </si>
  <si>
    <t>Fuel on different service vehicle used by PPDO, PVO, PTO, PCEDO, PGENRO, PDRRMO &amp; PHO JUne 6-12, 2022</t>
  </si>
  <si>
    <t>Fuel on different service vehicle used by PNP, SOCO, BJMP May 23-29, 2022</t>
  </si>
  <si>
    <t>Fuel on different service vehicle used by PNP, PVO, OPA, PGENRO, PDRRMO, PCEDO, PHO, BJMP-Female, BJMP-MAle, Tourism &amp; SOCO May 30-June 5, 2022</t>
  </si>
  <si>
    <t>Fuel on different service vehicle used by PHO &amp; PNP O May16-22, 2022</t>
  </si>
  <si>
    <t>Reimbursement of gasoline, oil and lubricants expenses of ODH Ambulances and Water pump from March 4-31, 2022</t>
  </si>
  <si>
    <t xml:space="preserve">Mercedes G. Sacdalan </t>
  </si>
  <si>
    <t>DONATION TO MYRNA FRANCISCO FOR HER HOSPITAL BILL QR: 0617220019</t>
  </si>
  <si>
    <t xml:space="preserve">Juliet S. Flores </t>
  </si>
  <si>
    <t>DONATION TO RHOY ADRIAN FLORES FOR HIS MEDICAL NEEDS QR: 0617220036</t>
  </si>
  <si>
    <t xml:space="preserve">Ofelia B. Bagsic </t>
  </si>
  <si>
    <t>DONATION TO RAMON BAGSIC FOR HIS MEDICAL NEEDS QR: 0617220005</t>
  </si>
  <si>
    <t xml:space="preserve">Vergel I. Trinidad </t>
  </si>
  <si>
    <t>DONATION TO CLIENT FOR HIS MEDICAL NEEDS QR: 0617220013</t>
  </si>
  <si>
    <t xml:space="preserve">Cristina M. de Guzman </t>
  </si>
  <si>
    <t>DONATION TO FE MANALO FOR HER HOSPITAL BILL QR: 0616220031</t>
  </si>
  <si>
    <t xml:space="preserve">Magdalena S. David </t>
  </si>
  <si>
    <t>DONATION TO RONALDO DAVID FOR HIS HOSPITAL BILL QR: 0615220030</t>
  </si>
  <si>
    <t xml:space="preserve">Jessica Eunice L. Brondial </t>
  </si>
  <si>
    <t>DONATION TO JOSEPH BRONDIAL FOR HIS HOSPITAL BILL, PROFESSIONAL FEE AND MEDICAL NEEDS QR: 0617220010</t>
  </si>
  <si>
    <t xml:space="preserve">Ruben H. Guevarra </t>
  </si>
  <si>
    <t>DONATION TO EDELWINA GUEVARRA FOR HER HOSPITAL BILL AND MEDICAL NEEDS QR: 0617220011</t>
  </si>
  <si>
    <t xml:space="preserve">Dianne Librasette A. Foronda </t>
  </si>
  <si>
    <t>DONATION TO DONNA LISSA FORONDA FOR HER HOSPITAL BILL QR: 0617220017</t>
  </si>
  <si>
    <t xml:space="preserve">Cristino T. Mira </t>
  </si>
  <si>
    <t>DONATION TO CLIENT FOR HIS MEDICAL NEEDS QR: 0617220012</t>
  </si>
  <si>
    <t>Payment for the Transfer tax of 33 Titles Ipag, Mariveles, Bataan</t>
  </si>
  <si>
    <t xml:space="preserve">Isaac V. Gomez Jr. </t>
  </si>
  <si>
    <t>DONATION TO ALONSO LUIS GOMEZ FOR HIS MEDICAL NEEDS QR: 0617220021</t>
  </si>
  <si>
    <t xml:space="preserve">Raven J. Ramos </t>
  </si>
  <si>
    <t>DONATION TO CLIENT FOR HIS MEDICAL NEEDS QR: 0617220016</t>
  </si>
  <si>
    <t>DONATION TO CLIENT, MARTINE LUCIA GAYNILO AND RIGO LUIS GAYNILLO FOR THEIR HOSPITAL BILLS QR: 0617220035</t>
  </si>
  <si>
    <t xml:space="preserve">Marieta C. Datu </t>
  </si>
  <si>
    <t>DONATION TO JOSE CASTRO FOR HIS BURIAL EXPENSES QR: 0615220009</t>
  </si>
  <si>
    <t xml:space="preserve">Marilyn G. Sebastian </t>
  </si>
  <si>
    <t>DONATION TO MELINDA SEBASTIAN FOR HER HOSPITAL BILL QR: 0617220001</t>
  </si>
  <si>
    <t xml:space="preserve">Leonida D. Nicdao </t>
  </si>
  <si>
    <t>DONATION TO CLIENT FOR HER MEDICAL NEEDS QR: 0617220023</t>
  </si>
  <si>
    <t xml:space="preserve">Maria Teresita R. Tuñgol </t>
  </si>
  <si>
    <t>DONATION TO ROMEO TUNGOL FOR HIS BURIAL EXPENSES QR: 0617220018</t>
  </si>
  <si>
    <t xml:space="preserve">Oliver D. Simbol </t>
  </si>
  <si>
    <t>DONATION TO ELENA SIMBOL FOR HER PROFESSIONAL FEE AND MEDICAL NEEDS QR: 0617220007</t>
  </si>
  <si>
    <t xml:space="preserve">Angelito R. Timbang </t>
  </si>
  <si>
    <t>DONATION TO RYAN RAPSING FOR HIS BURIAL EXPENSES QR: 0620220010</t>
  </si>
  <si>
    <t xml:space="preserve">Heidi Q. Dela Cruz </t>
  </si>
  <si>
    <t>DONATION TO BERNARDITO DELA CRUZ FOR HIS MEDICAL NEEDS QR: 0620220021</t>
  </si>
  <si>
    <t>DONATION TO REYNALDO MONSERATTE FOR HIS BURIAL EXPENSES QR: 0620220001</t>
  </si>
  <si>
    <t xml:space="preserve">Kristine M. Landicho </t>
  </si>
  <si>
    <t>DONATION TO MARITA LANDICHO FOR HER HOSPITAL BILL QR: 0620220005</t>
  </si>
  <si>
    <t xml:space="preserve">Roy S. Bringula </t>
  </si>
  <si>
    <t>DONATION TO ESTELLA BRINGULA FOR HER MEDICAL NEEDS QR: 0620220002</t>
  </si>
  <si>
    <t xml:space="preserve">Dianne S. Arpanikanon </t>
  </si>
  <si>
    <t>DONATION TO LIBRADA SALANDANAN FOR HER MEDICAL NEEDS QR: 0616220017</t>
  </si>
  <si>
    <t xml:space="preserve">Khristine S. Mariano </t>
  </si>
  <si>
    <t>DONATION TO JOHN DENIEL MARIANO FOR HIS MEDICAL NEEDS QR: 0620220016</t>
  </si>
  <si>
    <t xml:space="preserve">Grace B. Arjona </t>
  </si>
  <si>
    <t>DONATION TO GREGORIO BILAWAN FOR HIS HOSPITAL BILL QR: 0617220003</t>
  </si>
  <si>
    <t xml:space="preserve">Marivic A. Rodriguez </t>
  </si>
  <si>
    <t>DONATION TO MYREEN RODRIGUEZ FOR HER HOSPITAL BILL QR: 0620220015</t>
  </si>
  <si>
    <t xml:space="preserve">Maridel P. Tapang </t>
  </si>
  <si>
    <t>Donation for her educational assistance (thesis writing)</t>
  </si>
  <si>
    <t xml:space="preserve">Benjamin C. Serrano, Jr. </t>
  </si>
  <si>
    <t>Reimbursement of the amount paid for fuel consumption of the government vehicle Ford Everest IP 0816 for the month of May2022</t>
  </si>
  <si>
    <t>Reimbursement of Parts and labor for the 140,000 km preventive maintenance for service vehicle Ford Everest IO-9548 c/o BM Jomar L. Gaza</t>
  </si>
  <si>
    <t xml:space="preserve">Bataan Engineering Machine Shop and Calibration </t>
  </si>
  <si>
    <t>Replacement of Defective Hydraulic Packing Kit and Bushing of Backhoe of PEO owned by the Provincial Government of Bataan</t>
  </si>
  <si>
    <t xml:space="preserve">Provincial Government of Bataan - Special Education Fund </t>
  </si>
  <si>
    <t>Partial transfer share collections</t>
  </si>
  <si>
    <t xml:space="preserve">Philippine Veterans Bank IFO Yvonne Josefa D. Yamco FAO BIR </t>
  </si>
  <si>
    <t>Payment for Documentary Stamp Fee of 33 titles, Ipag Mariveles, Bataan</t>
  </si>
  <si>
    <t xml:space="preserve">Barangay Treasurer - Villa Angeles, Orion, Bataan </t>
  </si>
  <si>
    <t>VILLA ANGELES ORION BATAAN - Subsidy to Barangay Villa Angeles Orion Bataan for their 50th Founding Anniversary</t>
  </si>
  <si>
    <t>Remittance of philhealth contribution of JO for May 2022</t>
  </si>
  <si>
    <t>Remittance of philhealth contribution of JO for April 2022</t>
  </si>
  <si>
    <t>Remittance of philhealth contribution of consultants for May 2022</t>
  </si>
  <si>
    <t>Replenishment of Revolving Fund for payment of donation to indigent constituents from Province of Bataan (June 23-24)</t>
  </si>
  <si>
    <t>Payment of Electric Bill of 1 Bataan Command Center for the month of May, 2022</t>
  </si>
  <si>
    <t>Payment for the internet subscription of account number 656849940 for the period of May 17, 2022 to June 16, 2022</t>
  </si>
  <si>
    <t>Payment for the internet subscription of account number 656682647 for the period of May 17, 2022 to June 16, 2022</t>
  </si>
  <si>
    <t xml:space="preserve">Ramon R. Cañas Jr. </t>
  </si>
  <si>
    <t>Payment of 30 days monetized leave</t>
  </si>
  <si>
    <t>Security services rendered by 186 security guards deployed in Bataan Command Center, motorpool, Bataan Tourism Center , Bataan PHO, OIC Det Com, JC Payumo Memorial Hospital, ODH, BCMH, Eroad Alas-asin, MDH, NTP/transpo lot Limay &amp; Tourism Park for April 1-30, 2022</t>
  </si>
  <si>
    <t>Reimbursement of the amount paid for fuel allowance of Ford Everest IO 8925 for the month of May 2022</t>
  </si>
  <si>
    <t>Replenishment for market purchases of JPMH for the period of June 9 to 20, 2022</t>
  </si>
  <si>
    <t>Reimbursement of meals for the Technical working group and reserved army for the independence day 2022 celebration from June 10 to 12, 2022</t>
  </si>
  <si>
    <t>Meals for the year-end assessment of the ODH Office on Decmeber 22, 2021</t>
  </si>
  <si>
    <t>Replacement of one (1) pc Battery DIN 66 for the service vehicle Ford Everest IP-01451</t>
  </si>
  <si>
    <t xml:space="preserve">Mary Ann R. Peregrino </t>
  </si>
  <si>
    <t>Tax refund for CY 2015 on behalf of Ms Thelma Recinto, deceased mother of the claimnant Ms Mary Ann Peregrino</t>
  </si>
  <si>
    <t>Payment of Electric Bill of PGO-PSWDO for the month of May, 2022</t>
  </si>
  <si>
    <t>Payment of Electric Bill of Bataan Christian Youth for the month of May, 2022</t>
  </si>
  <si>
    <t>Payment of Electric bill of Batan Christian Youth for the month of March 2020</t>
  </si>
  <si>
    <t>Payment of Electric Bill of Checkpoint - Brgy. Tucop, Dinalupihan for the month of MAY, 2022</t>
  </si>
  <si>
    <t>Payment of Electric Bill of MBDA Satellite Office for the month of May, 2022</t>
  </si>
  <si>
    <t>Payment of Electric bill of MBDA Relay (ORION) for the month of May 2022</t>
  </si>
  <si>
    <t>Payment of Electric Bill of Bataan People Center 3 for the month of May, 2022</t>
  </si>
  <si>
    <t>Payment of Electric Bill of CheCKPOINT - Palihan and Balsik, Hermosa for the month of MAY, 2022</t>
  </si>
  <si>
    <t>Payment of Electric bill of PICE-CAPITOL SITE for the month of January - May, 2022</t>
  </si>
  <si>
    <t>Payment of Electric bill of CHECKPOINT - ROOSEVELTM DINALUPIHAN for the month of MAY, 2022</t>
  </si>
  <si>
    <t>Payment of Electric Bill of Establishment of Provincial Plant (Pilar) for the month of May. 2022</t>
  </si>
  <si>
    <t>Payment of Electric bill of 1Bataan Malasakit Dialysis CTR for the month of MAY, 2022</t>
  </si>
  <si>
    <t>Payment of Electric Bill of 1Bataan Malasakit Dialysis Center for the month of March - April, 2021</t>
  </si>
  <si>
    <t>Payment of Electric Bill of Provincial Council for Welfare for the month of MAY, 2022</t>
  </si>
  <si>
    <t>Payment of Electric Bill of various offices, buildings and street lights of PGB for the month of May, 2022</t>
  </si>
  <si>
    <t>Payment of Electric bill of CCTV for the month of MAY, 2022</t>
  </si>
  <si>
    <t>Payment of Electric Bill of district hospital for the month of May, 2022</t>
  </si>
  <si>
    <t>Payment of Electric bill of JPMH for the month of May, 2022</t>
  </si>
  <si>
    <t>Payment of Electric Bill of BJMP (Mega processing facility) for the month of May, 2022</t>
  </si>
  <si>
    <t>Drugs and Medicines to be used for PHO Vaccination Program</t>
  </si>
  <si>
    <t>Computer supplies / accessories for the used of Provincial Engineer's Office</t>
  </si>
  <si>
    <t>Replacement of deffective battery for Howo Towing Truck of PEO owned by the Provincial Government of Bataan</t>
  </si>
  <si>
    <t xml:space="preserve">Farmvest Agrivet Trading </t>
  </si>
  <si>
    <t>Animal and zoological supplies to be used in the implementation of PVO activities</t>
  </si>
  <si>
    <t>Thermal scanner with stand for the use of Orani District Hospital</t>
  </si>
  <si>
    <t>Parts and labor for the replacement of four(4) pcs of tire 195/70 R15 to Hyundai 100 KOP475 of PEO</t>
  </si>
  <si>
    <t>Parts and Labor for the 80,000km preventive maintenance and checkup of Toyota Hilux WA8105 of PEO</t>
  </si>
  <si>
    <t>Parts and Labor for the 40,000km preventive maintenance and checkup of Toyota Hilux P1P649 of PEO</t>
  </si>
  <si>
    <t>Parts and labor for top overhauling engine ad Adventure SHS-907 of PEO owned by the PGB</t>
  </si>
  <si>
    <t>Parts and Labor for replacement of rubber and glass tint of Isuzu Jitney Van SHP-848</t>
  </si>
  <si>
    <t>Parts and labor for the replacement of four (4) pcs tire 700x15 12ply to Manlift RJT-101 of PEO</t>
  </si>
  <si>
    <t>Materials for the replacement of materials of Offices under Provincial Government of Bataan (PGB) - Training Center - A and Dormitory at Command Center Orani</t>
  </si>
  <si>
    <t>Parts &amp; Labor for the repair / replacement of defective parts of Toyota Hilux VV0143 of MBDA owned by the Provincial Government of Bataan</t>
  </si>
  <si>
    <t>Desktop Computer to be used in PHRMO</t>
  </si>
  <si>
    <t>Purchase of medical and laboratory supplies (Reagent) for the use of MDH</t>
  </si>
  <si>
    <t>Coco-cloth for the used of painter in Motorpool Division of Provincial Engineer's Office</t>
  </si>
  <si>
    <t>Snacks and drinks for the Bataan Province Covid-19 Vaccination Program (Pedia) and (Adult) at Provincial Health Office</t>
  </si>
  <si>
    <t>Toner for the use of Provincial Legal Office</t>
  </si>
  <si>
    <t xml:space="preserve">Allen Car Airconditioning </t>
  </si>
  <si>
    <t>Parts and labor for the replacement of blower and perform general service of Nissan Urvan SHP-980.</t>
  </si>
  <si>
    <t>Production of promotional video (Tagalog) and time-lapse photography in Agriculture Innovation and Technology Center</t>
  </si>
  <si>
    <t>Meals and Snacks to be served on Seminar on Basic Accounting for Non- Accountants on May 20, 2022</t>
  </si>
  <si>
    <t>Parts and labor for 145,000 km preventive maintenance check-up of Toyota Hilux YT8598 PEO owned by the Provincial Government of Bataan</t>
  </si>
  <si>
    <t>Parts and Labor for the 190,000km preventive maintenance and checkup of Toyota HILUX P1P503 of MBDA</t>
  </si>
  <si>
    <t>Parts and Labor for the 50,000km preventive maintenance and checkup of Toyota HI-ACE AMBULANCE POM 457 of MBDA</t>
  </si>
  <si>
    <t>Tokens and Leis for Visitor of Governor Albert S. Garcia from BUREAU of LOCAL GOVERNMENT OF FINANCE on April 27, 2022</t>
  </si>
  <si>
    <t>Parts and Labor for the 80,000km PMS service check up and maintenance of the vehicle assigned to the office of the governor HIACE or GRANDIA with plate number A5N033</t>
  </si>
  <si>
    <t>Parts and Labor for the 75,000km preventive maintenance and checkup of Toyota HILUX P1V780 of PNP</t>
  </si>
  <si>
    <t>Parts and Labor for the 100,000km preventive maintenance and checkup of Toyota HIACE AMBULANCE VV6432Km of MBDA</t>
  </si>
  <si>
    <t>Radio Coomunication for the used of additional enforcers of MBDA Provincewide</t>
  </si>
  <si>
    <t>Parts and Labor for the 70,000 km PMS Service Check up and Maintenance of the Toyota Fortuner with plate No. A7V914</t>
  </si>
  <si>
    <t>3 in 1 Printer for the use of PSWDO Office</t>
  </si>
  <si>
    <t>Parts and Labor for the 60,000 km PMS Service Check up and Maintenance of the Toyota Fortuner P1E377 service vehicle of PPDO</t>
  </si>
  <si>
    <t>Preventive Maintenance for 200,000 km check-up of Toyota Hiace GL Grandia VF-1701 of Orani District Hospital</t>
  </si>
  <si>
    <t xml:space="preserve">Cleanway Environmental Management Solutions Inc. </t>
  </si>
  <si>
    <t>Hauling, Treatment and Disposal of COVID related wastes from January 2022- December 2022</t>
  </si>
  <si>
    <t>2KVA UPS for the use of 1Bataan Command Center</t>
  </si>
  <si>
    <t>Meals dn snack to be served on orientation on climate and disdter risk assessment (CDRA) and BPSU Green BusinessProject for Business sector province oaf bataan on April 29, 2022</t>
  </si>
  <si>
    <t>MEALS TO BE SERVED FOR RE: SEMINAR ON ARTS CRAFTS TO CHILD DEVELOPMENT WORKERS on April 28 and 29, 2022</t>
  </si>
  <si>
    <t>Reimbursement of Meals and Snacks during various meetings</t>
  </si>
  <si>
    <t>1% retention for different procurements in the PGB</t>
  </si>
  <si>
    <t>1% retention for IT equipment for use of 1 Bataan MAlasakit Center Dialysis Assistance</t>
  </si>
  <si>
    <t xml:space="preserve">RPD Chem Enterprises </t>
  </si>
  <si>
    <t>Janitorial Supplies for stock purposes 2022</t>
  </si>
  <si>
    <t>Security Services rendered by 72 security guards deployed at Capitol Compound City of Balanga Bataan May 1-31, 2022</t>
  </si>
  <si>
    <t>Medical Supplies ( Oxygen ) for the use of Mariveles District Hospital</t>
  </si>
  <si>
    <t xml:space="preserve">Almark Gadget Computer Sales and Services </t>
  </si>
  <si>
    <t xml:space="preserve">Top One Pharma </t>
  </si>
  <si>
    <t>1% retention for oxygen regulator &amp; medical linen hamper for use of ODH</t>
  </si>
  <si>
    <t>Payment of blood units for NBB Patients of JPMH for the period from January, 2022</t>
  </si>
  <si>
    <t>Payment for the funeral services under the Libreng Libing Program for the period May 1,5,9,14,21,23 &amp; 24,2022</t>
  </si>
  <si>
    <t>Payment for the funeral services rendered under the Libreng Libing Program for the period May 7-26 and June 3, 2022</t>
  </si>
  <si>
    <t>Payment for the funeral services under the Libreng Libing Program for the period March 31, April 11,24,26, May 1,6,13,17,18 &amp; 22, 2022</t>
  </si>
  <si>
    <t>Payment for the funeral services under the Libreng Libing Program for the period May 3,9,17,20,26 &amp; 30,2022</t>
  </si>
  <si>
    <t xml:space="preserve">Tony &amp; Ann's Catering Services </t>
  </si>
  <si>
    <t>Snack &amp; Lunch to be served in Rice Report Offices meeting to be held on June 3, 2022 at Pantingan, Pilar, Bataan</t>
  </si>
  <si>
    <t xml:space="preserve">Bataan Engineering Machine shop &amp; Calibration </t>
  </si>
  <si>
    <t>Parts and labor for fabrication of bushing and supply of oil seal of bulldozer of PEO owned by the PGB</t>
  </si>
  <si>
    <t>MEALS TO BE SERVED FOR AID TO INDIVIDUAL IN CRISIS SITUATION PAY OUT ON MAY 19, 2022</t>
  </si>
  <si>
    <t>Dental Kits for the used of PHO - Dental Program to be distributed provincewide</t>
  </si>
  <si>
    <t>Meals for the meetings of different Committees of the Sangguniang Panlalawigan on May 20, 2022</t>
  </si>
  <si>
    <t>Tolda / Lona and Rope for the used of Isuzu Dumptruck D1N-881, D1N-884, SGR-687, SHA-756 and HOWO Mini Dumptruck of Provincial Engineers Office</t>
  </si>
  <si>
    <t>Parts &amp; Labor for the repair of defective parts of Toyota Innova P1I551 of MBDA owned by the Provincial Government of Bataan</t>
  </si>
  <si>
    <t>Medical and Laboratory Supplies (RT-PCR Tests Kits) for the use of Mariveles District Hospital</t>
  </si>
  <si>
    <t>Office supplies for the use of Provincial Budget Office</t>
  </si>
  <si>
    <t>Non-accountable forms for the use of Orani District Hospital</t>
  </si>
  <si>
    <t>Office of Strategy Management (OSM)</t>
  </si>
  <si>
    <t>- Parts and labor for the 120,000 km preventive maintenance check-up Hiace Commuter Van VR0090 of Bataan Rehabilitation Center owned by PGB</t>
  </si>
  <si>
    <t>Parts and Labor for the replacement of brake master assy. Of Toyota HILUX P1O122 of MBDA</t>
  </si>
  <si>
    <t>Parts and Labor for the 165,000km preventive maintenance and checkup of Toyota Hi-lux POZ302 of MBDA</t>
  </si>
  <si>
    <t>Parts and Labor for the 60,000km preventive maintenance and checkup of Toyota HILUX P2F782 of MBDA</t>
  </si>
  <si>
    <t>Parts &amp; Labor for the replacement of Tie Rod &amp; Rack end and other defective parts of Toyota Hilux A1Z842 of MBDA owned by the Provincial Government of Bataan</t>
  </si>
  <si>
    <t>Parts and labor for the preventive maintenance and replacement of spare parts for the maintenance of service vehicle Toyota Innova SJA - 835</t>
  </si>
  <si>
    <t>Photo copier spare parts for the use of BCMH</t>
  </si>
  <si>
    <t>Lunch to be served in the Municipal orientation on DA-DBM-CSC-DILG JMC No. 02 series of 2020 or "Strengthening of Agricultural and Biosystems Engineering group in the LGUs to be held on May 20, 2022 at the 4th Floor Bunker Capitol, Balanga City, Bataan"</t>
  </si>
  <si>
    <t>Replacement of defective battery for Howo Water Truck of PEO onwed by the Provincial Government of Bataan</t>
  </si>
  <si>
    <t>Parts and labor for 70,000km prevetive maintenance check-up of Toyota Fortuner P1E377 service vehicle of PPDO</t>
  </si>
  <si>
    <t>- Replacement of defective battery for Toyota Hilux SDN-649 of Provincial Engineers Office owned by the Provincial Government of Bataan</t>
  </si>
  <si>
    <t>Parts and Labor for the 80,000km preventive maintenance and checkup of Toyota HILUX A9W631 of PGSO</t>
  </si>
  <si>
    <t xml:space="preserve">Smartguard Philippines, Inc. </t>
  </si>
  <si>
    <t>Bliner and Siren for the used of MBDA Patrol 650cc Bigbike owned by the Provincial Government of Bataan</t>
  </si>
  <si>
    <t>Parts and labor for the 220,000 kms check up and Change oil of Nissan Ambulance OW-3902 of JPMH, Dinalupihan, Bataan</t>
  </si>
  <si>
    <t>Replacement of Auto Belt tensioner assembly &amp; drive belt for Honda Civic SHW-607 for the use of PHO</t>
  </si>
  <si>
    <t>Replacement of Bosh Horn of Hyundai 100 KOS994 C/o PGSO</t>
  </si>
  <si>
    <t>Replacement of fan belts for Isuzu Jitney Van SHP-848 c/o PGSO</t>
  </si>
  <si>
    <t xml:space="preserve">Tobiel Printing Press </t>
  </si>
  <si>
    <t>Letterhead for the use of Provincial Engineer's Office, 5/F Bunker Bldg., Balanga City, Bataan</t>
  </si>
  <si>
    <t>Parts and labor for the repalcement of four (4) pcs tire 185R14 8ply FB-L300 SHS 653 of PEO</t>
  </si>
  <si>
    <t>Printing of Tarpaulin for the use of PHO-Dental Program to be distributed provincewide on April 20, 2022</t>
  </si>
  <si>
    <t>Parts and labor for 80,000km preventive maintenance checkup of FORD EVEREST IP-0801</t>
  </si>
  <si>
    <t>Parts and labor for the repair of air conditioning system of Toyota Innova SJA-835 c/o SP</t>
  </si>
  <si>
    <t>Laboratory Machine for the use of Jose C. Payumo Jr. Memorial Hospital, Dinalupihan, Bataan</t>
  </si>
  <si>
    <t>Glass plaques to be used for the Barangay Population workers Congres on December. 17,2022</t>
  </si>
  <si>
    <t>Labor for the refacing of brake drum and press in/out of axle bearing of Isuzu Elf SJA-707 of PEO</t>
  </si>
  <si>
    <t>Parts and labor for 110,000 km preventive maintenance HIACE GRANDIA A7V159 c/o PDRRMO</t>
  </si>
  <si>
    <t>Emergency purchase of Battery of Nissan Ambulance with plate no. FOG 926 and Toyota Hilux 4x4 with plate no. A81896</t>
  </si>
  <si>
    <t>Meals to be served for Aid to Individual in Crisis Situation Pay Out on May 12, 13, 16,17,18,19,2022</t>
  </si>
  <si>
    <t>10-Port Gigabit Switch with 8-Port PoE+ for the used of CCTV Cameras along Bataan Expressway Provincewide</t>
  </si>
  <si>
    <t>Laboratory Reagents of ODH</t>
  </si>
  <si>
    <t>Meals for the Regular Session of Sangguniang Panlalawigan on May 23, 2022</t>
  </si>
  <si>
    <t>Medical and laboratory supplies (reagent and control) of MDH</t>
  </si>
  <si>
    <t>Meals for Year End Assessment of Strategic Iniative and Whirlwind for 2021 and Planning for 2022 of Provincial Administrator Office on December 29, 2021</t>
  </si>
  <si>
    <t>Parts &amp; labor for the replacement of BC 3200 Hematology machine of Laboratory of Jose Payumo Memorial Hospital, Dinalupihan, Bataan</t>
  </si>
  <si>
    <t>Replacement of defective battery for Toyota Innova SHJ-973 of PEO</t>
  </si>
  <si>
    <t>Parts &amp; Labor for the replacement of evaporator sub-assy and other deffective parts of Toyota Hilux VR5847 of MBDA owned by the Provincial Government of Bataan</t>
  </si>
  <si>
    <t>Parts &amp; Labor for the 335,000 km preventive maintenance Toyota Hilux A1U268 of MBDA owned by the Provincial Government of Bataan</t>
  </si>
  <si>
    <t>Customized Food Replicas for BPML: Battle of Bataan Gallery</t>
  </si>
  <si>
    <t xml:space="preserve">R Signs &amp; Custom Printing Signages Making Services </t>
  </si>
  <si>
    <t>Direct to film printing on chiffon for BPML: Battle of Bataan Gallery</t>
  </si>
  <si>
    <t>Replacemet of defective selector cable of FB L300 SHS-787 of PEO</t>
  </si>
  <si>
    <t>Purchase of defective wiper blade for Howo Water Truck of PEO</t>
  </si>
  <si>
    <t>Replacement of defective parts of Isuzu elf SJA-707 of PEO</t>
  </si>
  <si>
    <t>Sticker cut printing on acrylic for BPML: Battle of Bataan Gallery</t>
  </si>
  <si>
    <t>Replacement of matting to Nissan Navara F2X614 of PEO</t>
  </si>
  <si>
    <t>Meals and Snacks for the Committee meetings of different Committees of SP on December 20,2021</t>
  </si>
  <si>
    <t xml:space="preserve">Juan Sajid Sculptures and Artworks  </t>
  </si>
  <si>
    <t>Commissioning of an Artistic Work: Replica of the Bronze Bust of Tomas del Rosario to be placed infront of the Old Capitol Building</t>
  </si>
  <si>
    <t xml:space="preserve">Advibes Outdoor Print Ads </t>
  </si>
  <si>
    <t>Plaques To be used for the 2022 National Women's Month Celebration (Culmination Activity) at Camp PFC Cirilo S Tolentino, Balanga City, Bataan on March 31, 2022</t>
  </si>
  <si>
    <t>New Purchase of Digital Laser Printer to be used in the Clearance Processing of NBI Balanga Satellite located in Capitol Compound, Tenejero, Balanga City, Bataan</t>
  </si>
  <si>
    <t>Parts and Labor for the 280,000km preventive maintenance and checkup of Toyota HILUX A2T545 of MBDA</t>
  </si>
  <si>
    <t>PMS 260,000KM and repair the defectives parts of the vehicle assigned to the Office of the Governor namely your Toyota Commuter Van with Plate number VR0088</t>
  </si>
  <si>
    <t>Parts and Labor for the 280,000km preventive maintenance and checkup of Toyota Innova SKR-486 of PNP</t>
  </si>
  <si>
    <t>Cartridge for the use of BAC Office</t>
  </si>
  <si>
    <t>Toner for KYOCERA TASKALFA 3212i for the use of PGO-IAS</t>
  </si>
  <si>
    <t>Ink for printer for the office supplies of CHPD</t>
  </si>
  <si>
    <t>Toner for the use of PDEA</t>
  </si>
  <si>
    <t>Payment of fidelity bond premium of Melinda Layug</t>
  </si>
  <si>
    <t>Remittance of Pag-ibig II Savings of the provincial employees  June 2022</t>
  </si>
  <si>
    <t>Remittance of salary loan installment of provincial employees for June 2022</t>
  </si>
  <si>
    <t>Remittance of philhealth contribution of JO employees for June 2022</t>
  </si>
  <si>
    <t>Remittance of philhealth contribution of provincial employees for June 2022</t>
  </si>
  <si>
    <t>Additional  remittance of philhealth contribution of consultants for MAy 2022</t>
  </si>
  <si>
    <t>Remittance of integrated insurance contribution, emergency loan, REL, cash advance, optional insurance premium, policy loan, REL, GFAL, MPL and computer Loan for the month of JUne 2022</t>
  </si>
  <si>
    <t>Petty cash fund replenishment for June 22-30, 2022</t>
  </si>
  <si>
    <t>Payment of her monetized leave</t>
  </si>
  <si>
    <t>Payment for mobile expenses for the covered period of May, 2022 Acoount # 0800283558</t>
  </si>
  <si>
    <t>Payment for mobile expenses for the covered period of May, 2022 Acoount # 1057156186</t>
  </si>
  <si>
    <t>Payment for mobile expenses for the covered period of May, 2022 Acoount # 0792238092</t>
  </si>
  <si>
    <t>Payment for mobile expenses for the covered period of May, 2022 Acoount # 0806416150</t>
  </si>
  <si>
    <t>Payment for mobile expenses for the covered period of May, 2022 Account # 1057146687</t>
  </si>
  <si>
    <t>Replenishment for Medicine, Medical Supplies and Laboratory Expenses under the Philhealth No Balance Billing (NBB) of indigent patients in MDH May 17 - June 1, 2022</t>
  </si>
  <si>
    <t>Replenishment of cash advance to defray payment of Daily Market Purchase from June 14-20, 2022</t>
  </si>
  <si>
    <t>Reimbursement for the amount paid for certified true copy of Tiles (LRA Fee &amp; IT Fee) filing of documents for the PGB</t>
  </si>
  <si>
    <t>Payment of fuel consumption for the period of June 6-12, 2022 (MBDA)</t>
  </si>
  <si>
    <t>Printing of Tarpaulin RE: HANGING OF TARPAULIN IN CELEBRATION OF 18th WOMEN WITH DISABILITY on March 28, 2022</t>
  </si>
  <si>
    <t>Tarpaulin to be used relative to the "Provincial Development Council (Full Council Meeting)" on April 29, 2022</t>
  </si>
  <si>
    <t>Replacement of defective two (2) pcs 2D battery of Payloader TCM-860 of PEO owned by the Provincial Government of Bataan</t>
  </si>
  <si>
    <t>Purchase of vehicular battery for Hyundai Coaster, Plate no. NCI 7450 for the use of MDH</t>
  </si>
  <si>
    <t xml:space="preserve">Editha F. Pingul </t>
  </si>
  <si>
    <t>DONATION TO OSCAR JR. PINGUL FOR HIS MEDICAL NEEDS ' QR: 0623220004</t>
  </si>
  <si>
    <t xml:space="preserve">Irine T. Axalan </t>
  </si>
  <si>
    <t>DONATION TO ANTONIO TAMARES FOR HIS HOSPITAL BILL QR: 0621220006</t>
  </si>
  <si>
    <t xml:space="preserve">Diana B. Macatuno </t>
  </si>
  <si>
    <t>DONATION TO LOURDES MACATUNO FOR HER MEDICAL NEEDS QR: 0621220020</t>
  </si>
  <si>
    <t xml:space="preserve">Helenet T. Atentar </t>
  </si>
  <si>
    <t>DONATION TO NORMA TANCIONGCO FOR HER BURIAL EXPENSES QR: 0622220009</t>
  </si>
  <si>
    <t xml:space="preserve">Jasmin Joy C. Saldo </t>
  </si>
  <si>
    <t>DONATION TO CLIENT AND BAIFERN CLIO AIDEN ANTAZO FOR THEIR HOSPITAL BILSS QR: 0622220017</t>
  </si>
  <si>
    <t xml:space="preserve">Charo S. Sangalang </t>
  </si>
  <si>
    <t>DONATION TO MICHAEL JOSEPH SANGALANG FOR HIS HOSPITAL BILL QR: 0622220010</t>
  </si>
  <si>
    <t xml:space="preserve">Teodoro R. Mariano Jr. </t>
  </si>
  <si>
    <t>DONATION TO CLIENT FOR HIS MEDICAL NEEDS QR: 0622220014</t>
  </si>
  <si>
    <t xml:space="preserve">Alex P. Punsalan </t>
  </si>
  <si>
    <t>DONATION TO KARL ALEXANDER PUNSALAN FOR HIS HOSPITAL BILL QR: 0622220013</t>
  </si>
  <si>
    <t xml:space="preserve">Shawn Michael H. Bato </t>
  </si>
  <si>
    <t>DONATION TO CLIENT FOR HIS HOSPITAL BILL AND MEDICAL NEEDS QR: 0622220012</t>
  </si>
  <si>
    <t xml:space="preserve">Gene Roise C. Peria </t>
  </si>
  <si>
    <t>DONATION TO FLORDELIZA PERIA FOR HER HOSPITAL BILL QR: 0622220011</t>
  </si>
  <si>
    <t xml:space="preserve">Myra L. Bueno </t>
  </si>
  <si>
    <t>DONATION TO MYRNA LINGAD FOR HER HOSPITAL BILL QR: 0623220008</t>
  </si>
  <si>
    <t>Postage Stamps for use in the Provincial Treasurer's Office</t>
  </si>
  <si>
    <t xml:space="preserve">Regine P. Mendonza </t>
  </si>
  <si>
    <t>Replenishment of Revolving Fund for payment of donation to indigent constituents from Province of Bataan (June 28-29)</t>
  </si>
  <si>
    <t xml:space="preserve">Edna P. Sierra </t>
  </si>
  <si>
    <t>DONATION TO NATIVIDAD PULONGBARIT FOR HER HOSPITAL BILL QR: 0622220015</t>
  </si>
  <si>
    <t>Reimbursement paid for the renewal of Iskolar ng Bataan Online Application Web Hosting and Validation System for the year 2022</t>
  </si>
  <si>
    <t xml:space="preserve">Maureen C. Santos </t>
  </si>
  <si>
    <t>DONATION TO ROMMEL SANTOS FOR HIS HOSPITAL BILL QR: 0622220001</t>
  </si>
  <si>
    <t xml:space="preserve">Herbert B. Ramos </t>
  </si>
  <si>
    <t>DONATION TO EMMAN VINCENT RAMOS FOR HIS HOSPITAL BILL AND MEDICAL NEEDS QR: 0622220005</t>
  </si>
  <si>
    <t>DONATION TO WILLIE SEñORA FOR HIS BURIAL EXPENSES QR: 0616220008</t>
  </si>
  <si>
    <t>Reimbursement of Parts and labor for the 160,000 km preventive maintenance / check-up of service vehicle Ford Everest IP - 0816 c/o BM Benjamin C. Serrano, Jr.</t>
  </si>
  <si>
    <t>Remittance of Pag-ibig MPL &amp; calamity loan JO employees  June 2022</t>
  </si>
  <si>
    <t>Remittance of Pag-ibig contribution JO employees  for June 2022</t>
  </si>
  <si>
    <t>Remittance of salary &amp; rice loan installment of JO for June 2022</t>
  </si>
  <si>
    <t>Remitance of SSS contribution of JO employees for June 2022</t>
  </si>
  <si>
    <t>Remittance of philhealth contribution of consultants for June 2022</t>
  </si>
  <si>
    <t>Payment of monthly subscription plan for the period of June 18 - July 17, 2022.. Account number 0247604502</t>
  </si>
  <si>
    <t>Payment of monthly subscription fee for the services of Internet of Malasakit Dinalupihan Covering Period 05/17 - 06/16/22</t>
  </si>
  <si>
    <t>Payment of monthly subscription fee for the services of Internet Connection of PIO Office Covering Period 05/17 - 06/16/22</t>
  </si>
  <si>
    <t>Payment of monthly subscription fee for the services of Internet Connection of NBI OFFICE Covering Period 05/17 - 06/16/22</t>
  </si>
  <si>
    <t>Payment of monthly subscription fee for the services of Internet Connection of 7th FLOOR The Bunker Covering Period 05/17 - 06/16/22</t>
  </si>
  <si>
    <t>Payment of Pldt fiber for the month of June 21, 2022 to July 20, 2022 in the Provincial Tourism Office</t>
  </si>
  <si>
    <t xml:space="preserve">St. Joseph Cable TV Systems </t>
  </si>
  <si>
    <t>Payment of internet connection of BCMH for the period period of May 30 - June 29, 2022</t>
  </si>
  <si>
    <t>Payment of telephone expenses (237-2414) for the period of June 18 - July 17, 2022</t>
  </si>
  <si>
    <t>Payment of monthly subscription fee for the services of Internet Connection of Bulwagan ng Bayan Covering Period 05/17 - 06/16/22</t>
  </si>
  <si>
    <t>Payment of internet bill for the period coverig June 18 - July 17, 2022</t>
  </si>
  <si>
    <t>Payment of water bill for BATAAN TRICYCLE TERMINAL for the month of April - May, 2022</t>
  </si>
  <si>
    <t>Payment of water bill for Balsik Checkpoint for the month of May - June, 2022</t>
  </si>
  <si>
    <t>DONATION FOR THE HOSPITAL BILL COVERING THE PERIOD JUNE 21-22, 2022</t>
  </si>
  <si>
    <t xml:space="preserve">Lilia de Leon Alonzo </t>
  </si>
  <si>
    <t>DONATION TO DAN LESTER ALONZO FOR HIS HOSPITAL BILL QR: 0624220005</t>
  </si>
  <si>
    <t xml:space="preserve">Jennifer B. Mangilit </t>
  </si>
  <si>
    <t>DONATION TO JEFFREM MANGILIT FOR HIS HOSPITAL BILL QR: 0624220004</t>
  </si>
  <si>
    <t xml:space="preserve">Carmen B. Torres </t>
  </si>
  <si>
    <t>DONATION TO CLIENT FOR HER HOSPITAL BILL QR: 0624220008</t>
  </si>
  <si>
    <t xml:space="preserve">Elvie R. Sañez </t>
  </si>
  <si>
    <t>DONATION TO NILO SAñEZ FOR HIS HOSPITAL BILL QR: 0624220007</t>
  </si>
  <si>
    <t xml:space="preserve">Kathleen M. Tayo </t>
  </si>
  <si>
    <t>DONATION TO GERALDO TAYO FOR HIS HOSPITAL BILL QR: 0623220007</t>
  </si>
  <si>
    <t xml:space="preserve">Mary Joy S. Herba </t>
  </si>
  <si>
    <t>DONATION TO ALBERTO SEBASTIAN SR. FOR HIS MEDICAL NEEDS QR: 0624220001</t>
  </si>
  <si>
    <t xml:space="preserve">Jayvee N. Paja </t>
  </si>
  <si>
    <t>Payment of his 1st Salary and Pera for the period of May 16 - June 30, 2022</t>
  </si>
  <si>
    <t>Partial transfer of RPT share collections</t>
  </si>
  <si>
    <t>Payment of fuel consumption for the period of May 30 - June 5, 2022 (LEGAL)</t>
  </si>
  <si>
    <t>Payment for mobile expenses for the covered period of May 16 - June 15, 2022 Account # 0747823030</t>
  </si>
  <si>
    <t>Payment of Internet Landline of JPMH for the period of June 21 - July 20, 2022</t>
  </si>
  <si>
    <t>Payment of telephine bill of ODH for the billing period of June 21 - July 20, 2022</t>
  </si>
  <si>
    <t>Payment of mobile phone expenses for the month of April 2022 and May 2022</t>
  </si>
  <si>
    <t xml:space="preserve">Fullspeed Emission Test Center Inc. </t>
  </si>
  <si>
    <t>Emission Testing and conduction sticker ending 1-0</t>
  </si>
  <si>
    <t>Payment of her hazard Pay and Subsitence Allowance for the month of May &amp; June 2022</t>
  </si>
  <si>
    <t xml:space="preserve">Ferdinand B. Valencia </t>
  </si>
  <si>
    <t>Payment of monetization leave credits</t>
  </si>
  <si>
    <t>Payment of water bill for TUcop PGSO Checkpoint for the month of June, 2022</t>
  </si>
  <si>
    <t>Payment of Electric Bill of MDH for the month of May, 2022 Account# 50666</t>
  </si>
  <si>
    <t>Payment of Electric Bill of MDH for the month of May, 2022 Account# 50774</t>
  </si>
  <si>
    <t>Payment of fuel consumption for the period of May 30 - June 5, 2022 (PEO)</t>
  </si>
  <si>
    <t>Reimbursement of the amount paid for fuel consumption of the government vehicle Ford Everest IP 0770 for the month of June 2022</t>
  </si>
  <si>
    <t>Replenishment of Revolving Fund for payment of donation to indigent constituents from Province of Bataan (June 30- July 01-04)</t>
  </si>
  <si>
    <t>Advance payment of registration fee and perdiem attending PBMLP 3rd Qtr. National Board Meeting on July 8-10, 2022 at Kingsford Hotel, Manila</t>
  </si>
  <si>
    <t>Purchase of laboratory supplies for the use of MDH</t>
  </si>
  <si>
    <t>Office Supplies for the used of Provincial Budget Office</t>
  </si>
  <si>
    <t xml:space="preserve">iFuel - Bataan LPG Trading </t>
  </si>
  <si>
    <t>Bataan LPG Trading- LPG 11kg (refill) for the used of PHO for Kalusugan Hatid sa Katutubong Kapatid on April to May, 2022 (9 Visits)</t>
  </si>
  <si>
    <t>Plaque for the used of PHO for Vaccination Program on fight against Covid-19 Awarding Ceremony on MAY 2, 2022</t>
  </si>
  <si>
    <t>Parts &amp; Labor for the 220,000 km preventive maintenance Toyota Hilux P1P503 of MBDA owned by the Provincial Government of Bataan</t>
  </si>
  <si>
    <t>Parts &amp; Labor for the replacement of aircon blower of Toyota Hiace Ambulance VV6467 of MBDA owned by the Provincial Government of Bataan</t>
  </si>
  <si>
    <t>Purchase of ink to be used by the Bataan Human Settlement Office Staff</t>
  </si>
  <si>
    <t>Early Warning Device for the use of MBDA</t>
  </si>
  <si>
    <t>Reflectorized Raincoat for the use of MBDA</t>
  </si>
  <si>
    <t>Payment of fidelity bond premium of Provincial Governor</t>
  </si>
  <si>
    <t xml:space="preserve">Welvic T. Bautista </t>
  </si>
  <si>
    <t>DONATION TO JEAN CARLA BAUTISTA FOR HER HOSPITAL BILL QR: 0622220006</t>
  </si>
  <si>
    <t xml:space="preserve">Jocelyn G. Omagtang </t>
  </si>
  <si>
    <t xml:space="preserve">Patricia Celine C. Montero </t>
  </si>
  <si>
    <t xml:space="preserve">Kelvin Jared F. Manansala </t>
  </si>
  <si>
    <t xml:space="preserve">John Carlo C. Tello </t>
  </si>
  <si>
    <t>Payment of allowance in Regional Trial Court for the month of June 2022</t>
  </si>
  <si>
    <t xml:space="preserve">Rosita M. Valmonte </t>
  </si>
  <si>
    <t>DONATION TO CLIENT FOR HER MEDICAL NEEDS QR: 0621220002DIN</t>
  </si>
  <si>
    <t xml:space="preserve">Virginia B. Porlante </t>
  </si>
  <si>
    <t>DONATION TO CLIENT FOR HER MEDICAL NEEDS QR: 0627220002</t>
  </si>
  <si>
    <t xml:space="preserve">Lourdes F. Ranas </t>
  </si>
  <si>
    <t>DONATION TO SHANE TRICIA RAZON FOR HER HOSPITAL BILL QR: 0627220001</t>
  </si>
  <si>
    <t xml:space="preserve">Ian S. Peñalosa </t>
  </si>
  <si>
    <t>DONATION TO VICTOR PEñALOSA FOR HIS HOSPITAL BILL QR: 0627220011</t>
  </si>
  <si>
    <t xml:space="preserve">Erlinda de Leon Pasamonte </t>
  </si>
  <si>
    <t>DONATION TO LOVE JOY PASAMONTE FOR HER BURIAL EXPENSES QR: 0627220005</t>
  </si>
  <si>
    <t xml:space="preserve">Jerald A. Natividad </t>
  </si>
  <si>
    <t>DONATION TO JAYVEE NATIVIDAD AND JHEANNA NATIVIDAD FOR THEIR HOSPITAL BILLS QR: 0627220009</t>
  </si>
  <si>
    <t xml:space="preserve">Michael Jordan C. Pineda </t>
  </si>
  <si>
    <t>DONATION TO CLIENT FOR HIS MEDICAL NEEDS QR: 0627220004</t>
  </si>
  <si>
    <t xml:space="preserve">Rebirth Philippines Therapeutic Community Foundation, Inc. </t>
  </si>
  <si>
    <t>DONATION TO WENDELL CATAPANG FOR HIS HOSPITAL BILL</t>
  </si>
  <si>
    <t xml:space="preserve">Carl Vincent T. Cruz </t>
  </si>
  <si>
    <t>DONATION TO ROXANNE DUNGAN AND MAXINE ROXE CRUZ FOR THEIR HOSPITAL BILLS QR: 0627220012</t>
  </si>
  <si>
    <t xml:space="preserve">Crisdale A. Pasion </t>
  </si>
  <si>
    <t>DONATION TO JOSEPH PASION FOR HIS HOSPITAL BILL QR: 0627220003</t>
  </si>
  <si>
    <t xml:space="preserve">Yolanda D. Maquiling </t>
  </si>
  <si>
    <t>DONATION TO LOURDES DE FELIS FOR HER HOSPITAL BILL AND MEDICAL NEEDS QR: 0624220001MAR</t>
  </si>
  <si>
    <t xml:space="preserve">Jahralyn R. Roque </t>
  </si>
  <si>
    <t>DONATION TO ANNALIZA ROQUE FOR HER BURIAL EXPENSES QR: 0624220002</t>
  </si>
  <si>
    <t xml:space="preserve">Bataan Doctors Hospital &amp; Medical Center Inc. </t>
  </si>
  <si>
    <t>DONATION FOR THE HOSPITAL BILLS COVERING THE PERIOD JUNE 20-24, 2022</t>
  </si>
  <si>
    <t xml:space="preserve">Municipality of Pilar </t>
  </si>
  <si>
    <t>Payment of Water Bill for Palayan ng Bayan, Bagong Silang for the month of May, 2022</t>
  </si>
  <si>
    <t>Payment of Water Bill for Fishery, Bagong Silang for the month of May 2022</t>
  </si>
  <si>
    <t>Payment of fuel consumption for the period of June 13-19, 2022 (BCMH)</t>
  </si>
  <si>
    <t>Reimbursement of gasoline dated May, 2022</t>
  </si>
  <si>
    <t>Payment of Entrace Fee for the visitors of Gov Albert S. Garcia from Health Facilities and Infrastructure Development Team (HFIDT) of DOH Last March 25, 2022</t>
  </si>
  <si>
    <t>Reimbursement of the amount paid for fuel allowance if Government vehicle IO 9547 for the month of June 2022</t>
  </si>
  <si>
    <t>DONATION FOR THE HOSPITAL BILLS AND MEDICAL NEEDS COVERING THE PERIOD JUNE 13-17 , 2022</t>
  </si>
  <si>
    <t>Replenishment of cash adv. Emergency purchase from June 10 to 17, 2022</t>
  </si>
  <si>
    <t>Purchase of medical supplies for the use of Orani District Hospital</t>
  </si>
  <si>
    <t xml:space="preserve">Justine Angelo's Car Aircon Repair &amp; Services </t>
  </si>
  <si>
    <t>Parts &amp; Labor for the repair of Aircondition unit of Mitsubishi FBL300 B8-S852 of MBDA</t>
  </si>
  <si>
    <t>Medical, dental and laboratory supplies for the use of Jose C. Payumo Jr. Memorial Hospital, Dinalupihan, Bataan</t>
  </si>
  <si>
    <t>Drugs and medicines for the use of Jose C Payumo Jr. Memorial Hospital</t>
  </si>
  <si>
    <t xml:space="preserve">Glady S. Quiroz </t>
  </si>
  <si>
    <t>DONATION TO ASHLEY CAE QUIROZ FOR HER MEDICAL NEEDS QR: 0705220002</t>
  </si>
  <si>
    <t xml:space="preserve">Marion M. Mendelez </t>
  </si>
  <si>
    <t>Tax refund for CY 2014</t>
  </si>
  <si>
    <t>Payment of fuel consumption for the period of June 06-12, 2022 (LEGAL)</t>
  </si>
  <si>
    <t xml:space="preserve">Charies N. Peña </t>
  </si>
  <si>
    <t>Payment of 50% of scholarship grant of 1 teacher (Gurong Iskolar) for taking Doctoral Education as part of the Iskolar ng Bataan of the Provincial Government of Bataan</t>
  </si>
  <si>
    <t xml:space="preserve">Aurea P. Galaboc </t>
  </si>
  <si>
    <t xml:space="preserve">Froilan D. Cruz </t>
  </si>
  <si>
    <t>DONATION TO SONIA CRUZ FOR HER HOSPITAL BILL QR: 0623220002</t>
  </si>
  <si>
    <t xml:space="preserve">Lilian D. Barrientos </t>
  </si>
  <si>
    <t>DONATION TO AMILIA DIZON FOR HER HOSPITAL BILL QR: 0622220003</t>
  </si>
  <si>
    <t xml:space="preserve">Ernesto Q. Baltazar </t>
  </si>
  <si>
    <t>DONATION TO ROSALINA BALTAZAR FOR HER MEDICAL NEEDS QR: 0622220002</t>
  </si>
  <si>
    <t xml:space="preserve">Catalina M. Lopez </t>
  </si>
  <si>
    <t>DONATION TO AGAPITO MANILAO FOR HIS BURIAL EXPENSES QR: 0629220008</t>
  </si>
  <si>
    <t xml:space="preserve">Love V. Batulayan </t>
  </si>
  <si>
    <t>DONATION TO CORAZON VENTANILLA FOR HER MEDICAL NEEDS QR: 0629220013</t>
  </si>
  <si>
    <t xml:space="preserve">Brenda Lee V. Jaring </t>
  </si>
  <si>
    <t>DONATION TO FRANCISCO VENTANILLA FOR HIS MEDICAL NEEDS QR: 0629220014</t>
  </si>
  <si>
    <t xml:space="preserve">Marites C. Perez </t>
  </si>
  <si>
    <t>DONATION TO PAUL CHRISTIAN PEREZ FOR HIS HOSPITAL BILL AND MEDICAL NEEDS QR: 0629220015</t>
  </si>
  <si>
    <t xml:space="preserve">Celeste S. Arangel </t>
  </si>
  <si>
    <t>DONATION TO CLIENT FOR HER MEDICAL NEEDS QR: 0629220012</t>
  </si>
  <si>
    <t xml:space="preserve">Thelma S. Vigo </t>
  </si>
  <si>
    <t>DONATION TO HAZEL EVANGELISTA FOR HER HOSPITAL BILL QR: 0628220026</t>
  </si>
  <si>
    <t xml:space="preserve">Marc Gavin C. Gatbunton </t>
  </si>
  <si>
    <t>DONATION TO PRINCESS MHAY BACANI AND ZAEFIRA CALEEN GATBUNTON FOR THEIR HOSPITAL BILL QR: 0629220003</t>
  </si>
  <si>
    <t xml:space="preserve">Aida N. Lucena </t>
  </si>
  <si>
    <t>DONATION TO BENJAMIN LUCENA JR. FOR HIS MEDICAL NEEDS QR: 0628220024</t>
  </si>
  <si>
    <t xml:space="preserve">Ronnel E. Leoncio </t>
  </si>
  <si>
    <t>DONATION TO MYRA GRACE LEONCIO AND MIGUEL RILEY LEONCIO FOR THEIR HOSPITAL BILL QR: 0629220016</t>
  </si>
  <si>
    <t>DONATION TO FAUSTINO DEL ROSARIO FOR HIS BURIAL EXPENSES QR: 0629220001</t>
  </si>
  <si>
    <t xml:space="preserve">Vherna Donita A. Reyes </t>
  </si>
  <si>
    <t>DONATION TO NENITA REYES FOR HER HOSPITAL BILL QR: 0629220009</t>
  </si>
  <si>
    <t xml:space="preserve">Bataeño Federation of Senior Citizens of the Philippines - Abucay Chapter Inc. </t>
  </si>
  <si>
    <t>DONATION TO AZUCENA CANARE FOR HER BURIAL EXPENSES QR: 0629220006</t>
  </si>
  <si>
    <t xml:space="preserve">Olivia M. Lagrimas </t>
  </si>
  <si>
    <t>DONATION TO ARNEL JR. LAGRIMAS FOR HIS HOSPITAL BILL QR: 0629220011</t>
  </si>
  <si>
    <t xml:space="preserve">Patricia P. Nicdao </t>
  </si>
  <si>
    <t>DONATION TO CLIENT FOR HER MEDICAL NEEDS QR: 0629220010</t>
  </si>
  <si>
    <t>Payment for corona stand as a gesture of Respect, Condolences and Sympathy to the breaved family of the deceased in the province of bataan for the month of May, 222</t>
  </si>
  <si>
    <t>Monthly subscription fee on ASDN Pri Service for the 911 hotline/ 876484499 for the month May 27 - June 26, 2022</t>
  </si>
  <si>
    <t>Payment of fuel consumption for the period of June 06-12, 2022 (COA)</t>
  </si>
  <si>
    <t xml:space="preserve">Aurora S. Dimalanta </t>
  </si>
  <si>
    <t>Donation to bataan mango growers agriculture cooperative for attending the region 3 mango harvest festival on May 20, 2022</t>
  </si>
  <si>
    <t>Snacks and Drinks for the Bataan Province Covid-19 Vaccination Deployment Program at Bataan People's Center</t>
  </si>
  <si>
    <t>Purchase of materials for Asphalt Patching in Various locations at Bataan</t>
  </si>
  <si>
    <t>Medical and laboratory supplies (glucose strip) for Covid patients of MDH</t>
  </si>
  <si>
    <t>Other supplies and Materials expenses for the use of BCMH</t>
  </si>
  <si>
    <t>Other Supplies and Materials (heating and ventilation and air circulation) to be used by Provincial Disaster Risk Reduction and Management Office</t>
  </si>
  <si>
    <t>To purchase spareparts need for top overhauling of engine of TOYOTA Innova SHJ-718 of PEO</t>
  </si>
  <si>
    <t>Parts and labor for the repalcement of four (4) pcs tire 265/60 R18 to Nissan Navarra F2681 of PEO</t>
  </si>
  <si>
    <t>Room Accommodation for Water Search and and Rescue Response System, Strategy and Tactics Training on March 7-11, 2022 at Black Sand Resort, Bagac and Sibul Spring Resort, Abucay, Bataan</t>
  </si>
  <si>
    <t>Parts and labor for 100,000 km PMS service check up and maintenance of the vehicle assigned to the office of the Governor Toyota Hiace Commuter Deluxe with Plate number S2Q208</t>
  </si>
  <si>
    <t>Purchase of meals &amp; Snacks for Distribution of ATM cards for BPSU, Outside Bataan and PUP Mariveles Scholar of the Cashless Strategic Initiative of the Iskolar ng Bataan Program of the Provincial Government of Bataan on December 2021</t>
  </si>
  <si>
    <t>Printing of stickers on sintra board for BPML: Battle of Bataan Gallery</t>
  </si>
  <si>
    <t>Toner kyocera 6329 for the use of Orani District Hospital</t>
  </si>
  <si>
    <t>Parts &amp; Labor for the 470,000 km preventive maintenance &amp; repair of defective parts of Toyota Hilux YU9911 of MBDA owned by the Provincial Government of Bataan</t>
  </si>
  <si>
    <t>Parts &amp; Labor for the replacement of Drive Belt &amp; Tensioner and other defective parts of Toyota Hilux VU0468 of MBDA owned by the Provincial Government of Bataan</t>
  </si>
  <si>
    <t>Parts and Labor for the 410,000 km preventive maintenance Toyota Hilux A2T253 of MBDA owned by the Provincial Government of Bataan</t>
  </si>
  <si>
    <t>Other Supplies and Materials to be used by Provincial Disaster Risk Reduction and Management Office</t>
  </si>
  <si>
    <t xml:space="preserve">Wyn's Gen Manpower Services and Enterprisees Co. </t>
  </si>
  <si>
    <t>Parts for replacement of battery and battery terminals for Toyota Innova with Plate No. SJA-817 used by the Provincial Treasurer's Office</t>
  </si>
  <si>
    <t>Reimbursement of Meals and drinks during meeting with Gov Abet, PPIC, Chinese Investors &amp; Others</t>
  </si>
  <si>
    <t>Reimbursement of Vacuum Tuyo, Bangus and Bagoong to be given to Department of Health on May 6, 2022</t>
  </si>
  <si>
    <t xml:space="preserve">Sure Tire Trading </t>
  </si>
  <si>
    <t>Parts and labor for the replacement of four (4) pcs of tires 265/65 R17 Toyota Hilux of Peo</t>
  </si>
  <si>
    <t>Meals for Year End Assessment of Strategic Iniative and Whirlwind for 2021 and Planning for 2022 of Pcedo on December 20, 2021</t>
  </si>
  <si>
    <t>Payment for the Rental Fee for the month of April 1 to June 30, 2022</t>
  </si>
  <si>
    <t>DONATION TO ESPERANZA MALLARI FOR HER BURIAL EXPENSES QR: 0629220002</t>
  </si>
  <si>
    <t xml:space="preserve">BT - Maligaya, Mariveles, Bataan </t>
  </si>
  <si>
    <t>Subsidy to Brgy. Maligaya, Mariveles for the Mariveles Rainbow Alliance LGBT Pride Month on July 3, 2022</t>
  </si>
  <si>
    <t xml:space="preserve">Atty. Mark Lorenz C. Quezon </t>
  </si>
  <si>
    <t>RATA for the month of February 2022</t>
  </si>
  <si>
    <t xml:space="preserve">Madmaxx Enterprise </t>
  </si>
  <si>
    <t>Four (4) pieces foldable white table 6ft x 4ft to be used at the Sangguniang Panlalawigan Session Hall</t>
  </si>
  <si>
    <t xml:space="preserve">St. Agnes Funeral Services </t>
  </si>
  <si>
    <t>Payment for the funeral services under the Libreng libing program for the period May 11-22, June 1 - 10, 2022</t>
  </si>
  <si>
    <t>Payment for the funeral services rendered under the Libreng Libing Program for the period May 3-31, 2022</t>
  </si>
  <si>
    <t>Payment of allowance for the month of June 2022</t>
  </si>
  <si>
    <t>Payment of allowance in the Regional Trial Court of Bataan- Branch 3 for the month of June 2022</t>
  </si>
  <si>
    <t xml:space="preserve">Gay T. Escalada - Clavel </t>
  </si>
  <si>
    <t>Payment of allowance in Regional Trial Court of Bataan for the month of June 2022</t>
  </si>
  <si>
    <t>Payment of allowance for the period of June 2022</t>
  </si>
  <si>
    <t>Payment of fuel consumption on different service vehicle used by PGENRO for the period of June 13-19, 2022</t>
  </si>
  <si>
    <t>Payment of fuel consumption for the period of June 6-12, 2022 (BCMH)</t>
  </si>
  <si>
    <t>Payment of fuel consumption SOCO for the period of June 6-12, 2022</t>
  </si>
  <si>
    <t xml:space="preserve">Barangay Treasurer - Calusungan Orion Bataan </t>
  </si>
  <si>
    <t>Additional Subsidy to Barangay Calungusan Orion Bataan for their Annual Cultural Activity</t>
  </si>
  <si>
    <t xml:space="preserve">Emmanuel Rey Q. Cambronero </t>
  </si>
  <si>
    <t>Payment of his clothing allowance for the year 2022</t>
  </si>
  <si>
    <t>DONATION TO ISABELITA TAMAYO FOR HER BURIAL EXPENSES</t>
  </si>
  <si>
    <t xml:space="preserve">Rica I. Cabral </t>
  </si>
  <si>
    <t>DONATION TO ROSARIO ISIDRO FOR HER HOSPITAL BILL QR: 0630220009</t>
  </si>
  <si>
    <t xml:space="preserve">Patricia M. Leyba </t>
  </si>
  <si>
    <t>DONATION TO ANGELITA MANZANARES FOR HER HOSPITAL BILL AND MEDICAL NEEDS QR: 0630220007</t>
  </si>
  <si>
    <t xml:space="preserve">Aerol Bryan M. Daquer </t>
  </si>
  <si>
    <t>DONATION TO SAMUEL AARON DAQUER FOR HIS MEDICAL NEEDS QR: 0630220011</t>
  </si>
  <si>
    <t xml:space="preserve">Leonardo D. San Pedro </t>
  </si>
  <si>
    <t>DONATION TO CLIENT FOR HIS MEDICAL NEEDS QR: 0630220006</t>
  </si>
  <si>
    <t xml:space="preserve">Nelia T. Haloot </t>
  </si>
  <si>
    <t>DONATION TO DANILO YGRUBAY FOR HIS MEDICAL NEEDS QR: 0630220003</t>
  </si>
  <si>
    <t xml:space="preserve">Regina D. Labra </t>
  </si>
  <si>
    <t>DONATION TO CLIENT FOR HER MEDICAL NEEDS QR: 0630220005</t>
  </si>
  <si>
    <t xml:space="preserve">Elizabeth I. Manalansan </t>
  </si>
  <si>
    <t>DONATION TO CAMILLE MANALANSAN FOR HER HOSPITAL BILL QR: 0629220007</t>
  </si>
  <si>
    <t>Payment of her salary from June 13-30, 2022</t>
  </si>
  <si>
    <t xml:space="preserve">Belen B. Almazan </t>
  </si>
  <si>
    <t>DONATION TO TERESITA CRUZ FOR HER HOSPITAL BILL QR: 0628220005</t>
  </si>
  <si>
    <t xml:space="preserve">Karen M. Villanueva </t>
  </si>
  <si>
    <t>DONATION TO CLIENT AND KENT EUCLIDE VILLANUEVA FOR THEIR HOSPITAL BILLS AND PROFESSIONAL FEE QR: 0628220008</t>
  </si>
  <si>
    <t xml:space="preserve">Angelique M. Dela Fuente </t>
  </si>
  <si>
    <t>DONATION TO ROMAN DELA FUENTE FOR HIS HOSPITAL BILL QR: 0628220017</t>
  </si>
  <si>
    <t xml:space="preserve">Adelaida S. Pizarro </t>
  </si>
  <si>
    <t>DONATION TO OFELIA PIZARRO FOR HER HOSPITAL BILL QR: 0628220004</t>
  </si>
  <si>
    <t xml:space="preserve">Ruben Jr. B. Fernando </t>
  </si>
  <si>
    <t>DONATION TO TERESITA FERNANDO FOR HER MEDICAL NEEDS QR: 0628220006</t>
  </si>
  <si>
    <t xml:space="preserve">Carolina C. Garcia </t>
  </si>
  <si>
    <t>DONATION TO FELIX CARAIG FOR HIS BURIAL EXPENSES QR: 0627220013</t>
  </si>
  <si>
    <t xml:space="preserve">Judy Ann M. Alcayde </t>
  </si>
  <si>
    <t>DONATION TO CLIENT FOR HER MEDICAL NEEDS QR: 0628220003</t>
  </si>
  <si>
    <t xml:space="preserve">Leony L. Caalam </t>
  </si>
  <si>
    <t>DONATION TO CLIENT FOR HER MEDICAL NEEDS QR: 0628220002</t>
  </si>
  <si>
    <t xml:space="preserve">Ronnie C. Samonteza </t>
  </si>
  <si>
    <t>DONATION TO RICHARD ARTATES FOR HIS MEDICAL NEEDS QR: 0628220001</t>
  </si>
  <si>
    <t xml:space="preserve">Monico G. David </t>
  </si>
  <si>
    <t>DONATION TO CLIENT FOR PURCHASE OF BASIC NECESSITIES QR: 0630220026</t>
  </si>
  <si>
    <t xml:space="preserve">Michael V. Bunsoy </t>
  </si>
  <si>
    <t>DONATION TO CLIENT FOR PURCHASE OF BASIC NECESSITIES QR: 0630220033</t>
  </si>
  <si>
    <t xml:space="preserve">Norelyn B. Favorito </t>
  </si>
  <si>
    <t>DONATION TO CLIENT FOR PURCHASE OF BASIC NECESSITIES QR: 0630220029</t>
  </si>
  <si>
    <t xml:space="preserve">Jimmy C. Pascual </t>
  </si>
  <si>
    <t>DONATION TO CLIENT FOR PURCHASE OF BASIC NECESSITIES QR: 0630220030</t>
  </si>
  <si>
    <t xml:space="preserve">Conchita S. Pineda </t>
  </si>
  <si>
    <t>DONATION TO CLIENT FOR PURCHASE OF BASIC NECESSITIES QR: 0630220028</t>
  </si>
  <si>
    <t xml:space="preserve">Janet P. Canceran </t>
  </si>
  <si>
    <t>DONATION TO CLIENT FOR PURCHASE OF BASIC NECESSITIES QR: 0630220027</t>
  </si>
  <si>
    <t xml:space="preserve">Marietta S. Quitalig </t>
  </si>
  <si>
    <t>DONATION TO CLIENT FOR PURCHASE OF BASIC NECESSITIES QR: 0630220032</t>
  </si>
  <si>
    <t xml:space="preserve">Victoria S. Lanon </t>
  </si>
  <si>
    <t>DONATION TO TERESITA BAUTISTA FOR PURCHASE OF BASIC NECESSITIES QR: 0630220031</t>
  </si>
  <si>
    <t xml:space="preserve">Jezalee A. Gaza </t>
  </si>
  <si>
    <t>DONATION TO JOVEN AGUILAR FOR HIS HOSPITAL BILL QR: 0629220028</t>
  </si>
  <si>
    <t xml:space="preserve">Leonora V. Obille </t>
  </si>
  <si>
    <t>DONATION TO VIOLETA SALANG FOR HER MEDICAL NEEDS QR: 0629220021</t>
  </si>
  <si>
    <t xml:space="preserve">Rachelle N. Cruz </t>
  </si>
  <si>
    <t>DONATION TO LADY LOURDES CRUZ FOR HER PROFESSIONAL FEE QR: 0629220005</t>
  </si>
  <si>
    <t>DONATION TO MARIBEL ESTANISLAO FOR HIS MEDICAL NEEDS QR: 0629220027</t>
  </si>
  <si>
    <t>DONATION TO AEVERY MCKQYAVELL DIMLA FOR HER BURIAL EXPENSES QR: 0629220024</t>
  </si>
  <si>
    <t xml:space="preserve">Maria Cristina T. Vicente </t>
  </si>
  <si>
    <t>DONATION TO CATALINA VILLANUEVA FOR HER MEDICAL NEEDS QR: 0629220023</t>
  </si>
  <si>
    <t xml:space="preserve">Angelita M. Canare </t>
  </si>
  <si>
    <t>DONATION TO REYNALDO CANARE FOR HIS MEDICAL NEEDS QR: 0629220022</t>
  </si>
  <si>
    <t xml:space="preserve">Noralie M. Junio </t>
  </si>
  <si>
    <t>DONATION TO EDILBERTO TURLA FOR HIS MEDICAL NEEDS QR: 0629220026</t>
  </si>
  <si>
    <t xml:space="preserve">Shella Ann G. Castillo </t>
  </si>
  <si>
    <t>DONATION TO ACE JANSEN CASTILLO FOR HIS HOSPITAL BILL QR: 0629220020</t>
  </si>
  <si>
    <t xml:space="preserve">Clarisse R. Galicia </t>
  </si>
  <si>
    <t>DONATION TO CLIENT FOR HER HOSPITAL BILL QR: 0629220004</t>
  </si>
  <si>
    <t xml:space="preserve">Mark Anthony I. Geñega </t>
  </si>
  <si>
    <t>DONATION TO MELITA GAñEGA FOR HER HOSPITAL BILL AND MEDICAL NEEDS QR: 0629220017</t>
  </si>
  <si>
    <t xml:space="preserve">Jhun Quinly S. Frias </t>
  </si>
  <si>
    <t>DONATION TO PIOQUINTO FRIAS FOR HIS MEDICAL NEEDS QR: 0629220018</t>
  </si>
  <si>
    <t xml:space="preserve">Evelyn D. Garcia </t>
  </si>
  <si>
    <t>DONATION TO EDUARDO GARCIA FOR HIS MEDICAL NEEDS QR: 0629220019</t>
  </si>
  <si>
    <t>Payment of Water bill of Dialysis Building for the period of June, 2022</t>
  </si>
  <si>
    <t>Payment of fuel consumption for the period of June 06-12, 2022 (PEO)</t>
  </si>
  <si>
    <t>DONATION FOR THE HOSPITAL BILL COVERING THE PERIOD JUNE 22, 2022</t>
  </si>
  <si>
    <t>DONATION FOR THE HOSPITAL BILLS AND MEDICAL NEEDS COVERING THE PERIOD JUNE 20-24 , 2022</t>
  </si>
  <si>
    <t>Payment for the funeral services under the Libreng libing program for the period May 3-23, 2022</t>
  </si>
  <si>
    <t>Payment of fuel consumption on different service vehicle used by PIO, Tourism, OPA &amp; PNP for the period of June 6-12, 2022</t>
  </si>
  <si>
    <t>Replenishment for market purchases for the period of June 21 to 30, 2022</t>
  </si>
  <si>
    <t xml:space="preserve">Maritesse SD. Teopengco, MD </t>
  </si>
  <si>
    <t>Replenishment of incidental expenses and Daily market purchase of BCMH from June 1-15, 2022</t>
  </si>
  <si>
    <t>Replenishment of cash advance for emergency purchases of JPMH from June 18-27, 2022</t>
  </si>
  <si>
    <t>Replenishment of cash advance to defray payment of Daily Market Purchase from June 21-25, 2022</t>
  </si>
  <si>
    <t>Replenishment of Emergency Purchases of NBB Patients of JPMH for the period from June 21 -27, 2022</t>
  </si>
  <si>
    <t xml:space="preserve">Bataan Tourism Cooperative </t>
  </si>
  <si>
    <t>Token given during the Incident Command System Training (Training for Instructor) on April 17-22, 2022</t>
  </si>
  <si>
    <t>Materials needed for repainting of dumpbox of Howo Mini Dumptruck &amp; Towing Bed of Howo Towing Truck of PEO owned by the Provincial Government of Bataan</t>
  </si>
  <si>
    <t>Materials needed for repainting of dumpbox of Dumptruck SHA-764, SGR-687 and Howo Cargo Truck #01 &amp; #02 of PEO owned by the Provincial Government of Bataan</t>
  </si>
  <si>
    <t>Medical oxygen for the use of Jose C. Payumo Jr. Memorial Hospital, Dinalupihan, Bataan</t>
  </si>
  <si>
    <t>Fabrication, installation, and delivery of materials and equipment for BPML:Battle of Bataan Gallery</t>
  </si>
  <si>
    <t>Materials needed for repainting of Logos of PEO &amp; 1 Bataan to all service vehicle &amp; equipment of PEO owned by the Provincial Government of Bataan</t>
  </si>
  <si>
    <t>Materials needed for repainting of Main Gate of PEO motorpool compound</t>
  </si>
  <si>
    <t>Materials needed for repaiting of Motorpool Office and 3 Comfort rooms @ Motorpool Compound of the Provincial Government of Bataan</t>
  </si>
  <si>
    <t>Materials needed for painting of perimeter fence of Motorpool Compound of the Provincial Government of Bataan</t>
  </si>
  <si>
    <t>Materials</t>
  </si>
  <si>
    <t>Cash advance for payment of Registration Fee and per diem for attending 88th LVGP National Assembly on July 12-15, 2022</t>
  </si>
  <si>
    <t>Payment of Terminal Leave</t>
  </si>
  <si>
    <t xml:space="preserve">Francis B. Mandocdoc </t>
  </si>
  <si>
    <t>Payment of Provincial Allowance for the month of June 2022</t>
  </si>
  <si>
    <t xml:space="preserve">Romeo E. Bonifacio Jr. </t>
  </si>
  <si>
    <t>PURPOSE COOPERATIVE - Payment of newspaper for the month of June 2022</t>
  </si>
  <si>
    <t>Payment of Allowance for the month of June 2022</t>
  </si>
  <si>
    <t>Payment of fuel consumption on different service vehicle used by PPDO, PHO &amp; PVO for the period of June 13-19, 2022</t>
  </si>
  <si>
    <t>Replenishment of Emergency Purchase of NBB Patients for the period from June 29, 2022 - July 3, 2022</t>
  </si>
  <si>
    <t>Replenishment of Revolving Fund for payment of donation to indigent constituents from Province of Bataan (July 05-07)</t>
  </si>
  <si>
    <t xml:space="preserve">Romeo L. De Lemos </t>
  </si>
  <si>
    <t>Reimbursement of the payment for the subscription of Motion Array - Video Templates, WP themes, Photos and Graphic Templates to be use for the production and promotional videos of the PGB</t>
  </si>
  <si>
    <t>Reimbursement of the payment for the subscription of ADOBE Creative Cloud All Apps with 100GB - Video and photo editing software to be use for the production of promotional videos of the PGB</t>
  </si>
  <si>
    <t>1% retention for different procurements of PGB</t>
  </si>
  <si>
    <t xml:space="preserve">Frances L. Olpindo-Cabuquit </t>
  </si>
  <si>
    <t>Payment of service rendered for the month of June 2022</t>
  </si>
  <si>
    <t>Alfonso-Payment of service rendered for the month of June 2022</t>
  </si>
  <si>
    <t>Bartolome- Payment of Provincial Allowance for the month of June 2022</t>
  </si>
  <si>
    <t>Drugs and Medicines to be used for Kalusugan hatid sa katutubong kapatid (KKK)</t>
  </si>
  <si>
    <t>DONATION TO ROZZELD BAUTISTA FOR HER BURIAL EXPENSES QR: 0701220024</t>
  </si>
  <si>
    <t xml:space="preserve">Paula Marie Joy T. Levera </t>
  </si>
  <si>
    <t>DONATION TO FREM III SINGH FOR HIS HOSPITAL BILL QR: 0701220020</t>
  </si>
  <si>
    <t xml:space="preserve">Linneth R. Briz </t>
  </si>
  <si>
    <t>DONATION TO VIOLETA BRIZ FOR HER HOSPITAL BILL QR: 0701220016</t>
  </si>
  <si>
    <t xml:space="preserve">Benedicto B. Rodrigo </t>
  </si>
  <si>
    <t>DONATION TO JOANNA CRISTINA RODRIGO FOR HER HOSPITAL BILL QR: 0701220033</t>
  </si>
  <si>
    <t xml:space="preserve">Cristyl A. Vargas </t>
  </si>
  <si>
    <t>DONATION TO ROGELIO AGUILA FOR HIS HOSPITAL BILL QR: 0701220029</t>
  </si>
  <si>
    <t xml:space="preserve">Sharmaine F. David </t>
  </si>
  <si>
    <t>DONATION TO KRISCHELLE MANANSALA FOR HER HOSPITAL BILL QR: 0701220028</t>
  </si>
  <si>
    <t xml:space="preserve">Kevin Jake N. Gavino </t>
  </si>
  <si>
    <t>DONATION TO JACINTO GAVINO JR. FOR HIS HOSPITAL BILL QR: 0701220027</t>
  </si>
  <si>
    <t xml:space="preserve">Jhoanna Rose C. dela Cruz </t>
  </si>
  <si>
    <t>DONATION TO JEMARIE COMETA FOR HER HOSPITAL BILL QR: 0701220021</t>
  </si>
  <si>
    <t xml:space="preserve">Eduardo M. Trinidad </t>
  </si>
  <si>
    <t>DONATION TO EDILBERTO TRINIDAD FOR HIS HOSPITAL BILL AND MEDICAL NEEDS QR: 0701220017</t>
  </si>
  <si>
    <t xml:space="preserve">Flora S. Cornejo </t>
  </si>
  <si>
    <t>DONATION TO RONALD JR. CORNEJO FOR HIS HOSPITAL BILL QR: 0701220019</t>
  </si>
  <si>
    <t xml:space="preserve">Riel N. Pajarillaga </t>
  </si>
  <si>
    <t>DONATION TO CHARO BUENSUCESO AND YUNA FE PAJARILLAGA FOR THEIR HOSPITAL BILLS QR: 0701220045</t>
  </si>
  <si>
    <t xml:space="preserve">Daisy T. Ubaldo </t>
  </si>
  <si>
    <t>DONATION TO CLIENT FOR HER MEDICAL NEEDS QR: 0701220025</t>
  </si>
  <si>
    <t>DONATION TO CLIENT FOR HER MEDICAL NEEDS QR: 0701220023</t>
  </si>
  <si>
    <t xml:space="preserve">Krishna Coleen E. Poblete </t>
  </si>
  <si>
    <t>DONATION TO CLIENT FOR HER PROFESSIONAL FEE AND MEDICAL NEEDS QR: 0701220022</t>
  </si>
  <si>
    <t xml:space="preserve">Armida H. Saguindan </t>
  </si>
  <si>
    <t>DONATION TO ROSARIO HERRERA FOR HER MEDICAL NEEDS QR: 0701220018</t>
  </si>
  <si>
    <t>Allowance for the month of June 2022</t>
  </si>
  <si>
    <t xml:space="preserve">CGMP Medical Distributors </t>
  </si>
  <si>
    <t>Medicines to be use for Bagac Community and Medicare Hospital</t>
  </si>
  <si>
    <t>Additional Foods to be served for the 2022 population and Development Summit and Recognition of The Outstanding Population Structure (TOPS) 2021 Municipal Category in Region III on April 25,2022</t>
  </si>
  <si>
    <t xml:space="preserve">Universal Access and System Solutions, Phil. Inc. </t>
  </si>
  <si>
    <t>1% retention for different the use of server of MBDA in COVID 19</t>
  </si>
  <si>
    <t>Parts and labor for 15,000 PMS and Check up Assigned to the Office of the Governor 2021 / HIACE Commuter Deluxe 2.8L with Conduction Sticker S2Q208</t>
  </si>
  <si>
    <t>Parts and materials needed for preventive maintenance of Toyota Innova SJN-645 of PGO</t>
  </si>
  <si>
    <t>Parts for the replacement of Oil Seal of Toyota Hilux YU911 of MBDA owned by the PGB</t>
  </si>
  <si>
    <t>Replacement of two (2) pcs tire of Toyota Hilux A8E932 c/o PG-Enro</t>
  </si>
  <si>
    <t>Purchase of 3SM battery of Nissan Frontier SHA 745 of the office of OPA</t>
  </si>
  <si>
    <t>Replacement of 3SM Battery for the used of MBDA service Vehicle A1Z842, A2T545, VR5847, VV0143, YU9911, FOC164, A5Q631, A2T253, A1U268</t>
  </si>
  <si>
    <t>Materials needed for one year change oil and preventive maintenance of Manlift RJT-101 of PEO owned by the Provincial Government of Bataan</t>
  </si>
  <si>
    <t>Materials needed for one year change oil and preventive maintenance of Toyota Innova SHJ-973, SJA-837 &amp; SJA-846 of PEO owned by the Provincial Government of Bataan</t>
  </si>
  <si>
    <t>Replacement of defective parts for Toyota Innova SJN-645 of PGO</t>
  </si>
  <si>
    <t>Parts and Labor for the 300,000km preventive maintenance and checkup of Toyota HILUX A1U268 of MBDA</t>
  </si>
  <si>
    <t>Parts and Labor for the 450,000km preventive maintenance and checkup of Toyota HILUX YU9911 of MBDA</t>
  </si>
  <si>
    <t>Parts and Labor for the replacement of defective parts o of Toyota HILUX YU9911 of MBDA</t>
  </si>
  <si>
    <t xml:space="preserve">Manibela Car Care Shop </t>
  </si>
  <si>
    <t>Repair of Hood and wash oversame color, mags undercoat of Toyota Innova SHJ-962</t>
  </si>
  <si>
    <t>3D Scanning of Maria Kannon Mother and Child Structures Situated at Mt. Samat to be 3D prionted by BPSU for the Battle of Bataan Gallery-practices of faith section</t>
  </si>
  <si>
    <t xml:space="preserve">Osiva Electrical Services </t>
  </si>
  <si>
    <t>Electrical materials for the installation of E-Trike Charging Station and Solar Power Net Metering of Tricycle Terminal at Capitol Compound Access Road, Brgy. Tenejero, Balanga City, Bataan</t>
  </si>
  <si>
    <t>Parts and labor for replacement the battery and replace the Disc Brake Pads of the vehicle Assigned to the Office of the Governor Toyota Innova with Plate Number SLB-225</t>
  </si>
  <si>
    <t>Painting of painter in Motorpool to be used for painting activities and lettering of streamers &amp; other activities of the Provincial Government of Bataan</t>
  </si>
  <si>
    <t>Parts and labor for 240,000 PMS for Toyota Commuter VR0088</t>
  </si>
  <si>
    <t>Materials needed for the change oil and replacement oil filter of fuel filter of Nissan Urvan SGR 686 Provincial Tourism service vehicle</t>
  </si>
  <si>
    <t>Office Supplies for the use of Provincial Budget Office</t>
  </si>
  <si>
    <t>Other supplies and Material Expenses for the use of BCMH</t>
  </si>
  <si>
    <t xml:space="preserve">Palmer-Asia Inc. </t>
  </si>
  <si>
    <t>Hydraulic Vehicle Crash Rescue Extrication Equipment for the Provincial Rescue Response</t>
  </si>
  <si>
    <t>Laboratory supplies for the use of Orani District Hospital</t>
  </si>
  <si>
    <t>Parts and Labor for 55,000km preventive maintenance of service vehicle Hyundai H100 KO-3994 c/o PGSO</t>
  </si>
  <si>
    <t>Parts and labor for the replacement of spare parts for the maintenance of Ford Everest IP-0189</t>
  </si>
  <si>
    <t xml:space="preserve">Daisy S. Villanueva </t>
  </si>
  <si>
    <t>Payment of Clothing allowance of PITO regular employee for the year 2022</t>
  </si>
  <si>
    <t xml:space="preserve">Mary Grace G. Atuan </t>
  </si>
  <si>
    <t>Reimbursement of honorarium of speaker for Livelihood Skills Training on Rattan Weaving for 1Bataan Handicraft Industry Ecosystem Beneficiaries on Mya 10-13, 2022</t>
  </si>
  <si>
    <t>Payment for the internet subscription of account number 656849940 for the period of June 17, 2022 to July 16,2022</t>
  </si>
  <si>
    <t>Payment for the internet subscription of account number 656678917 for the period of June 17, 2022 to July 16, 2022</t>
  </si>
  <si>
    <t>Payment of Monthly subscription of account number 656682647 for the period of June 17 - July 16, 2022</t>
  </si>
  <si>
    <t xml:space="preserve">Maria Cristina V. Lopez </t>
  </si>
  <si>
    <t>Cash advance of cash prizes re: Celebration of the 44th National Disability Prevention &amp; Rehabilitation (NDPR) week on July 21, 2022</t>
  </si>
  <si>
    <t>DONATION FOR THE HOSPITAL BILLS COVERING THE PERIOD JUNE 27-28, 2022</t>
  </si>
  <si>
    <t>Service rendered for the month of June 2022</t>
  </si>
  <si>
    <t>Payment of PLDT Fiber Telephone Bills in the office of the Sangguniang Panlalawigan office of (Vice Governor Garcia, Secretary Salazar and Board Member Dominguez) for the month of June 2022</t>
  </si>
  <si>
    <t xml:space="preserve">Harrison B. Dela Cruz </t>
  </si>
  <si>
    <t>Payment of his clothing allowance for CY 2022</t>
  </si>
  <si>
    <t>DONATION FOR THE HOSPITAL BILLS COVERING THE PERIOD JUNE 28-29, 2022</t>
  </si>
  <si>
    <t>DONATION FOR THE HOSPITAL BILLS COVERING THE PERIOD JUNE 27-30, 2022</t>
  </si>
  <si>
    <t>Payment of insurance for nine (9) units service vehicle owned by PGB</t>
  </si>
  <si>
    <t>DONATION FOR THE HOSPITAL BILL COVERING THE PERIOD JUNE 27-28, 2022</t>
  </si>
  <si>
    <t>Payment of fuel consumption for the period of June 13-19, 2022 (PGO)</t>
  </si>
  <si>
    <t>Payment of fuel consumption for the period of June 13-19, 2022 (MBDA)</t>
  </si>
  <si>
    <t>MAULEON- Payment of allowance for the month of June 2022</t>
  </si>
  <si>
    <t>Payment of her RIC Allowance for the month of June 2022</t>
  </si>
  <si>
    <t>DONATION TO LOLITA DE SILVA FOR HER BURIAL EXPENSES QR: 0701220030</t>
  </si>
  <si>
    <t xml:space="preserve">Ran-Ran Gatdula </t>
  </si>
  <si>
    <t>DONATION TO DOLORES GATDULA FOR HER BURIAL EXPENSES QR: 0701220037</t>
  </si>
  <si>
    <t xml:space="preserve">Federico R. Padua </t>
  </si>
  <si>
    <t>DONATION TO PRECIOUS ANNE PADUA FOR HER PROFESSIONAL FEE QR: 0701220003</t>
  </si>
  <si>
    <t xml:space="preserve">Winston L. Norte </t>
  </si>
  <si>
    <t>DONATION TO RITA AILEEN NORTE FOR HER HOSPITAL BILL AND MEDICAL NEEDS QR: 0701220032</t>
  </si>
  <si>
    <t xml:space="preserve">Rhodora de Leon Leaño </t>
  </si>
  <si>
    <t>DONATION TO RAPHAEL LOUISE LEAñO FOR HIS HOSPITAL BILL AND MEDICAL NEEDS QR: 0701220035</t>
  </si>
  <si>
    <t xml:space="preserve">Harvey Charles R. Pepito </t>
  </si>
  <si>
    <t>DONATION TO SOPHIA ANDREA D. MANALO AND MARIA CELESTE M. PEPITO FOR THEIR HOSPITAL BILLS QR: 0701220001</t>
  </si>
  <si>
    <t xml:space="preserve">Samuel S. Visitacion </t>
  </si>
  <si>
    <t>DONATION TO EMELITA GOSE FOR HER HOSPITAL BILL QR: 0701220036</t>
  </si>
  <si>
    <t xml:space="preserve">Precilla R. Platilla </t>
  </si>
  <si>
    <t>DONATION TO JESSIE PLATILLA FOR HIS HOSPITAL BILL QR: 0701220031</t>
  </si>
  <si>
    <t>Petty cash fund replenishment for July 1-12, 2022</t>
  </si>
  <si>
    <t xml:space="preserve">Elvira B. Navarro </t>
  </si>
  <si>
    <t>DONATION TO CLIENT FOR HER MEDICAL NEEDS QR: 0701220034</t>
  </si>
  <si>
    <t>DONATION TO ESTER BUENSUCESO FOR HER BURIAL EXPENSES QR: 0628220007</t>
  </si>
  <si>
    <t>DONATION TO ROSARIO MACASPAC FOR HER BURIAL EXPENSES QR: 0627220014</t>
  </si>
  <si>
    <t>DONATION TO ROLANDO CRUZ FOR HIS BURIAL EXPENSES QR: 0704220012</t>
  </si>
  <si>
    <t>DONATION TO CAROLINA RAMOS FOR HER BURIAL EXPENSES QR: 0704220006</t>
  </si>
  <si>
    <t xml:space="preserve">Danica R. Dionisio </t>
  </si>
  <si>
    <t>DONATION TO DANILO REYES FOR HIS HOSPITAL BILL QR: 0704220009</t>
  </si>
  <si>
    <t xml:space="preserve">Maria Fe S. Ramos </t>
  </si>
  <si>
    <t>DONATION TO OFELIA SALAZAR FOR HER HOSPITAL BILL QR: 0704220016</t>
  </si>
  <si>
    <t xml:space="preserve">Shella O. Cruz </t>
  </si>
  <si>
    <t>DONATION TO CAIN CRUZ FOR HIS HOSPITAL BILL QR: 0704220015</t>
  </si>
  <si>
    <t xml:space="preserve">Rica Jane M. Lacson </t>
  </si>
  <si>
    <t>DONATION TO ELDA MORALES FOR HER HOSPITAL BILL AND MEDICAL NEEDS QR: 0704220013</t>
  </si>
  <si>
    <t xml:space="preserve">Joseph V. Icban </t>
  </si>
  <si>
    <t>DONATION TO MELANIE ANN ICBAN FOR HER HOSPITAL BILL QR: 0704220017</t>
  </si>
  <si>
    <t xml:space="preserve">Roxanne S. Derecho </t>
  </si>
  <si>
    <t>DONATION TO AVELINA SOBEJANA FOR HER HOSPITAL BILL QR: 0705220004</t>
  </si>
  <si>
    <t xml:space="preserve">Jo Ann A. Asejo </t>
  </si>
  <si>
    <t>DONATION TO DOMINGO ASEJO FOR HIS HOSPITAL BILL QR: 0704220005</t>
  </si>
  <si>
    <t xml:space="preserve">Ariel N. Abesamis </t>
  </si>
  <si>
    <t>DONATION TO FELIZ ANDREA ABESAMIS FOR HER HOSPITAL BILL QR: 0704220001</t>
  </si>
  <si>
    <t xml:space="preserve">Maricris R. Nava </t>
  </si>
  <si>
    <t>DONATION TO JULIETA CAPATI FOR HER MEDICAL NEEDS QR: 0704220011</t>
  </si>
  <si>
    <t xml:space="preserve">John Ryan S. Caburhay </t>
  </si>
  <si>
    <t>DONATION TO REYNALDO CABURNAY FOR HIS MEDICAL NEEDS QR: 0704220010</t>
  </si>
  <si>
    <t xml:space="preserve">Dolores H. Genetia </t>
  </si>
  <si>
    <t>DONATION TO CLIENT FOR HER MEDICAL NEEDS QR: 0704220008</t>
  </si>
  <si>
    <t xml:space="preserve">Estrella A. Cuison </t>
  </si>
  <si>
    <t>DONATION TO CLIENT FOR HER MEDICAL NEEDS QR: 0704220007</t>
  </si>
  <si>
    <t xml:space="preserve">Celeste D. Cruz </t>
  </si>
  <si>
    <t>DONATION TO ANGELINA DOMINGO FOR HER BURIAL EXPENSES QR: 0701220038</t>
  </si>
  <si>
    <t>DONATION TO MARK IAN MULLENO FOR HIS BURIAL EXPENSES QR: 0701220040</t>
  </si>
  <si>
    <t xml:space="preserve">Dexter E. Sioson </t>
  </si>
  <si>
    <t>DONATION TO LILIBETH SIOSON FOR HER BURIAL EXPENSES QR: 0630220014</t>
  </si>
  <si>
    <t xml:space="preserve">Rebirth Philippines Therapeutic Community Foundation Inc. </t>
  </si>
  <si>
    <t>DONATION TO LHEMWIL NEMENIO FOR HIS HOSPITAL BILL</t>
  </si>
  <si>
    <t xml:space="preserve">Jobel G. Santos </t>
  </si>
  <si>
    <t>DONATION TO MARY JANE R. GERVACIO FOR HER HOSPITAL BILL QR: 0701220002</t>
  </si>
  <si>
    <t xml:space="preserve">Sittie Mariam D. Sambitory </t>
  </si>
  <si>
    <t>DONATION TO CLIENT AND RAIHANA SAMBITORY FOR THEIR HOSPITAL BILL QR: 0701220039</t>
  </si>
  <si>
    <t xml:space="preserve">Genna Mae M. Santiago-Dela Cruz </t>
  </si>
  <si>
    <t>DELA CRUZ / MARIVELES BATAAN-DONATION TO JOAQUIN TREVO DELA CRUZ FOR HIS HOSPITAL BILL AND PROFESSIONAL FEE QR: 0701220041</t>
  </si>
  <si>
    <t xml:space="preserve">Carmelita S. Dapat </t>
  </si>
  <si>
    <t>DONATION TO FIDEL DAPAT FOR HIS HOSPITAL BILL AND MEDICAL NEEDS QR: 0701220013</t>
  </si>
  <si>
    <t xml:space="preserve">Florida T. Malimban </t>
  </si>
  <si>
    <t>DONATION TO LEXTER MALIMBAN FOR HIS MEDICAL NEEDS QR: 0701220007</t>
  </si>
  <si>
    <t xml:space="preserve">Teresita E. Magtanong </t>
  </si>
  <si>
    <t>DONATION TO JININA MARIZ MAGTANONG FOR HER HOSPITAL BILL AND PROFESSIONAL FEE QR: 0701220010</t>
  </si>
  <si>
    <t xml:space="preserve">Florecita D. Bornolia </t>
  </si>
  <si>
    <t>DONATION TO CLIENT FOR HER HOSPITAL BILL QR: 0701220042</t>
  </si>
  <si>
    <t xml:space="preserve">Luzviminda T. Cabantac </t>
  </si>
  <si>
    <t>DONATION TO LENUILLE CABANTAC FOR HIS HOSPITAL BILL AND MEDICAL NEEDS QR: 0701220012</t>
  </si>
  <si>
    <t xml:space="preserve">Marvin P. Mabini </t>
  </si>
  <si>
    <t>DONATION TO ARLENE LORENZO FOR HER MEDICAL NEEDS QR: 0701220009</t>
  </si>
  <si>
    <t xml:space="preserve">Paolo A. Talastas </t>
  </si>
  <si>
    <t>DONATION TO ROBERTO ADRANEDA FOR HIS MEDICAL NEEDS QR: 0701220006</t>
  </si>
  <si>
    <t>DONATION TO ROLAN RAGEL FOR HIS MEDICAL NEEDS QR: 0701220004</t>
  </si>
  <si>
    <t xml:space="preserve">Perlita C. De Guzman </t>
  </si>
  <si>
    <t>DONATION TO REYNALDO DE GUZMAN FOR HIS HOSPITAL BILL QR: 0704220003</t>
  </si>
  <si>
    <t xml:space="preserve">FB Zabala Funeral Homes </t>
  </si>
  <si>
    <t>DONATION TO NILO MACALALAD FOR HIS BURIAL EXPENSES QR: 0704220019</t>
  </si>
  <si>
    <t xml:space="preserve">Normita B. Roque </t>
  </si>
  <si>
    <t>DONATION TO RAYMOND BAUTISTA FOR HIS HOSPITAL BILL QR: 0704220018</t>
  </si>
  <si>
    <t xml:space="preserve">Josephine F. Ramos </t>
  </si>
  <si>
    <t>DONATION TO JOMAR BAUTISTA FOR HIS BURIAL EXPENSES QR: 0701220015</t>
  </si>
  <si>
    <t xml:space="preserve">Paulo Joseph L. Macabulos </t>
  </si>
  <si>
    <t>DONATION TO MARIA LUZ MACABULOS FOR HER MEDICAL NEEDS QR: 0630220002MAR</t>
  </si>
  <si>
    <t xml:space="preserve">Evangeline G. Bueno </t>
  </si>
  <si>
    <t>DONATION TO RONNIE BUENO FOR HIS MEDICAL NEEDS QR: 0629220025</t>
  </si>
  <si>
    <t xml:space="preserve">Jana F. Guadalupe </t>
  </si>
  <si>
    <t>DONATION TO ARAW FLORES FOR HIS HOSPITAL BILL AND MEDICAL NEEDS QR: 0701220026</t>
  </si>
  <si>
    <t>Payment of fuel consumption for the period of June 13-19, 2022 (LEGAL)</t>
  </si>
  <si>
    <t>Payment of fuel consumption for the period of June 20-26, 2022 (BCMH)</t>
  </si>
  <si>
    <t>Payment of fuel consumption for the period of June 13-19, 2022 (PEO)</t>
  </si>
  <si>
    <t>Payment of fuel consumption for the period of May 16 -22, 2022 (PGSO) A9W 631</t>
  </si>
  <si>
    <t>Payment of fuel consumption for the period of May 23 -29, 2022 (PGSO) SHP 848</t>
  </si>
  <si>
    <t xml:space="preserve">Earth &amp; Shore Leisure Communities Corporation </t>
  </si>
  <si>
    <t>Refund for the double payt of transfer tax under OR no. 6605771 dated May 19, 2022</t>
  </si>
  <si>
    <t xml:space="preserve">Sonny Boy C. Caraig </t>
  </si>
  <si>
    <t>Payment of Clothing Allowance for CY 2022</t>
  </si>
  <si>
    <t>Replenishment of cash advance to defray payment of Dailu Market Purchase from June 26-30, 2022</t>
  </si>
  <si>
    <t xml:space="preserve">Justine Angelo's Car Aircon Repair and Services </t>
  </si>
  <si>
    <t>Parts and labor for the replacement of blower motor of Toyota Innova SJA-845 of PEO owned by the Provincial Government of Bataan</t>
  </si>
  <si>
    <t>Other Supplies for the use of 2nd District Congressional Office</t>
  </si>
  <si>
    <t>Accommodation for representative/staff of Vantagehunt for Hybrid Job Fair 2022 on May 2022, 2022</t>
  </si>
  <si>
    <t>Meals for the meetings of different Committees of Sangguniang Panlalawigan on July 06, 2022</t>
  </si>
  <si>
    <t>AM snacks to be served on the Meat Processing and Packaging Demonstration in 4 Municipalities on March 24, 2022 @ Balanga City, April 8, 2022 @ Pilar, April 28, 2022 @ Orion and May 5, 2022 @ Hermosa, Bataan</t>
  </si>
  <si>
    <t>Parts and labor for the repair of airconditioning system of Howo Cargo Truck I of PEO owned by the Provincial Government of Bataan</t>
  </si>
  <si>
    <t>For Replacement of four (4) pcs tire 185R14, oil filter, brake shoe and brake pads for SJA-377 for the use of Bagac Community and Medicare Hospital</t>
  </si>
  <si>
    <t>Parts &amp; Labor for the 50,000km preventive maintenance Toyota Innova P115511 of MBDA owned by the PGB</t>
  </si>
  <si>
    <t>Parts &amp; Labor for the 120,000km preventive maintenance check up of Toyota Hilux A8E932</t>
  </si>
  <si>
    <t xml:space="preserve">Anicia E. Padua </t>
  </si>
  <si>
    <t>DONATION TO JIMMY PADUA FOR HIS HOSPITAL BILL QR: 0704220004</t>
  </si>
  <si>
    <t>Payment of fuel consumption for the period of May 16 -22, 2022 (PGSO) SHP-848</t>
  </si>
  <si>
    <t>Payment of fuel consumption for the period of May 23 -29, 2022 (PGSO) A9W 631</t>
  </si>
  <si>
    <t>Payment of fuel consumption for the period of May 16 -22, 2022 (PGSO) KOS 994</t>
  </si>
  <si>
    <t>Payment of fuel consumption for the period of May 23 -29, 2022 (PGSO) KOS 994</t>
  </si>
  <si>
    <t>Payment of Cultural show to Marivent Resort Hotel, Inc. during Courtesy Visit of Chinese Ambassador to the Bataan</t>
  </si>
  <si>
    <t>Payment of Electrical Consumption for the period of May, 2022</t>
  </si>
  <si>
    <t>- Parts and Labor for the repair of airconditioning system of Toyota Innova SHB-954 of PEO owned by the Provincial Government of Bataan</t>
  </si>
  <si>
    <t>Payment of Entrance Fee (Day Tour) and Meals incurred for NRC (National Resilience Council)</t>
  </si>
  <si>
    <t>Payment of room accommodation incurred by visitors of Governor Abet Garcia during their visit at Las Casas Filipina De Acuzar</t>
  </si>
  <si>
    <t>Assorted vegetables products for the consumption of inmates of Bataan District Jail within the period of June 1-15, 2022</t>
  </si>
  <si>
    <t>Assorted marine products for the consumption of inmates of Bataan District Jail within the period of June 16-30, 2022</t>
  </si>
  <si>
    <t>Various grocery items for consumption of inmates of Bataan District Jail within the period of June 16-30, 2022</t>
  </si>
  <si>
    <t>Assorted marine products for the consumption of inmates of Bataan District Jail within the period of June 1-15, 2022</t>
  </si>
  <si>
    <t>Replenishment of Revolving Fund for payment of donation to indigent constituents from Province of Bataan (July 08-11)</t>
  </si>
  <si>
    <t>Air Cooling to be used at PGB-SAP 1Bataan Malasakit Dialysis Assistance Office (Mariveles)</t>
  </si>
  <si>
    <t xml:space="preserve">Deta Enterprise </t>
  </si>
  <si>
    <t xml:space="preserve">UPS for the use of 2nd District Congressional Office	</t>
  </si>
  <si>
    <t xml:space="preserve">Meals for the Regular Session of Sangguniang Panlalawigan on June 13, 2022	</t>
  </si>
  <si>
    <t xml:space="preserve">Meals for the Regular Session of Sangguniang Panlalawigan on June 06, 2022								Tony and Ann's Catering Services </t>
  </si>
  <si>
    <t>Equipments to be used at PGB-SAP 1Bataan Malasakit Assistance ( Mariveles )</t>
  </si>
  <si>
    <t>R.G. Perez Marketing</t>
  </si>
  <si>
    <t>Furniture to be use in PGB-SAP 1Bataan Malasakit Dialysis Assistace (Mariveles)</t>
  </si>
  <si>
    <t xml:space="preserve">E-San Ads &amp; Marble Works </t>
  </si>
  <si>
    <t>Signange to be used at PGB-SAP 1Bataan Malasakit Dialysis Assistance Office (Mariveles)</t>
  </si>
  <si>
    <t>Toyota Bataan Inc.</t>
  </si>
  <si>
    <t>Parts and labor for the 10,000 km preventive maintenance check up of 2021 / Hiace Cargo 3.0L Dsl-ZH-011 with CS no. S1D678 for the use of Mariveles District Hospital / plate no. ND76305</t>
  </si>
  <si>
    <t>Various grocery items for the consumption of inmates of Bataan District Jail within the period of June 1-15, 2022</t>
  </si>
  <si>
    <t>BMI Trading</t>
  </si>
  <si>
    <t xml:space="preserve">LPG-50kgs for the consumption of inmates of Bataan District Jail within the period of June 2022	</t>
  </si>
  <si>
    <t>Gellene's Meat Shop</t>
  </si>
  <si>
    <t>assorted meat and processed food for the consumption of inmates of Bataan District Jail within the period of June 1-15, 2022</t>
  </si>
  <si>
    <t>Parts &amp; Labor for the 205,000 km preventive maintenance Toyota Hilux P0Z302 of MBDA owned by the Provincial Government of Bataan</t>
  </si>
  <si>
    <t>Parts &amp; Labor for the 235,000 km preventive maintenance Toyota Hilux P1D122 of MBDA owned by the Provincial Government of Bataan</t>
  </si>
  <si>
    <t xml:space="preserve">Alberto S. Venturina </t>
  </si>
  <si>
    <t xml:space="preserve">Meals for the Liga ng mga Barangay Assembly on June 02, 2022	</t>
  </si>
  <si>
    <t xml:space="preserve">Parts &amp; Labor for the replacement of evaporator sub-assy and other deffective parts of Toyota Hilux VR5847 of MBDA owned by the Provincial Government of Bataan	</t>
  </si>
  <si>
    <t xml:space="preserve">Meals for the meetings of different Committees of Sangguniang Panlalawigan on June 08, 2022						</t>
  </si>
  <si>
    <t>Rosita Sison</t>
  </si>
  <si>
    <t xml:space="preserve">Parts and labor for the replacement of two (2) pcs of tires 265/65 R17, disc pad and brake shoe for Toyota Hilux VU 2619 c/o BM </t>
  </si>
  <si>
    <t>PLDT Inc.</t>
  </si>
  <si>
    <t xml:space="preserve">Payment of Monthly Subscription fee for  the services of Internet Connection of 2nd Floor 1BOSSCO covering period  May 27 - July 16, 2022	</t>
  </si>
  <si>
    <t>Noel Joseph L. Valdecanas</t>
  </si>
  <si>
    <t xml:space="preserve">Parts and labor for the 80,000 km preventive maintenance check-up of Ford Everest IP-0800						</t>
  </si>
  <si>
    <t>Roland M. Javier</t>
  </si>
  <si>
    <t xml:space="preserve">DONATION TO CLIENT FOR HIS MEDICAL NEEDS	</t>
  </si>
  <si>
    <t>Edgardo P. Calimbas</t>
  </si>
  <si>
    <t>Reimbursement of Fuel Allowance for Government Vehicle IO 4973 for the month of June 2022</t>
  </si>
  <si>
    <t xml:space="preserve">Reimbursment of the amount paid for fuel consumption of the Government vehicle Ford Everest IO 4423 for the month of June, 2022     </t>
  </si>
  <si>
    <t>Pre-An's Enterprises</t>
  </si>
  <si>
    <t xml:space="preserve">Medical supplies of ODH </t>
  </si>
  <si>
    <t>Vivian Q. Benamir</t>
  </si>
  <si>
    <t>Payment of honorarium of Municipal Treasurers for the month of June 2022</t>
  </si>
  <si>
    <t xml:space="preserve">Emilia Dela Rosa </t>
  </si>
  <si>
    <t>Fe Sagre</t>
  </si>
  <si>
    <t xml:space="preserve">Payment of honorarium of Municipal Treasurers for the month of June 2022					</t>
  </si>
  <si>
    <t>Marissa Tumalad</t>
  </si>
  <si>
    <t xml:space="preserve">Reimbursement of the amount paid for fuel consumption of the government vehicle FORD EVEREST IP 1451 for the month of June, 2022	</t>
  </si>
  <si>
    <t xml:space="preserve">EZGAZ Trading </t>
  </si>
  <si>
    <t>Payment of fuel consumption for the period of June 20 -26, 2022 (MBDA)</t>
  </si>
  <si>
    <t>Payment of her salary from June 6-30, 2022</t>
  </si>
  <si>
    <t xml:space="preserve">Rosalie P. Manubay, M.D. </t>
  </si>
  <si>
    <t>Replenishment of miscellaneous expenses of ODH from May 13 - June 17, 2022</t>
  </si>
  <si>
    <t xml:space="preserve">Reimbursment of the amount paid for fuel consumption of the Government vehicle Ford Everest IO 8925 for the month of June, 2022	</t>
  </si>
  <si>
    <t>Converge Information and Communications Technology Solutions, INC.</t>
  </si>
  <si>
    <t>Monthly subscription fee of Metro Ethernet Service for the use of CCTV Cameras of MBDA for the month of July 1-31, 2022</t>
  </si>
  <si>
    <t>Real-tech Mobile Innovation INC.</t>
  </si>
  <si>
    <t xml:space="preserve">Payment of Internet Subscription plan for vehicle tracker of PEO for the period of July 1-31, 2022	</t>
  </si>
  <si>
    <t xml:space="preserve">Real-tech Mobile Innovation INC. </t>
  </si>
  <si>
    <t xml:space="preserve">Payment of Operation and Maintenance Fee for the month of June , 2022        </t>
  </si>
  <si>
    <t xml:space="preserve">Cemba </t>
  </si>
  <si>
    <t xml:space="preserve">Payment for monthly subscription of newspaper in VG and SP office for the month of June 2022								</t>
  </si>
  <si>
    <t xml:space="preserve">Reimbursement of Rental of Sound System to be used during the Inauguration of COA Building Located at Abucay, Bataan on April 28, 2022	</t>
  </si>
  <si>
    <t xml:space="preserve">Rhea Villanueva </t>
  </si>
  <si>
    <t>DONATION TO AUREA VILLANUEVA FOR HER MEDICAL NEEDS</t>
  </si>
  <si>
    <t xml:space="preserve">Perrylyn Paguio </t>
  </si>
  <si>
    <t>Christophere Pizarro</t>
  </si>
  <si>
    <t>Aviva Limos</t>
  </si>
  <si>
    <t>Payment of her salary differential for the month of June 2022</t>
  </si>
  <si>
    <t>Ana Florence Cantunay- Oamil</t>
  </si>
  <si>
    <t>Kenneth Cube Paguio</t>
  </si>
  <si>
    <t xml:space="preserve">Damaso Asunsion Jr. </t>
  </si>
  <si>
    <t xml:space="preserve">Maricar Paloma Dela Cruz- Buban </t>
  </si>
  <si>
    <t xml:space="preserve">Payment of allowance for the month of June  2022 </t>
  </si>
  <si>
    <t xml:space="preserve">Ludovino Joseph Augusto L. Tobias JR. </t>
  </si>
  <si>
    <t>Payment of allowance for the month of June 2022	15,000.00							Ludovino Joseph Augusto L. Tobias JR.</t>
  </si>
  <si>
    <t>Raquel P. Duran</t>
  </si>
  <si>
    <t xml:space="preserve">Allowance for the month of June, 2022	</t>
  </si>
  <si>
    <t>Alfredo P. Manasan</t>
  </si>
  <si>
    <t>J/INSP Maryrose D. Lorenzo</t>
  </si>
  <si>
    <t>Allowance for the month of May &amp; June, 2022</t>
  </si>
  <si>
    <t xml:space="preserve">Payment of allowance for the month of June 2022
</t>
  </si>
  <si>
    <t>Maria Diana D. Tayag</t>
  </si>
  <si>
    <t>DONATION TO MIGUEL ANDREI TAYAG FOR HIS HOSPITAL BILL</t>
  </si>
  <si>
    <t>Aubrey Jestine T. Matitu</t>
  </si>
  <si>
    <t>DONATION TO MATITU FOR HIS HOSPITAL BILL</t>
  </si>
  <si>
    <t xml:space="preserve">Violeta M. Santos </t>
  </si>
  <si>
    <t>ONATION TO ALFONSO SANTOS FOR HIS HOSPITAL BILL</t>
  </si>
  <si>
    <t xml:space="preserve">Dom Jegs S. Felipe </t>
  </si>
  <si>
    <t>DONATION TO SANDY FELIPE FOR HER HOSPITAL BILL</t>
  </si>
  <si>
    <t xml:space="preserve">Chatty D. Ragenil </t>
  </si>
  <si>
    <t>DONATION TO NELIA ARCEBIDO FOR HER HOSPITAL BILL, PROFESSIONAL FEE AND MEDICAL NEEDS</t>
  </si>
  <si>
    <t>DONATION TO JOSE GERWIN CAPILI FOR HIS MEDICAL NEEDS</t>
  </si>
  <si>
    <t>Philip M. Cruz</t>
  </si>
  <si>
    <t xml:space="preserve">Ivan lendel C. fabrea </t>
  </si>
  <si>
    <t>DONATION TO AIKO GABRIEL FABREA FOR HIS BURIAL EXPENSES</t>
  </si>
  <si>
    <t xml:space="preserve">Shirlyn De Villa Abordo </t>
  </si>
  <si>
    <t>DONATION TO EFREN ABORDO FOR HIS BURIAL EXPENSES</t>
  </si>
  <si>
    <t xml:space="preserve">J &amp; G Funeral Servicesv </t>
  </si>
  <si>
    <t>DONATION TO DANICA TEPACE FOR HER BURIAL EXPENSES</t>
  </si>
  <si>
    <t>Jhomari Del Carmen Dizon</t>
  </si>
  <si>
    <t xml:space="preserve">Mary Jane P. Abes </t>
  </si>
  <si>
    <t>DONATION TO JAY AR ABES FOR HIS HOSPITAL BILL</t>
  </si>
  <si>
    <t xml:space="preserve">Romano Z. Retutal </t>
  </si>
  <si>
    <t>DONATION TO KRISTEL PEARL RETUTAL FOR HER HOSPITAL BILL</t>
  </si>
  <si>
    <t xml:space="preserve">Jesus G. Romero </t>
  </si>
  <si>
    <t xml:space="preserve">Annaliza T. Madriaga </t>
  </si>
  <si>
    <t>DONATION TO JESUS TENA FOR HIS MEDICAL NEEDS</t>
  </si>
  <si>
    <t xml:space="preserve">Jonalyn B. Guevarra </t>
  </si>
  <si>
    <t>DONATION TO BUENAFE GUEVARRA FOR HER MEDICAL NEEDS</t>
  </si>
  <si>
    <t xml:space="preserve">Catherine P. Custodio </t>
  </si>
  <si>
    <t>DONATION TO LUDRIGO PAGUIRIGAN FOR HIS HOSPITAL BILL</t>
  </si>
  <si>
    <t>Reynoso Jr. G. Castillo</t>
  </si>
  <si>
    <t>DONATION TO REYNOSO CASTILLO FOR HIS HOSPITAL BILL '</t>
  </si>
  <si>
    <t xml:space="preserve">Leira Anne Y. Gerella </t>
  </si>
  <si>
    <t>DONATION TO ROSE GERELLA FOR HER HOSPITAL BILL</t>
  </si>
  <si>
    <t>Jenny Lyn B. Cinco</t>
  </si>
  <si>
    <t xml:space="preserve">DONATION TO REMEDIOS CINCO FOR HER MEDICAL NEEDS
</t>
  </si>
  <si>
    <t xml:space="preserve">Ligaya D. Gonzales </t>
  </si>
  <si>
    <t>DONATION TO BENJAMIN GONZALES III FOR HIS MEDICAL NEEDS</t>
  </si>
  <si>
    <t xml:space="preserve">Dennis H. Nepomuceno </t>
  </si>
  <si>
    <t xml:space="preserve">DONATION TO LARRY NEPOMUCENO FOR HIS MEDICAL NEEDS
</t>
  </si>
  <si>
    <t xml:space="preserve">Allowance for the month of June, 2022 </t>
  </si>
  <si>
    <t xml:space="preserve">Genesis Maglaqui </t>
  </si>
  <si>
    <t>DONATION TO BELLA ROSA MAGLAQUI FOR HER HOSPITAL BILL</t>
  </si>
  <si>
    <t xml:space="preserve">Jaycie Mae Capili </t>
  </si>
  <si>
    <t>DONATION TO LUCITA CAPILI FOR HER HOSPITAL BILL AND PROFESSIONAL FEE</t>
  </si>
  <si>
    <t xml:space="preserve">Maria Teresita Quicho </t>
  </si>
  <si>
    <t>DONATION TO MARINELA QUESADA FOR HER BURIAL EXPENSES</t>
  </si>
  <si>
    <t xml:space="preserve">Marife Maravilla </t>
  </si>
  <si>
    <t xml:space="preserve"> DONATION TO OLIVER MARAVILLA FOR HIS BURIAL EXPENSES</t>
  </si>
  <si>
    <t xml:space="preserve">Amelito Jr. D. San Jose </t>
  </si>
  <si>
    <t>DONATION O AMELITO SAN JOSE FOR HIS HOSPITAL BILL</t>
  </si>
  <si>
    <t xml:space="preserve">Mary Rose Rueda </t>
  </si>
  <si>
    <t>DONATION TO EFREN RUEDA FOR HIS HOSPITAL BILL AND MEDICAL NEEDS</t>
  </si>
  <si>
    <t xml:space="preserve">Leslie Beltran </t>
  </si>
  <si>
    <t>DONATION TO SEAN LESTER BELTRAN FOR HIS MEDICAL NEEDS AND PROFESSIONAL FEE</t>
  </si>
  <si>
    <t xml:space="preserve">Marilou Rubiano </t>
  </si>
  <si>
    <t xml:space="preserve">Converge ICT Solutions Inc. </t>
  </si>
  <si>
    <t>Payment of internet subscription of ODH with acct# 0020200386215 for the billing period July 1-31,2022</t>
  </si>
  <si>
    <t>Payment of Telephone and Internet bill for the PHO July 6 - August 5, 2022</t>
  </si>
  <si>
    <t>Payment of monthly internet subscription plan for the period of June 17 - July 16, 2022 for NBI- Mariveles Satelite office in FAB Building, Mariveles, Bataan</t>
  </si>
  <si>
    <t xml:space="preserve">Bataan Space Cable Network Inc. </t>
  </si>
  <si>
    <t>Ayment for the internet subscription with account number 13544 for the period of July 1-21, 2022</t>
  </si>
  <si>
    <t xml:space="preserve">St. Moritz Security Agency Inc. </t>
  </si>
  <si>
    <t>Security services rendered by 78 security guards deployed at BGH for MAy 1-31, 2022</t>
  </si>
  <si>
    <t xml:space="preserve">EZ GAZ TRADING </t>
  </si>
  <si>
    <t>Payment of fuel consumption for the period of June 20 -26, 2022 (PGO)</t>
  </si>
  <si>
    <t xml:space="preserve">Oliver Del Rosario </t>
  </si>
  <si>
    <t>DONATION TO MELIZA PAULE JAYNIE AYESHA DEL ROSARIO FOR THEIR HOSPITAL BILLS AND PROFESSIONAL FEE</t>
  </si>
  <si>
    <t xml:space="preserve">BT - San Benito Dinalupihan </t>
  </si>
  <si>
    <t>Subsidy to Barangay San Benito Dinalupihan Bataan for their Annual Cultural Activity on July 11, 2022</t>
  </si>
  <si>
    <t xml:space="preserve">Gena A. Abara </t>
  </si>
  <si>
    <t>Replenishment of Emergency Purchases of JPMH from June 28 - July 1, 2022</t>
  </si>
  <si>
    <t xml:space="preserve">Joie Dee Rubiano </t>
  </si>
  <si>
    <t>Payment of Clothing Allowance for year 2022</t>
  </si>
  <si>
    <t xml:space="preserve">Julio Jose Tuazon </t>
  </si>
  <si>
    <t>Payment of Clothing allowance for the year 2022</t>
  </si>
  <si>
    <t>Aries Dela Cruz Bugay</t>
  </si>
  <si>
    <t>Dennis Pizarro</t>
  </si>
  <si>
    <t>Melba Ibabao</t>
  </si>
  <si>
    <t>Jocelyn Roxas</t>
  </si>
  <si>
    <t>Rose Anne Pablo</t>
  </si>
  <si>
    <t>Michael manlapaz</t>
  </si>
  <si>
    <t>Jeremy Amiel Aguilar</t>
  </si>
  <si>
    <t>Lorena Dizon</t>
  </si>
  <si>
    <t xml:space="preserve">Berzan enterprise  </t>
  </si>
  <si>
    <t xml:space="preserve">Laboratory supplies to be use for Bagac Community and </t>
  </si>
  <si>
    <t xml:space="preserve">Laboratory reagents for the use of Orani District </t>
  </si>
  <si>
    <t xml:space="preserve">Quadzen Pharmacentical </t>
  </si>
  <si>
    <t>Medical Supplies to be used for PHO Vaccination Program</t>
  </si>
  <si>
    <t>Parts and labor for CHAnge oil, cleaning and replacement of defective parts of the vehicle assigned to the Office of PGO with plate number SLB 225</t>
  </si>
  <si>
    <t>Labor for the replacement of four (4) pcs of tire 185 R14 for Mitsubishi L-300 Van B2C817 of BJMP</t>
  </si>
  <si>
    <t>Parts and labor for 160,000 km preventive maintenance check-up of Toyota Hi-Ace Commuter Van VR-2272 of PNP</t>
  </si>
  <si>
    <t>Parts and Labor for the 90,000km preventive maintenance and checkup of Toyota HIACE AMBULANCE VV6467km of MBDA</t>
  </si>
  <si>
    <t>Arts and labor for 40,000km preventive maintenance check-up of Toyota Fortuner P5M 142 c/0 PGO</t>
  </si>
  <si>
    <t>Replacement of defective parts of transmission (Clutch disc, pressure plate and release bearing) SHP-980</t>
  </si>
  <si>
    <t>Balanga Auto Supply</t>
  </si>
  <si>
    <t>Replacement of defective parts of Toyota Innova SFY - 284 of PGO</t>
  </si>
  <si>
    <t>Eplacement of wiper linkage assembly for Toyota Innova SHJ-973 of PEO</t>
  </si>
  <si>
    <t>Parts and labor for the repair of air conditioning system of Toyota Innova SJA-485 c/o PGB</t>
  </si>
  <si>
    <t>Wyn's Gen Manpower Services and Enterprises Co.</t>
  </si>
  <si>
    <t>Epair and replace the defectives parts of the Vehicle Assigned to the Office of the Governor with Plate Number SLB 235</t>
  </si>
  <si>
    <t>Replenishment of Revolving Fund for payment of donation to indigent constituents from Province of Bataan (July12-14)</t>
  </si>
  <si>
    <t>Aboratory Supplies (REAGENTS) for the use of Mariveles District Hospital</t>
  </si>
  <si>
    <t>Edical Supplies for the use of Orani District Hospital</t>
  </si>
  <si>
    <t>Nterporises-laboratory supplies to be use for Bagac Community and Medicare Hospital</t>
  </si>
  <si>
    <t>Eplacement of one (1) defective battery of Toyota Innova SKR-468 of PNP</t>
  </si>
  <si>
    <t>RBM Enterprises</t>
  </si>
  <si>
    <t>Termite pest control and brush for the office of 2nd District Representative at the Bataan Tourism Center</t>
  </si>
  <si>
    <t>Eplacement of battery of the vehicle assigned to the Office of the Governor Nissan Patrol with Plate Number SHJ-673</t>
  </si>
  <si>
    <t>Rts and labor for the repair of airconditioning system of Howo Cargo Truck I</t>
  </si>
  <si>
    <t>Tri- Star Auto Supply</t>
  </si>
  <si>
    <t>Materials needed for one year change oil/preventive maintenance of FB L-300 SHS-641, SHS-653 &amp; SHS-787 of PEO</t>
  </si>
  <si>
    <t>Eplacement of defective sealed beam of Dumptruck SHA-764 of PEO owned by the Provincial Government of Bataan</t>
  </si>
  <si>
    <t>Parts &amp; labor for the replacement of four (4) pcs tire 265 / 65 R17 for Toyota Hilux YT8598 of PEO owned by the Provincial Government of Bataan</t>
  </si>
  <si>
    <t>Sitio Eatery</t>
  </si>
  <si>
    <t>Nacks for the 2nd Quarter Fire and Earthquake Drill Coordination Meeting on 01 June 2022 at 4th Floor Conference Rooms, The Bunker</t>
  </si>
  <si>
    <t>Fortune (Hongkong) Seafood Restaurant</t>
  </si>
  <si>
    <t>Meals to be served on Consultative Meeting with FetCob, PSI and LTFRB on May 12, 2022</t>
  </si>
  <si>
    <t>Digital Xpress Printing Services</t>
  </si>
  <si>
    <t>Rinting of Tarpaulin for Posting / Advertising of Hybrid Job Fair 2022 on May 20, 2022 at Bataan People's Center Capitol Compound, Balanga City, Bataan</t>
  </si>
  <si>
    <t>Eals for Visitors of Governor Albert S. Garcia on May 23 &amp; 30, 2022</t>
  </si>
  <si>
    <t>Berzan Enterprise</t>
  </si>
  <si>
    <t>Labor and parts for repair and maintenance of Medical Equipment (HEMA ANLYZER and CHEM ANALYZER) at Clinic Laboratory for the use of Mariveles District Hospital</t>
  </si>
  <si>
    <t>Gadget Box Electronics Trading</t>
  </si>
  <si>
    <t xml:space="preserve"> in 1 printer for the use of PGO</t>
  </si>
  <si>
    <t xml:space="preserve">Pre- An's Enterprises </t>
  </si>
  <si>
    <t xml:space="preserve"> laboratory reagents for coagulation mach and electrolytes for the use of Jose Payumo Memorial Hospital, Dinalupihan, Bataan</t>
  </si>
  <si>
    <t>Parts and labor for the 5,000km for preventive maintenance check up of HIACE Commuter VAN S2N937 for the use of PHO</t>
  </si>
  <si>
    <t>Arts and labor for the 5,000km for preventive maintenance check up of HIACE Commuter VAN S2QS83 for the use of PHO</t>
  </si>
  <si>
    <t xml:space="preserve">Wyns Gen Manpower Services and Enterprises Co </t>
  </si>
  <si>
    <t>Eplacement of defective wiper blade of FB L- 300,SHS-641, SHS-653 and SHS-787 of PEO owned by the Provincial Government of Bataan</t>
  </si>
  <si>
    <t>Arts for replacement of valve cover gasket, chrakshaft oil seal, camshaft oil seal and silastic for Toyota Innova with Plate No. SJA-817 used by the Provincial Treasurer's Office</t>
  </si>
  <si>
    <t xml:space="preserve">CMC Tire &amp; Service Center </t>
  </si>
  <si>
    <t>Parts and labor for the repalcement of Four (4) pcs tire 205/65 R15 to Toyota Innova SLB 235 of PGO</t>
  </si>
  <si>
    <t>Parts and labor for the 150,000km preventive maintenance check-up of Ford Everest IP-0816</t>
  </si>
  <si>
    <t xml:space="preserve">GE Channel Enterprises </t>
  </si>
  <si>
    <t>Desktop Computer IT Equipments (CPU Only) for replacement to defective unit used in the Provincial Treasurer's Office</t>
  </si>
  <si>
    <t xml:space="preserve">JeffreyT. Calma </t>
  </si>
  <si>
    <t>Reimbursement of Parts and labor for 95,000 km preventive maintenance check-up of HYUNDAI STAREX MP-9073 c/o COA</t>
  </si>
  <si>
    <t xml:space="preserve">Noel Joseph L. Valdecanas  </t>
  </si>
  <si>
    <t>Replacement of one (1) piece battery DIN66 for service vehicle Ford Everest IO-0800 c/o BM Noel Joseph I. Valdecañas</t>
  </si>
  <si>
    <t xml:space="preserve">Frederick Agricultural Products Distribution  </t>
  </si>
  <si>
    <t>Assorted vegetables products for the consumption of inmates of Bataan District Jail within the period of June 16-30, 2022</t>
  </si>
  <si>
    <t xml:space="preserve">ALTM Meat Plus </t>
  </si>
  <si>
    <t>Assorted meat and processed food for the consumption of inmates of Bataan District Jail within the period of June 16-30, 2022</t>
  </si>
  <si>
    <t>Reimbursement of the amount paid for fuel consumption of the government vehicle Ford Everest C2X097 for the month of June 2022</t>
  </si>
  <si>
    <t>Reimbursement of the amount paid for fuel consumption of the government vehicle Ford Everest C1 T417 for the month of June 2022</t>
  </si>
  <si>
    <t>Payment of fuel on different service vehicle used by PVO, PPDO, ENRO &amp; PCEDO for the period of June 20-26, 2022</t>
  </si>
  <si>
    <t xml:space="preserve">Johnel S. Soriano </t>
  </si>
  <si>
    <t>Payment of traveling expenses for the month of December 2021</t>
  </si>
  <si>
    <t xml:space="preserve">Ma. Lourdes T. Eltanal-Ignacio  </t>
  </si>
  <si>
    <t>Reimbursement of made to golden design enterprises for Labor and services for the maintenance of Bataan Tourism Park from March to June 2022</t>
  </si>
  <si>
    <t>Payment of clothing allowance for year 2022</t>
  </si>
  <si>
    <t xml:space="preserve">Smart Communication  Inc. </t>
  </si>
  <si>
    <t>Payment of BIZLOAD for Brgy. Captains assigned as monitoring gathering and analysing COVID 2019 related data in the Provinve of Bataan Covering Period for the Month of July 2022</t>
  </si>
  <si>
    <t xml:space="preserve">Von M. Llanda  </t>
  </si>
  <si>
    <t>DONATION TO VICTORIANO LLANDA FOR HIS HOSPITAL BILL</t>
  </si>
  <si>
    <t xml:space="preserve">Edward T. Rodriguez </t>
  </si>
  <si>
    <t xml:space="preserve">Jayme L. Rodriguez </t>
  </si>
  <si>
    <t>DONATION TO NELVIN RODRIGUEZ FOR HIS MEDICAL NEEDS</t>
  </si>
  <si>
    <t xml:space="preserve">Illustre F. Cerojano </t>
  </si>
  <si>
    <t xml:space="preserve">Adora A. Venegas </t>
  </si>
  <si>
    <t>DONATION TO HERMAN VENEGAS FOR HIS HOSPITAL BILL</t>
  </si>
  <si>
    <t>Payment of Plan 300 for Employees assigned as monitoring gathering and annalysing Covid 2019 related in the Province of Bataan Covering Period for the month of May 2022</t>
  </si>
  <si>
    <t xml:space="preserve">PLDT Inc </t>
  </si>
  <si>
    <t>Payment of Telephone Bill of JPMH for the period of May 21 - June 20, 2022</t>
  </si>
  <si>
    <t>Reimbursement of the amount paid for fuel consumption of the government vehicle HI-LUX VU2619 for the month of June 2022</t>
  </si>
  <si>
    <t>Reimbursement of the amount paid for fuel consumption of the government vehicle Ford Everest IO 9548 for the month of June, 2022</t>
  </si>
  <si>
    <t xml:space="preserve">Gena A. Abara, M.D, MHA </t>
  </si>
  <si>
    <t xml:space="preserve">Annabelle D. Claravall </t>
  </si>
  <si>
    <t xml:space="preserve">Albert Raymond S. Garcia  </t>
  </si>
  <si>
    <t>Reimbursement of cakes, meals &amp; drinks during meeting with Cong Joet Garcia &amp; Mayors of Bataan</t>
  </si>
  <si>
    <t>Payment of fuel on different service vehicle used by SOCO for the period of June 6-12, 2022</t>
  </si>
  <si>
    <t>Payment of fuel on different service vehicle used by SOCO, PIO, BJMP-Male, BJMP-Female, PDRRMO, PCEDO, Tourism &amp; OPA for the period of June13-196, 2022</t>
  </si>
  <si>
    <t xml:space="preserve">Hector T. Santos, M.D. </t>
  </si>
  <si>
    <t>Replenishment of Medicine, Medical Supplies and Laboratory Expenses under the Philhealth No Balance Billing (NBB) of Indigent patients in MDH June 02-17, 2022</t>
  </si>
  <si>
    <t>Reimbursement of the amount paid for fuel consumption of the government vehicle Ford Everest IP 0189 for the month of June, 2022</t>
  </si>
  <si>
    <t>Reimbursement of the amount paid for fuel consumption of government vehicle Ford Everest IP 0816 for the month of June 2022</t>
  </si>
  <si>
    <t>Payment for the participation fee for the repair service vehicle w/ cs no. VQ 9940</t>
  </si>
  <si>
    <t xml:space="preserve">Flordeliza B. Arulfo </t>
  </si>
  <si>
    <t>DONATION TO CLIENT FOR HER MEDICAL NEEDS QR: 0708220002</t>
  </si>
  <si>
    <t xml:space="preserve">Ernesto M. Magbihon </t>
  </si>
  <si>
    <t>DONATION TO CLIENT FOR HIS HOSPITAL BILL QR: 0707220011</t>
  </si>
  <si>
    <t xml:space="preserve">Johnlery Reymond F. Irog </t>
  </si>
  <si>
    <t>DONATION TO LOIDA IROG FOR HER HOSPITAL BILL QR: 0707220005</t>
  </si>
  <si>
    <t>Payment of fuel consumption for the period of May 30-June 05, 2022 (PGSO)</t>
  </si>
  <si>
    <t>Payment of water expense of BCMH for the month of May 2 to June 1, 2022</t>
  </si>
  <si>
    <t xml:space="preserve">Proworx Car Care and Collision Center Vehicle Repair Service </t>
  </si>
  <si>
    <t>Payment for the participation fee for the repair service vehicle w/ cs no. YU 9911</t>
  </si>
  <si>
    <t>Reimbursement of the amount paid for fuel consumption of the government vehicle Ford Everest IP 0800 for the month of June 2022</t>
  </si>
  <si>
    <t>Reimbursement of the amount paid for fuel consumption of the government vehicle Ford Everest IP 0801 for the month of June, 2022</t>
  </si>
  <si>
    <t>Replenishment of Incidental expenses and Daily market purchase of BCMH from June 16-30, 2022</t>
  </si>
  <si>
    <t>Replenishment of cash advance for emergency purchase from July 2 to 5, 2022</t>
  </si>
  <si>
    <t>Replenishment of cash advance to defray payment of Daily market purcahse from July 1-6, 2022</t>
  </si>
  <si>
    <t>Reimbursement of gasoline, oil and lubricants expenses of ODH with Plate No. F4D127 from April 1-15, 2022</t>
  </si>
  <si>
    <t>Replenishment for market purchase of MDH for the period of June 14-24, 2022</t>
  </si>
  <si>
    <t>Replenishment of Miscellaneous expenses of MDH used for Covid-19 for the period of May 23, 2022 - June 09, 2022</t>
  </si>
  <si>
    <t>Payment of fuel consumption for the period of June 13-19, 2022 (PGSO)</t>
  </si>
  <si>
    <t>Payment of fuel consumption for the period of June 06-12, 2022 (PGSO)</t>
  </si>
  <si>
    <t>Replenishment of Emergency Purcahses of NBB Patients of JPMH for the period from July 4 - 6, 2022</t>
  </si>
  <si>
    <t>Payment of fuel consumption for the period of June 13-19, 2022 (PNPO)</t>
  </si>
  <si>
    <t>Payment of fuel on different service vehicle used by PIO &amp; PCEDO for the period of June 27-July 3, 2022</t>
  </si>
  <si>
    <t>Reimbursement of Medicines, Supplies, X-ray, &amp; Laboratory Expenses under the PhilHealth No Balance Billing (NBB) of indigent patients in ODH from June 15-22, 2022</t>
  </si>
  <si>
    <t>Replenishment of Revolving Fund for payment of donation to indigent constituents from Province of Bataan (July 15-18)</t>
  </si>
  <si>
    <t xml:space="preserve">Rionica M. Marasigan </t>
  </si>
  <si>
    <t>Payment of her salary as Nursing Attendant I May 1-31, 2022</t>
  </si>
  <si>
    <t xml:space="preserve">Fernaflor Macabulos </t>
  </si>
  <si>
    <t>24,2022 AT MALOLOS, BULACAN</t>
  </si>
  <si>
    <t xml:space="preserve">Lanie B. Legarda </t>
  </si>
  <si>
    <t>DONATION TO NAPOLEON LEGARDA AND LAWRENCE LEGARDA FOR THEIR HOSPITAL BILLS AND MEDICAL NEEDS QR: 0630220001MAR</t>
  </si>
  <si>
    <t xml:space="preserve">Maura M. Capuno </t>
  </si>
  <si>
    <t>DONATION TO PRISCILA CABILES FOR HER HOSPITAL BILL QR: 0701220001MAR</t>
  </si>
  <si>
    <t>Meals for Exit Conference with COA on May 26, 2022</t>
  </si>
  <si>
    <t>Cash Advance for confidential expenses for the period July 20 to August 19 2022</t>
  </si>
  <si>
    <t>1% retention for laboratory reagents for coagulation machine &amp; electrolytes foruse of JCPJMH</t>
  </si>
  <si>
    <t xml:space="preserve">Angeles University Foundation Medical Center, Inc. </t>
  </si>
  <si>
    <t>1% retention of laboratory supplies for use of BCMH</t>
  </si>
  <si>
    <t>1% retention for indoor sticker to be used in PTO</t>
  </si>
  <si>
    <t>Tokens given to various visitorscalling on the Provincial Governor on various occasions &amp; purposes</t>
  </si>
  <si>
    <t>Payment of allowance of the Comelec Field Officers for the month of June 2022</t>
  </si>
  <si>
    <t>1% retention of laboratory supplies for varios of laboratory supplies for various district hospitals &amp; vaccination sites during COVID-19 pandemic</t>
  </si>
  <si>
    <t xml:space="preserve">BNO Medlab Trading </t>
  </si>
  <si>
    <t>Meals incurred during Tribute AVP shooting</t>
  </si>
  <si>
    <t>Lunch and PM Snacks for Malaria Municipal and Hospital Coordinators Meeting on June 13, 2022</t>
  </si>
  <si>
    <t>AM Snacks and Lunch for World Blood Donor Dat Celebration on June 14, 2022</t>
  </si>
  <si>
    <t>AM Snacks and Lunch for Mass Blood Donation on June 14, 2022</t>
  </si>
  <si>
    <t>Parts and labor for the replacement of brake pad and resurface of rotor disc of Toyota Fx A5U228 of PEO owned by the PGB</t>
  </si>
  <si>
    <t>Replacement of defective battery of Nissan Navara F2X614, F2X613 &amp; F2S681 of PEO owned by the Provincial Government of Bataan</t>
  </si>
  <si>
    <t>Parts and labor for the replacement of four (4) pcs of tire 185 R14 8ply for Mitsubishi L-300 prisoners Van B2C684 of BJMP</t>
  </si>
  <si>
    <t>Gang chair four (4) seaters, steel, color black to be used at the SP session hall</t>
  </si>
  <si>
    <t>Letter Head with logo for the used of PSWDO Office</t>
  </si>
  <si>
    <t>Meals for the meetings of different Committees of Sangguniang Panlalawigan on June 15, 2022</t>
  </si>
  <si>
    <t>Materials for repair and maintenance of plumbing and electrical fixtures in various offices under PGB</t>
  </si>
  <si>
    <t>AM Snacks and Lunch for Monitoring and Technical Assistance on Local Health Systems Development on June 17, 2022</t>
  </si>
  <si>
    <t>Meals for the Regular Session of Sangguniang Panlalawigan on June 20, 2022</t>
  </si>
  <si>
    <t>Visit of the delegation from the National Defense College of India on June 08, 2022 at 4th Floor Conference Room, The Bunker</t>
  </si>
  <si>
    <t>Lunch &amp; Snack to be served in the Fisheries Extension Officers meeting to be held on June 16, 2022 at Pantingan, Pilar, Bataan</t>
  </si>
  <si>
    <t>Snacks for visitors of Governor Abet Garcia on June 6,13,20,27,2022</t>
  </si>
  <si>
    <t>Snack s&amp; Lunch to be served in the Local Farmer Technician (LFT) 2nd Quarter meeting to be held on June 24, 2022 at Saguing, Dinalupihan, Bataan</t>
  </si>
  <si>
    <t>Snacks &amp; Lunch to be served in the Municipal Corn &amp; Cassava quarterly meeting to be held to be held on June 30, 2022 at Pantingan, Pilar, Bataan</t>
  </si>
  <si>
    <t xml:space="preserve">Fortune (HongKong) Seafood Restaurant </t>
  </si>
  <si>
    <t>Meals for Ocular Inspection in Bataan Fisherfolk Resettlement on June 07, 2022</t>
  </si>
  <si>
    <t>Snacks for the Bunker Active Shooting Incident Table Top Exercises on 06 June 2022 at 4th Floor Conference Room, The Bunker</t>
  </si>
  <si>
    <t>Parts and labor for the preventive maintenance of Nissan Urvan NAO4141 of Bataan Rehabilitation Center owned by the PGB</t>
  </si>
  <si>
    <t xml:space="preserve">Bataan Tourism Service Centre </t>
  </si>
  <si>
    <t>Parts &amp; Labor for the 70,000 km preventive maintenance Toyota Hilux Ambulance P0M457 of MBDA owned by the Provincial Government of Bataan</t>
  </si>
  <si>
    <t>Meals for Ocular visit w/ DHSUD Central &amp; Region 3 in Fisherfolks Resettlement and Facilities in Bataan on June 7-8, 2022</t>
  </si>
  <si>
    <t>Part &amp; Labor for 70,000km prevent maintenanace check upof Toyota Hilux POA308 of PNP</t>
  </si>
  <si>
    <t xml:space="preserve">JSCT Enterprises </t>
  </si>
  <si>
    <t>Marine Supplies to be used for Provincial Tilapia Hatchery, Pantingan, Pilar, Bataan</t>
  </si>
  <si>
    <t xml:space="preserve">Sanven Medical Enterprises Inc. </t>
  </si>
  <si>
    <t>Medical supplies for the use of Bagac Community and Medicare Hospital</t>
  </si>
  <si>
    <t>Special Sim Card for the used of IP Radio of MBDA</t>
  </si>
  <si>
    <t>Parts and labor for the replacement of four (4) pcs of tires 205/65 R15 to Toyota Innova SLB 225 owned by the PGB</t>
  </si>
  <si>
    <t>Parts &amp; Labor for the 70,000 km preventive maintenance Toyota Hilux P1V505 of MBDA owned by the Provincial Government of Bataan</t>
  </si>
  <si>
    <t>Parts &amp; Labor for the 375,000 km preventive maintenance Toyota Hilux A1Z842 of MBDA owned by the Provincial Government of Bataan</t>
  </si>
  <si>
    <t>PAYMENT FOR PARTS AND LABOR FOR 220,000KM PREVENTIVE MAINTENANCE CHECK-UP OF TOYOTA HILUX P1K862 OF MBDA OWNED BY THE PROVINCIAL GOVERNMENT OF BATAAN</t>
  </si>
  <si>
    <t>Parts and Labor for repair of airconditioner of Toyota Innova SLB-235</t>
  </si>
  <si>
    <t>Materials needed for one year change oil and preventive maintenance of FB L-300 SHS-641, SHS-653 and SHS-787 of PEO owned by the Provincial Government of Bataan</t>
  </si>
  <si>
    <t>Meals for the SK Regular Session on July 06, 2022</t>
  </si>
  <si>
    <t>Meals for the Regular Session of Sangguniang Panlalawigan on May 30, 2022</t>
  </si>
  <si>
    <t>Snack to be served in the Law Enforcement &amp; Partner Agencies meeting to be held on June 28, 2022 at the 4th Floor Bunker Building Balanga City, Bataan</t>
  </si>
  <si>
    <t>Snacks for Beneficiaries of the PGB Medical Assistance Program Implementation on June 17, 2022</t>
  </si>
  <si>
    <t>Replacement of one (1) PC 3SM Battery for Toyota Hiace VQ9940 of SOCO</t>
  </si>
  <si>
    <t xml:space="preserve">JED-M Tires &amp; Batteries &amp; Service Center </t>
  </si>
  <si>
    <t>M TIRES &amp; BATTERIES &amp; SERVICE CENTER - Replacement f defective battery for Toyota Hilux P1P649 of PEO</t>
  </si>
  <si>
    <t>Medical Supplies (BP Apparatus- Pedia) for the use of Mariveles District Hospital.</t>
  </si>
  <si>
    <t>Parts &amp; Labor for 90,000km preventive maintenance check-up of Toyota HI- Ace commuter van VQ9940 of SOCO</t>
  </si>
  <si>
    <t>Emergency purchase of Ceftriaxone 1 gram vial for the use of Orani District Hospital</t>
  </si>
  <si>
    <t>Lightings for the use of ODH</t>
  </si>
  <si>
    <t xml:space="preserve">Crown Royale Hotel &amp; Resort Corporation </t>
  </si>
  <si>
    <t>To provide accommodation for the guests on Nuero Psychiatric Examination of Bataan PPO Personnel on June 15-16, 2022</t>
  </si>
  <si>
    <t>Replacement of defective and alternator assembly for FB L-300 SHS-641 of PEO owned by the Provincial Government of Bataan</t>
  </si>
  <si>
    <t>Parts and Labor for 80000 km preventive maintenance check-up of Toyota FX A5U228 of PEO owned by the Provincial Government of Bataan</t>
  </si>
  <si>
    <t>Replacement of turn signal light to Adventure SHS-907 of PEO owned by the Provincial Government of Bataan</t>
  </si>
  <si>
    <t>Materials needed for the installation of horn for HOWO Cargo Truck I C/O PEO</t>
  </si>
  <si>
    <t>Replacement of 2 units battery of 500KVA Generator set at Mariveles District Hospitals</t>
  </si>
  <si>
    <t>Labor and materials for the repair of airconditioning system of Nissan Navara OV8024 of PEO owned by the Provincial Government of Bataan</t>
  </si>
  <si>
    <t>Cash advance for OT for June 2022</t>
  </si>
  <si>
    <t xml:space="preserve">Ramon Crisolo </t>
  </si>
  <si>
    <t>Payment of his 50% days monetization leave credits</t>
  </si>
  <si>
    <t xml:space="preserve">LKY Resorts and Hotels, Inc. </t>
  </si>
  <si>
    <t>Payment of room accommodation and meals to the oriental for the visitors of Gov. Abet last April 12-13, 2022</t>
  </si>
  <si>
    <t xml:space="preserve">New Ancor Tires &amp; Auto Parts </t>
  </si>
  <si>
    <t>Materials needed for one year change oil/ preventive maintenance of Toyota Innova SJN-645 of PGO owned by the PGB</t>
  </si>
  <si>
    <t>Heavy Duty Mop Squeezer 24 liters for the use of Orani District Hospital</t>
  </si>
  <si>
    <t xml:space="preserve">Mariechelle I. Lazarte </t>
  </si>
  <si>
    <t>DONATION TO NENE ISIDRO FOR HER HOSPITAL BILL AND MEDICAL NEEDS QR: 0715220007</t>
  </si>
  <si>
    <t xml:space="preserve">Severo C. Racca </t>
  </si>
  <si>
    <t>DONATION TO NORA RACCA FOR HER HOSPITAL BILL QR: 0715220009</t>
  </si>
  <si>
    <t xml:space="preserve">Rebith Philippine Therapeutica Community Foundation Inc. </t>
  </si>
  <si>
    <t>DONATION TO JARED NAPIRRE FOR HIS HOSPITAL BILL</t>
  </si>
  <si>
    <t xml:space="preserve">Jamee E. Ruz </t>
  </si>
  <si>
    <t>DONATION TO JAMIE ESPAñOL FOR HIS HOSPITAL BILL QR: 0715220010</t>
  </si>
  <si>
    <t xml:space="preserve">Chiprybelle M. Sulangi </t>
  </si>
  <si>
    <t>DONATION TO NARCY SULANGI FOR HIS HOSPITAL BILL QR: 0715220013</t>
  </si>
  <si>
    <t xml:space="preserve">Gena Q. Austria </t>
  </si>
  <si>
    <t>DONATION TO ALEXANDER AUSTRIA FOR HIS MEDICAL NEEDS QR: 0715220003</t>
  </si>
  <si>
    <t xml:space="preserve">Nikki R. Martin </t>
  </si>
  <si>
    <t>DONATION TO DIOSDADO MARTIN FOR HIS MEDICAL NEEDS QR: 0715220017</t>
  </si>
  <si>
    <t xml:space="preserve">Windelyn C. Tumagoy </t>
  </si>
  <si>
    <t>DONATION TO MICHAEL TUMAGOY FOR HIS BURIAL EXPENSES QR: 0712220009</t>
  </si>
  <si>
    <t xml:space="preserve">Manuel Jr. C. Ignacio </t>
  </si>
  <si>
    <t>DONATION TO HAZEL ANN IGNACIO FOR HER BURIAL EXPENSES QR: 0713220003</t>
  </si>
  <si>
    <t>DONATION TO ALBERTO JAVIER JR. FOR HIS BURIAL EXPENSES QR: 0712220005</t>
  </si>
  <si>
    <t xml:space="preserve">Violeta S. Salenga </t>
  </si>
  <si>
    <t>DONATION TO GREGORIA SALENGA FOR HER BURIAL EXPENSES QR: 0712220003</t>
  </si>
  <si>
    <t xml:space="preserve">Rhea C. Reyes </t>
  </si>
  <si>
    <t>DONATION TO MARIETA REYES FOR HER HOSPITAL BILL QR: 0713220006</t>
  </si>
  <si>
    <t xml:space="preserve">Edna A. Taguinod </t>
  </si>
  <si>
    <t>DONATION TO CLIENT FOR HER HOSPITAL BILL QR: 0713220005</t>
  </si>
  <si>
    <t xml:space="preserve">Edmarc P. Eligan </t>
  </si>
  <si>
    <t>DONATION TO MARILYN ELIGAN FOR HER HOSPITALL BILL QR: 0712220008</t>
  </si>
  <si>
    <t xml:space="preserve">Josephine C. Ramos </t>
  </si>
  <si>
    <t>DONATION TO GEORGE RAMOS FOR HIS HOSPITAL BILL AND MEDICAL NEEDS QR: 0712220012</t>
  </si>
  <si>
    <t xml:space="preserve">Abigael G. Fernandez </t>
  </si>
  <si>
    <t>DONATION TO NORMITA FERNANDEZ FOR HER HOSPITAL BILL QR: 0712220011</t>
  </si>
  <si>
    <t xml:space="preserve">John Kenneth L. Salandanan </t>
  </si>
  <si>
    <t>DONATION TO JUANITO SALNDANAN FOR HIS HOSPITAL BILL QR: 0712220013</t>
  </si>
  <si>
    <t xml:space="preserve">Albert D. Ferma </t>
  </si>
  <si>
    <t>DONATION TO CHRISTINA MAY FERMA AND ALBERT ASHER FERMA FOR THEIR HOSPITAL BILLS QR: 0712220006</t>
  </si>
  <si>
    <t xml:space="preserve">Analiza N. Lacorte </t>
  </si>
  <si>
    <t>DONATION TO NOLY ACE CRUZADA FOR HIS MEDICAL NEEDS QR: 0712220007</t>
  </si>
  <si>
    <t xml:space="preserve">Alvin B. Lozano </t>
  </si>
  <si>
    <t>DONATION TO VIRMARIA LOZANO FOR HER MEDICAL NEEDS QR: 0713220004</t>
  </si>
  <si>
    <t xml:space="preserve">Joehiski de Leon Malasmas </t>
  </si>
  <si>
    <t>DONATION TO CLIENT FOR HIS MEDICAL NEEDS QR: 0712220010</t>
  </si>
  <si>
    <t>Petty Cash fund replenishment for July 12-19, 2022</t>
  </si>
  <si>
    <t xml:space="preserve">Sheila Riza F. Salenga </t>
  </si>
  <si>
    <t>DONATION TO SKYLER ADRIEL DELA ROSA FOR HIS HOSPITAL BILL QR: 0714220005</t>
  </si>
  <si>
    <t xml:space="preserve">James B. Quizon </t>
  </si>
  <si>
    <t>DONATION TO ALEXANDER QUIZON FOR HIS HOSPITAL BILL QR: 0715220011</t>
  </si>
  <si>
    <t xml:space="preserve">Franchesca Nathalie D. Basilio </t>
  </si>
  <si>
    <t>DONATION TO NARLYN BASILIO FOR HER HOSPITAL BILL QR: 0715220001</t>
  </si>
  <si>
    <t xml:space="preserve">Fe E. Dela Peña </t>
  </si>
  <si>
    <t>DONATION TO MERCEDITA EVANGELISTA FOR HER HOSPITAL BILL AND MEDICAL NEEDS QR: 0714220007</t>
  </si>
  <si>
    <t xml:space="preserve">Melver J. Moleño </t>
  </si>
  <si>
    <t>DONATION TO ANNALIZA MOLEñO FOR HER HOSPITAL BILL QR: 0715220002</t>
  </si>
  <si>
    <t xml:space="preserve">Em Em Y. Marquez </t>
  </si>
  <si>
    <t>DONATION TO DANILO MARQUEZ FOR HIS HOSPITAL BILL QR: 0714220008</t>
  </si>
  <si>
    <t xml:space="preserve">Neilsen C. Esconde </t>
  </si>
  <si>
    <t>DONATION TO NATHANAEL ESCONDE FOR HIS MEDICAL NEEDS QR: 0714220009</t>
  </si>
  <si>
    <t xml:space="preserve">Rebecca A. Hernandez </t>
  </si>
  <si>
    <t>DONATION TO CLIENT FOR HER MEDICAL NEEDS QR: 0715220004</t>
  </si>
  <si>
    <t xml:space="preserve">Maricel de Guzman Diones </t>
  </si>
  <si>
    <t>DONATION TO CHARLES DENVER DIONES FOR HIS MEDICAL NEEDS QR: 0715220008</t>
  </si>
  <si>
    <t xml:space="preserve">Kaycee P. Garcia </t>
  </si>
  <si>
    <t>DONATION TO OFELIA PEREY FOR HER BURIAL EXPENSES QR: 0713220002</t>
  </si>
  <si>
    <t>DONATION TO JERRY CAñON FOR HIS BURIAL EXPENSES</t>
  </si>
  <si>
    <t xml:space="preserve">Teresita V. Vinegas </t>
  </si>
  <si>
    <t>DONATION TO ZENAIDA VINEGAS FOR HER HOSPITAL BILL QR: 0714220006</t>
  </si>
  <si>
    <t xml:space="preserve">Glenda M. Abadejos </t>
  </si>
  <si>
    <t>DONATION TO EDUARDO ABADEJOS FOR HIS HOSPITAL BILL QR: 00714220001</t>
  </si>
  <si>
    <t xml:space="preserve">Rose Anne T. Barlin </t>
  </si>
  <si>
    <t>DONATION TO PRISCBARLIN AND JEANNE GABRIELA DELA CRUZ FOR THEIR HOSPITAL BILLS AND MEDICAL NEEDS QR: 0713220001</t>
  </si>
  <si>
    <t xml:space="preserve">Cecilia S. Reyes </t>
  </si>
  <si>
    <t>DONATION TO PABLITO REYES FOR HIS HOSPITAL BILL QR: 0714220004</t>
  </si>
  <si>
    <t xml:space="preserve">Symon Ray B. Tutol </t>
  </si>
  <si>
    <t>DONATION TO SONIA TUTOL FOR HER HOSPITAL BILL QR: 0714220003</t>
  </si>
  <si>
    <t xml:space="preserve">Lolita H. Bugay </t>
  </si>
  <si>
    <t>DONATION TO REYNALDO HERNANDEZ FOR HIS HOSPITAL BILL AND MEDICAL NEEDS QR: 0708220003</t>
  </si>
  <si>
    <t xml:space="preserve">Maria Q. Desamito </t>
  </si>
  <si>
    <t>DONATION TO ARNOLD DESAMITO FOR HIS HOSPITAL BILL QR: 0712220001</t>
  </si>
  <si>
    <t>To transfer of funds from PGB General Fund DBP account to General Fund LBP for loans and payrolls</t>
  </si>
  <si>
    <t>Replenishment of Revolving Fund for payment of donation to indigent constituents from Province of Bataan (July 19-20)</t>
  </si>
  <si>
    <t xml:space="preserve">Armando III. C Reyes </t>
  </si>
  <si>
    <t>DONATION TO JOHN MARC REYES FOR HIS MEDICAL NEEDS QR: 0714220002</t>
  </si>
  <si>
    <t xml:space="preserve">Rossana P. Verdida </t>
  </si>
  <si>
    <t>Payment of her traspo allowance and per diem for the particular Activity</t>
  </si>
  <si>
    <t>Payment of fuel on different service vehicle used by PNP, Tourism, OPA, PPDO &amp; PHO for the period of June 27-JUly 23 2022</t>
  </si>
  <si>
    <t>Payment of Donation to Bataan Crime Lab for their Administrative and Operational Expenses for June 16 - July 15, 2022</t>
  </si>
  <si>
    <t>Payment of fuel consumption for the period of June 20-26, 2022 (LEGAL)</t>
  </si>
  <si>
    <t>Payment of fuel on different service vehicle used by SOCO, OPA, BJMP-Male, PIO, PNP, PDRRMO &amp; Tourism for the period of June 20-26, 2022</t>
  </si>
  <si>
    <t>Payment for TextBlast Subscription for the use for information dessemination of Covid19 programs for Bataan Province for the month of June 2022</t>
  </si>
  <si>
    <t>Cash advance of cash prizes for daily and grand draw for " Bakunahan Bayanihan sa Barangay: Panalo ang Bakunado at Boosted na Bataeño on July 20-23 &amp; 25, 2022</t>
  </si>
  <si>
    <t>Payment of Overtime Pay for the month of June, 2022</t>
  </si>
  <si>
    <t>Payment of honorarium for the month of June 2022</t>
  </si>
  <si>
    <t>Payment of Honorarium for the month of June 2022</t>
  </si>
  <si>
    <t>Payment of fuel consumption for the period of June 27-July 03, 2022 (PGO)</t>
  </si>
  <si>
    <t>Payment of telephone bill for hotline 911/653746601, 1Bataan Command Center/ MBDA Office for the month period up to April 17, 2022 to May 16-17, 2022 to June16, 2022 and June 17 to July 16, 2022</t>
  </si>
  <si>
    <t xml:space="preserve">Arnold O. Operio </t>
  </si>
  <si>
    <t>Donation for and in behalf of the deceased Barangay Tanod Perfecto O. Operio of Barangay Sapa, Samal, Bataan</t>
  </si>
  <si>
    <t xml:space="preserve">Sangguniang Kabataan Federation City of Balanga </t>
  </si>
  <si>
    <t>SUBSIDY TO SANGGUNIANG KABATAAN FEDERATION CITY OF BALANGA FOR THEIR SK INTER-BARANGAY BASKETBALL LEAGUE 2022</t>
  </si>
  <si>
    <t>Reimbursement re: Samahan ng taong may kapansanan sa Bataanm CBR. Inc. (SATAMAKABA) Transporatation Allowance in their attendance to the regular meeting dated July 12, 2022</t>
  </si>
  <si>
    <t>Payment of fuel consumption for the period of June 13-19, 2022 (PNP)</t>
  </si>
  <si>
    <t>Office Supplies for the used of PHRMO</t>
  </si>
  <si>
    <t>Philippine flag for Bataan Day Commemoration 2022 from March 28 to April 9, 2022</t>
  </si>
  <si>
    <t>Other machinery and equipment for 1Bataan Studio and Live Streaming of the Provincial Government of Bataan</t>
  </si>
  <si>
    <t>Printing of Tarpaulin for Kalusugan hatid sa katutubong kapatid (KKK)</t>
  </si>
  <si>
    <t>Sound System Equipment to be used at PGB-SAP 1Bataan Malasakit Dialysis Assistance Office (Mariveles)</t>
  </si>
  <si>
    <t>Billboard tarpaulin for promotional material of VISITA APP for the Province of Bataan`</t>
  </si>
  <si>
    <t>Tarpaulin for the Araw ng Kalayaan 2022</t>
  </si>
  <si>
    <t>Reimbursement of Parts and labor for the replacement of brake pads of Ford Everest IP - 1451 c/o BM Romano L. Del Rosario</t>
  </si>
  <si>
    <t>Ink for the use of 2nd District Congressional Office</t>
  </si>
  <si>
    <t>Additional Purchase of Plaque for the used of PHO for Vaccination Program on fight against Covid-19 Awarding Ceremony on April 25, 2022</t>
  </si>
  <si>
    <t>Replenishment of 3SM Battery of Ambulance VF-1701 for the use of ODH</t>
  </si>
  <si>
    <t>Parts and Labor for the 335,000km maintenance of Toyota Hilux A2T253 of MBDA</t>
  </si>
  <si>
    <t>Printing of Handbooks use during the Incident Command System Training (Training for Instructor) on April 17-22, 2022</t>
  </si>
  <si>
    <t>Additional Tokens to be used for the 2022 Population and Development Summit and Recognition of The Outstanding population Structure (TOPS)2021 Municipal Category in Region III on April 25,2022</t>
  </si>
  <si>
    <t xml:space="preserve">Melcris Almario </t>
  </si>
  <si>
    <t>Payment of MNAO Allowance for January-June 2022</t>
  </si>
  <si>
    <t>Payment of Electric Bill of 1Bataan Command Center, Orani For the month of June, 2022</t>
  </si>
  <si>
    <t>Payment of meals to marivent resort hotel incurred for the visitors of Governor Albert S. Garcia on May 22-26, 2022</t>
  </si>
  <si>
    <t xml:space="preserve">Rosemarie Matacot </t>
  </si>
  <si>
    <t>Parts &amp; Labor for the 70,000 km preventive maintenance Toyota Hilux P2F782 of MBDA owned by the Provincial Government of Bataan</t>
  </si>
  <si>
    <t>Printing Tarpaulin for the use of PHO-Tobacco Control Program to be distributed provincewide</t>
  </si>
  <si>
    <t xml:space="preserve">Noemi Guinto </t>
  </si>
  <si>
    <t xml:space="preserve">Dolores Mangulabnan </t>
  </si>
  <si>
    <t xml:space="preserve">Kathleen Tungol </t>
  </si>
  <si>
    <t xml:space="preserve">Mary Grace Heredia </t>
  </si>
  <si>
    <t xml:space="preserve">Ma. Thea Dondonayos </t>
  </si>
  <si>
    <t xml:space="preserve">Krischell Joy Tuazon </t>
  </si>
  <si>
    <t xml:space="preserve">Lorena Dizon </t>
  </si>
  <si>
    <t xml:space="preserve">Catherine Magsino </t>
  </si>
  <si>
    <t xml:space="preserve">Cristina Espino </t>
  </si>
  <si>
    <t>Payment for Mobile Expenses for the Covered Period of June 1-30, 2022 Account # 0806416150</t>
  </si>
  <si>
    <t>Payment for Mobile Expenses for the Covered Period of June 1-30, 2022 Account # 1057156186</t>
  </si>
  <si>
    <t>Payment for Mobile Expenses for the Covered Period of June 1-30, 2022 Account # 1057146687</t>
  </si>
  <si>
    <t>Payment for Mobile Expenses for the Covered Period of June 1-30, 2022 Account # 0792238092</t>
  </si>
  <si>
    <t>Payment of Internet Subscription to PLDT under Billing Account 657777803 for the period of June 17 - July 16, 2022 for the use of MDH</t>
  </si>
  <si>
    <t>Payment for Mobile Expenses for the Covered Period of June 1-30, 2022 Account # 0800283558</t>
  </si>
  <si>
    <t>Reimbursement of Snacks, meals &amp; drinks during various meeting</t>
  </si>
  <si>
    <t>Payment of telephone bill for Hotline 047-613-8888/652661831, 1Bataan Command Center/ MBDA Office for the month period up to April 17, 2022 to May 16-17, 2022 to June16, 2022 and June 17 to July 16, 2022</t>
  </si>
  <si>
    <t>Replenishment of Emergency Purchases of NBB Patients of JPMH for the period from July 7 - 11, 2022</t>
  </si>
  <si>
    <t>Replenishment of cash advance for emergency purchases of JPMH from July 6 - 12, 2022</t>
  </si>
  <si>
    <t>Replenishment of Emergency purchases of NBB Patients of JPMH for the period from July 12 - 14, 2022</t>
  </si>
  <si>
    <t>Replenishment of cash advance to defray payment of Daily Market Purchase from July 7-12, 2022</t>
  </si>
  <si>
    <t xml:space="preserve">Jocelyn Mañalac </t>
  </si>
  <si>
    <t>Payment for the internet subscription for the period covered from July 1-31, 2022</t>
  </si>
  <si>
    <t>Payment of water bill for 1Bataan Malasakit Dialysis Ctr. For the month of June 2022</t>
  </si>
  <si>
    <t>Replenishment for purchase of JPMH for the period of July 1-11, 2022</t>
  </si>
  <si>
    <t>Replenishment of Miscellaneous Expenses of MDH used for Covid-19 for the period of June 20-27, 2022</t>
  </si>
  <si>
    <t>Replenishment for market purchase of MDH for the period of June 25 - July 07, 2022</t>
  </si>
  <si>
    <t>Replenishment Miscellaneous Expenses of MDH used for COVID19 for the period of June 03-20, 2022</t>
  </si>
  <si>
    <t>Payment of Internet Subscription and Telephone Subscription to PLDT for the period of June 17 - July 16,2022</t>
  </si>
  <si>
    <t>Payment of internet connection of BCMH fo the billing period of June 30 to July 29, 2022</t>
  </si>
  <si>
    <t>Payment of fuel consumption for the period of June 27-July 03, 2022 (MBDA)</t>
  </si>
  <si>
    <t>Payment of Entrance fee ( Day Tour) incurred for visitors of Governor Joet Garcia from PPP Center)</t>
  </si>
  <si>
    <t xml:space="preserve">Angeline Ol. Lara </t>
  </si>
  <si>
    <t>Reimbursement for the Facebook promotion/boosting of short film contest announcements Feb 17,20,26, 2022 Pandemic Response AVP - April 20-21,2022 &amp; Social Services AVP - May 5-9, 2022</t>
  </si>
  <si>
    <t>Payment of meals incurred for the guest of Gov. Albert Garcia</t>
  </si>
  <si>
    <t>Payment of Water bill for Bataan Tricycle terminal, Balanga City for the month of June 2022</t>
  </si>
  <si>
    <t>Payment of fuel consumption for the period of June 20-26, 2022 (PEO)</t>
  </si>
  <si>
    <t>Payment of fuel consumption for the period of June 27- July 3, 2022 (PEO)</t>
  </si>
  <si>
    <t>Payment of fuel consumption for the period of July 04-10, 2022 (MBDA)</t>
  </si>
  <si>
    <t xml:space="preserve">Glenn Joseph L. Abella </t>
  </si>
  <si>
    <t>DONATION TO ERNESTO ABELLA FOR HIS BURIAL EXPENSES QR: 0719220012</t>
  </si>
  <si>
    <t xml:space="preserve">Eufracia S. Bumagat </t>
  </si>
  <si>
    <t>/DONATION TO ORLANDO BUMAGAT FOR HIS BURIAL EXPENSES QR: 0719220005</t>
  </si>
  <si>
    <t xml:space="preserve">Josieline S. Nuguid </t>
  </si>
  <si>
    <t>DONATION TO MARILOU SOBREVIñAS FOR HER BURIAL EXPENSES QR: 0719220001</t>
  </si>
  <si>
    <t xml:space="preserve">Ronnel C. Magpantay </t>
  </si>
  <si>
    <t>DONATION TO REBECCA MAGPANTAY FOR HER HOSPITAL BILL QR: 0719220010</t>
  </si>
  <si>
    <t xml:space="preserve">Mayflor P. Mallari </t>
  </si>
  <si>
    <t>DONATION TO FLORINA MALLARI FOR HER HOSPITAL BILL QR: 0719220007</t>
  </si>
  <si>
    <t xml:space="preserve">Jasmin F. Lapidario </t>
  </si>
  <si>
    <t>DONATION TO FERNANDO FLORES FOR HIS HOSPITAL BILL QR: 0718220006</t>
  </si>
  <si>
    <t xml:space="preserve">Jeremy Ann A. Teopengco </t>
  </si>
  <si>
    <t>DONATION TO JEREMY CHASE TEOPENGCO FOR HIS MEDICAL NEEDS QR: 0719220011</t>
  </si>
  <si>
    <t xml:space="preserve">Nanette O. De Leon </t>
  </si>
  <si>
    <t>DONATION TO SHIELA MAE UDTOJAN FOR HER MEDICAL NEEDS QR: 0719220008</t>
  </si>
  <si>
    <t xml:space="preserve">Alita V. Mondia </t>
  </si>
  <si>
    <t>DONATION TO ROGER MONDIA FOR HIS BURIAL EXPENSES QR: 0718220014</t>
  </si>
  <si>
    <t xml:space="preserve">Reynaldo E. Zabala </t>
  </si>
  <si>
    <t>DONATION TO NICASIO ZABALA FOR HIS BURIAL EXPENSES QR: 0715220006</t>
  </si>
  <si>
    <t xml:space="preserve">Dolores B. De Guzman </t>
  </si>
  <si>
    <t>DONATION TO ROSA LEE GARCIA FOR HER HOSPITAL BILL QR: 0718220002</t>
  </si>
  <si>
    <t xml:space="preserve">James Matthew V. Domingo </t>
  </si>
  <si>
    <t>DONATION TO SHIRLEY VILLAZOR FOR HER HOSPITAL BILL QR: 0718220004</t>
  </si>
  <si>
    <t xml:space="preserve">Nicole D. Diaz </t>
  </si>
  <si>
    <t>DONATION TO CLIENT AND NADIA DIAZ FOR THEIR HOSPITAL BILL QR: 0718220007</t>
  </si>
  <si>
    <t xml:space="preserve">Lorna P. Bantog </t>
  </si>
  <si>
    <t>DONATION TO JOMAR BANTOG FOR HIS HOSPITAL BILL QR: 0718220009</t>
  </si>
  <si>
    <t>DONATION TO MARK RONALD ATIENZA FOR HIS HOSPITAL BILL</t>
  </si>
  <si>
    <t xml:space="preserve">Daniel L. Chiuco </t>
  </si>
  <si>
    <t>DONATION TO HERMINIA CHIUCO FOR HER HOSPITAL BILL QR: 0718220013</t>
  </si>
  <si>
    <t xml:space="preserve">Mahrife G. Lazo </t>
  </si>
  <si>
    <t>DONATION TO FELIMON LAZO JR. FOR HIS HOSPITAL BILL AND PROFESSIONAL FEE QR: 0718220012</t>
  </si>
  <si>
    <t xml:space="preserve">Romeo Jr. R. Cabalagnan </t>
  </si>
  <si>
    <t>DONATION TO ROMEO CABALAGNAN SR. FOR HIS HOSPITAL BILL QR: 0718220003</t>
  </si>
  <si>
    <t xml:space="preserve">Ruby P. Brioso </t>
  </si>
  <si>
    <t>DONATION TO DOMINGO JR. BRIOSO FOR HIS MEDICAL NEEDS QR: 0718220005</t>
  </si>
  <si>
    <t xml:space="preserve">Olivia S. Gabriel </t>
  </si>
  <si>
    <t>DONATION TO ELENA DONES FOR HER MEDICAL NEEDS QR: 0718220010</t>
  </si>
  <si>
    <t xml:space="preserve">Romielyn C. Cruz </t>
  </si>
  <si>
    <t>DONATION TO RODEL CRUZ FOR HIS MEDICAL NEEDS QR: 0715220015</t>
  </si>
  <si>
    <t>Replenishment of Miscellaneous of MDH used for Covid-19 for the period of June 24-July 02, 2022</t>
  </si>
  <si>
    <t>Replenishment of Emergency Purchases of NBB Patients of JPMH for the period from July 15 - 18, 2022</t>
  </si>
  <si>
    <t>Payment of fuel consumption for the period of May 30-June 05, 2022 (MDH)</t>
  </si>
  <si>
    <t>Meals and Snack to be served during the conduct of Mangrove Development Program On May 4,5,6 and 18, 2022</t>
  </si>
  <si>
    <t>Snacks to be served during the conduct of Mangrove Planting Orientation on May 2, 2022</t>
  </si>
  <si>
    <t>Printing of Tarpaulin use during the Incident Command System Training (Training for Instructor) on April 17-22, 2022</t>
  </si>
  <si>
    <t>Replenishment of revolving fund for payment of donations of indigents constituents in the province of bataan</t>
  </si>
  <si>
    <t>Cash advance of cash prizes for grand draw for "Bakunahan sa Barangay: Panalo and Bakunado at Boosted na Bataeño on July 25, 2022</t>
  </si>
  <si>
    <t>Parts &amp; Labor or the 130,000km preventive maintenance Check-up of Ford Everest IO-9548</t>
  </si>
  <si>
    <t>Parts and Labor for the 40,000 km preventive maintenance for HIACE Commuter VAN P7L132 for the use of PHO</t>
  </si>
  <si>
    <t>Parts &amp; labor for the replacement of compressor of Mitsubishi FB L300 B8-S852 of MBDa</t>
  </si>
  <si>
    <t>Replacement of transmission parts, tail light &amp; corner light assy of Manlift RJT - 101 of PEO owned by the Provincial Government of Bataan</t>
  </si>
  <si>
    <t>Materials needed for one (1 ) year change oil and preventive maintenance of Toyota Hilux SHJ-698 of PEO owned by the Provincial Government of Bataan</t>
  </si>
  <si>
    <t xml:space="preserve">Regina Valencia Lakrini </t>
  </si>
  <si>
    <t>LAKRINIDonation to Regina Valencia Lakrini for the financial assistance of her Daughter Annalena Lakrini as one of the official candidate of 2022 Binibining Pilipinas on July 31, 2022</t>
  </si>
  <si>
    <t xml:space="preserve">Atty. Mark Lorenz C. Queon, Secretary to the SP </t>
  </si>
  <si>
    <t>Payment of his clothing allowance</t>
  </si>
  <si>
    <t>Replenishment of Medicines, Supplies, X-ray, &amp; Laboratory Expenses under the Philhealth No Balance Billing (NBB) of indigent patients in ODH from June 11-14 nad June 23- July 4, 2022</t>
  </si>
  <si>
    <t>Payment of fuel consumption for the period of May 23-29, 2022 (MDH)</t>
  </si>
  <si>
    <t>Payment of fuel consumption for the period of July 04-10, 2022 (PGO)</t>
  </si>
  <si>
    <t xml:space="preserve">Rafael P. Miranda </t>
  </si>
  <si>
    <t>DONATION TO ROLANDO MIRANDA FOR HIS BURIAL EXPENSES QR: 0720220014</t>
  </si>
  <si>
    <t xml:space="preserve">Mario P. Digiya </t>
  </si>
  <si>
    <t>DONATION TO KENNETH DIGIYA FOR HER HOSPITAL BILL QR: 0720220004</t>
  </si>
  <si>
    <t xml:space="preserve">Janine P. dela Cruz </t>
  </si>
  <si>
    <t>DONATION TO RIZ ALSIEL DELA CRUZ FOR HIS HOSPITAL BILL QR: 0720220007</t>
  </si>
  <si>
    <t xml:space="preserve">Mila D. Fronda </t>
  </si>
  <si>
    <t>DONATION TO ROSALINA FRONDA FOR HER HOSPITAL BILL QR: 0720220005</t>
  </si>
  <si>
    <t>DONATION TO RENATO RINGOR FOR HIS HOSPITAL BILL QR: 0720220001</t>
  </si>
  <si>
    <t xml:space="preserve">Nolasco S. Waje </t>
  </si>
  <si>
    <t>DONATION TO FLORDELIZA WAJE FOR HER HOSPITAL BILL QR: 0720220002</t>
  </si>
  <si>
    <t xml:space="preserve">Rohammah Londa T. Guzman </t>
  </si>
  <si>
    <t>DONATION TO AZUCENA GUZMAN FOR HER HOSPITAL BILL QR: 0720220010</t>
  </si>
  <si>
    <t xml:space="preserve">Janet A. Bautista </t>
  </si>
  <si>
    <t>DONATION TO CLIENT FOR HER HOSPITAL BILL QR: 0720220013</t>
  </si>
  <si>
    <t xml:space="preserve">Eric V. La Purisima </t>
  </si>
  <si>
    <t>DONATION TO CLIENT FOR HIS MEDICAL NEEDS QR: 0720220003</t>
  </si>
  <si>
    <t>Payment for the funeral services rendered under the Libreng Libing Program for the period June 5 and 10, 2022</t>
  </si>
  <si>
    <t xml:space="preserve">G-Well General Merchandise </t>
  </si>
  <si>
    <t>Well General Merchandise- Addition of copper piping for 6 units split type aircon of Mariveles District Hospital based Temporary Treatment and Monitoring (CVID-19) Facility</t>
  </si>
  <si>
    <t>Laboratory Supplies (REAGENTS) for the use Mariveles District Hospital</t>
  </si>
  <si>
    <t>Wireless Headset for the use of Emergency Operation Center at 1Bataan Command Center</t>
  </si>
  <si>
    <t>Additional Printing of stickers on sintra board for BPML: Battle of Bataan Gallery</t>
  </si>
  <si>
    <t>Medical Supplies (Oxygen) for the use of Mariveles District Hospital</t>
  </si>
  <si>
    <t>Other office supplies and materials needed in the showroom of AFAB Township</t>
  </si>
  <si>
    <t>DSLR Camera to be used at PGB-SAP 1Bataan Malasakit Dialysis Assistance Office (Mariveles)</t>
  </si>
  <si>
    <t>Parts and labor replace the defective parts assigned to the Office of the Governor 2021 / HIACE Commuter Deluxe 2.8l with Conduction Sticker S2Q208</t>
  </si>
  <si>
    <t>Materials for the maintenance of PGB owned buildings (termite control for wooden parts of PGB owned buildings)</t>
  </si>
  <si>
    <t>AN'S ENTERPRISES - Medical and Laboratory supplies (reagent and control) MDH</t>
  </si>
  <si>
    <t>Replacement of defective parts of the vehicles assigned to the office of the governor namely out Toyota Innova with plate Number SFY-284</t>
  </si>
  <si>
    <t>Materials for the Repair and Maintenance of Offices under Provincial Government of Bataan (PGB) - National Bureau of Investigation (NBI) District Office, Command Center, Orani, Bataan</t>
  </si>
  <si>
    <t>Parts and replacement for Toyota Ambulance P1 A213 for the use of BCMH</t>
  </si>
  <si>
    <t xml:space="preserve">Anacel R. Ramos </t>
  </si>
  <si>
    <t>Cash advance for parts &amp; labor Preventive Maintenance for 20,000 km check - up of Nissan Ambulance F4D127 of ODH</t>
  </si>
  <si>
    <t xml:space="preserve">Barangay Treasurer - Alangan, Limay, Bataan </t>
  </si>
  <si>
    <t>ALANGAN LIMAY BATAAN- Subsidy for their Skills Enhancement Seminar on Brgy. Development Planning and Budgeting Cum Team Building on July 27 to 28, 2022</t>
  </si>
  <si>
    <t>Payment of vehicle insurance for eleven (11) units service vehicle owned by PGB.</t>
  </si>
  <si>
    <t xml:space="preserve">K &amp; A2 Paint and Body Works </t>
  </si>
  <si>
    <t>Payment of Participation fee for the repair of service vehicle with Conduction sticker no. A5X468</t>
  </si>
  <si>
    <t>Replenishment of cash advance to defray payment of Daily Market Purchase from July 13-19, 2022</t>
  </si>
  <si>
    <t>Payment of Electric Bill of PGSO Checkpoint Brgy. Roosevelt, Dinalupihan for the month of June 2022</t>
  </si>
  <si>
    <t>Payment of Electric Bill of PGSO Checkpoint Brgy. Tucop, Dinalupihan for the month of June 2022</t>
  </si>
  <si>
    <t>Payment of Electric Bill of BJMP, Orani, Bataan for the month of June, 2022</t>
  </si>
  <si>
    <t>Payment of Electric Bill of Balanga Tricycle Terminal, Roman Hi-way, Balanga City for the month of April - June 2022</t>
  </si>
  <si>
    <t>Payment of fuel consumption for the period of June 27-July 03, 2022 (BCMH)</t>
  </si>
  <si>
    <t>Reimbursement for payment of mobile expense for the month of March to June 2022</t>
  </si>
  <si>
    <t xml:space="preserve">Austin V. Diego </t>
  </si>
  <si>
    <t>Payment of fuel consumption for the period of June 20- July 01, 2022 (COA)</t>
  </si>
  <si>
    <t>Payment of fuel consumption for the period of June 20-26, 2022 (PGSO)</t>
  </si>
  <si>
    <t>Payment of Electric Bill of JPMH for the month of June, 2022</t>
  </si>
  <si>
    <t>Reimbursement of assorted materials for the installation of water system at the Provincial Evacuation Center</t>
  </si>
  <si>
    <t>Reimbursement of Parts and labor for the replacement of pump windshield washer to Ford Everest C1-T417 c/o BM Precious D. Manuel</t>
  </si>
  <si>
    <t>Reimbursement of gasoline expenses of JPMH period from June 24 to 30, 2022</t>
  </si>
  <si>
    <t>Reimbursement of gasoline expenses of JPMH for the period from July 1-10, 2022</t>
  </si>
  <si>
    <t>Payment for the funeral services under the Libreng Libing Program for the period April 28, May11-23, June 5-8, 2022</t>
  </si>
  <si>
    <t>Parts &amp; Labor for the replacement of alternator assy. of Toyota Hilux VR5847 of MBDA owned by the Provincial Government of Bataan</t>
  </si>
  <si>
    <t xml:space="preserve">Mc Bombeth's Flower Shop </t>
  </si>
  <si>
    <t>Wreath for the Araw ng Kalayaan 2022</t>
  </si>
  <si>
    <t>Flourescent Tube for the use of COA</t>
  </si>
  <si>
    <t>Furniture and fixtures for 1Bataan Studio of the Provincial Government of Bataan</t>
  </si>
  <si>
    <t>Office supplies for the use of PPDO</t>
  </si>
  <si>
    <t xml:space="preserve">GE-Channel Enterprise </t>
  </si>
  <si>
    <t>Computer supplies / accessories for the use of the Provincial Assessor's Office</t>
  </si>
  <si>
    <t>Room accommodation for the billeting of the ten guests for the PNP Directorate for Research and Development Task Force "Tamang Bihis" Field Visitation on June 16, 2022</t>
  </si>
  <si>
    <t>Foods to be served for the Pre - Marriage Orientation and Counselling Teams (PMOC) Semi - Annual Meeting on June 22, 2022</t>
  </si>
  <si>
    <t>UPS for 2nd Quarter for the use of PPDO</t>
  </si>
  <si>
    <t>Parts &amp; Labor for the 120,000 km preventive maintenance Toyota Hiace Ambulance VV6432 of MBDa owned by the Provincial Government of Bataan</t>
  </si>
  <si>
    <t>Parts &amp; Labor for the 85,000km preventive maintenance check up of Ambulance P0Q620 of JPMH, Dinalupihan Bataan</t>
  </si>
  <si>
    <t>Replacement of Battery 3SM for Nissan Ambulance OW-3902 of JPMH Dinalupihan, Bataan</t>
  </si>
  <si>
    <t xml:space="preserve">Wyn's Gen Manpower Service and Enterprises Co. </t>
  </si>
  <si>
    <t>Parts and labor for the replacement of four ( 4 ) pcs. of tire 205/65 R15 for Toyota Innova SHJ-973 of PEO owned by the Provincial Government Of Bataan</t>
  </si>
  <si>
    <t>One (1) unit Air cooler 4 in 1 to be used at the Sangguniang Panlalawigan Session Hall</t>
  </si>
  <si>
    <t>Purchase of materials needed for preventive maintenance of Toyota Innova SJA-845</t>
  </si>
  <si>
    <t>Parts &amp; Labor for the 110,000 km preventive maintenance Toyota Hiace Ambulance VV6467 of MBDA owned by the Provincial Government of Bataan</t>
  </si>
  <si>
    <t>Riso Ink Riso Master for the use of PGSO</t>
  </si>
  <si>
    <t xml:space="preserve">Alexander M. Baluyot </t>
  </si>
  <si>
    <t>Reimbursement for the amount paid for printing Detailed Engineering Design for the PRDP subject Construction of Multi-Commodity Solar Tunnel Dryers</t>
  </si>
  <si>
    <t xml:space="preserve">Sanven Medical Enterprises, Inc. </t>
  </si>
  <si>
    <t>Drugs and medicines of Orani District Hospital</t>
  </si>
  <si>
    <t>Payment of measl accommodation to LKY Resorts and Hotels, INC. (Oriental Hotel) for the visitors of Gov. Albert S. Garcia from Bataan Human Settlement Office Last July 1, 2022</t>
  </si>
  <si>
    <t xml:space="preserve">Alma O. Alba </t>
  </si>
  <si>
    <t>DONATION TO ALEXA GABRIEL ALBA FOR HER BURIAL EXPENSES QR: 0719220003</t>
  </si>
  <si>
    <t>Cash advance for Cash Prizes and Honorarium Re: Provincial Celebration of Nutrition Month on July 29, 2022</t>
  </si>
  <si>
    <t xml:space="preserve">Ma. Gemma Angela D. Chiuco </t>
  </si>
  <si>
    <t>DONATION TO ANGELA CRUZ FOR HER BURIAL EXPENSES QR: 0721220006</t>
  </si>
  <si>
    <t xml:space="preserve">Fely C. Mariano </t>
  </si>
  <si>
    <t>DONATION TO JUAN GABRIEL MARIANO FOR HIS HOSPITAL BILL QR: 0721220008</t>
  </si>
  <si>
    <t xml:space="preserve">Jaybee Jones B. Isidro </t>
  </si>
  <si>
    <t>DONATION TO SHIERA MAE ISIDRO, JAMES CAIDEN ISIDRO AND JAMES AIDEN ISIDRO FOR THEIR HOSPITAL BILLS</t>
  </si>
  <si>
    <t xml:space="preserve">Marianne M. Benedicto </t>
  </si>
  <si>
    <t>DONATION TO NICK MENDOZA FOR HIS HOSPITAL BILL QR: 0721220017</t>
  </si>
  <si>
    <t xml:space="preserve">Maria Elisa F. Magtoto </t>
  </si>
  <si>
    <t>DONATION TO DENNIS DE GUZMAN FOR HIS HOSPITAL BILL AND MEDICAL NEEDS QR: 0721220001</t>
  </si>
  <si>
    <t xml:space="preserve">Efren S. Malabanan </t>
  </si>
  <si>
    <t>DONATION TO RAYMUNDA MALABANAN FOR HER HOSPITAL BILL QR: 0721220011</t>
  </si>
  <si>
    <t xml:space="preserve">Royland D. Quicho </t>
  </si>
  <si>
    <t>DONATION TO CLIENT FOR HIS HOSPITAL BILL QR: 0721220012</t>
  </si>
  <si>
    <t xml:space="preserve">Jenifer G. Tuddao </t>
  </si>
  <si>
    <t>DONATION TO THE CLIENT FOR HER MIDICAL NEEDS QR: 0721220005</t>
  </si>
  <si>
    <t xml:space="preserve">Margie M. Arpilleda </t>
  </si>
  <si>
    <t>DONATION TO MA. VICTORIA TOLOSA FOR HER MEDICAL NEEDS QR: 0721220013</t>
  </si>
  <si>
    <t xml:space="preserve">Madonna P. Tripon </t>
  </si>
  <si>
    <t>DONATION TO LIBRADA TRIPON FOR HER MEDICAL NEEDS QR: 0721220010</t>
  </si>
  <si>
    <t xml:space="preserve">Rachell Y. Corpuz </t>
  </si>
  <si>
    <t>DONATION TO PRICILA CORPUZ FOR HER HOSPITAL BILL QR: 0720220009</t>
  </si>
  <si>
    <t xml:space="preserve">Danilo P. Garcia </t>
  </si>
  <si>
    <t>DONATION TO DAN GARCIA FOR HIS HOSPITAL BILL QR: 0720220006</t>
  </si>
  <si>
    <t>Replenishment for market purchase of JPMH for the period of July 12 to 21, 2022</t>
  </si>
  <si>
    <t>Payment of fuel consumption for the period of June 27- July 3, 2022 (LEGAL)</t>
  </si>
  <si>
    <t>Payment of fuel consumption for the period of July 04-10, 2022 (COA)</t>
  </si>
  <si>
    <t>Reimbursement of the amount paid for fuel consumption of the government vehicle Hyundai Starex MU 8265 for the month of June, 2022</t>
  </si>
  <si>
    <t>Replacement of clutch master and secondary assemby of FB L-300 SHS-653 of PEO</t>
  </si>
  <si>
    <t>Purchase of Stock materials needed for one (1) year change oil preventive maintenance of Tamaraw FX SGJ-104</t>
  </si>
  <si>
    <t>Parts &amp; Labor for the replacement of Timing Chain and other defective parts of Toyota Hilux VR5847 of MBDA owned by the Provincial Government of Bataan</t>
  </si>
  <si>
    <t>Vaccination Program</t>
  </si>
  <si>
    <t>Supplies needed for different vehicle of the Provincial Engineers Office of the PGB</t>
  </si>
  <si>
    <t>Am Snack &amp; Lunch to be served in the Municipal Agriculturist Officers / Municipal Agriculturies meeting to be held on June 7, 2022 at 4th Floor Bunker Bldg. Capitol, Balanga City, Bataan</t>
  </si>
  <si>
    <t>Snacks for the launching of Bataan Integrated Youth Profiling on June 21, 2022 at the 4F, Conference Room, The Bunker</t>
  </si>
  <si>
    <t>Lunch &amp; Snack to be served in the FARMC meeting to be held on May 25, 2022</t>
  </si>
  <si>
    <t xml:space="preserve">JME Trading &amp; Construction Supply </t>
  </si>
  <si>
    <t>Materials for Repair and Maintenance of PGB owned facilities ( Malasakit Center-Dinalupihan and Bulwagan I)</t>
  </si>
  <si>
    <t>Kyocera Maintenance Kit MK-7109 for the repair of TASKalfa 711i of the Provincial Accountant's Office</t>
  </si>
  <si>
    <t>To provide meals and snacks for the Nuero Psychiatric Examination of Bataan PPO Personnel on June 15-16, 2022</t>
  </si>
  <si>
    <t xml:space="preserve">Glenn C. Diwa </t>
  </si>
  <si>
    <t>RATA for the month of June 2022</t>
  </si>
  <si>
    <t xml:space="preserve">Jessica A. Lopez </t>
  </si>
  <si>
    <t>DONATION TO TERESA ALIPIO FOR HER MEDICAL NEEDS QR: 0721220003</t>
  </si>
  <si>
    <t>Parts &amp; Labor for 60,000km preventive maintenance, Toyota Hilux P1V505 of MBDA owned by the PGB</t>
  </si>
  <si>
    <t>Parts and labor for the 50,000 km preventive maintenance check-up of Toyota Hiace Commuter Deluxe P3J567 of OPA</t>
  </si>
  <si>
    <t>Parts &amp; Labor for the 10,000km for preventive maintenance of Hiace Commuter Van S2Q283</t>
  </si>
  <si>
    <t>Parts and labor for 75,000 km check-up for preventive maintenance of Toyota Hilux A6U273 PEO owned by the Provincial Government of Bataan</t>
  </si>
  <si>
    <t>Parts &amp; Labor for the repair of airconditioning system of Toyota Innova P6H209 od PDEA</t>
  </si>
  <si>
    <t>Parts and Labordor 100,000km preventive maintenance check-up of Hi-ace Grandia A7V159</t>
  </si>
  <si>
    <t>Parts &amp; Labor for the 270, 000 km preventive maintenance of Toyota Hilux A2T545 of MBDA</t>
  </si>
  <si>
    <t>Parts and labor of preventive maintenance for 90,000km check up of Toyota Hilux (4x4) with the plate no. A8I896 to be used by PDRRMO</t>
  </si>
  <si>
    <t>Parts and Labor for 60,000km preventive maintenance of Ambulance P1A213 for the ISE of BCMH</t>
  </si>
  <si>
    <t>Payment of water bill for Palayan ng Bayan, Bagong Silang for the month of June, 2022</t>
  </si>
  <si>
    <t>Payment of water bill for Fishery, Bagong Silang for the month of June, 2022</t>
  </si>
  <si>
    <t>Payment of electric bill of Multi Purpose CTR, Tilapyan Pantingan, Pilar for the month of June, 2022</t>
  </si>
  <si>
    <t>Payment of electric bill of Bataan Christian Youth for the month of June, 2022</t>
  </si>
  <si>
    <t>Payment of electric bill of MBDA Satallite Office for the month of June, 2022</t>
  </si>
  <si>
    <t>Payment of electric bill of Bataan People's Center 3 for the month of June, 2022</t>
  </si>
  <si>
    <t>Set up Revolving Fund for payment of Donations to Indigenet Constituents of Bataan July 25-26, 2022</t>
  </si>
  <si>
    <t xml:space="preserve">Polymervic Construction </t>
  </si>
  <si>
    <t>Final Payt design &amp; build for the construction of 2 storey 10 classroom school bldg BNHS</t>
  </si>
  <si>
    <t>Widening of road going to relocation site (Phase I) Daan Pare Orion Bataan</t>
  </si>
  <si>
    <t>Fuel on different service vehicle used by Tourism, OPA, SOCO, PCEDO, PGENRO &amp; PVO July 25-31, 2022</t>
  </si>
  <si>
    <t>Payment of fuel consumption for the period of June 11-17, 2022 (COA)</t>
  </si>
  <si>
    <t xml:space="preserve">Maria Linda B. Cabral </t>
  </si>
  <si>
    <t>Payment of her monetized leave for the year 2022</t>
  </si>
  <si>
    <t>Payment for the funeral services rendered under the Libreng Libing Program for the period may 1-31, June 9 -20, 2022</t>
  </si>
  <si>
    <t>Payment for the funeral services rendered under the Libreng Libing Program for the period June 9-30, 2022</t>
  </si>
  <si>
    <t>Payment for the funeral services rendered under the Libreng Libing Program for the period May 15-30, June 1-17, 2022</t>
  </si>
  <si>
    <t>Payment for the funeral services rendered under the Libreng Libing Program for the period June 6-26, 2022</t>
  </si>
  <si>
    <t xml:space="preserve">Sagum Funeral Services </t>
  </si>
  <si>
    <t>Payment for the funeral services rendered under the Libreng Libing Program for the period May 9 -18, June 9-25,2022</t>
  </si>
  <si>
    <t>Replenishment of Emergency Purchases of NBB Patients of JPMH for the period from August 4 - 8, 2022</t>
  </si>
  <si>
    <t>Replenishment of cash advance to defray payment of Daily Market Purchase from August 1-7, 2022</t>
  </si>
  <si>
    <t xml:space="preserve">Dominador R. Viray </t>
  </si>
  <si>
    <t>DONATION TO MA. LUISA VIRAY FOR HER PROFESSIONAL FEE QR: 0810220004</t>
  </si>
  <si>
    <t xml:space="preserve">France David B. Bautista </t>
  </si>
  <si>
    <t>DONATION TO FRANCISCO BAUSTISTA FOR HIS HOSPITAL BILL AND MEDICAL NEEDS QR: 0810220009</t>
  </si>
  <si>
    <t xml:space="preserve">Neriza M. Barnachea </t>
  </si>
  <si>
    <t>DONATION TO TITA MELANIO FOR HER HOSPITAL BILL QR: 0810220012</t>
  </si>
  <si>
    <t xml:space="preserve">Julieta G. Mia </t>
  </si>
  <si>
    <t>DONATION TO JULIA GAURAN FOR HER HOSPITAL BILL QR: 0810220016</t>
  </si>
  <si>
    <t xml:space="preserve">Nellie S. Guina </t>
  </si>
  <si>
    <t>DONATION TO PAOLO GAñAC FOR HIS HOSPITAL BILL QR: 0810220007</t>
  </si>
  <si>
    <t xml:space="preserve">Rowena C. Alarcon </t>
  </si>
  <si>
    <t>DONATION TO ADELAIDA ALARCON FOR HER HOSPITAL BILL AND MEDICAL NEEDS QR: 0810220006</t>
  </si>
  <si>
    <t xml:space="preserve">Felipe L. Mendoza </t>
  </si>
  <si>
    <t>DONATION TO KEVIN JOSEPH MENDOZA FOR HIS HOSPITAL BILL QR: 0811220004</t>
  </si>
  <si>
    <t xml:space="preserve">Rhoda G. Esconde </t>
  </si>
  <si>
    <t>DONATION TO DONNA LHYNNE ESCONDE FOR HER HOSPITAL BILL QR: 0810220011</t>
  </si>
  <si>
    <t xml:space="preserve">Ruben Z. San Diego </t>
  </si>
  <si>
    <t>DONATION TO MARCELO SAN DIEGO FOR HIS HOSPITAL BILL QR: 0810220014</t>
  </si>
  <si>
    <t xml:space="preserve">Rhea I. Bernales </t>
  </si>
  <si>
    <t>DONATION TO RAEMOND KYLE BERNALES FOR HIS MEDICAL NEEDS QR: 0810220015</t>
  </si>
  <si>
    <t>DONATION TO SOLEDAD TAYO FOR HER MEDICAL NEEDS QR: 0811220006</t>
  </si>
  <si>
    <t xml:space="preserve">Reynaldo P. Bugayong </t>
  </si>
  <si>
    <t>DONATION TO CONSOLACION BUGAYONG FOR HER MEDICAL NEEDS QR: 0811220003</t>
  </si>
  <si>
    <t xml:space="preserve">Rody P. Roque </t>
  </si>
  <si>
    <t>DONATION TO JOCELYN ROQUE FOR HER MEDICAL NEEDS QR: 0811220012</t>
  </si>
  <si>
    <t xml:space="preserve">Christopher R. Conde </t>
  </si>
  <si>
    <t>DONATION TO ROWENA CONDE FOR HER MEDICAL NEEDS QR: 0810220013</t>
  </si>
  <si>
    <t>Replenishment for market purchases of JPMH for the period of August 1-10, 2022</t>
  </si>
  <si>
    <t xml:space="preserve">Barangay Treasurer - Poblacion, Mariveles, Bataan </t>
  </si>
  <si>
    <t>Subsidy to Barangay Poblacion Mariveles Bataan for their annual cultural activity on September 10, 2022</t>
  </si>
  <si>
    <t xml:space="preserve">Barangay Treasurer - San Carlos, Mariveles, Bataan </t>
  </si>
  <si>
    <t>Subsidy to Barangay San Carlos Mariveles Bataan for their annual cultural activity on September 10, 2022</t>
  </si>
  <si>
    <t>Payment of her 20 days monetized leave</t>
  </si>
  <si>
    <t>Materials for fabrication of Ten (10) units of 4'x8' Platform to be used as stage / raised floor for Local and National events hosted by Provincial Government of Bataan</t>
  </si>
  <si>
    <t>Emergency Light, LED for the use of Bagac Community and Medicare Hospital</t>
  </si>
  <si>
    <t>Emergency Purchase of Medical Supplies for the use of Mariveles District Hospital</t>
  </si>
  <si>
    <t>Desktop Computer for the use of Bataan Provincial Explosive and Canine Unit (Bataan PECU)</t>
  </si>
  <si>
    <t>TWO WAY RADIO FREQUENCY AND RADIO BASE TO BE GIVEN TO CRIMES AND CORRUPTION WATCH INTERNATIONAL</t>
  </si>
  <si>
    <t>Window Intercom for the NBI Balanga Satellite Office located inside the Bunker, Capitol Compound, Balanga City, Bataan</t>
  </si>
  <si>
    <t>PMS 280,000 KM &amp; Check Up of 2017 / HIACE Commuter Van Assigned to the Office of the Governor with plate number VR0088</t>
  </si>
  <si>
    <t>PMS for 90,000 km and check up assigned to the office of the governor Toyota Fortuner with conduction sticker A7V914</t>
  </si>
  <si>
    <t>Parts &amp; Labor for the 65,000km preventive mantenance of service vehicle Hyundai H100 KO-S994</t>
  </si>
  <si>
    <t xml:space="preserve">Orzen Printhouse </t>
  </si>
  <si>
    <t>Acknowledgement receipt for the use of BCMH</t>
  </si>
  <si>
    <t xml:space="preserve">Alicia R. Magpantay </t>
  </si>
  <si>
    <t>Reimbursement of AM Snack and Lunch to be incurred during meeting and training on Administrative Remedies for the Collection of Real Property Tax at Conference Room, 5th Floor, The Bunker, Capitol Compound, Balanga City, Bataan on August 11, 2022</t>
  </si>
  <si>
    <t>Parts and labor for 45,000 km preventive maintenance of service vehicle HYUNDAI H100 KO-S994 c/o PGSO</t>
  </si>
  <si>
    <t>Reimbursement the amount paid for LTO registration of two (2) service vehicles owned by PGB</t>
  </si>
  <si>
    <t xml:space="preserve">Phillippine Public Safety and Order Support Group Inc. (PPSOSG) </t>
  </si>
  <si>
    <t>LABOR AND MATERIALS FOR THE EQUIPMENT FOR CONVERSION OF LOGS TO TIMBER AT COMMAND CENTER FOR STOCKFILING BRGY DONA ORANI, BATAAN</t>
  </si>
  <si>
    <t>IT Equipment to be use in documentation and assigned task in showroom of AFAB Township</t>
  </si>
  <si>
    <t>Janitorial Supplies for the use of Provincial Governor's Office</t>
  </si>
  <si>
    <t>AM/PM Snack, Lunch &amp; Dinner to be served for PRC (Professional Regulation Commission) Mobile Services for the Professionals of Bataan on July 15 &amp; 16, 2022 at 1BOSSCO, 2nd Flr. The Bunker Bldg. Provincial Capitol, Balanga City, Bataan</t>
  </si>
  <si>
    <t>Replacement of 2 (2) pcs 3 SM Battery for Air Quality Mobile Truck JM2205 c/o PG-ENRO</t>
  </si>
  <si>
    <t>Parts and labor for replacement of 4pcs Tires of Toyota Grandia A7V159 c/o PDRRMO</t>
  </si>
  <si>
    <t xml:space="preserve">Andrew Kevin B. Arandia </t>
  </si>
  <si>
    <t>Donation for participating the 11th Para Games in Solo, Indonesia last July 26 - August 7, 2022</t>
  </si>
  <si>
    <t>Donation to Bataan Crime Lab for their Administrative and Operational Expenses for July 16 - August 15, 2022</t>
  </si>
  <si>
    <t xml:space="preserve">Philippine Exporters Foundation Region III Inc. </t>
  </si>
  <si>
    <t>Donation for the payment of registration booth rental fee for 15MSME's LIKHA NG CENTRAL LUZON on October 26-30, 2022</t>
  </si>
  <si>
    <t>Adavance Payment of registration fee and per diem attending PBMLP R3 participation for newly elected official on August 25-27, 2022</t>
  </si>
  <si>
    <t>Security Services by 78 security guards deployed at the Bataan General Hospital &amp; Medical Center for the period covered June 1-30, 2022</t>
  </si>
  <si>
    <t>Patient's I.D card for the use of BCMH</t>
  </si>
  <si>
    <t>Replacement of wiper blade for front and rear windshield of Hyundai Grand Starex MP-9073 service vehicle owned by the PGB</t>
  </si>
  <si>
    <t>Printing of Tarpaulin for 2022 Galing Bataan Awards Search for Most Outstanding Micro, Small and Medium Enterprises on July 29, 2022</t>
  </si>
  <si>
    <t>For replacement of radiator assembly &amp; one (1) piece 2SM battery assembly of HONDA CIVIC SHW-607 for the use of PHO</t>
  </si>
  <si>
    <t>Medical Oxygen for the use of Orani District Hospital</t>
  </si>
  <si>
    <t>Supplies and Materials of Cultural Heritage Preservation Division</t>
  </si>
  <si>
    <t>Toners to be used by the Investigation Section of NBI Bataan District Office located at the 1Bataan Command Center, Doña, Orani, Bataan</t>
  </si>
  <si>
    <t>Materials to be used for the Construction of Additional Traffic Signage's for the Mass Oath Taking Ceremony on June 29, 2022</t>
  </si>
  <si>
    <t>Office supplies (TONER) for the use of the Provincial Assessor's Office</t>
  </si>
  <si>
    <t>IT-related equipment for Clearance Processing operation of NBI Bataan District Office located inside the 1Bataan Command Center, Doña, Orani, Bataan</t>
  </si>
  <si>
    <t>Payment of fuel consumption for the period of July 11-17, 2022 (LEGAL)</t>
  </si>
  <si>
    <t>Payment of fuel consumption for the period of July 04-10, 2022 (LEGAL)</t>
  </si>
  <si>
    <t>Payment of fuel consumption for the period of July 18-24, 2022 (PEO)</t>
  </si>
  <si>
    <t xml:space="preserve">Chris Ian M. Silva </t>
  </si>
  <si>
    <t>Payment of allowance</t>
  </si>
  <si>
    <t xml:space="preserve">Melano Sibayan </t>
  </si>
  <si>
    <t xml:space="preserve">Mary Grace Viuya </t>
  </si>
  <si>
    <t xml:space="preserve">Hellen Escudero </t>
  </si>
  <si>
    <t>Reimbursement of expenses incurred in the payment of meals durin meetin of Gov. Joet with Barangay Captain</t>
  </si>
  <si>
    <t>Replenishment of Revolving Fund for payment of donation to indigent constituents from Province of Bataan (August 16-17)</t>
  </si>
  <si>
    <t>PAYMENT FOR PARTS AND LABOR FOR THE REPAIR OF CAR AIRCON OF TOYOTA INNOVA SJN-645 OF PGO OWNED BY THE PROVINCIAL GOVERNMENT OF BATAAN</t>
  </si>
  <si>
    <t xml:space="preserve">Luzviminda V. Mangubat </t>
  </si>
  <si>
    <t>DONATION TO DELFIN MANGUBAT JR. FOR HIS BURIAL EXPENSES QR: 0812220016</t>
  </si>
  <si>
    <t xml:space="preserve">Rosalina F. Deldoc </t>
  </si>
  <si>
    <t>DONATION TO GUILLERMO FLORES FOR HIS BURIAL EXPENSES QR: 0812220023</t>
  </si>
  <si>
    <t xml:space="preserve">Melinna M. Castillo </t>
  </si>
  <si>
    <t>DONATION TO CARMELITA MANANSALA FOR HER HOSPITAL BILL QR: 0812220020</t>
  </si>
  <si>
    <t xml:space="preserve">Bryan JOcell Ballesteros </t>
  </si>
  <si>
    <t>DONATION TO ALEJANDRA BALLESTEROS FOR HER HOSPITAL BILL QR: 0812220014</t>
  </si>
  <si>
    <t xml:space="preserve">Russel Kae D. Pablo </t>
  </si>
  <si>
    <t>DONATION TO CLIENT FOR HER HOSPITAL BILL QR: 0812220015</t>
  </si>
  <si>
    <t xml:space="preserve">Trisha Mae B. Forbes </t>
  </si>
  <si>
    <t>DONATION TO CLIENT AND JAYRON TROSS BLANCO FORE THEIR HOSPITAL BILLS QR: 0812220024</t>
  </si>
  <si>
    <t xml:space="preserve">Jemma B. Reyes </t>
  </si>
  <si>
    <t>DONATION TO JANET BENITEZ FOR HER MEDICAL NEEDS QR: 0812220013</t>
  </si>
  <si>
    <t xml:space="preserve">Teresita C. Santos </t>
  </si>
  <si>
    <t>DONATION TO ALLEN SANTOS FOR HIS MEDICAL NEEDS QR: 0812220008</t>
  </si>
  <si>
    <t xml:space="preserve">Jayson T. Rodriguez </t>
  </si>
  <si>
    <t>DONATION TO MA. ROSARIO RODRIGUEZ FOR HER HOSPITAL BILL AND MEDICAL NEEDS QR: 0812220022</t>
  </si>
  <si>
    <t xml:space="preserve">Jessica S. Abada </t>
  </si>
  <si>
    <t>DONATION TO CLIENT FOR PURCHASE OF BASIC NECESSITIES QR: 0812220006</t>
  </si>
  <si>
    <t xml:space="preserve">Rizalina G. Macalinao </t>
  </si>
  <si>
    <t>DONATION TO CLIENT FOR PURCHASE OF BASIC NECESSITIES QR: 0812220007</t>
  </si>
  <si>
    <t xml:space="preserve">Joseph B. Caliba </t>
  </si>
  <si>
    <t>DONATION TO CLIENT FOR PUCHASE OF BASIC NECESSITIES QR: 0812220005</t>
  </si>
  <si>
    <t xml:space="preserve">Arlene Q. Ramos </t>
  </si>
  <si>
    <t>DONATION TO CLIENT FOR PURCHASE OF BASIC NECESSITIES QR: 0812220004</t>
  </si>
  <si>
    <t xml:space="preserve">Angelie D. dela Torre </t>
  </si>
  <si>
    <t>DONATION TO ELLICE EVEREE MAMARADLO FOR HER HOSPITAL BILL QR: 0812220009</t>
  </si>
  <si>
    <t xml:space="preserve">Arnel V. Rocha </t>
  </si>
  <si>
    <t>DONATION TO RASHED ROCHA FOR HIS HOSPITAL BILL QR: 0812220002</t>
  </si>
  <si>
    <t xml:space="preserve">Isaac anc Catalina Medical Center Inc. </t>
  </si>
  <si>
    <t>DONATION TO MARIA FIGUEROA FOR HER HOSPITAL BILL QR: 0805220001DIN</t>
  </si>
  <si>
    <t xml:space="preserve">Josefina L. Sales </t>
  </si>
  <si>
    <t>DONATION TO ZENAIDA LOPEZ FOR HER HOSPITAL BILL QR: 0812220010</t>
  </si>
  <si>
    <t>DONATION TO CLARITA LAUDEREZ FOR HER BURIAL EXPENSES QR: 0811220014</t>
  </si>
  <si>
    <t xml:space="preserve">Aubrey Mae A. Santiago </t>
  </si>
  <si>
    <t>DONATION TO VENES SANTIAGO FOR HER HOSPITAL BILL QR: 0811220019</t>
  </si>
  <si>
    <t xml:space="preserve">Maria Tess I. Leaño </t>
  </si>
  <si>
    <t>DONATION TO FLORENCIA LEAñO FOR HER HOSPITAL BILL QR: 0811220010</t>
  </si>
  <si>
    <t xml:space="preserve">Carolina P. Adrados </t>
  </si>
  <si>
    <t>DONATION TO LILIA ADRADOS FOR HER HOSPITAL BILL QR: 0811220008</t>
  </si>
  <si>
    <t xml:space="preserve">Bryan N. Asok </t>
  </si>
  <si>
    <t>DONATION TO WINALOU ASOK FOR HER HOSPITAL BILL QR: 0811220013</t>
  </si>
  <si>
    <t xml:space="preserve">Ron C. Duran </t>
  </si>
  <si>
    <t>DONATION TO RODELIO DURAN FOR HIS HOSPITAL BILL QR: 0811220015</t>
  </si>
  <si>
    <t xml:space="preserve">Keena Faye del Rosario Abejar </t>
  </si>
  <si>
    <t>DONATION TO CLIENT AND KAMILIA FRANCIA BELLE ABEJAR FOR THEIR HOSPITAL BILLS QR: 0811220017</t>
  </si>
  <si>
    <t xml:space="preserve">Mickael E. Malibiran </t>
  </si>
  <si>
    <t>DONATION TO CLIENT FOR HIS MEDICAL NEEDS QR: 0811220021</t>
  </si>
  <si>
    <t xml:space="preserve">Reselinda C. Catacutan </t>
  </si>
  <si>
    <t>DONATION TO ORLANDO CATACUTAN FOR HIS MEDICAL NEEDS QR: 0811220002</t>
  </si>
  <si>
    <t xml:space="preserve">Nora B. Manla </t>
  </si>
  <si>
    <t>DONATION TO MARK CHRISTIAN MANLA FOR HIS MEDICAL NEEDS QR: 0811220009</t>
  </si>
  <si>
    <t xml:space="preserve">Ronalyn H. Pilla </t>
  </si>
  <si>
    <t>DONATION TO CLIENT FOR PURCHASE OF BASIC NECESSITIES QR: 0812220003</t>
  </si>
  <si>
    <t xml:space="preserve">Ginamarie C. Ortañez </t>
  </si>
  <si>
    <t>DONATION TO GJIANNE MAXXINE ORTAñEZ FOR HER HOSPITAL BILL QR: 0812220001</t>
  </si>
  <si>
    <t>DONATION TO DIANA CAPULI FOR HER BURIAL EXPENSES QR: 0815220003</t>
  </si>
  <si>
    <t xml:space="preserve">Noriely A. Bantugan </t>
  </si>
  <si>
    <t>DONATION TO RODRIGO APALES JR. FOR HIS BURIAL EXPENSES QR: 0815220007</t>
  </si>
  <si>
    <t xml:space="preserve">Joven P. Angeles </t>
  </si>
  <si>
    <t>DONATION TO GERALD ANGELES FOR HIS BURIAL EXPENSES QR: 0815220001</t>
  </si>
  <si>
    <t xml:space="preserve">Imelda G. Matig-a </t>
  </si>
  <si>
    <t>DONATION TO SHEREENE NICOLE MATIG-A FOR HER HOSPITAL BILL QR: 0811220016</t>
  </si>
  <si>
    <t>DONATION TO CESAR MANANSALA FOR HIS HOSPITAL BILL QR: 0812220019</t>
  </si>
  <si>
    <t xml:space="preserve">Janelyn O. Calimbas </t>
  </si>
  <si>
    <t>DONATION TO CLIENT FOR HER HOSPITAL BILL QR: 0815220011</t>
  </si>
  <si>
    <t xml:space="preserve">Iris E. Barata </t>
  </si>
  <si>
    <t>DONATION TO MARY ANN KATHLYN SISPEREZ FOR HER HOSPITAL BILL QR: 0815220012</t>
  </si>
  <si>
    <t xml:space="preserve">Marlon A. Baculo </t>
  </si>
  <si>
    <t>DONATION TO ROSALINDA BACULO FOR HER HOSPITAL BILL QR: 0815220009</t>
  </si>
  <si>
    <t xml:space="preserve">Aida A. Minta </t>
  </si>
  <si>
    <t>DONATION TO REMIGIO JR. MINTA FOR HIS MEDICAL NEEDS QR: 0815220005</t>
  </si>
  <si>
    <t xml:space="preserve">Dorothy de Lemos Gonzales </t>
  </si>
  <si>
    <t>DONATION TO CLIENT FOR HER MEDICAL NEEDS QR: 0815220004</t>
  </si>
  <si>
    <t>80,000KM preventive maintenance check up of Hyundai Starex MP9073</t>
  </si>
  <si>
    <t xml:space="preserve">Hellen M. Escudero </t>
  </si>
  <si>
    <t>Reimbursement of Meals and Snacks during various meetings in the PGO</t>
  </si>
  <si>
    <t xml:space="preserve">Philippine Statistics Authority </t>
  </si>
  <si>
    <t>Birth and death certificate forms for the use of Orani District Hospital</t>
  </si>
  <si>
    <t>TO REIMBURSE HIS EXPENSES INCURRED IN THE PAYMENT OF TOKENS GIVEN TO SENATOR BATO DELA ROSA AND DEPARTMENT OF HEALTH</t>
  </si>
  <si>
    <t xml:space="preserve">Lander C. Ludovico </t>
  </si>
  <si>
    <t>Donation to Tau Gamma Phi Fraternity of Tuyo Community Chapter for their Anniversary on August 14, 2022</t>
  </si>
  <si>
    <t>Cash advance of cash prizes for 1st Raffle Draw for "Bakunahan Bayanihan sa Barangay Pinalakas and Boosted na Bataeño: Part 2: Tuloy-Tuloy and Panalo ng Boosted na Bataeño (August 15-19, 2022 &amp; August 22-26, 2022)</t>
  </si>
  <si>
    <t>Donation to Bataan Football for their upcoming football festival in Ayala Manila Tag Vermosa Football festival tournament on August 27, 2022</t>
  </si>
  <si>
    <t>Cash advance for overtime</t>
  </si>
  <si>
    <t>Replenishment of Emergency Purchases of NBB Patients of JPMH for the period from August 9 - 15, 2022</t>
  </si>
  <si>
    <t>Replenishment for market purchase of MDH for the period of July 27 to August 3, 2022</t>
  </si>
  <si>
    <t xml:space="preserve">Engr. Victor B. Ubaldo </t>
  </si>
  <si>
    <t>Payment of his monetized leave</t>
  </si>
  <si>
    <t>REPLENISHMENT OF REVOLVING FUND FOR PAYMENT OF DONATION TO INDIGENT CONSTITUENTS FROM THE PROVINCE OF BATAAN</t>
  </si>
  <si>
    <t xml:space="preserve">JINSP Mayrose D. Lorenzo </t>
  </si>
  <si>
    <t>Allowance for the month of July, 2022</t>
  </si>
  <si>
    <t>Payment of fuel consumption for the period of July 25-31, 2022 (PGO)</t>
  </si>
  <si>
    <t>Payment of fuel consumption for the period of July 25-31, 2022 (MBDA)</t>
  </si>
  <si>
    <t>Payment of his first salary from July - August, 2022</t>
  </si>
  <si>
    <t>Remittance of Philhealth contribution of consultants for July 2022</t>
  </si>
  <si>
    <t>Remittance of Philhealth contribution of JO for August 2022</t>
  </si>
  <si>
    <t xml:space="preserve">Universal Access and Systems Solutions Phiilippines </t>
  </si>
  <si>
    <t>Payment for the renewal of Anti-Virus subscription (1Year) Trend Mictro SW/License Smart Protection for endpoints of MBDA at 1Bataan Command Center</t>
  </si>
  <si>
    <t>Payment of fuel consumption for the period of July 04-10, 2022 (PGSO) SHP-848</t>
  </si>
  <si>
    <t>Payment of fuel consumption for the period of July 11-17, 2022 (PGSO) SHP-848</t>
  </si>
  <si>
    <t xml:space="preserve">Sunset Funeral Homes QR: 0817220006 </t>
  </si>
  <si>
    <t>DONATION TO VIOLETA GONZALES FOR HER BURIAL EXPENSES</t>
  </si>
  <si>
    <t xml:space="preserve">Danica R. Dionisio QR: 0817220007 </t>
  </si>
  <si>
    <t>DONATION TO DANILO REYES FOR HIS BURIAL EXPENSES</t>
  </si>
  <si>
    <t xml:space="preserve">Lucia A. Dequiña QR: 0809220002DIN </t>
  </si>
  <si>
    <t>DONATION TO LEONORA AQUINO FOR HER BURIAL EXPENSES</t>
  </si>
  <si>
    <t xml:space="preserve">Ginamarie C. Ortañez QR: 0816220004 </t>
  </si>
  <si>
    <t>DONATION TO FERDINAD MAGTANONG FOR HIS BURIAL EXPENSES</t>
  </si>
  <si>
    <t xml:space="preserve">Cristina Z. Borja QR: 0817220003 </t>
  </si>
  <si>
    <t>DONATION TO JOSE ZUñIGA FOR HIS HOSPITAL BILL</t>
  </si>
  <si>
    <t xml:space="preserve">Cecille M. Santos QR: 0817220004 </t>
  </si>
  <si>
    <t>DONATION TO CLARISSA MANUEL FOR HER HOSPITAL BILL</t>
  </si>
  <si>
    <t xml:space="preserve">Marlyn R. Garcia QR: 0811220002DIN </t>
  </si>
  <si>
    <t>DONATION TO ERNESTO GARCIA FOR HIS HOSPITAL BILL AND PROFESSIONAL FEE</t>
  </si>
  <si>
    <t xml:space="preserve">Jonalyn Pangilinan QR: 0809220003DIN </t>
  </si>
  <si>
    <t xml:space="preserve">Chelsie D. Juco QR: 0809220001DIN </t>
  </si>
  <si>
    <t>DONATION TO LEONEL JUCO FOR HIS HOSPITAL BILL</t>
  </si>
  <si>
    <t xml:space="preserve">Rosalie D. de Vera QR: 0811220001DIN </t>
  </si>
  <si>
    <t>DONATION GREGORIO DE VERA FOR HIS HOSPITAL BILL</t>
  </si>
  <si>
    <t xml:space="preserve">Jose L. Bello QR: 0816220006 </t>
  </si>
  <si>
    <t>DONATION TERESITA BELLO FOR HER HOSPITAL BILL</t>
  </si>
  <si>
    <t xml:space="preserve">Fides M. Diesta QR: 0816220010 </t>
  </si>
  <si>
    <t>DONATION TO JOSE RAFAEL DIESTA FOR HIS HOSPITAL BILL</t>
  </si>
  <si>
    <t xml:space="preserve">Kate D. Fernandez QR: 0816220007 </t>
  </si>
  <si>
    <t>DONATION TO KIM PAGUIO AND JAYSON KEITH JR. PAGUIO FOR THEIR HOSPITAL BILLS</t>
  </si>
  <si>
    <t xml:space="preserve">Jeric A. Estrella QR: 0816220008 </t>
  </si>
  <si>
    <t>DONATION TO JASMIN ESTRELLA AND JERK KALI ESTRELLA FOR THEIR HOSPITAL BILLS</t>
  </si>
  <si>
    <t xml:space="preserve">Rosalyn R. Equibal QR: 081211001MAR </t>
  </si>
  <si>
    <t>DONATION TO NILDA ROCO FOR HER HOSPITAL BILL</t>
  </si>
  <si>
    <t xml:space="preserve">Maru C. Tallara QR: 0816220011 </t>
  </si>
  <si>
    <t>DONATION TO BERNADETTE FRANCO AND ZIAN ROBERT TALLARA FOR THEIR HOSPITAL BILLS</t>
  </si>
  <si>
    <t xml:space="preserve">Nora S. Balingit QR: 0817220001 </t>
  </si>
  <si>
    <t>DONATION TO DEMETRIO GARCIA FOR HIS MEDICAL NEEDS</t>
  </si>
  <si>
    <t xml:space="preserve">Arnel C. Bautista QR: 0816220009 </t>
  </si>
  <si>
    <t xml:space="preserve">Orlando C. Bautista  QR: 0816220017 </t>
  </si>
  <si>
    <t xml:space="preserve">Ma. Anilyn S. Edaño QR: 0816220003 </t>
  </si>
  <si>
    <t>DONATION TO ANJO EDAñO FOR HIS MEDICAL NEEDS</t>
  </si>
  <si>
    <t xml:space="preserve">Marivic T. Triguero  </t>
  </si>
  <si>
    <t xml:space="preserve">Alloymtd, Bataan Inc </t>
  </si>
  <si>
    <t>Payment of Genset Diesel used during power interruption - period covered: July 19, 2022</t>
  </si>
  <si>
    <t xml:space="preserve">Bryan Dave B. Perez </t>
  </si>
  <si>
    <t>Donation to Bryan Dave B. Perez for representing the Province Ayumun Offline Conference on Sept. 30 - Oct. 3, 2022</t>
  </si>
  <si>
    <t xml:space="preserve">Joean Papio </t>
  </si>
  <si>
    <t>Donation to Community Information Service - Support Group Uniform for their Uniform</t>
  </si>
  <si>
    <t>Replenishment of revolving fund for payment of donations of indigents constituents in the province of Bataan</t>
  </si>
  <si>
    <t>Replenishment of cash advance for emergency purchases of JPMH from August 7 -11, 2022</t>
  </si>
  <si>
    <t>Replenishment of cash advance for emergency purchases of JPMH from July 30 - August 6, 2022</t>
  </si>
  <si>
    <t>General Fund-Fund transfer for scholarship grant for 1st sem of SY 2021-2022 of Iskolar ng Bataan of PGB</t>
  </si>
  <si>
    <t>Spare parts replacement of TASKALFA 3011I</t>
  </si>
  <si>
    <t>Uniterruptible Power Supply (UPS) to be used in the Provincial Accountant's Office</t>
  </si>
  <si>
    <t>Pull down evaporator for general service, replacement of cooling coil for nissan ambulance OW for the use of Jose Payumo Memorial Hospital</t>
  </si>
  <si>
    <t xml:space="preserve">Tony and Anne's Catering Services </t>
  </si>
  <si>
    <t>Heavy PM Snacks for Technical Working Group for Pilot Universal Health Care Implementation Meeting on August 18, 2022</t>
  </si>
  <si>
    <t>Office supplies to be used in the implementation of PVO Activities</t>
  </si>
  <si>
    <t>Laboratory reagents for Hematology 5 parts for the use of Jose Payumo Memorial Hospital Dinalupihan, Bataan</t>
  </si>
  <si>
    <t>BOTTLED WATER (500ML) FOR ALAGANG PUSONG PINOY: PUSONG PINOY, DUGONG PINOY BLOOD DONATION CARAVAN ON JULY 29, 2022</t>
  </si>
  <si>
    <t xml:space="preserve">Jonie Rose trading </t>
  </si>
  <si>
    <t>Printer Cartridge for the use of PGSO</t>
  </si>
  <si>
    <t>Replacement of rubber cap and fan belts for Adventure SHS-907 of PEO owned by the Provincial Government of Bataan</t>
  </si>
  <si>
    <t>Compact bulb and bulb for the use of Bataan Tourism Office</t>
  </si>
  <si>
    <t>Parts and labor for 100,000 km preventive maintenance check up Toyota Hilux A9W631 c/o PGSO</t>
  </si>
  <si>
    <t xml:space="preserve">Aizel F. Valderama </t>
  </si>
  <si>
    <t xml:space="preserve">Estela O. Optana </t>
  </si>
  <si>
    <t xml:space="preserve">Eddie B. Irenea </t>
  </si>
  <si>
    <t xml:space="preserve">Jerald Q. Conchas </t>
  </si>
  <si>
    <t xml:space="preserve">Jonalyn T. Broñola </t>
  </si>
  <si>
    <t xml:space="preserve">Jose C. Bolon </t>
  </si>
  <si>
    <t xml:space="preserve">Norma V. Aseboque </t>
  </si>
  <si>
    <t xml:space="preserve">Nikko D. Andrada </t>
  </si>
  <si>
    <t xml:space="preserve">Luzviminda L. Rosima </t>
  </si>
  <si>
    <t xml:space="preserve">Ermelinda E. Quisto </t>
  </si>
  <si>
    <t xml:space="preserve">Cristina E. Pinili </t>
  </si>
  <si>
    <t xml:space="preserve">Arnulfo F. Valderama Jr. </t>
  </si>
  <si>
    <t xml:space="preserve">Liza E. Concepcion </t>
  </si>
  <si>
    <t>Advance payment of TEV, Perdiem for the month of September 2022</t>
  </si>
  <si>
    <t>Payment of fuel on different service vehicle used by the PPDO, PNP, BJMP-Male &amp; PGENRO consumption for the period of August 22-28, 2022</t>
  </si>
  <si>
    <t>DONATION FOR THE HOSPITAL BILL AND MEDICAL NEEDS COVERING THE PERIOD 12-16, 2022</t>
  </si>
  <si>
    <t>REmittance of salry loan installment of JO for Sept 2022</t>
  </si>
  <si>
    <t>Remittance of SSS contribution of JO employees for Sept 2022</t>
  </si>
  <si>
    <t>Payment of Fuel Consumption for the period of August 29 - September 04, 2022 (PEO)</t>
  </si>
  <si>
    <t>Replenishment of Revolving Fund for payment of donation to indigent constituents from Province of Bataan (October 03-04)</t>
  </si>
  <si>
    <t>Payment of Fidelity Bond Premium</t>
  </si>
  <si>
    <t xml:space="preserve">Else Datu </t>
  </si>
  <si>
    <t>DONATION TO CLIENT AND KIMBERLYN QUIAMBAO FOR THEIR MEDICAL NEEDS</t>
  </si>
  <si>
    <t>Reimbursement for the training about 73rd Annual National Convention "Reboot, Redirect, Rise" that will be held on November 16-19, 2022 which will be attended by Dr. Hector T. Santos, M.D</t>
  </si>
  <si>
    <t xml:space="preserve">Mary Anne Saguitan </t>
  </si>
  <si>
    <t>Payment of her Clothing/Uniform allowance</t>
  </si>
  <si>
    <t>To setup petty cash fund for payment of MOOEs as per SP Resolution No. 028 dated January 15, 2022</t>
  </si>
  <si>
    <t>Snack &amp; Lunch to be served in the Extension Officers meeting to be held on September 16, 2022 at Pantingan, Pilar, Bataan</t>
  </si>
  <si>
    <t>AM Snack to be served for Seminar on Leadership Skills Training &amp; Values orientation workshop for the Municipality of Samal OFC Federation on September 9, 2022 at Covered Court, Municipality of Samal, Bataan</t>
  </si>
  <si>
    <t>Office Supplies (Ink) to be used by Provincial Disaster Risk Reduction and Management Office</t>
  </si>
  <si>
    <t>Replacement of Printer Head (Epson L1300) for the use of Provincial Assessor's Office</t>
  </si>
  <si>
    <t>Non accountable forms (AR) for the use of Jose C Payumo Jr Memorial Hospital, Dinalupihan, Bataan</t>
  </si>
  <si>
    <t>Payment of Overtime pay September 2022</t>
  </si>
  <si>
    <t xml:space="preserve">Joanna Cristina P. Rodrigo </t>
  </si>
  <si>
    <t>Payment of her 3days Salary from September 28 to September 30, 2022</t>
  </si>
  <si>
    <t>Reimbursement of the amount paid for LTO registration of twelve (12) service vehicle owned by the PGB</t>
  </si>
  <si>
    <t xml:space="preserve">Jefferson N. Hidalgo </t>
  </si>
  <si>
    <t xml:space="preserve">Melissa Hermosa </t>
  </si>
  <si>
    <t xml:space="preserve">Karen Malibunas </t>
  </si>
  <si>
    <t xml:space="preserve">Rae Levin M. Flores </t>
  </si>
  <si>
    <t>DONATION TO JOYCE FLORES AND RAENJA FLORES FOR THEIR HOSPITAL BILLS</t>
  </si>
  <si>
    <t>Payment of Fuel Consumption for the period of September 12-18, 2022 (BCMH)</t>
  </si>
  <si>
    <t>Payment of Fuel Consumption for the period of September 12-18, 2022 (PGO)</t>
  </si>
  <si>
    <t>Payment of fuel consumption on different service vehicle used by OPA, PPDO, PCEDO, SOCO, PHO, PGENRO &amp; PVO Sept 5-11, 2022</t>
  </si>
  <si>
    <t>Drugs and medicines for the use of Orani District Hospital</t>
  </si>
  <si>
    <t>Remittance of Pag-ibig MPL &amp; calamity loan JO employees September 2022</t>
  </si>
  <si>
    <t>Remittance of Pag-ibig contribution JO employees for September 2022</t>
  </si>
  <si>
    <t xml:space="preserve">Jessieleane Mangayao </t>
  </si>
  <si>
    <t>Payment of her monetized leave foy CY 2022</t>
  </si>
  <si>
    <t>Reimbursement of gasoline expenses of JCPJMH from September 12-22, 2022</t>
  </si>
  <si>
    <t>Replenishment of cash advance to defray payment of Daily Market Purchase from September 17-23, 2022</t>
  </si>
  <si>
    <t xml:space="preserve">PLDT, Inc. </t>
  </si>
  <si>
    <t>Payment of telephone &amp; internet bill of different offices for Sept 17-OCt 17, 2022</t>
  </si>
  <si>
    <t xml:space="preserve">Rosalie P. Manubay, MD </t>
  </si>
  <si>
    <t>Replenishment of Medicines, Supplies, X-ray &amp; Laboratory Expenses under the Philhealth No Balance Billing (NBB) of Indigent patients in ODH from August 18-30, 2022</t>
  </si>
  <si>
    <t>Payment of fuel consumption od dated August 05 - 21, 2022 (MDH)</t>
  </si>
  <si>
    <t>Payment of fuel consumption of BCMH for the period of September 19-25, 2022</t>
  </si>
  <si>
    <t>Payment of fuel consumption for the period of August 29 - September 4, 2022 (LEGAL)</t>
  </si>
  <si>
    <t>Payment of fuel consumption on different service vehicle used by PNP, Tourism, BJMP-Female, PDRRMO &amp; PHO Aug 29-Sept 4, 2022</t>
  </si>
  <si>
    <t>Reimbursement of the amount paid for fuel consumption of government vehicle Ford Everest IP 0816 for the month of September 2022</t>
  </si>
  <si>
    <t>Advance payment of registration fee and per diem atttending PBMLP R3 Regional Council Election on October 27-29, 2022</t>
  </si>
  <si>
    <t>Replenishment of revolving fund for payment of donations of indigents constituents in the province of Bataan (October 5-6, 2022)</t>
  </si>
  <si>
    <t xml:space="preserve">Registry of Deeds of Balanga, Bataan </t>
  </si>
  <si>
    <t>Payment of LRA fees of the annotation on the Certificate Title in Subsequent Registration Warrant of LEVY Issued by the Province dated June 13,29,July 15, 21, August 2 and 18, 2022</t>
  </si>
  <si>
    <t>Payment of LRA fees of the annotation on the Certificate Title in Subsequent Registration Warrant of LEVY Issued by the Province dated June 2 and 15, 2022</t>
  </si>
  <si>
    <t>Payment of IT service fees of the annotation on the Certificate in Subsequent Registration for the Warrant of Levy issued bu the Province dated June 13,29, July 15,21,August 2and 18, 2022</t>
  </si>
  <si>
    <t>Payment of IT service fees of the annotation on the Certificate in Subsequent Registration for the Warrant of Levy issued bu the Province dated June 2 and September 15, 2022</t>
  </si>
  <si>
    <t xml:space="preserve">Judge Rolando S. Tungol, Jr. </t>
  </si>
  <si>
    <t>Donations to Judges of the first level courts, Province of Bataan for their Participation to PTJLI's 29th ( Philippine Trial Judges League Inc.) Annual Convention and Seminar on October 12 to 14, 2022 at SBMA Olongapo City</t>
  </si>
  <si>
    <t>Payment for the internet subscription of account number 0030300003564 for January - October, 2022</t>
  </si>
  <si>
    <t>Monthly subscription fee of Metro Ethernet Service for the use of CCTV Cameras of MBDA for the month of October 1-31, 2022</t>
  </si>
  <si>
    <t>Payment of Internet Bill of MBDA Account Number 0030300011924 for the month of October, 2022</t>
  </si>
  <si>
    <t>Payment of Internet Bill of 1Bataan Command Center Account Number 0030300182942 for the month of October, 2022</t>
  </si>
  <si>
    <t>Reimbursement of the amount paid for fuel consumption of the government vehicle Ford Everest IO 4973 for the month of September, 2022</t>
  </si>
  <si>
    <t>Reimbursment of the amount paid for fuel consumption of the Government vehicle Ford Everest IO 4423 for the month of September 2022</t>
  </si>
  <si>
    <t>PAYMENT OF WATER BILL FOR 1BATAAN HOUSING SHOWROOM MARIVELES FOR AUG.-SEPT.2022</t>
  </si>
  <si>
    <t>Monthly subscription fee on ASDN Pri Service for the 911 hotline/876484499 for the month of August 27 - September 26, 2022</t>
  </si>
  <si>
    <t xml:space="preserve">Catherine R. Carreon </t>
  </si>
  <si>
    <t xml:space="preserve">Antonino M. Rodrigo </t>
  </si>
  <si>
    <t xml:space="preserve">Ma. Pilar Empeño </t>
  </si>
  <si>
    <t>Tax refund for CY 1999</t>
  </si>
  <si>
    <t xml:space="preserve">Janice Perez </t>
  </si>
  <si>
    <t>Tax refund for CY 2002</t>
  </si>
  <si>
    <t>Electric bill in 1Bataan Housing Showroom Mariveles for the period of July 26, 2022 to August 25, 2022</t>
  </si>
  <si>
    <t>Telephone &amp; internet bill of various offices for Aug 17-Sept 20, 2022</t>
  </si>
  <si>
    <t>Service rendered for the month of September 2022</t>
  </si>
  <si>
    <t>Advance payment of registration fee and per diem attending PCL Presidents Academy on Oct. 13-15, 2022</t>
  </si>
  <si>
    <t>Replenishment for market purchase of MDH for the period of September 14-20, 2022</t>
  </si>
  <si>
    <t>Replenishment of MIscellaneous Expenses of MDH used for the period of September 12-20, 2022</t>
  </si>
  <si>
    <t>Replenishment of emergency purchase of NBB Patients of JPMH for the period of September 26-28, 2022</t>
  </si>
  <si>
    <t>Replenishment of cash Advance for emergency purchase from September 24-28, 2022</t>
  </si>
  <si>
    <t>Replenishment for market purchases for the period of September 22 - 30, 2022</t>
  </si>
  <si>
    <t>Payment of Water bill of MDH for the month of September 2022 for Maind Building and MDH Temporary Treatment and Monitoring Facility</t>
  </si>
  <si>
    <t>Replenishment of Incidental Expenses and Daily Market Purchase of BCMH from August 20 - September 01-15, 2022</t>
  </si>
  <si>
    <t>Cash advance for honorarium re: Revisiting Provincial Government of Bataan Legacies for children ( Local Development plan, Local Development and investment plan, local children's Report October 18-19, 2022</t>
  </si>
  <si>
    <t xml:space="preserve">JAM Auto Care </t>
  </si>
  <si>
    <t>Parts and labor for engine overhauling of Hyundai 100 KOP475 of PEO owned by the Provincial Government of Bataan</t>
  </si>
  <si>
    <t>Replenishment of Revolving Fund for payment of donation to indigent constituents from Province of Bataan (October 7-10)</t>
  </si>
  <si>
    <t>Remittance of philhealth of consultants for Sept 2022</t>
  </si>
  <si>
    <t xml:space="preserve">Mabini R. Pulido, Jr. </t>
  </si>
  <si>
    <t>Advance payment of his training and travelling expenses for attending the 15th National Convention and Annual Seminar on Real Property Appraisal and Assessment of the Philippines Association of Assessing Officers (PAOO) to be held on October 25-28, 2022</t>
  </si>
  <si>
    <t xml:space="preserve">Geoffrey C. Loyola </t>
  </si>
  <si>
    <t>Reimbursement of Parts and Labor for the repair of Aircon, General Detailing, Repair of Bumper &amp; Replace LED lightAssigned to the Office of the Governor Namely our Toyota Fortuner A7V914</t>
  </si>
  <si>
    <t xml:space="preserve">Registry of Deeds of Balanga Bataan </t>
  </si>
  <si>
    <t>Payment of LRA fees of the annotation on the Certificate of Title in Subscquent Registration for the Declaration of forfeiture dated September 1, 2022</t>
  </si>
  <si>
    <t>Payment of IT Service fees of the annotation on the Certificate of Title in Subsequent Registration for the Declaration of Forfeiture dated September 1, 2022</t>
  </si>
  <si>
    <t xml:space="preserve">Lorena Caracas </t>
  </si>
  <si>
    <t>DONATION TO CHONA LAMIRA FOR HER MEDICAL NEEDS</t>
  </si>
  <si>
    <t xml:space="preserve">Jonalyn dela Cruz </t>
  </si>
  <si>
    <t>To refund the amount due to douyble payt of real property tax</t>
  </si>
  <si>
    <t>Payment of twenty (20) pcs. Commercial checkbooks</t>
  </si>
  <si>
    <t>Payment of water bill of Dialysis Building for the period of September, 2022</t>
  </si>
  <si>
    <t xml:space="preserve">Provincial Government of Bataan - SEF </t>
  </si>
  <si>
    <t>Transfer to PGB-SEF the amount of payt received from JAsmine Peni for Philhealth contribution for August 2022</t>
  </si>
  <si>
    <t xml:space="preserve">Emerita Santos </t>
  </si>
  <si>
    <t>DONATION TO GIBB SANTOS FOR HIS MEDICAL NEEDS</t>
  </si>
  <si>
    <t>Laboratory supplies to be use for the Bagac Community and Medicare Hospital</t>
  </si>
  <si>
    <t>Emergency purchase of Medical Supplies for the use of Mariveles District Hospital</t>
  </si>
  <si>
    <t>Laboratory Supplies (REAGENTS) for the use of Mariveles District Hospital</t>
  </si>
  <si>
    <t>Payment of Allowance for the month of September 2022</t>
  </si>
  <si>
    <t xml:space="preserve">Ma. Lourdes T. Eltanal-Ignacio </t>
  </si>
  <si>
    <t>Payment of allowance for the month of September 2022</t>
  </si>
  <si>
    <t xml:space="preserve">Ruel C. de Guzman </t>
  </si>
  <si>
    <t>Payment of allowance in Regional Trial Court of Bataan for the month of September 2022</t>
  </si>
  <si>
    <t>Payment of allowance in the Regional Trial Court of Bataan- Branch 3 for the month of September2022</t>
  </si>
  <si>
    <t xml:space="preserve">Jeffrey C. Cruz </t>
  </si>
  <si>
    <t xml:space="preserve">Estelta Oliveria </t>
  </si>
  <si>
    <t>Payment of service rendered for the month of September 2022</t>
  </si>
  <si>
    <t>Cash advance ofr OT for Sept 2022</t>
  </si>
  <si>
    <t xml:space="preserve">Errol Primero </t>
  </si>
  <si>
    <t xml:space="preserve">Dindo Beber </t>
  </si>
  <si>
    <t xml:space="preserve">Nadine Guzman </t>
  </si>
  <si>
    <t xml:space="preserve">Ethel Marie Degollado-Guiua </t>
  </si>
  <si>
    <t xml:space="preserve">Julius Abraham Ferrer </t>
  </si>
  <si>
    <t>Payment for Allowance for the period of September 2022</t>
  </si>
  <si>
    <t xml:space="preserve">Janale Salaum </t>
  </si>
  <si>
    <t xml:space="preserve">Maricez Ablola-Labang </t>
  </si>
  <si>
    <t>Payment of allowance for the period of September 2022</t>
  </si>
  <si>
    <t xml:space="preserve">Jenny Vi Trinidad-Laygo </t>
  </si>
  <si>
    <t>Payment of allowance in Regional Trial Court for the month of September2022</t>
  </si>
  <si>
    <t>Replenishment of Revolving Fund for payment of donation to indigent constituents from Province of Bataan (October 11)</t>
  </si>
  <si>
    <t>Reimbursement for the facebook promotion/boosting of Bakunahan Bayanihan sa Barangay and Balik Eskwela Give away</t>
  </si>
  <si>
    <t>Reimbursement for the Facebook promotion/boosting of Best Practice ng Bataan sa Laban Kontra Covid 19 (May 14-20, 2022)</t>
  </si>
  <si>
    <t>Reimbursement for Voice-over of Most Business Friendly AVP 2022</t>
  </si>
  <si>
    <t>Reimbursement for renewal of OSL April 2023 to March 2024 for Medical X-ray Facility for CY 2023</t>
  </si>
  <si>
    <t xml:space="preserve">Rosario Baluyot </t>
  </si>
  <si>
    <t xml:space="preserve">May Kathleen Tablan </t>
  </si>
  <si>
    <t>Reimbursement for honorium of 2 speakers during ACLS BLS Training of staff Nurse of BCMH and Medicare on June 8-9, 2022</t>
  </si>
  <si>
    <t>Replenishment of miscellanepis expenses of ODH from August 8 - September 29, 2022</t>
  </si>
  <si>
    <t xml:space="preserve">Melinda Layug </t>
  </si>
  <si>
    <t>Replenishment of emergency purchase of NBB Patients of JPMH for the period of September 29 - October 3, 2022</t>
  </si>
  <si>
    <t>Replenishment of cash advance to defray payment of Daily Market Purchase from September 24-30, 2022</t>
  </si>
  <si>
    <t xml:space="preserve">Romeo Joseph Gatbunton </t>
  </si>
  <si>
    <t xml:space="preserve">Dennis Christian Villanueva </t>
  </si>
  <si>
    <t xml:space="preserve">Jose Marie Quimboy </t>
  </si>
  <si>
    <t>Payment of allowance for the period of September2022</t>
  </si>
  <si>
    <t xml:space="preserve">Christine Joy Prestoza </t>
  </si>
  <si>
    <t>Reimbursement of emergency purchase of JPMH from September 29 - October 3, 2022</t>
  </si>
  <si>
    <t>Replenishment of Incidental Expenses and Daily Market Purchase of BCMH fromSeptember 16-30, 2022</t>
  </si>
  <si>
    <t>Payment of fuel consumption od dated August 22 - 28, 2022 (MDH)</t>
  </si>
  <si>
    <t xml:space="preserve">Azucena Rito </t>
  </si>
  <si>
    <t>Payment of her 83.532 terminal leave</t>
  </si>
  <si>
    <t xml:space="preserve">Armilyn Incleto </t>
  </si>
  <si>
    <t>Payment of her Clothing Allowance for CY 2022</t>
  </si>
  <si>
    <t xml:space="preserve">Hanzel Reiko Garcia </t>
  </si>
  <si>
    <t xml:space="preserve">Nonalyn Sacramento </t>
  </si>
  <si>
    <t>DONATION TO NERISSA GARDOSE FOR HER HOSPITAL BILL AND MEDICAL NEEDS</t>
  </si>
  <si>
    <t xml:space="preserve">Elfren Jessie de Guzman Gamueda </t>
  </si>
  <si>
    <t>DONATION TO RUBY ANN GAMUEDA AND ELEAZAR ZIMRI GAMUEDA FOR THEIR HOSPITAL BILLS</t>
  </si>
  <si>
    <t xml:space="preserve">Harvey C. De Leon </t>
  </si>
  <si>
    <t>DONATION TO JENNICA ROSE DE LEON AND JILLIAN LEAñO FOR THEIR HOSPITAL BILL</t>
  </si>
  <si>
    <t xml:space="preserve">Maricel T. Cabanela </t>
  </si>
  <si>
    <t>DONATION TO ROLANDO ENRIQUEZ FOR HIS HOSPITAL BILL</t>
  </si>
  <si>
    <t xml:space="preserve">Marlen S. Ladra </t>
  </si>
  <si>
    <t>DONATION TO MARTINIANO LADRA FOR HIS HOSPITAL BILL</t>
  </si>
  <si>
    <t xml:space="preserve">Christian Ray Paolo L. Dizon </t>
  </si>
  <si>
    <t>DONATION TO FILOMENA DIZON FOR HER HOSPITAL BILL</t>
  </si>
  <si>
    <t xml:space="preserve">Manilyn L. Chavez </t>
  </si>
  <si>
    <t>DONATION TO JULES DABU FOR HIS HOSPITAL BILL</t>
  </si>
  <si>
    <t xml:space="preserve">Rowena D. Gacayan </t>
  </si>
  <si>
    <t>DONATION TO BRYAN GACAYAN FOR HIS HOSPITAL BILL</t>
  </si>
  <si>
    <t xml:space="preserve">Claire de Leon Caringal </t>
  </si>
  <si>
    <t xml:space="preserve">Bernardo C. Oria </t>
  </si>
  <si>
    <t xml:space="preserve">Gellie B. Manuel </t>
  </si>
  <si>
    <t>DONATION TO IVAN JOSEPH MANUEL FOR HIS MEDICAL NEEDS</t>
  </si>
  <si>
    <t xml:space="preserve">Marella C. Mossesgeld </t>
  </si>
  <si>
    <t>DONATION TO JOHN AL JEROME MOSSESGELD FOR HIS HOSPITAL BILL,PROFESSIONAL FEE AND MEDICAL NEEDS</t>
  </si>
  <si>
    <t xml:space="preserve">Julie Ann D. De Vega </t>
  </si>
  <si>
    <t>DONATION TO LUCENA DERLA FOR HER HOSPITAL BILL</t>
  </si>
  <si>
    <t xml:space="preserve">Derick Jones A. Dilig </t>
  </si>
  <si>
    <t>DONATION TO XHYLENE SUMILLANO FOR HER HOSPITAL BILL</t>
  </si>
  <si>
    <t>Cash advance of cash prizes for 4th raffle draw for "Bakunahan Bayanihan sa Barangay Pinalakas and Boosted na Bataeño: Part 2: Tuloy-Tuloy and Panalo ng Boosted na Bataeño (October 3-7, 2022 &amp; October 10-14, 2022) on October 17, 2022</t>
  </si>
  <si>
    <t xml:space="preserve">Shayne Francess Sablan </t>
  </si>
  <si>
    <t>Payment of Maternity Leave</t>
  </si>
  <si>
    <t xml:space="preserve">Alexander Baluyot </t>
  </si>
  <si>
    <t>Advance payment of per diem and registration fee for attending the Seminar- Workshop on the foundation of peace and Order Public Safety Plan (POPS PLAN) and Retooling on Peace and Order Safety Plan-Policy Compliance Monitoring System (POPSP-PCMS) on October 20-21, 2022</t>
  </si>
  <si>
    <t xml:space="preserve">Raul P. Atentar </t>
  </si>
  <si>
    <t xml:space="preserve">Arcely Dabu </t>
  </si>
  <si>
    <t>DONATION TO RODOLFO STA. CRUZ FOR HIS MEDICAL NEEDS</t>
  </si>
  <si>
    <t xml:space="preserve">Joel Mercado </t>
  </si>
  <si>
    <t>DONATION TO JHANNA MARIE MERCADO FOR HER HOSPITAL BILL AND MEDICAL NEEDS</t>
  </si>
  <si>
    <t xml:space="preserve">Luisito Ariola </t>
  </si>
  <si>
    <t>DONATION TO MYRNA ARIOLA FOR HER HOSPITAL BILL</t>
  </si>
  <si>
    <t xml:space="preserve">Nicolas Tolentino </t>
  </si>
  <si>
    <t>DONATION TO LEONILA TOLENTINO FOR HER MEDICAL NEEDS</t>
  </si>
  <si>
    <t xml:space="preserve">Ma. Alina Sta. Cruz </t>
  </si>
  <si>
    <t>DONATION TO VIRGILIO STA. CRUZ FOR HIS MEDICAL NEEDS</t>
  </si>
  <si>
    <t>Tarpaulin to be used for "2022 SGLG National Validation" on August 30, 2022</t>
  </si>
  <si>
    <t xml:space="preserve">Jennifer Pruna </t>
  </si>
  <si>
    <t>DONATION TO LAURA SUSI FOR HER HOSPITAL BILL</t>
  </si>
  <si>
    <t xml:space="preserve">Alicia Santos </t>
  </si>
  <si>
    <t>DONATION TO ANGELINE SANTOS FOR HER HOSPITAL BILL</t>
  </si>
  <si>
    <t xml:space="preserve">Donna Mae Vallejos </t>
  </si>
  <si>
    <t>DONATION TO ARIEL GARCIA FOR HIS HOSPITAL BILL</t>
  </si>
  <si>
    <t xml:space="preserve">Irineo Silvestre Jr. </t>
  </si>
  <si>
    <t>DONATION TO DON JOHNSON SILVESTRE FOR HIS HOSPITAL BILL</t>
  </si>
  <si>
    <t xml:space="preserve">Lolita Gonzales </t>
  </si>
  <si>
    <t xml:space="preserve">Fina Rae Cabañero </t>
  </si>
  <si>
    <t>DONATION TO WILSON SOBRITCHEA FOR HIS BURIAL EXPENSES</t>
  </si>
  <si>
    <t xml:space="preserve">Chamberlin Pajares </t>
  </si>
  <si>
    <t>DONATION TO CLARISSA PAJARES FOR HER HOSPITAL BILL</t>
  </si>
  <si>
    <t xml:space="preserve">Armando Reyes </t>
  </si>
  <si>
    <t>DONATION TO REMIGIO REYES FOR HIS HOSPITAL BILL</t>
  </si>
  <si>
    <t xml:space="preserve">Wilson dela Cruz </t>
  </si>
  <si>
    <t>DONATION TO ELVIRA DELA CRUZ FOR HER HOSPITAL BILL</t>
  </si>
  <si>
    <t xml:space="preserve">Jocelyn A. Panotes </t>
  </si>
  <si>
    <t>DONATION TO JOVELYN ORIAS FOR HER HOSPITAL BILL</t>
  </si>
  <si>
    <t xml:space="preserve">Riomil Conrad D. Santiago </t>
  </si>
  <si>
    <t>DONATION TO RHODA SANTIAGO FOR HER HOSPITAL BILL</t>
  </si>
  <si>
    <t xml:space="preserve">Myrna F. Bucad </t>
  </si>
  <si>
    <t>DONATION TO FERRY BUCAD FOR HIS BURIAL EXPENSES</t>
  </si>
  <si>
    <t xml:space="preserve">Susan O. Capili </t>
  </si>
  <si>
    <t>DONATION TO ROSARIO ONGOCO FOR HER BURIAL EXPENSES</t>
  </si>
  <si>
    <t xml:space="preserve">Monica M. Zabala </t>
  </si>
  <si>
    <t>DONATION TO GIL ZABALA FOR HIS HOSPITAL BILL</t>
  </si>
  <si>
    <t xml:space="preserve">Mica Patricia de Jesus Mañalac </t>
  </si>
  <si>
    <t>DONATION TO JOCELYN MAñALAC FOR HER HOSPITAL BILL</t>
  </si>
  <si>
    <t xml:space="preserve">Yolanda T. de Leon </t>
  </si>
  <si>
    <t>DONATION TO SHANE MAE DE JESUS FOR HER HOSPITAL BILL</t>
  </si>
  <si>
    <t>Replenishment of Revolving Fund for payment of donations of indigent constituents in the province of Bataan</t>
  </si>
  <si>
    <t xml:space="preserve">Loida P. Refuerzo </t>
  </si>
  <si>
    <t>DONATION TO VIRGILIO PAYONGAYONG FOR HIS HOSPITAL BILL</t>
  </si>
  <si>
    <t xml:space="preserve">Amparo C. Camungol </t>
  </si>
  <si>
    <t>DONATION TO MARIA CADUNGOG FOR HER BURIAL EXPENSES</t>
  </si>
  <si>
    <t xml:space="preserve">Leonida Q. Teves </t>
  </si>
  <si>
    <t>DONATION TO JULIUS JOSE TEVES FOR HIS HOSPITAL BILL AND MEDICAL NEEDS</t>
  </si>
  <si>
    <t xml:space="preserve">Feliza M. Agranum </t>
  </si>
  <si>
    <t>DONATION TO JESUS AGRANUM FOR HIS HOSPITAL BILL AND MEDICAL NEEDS</t>
  </si>
  <si>
    <t xml:space="preserve">Cecile D. Dela Cruz </t>
  </si>
  <si>
    <t>DONATION TO NORMITA DELGADO FOR HER HOSPITAL BILL AND MEDICAL NEEDS</t>
  </si>
  <si>
    <t xml:space="preserve">Antonia A. Borbe </t>
  </si>
  <si>
    <t>DONATION TO ADELAIDA BORBE FOR HER BURIAL EXPENSES</t>
  </si>
  <si>
    <t xml:space="preserve">Evelyn G. Bugay </t>
  </si>
  <si>
    <t>DONATION TO SOLIMAN BUGAY FOR HIS BURAL EXPENSES</t>
  </si>
  <si>
    <t xml:space="preserve">Florojon P. Manalili </t>
  </si>
  <si>
    <t>DONATION TO ROSE MANALILI FOR HER BURIAL EXPENSES</t>
  </si>
  <si>
    <t xml:space="preserve">Regine P. de Mesa </t>
  </si>
  <si>
    <t>DONATION TO RENELL JR. DE MESA FOR HIS MEDICAL NEEDS</t>
  </si>
  <si>
    <t>DONATION TO FERNANDO ROBLES FOR HIS BURIAL EXPENSES</t>
  </si>
  <si>
    <t xml:space="preserve">Gilbert A. Pastelero </t>
  </si>
  <si>
    <t xml:space="preserve">Maria Luisa L. Florentino </t>
  </si>
  <si>
    <t>DONATION TO EFREN MARQUEZ FOR HIS MEDICAL NEEDS</t>
  </si>
  <si>
    <t xml:space="preserve">Elizabeth B. Rodriguez </t>
  </si>
  <si>
    <t>DONATION TO CELIA BERNALDO FOR HER MEDICAL NEEDS</t>
  </si>
  <si>
    <t xml:space="preserve">Mae C. Gigante </t>
  </si>
  <si>
    <t>DONATION TO MARGARET CASERO FOR HER MEDICAL NEEDS</t>
  </si>
  <si>
    <t xml:space="preserve">Jennifer D. Delos Reyes </t>
  </si>
  <si>
    <t xml:space="preserve">John Denver N. de Guzman </t>
  </si>
  <si>
    <t>DONATION TO ANGELI DIANNE DE GUZMAN FOR HER HOSPITAL BILL</t>
  </si>
  <si>
    <t xml:space="preserve">Nory S. Bernal </t>
  </si>
  <si>
    <t>DONATION TO ANN KIMBERLY BANTOY FOR HER HOSPITAL BILL</t>
  </si>
  <si>
    <t xml:space="preserve">Maria Angelica S. Laguitan </t>
  </si>
  <si>
    <t>DONATION TO JULIE LAGUITAN FOR HER HOSPITAL BILL</t>
  </si>
  <si>
    <t>DONATION TO RENATO BUGAY FOR HIS BURIAL EXPENSES</t>
  </si>
  <si>
    <t xml:space="preserve">Glezzy C. Peran </t>
  </si>
  <si>
    <t>DONATION TO JOSEFINA CANOZA FOR HER HOSPITAL BILL</t>
  </si>
  <si>
    <t xml:space="preserve">Coney Z. Enriquez </t>
  </si>
  <si>
    <t>DONATION TO MON ALVIN ENRIQUEZ FOR HIS MEDICAL NEEDS</t>
  </si>
  <si>
    <t xml:space="preserve">Rodolfo V. Concepcion </t>
  </si>
  <si>
    <t>DONATION TO RUBIE LYN VALDEZ FOR HER HOSPITAL BILL</t>
  </si>
  <si>
    <t xml:space="preserve">Ricardo Y. Zosimo </t>
  </si>
  <si>
    <t>DONATION TO ROSARIO ZOSIMO FOR HER HOSPITAL BILL</t>
  </si>
  <si>
    <t xml:space="preserve">Caridad C. Banzon </t>
  </si>
  <si>
    <t>DONATION TO EMILIANO JR. CERNIAS FOR HIS BURIAL EXPENSES</t>
  </si>
  <si>
    <t xml:space="preserve">Mary Ann N. De Dios </t>
  </si>
  <si>
    <t>DONATION TO LIENDSY ANN AFABLE FOR HER BURIAL EXPENSES</t>
  </si>
  <si>
    <t xml:space="preserve">Josephine R. Torres </t>
  </si>
  <si>
    <t>DONATION TO JOSE RONTALO FOR HIS BURIAL EXPENSES</t>
  </si>
  <si>
    <t xml:space="preserve">Elmer R. Santos </t>
  </si>
  <si>
    <t>DONATION TO ELISEO SANTOS FOR HIS BURIAL EXPENSES</t>
  </si>
  <si>
    <t xml:space="preserve">Liezel dela Torre Manrique </t>
  </si>
  <si>
    <t>DONATION TO LUISA MANRIQUE FOR HER BURIAL EXPENSES</t>
  </si>
  <si>
    <t xml:space="preserve">Flora S. De Guzman </t>
  </si>
  <si>
    <t>DONATION TO RENATO DE GUZMAN FOR HIS HOSPITAL BILL</t>
  </si>
  <si>
    <t xml:space="preserve">Genelyn R. Padilla </t>
  </si>
  <si>
    <t>DONATION TO MARY JEAN MONTAñO FOR HER HOSPITAL BILL AND MEDICAL NEEDS</t>
  </si>
  <si>
    <t>DONATION TO ALFREDO SR. CASBADILLO FOR HIS BURIAL EXPENSES</t>
  </si>
  <si>
    <t xml:space="preserve">Nerissa P. Verona </t>
  </si>
  <si>
    <t xml:space="preserve">Rommel V. Bundang </t>
  </si>
  <si>
    <t xml:space="preserve">Boyet R. Bautista </t>
  </si>
  <si>
    <t>DONATION TO ROXANNE LORRAINE BAUTISTA AND REIGN AEYLA FLORES FOR THEIR HOSPITAL BILLS</t>
  </si>
  <si>
    <t xml:space="preserve">Zaira T. Lopez </t>
  </si>
  <si>
    <t>Payment of Allowance for the month of January 202</t>
  </si>
  <si>
    <t xml:space="preserve">Edgar O. Magalang </t>
  </si>
  <si>
    <t>DONATION TO ROSALINDA MAGALANG FOR HER HOSPITAL BILL</t>
  </si>
  <si>
    <t>Payment of newspaper for the month of September 202</t>
  </si>
  <si>
    <t>Payment of News paper for the month of September 2022</t>
  </si>
  <si>
    <t>Payment of fire insurance IT BLDG. (ALA ULI, PILAR, BATAAN) SUNRISE BLDG. (DONA,ORION, BATAAN), PERIMETER FENCE &amp; ENTRANCE GATE (DONA,ORANI, BATAAN)PARKING AREA(ORANI, BATAAN) MARIVELES DISTRICT HOSPITAL BLDG., DOG COLLAR (MT. SAMAT, PILAR, BATAAN), NBI DISTRICT OFFICE (BRGY. DONA,ORANI, BATAAN), COVERED COURT (BRGY. TENEJERO, BALANGA CITY, BATAAN)</t>
  </si>
  <si>
    <t>Payment of fire insurance CCTV FIBER OPTIC CONNECTIVITY</t>
  </si>
  <si>
    <t>Payment of fire insurance of IMPROVEMENTS OF BARRACKS 48TH 1B (BRGY. CAMACHO, BALANGA, BATAAN), BRGY. SAN CARLOS HALL BLDG. (BRGY. SAN CARLOS, MARIVELES, BATAAN), MULTI-PURPOSE (COVERED COURT)- BRGY. TANATO, BALANGA, MULTI-PURPOSE(COVERED COURT)- BRGY. SABATAN, ORION, BATAAN</t>
  </si>
  <si>
    <t>Payment of fire insurance NEW POWER HOUSE AT ORANI DISTRICT HOSPITAL (ORANI, BATAAN), MULTI-PURPOSE BLDG. (MT. VIEW, MARIVELES, BATAAN), DAY CARE CENTER (CENTRO I, ORANI, BATAAN), DAY CARE CENTER (DAAN PARE, ORION, BATAAN), STREET LIGHTS (BRGY. BATAN MUNTI, PILAR, BATAAN), TWO (2) STOREY DORMITORY BLDG.</t>
  </si>
  <si>
    <t>Reimburse for Meals during meeting of Gov Joet Garcia with creative HQ &amp; Yonsei University</t>
  </si>
  <si>
    <t>Reimburse for Meals during various meetings</t>
  </si>
  <si>
    <t>Reimbursement of gasoline expenses of JCPJMH from September 23 - 30, 2022</t>
  </si>
  <si>
    <t>Allowance for the month of Septembe</t>
  </si>
  <si>
    <t xml:space="preserve">Barangay Treasurer - Wakas South Pilar Bataan </t>
  </si>
  <si>
    <t>Subsidy to Barangay Wakas South Pilar Bataan for their annual cultural activity on October 11, 2022</t>
  </si>
  <si>
    <t xml:space="preserve">Barangay Treasurer - Banawang Bagac Bataan </t>
  </si>
  <si>
    <t>Subsidy to Barangay Banawang Bagac, Bataan for their annual cultural activity on September 29, 2022</t>
  </si>
  <si>
    <t xml:space="preserve">Barangay Treasurer - Sta. Isabel Dinalupihan Bataan </t>
  </si>
  <si>
    <t>Subsidy to Barangay Sta. Isabel Dinalupihan Bataan for their Annual Cultural Activity on November 3, 202</t>
  </si>
  <si>
    <t xml:space="preserve">Municipal Treasurer - Abucay Bataan </t>
  </si>
  <si>
    <t>Subsidy to Municipality of Abucay Bataan for their annual cultural activity on October 27,28 and 29, 2022</t>
  </si>
  <si>
    <t xml:space="preserve">Barangay Treasurer - Del Rosario Pilar Bataan </t>
  </si>
  <si>
    <t>Subsidy to Barangay Bantan Del Rosario Pilar Bataan for their annual cultural activity on October 12, 2022</t>
  </si>
  <si>
    <t xml:space="preserve">Barangay Treasurer - Burgos Pilar Bataan </t>
  </si>
  <si>
    <t>Subsidy to Barangay Burgos Pilar Bataan for their annual cultural activity on October 12, 2022</t>
  </si>
  <si>
    <t xml:space="preserve">Barangay Treasurer - Bantan Munti Pilar Bataan </t>
  </si>
  <si>
    <t>Subsidy to Barangay Bantan Munti Pilar Bataan for their annual cultural activity on October 12, 2022</t>
  </si>
  <si>
    <t xml:space="preserve">Barangay Treasurer - Rizal Pilar Bataan </t>
  </si>
  <si>
    <t>Subsidy to Barangay Rizal Pilar Bataan for their annual cultural activity on October 12, 2022</t>
  </si>
  <si>
    <t xml:space="preserve">Barangay Treasurer - Bagumbayan Pilar Bataan </t>
  </si>
  <si>
    <t xml:space="preserve">Barangay Treasurer - San Francisco De Asis Limay Bataan </t>
  </si>
  <si>
    <t>Subsidy to Barangay San Francisco De Asis Limay Bataan for their annual cultural activity on October 4, 2022</t>
  </si>
  <si>
    <t xml:space="preserve">Barangay Treasurer - Landing Limay Bataan </t>
  </si>
  <si>
    <t>Subsidy to Barangay Landing Limay Bataan for their annual cultural activity on October 3 to 4, 2022</t>
  </si>
  <si>
    <t xml:space="preserve">Barangay Treasurer - St. Francis II Limay Bataan </t>
  </si>
  <si>
    <t>Subsidy to Barangay St. Francis II Limay Bataan for their annual cultural activity on October 3 to 4, 2022</t>
  </si>
  <si>
    <t xml:space="preserve">Barangay Treasurer - Kitang 2 &amp; Luz Limay Bataan </t>
  </si>
  <si>
    <t>Subsidy to Barangay Kitang 2 &amp; Luz Limay Bataan for their annual cultural activity on October 20 to 24, 2022</t>
  </si>
  <si>
    <t xml:space="preserve">Barangay Treasurer - Reformista Limay Bataan </t>
  </si>
  <si>
    <t>Subsidy to Barangay Reformista Limay Bataan for their Annual Cultural Activity on October 3 to 4, 2022</t>
  </si>
  <si>
    <t xml:space="preserve">Barangay Treasurer - Wawa Limay Bataan </t>
  </si>
  <si>
    <t>Subsidy to Barangay Wawa Limay, Bataan for their annual cultural activity on October 3-4, 2022</t>
  </si>
  <si>
    <t xml:space="preserve">Barangay Treasurer - Duale Limay Bataan </t>
  </si>
  <si>
    <t>Subsidy to Barangay Duale Limay for their annual cultural acitivity on November 2, 2022</t>
  </si>
  <si>
    <t>Payment of fuel consumption for the period of September 19-25, 2022(PGO)</t>
  </si>
  <si>
    <t>Payment of fuel consumption od dated Sept. 12 - 18, 2022</t>
  </si>
  <si>
    <t xml:space="preserve">Sheena Yvette M. Manansala </t>
  </si>
  <si>
    <t>Donation to for reprensing the Province for the Mr. Ms Youth ECO Tourism National Pageant Grand Coronation on October 19-22, 2022</t>
  </si>
  <si>
    <t>Payment of Internet subscription with account number 13544 October 1-31, 2022</t>
  </si>
  <si>
    <t>Internet bill of Malasakit MAriveles for July 17-Sept 16, 2022</t>
  </si>
  <si>
    <t>Reimbursement of her expenses for the honorarium of professional referee and commentators for the conduct of the Bataan PPO Sportfest 2022 from July 28 - August 19, 2022</t>
  </si>
  <si>
    <t>Reimbursement the amount paid for LTO Registration of one (1) Service Vehicle</t>
  </si>
  <si>
    <t xml:space="preserve">Rona Mikaela M. Zulueta </t>
  </si>
  <si>
    <t>Payment of her maternity leave from August 30-December 12, 2022</t>
  </si>
  <si>
    <t>Parts and labor for the repair of airconditioning system of Toyota Hilux SHJ-698 of PEO owned by the Provincial Government of Bataan</t>
  </si>
  <si>
    <t>3-Port Usb 3.0 HUB with Gigabit ethernet adapter to be used in the Provincial Treasurer's Office</t>
  </si>
  <si>
    <t>Payment of honorarium for the month of September 2022</t>
  </si>
  <si>
    <t>Payment of Honorarium for the month of September 2022</t>
  </si>
  <si>
    <t>Snacks for Beneficiaries of the PGB Medical Assistance Program Implementation on September 20, 2022</t>
  </si>
  <si>
    <t xml:space="preserve">Joseph Aldrin Magtanong </t>
  </si>
  <si>
    <t>Payment of Provincial Allowance for the month of September 2022</t>
  </si>
  <si>
    <t xml:space="preserve">Ludovino Joseph Augusto L. Tobias, Jr. </t>
  </si>
  <si>
    <t>Payment of allowance for the month of September2022</t>
  </si>
  <si>
    <t xml:space="preserve">Myraflor L. Chavez </t>
  </si>
  <si>
    <t>Payment of IT Service fees of the annotation on the Certificate of Title in Subsequent Registration for the Warrant of Levy Issued by the Province dated June 17, 2022</t>
  </si>
  <si>
    <t>Registry of Deeds of Balanga Bataan</t>
  </si>
  <si>
    <t>Payment of LRA fees of the annotation on the Certificate of Title in Subscquent Registration for the Warrant of Levy issued by the Province dated June 17, 2022</t>
  </si>
  <si>
    <t>Marivic T. Triguero</t>
  </si>
  <si>
    <t>Cash advance for of Special Program for Employment of students (SPES) from Aug 9-Sept 8, 2022</t>
  </si>
  <si>
    <t>Atty. Fatima Naryl K. Pagongan</t>
  </si>
  <si>
    <t>Marjorie Anne T. Ganzon</t>
  </si>
  <si>
    <t>Advance payment of transporatation expenses, per diem and registration fee for attending the 2-day Seminar-Workshop on the Formulation of Peace and Order Public Safety Plan (POPS Plan) and Retooling on Peace &amp; Order Public Safety Plan-Policy Compliance Monitoring System ( POPSP - PCMS) on Oct 20-21, 2022</t>
  </si>
  <si>
    <t>Fuel Plus Trading</t>
  </si>
  <si>
    <t>Fuel on different service vehicle used by Tourism, PDRRMO &amp; PNP Sept 5-11, 2022</t>
  </si>
  <si>
    <t>Payment of fuel consumption for the period September 19-25, 2022 (MBDA)</t>
  </si>
  <si>
    <t>Provincial Government of Bataan - Regular Trust</t>
  </si>
  <si>
    <t>Trust Fund-Transfer of fund regular trus tha amount paid to Jonie Rose Trading (Office Supplies for the use of Provincial Health Office</t>
  </si>
  <si>
    <t>DepEd, Bataan</t>
  </si>
  <si>
    <t>Subsidy to Dinalupihan District Teacher Association Federated PTA for the additional expenses incurred during the celebration of World Teachers Day held las October 5, 2022</t>
  </si>
  <si>
    <t>Melody Joy C. Flores</t>
  </si>
  <si>
    <t>DONATION TO LUISA CRUZ FOR HER HOSPITAL BILL</t>
  </si>
  <si>
    <t>Jaena Shiela R. Ravago</t>
  </si>
  <si>
    <t>DONATION TO SIMEON JR. RAVAGO FOR HIS BURIAL EXPENSES</t>
  </si>
  <si>
    <t>Balanga Medical Center (BMCC) Corporation</t>
  </si>
  <si>
    <t>DONATION FOR THE HOSPITAL BILLS COVERING THE PERIOD SEPTEMBER 19-22,2022</t>
  </si>
  <si>
    <t>Isaac and Catalina Medical Center Inc.</t>
  </si>
  <si>
    <t>DONATION FOR THE HOSPITAL BILLS COVERING THE PERIOD SEPTEMBER 19-23,2022</t>
  </si>
  <si>
    <t>Centro Medico de Santisimo Rosario, Inc.</t>
  </si>
  <si>
    <t>Orion St. Michael Hospital Inc.</t>
  </si>
  <si>
    <t>Rachel M. Leaño</t>
  </si>
  <si>
    <t>Adela dela Fuente dela Rosa</t>
  </si>
  <si>
    <t>DONATION TO RAMIR DELA ROSA FOR HIS BURIAL EXPENSES</t>
  </si>
  <si>
    <t>Jennifer R. Ramirez</t>
  </si>
  <si>
    <t>DONATION TO DOMINGO RAMIREZ FOR HIS MEDICAL NEEDS</t>
  </si>
  <si>
    <t>Justine A. Masangkay</t>
  </si>
  <si>
    <t>DONATION TO CHRISTIE ANN MASANGKAY AND NATHANIEL MASANGKAY FOR THEIR HOSPITAL BILL</t>
  </si>
  <si>
    <t>Eduardo San Juan Monforte</t>
  </si>
  <si>
    <t>DONATION TO MERLITA MONFORTE FOR HER HOSPITAL BILL</t>
  </si>
  <si>
    <t>Evangeline R. Miranda</t>
  </si>
  <si>
    <t>DONATION TO AUGUSTO MIRANDA FOR HIS BURIAL EXPENSES</t>
  </si>
  <si>
    <t>Rheane Camille G. Lacson</t>
  </si>
  <si>
    <t>DONATION TO JASON LACSON FOR HIS MEDICAL NEEDS</t>
  </si>
  <si>
    <t>Alma T. Matacot</t>
  </si>
  <si>
    <t>DONATION TO MARCOS JR. TINAO FOR HIS BURIAL EXPENSES</t>
  </si>
  <si>
    <t>Rita D. Canaria</t>
  </si>
  <si>
    <t>DONATION TO KRISTEL CANARIA FOR HER BURIAL EXPENSES</t>
  </si>
  <si>
    <t>Christopher Ian J. de Jesus</t>
  </si>
  <si>
    <t>DONATION TO CHRIST ZEUS DE JESUS FOR HIS HOSPITAL BILL</t>
  </si>
  <si>
    <t>Enrico T. Yuzon</t>
  </si>
  <si>
    <t>Cash advance to defray for the payment of Honorarium for Pangkat Kawayan and Koro Bangkal on October 26, 2022</t>
  </si>
  <si>
    <t>Atty. Fernando S. Mendoza II</t>
  </si>
  <si>
    <t>Reimbursement for the amount paid for the mailed letters and couriers under the Provincial Legal Office for the month of August &amp; September, 2022</t>
  </si>
  <si>
    <t>Atty. James P. Bendaen</t>
  </si>
  <si>
    <t>Atty. Stacy Anne V. Pagarigan</t>
  </si>
  <si>
    <t>Atty. Nestly A. Querubin</t>
  </si>
  <si>
    <t>Marlene D. Guinto</t>
  </si>
  <si>
    <t>Enriquetta Bantugan</t>
  </si>
  <si>
    <t>Keesha Camille D. Del Rosario</t>
  </si>
  <si>
    <t>Philger Noel B. Inovejas</t>
  </si>
  <si>
    <t>Thea Marie S. Malcampo</t>
  </si>
  <si>
    <t>Atty. Francis S. Mandocdoc</t>
  </si>
  <si>
    <t>Sherlyn L. Ragasa</t>
  </si>
  <si>
    <t>Charina P. Pascua</t>
  </si>
  <si>
    <t>Bethsaida D. Ongoco</t>
  </si>
  <si>
    <t>Catalina O. Sumandal</t>
  </si>
  <si>
    <t>Karen Suello</t>
  </si>
  <si>
    <t>Damaso P. Asuncion Jr.</t>
  </si>
  <si>
    <t>Payment of allowance for the month of September20222022</t>
  </si>
  <si>
    <t>Ana Florence Cuntapay-Oamil</t>
  </si>
  <si>
    <t>Oamil- Payment of allowance for the month of September20222022</t>
  </si>
  <si>
    <t>Leticia Nicolas</t>
  </si>
  <si>
    <t>Juliet Sangalang-Salaria</t>
  </si>
  <si>
    <t>Salaria- Payment of allowance for the month of September20222</t>
  </si>
  <si>
    <t>Jeanalyn O. Bantugan</t>
  </si>
  <si>
    <t>Suzette C. Sebastian</t>
  </si>
  <si>
    <t>Wimbek Ferekus S. Tajonera</t>
  </si>
  <si>
    <t>Keith S. Marcelo</t>
  </si>
  <si>
    <t>Oscar M. Lasam</t>
  </si>
  <si>
    <t>Arceli c. Punay</t>
  </si>
  <si>
    <t>Geraldine L. Buenaventura</t>
  </si>
  <si>
    <t>Romulo S. Mandocdoc Jr.</t>
  </si>
  <si>
    <t>Atty. Donnabelle B. Sierra</t>
  </si>
  <si>
    <t>Atty. Kim Israel S. Buhain</t>
  </si>
  <si>
    <t>Atty. Darwin A. Delatado</t>
  </si>
  <si>
    <t>Atty. Gay D. Gonzaga</t>
  </si>
  <si>
    <t>Aida del Rosario</t>
  </si>
  <si>
    <t>Maricar Palma dela Cruz-Buban</t>
  </si>
  <si>
    <t>Buban- Payment of allowance for the month of September20222022</t>
  </si>
  <si>
    <t>April Jacob C. Castro</t>
  </si>
  <si>
    <t>Alvin Benitez</t>
  </si>
  <si>
    <t>DONATION TO GLENNIE ROSE BENITEZ FOR HER HOSPITAL BILL</t>
  </si>
  <si>
    <t>Smart Communications, Inc.</t>
  </si>
  <si>
    <t>Payment for Mobile Expenses for the Covered Period of September 1-30, 2022 (1057146687)</t>
  </si>
  <si>
    <t>Payment for Mobile Expenses for the Covered Period of September 1-30, 2022 (0800283558)</t>
  </si>
  <si>
    <t>Payment for Mobile Expenses for the Covered Period of September 1-30, 2022 (0792238092)</t>
  </si>
  <si>
    <t>Payment for Mobile Expenses for the Covered Period of September 1-30, 2022 (1057156186)</t>
  </si>
  <si>
    <t>Payment for Mobile Expenses for the Covered Period of September 1-30, 2022 (0806416150)</t>
  </si>
  <si>
    <t>Payment for Mobile Expenses for the Covered Period of 8/16 - 9/15/22 Acount number 0747823030</t>
  </si>
  <si>
    <t>Paymen of Plant 300 for Employees assigned as monitoring gathering, and analysing Covi 2019 related data in the Province of Bataan Covering Period for the month of September 2022</t>
  </si>
  <si>
    <t>Glennie Rose Benitez</t>
  </si>
  <si>
    <t>Payment of Maternity Leave from September 25, 2022 to December 31, 2022</t>
  </si>
  <si>
    <t>Raymond Dela Peña Vinzon</t>
  </si>
  <si>
    <t>DONATION TO ABEGAIL VINZON FOR HER HOSPITAL BILL</t>
  </si>
  <si>
    <t>JIC Trading</t>
  </si>
  <si>
    <t>Replacement of Heavy Duty 3SM Battery for the used of MBDA service Vehicle VV6467, VV6432, P0M457, NII529, SHW604</t>
  </si>
  <si>
    <t>Filac's Catering Services</t>
  </si>
  <si>
    <t>Meals &amp; snacks for the Training Course on Diversified &amp; integrated Farming System (Development of Farm Tourism Sites / Camp) on August 30, 31, &amp; September 1, 2022 at Limay, Bataan</t>
  </si>
  <si>
    <t>AMA Computer Learning center</t>
  </si>
  <si>
    <t>Donation for their teachers appreciation day on October 22, 2022</t>
  </si>
  <si>
    <t>John Denver Catapang</t>
  </si>
  <si>
    <t>Donation to Dept. of Civil Engineering in BPSU main for oral presentation and publication in the Climate change and Environtmental sustainability conference 2022 on October 5-7, 2022</t>
  </si>
  <si>
    <t>Kathreen Mae Gonez</t>
  </si>
  <si>
    <t>Payment of fuel consumption for the period of September 12-25, 2022 (PEO)</t>
  </si>
  <si>
    <t>Payment of fuel consumption on different service vehicle used by BJMP-Female, Tourism, P{DRRMO, OPA &amp; PHO for the period of September 12-18, 2022</t>
  </si>
  <si>
    <t>GSIS</t>
  </si>
  <si>
    <t>Payment of fire insurance TWO (2) STOREGY BRGY. HALL (BRGY. PANTINGAN, PILAR, BATAAN), MULTI-PURPOSE BLDG. (BRGY. MAGSAYSAY, DINALUPIHAN, BATAAN), DAY CARE CENTER (BRGY. SALIAN, ABUCAY, BATAAN), BUILDING BETWEEN OLD CAPITOL BLDG. AND THE BUNKER (CAPITOL COMPOUND, BALANGA CITY, BATAAN), BATAAN COMMAND CENTER BLDG. (BRGY. TAPULAO, ORANI, BATAAN</t>
  </si>
  <si>
    <t>Barangay Treasurer- Sibacan Balanga City</t>
  </si>
  <si>
    <t>Sibacan Balanga City - Subsidy to Barangay Sibacan Balanga City Bataan for their annual cultural activity on October 24, 2022</t>
  </si>
  <si>
    <t>Bataan St. Joseph Hospital &amp; Medical Center Corp.</t>
  </si>
  <si>
    <t>DONATION FOR THE HOSPITAL BILLS COVERING THE PERIOD SEPTEMBER 19-25,2022</t>
  </si>
  <si>
    <t>Barangay Treasurer Camachile Orion Bataan</t>
  </si>
  <si>
    <t>Camachile Orion Bataan - Subsidy to Barangay Camachile Orion Bataan for their annual cultural activity on October 20-24, 2022</t>
  </si>
  <si>
    <t>Benjamin C. Guevarra</t>
  </si>
  <si>
    <t>Donation to Orani Chess Club for Competing the Chess tournament on October 8, 2022</t>
  </si>
  <si>
    <t>Gena A. Abara</t>
  </si>
  <si>
    <t>Reimbursed payment of Water Analysis for Physical and Chemical test of Dialysis unit of JPMH with OR 655393 dated October 10, 2022</t>
  </si>
  <si>
    <t>Adrian King L. Sobejana</t>
  </si>
  <si>
    <t>Donation for his competing the 9th annual misters of Filipinas 2022 on October 16, 2022</t>
  </si>
  <si>
    <t>Samuel Odunlami</t>
  </si>
  <si>
    <t>Donation to Bataan Football Club for participating the upcoming subic-gapo 1st Football festival on October 23, 2022</t>
  </si>
  <si>
    <t>Glenn C. Diwa</t>
  </si>
  <si>
    <t>RA for the month of September, 2022</t>
  </si>
  <si>
    <t>Regine P. Mendoza</t>
  </si>
  <si>
    <t>Replenishment of Revolving Fund for payment of donation to indigent constituents from Province of Bataan (October 14-17)</t>
  </si>
  <si>
    <t>Payment of fuel consumption for the period of September 26 - October 2, 2022 (MBDA)</t>
  </si>
  <si>
    <t>Payment of fuel consumption for the period of September 26 - October 2, 2022 (PGO)</t>
  </si>
  <si>
    <t>Payment of fuel consumption for the period of September 05-11, 2022 (PEO)</t>
  </si>
  <si>
    <t>Clay Jefferson E. Pajarin</t>
  </si>
  <si>
    <t>DONATION TO SHIRLEY PAJARIN FOR HER HOSPITAL BILL AND MEDICAL NEEDS and professional fees</t>
  </si>
  <si>
    <t>Bernadette G. Vianzon</t>
  </si>
  <si>
    <t>DONATION TO FEDERICO II VIANZON FOR HIS BURIAL EXPENSES</t>
  </si>
  <si>
    <t>Loida A. Abrenica</t>
  </si>
  <si>
    <t>DONATION TO FEDERICO ARLIGUE FOR HIS BURIAL EXPENSES</t>
  </si>
  <si>
    <t>Arrabel L. Enriquez</t>
  </si>
  <si>
    <t>DONATION TO MIMOSA ENRIQUEZ FOR HER HOSPITAL BILL</t>
  </si>
  <si>
    <t>Maria Cristina V. Lopez</t>
  </si>
  <si>
    <t>Cash advance for honorarium re: CP assessment and awarding of intermediate wheelchairs on October 22, 23, 28, 29, 30, 2022</t>
  </si>
  <si>
    <t>Petty cash fund replenishment for COt 10-18, 2022</t>
  </si>
  <si>
    <t>Michelle I. Abesamis</t>
  </si>
  <si>
    <t>Replenishment for maket purchase of MDH for the period of September 21-28, 2022</t>
  </si>
  <si>
    <t>Replenishment of cash advance for emergency purchases of JPMH from October 4 - 6, 2022</t>
  </si>
  <si>
    <t>Replenishment of Emergency Purchases of NBB Patients of JPMH for the period from October 4 - 9, 2022</t>
  </si>
  <si>
    <t>Cynthia M. Tolentino</t>
  </si>
  <si>
    <t>Replenishment for market purchase for the period of October 1-10, 2022</t>
  </si>
  <si>
    <t>Jocelyn B. Fuentes</t>
  </si>
  <si>
    <t>Replenishement of cash advance to defray payment of Daily Market Purchase from Oct. 1-7, 2022</t>
  </si>
  <si>
    <t>Payment of LRA fees of the annotation on the Certificate of Title in Subsequent Registration for the Warrant of Levy issued by the Province dated June 2, 2022</t>
  </si>
  <si>
    <t>Payment of LRA fees of the annotation on the Certificate of Title in Subsequent Registration for the Warrant of Levy issued by the Province dated June 14, 2022</t>
  </si>
  <si>
    <t xml:space="preserve">Pilar G. Escala </t>
  </si>
  <si>
    <t>DONATION TO GILBERT ESCALA FOR HIS MEDICAL NEEDS</t>
  </si>
  <si>
    <t xml:space="preserve">Vincent M. Ricablanca </t>
  </si>
  <si>
    <t xml:space="preserve">Chubasco Jeffrey Margallo </t>
  </si>
  <si>
    <t>DONATION TO DONNA MARGALLO FOR HER HOSPITAL BILL</t>
  </si>
  <si>
    <t>DONATION TO RENATO BANZON FOR HIS HOSPITAL BILL</t>
  </si>
  <si>
    <t xml:space="preserve">Dhomson G. Gonzaga </t>
  </si>
  <si>
    <t>DONATION TO DOMINGO GONZAGA FOR HIS BURIAL EXPENSES</t>
  </si>
  <si>
    <t xml:space="preserve">Karl Philip M. Tanjutco </t>
  </si>
  <si>
    <t>DONATION TO ZENAIDA SANTOS FOR HER BURIAL EXPENSES</t>
  </si>
  <si>
    <t xml:space="preserve">Jerson D. De Guzman </t>
  </si>
  <si>
    <t>DONATION TO ROWENA DE GUZMAN FOR HER HOSPITAL BILL</t>
  </si>
  <si>
    <t xml:space="preserve">Babylen Y. De Leon </t>
  </si>
  <si>
    <t>DONATION TO RONALD JAY DE LEON FOR HIS HOSPITAL BILL</t>
  </si>
  <si>
    <t xml:space="preserve">Belinda E. Maulanin </t>
  </si>
  <si>
    <t>DONATION TO LETICIA EMPLEO FOR HER BURIAL EXPENSES</t>
  </si>
  <si>
    <t xml:space="preserve">Ricardo Jr. F. Galang </t>
  </si>
  <si>
    <t>DONATION HERMINIA GALANG FOR HER BURIAL EXPENSES</t>
  </si>
  <si>
    <t xml:space="preserve">Gabriel B. Buenaventura </t>
  </si>
  <si>
    <t>DONATION TO REMEGIO BUENAVENTURA FOR HER HOSPITAL BILL</t>
  </si>
  <si>
    <t xml:space="preserve">Bernie F. Venegas </t>
  </si>
  <si>
    <t>DONATION TO ZENAIDA VENEGAS FOR HER HOSPITAL BILL</t>
  </si>
  <si>
    <t xml:space="preserve">Joel S. De Guzman </t>
  </si>
  <si>
    <t>DONATION TO JOAN DE GUZMAN FOR HER HOSPITAL BILL</t>
  </si>
  <si>
    <t xml:space="preserve">Shiela Marie S. Santos </t>
  </si>
  <si>
    <t>DONATION TO CLIENT AND JOAQUIN SIMONEFORD SANTOS FOR THEIR HOSPITAL BILLS</t>
  </si>
  <si>
    <t xml:space="preserve">Joco Michael A. De Guzman </t>
  </si>
  <si>
    <t>DONATION CAMILLE DE GUZMAN AND JIANNA DE GUZMAN FOR THEIR HOSPITAL BILLS</t>
  </si>
  <si>
    <t xml:space="preserve">Lolita B. Ferrer </t>
  </si>
  <si>
    <t xml:space="preserve">Marvin Ruel B. De Jesus </t>
  </si>
  <si>
    <t>DONATION TO MARY GRACE MACALINO AND ZYRABINA KYRISH DE JESUS FOR THEIR HOSPITAL BILLS</t>
  </si>
  <si>
    <t xml:space="preserve">Sherlyn B. Calma </t>
  </si>
  <si>
    <t>DONATION TO FELIPE BUENSUCESO FOR HIS HOSPITAL BILL</t>
  </si>
  <si>
    <t xml:space="preserve">Ressie C. De Guzman </t>
  </si>
  <si>
    <t>DONATION TO DESIREE DE GUZMAN FOR HER HOSPITAL BILL AND PROFESSIONAL FEE</t>
  </si>
  <si>
    <t xml:space="preserve">J. Wilson S. Perez </t>
  </si>
  <si>
    <t>DONATION TO IRIS CARMELLA RUBIANO FOR HER HOSPITAL BILL AND PROFESSIONAL FEE</t>
  </si>
  <si>
    <t xml:space="preserve">Janet O. Casaljay </t>
  </si>
  <si>
    <t xml:space="preserve">Mandy S. Mendoza </t>
  </si>
  <si>
    <t>DONATION TO ROSALINA MENDOZA FOR HER MEDICAL NEEDS</t>
  </si>
  <si>
    <t xml:space="preserve">Ma. Diwani V. Ronquillo </t>
  </si>
  <si>
    <t>DONATION TO RONILLO RONQUILLO FOR HIS MEDICAL NEEDS</t>
  </si>
  <si>
    <t xml:space="preserve">Ofelia D. Balgemino </t>
  </si>
  <si>
    <t>DONATION TO NORMA DE LUNA FOR HER MEDICAL NEEDS</t>
  </si>
  <si>
    <t>Payment of IT Service fees of the annotation on the Certificate of Title in Subsequent Registration for the Warrant of Levy Issued by the Province dated June 14, 2022</t>
  </si>
  <si>
    <t>Payment of IT Service fees of the annotation on the Certificate of Title in Subsequent Registration for the Warrant of Levy Issued by the Province dated June 2, 2022</t>
  </si>
  <si>
    <t>Replenishment of Revolving Fund for payment of donation to indigent constituents from Province of Bataan (Oct. 18-19)</t>
  </si>
  <si>
    <t>Replenishment for market purchase of MDH for the period of September 29 - October 4, 2022</t>
  </si>
  <si>
    <t xml:space="preserve">Hector T. Santos </t>
  </si>
  <si>
    <t>Replenishment of Medicine, Medical Supplies and Laboratory Expenses under the Philhealth No Balance Billing (NBB) of Indigent patients in MDH September 10 - October 04, 2022</t>
  </si>
  <si>
    <t>Replenishment of miscellaneous expenses of ODH from September 21-26, 2022</t>
  </si>
  <si>
    <t>DONATION TO LUCENA DERLA FOR HER BURIAL EXPENSES</t>
  </si>
  <si>
    <t xml:space="preserve">Isaac And Catalina Medical Center Inc. </t>
  </si>
  <si>
    <t>DONATION FOR THE HOSPITAL BILLS COVERING THE PERIOD SEPTEMBER 27-30, 2022</t>
  </si>
  <si>
    <t>DONATION FOR THE HOSPITAL BILLS COVERING THE PERIOD SEPTEMBER 28-29, 2022</t>
  </si>
  <si>
    <t xml:space="preserve">Centro Medico De Santisimo Rosario Inc. </t>
  </si>
  <si>
    <t xml:space="preserve">Fortunato Jr. M. Clasara </t>
  </si>
  <si>
    <t>DONATION TO MARGIE CLASARA FOR HER MEDICAL NEEDS</t>
  </si>
  <si>
    <t xml:space="preserve">Ronald S. Nicdao </t>
  </si>
  <si>
    <t>DONATION TO AQUILINO JR. NICDAO FOR HIS BURIAL EXPENSES</t>
  </si>
  <si>
    <t xml:space="preserve">Perfecto L. Vergara Jr. </t>
  </si>
  <si>
    <t>DONATION TO LOURDES VERGARA FOR HER HOSPITAL BILL</t>
  </si>
  <si>
    <t xml:space="preserve">Lodivico P. Manalansan </t>
  </si>
  <si>
    <t>DONATION TO ARSENIA MANALANSAN FOR HER HOSPITAL BILL</t>
  </si>
  <si>
    <t xml:space="preserve">Melanie M. Laxamana </t>
  </si>
  <si>
    <t>DONATION TO SARREAL SARMIENTO FOR HIS HOSPITAL BILL</t>
  </si>
  <si>
    <t xml:space="preserve">BATAAN DOCTORS HOSPITAL AND MEDICAL CENTER INC </t>
  </si>
  <si>
    <t xml:space="preserve">BALANGA MEDICAL CENTER CORP. </t>
  </si>
  <si>
    <t>DONATION FOR THE HOSPITAL BILLS COVERING THE PERIOD SEPTEMBER 27-29, 2022</t>
  </si>
  <si>
    <t xml:space="preserve">FUEL PLUS TRADING </t>
  </si>
  <si>
    <t>Payment of fuel consumption on different service vehicle used by PCEDO&lt; OPA, PTO, PGENRO, VET &amp; PPDO for the period of September 19-25, 2022</t>
  </si>
  <si>
    <t>Payment of fuel consumption for the period of September 12-18, 2022 (PEO)</t>
  </si>
  <si>
    <t>Security Services by 72 security guards deployed at Capitol, Compound City of BAlanga Sept 1-30, 2022</t>
  </si>
  <si>
    <t xml:space="preserve">St Moritz Security Agency Inc </t>
  </si>
  <si>
    <t>Security Services rendered by 78 security guards deployed at Bataan General Hospital &amp; Medicare Center for August 1-31, 2022</t>
  </si>
  <si>
    <t>Payment of fuel consumption for the period of September 5-11, 2022 (PIO)</t>
  </si>
  <si>
    <t xml:space="preserve">SMART COMMUNICATIONS, INC. </t>
  </si>
  <si>
    <t>Payment of BIZLOAD for Brgy. Captains assigned as monitoring gathering and analysing COVID 2019 related data in the Provinve of Bataan Covering Period for the Month of October, 2022</t>
  </si>
  <si>
    <t xml:space="preserve">Editha D. Mahinay </t>
  </si>
  <si>
    <t>DONATION TO BERNARD MAHINAY FOR HIS BURIAL EXPENSES</t>
  </si>
  <si>
    <t xml:space="preserve">Gil T. Manalansan </t>
  </si>
  <si>
    <t>DONATION TO ROSARIO MANALANSAN FOR HER HOSPITAL BILL</t>
  </si>
  <si>
    <t xml:space="preserve">Mary Grace D. Capati </t>
  </si>
  <si>
    <t>DONATION TO REMIGIO DABU FOR HIS HOSPITAL BILL</t>
  </si>
  <si>
    <t xml:space="preserve">CLIMPOL JAY N. DEPOSITARIO </t>
  </si>
  <si>
    <t>DONATION TO SUSAN DEPOSITARIO FOR HER MEDICAL NEEDS</t>
  </si>
  <si>
    <t xml:space="preserve">DANILYN B. MAGSAEL </t>
  </si>
  <si>
    <t>DONATION TO CLIENT AND PRINCE RYLEIGH MAGSAEL FOR THEIR HOSPITAL BILLS</t>
  </si>
  <si>
    <t xml:space="preserve">CELIA DE LUNA AQUINO </t>
  </si>
  <si>
    <t>DONATION TO BRYAN CONNELL FOR HIS MEDICAL NEEDS</t>
  </si>
  <si>
    <t xml:space="preserve">SOLEDAD L. REGULACION </t>
  </si>
  <si>
    <t xml:space="preserve">Jocelyn J. Macaspac </t>
  </si>
  <si>
    <t xml:space="preserve">Maria C. Pampo </t>
  </si>
  <si>
    <t>DONATION TO AGUEDA PAMPO FOR HER HOSPITAL BILL</t>
  </si>
  <si>
    <t xml:space="preserve">Michael Siongco </t>
  </si>
  <si>
    <t>DONATION TO LETICIA SIONGCO FOR HER BURIAL EXPENSES</t>
  </si>
  <si>
    <t xml:space="preserve">Aiza C. Parija </t>
  </si>
  <si>
    <t>DONATION TO RONNEL DE DIOS FOR HIS MEDICAL NEEDS</t>
  </si>
  <si>
    <t xml:space="preserve">Carolina M. Flores </t>
  </si>
  <si>
    <t>DONATION TO EDUVIGES MANALO FOR HIS BURIAL EXPENSES</t>
  </si>
  <si>
    <t xml:space="preserve">EDNA R. MALLARI </t>
  </si>
  <si>
    <t>DONATION TO FERMIN RODRIGUEZ FOR HIS HOSPITAL BILL</t>
  </si>
  <si>
    <t xml:space="preserve">JOSEPHINE C. FAJARDO </t>
  </si>
  <si>
    <t>DONATION TO RODOLFO FAJARDO FOR HIS HOSPITAL BILL</t>
  </si>
  <si>
    <t xml:space="preserve">CREZEL JOY O. ABANES </t>
  </si>
  <si>
    <t>DONATION TO EDUVIGES MANALO FOR HIS HOSPITAL BILL</t>
  </si>
  <si>
    <t xml:space="preserve">Jacqueline D. Gantiga </t>
  </si>
  <si>
    <t>DONATION TO SABRINA SABADO FOR HER BURIAL EXPENSES</t>
  </si>
  <si>
    <t xml:space="preserve">Laiza G. Vallester </t>
  </si>
  <si>
    <t>DONATION TO FILOMENA VALLESTER FOR HER BURIAL EXPENSES</t>
  </si>
  <si>
    <t xml:space="preserve">ROSEMARY I. HAMASAKI </t>
  </si>
  <si>
    <t>DONATION TO CRISANTA YUMANG FOR HER BURIAL EXPENSES</t>
  </si>
  <si>
    <t xml:space="preserve">BATAAN DOCTORS HOSPITAL AND MEDICAL CENTER INC. </t>
  </si>
  <si>
    <t xml:space="preserve">DIANA KRIS F. GAMBOA </t>
  </si>
  <si>
    <t>DONATION TO WILLIAM BENEDICT FRANK FOR HIS HOSPITAL BILL</t>
  </si>
  <si>
    <t xml:space="preserve">Luisito Datu </t>
  </si>
  <si>
    <t>DONATION TO LAURENCE DATU FOR HIS HOSPITAL BILL</t>
  </si>
  <si>
    <t>Reimbursement of gasoline expenses of JCPJMH from October 1-10, 2022</t>
  </si>
  <si>
    <t>Reimbursement of Medicines, Supplies, X-ray, &amp; Laboratory Expenses under the PhilHealth No Balance Billing (NBB) of indigent patients in ODH from October 03 -09, 2022</t>
  </si>
  <si>
    <t xml:space="preserve">Felimon P. Alvarado Jr. </t>
  </si>
  <si>
    <t>Donation to Hataw Fitness club for their anniversary on October 21, 2022</t>
  </si>
  <si>
    <t xml:space="preserve">Barangay Treasurer Cupang North  </t>
  </si>
  <si>
    <t>Subsidy to Barangay CUPANG NORTH BALANGA CITY BATAAN for the foods and other expenses of their Brgy. Tanods during their annual cultural activity on November 1, 2022</t>
  </si>
  <si>
    <t xml:space="preserve">Barangay Treasurer Tenejero Balanga </t>
  </si>
  <si>
    <t>Subsidy to Barangay TENEJERO BALANGA CITY BATAAN for the foods and other expenses of their Brgy. Tanods during their annual cultural activity on November 1, 2022</t>
  </si>
  <si>
    <t xml:space="preserve">Abegail L. Vinzon </t>
  </si>
  <si>
    <t>Payment of 105 Days maternity leave</t>
  </si>
  <si>
    <t>Payment of Donation to Bataan Crime Lab for their Administrative and Operational Expenses for 16 September - 15 October, 2022</t>
  </si>
  <si>
    <t xml:space="preserve">Joseph Andrew J. Jalober </t>
  </si>
  <si>
    <t>Reimbursement of reimbursable RATA for the month of September 2022</t>
  </si>
  <si>
    <t>Replenishment of cash adv for emergency purchase from October 7-10, 2022</t>
  </si>
  <si>
    <t xml:space="preserve">Dolores Bañaga </t>
  </si>
  <si>
    <t>Donation for and in behalf of the deceased Barangay Tanod Virgilio R. Banaga of Brgy. Tagumpay,Orani, Bataan</t>
  </si>
  <si>
    <t xml:space="preserve">Benjamin S. Nolasco </t>
  </si>
  <si>
    <t>Donation for and in behalf of the deceased Barangay Tanod Andy s. Nolasco of Brgy. Camacho, COB</t>
  </si>
  <si>
    <t xml:space="preserve">Vanessa Ambulo </t>
  </si>
  <si>
    <t>DONATION TO ROSARIO FELIPE FOR HER MEDICAL NEEDS</t>
  </si>
  <si>
    <t xml:space="preserve">Rennan F. Galit </t>
  </si>
  <si>
    <t xml:space="preserve">BRix Abalos </t>
  </si>
  <si>
    <t>DONATION TO LIEZEL ABALOS FOR HER HOSPITAL BILL</t>
  </si>
  <si>
    <t xml:space="preserve">Estrella Cuison </t>
  </si>
  <si>
    <t xml:space="preserve">Rolyn de Guzman Reñosa </t>
  </si>
  <si>
    <t>DONATION TO JUNE EZEKIEL TLEON FOR HIS HOSPITAL BILL</t>
  </si>
  <si>
    <t xml:space="preserve">Tracy John Henry Reyes </t>
  </si>
  <si>
    <t>DONATION TO KIMBERLY REYES AND KLYDE ALOYSIUS REYES FOR THEIR HOSPITAL BILLS</t>
  </si>
  <si>
    <t xml:space="preserve">Joven Garcia </t>
  </si>
  <si>
    <t>DONATION TO AGRIPINA LOPEZ FOR HER BURIAL EXPENSES</t>
  </si>
  <si>
    <t xml:space="preserve">Glenn Velasco </t>
  </si>
  <si>
    <t>DONATION TO SOLEDAD VELASCO FOR HER BURIAL EXPENSES</t>
  </si>
  <si>
    <t xml:space="preserve">John Adnrew Antonio </t>
  </si>
  <si>
    <t>DONATION TO MARY ROSE ANTONIO FOR HER HOSPITAL BILL</t>
  </si>
  <si>
    <t xml:space="preserve">Boots De Guzman Cortuna </t>
  </si>
  <si>
    <t>DONATION TO FRANCISCA DE GUZMAN FOR HER HOSPITAL BILL</t>
  </si>
  <si>
    <t>DONATION TO JAN DAVE PRUNA FOR HIS HOSPITAL BILL AND MEDICAL NEEDS</t>
  </si>
  <si>
    <t xml:space="preserve">Aleja Dominique Dela rosa\ </t>
  </si>
  <si>
    <t>DONATION TO DOMINGA AGAPITO FOR BURIAL EXPENSES</t>
  </si>
  <si>
    <t xml:space="preserve">Noelyn Santiago </t>
  </si>
  <si>
    <t>DONATION TO LOURDES SANTIAGO FOR HER HOSPITAL BILL</t>
  </si>
  <si>
    <t xml:space="preserve">Lemora Rosete </t>
  </si>
  <si>
    <t>DONATION TO JESSICA TRIA FOR HER HOSPITAL BILL</t>
  </si>
  <si>
    <t xml:space="preserve">Charmaine Binungcal </t>
  </si>
  <si>
    <t>DONATION TO JENNIELYN BINUNGCAL AND REEDA RAHEEL FOR THEIR HOSPITAL BILLS</t>
  </si>
  <si>
    <t xml:space="preserve">Rey Patrick Pascual </t>
  </si>
  <si>
    <t>DONATION TO REYNALDO PASCULA FOR HIS MEDICAL NEEDS</t>
  </si>
  <si>
    <t xml:space="preserve">Centro Medico De Santisimo Rosario Inc </t>
  </si>
  <si>
    <t>DONATION FOR THE HOSPITAL BILLS COVERING THE PERIOD OCTOBER 4-7,2022</t>
  </si>
  <si>
    <t xml:space="preserve">Regine Mendoza </t>
  </si>
  <si>
    <t>Replenishment of Revolving Fund for payment of donation to indigent constituents from Province of Bataan (October 20)</t>
  </si>
  <si>
    <t xml:space="preserve">Arfie Evangelio </t>
  </si>
  <si>
    <t>DONATION TO ARTURO TAñALA FOR HIS HOSPITAL BILL</t>
  </si>
  <si>
    <t xml:space="preserve">Antonio Camilo </t>
  </si>
  <si>
    <t>DONATION TO ROSALIA CAMILO FOR HER BURIAL EXPENSES</t>
  </si>
  <si>
    <t xml:space="preserve">Redmon V. Canta </t>
  </si>
  <si>
    <t>DONATION TO ROSALYN CANTA AND RHED YLISHA ATARAH CANTA FOR THEIR HOSPITAL BILLS</t>
  </si>
  <si>
    <t xml:space="preserve">Karla Alfonso </t>
  </si>
  <si>
    <t>DONATION TO VIOLETA ALBA FOR HER MEDICAL NEEDS</t>
  </si>
  <si>
    <t xml:space="preserve">Ezgaz Trading </t>
  </si>
  <si>
    <t>Payment of fuel consumption for the period of July 4-10, 2022 (PGSO) KOS-994</t>
  </si>
  <si>
    <t>Payment of fuel consumption for the period of September 5-11, 2022 (PGSO) A9W-631</t>
  </si>
  <si>
    <t xml:space="preserve">PENELCO </t>
  </si>
  <si>
    <t>Payment of Electric Bill of 1Bataan Command Center for the month of September, 2022</t>
  </si>
  <si>
    <t xml:space="preserve">Balanga Medical Center Corp </t>
  </si>
  <si>
    <t>DONATION FOR THE HOSPITAL BILLS COVERING THE PERIOD OCTOBER 3-7,2022</t>
  </si>
  <si>
    <t xml:space="preserve">Bataan Doctor Hospital and Medical Center </t>
  </si>
  <si>
    <t xml:space="preserve">Isaac and Catalina Medical Center Inc </t>
  </si>
  <si>
    <t xml:space="preserve">Rowena Rodrigo </t>
  </si>
  <si>
    <t>DONATION TO MIGUEL ROQUE FOR HIS BURIAL EXPENSES</t>
  </si>
  <si>
    <t xml:space="preserve">Francisco Nuguid </t>
  </si>
  <si>
    <t>DONATION TO JOSE NUGUID FOR HIS BURIAL EXPENSES</t>
  </si>
  <si>
    <t>DONATION TO RHOY ADRIAN FLORES FOR HIS MEDICAL NEEDS</t>
  </si>
  <si>
    <t xml:space="preserve">Robert Allan B. Vinzon </t>
  </si>
  <si>
    <t>DONATION TO KARLA VINZON FOR HER HOSPITAL BILL</t>
  </si>
  <si>
    <t xml:space="preserve">Armie Siongco </t>
  </si>
  <si>
    <t>DONATION TO FRANCISCO MESINA FOR HIS HOSPITAL BILL</t>
  </si>
  <si>
    <t xml:space="preserve">Gerome D. cezar </t>
  </si>
  <si>
    <t>DONATION TO LEONARDO DOMINGO FOR HIS HOSPITAL BILL</t>
  </si>
  <si>
    <t xml:space="preserve">Ma. Cristina Quintereo </t>
  </si>
  <si>
    <t>DONATION TO KHRYSJIAN HINOIRI MONDIDU FOR HER HOSPITAL BILL</t>
  </si>
  <si>
    <t xml:space="preserve">Lucena D. Malit </t>
  </si>
  <si>
    <t>DONATION TO FRANCISCO MALIT FOR HIS HOSPITAL BILL</t>
  </si>
  <si>
    <t xml:space="preserve">Mhar Bebiro </t>
  </si>
  <si>
    <t>DONATION TO DIORELLA FAYE RECOTER AND AYESHA KENZY BEBIRO FOR THEIR HOSPITAL BILLS AND PROFESSIONAL FEE</t>
  </si>
  <si>
    <t xml:space="preserve">Bobby Gabriel </t>
  </si>
  <si>
    <t>DONATION TO TERESITA GABRIEL FOR HER HOSPITAL BILL</t>
  </si>
  <si>
    <t xml:space="preserve">Lanie Rose Leyba </t>
  </si>
  <si>
    <t>DONATION TO LAUREANA LEYBA FOR HER MEDICAL NEEDS</t>
  </si>
  <si>
    <t xml:space="preserve">Venus Bernardo </t>
  </si>
  <si>
    <t>DONATION TO MANDING BERNARDO FOR HIS MEDICAL NEEDS</t>
  </si>
  <si>
    <t xml:space="preserve">Sheryl Caoili </t>
  </si>
  <si>
    <t>DONATION TO SHERYN LYSA CAOILI FOR HER MEDICAL NEEDS</t>
  </si>
  <si>
    <t xml:space="preserve">Elfie S. buensuceso </t>
  </si>
  <si>
    <t>DONATION TO ESTRELLITA SACDALAN FOR HER MEDICAL NEEDS</t>
  </si>
  <si>
    <t xml:space="preserve">Rhea Austria </t>
  </si>
  <si>
    <t>DONATION TO ENRIQUE CANLAS FOR HIS BURIAL EXPENSES</t>
  </si>
  <si>
    <t xml:space="preserve">Melissa Portugal </t>
  </si>
  <si>
    <t>DONATION TO ALYSSA BALBUENA AND AALIYAH YESHA BALBUENA FOR THEIR HOSPITAL BILL</t>
  </si>
  <si>
    <t xml:space="preserve">Moreta Celeste </t>
  </si>
  <si>
    <t>DONATION TO JOSE CELESTE FOR HIS HOSPITAL BILL</t>
  </si>
  <si>
    <t xml:space="preserve">Ronaldo Yumol </t>
  </si>
  <si>
    <t>DONATION TO JOSEPH YUMOL FOR HIS HOSPITAL BILL</t>
  </si>
  <si>
    <t xml:space="preserve">Corazon Ramirez </t>
  </si>
  <si>
    <t>DONATION TO MICHELLE ANGELINE RAMIREZ AND AIYANNA JEYZ RAMIREZ FOR THEIR HOSPITAL BILLS</t>
  </si>
  <si>
    <t xml:space="preserve">Jasmin Pascual </t>
  </si>
  <si>
    <t>DONATION TO VIRGILIO BALUYOT FOR HIS BURIAL EXPENSES</t>
  </si>
  <si>
    <t xml:space="preserve">Clint William Custodio </t>
  </si>
  <si>
    <t>DONATION TO JERRY CUSTODIO FOR HIS HOSPITAL BILL</t>
  </si>
  <si>
    <t xml:space="preserve">Albert S. Reyes </t>
  </si>
  <si>
    <t>DONATION TO ANNA MARIE REYES AND ALVIE DAVION REYES FOR THEIR HOSPITAL BILLS</t>
  </si>
  <si>
    <t xml:space="preserve">Violeta Oquindo </t>
  </si>
  <si>
    <t>DONATION TO ALFREDO GONZALES FOR HIS HOSPITAL BILL</t>
  </si>
  <si>
    <t xml:space="preserve">Christopher G. Amistoso </t>
  </si>
  <si>
    <t>DONATION TO QUEEN ALEXIA AMISTOSO FOR HER HOSPITAL BILL</t>
  </si>
  <si>
    <t xml:space="preserve">Michaela Sicat </t>
  </si>
  <si>
    <t>DONATION TO ROWENA SICAT FOR HER HOSPITAL BILL</t>
  </si>
  <si>
    <t xml:space="preserve">Grace Yambao </t>
  </si>
  <si>
    <t xml:space="preserve">Azucena Sugatain </t>
  </si>
  <si>
    <t>Cash advance Prizes for winner on 2022 Bataan Coop Day: Your Face Sounds Familiar - Version 2.0 (Online Edition) October 18, 2022 and to be rewarded on 2022 Galing! Bataan Awards for Cooperative on October 26, 2022</t>
  </si>
  <si>
    <t>Replenishment of Emergency Purchase of NBB Patients for the period from October 10-13, 2022</t>
  </si>
  <si>
    <t>Payment of fuel consumption for the period August 29 - September 4, 2022 (PGSO) A9W-631</t>
  </si>
  <si>
    <t>Payment of fuel consumption for the period August 29 - September 4, 2022 (PGSO) KOS-994</t>
  </si>
  <si>
    <t>Payment of fuel consumption for the period September 5-11, 2022 (PGSO) SHP-848</t>
  </si>
  <si>
    <t>Payment of fuel consumption for the period August 29 - September 4, 2022 (PGSO) SHP-848</t>
  </si>
  <si>
    <t xml:space="preserve">Paz Vivas </t>
  </si>
  <si>
    <t>DONATION TO ROVIELYN VIVAS FOR HER HOSPITAL BILL</t>
  </si>
  <si>
    <t xml:space="preserve">Ailyn Coronel </t>
  </si>
  <si>
    <t>DONATION TO LINO CORONEL FOR HIS BURIAL EXPENSES</t>
  </si>
  <si>
    <t xml:space="preserve">Christian Almino </t>
  </si>
  <si>
    <t>DONATION TO DANTE ALMIñE F OR HIS BURIAL EXPENSES</t>
  </si>
  <si>
    <t xml:space="preserve">Maria Luisa Quijano </t>
  </si>
  <si>
    <t>DONATION TO LUISA CANARE FOR HER HOSPITAL BILL</t>
  </si>
  <si>
    <t xml:space="preserve">Isabelita Macaraig </t>
  </si>
  <si>
    <t>DONATION TO LEO MACARAIG FOR HIS MEDICAL NEEDS</t>
  </si>
  <si>
    <t xml:space="preserve">Gabriel III Nisay </t>
  </si>
  <si>
    <t>DONATION TO ASUNCION SANTIAGO FOR HER HOSPITAL BILL</t>
  </si>
  <si>
    <t xml:space="preserve">Manuel Ramos </t>
  </si>
  <si>
    <t>DONATION TO CHITO RAMOS FOR HIS MEDICAL NEEDS</t>
  </si>
  <si>
    <t xml:space="preserve">Gemma Visperas </t>
  </si>
  <si>
    <t>DONATION TO BERNIE VISPERAS FOR HIS MEDICAL NEEDS</t>
  </si>
  <si>
    <t xml:space="preserve">Mia LYn De Guia Rivera </t>
  </si>
  <si>
    <t xml:space="preserve">Rosalina MErcado' </t>
  </si>
  <si>
    <t xml:space="preserve">Connie Aniel </t>
  </si>
  <si>
    <t xml:space="preserve">Rennaldo Peña </t>
  </si>
  <si>
    <t>DONATION TO MYRNA PEñA FOR HER HOSPITAL BILL</t>
  </si>
  <si>
    <t xml:space="preserve">Ofelia Puno </t>
  </si>
  <si>
    <t>DONATION TO JOVEN PUNO FOR HIS BURIAL EXPENSES</t>
  </si>
  <si>
    <t xml:space="preserve">Janet Aileen Garcia </t>
  </si>
  <si>
    <t>DONATION TO ZENAIDA CELSO FOR HER HOSPITAL BILL</t>
  </si>
  <si>
    <t xml:space="preserve">Annalyn Villaflor </t>
  </si>
  <si>
    <t>DONATION TO DANILO VILLAFLOR JR. FOR HIS MEDICAL NEEDS</t>
  </si>
  <si>
    <t xml:space="preserve">Angelito Inocencio </t>
  </si>
  <si>
    <t>DONATION TO MA. CORAZON INOCENCIO FOR HER BURIAL EXPENSES</t>
  </si>
  <si>
    <t xml:space="preserve">Evelyn De Vera Valencia </t>
  </si>
  <si>
    <t>DONATION TO ROGELIO VALENCIA FOR HIS HOSPITAL BILL</t>
  </si>
  <si>
    <t xml:space="preserve">Rosalie Albelda </t>
  </si>
  <si>
    <t>DONATION TO LEONARDO SR. BUENAAGUA FOR HIS HOSPITAL BILL</t>
  </si>
  <si>
    <t xml:space="preserve">Danilo De MEsa </t>
  </si>
  <si>
    <t>Tax refund for CY 2020 on behalf of Mr Rodolfo de Mesa, deceased brother of the claimnant Mr Danilo H. De Mesa</t>
  </si>
  <si>
    <t xml:space="preserve">Anna Liza Caraig </t>
  </si>
  <si>
    <t>Tax refund for CY 2004 on behalf of Mr Bernardo Caraig deceased husband of the claimnant Mrs Anna Liza Caraig</t>
  </si>
  <si>
    <t xml:space="preserve">Maritess Baltazar </t>
  </si>
  <si>
    <t xml:space="preserve">Ansenia Bondoc </t>
  </si>
  <si>
    <t xml:space="preserve">Johanna Dizon </t>
  </si>
  <si>
    <t>Reimbursement of Lunch to be served in the briefing orientation on Farmer Field School (FFS) on Corn Production to be held on October 13, 2022 at Tapulao, Orani, Bataan &amp; October 14, 2022 at San Simon, Dinalupihan, Bataan</t>
  </si>
  <si>
    <t xml:space="preserve">DRD Dimrose Plumbing Services </t>
  </si>
  <si>
    <t>Siphoning and manual cleaning of septic tanks in Dormitory, Metro Bataan Development Authority Building and National Bureau of Investigation (NBI) Building at Command Center, Orani, Bataan</t>
  </si>
  <si>
    <t>Parts and labor for the replacement of four (4) pcs tire 265 / 65 R17, tie rod &amp; rack end of Toyota Hilux P1V773 of PNP owned by the Provincial Government of Bataan</t>
  </si>
  <si>
    <t>Parts and labor for 180,000 km check - up and change oil of Toyota Hiace Commuter Van VR2272 of PNP owned by the Provincial Government of Bataan</t>
  </si>
  <si>
    <t>Parts &amp; Labor for the 80,000 km preventive maintenance of Toyota Hilux P1V505 of MBDA owned by the Provincial Government of Bataan</t>
  </si>
  <si>
    <t>PMS 25,000 KM AND CHECK UP OF THE SAID VEHICLE ASSIGNED TO THE OFFICE OF THE GOVERNOR WITH CONDUCT STICKER S2Q208</t>
  </si>
  <si>
    <t>Parts and labor for 100,000 km preventive maintenance check-up of Toyota Hilux A6U273 PEO owned by the Provincial Government of Bataan</t>
  </si>
  <si>
    <t>Parts and labor for the repair of aircon and replacement of battery of Toyota Hilux P1V780 of PNP owned by the Provincial Government of Bataan</t>
  </si>
  <si>
    <t>Parts and labor for 155,000 km preventive maintenance check-up of Toyota Hilux YT 8598 of PEO owned by the Provincial Government of Bataan</t>
  </si>
  <si>
    <t>Parts and labor for the replacement of four (4) pcs tire 265 / 65 R17, tie rod &amp; rack end of Toyota Hilux P1V807 of PNP owned by the Provincial Government of Bataan</t>
  </si>
  <si>
    <t>Parts &amp; Labor for the 245,000 km preventive maintenance Toyota Hilux P1K862 of MBDA owned by the Provincial Government of Bataan</t>
  </si>
  <si>
    <t>Parts &amp; Labor for the Replacement of Cross Joint &amp; Center Bearing of Toyota Hilux VV0143 of MBDA owned by the Provincial Government of Bataan</t>
  </si>
  <si>
    <t>Parts &amp; Labor for the replacement of Clutch and Components of Toyota Hilux VV0143 of MBDA owned by the Provincial Government of Bataan</t>
  </si>
  <si>
    <t>Parts &amp; Labor for the 485,000 km preventive maintenance of Toyota Hilux YU9911 of MBDA owned by the Provincial Government of Bataan</t>
  </si>
  <si>
    <t>Parts &amp; Labor for the 250,000 km preventive maintenance Toyota Hilux P1P503 of MBDA owned by the Provincial Government of Bataan</t>
  </si>
  <si>
    <t>For change oil and replace oil filter and perform 180,000 km preventive maintenance check up of service vehicle Toyota Fortuner A5T753 for the use of Provincial Legla Office</t>
  </si>
  <si>
    <t>Parts and labor for 70,000 km preventive maintenance check-up of Toyota Hilux P1P649 of PEO owned by the Provincial Government of Bataan</t>
  </si>
  <si>
    <t>Parts &amp; Labor for the 455,000 km preventive maintenance Toyota Hilux VR5847 of MBDA owned by the Provincial Government of Bataan</t>
  </si>
  <si>
    <t xml:space="preserve">Rossna Cruz </t>
  </si>
  <si>
    <t>Sound System Rental for Distribution of ATM cards for BPSU, Outside Bataan and PUP Mariveles Scholars of the Cashless Strategic Initiative of the Iskolar ng Bataan Program of the Prov'l. Government of Bataan on August 22 to 31, 2022</t>
  </si>
  <si>
    <t xml:space="preserve">Fernando S. Mendoza II </t>
  </si>
  <si>
    <t>Reimbursement for the amount paid for the mobile expenses for the period of August and September, 2022</t>
  </si>
  <si>
    <t xml:space="preserve">Liga ng mga Cooperative Development Officers sa Pilipinas Inc. Region III </t>
  </si>
  <si>
    <t>Payment of Registration Fee for 2nd Central Luzon Regional Tripartite Conference for Cooperative Development on November 23-25, 2022</t>
  </si>
  <si>
    <t>Payment of fire insurance of Buildings Covering: 1. Bulwagan ng Bayan I, 2. PEO-MOTORPOOL, 3. Family Court, 4. JPMH, 5. Bataan People Center, 6. PHO- Generic Bldg., Govt. Clinical Water Lab., Mother &amp; Child Clinic Bldg., 7, New Bataan Tourism Bldg., 8. Bulwagan ng Bayan II, 9. Veterinary Bldg.</t>
  </si>
  <si>
    <t>Payment of fire insurance covering the ff: 1. Senior Citizen BLDG.- Brgy. Tenejero COB, 2. Covered Court-Brgy. Sto. Cristo, Hermosa, Bataan, 3. Brgy. Hall BLDG. - Brgy. Burgos Soliman, Hermosa, Bataan, 4. Temporary PNP Office- Brgy. Doña, Orani, Bataan</t>
  </si>
  <si>
    <t>Payment of Insurance of seven (7) units service vehicles owned by the PGB (1.131210-F2X614, 2. 131210-F2X613, 3. F2S681, 4. P3J567, 5. C2X097, 6. SINOTRUCK DUMPTRUCK (YD4D13048D593M00229), 7. 030101(VF-1701)</t>
  </si>
  <si>
    <t xml:space="preserve">SSS </t>
  </si>
  <si>
    <t>Addiotional remiitance of SSS contribution of JO employees for Sept 2022</t>
  </si>
  <si>
    <t>Payment of water expense for the month of September 1 - October 3, 2022</t>
  </si>
  <si>
    <t>Payment of TextBlast Subscription for the use for information dissemination of Covid 19 programs for Bataan Province for the month of September 2022</t>
  </si>
  <si>
    <t>Payment of yearly rental for 2units 37 1/2 KVA transformer of JCPMH for October 2022</t>
  </si>
  <si>
    <t>Payment of fuel consumption for the period of October 03 -09, 2022 (MBDA)</t>
  </si>
  <si>
    <t xml:space="preserve">Mercedes Medina </t>
  </si>
  <si>
    <t>DONATION TO MARIA TERESA CASCASAN FOR HER BURIAL EXPENSES</t>
  </si>
  <si>
    <t xml:space="preserve">Roy Gaynilo </t>
  </si>
  <si>
    <t>DONATION TO RHIEVE AVIEREIL GAYNILO FOR HER HOSPITAL BILL</t>
  </si>
  <si>
    <t xml:space="preserve">Celeste Carlos </t>
  </si>
  <si>
    <t>DONATION TO GABRIELLE CHYNA CARLOS FOR HER HOSPITAL BILL</t>
  </si>
  <si>
    <t xml:space="preserve">Jett Navarro </t>
  </si>
  <si>
    <t>DONATION TO KARMJET NAVARRO FOR HER HOSPITAL BILL</t>
  </si>
  <si>
    <t xml:space="preserve">Graciano Reyes </t>
  </si>
  <si>
    <t xml:space="preserve">Michael Jho B. Roman </t>
  </si>
  <si>
    <t>DONATION TO MYLENE REYES AND EM-EM ROMAN FOR THEIR HOSPITAL BILLS</t>
  </si>
  <si>
    <t xml:space="preserve">Mary Ann Santos </t>
  </si>
  <si>
    <t>DONATION TO BELEN TUAZON FOR HER HOSPITAL BILL</t>
  </si>
  <si>
    <t xml:space="preserve">Theresa Dizon </t>
  </si>
  <si>
    <t>DONATION TO KAROL JOHANNA DIZON AND KEZILEA JIERE DIZON FOR THEIR HOSPITAL BILLS</t>
  </si>
  <si>
    <t xml:space="preserve">Ann Catherine Manzano </t>
  </si>
  <si>
    <t>DONATION TO CLIENT AND ATHENA DUCUSIN FOR THEIR HOSPITAL BILLS</t>
  </si>
  <si>
    <t xml:space="preserve">Reyven Oteyza </t>
  </si>
  <si>
    <t>DONATION TO JOANNA OTEYZA FOR HER HOSPITAL BILL</t>
  </si>
  <si>
    <t xml:space="preserve">Kassandra Faye Basalo </t>
  </si>
  <si>
    <t>DONATION TO LANI BASALO FOR HER HOSPITAL BILL AND MEDICAL NEEDS</t>
  </si>
  <si>
    <t xml:space="preserve">K.C. F. Yap </t>
  </si>
  <si>
    <t>DONATION TO JOHN KYLE YAP FOR HIS HOSPITAL BILL</t>
  </si>
  <si>
    <t xml:space="preserve">Rowella Siringan </t>
  </si>
  <si>
    <t>DONATION TO MARGARITA SIRINGAN AND ARTEMIS SIRINGAN FOR THEIR HOSPITAL BILLS</t>
  </si>
  <si>
    <t xml:space="preserve">Riz Tiangco </t>
  </si>
  <si>
    <t>DONATION TO VIVIAN TIANGCO FOR HER MEDICAL NEEDS</t>
  </si>
  <si>
    <t xml:space="preserve">Analyn Reyes </t>
  </si>
  <si>
    <t xml:space="preserve">Merlita Puno </t>
  </si>
  <si>
    <t>DONATION TO RODEL PUNO FOR HIS MEDICAL NEEDS</t>
  </si>
  <si>
    <t xml:space="preserve">Nelson de Mesa </t>
  </si>
  <si>
    <t>Payment of Loyalty Pay Benefit</t>
  </si>
  <si>
    <t xml:space="preserve">Jeffrey Omagap </t>
  </si>
  <si>
    <t>Payment of clothing allowance for the year 2022</t>
  </si>
  <si>
    <t>Reimbursement the amount paid for LTO Registration of Ten (10) Service vehicles</t>
  </si>
  <si>
    <t xml:space="preserve">Rosalie Gaudia </t>
  </si>
  <si>
    <t>DONATION TO DENIZA DAIM RIVERA FOR HER MEDICAL NEEDS</t>
  </si>
  <si>
    <t>Payment of water bill for BALSIK CHECKPOINT for the month of July - October, 2022</t>
  </si>
  <si>
    <t>Petty cash fund replenishment for Oct 19-25, 2022</t>
  </si>
  <si>
    <t>Cash advance for loyalty for OCt 2022</t>
  </si>
  <si>
    <t>Payment of IT Service fees of the annotation on the Certificate of Title in Subsequent Registration for the Warrant of Levy Issued by the Province dated June 30 - July 27, 2022</t>
  </si>
  <si>
    <t>LRA fees of the annotation on the Certificate of Title in Subsequent Registration for the Warrant of Levy issued by the Province dated June 2, 2022</t>
  </si>
  <si>
    <t>IT Services fees of the annotation on the Certificate of Title in Subsequent Registration for the Warrant of Levy issued by the Province dated June 2, 2022</t>
  </si>
  <si>
    <t>Reimbursement of Snacks to be served during the distribution of fuel subsidy for Fisherfolk of Bataan on September 9, 2022 at Doña Francisca Covered Court, Balanga City, Bataan</t>
  </si>
  <si>
    <t>Reimbursement of Snack &amp; Lunch served duringf the Field DAy "Technology demonstration of various Soil Ameliorants &amp; Foliar Fertilizers Oct 21, 2022</t>
  </si>
  <si>
    <t>Reimbursement of Gasoline dated August 3 - 30, 2022</t>
  </si>
  <si>
    <t>Reimbursement of gasoline, oil and lubricants expenses of ODH Ambulance with Plate No. F4D127, Engine Pump and Generator Set from September 1-15, 2022</t>
  </si>
  <si>
    <t>Payment of LRA fees of the annotation on the Certificate of Title in Subscquent Registration for the Warrant of Levy issued by the Province dated June 30 - July 27, 2022</t>
  </si>
  <si>
    <t>Internet subscription of various offices Sept 17-Nov 17, 2022</t>
  </si>
  <si>
    <t xml:space="preserve">Rowena Delos Reyes </t>
  </si>
  <si>
    <t>Payment of 24.065 days monetization of leave credits</t>
  </si>
  <si>
    <t>Replenishment of Incidental Expenses and Daily Market Purchase of BCMH from April 5, June 13 &amp;16, September 26, and October 1-15, 2022</t>
  </si>
  <si>
    <t>Payment for Mobile Expenses for the Covered Period of September 16 - October 15, 2022 (0747823030)</t>
  </si>
  <si>
    <t xml:space="preserve">Maria Ursula Paula Mae Antonio </t>
  </si>
  <si>
    <t>Advance payment of transportation expenses, per diem and registration fee for attending the 4th Quarterly ALBO III Meeting on November 4, 2022</t>
  </si>
  <si>
    <t>Reimbursement of Medicines and Medical Supplies to be used for Vaccination Site (Vista Mall Bataan) during Pandemic</t>
  </si>
  <si>
    <t>Replenishment for Market Purchases for the period of October 11 to 20, 2022</t>
  </si>
  <si>
    <t>Reimbursement the amount paid for vehicle insurance for the newly purchased vehicle</t>
  </si>
  <si>
    <t>Payment of IT Service fees of the annotation on the Certificate of Title in Subsequent Registration for the Warrant of Levy Issued by the Province dated June 27, 2022; October 10, 2022 and October 25 &amp; 27, 2022</t>
  </si>
  <si>
    <t>Payment of LRA fees of the annotation on the Certificate of Title in Subscquent Registration for the Warrant of Levy issued by the Province dated une 27, 2022; October 10, 2022 and October 25 &amp; 27, 2022</t>
  </si>
  <si>
    <t xml:space="preserve">Mexico Printing Company Inc. </t>
  </si>
  <si>
    <t>Payment for the 1% Retention for payment of Self Learning modules for kinder and grade 10 quater (week 1-4) and grade 4 to 10 quarter 4 ( Weeks 5-8)</t>
  </si>
  <si>
    <t>Payment for the 1% Retention for payment of Rt PCR Kits for various swab testing sites during Covid- 19 Pandemic</t>
  </si>
  <si>
    <t>Payment for the 1% Retention for payment of Chest Freezer for Mega Processing facility for Covid-19 Pandemic</t>
  </si>
  <si>
    <t>BIR remittance for the month of December 2021</t>
  </si>
  <si>
    <t>An's Enterprises- Payment for the 1% Retention for payment of medical supplies for the use of Mega Processing facility for Covid-19 Pandemic</t>
  </si>
  <si>
    <t xml:space="preserve">Zoomhub, Inc. </t>
  </si>
  <si>
    <t xml:space="preserve">Waterhouse Enterprises </t>
  </si>
  <si>
    <t>Drinking Water for the Vaccination Area (Vista Mall) for August, 2021 during Covid-19 Pandemic</t>
  </si>
  <si>
    <t>Drinking Water for the Vaccination Area (Vista Mall) for September 2021 during Covid-19 Pandemic</t>
  </si>
  <si>
    <t>Payment of materials for electric connection at Bataan High School for the Arts</t>
  </si>
  <si>
    <t xml:space="preserve">Dimax Techonologies Center </t>
  </si>
  <si>
    <t>Payment for Supply, Delivery and installation of CCTV, Access Point and Audio system for the proposed Quaratine Facility at FAB SFB Building</t>
  </si>
  <si>
    <t>Payment of Emergency Purchase of Printer Head for replacement to 1 unit Printer at Bataan Command Center and Isolation Facility Center</t>
  </si>
  <si>
    <t xml:space="preserve">Expedia Solutions Specialists </t>
  </si>
  <si>
    <t>Payment of Vaccine Storage for the use of Mariveles Vaccination Site during Covid-19 Pandemic</t>
  </si>
  <si>
    <t>Office Equipment and Other Machineries for the iuse of Mega Processing Facility during Covid-19 Pandemic</t>
  </si>
  <si>
    <t>Remittance of integrated insurance contribution, emergency loan, REL, cash advance, optional insurance premium, policy loan, REL, GFAL, MPL and computer Loan for the month of December 2021</t>
  </si>
  <si>
    <t>Emergency Text Blast Subscription to be for information disseminationof COVID 19 Programs for Bataan Province</t>
  </si>
  <si>
    <t>Meals for the Vaccination Area (Bataan People's Center) from July 1 to 31, 2021 during Covid-19 Pandemic</t>
  </si>
  <si>
    <t>Payment for Emergency Purchase of Heavy Duty Exhaust Fans for the use of Isolation Facilities at Mariveles, Bataan during COVID-19 Pandemic</t>
  </si>
  <si>
    <t xml:space="preserve">BQA Construction &amp; Trading </t>
  </si>
  <si>
    <t>Payment for Emergency Supply, Delivery and Installation of Big Ass fans for the use of Isolation Facilities at Mariveles District Hospital during COVID-19 Pandemic</t>
  </si>
  <si>
    <t>Payment for Emergency Purchase of Printer for the use of Bataan Central Quarantine and Isolation Facility's Office</t>
  </si>
  <si>
    <t>Payment for the  Supply, Installation and commissioning of new airconditioning units at Bataan Central Quarantine and Isolation Facility - Lower Ground Floor</t>
  </si>
  <si>
    <t>Materials for the fabrication of 12 swabbing booths for Mariveles District Hospital's RT-PCR Laboratory for Covid 19</t>
  </si>
  <si>
    <t xml:space="preserve">Lhanz CJ Trading &amp; Computer Center </t>
  </si>
  <si>
    <t>Payment for Emergency Purchase of IT Equipment for the use of Mariveles District Hospital Filed Based Temporary Treatment and Monitoring Facility during COVID-19 pandemic</t>
  </si>
  <si>
    <t xml:space="preserve">BP Aluminum &amp; Glass Supply </t>
  </si>
  <si>
    <t>Emergency purchase of materials for the repair and maintenance of Orani District Hospital and Bagac Community and Medicare Hospital as a COVID 19 Frontline PGB Departments</t>
  </si>
  <si>
    <t>Assorted marine products for the consumption of Covid Patient and Staff of Mega Processing Facility from September 1 to 15, 2021 during Covid-19 Pandemic</t>
  </si>
  <si>
    <t>Assorted marine products for the consumption of COVID Patient and Staff of Mega Processing Facility from August 16-31, 2021</t>
  </si>
  <si>
    <t>Additional various grocery items for the consumption of Covid Patients and Staff of Mega Processing Facility from August 1-15, 2021 during Covid-19 Pandemic</t>
  </si>
  <si>
    <t>Payment for Emergency purchaseof printer for the use of Mariveles District Hospital Field Based Temporary Treatment and Monitoring Facility during COVID-19 Pandemic</t>
  </si>
  <si>
    <t>PAyment for Emergency Purchase of Materials for the installation of cubicle curtain and exhaust in 5 rooms of Bagac Community and Medicare Hospital for COVID-19 prevention</t>
  </si>
  <si>
    <t>Payment for Emergency purchase of materials for the repair and maintenance of Bataan People's Center as COVID 19 Vaccination site (Bataan Central vaccination site)</t>
  </si>
  <si>
    <t>5th partial for emergency purchase of Bataan COVID Response Centralized Contact system for November 2021</t>
  </si>
  <si>
    <t>Meals and Snacks of Vaccination Team for COVID19 at PENELCO for the period covered from September 1-30, 2021</t>
  </si>
  <si>
    <t xml:space="preserve">Vipac Enterprises </t>
  </si>
  <si>
    <t xml:space="preserve"> Payment for Supply and Installation of 5HP submersible pump with submersible motor in Bataan People's Center (Central Vaccination site for COVID 19 of Bataan)</t>
  </si>
  <si>
    <t xml:space="preserve">New Comlogik Business Systems, Inc. </t>
  </si>
  <si>
    <t>Payment for Emergency installation and configuration of Main Server for COVID-19 Response use at Molecular Laboratory and Mariveles District Hospital</t>
  </si>
  <si>
    <t xml:space="preserve">Geassan Mae C. Firmacion </t>
  </si>
  <si>
    <t>Services rendered by 126 security guards deployed in Bataan Provincial High School provincewide for Dec 1-31, 2021</t>
  </si>
  <si>
    <t>Short bond paper for the use of vaccination survey form</t>
  </si>
  <si>
    <t>Payment of last Wages of the late  Alberto C. Apales for the period of September 1-9, 2021</t>
  </si>
  <si>
    <t>Final payt for purchase of Bataan COVID Response centralized contact system for Dec 2021</t>
  </si>
  <si>
    <t xml:space="preserve">Sevilla, Carl Allene B. </t>
  </si>
  <si>
    <t>Payment of Hazard Pay for the period of Sept. 1 -Oct 31,2021</t>
  </si>
  <si>
    <t xml:space="preserve">Consumer's Drug </t>
  </si>
  <si>
    <t>Medicines and Medical Supplies for Mega Processing Facility during Covid-19 Pandemic</t>
  </si>
  <si>
    <t xml:space="preserve">Sanven Medical Enterprises Inc </t>
  </si>
  <si>
    <t>Medical supply to be use for Bagac Community and Medicare</t>
  </si>
  <si>
    <t>Payment of assorted meats and processed food for the consumption of Covid Patient and Staff of Mega Processing Facility from September 16 to 30, 2021</t>
  </si>
  <si>
    <t>Supply, delivery and distribution of goods to Bataan constituents as Tulong mula sa Pamahalaan during COVID-19 pandemic</t>
  </si>
  <si>
    <t xml:space="preserve">Proceso D. Juliano Jr. </t>
  </si>
  <si>
    <t>Payment of his wages for the period of December 1-31, 2021</t>
  </si>
  <si>
    <t>Meals and Snacks of Vaccination Team for COVID 19 at Vista Mall Bataan for the period from July 16-30, 2021</t>
  </si>
  <si>
    <t xml:space="preserve">Lucky Sun Grains Center Corporation </t>
  </si>
  <si>
    <t>1% retention for additional food supply for various brgys due to COVID-19</t>
  </si>
  <si>
    <t>1% retention for different procurememnts of the PGB</t>
  </si>
  <si>
    <t>Remittance of philhealth contribution of JO for January 2022</t>
  </si>
  <si>
    <t xml:space="preserve">Taneko Trading Corporation </t>
  </si>
  <si>
    <t>Supply and Installation  of 9.9 Solar Power System for Bagac Community and Medicare Hospital, Bagac, Bataan</t>
  </si>
  <si>
    <t xml:space="preserve"> Supply and Installation  of 44.94  KWp Solar Power System for Mariveles District Hospital, Bataan</t>
  </si>
  <si>
    <t>Hand Fan as Information, Education and Communication Collateral to be distributed in the Barangays with the High Covid Cases</t>
  </si>
  <si>
    <t>Purchase of additional Commercial Rice for vaccination incentives to be held on December 15, 16 and 17, 2021 during Covid-19 Pandemic</t>
  </si>
  <si>
    <t>Supply and installation of 60.06 KWp Solar Power System for Jose C. Payumo Memorial Hospital, San Ramon, Dinalupihan, Bataan</t>
  </si>
  <si>
    <t>Supply and installation of 38.64 KWp Solar Power System for Orani District Hospital, Maria Fe Orani, Bataan</t>
  </si>
  <si>
    <t>WELL GENERAL MERCHANDISE-Emergency purchase of Office Equipment for the use of Mariveles District Hospital Filed based Temporary Treatment and Monitoring Facility during COVID-19 Pandemic</t>
  </si>
  <si>
    <t>Tuberculin Syringe for various District Hospitals and Vaccination Sites during Covid-19 Pandemic</t>
  </si>
  <si>
    <t xml:space="preserve">Cyphrian Builders and Trading </t>
  </si>
  <si>
    <t>Construction of two (2) Storey four (4) Classroom School Building Payangan Elementary School Brgy Payangan Dinalupihan Bataan</t>
  </si>
  <si>
    <t>Reimbursement of Emergency purchase of Drone accessories for the use of Provincial Information Office in aerial shoot videos and documentation during Covid-19 Pandemic</t>
  </si>
  <si>
    <t>Other Supplies for emergency expenses use for Covid Ward in COVID-19 Response at Mariveles District Hospital</t>
  </si>
  <si>
    <t>Janitorial Supplies and Other Supplies for the of various district Hospitals and Vaccination Site during Covid-19 Pandemic</t>
  </si>
  <si>
    <t>Transfer to General Fund the BIR remittance for January 2022</t>
  </si>
  <si>
    <t>Remittance of salary loan installment of JO for January 2022</t>
  </si>
  <si>
    <t>Remittance of Pag-ibig contribution JO employees  for January 2022</t>
  </si>
  <si>
    <t>Remittance of Pag-ibig MPL &amp; calamity loan JO employees January 2022</t>
  </si>
  <si>
    <t xml:space="preserve">SJC Industrial Sales &amp; General Services Co. </t>
  </si>
  <si>
    <t xml:space="preserve">PAYMENT OF LABOR FOR THE REPAIR, SYSTEM REPROCESSING AND GENERAL CLEANING OF AIRCONDITIONING UNITS IN ODH (COVID19 FRONTLINE PGB DEPARTMENT)        </t>
  </si>
  <si>
    <t>PAYMENT OF JANITORIAL SUPPLIES USED FOR MEGA PROCESSING FACILITY DURING COVID19 PANDEMIC</t>
  </si>
  <si>
    <t>Materials/supplies needed for the installation of medical tents, COVID-19 Radiology and Hand Hygiene Stations for new COVID-19 Triaging System in Orani, District Hospital</t>
  </si>
  <si>
    <t>Medicines and MEdical Supplies for the use of Bataan Vaccination Sites during Covid-19 Pandemic</t>
  </si>
  <si>
    <t>Emergency purchase of Soundsystem Equipment for the use of Mariveles District Hospital Field based Temporary Treatment and Monitoring Facility during COVID-19 Pandemic</t>
  </si>
  <si>
    <t>Payment for the emergency purchase of additional materials for CCTV, access point and audio system for the proposed quarantine facility and FAB SFB Building during COVID-19 pandemic</t>
  </si>
  <si>
    <t>Transfer the amount paid by General Fund for the refund of real property tax by Marisa Balderia uner OR# 1002071 dated 12/16/21</t>
  </si>
  <si>
    <t>Purchase of office supplies for the use of Provincial Health office</t>
  </si>
  <si>
    <t>Meals for the Vaccination Area (Bataan People's Center) from October 1 to 31, 2021 during Covid-19 Pandemic</t>
  </si>
  <si>
    <t>Labor and materials for the construction of drainage system, Sto. Domingo ES, Brgy. Sto. Domingo Orion, Bataan</t>
  </si>
  <si>
    <t>Production of 15 minutes promotional video for the use of Provincial Government of Bataan for the presentation on "LGU Bataan Good Practices in the COVID-19 Response" of DOH on December 7, 2021</t>
  </si>
  <si>
    <t>Materials for the fabrication of drying racks of frontliner's Personal Protective Equipment of Jose C. Payumo Memorial Hospital and Construction of cover/shed for the generator set of 1Bataan COVID19 Mega Quarantine Facility</t>
  </si>
  <si>
    <t>Emergency purchase of additional materials for the repair and maintenance of 1Bataan Mega Quarantin Facility at Brgy. Dona, Orani, Bataan</t>
  </si>
  <si>
    <t>Various grocery items for the consumption of Covid Patient and Staff of Mega Processing Facility from September 16 to 30, 2021 during Covid -19 Pandemic</t>
  </si>
  <si>
    <t>Various grocery items for the consumption of Covid Patient and Staff of Mega Processing Facility from September 1 to 15, 2021 during Covid-19 Pandemic</t>
  </si>
  <si>
    <t>WELL GENERAL MERCHANDISE-Emergency purchase of Other supplies and materials for the use of Mariveles District Hospital Filed based Temporary Treatment and Monitoring Facility during COVID-19 Pandemic</t>
  </si>
  <si>
    <t>Printing RIS form (Bond Paper Short) to be used for distribution of Food Subsidy for barangays due to Covid-19 Pandmic</t>
  </si>
  <si>
    <t xml:space="preserve">Exton Technical and Manufacturing Support Services Corp </t>
  </si>
  <si>
    <t>Payment for the 1% Retention for payment of different procurements of the Provincial Government of Bataan</t>
  </si>
  <si>
    <t>Medical Oxygen for the use of Jose C Payumo Memorial Hospital for COVID 19 Pandemic Response</t>
  </si>
  <si>
    <t>General Fund-Transfer the amount paid by General Fund for the refund of philhealth contribution for Dec 2021</t>
  </si>
  <si>
    <t>Additional Remittance of Philhealth contribution of JO employees for February 2022</t>
  </si>
  <si>
    <t xml:space="preserve">Lebern Builders Trading and General Services </t>
  </si>
  <si>
    <t>60% PP for L&amp;M for the construction of covered checkpoint &amp; Pathwalk SCTEX Intersection, Brgy Palihan Hermosa, Bataan</t>
  </si>
  <si>
    <t>Transfer to General fund the BIR remittance for February 2022</t>
  </si>
  <si>
    <t>Gen Pharmaceutical-Medical Supplies to be used for Vaccination sites during Covid-19 Pandemic</t>
  </si>
  <si>
    <t>Assorted vegetables for the consumption of Covid Patient and Staff of Mega Processing Facility from October 1 to 15, 2021</t>
  </si>
  <si>
    <t>Various grocery items for the consumption of Covid Patient Staff and Staff of Mega Processing Facility from October 1 to 15, 2021 during Covid-19 Pandemic</t>
  </si>
  <si>
    <t>Office Supplies for the use of various District Hospitals and Vaccination Site during Covid-19 Pandemic</t>
  </si>
  <si>
    <t>LPG-50kgs for thew consumption of Mega Facility within the period of November 2021</t>
  </si>
  <si>
    <t xml:space="preserve">Chubab's Marine Products </t>
  </si>
  <si>
    <t>Assorted marine products for the consumption of Covid Patients and Staff of Mega Processing Facility from October 1 to 15, 2021 during Covid-19 Pandemic</t>
  </si>
  <si>
    <t>Remittance of salary loan installment of JO employees for February 2022</t>
  </si>
  <si>
    <t>Remittance for the month of February 2022</t>
  </si>
  <si>
    <t>Assorted meats and procssed food for the consumption of Covid Patient and and Staff of Mega Processing  Facility from October 1 to 15, 2021</t>
  </si>
  <si>
    <t>Well General Merchandise - Emergency purchase of furniture and fixtures for the use of Mariveles District Hospital Field based Temporary Treatment and Monitoring Facility during COVID-19 Pandemic</t>
  </si>
  <si>
    <t>50 kgs for the consumption of Mega Processing Facility within the period of December 2021</t>
  </si>
  <si>
    <t>Assorted vegetables for the consumption of Covid Patient and Staff of Mega Processing Facility from November 16-30, 2021 during Covid-19 Pandemic</t>
  </si>
  <si>
    <t>Labor and additional materials for the installation and system reprocessing of air-conditioning units in Mariveles District Hospital (COVID 19 Frontline  PGB Department)</t>
  </si>
  <si>
    <t>Assorted marine products for the consumption of Covid Patient and staff of Mega Processing Facility from November 1-15, 2021 during Covid Pandemic</t>
  </si>
  <si>
    <t>Assorted marine products for the consumption of Covid Patient and Staff of Mega Processing Facility from October 16 to 31, 2021 during Covid-19 Pandemic</t>
  </si>
  <si>
    <t>Assorted meats and processed food for the consumption of Covid Patient and Staff of Mega Processing Facility from October 16 to 31, 2021 during Covid-19 Pandemic</t>
  </si>
  <si>
    <t>Assorted marine products for the consumption of COVID-Patients and Staff of Mega Processing Facility from December 1-15, 2021 during Covid-19 Pandemic</t>
  </si>
  <si>
    <t>Assorted marine products for the consumption of Covid Patient and Staff of Mega Processing Facility from December 16-31, 2021</t>
  </si>
  <si>
    <t>Assorted meats and processed food for the consumption of Covid Patient and Staff of Mega Processing Facility from November 16-30, 2021 during Covid-19 Pandemic</t>
  </si>
  <si>
    <t>Various grocery items for the consumption of Covid Patient and staff of Mega Facility from November 1-15, 2021 during Covid 19 Pandemic</t>
  </si>
  <si>
    <t>Various grocery items for the consumption of Covid Patient and Staff of Mega Processing Facility from November 16 - 30, 2021 during Covid-19 Pandemic</t>
  </si>
  <si>
    <t xml:space="preserve">Five A Construction </t>
  </si>
  <si>
    <t>Improvement of Bahay Pagbabago (As Isolation Facility), Brgy. Tenejero, Balanga City, Bataan</t>
  </si>
  <si>
    <t>Various grocery items for the consumption of Covid Patient and Staff of Mega Processing Facility from October 16 to 31, 2021 during Covid-19 Pandemic</t>
  </si>
  <si>
    <t>Assorted marine products for the consumption of Covid Patient and Staff of Mega Processing Facility from November 16-30, 2021 during Covid-19 Pandemic</t>
  </si>
  <si>
    <t>Assorted meats and processed food for the consumption of Covid Patient and staff of Mega Processing Facility from November 1-15, 2021 during Covid 19 Pandemic</t>
  </si>
  <si>
    <t>Meals and Snacks of Vaccination Team for COVID19 at Penelco for the period covered for December 2021</t>
  </si>
  <si>
    <t xml:space="preserve">NICAP Construction </t>
  </si>
  <si>
    <t>Construction of Slope Protection, Baseco ES Brgy. Baseco, Mariveles, Bataan</t>
  </si>
  <si>
    <t>Improvement of Dormitory Building (as COVID Facility), Sunrise Compound, Brgy. Doña, Orani, Bataan</t>
  </si>
  <si>
    <t>Trnsfer the amount paid by General Fund for the refund of real property tax made by Fe Bantugan</t>
  </si>
  <si>
    <t>MEALS AND SNACKS OF VACCINATION TEAM FOR COVID 19 AT PENELCO FOR THE PERIOD COVERED FOR NOVEMBER 2021</t>
  </si>
  <si>
    <t>Various grocery items for the consumption of Covid Patient and Staff of Mega Processing Facility from December 16-31, 2021</t>
  </si>
  <si>
    <t>Various grocery items for the consumption of COVID-Patients and Staff of Mega Processing Facility from December 1-15, 2021 during Covid-19 Pandemic</t>
  </si>
  <si>
    <t xml:space="preserve">DepEd Bataan </t>
  </si>
  <si>
    <t>Subsidy to Orani NHS Parang-parang Annex for the relocation, dismantle, cleaning and re-installation of airconditioning and other labor tools and materials expenses</t>
  </si>
  <si>
    <t>Information and Communication Technology Equipment for the establishment of National Bureau of Investigation-Orani District Office as per Memorandum of Agreement between Provincial Government of Bataan and National Bureau of Investigation as it supports the program of the Provincial Government of Bataan in the allegation of Covid-19 action and mitigation responses</t>
  </si>
  <si>
    <t>Payment of Secuirty Services rendered by 126 Security Guards deployed in Bataan Provincial High Schoool provincewide for the month of January 1-31, 2022</t>
  </si>
  <si>
    <t>Assorted meats and processed food for the consumption of Covid Patient and Staff of Mega Processing Facility from December 16-31, 2021</t>
  </si>
  <si>
    <t>Emergency purchase of Drugs and Medicine for Covid-19 Response use at Mariveles District Hospital</t>
  </si>
  <si>
    <t>Assorted meats and processed food for the consumption of COVID-Patients and Staff of Mega Processing Facility from December 1-15, 2021 during Covid-19 Pandemic</t>
  </si>
  <si>
    <t>Payment of Secuirty Services rendered by 126 Security Guards deployed in Bataan Provincial High Schoool provincewide for the month of February 1-28, 2022</t>
  </si>
  <si>
    <t>Assorted vegetables for the consumption of Covid Patient and Staff of Mega Processing Facility from December 16-31, 2021</t>
  </si>
  <si>
    <t xml:space="preserve">DepEd, Bataan </t>
  </si>
  <si>
    <t>Subsidy to Tipo Elementary School for their project W.A.T.C.H. Shirt and Panaflex for Advocacy Campaign and Implementation</t>
  </si>
  <si>
    <t>PAYMENT OF OTHER SUPPLIES EMERGENCY EXPENSES USE FOR COVID WARD IN COVID19 RESPONSE AT MARIVELES DISTRICT HOSPITAL</t>
  </si>
  <si>
    <t>PAYMENT OF ASSORTED VEGETABLES FOR THE CONSUMPTION OF COVID PATIENT AND STAFF OF MEGA PROCESSING FACILITY FROM DEC.1-15,2021 DURING COVID 19 PANDEMIC</t>
  </si>
  <si>
    <t>1% retention for different procurements  of the PGB</t>
  </si>
  <si>
    <t>Construction of TWO (2) Storey Four (4) Classroom School Building Tucop Integrated School, Brgy. Tucop, Dinalupihan, Bataan</t>
  </si>
  <si>
    <t>Drinking Water for December 2021 for Mega Processing Facility during Covid-19 Emergency Purchase Response</t>
  </si>
  <si>
    <t>Drinking Water for Mega Processing Facility during Covid-19 Emergency Response</t>
  </si>
  <si>
    <t>Drinking Water for the November 2021 for the Mega Processing Facility During Covid 19 Emergency Response</t>
  </si>
  <si>
    <t xml:space="preserve">Padiz Trading and Construction </t>
  </si>
  <si>
    <t>Construction of two (2) Storey four (4) Classroom School Building Talimundoc ES, Orani Bataan</t>
  </si>
  <si>
    <t>Assorted vegetables for the consumption of Covid Patient and Staff of Mega Processing Facility from October 16 to 31, 2021 during Covid-19 Pandemic</t>
  </si>
  <si>
    <t>Meals and Snacks of Vaccination Team for COVID19 at PENELCO for the period covered for October 2021</t>
  </si>
  <si>
    <t>Drinking Water for Mega Processing Facility during COVID-19 Emergency Respnonses</t>
  </si>
  <si>
    <t>Construction of Two (2) Storey four (4) Classroom School Building, DOñA ES, BRGY, DOñA, ORANI, BATAAN</t>
  </si>
  <si>
    <t>Assorted vegetable for the assumption Covid patient and staff of mega processing facility from November 1-15, 2021 during Covid 19 Pandemic</t>
  </si>
  <si>
    <t>Remittance of Philhealth contribution of JO employees under SEF for March 2022</t>
  </si>
  <si>
    <t>Reimbursement of Padlocks for the use of Mega Processing Facility during Covid-19 Pandemic</t>
  </si>
  <si>
    <t>Fund TRANSFER TO GENERAL FUND THE BIR REMITTANCE UNDER SEF FOR THE MONTH OF MARCH 2022</t>
  </si>
  <si>
    <t>Remittance of salary loan installment of JO employees for March2022</t>
  </si>
  <si>
    <t>Remittance of Pag-ibig MPL &amp; calamity loan JO employees   March 2022</t>
  </si>
  <si>
    <t>Remittance of Pag-ibig contribution JO employees  for  March 2022</t>
  </si>
  <si>
    <t xml:space="preserve">Marvel Builders </t>
  </si>
  <si>
    <t>Construction of elevated water tank at saysain Elementary school Brgy. Saysain, Bagac</t>
  </si>
  <si>
    <t>Cash advance for payment of honorarium</t>
  </si>
  <si>
    <t>Construction of TWO (2) Storey Four (4) Classroom School Building, Bangkal High School, Abucay, Bataan</t>
  </si>
  <si>
    <t>Meals for the Vaccination Area ( Bataan People's Center ) from November1-30 .2021 during Covid 19 Pandemic</t>
  </si>
  <si>
    <t>Transfer the amount paid bt General Fund for the refund of philhealth contribution for MArch 2022</t>
  </si>
  <si>
    <t>Security Services for Junior &amp; Senior High School in DEPED Bataan for the period covered from March to December 202</t>
  </si>
  <si>
    <t xml:space="preserve">E.R. Venzon Construction </t>
  </si>
  <si>
    <t>Construction of Bataan School for the Arts (Phase II) Bagac, Bataan</t>
  </si>
  <si>
    <t>Remittance of contribution of JO employee under SEF for the month of April 2022</t>
  </si>
  <si>
    <t xml:space="preserve">AFAJI Builders </t>
  </si>
  <si>
    <t>Construction of Two (2) Storey Six (6) Classroom School Building, Mambog ES-Annex, Hermosa, Bataan</t>
  </si>
  <si>
    <t>Transfer to General Fund the BIR remittance for April 2022</t>
  </si>
  <si>
    <t>Remittance of salary loan installment of JO employees forApril  2022</t>
  </si>
  <si>
    <t>Improvement of Road Leading to Mega Facilities at 1 Bataan Command Center, Brgy Dona Orani, Bataan</t>
  </si>
  <si>
    <t>ATP Construction</t>
  </si>
  <si>
    <t>Labor and Materials for the Establishment of Temporary Treatment &amp; Monitoring Facility for Mariveles District Hospital, AFAB, BATAAN</t>
  </si>
  <si>
    <t>Remittance of Pag-ibig MPL &amp; calamity loan JO employees   April 2022</t>
  </si>
  <si>
    <t>Remittance of Pag-ibig contribution JO employees  for  April  2022</t>
  </si>
  <si>
    <t>Subsidy to Schools Division Office of Bataan for hosting in the 3rd Regional Management Committee Meeting w/ the Department of Education-Regional Office III on May 12-13, 2022</t>
  </si>
  <si>
    <t>Karpa II Security Services</t>
  </si>
  <si>
    <t>Quezon's Furniture &amp; Trading</t>
  </si>
  <si>
    <t>Subsidy to Pentor Elementary School for the improvement of comfort rooms</t>
  </si>
  <si>
    <t>Transfer to General Fund the BIR remittance for May 2022</t>
  </si>
  <si>
    <t>1% retention of tuberculin syringe for various district hospitals &amp; vaccination sites during COVID-19 pandemic</t>
  </si>
  <si>
    <t>1% retention for printing of self-learning modules for G kinder to grade 10 (quarter 3)</t>
  </si>
  <si>
    <t xml:space="preserve">Royal General Merchandise </t>
  </si>
  <si>
    <t>1% retention for additional printer for use of Bataan Provinvce COVID-19 Vaccination program</t>
  </si>
  <si>
    <t>1% retention for folding table for use of various Bataan Vaccination Area &amp; Mega processing facility during COVID-19 Pandemic</t>
  </si>
  <si>
    <t>1% retention for payment of supply &amp; installation of airconditioning units for conversion of New BJMP into temporary Mega processing Center Isolation &amp; quarantine facility</t>
  </si>
  <si>
    <t xml:space="preserve">Quadgen Pharmceutical </t>
  </si>
  <si>
    <t xml:space="preserve">Markell Machineries Manufacturing </t>
  </si>
  <si>
    <t xml:space="preserve">R.Z. Tigas Construction and Trading </t>
  </si>
  <si>
    <t>Construction of Water System Bataan School of Fisheries, Brgy. Daan Bago, Orion Bataan</t>
  </si>
  <si>
    <t xml:space="preserve">Cosmic Technologies Incorporated </t>
  </si>
  <si>
    <t>1% retention for tablets use for distance learning</t>
  </si>
  <si>
    <t>Construction og Bataan School for the Arts (Phase II) Bagac, Bataan</t>
  </si>
  <si>
    <t>1% retention for supply &amp; distribution of Goods to Bataan Constituents sa Tulong Mula sa Pamahalaan during COVID-19 pandemic</t>
  </si>
  <si>
    <t>1% retention for laptop for used of Bataan Province COVID-19 vaccination</t>
  </si>
  <si>
    <t>45% final payt of labor &amp; materials for 2 storey 4 classroom school building Payngan ES Payangan Dinalupihan Bataan</t>
  </si>
  <si>
    <t>Meals and Snacks of Vaccination Team for COVID19 at VISTA MALL BATAAN for the period covered from September 1-30, 2021</t>
  </si>
  <si>
    <t>Additional BIR remittance for the month of May 2022</t>
  </si>
  <si>
    <t>Commercial Rice for vaccination incentives during Covid-19 Pandemic</t>
  </si>
  <si>
    <t>Remittance of SSS contribution of JO employees for  May 2022</t>
  </si>
  <si>
    <t>Remittance of salary loan installment of JO employees for  May 2022</t>
  </si>
  <si>
    <t>Remittance of Pag-ibig MPL &amp; calamity loan JO employees May 2022</t>
  </si>
  <si>
    <t>Reimbursement for Meals and Snacks for Rice Distribution of "Bayanihan, Bakunahan! Part 2" on December 13 to 17, 2021</t>
  </si>
  <si>
    <t>Supply &amp; delivery of equipment  for the Upgrading/ Improvement of Electrical System for School Buildings Provincewide</t>
  </si>
  <si>
    <t>Supply &amp; delivery of equipment  FOR THE CONSTRUCTION OF TWO (2) STOREY FOUR (4) CLASSROOMS SCHOOL BUILDING AT SISIMAN ELEMENTARY SCHOOL, BRGY. SISIMAN, MARIVELES, B ATAAN</t>
  </si>
  <si>
    <t>Supply &amp; delivery of equipment FOR THE CONSTRUCTION OF TWO (2) STOREY FOUR (4) CLASSROOMS SCHOOL BUILDING SAPANG</t>
  </si>
  <si>
    <t>Supply &amp; delivery of equipment FOR THE CONSTRUCTION OF MULTI-PURPOSE (COVERED COURT) PAGALANGGANG NHS, DINALUPIHAN, BATAAN</t>
  </si>
  <si>
    <t>Supply &amp; delivery of equipment for the Construction of Two (2) Storey Six (6) Classrooms School Building, Roosevelt Elementary School, Brgy. Roosevelt , Dinalupihan, Bataan</t>
  </si>
  <si>
    <t>Supply &amp; delivery of equipment for the Construction of Two (2) Storey Four(4) Classrooms School Building, Asuncion Consunji Mes, Brgy. Imelda, Samal, Bataan</t>
  </si>
  <si>
    <t>Supply &amp; delivery of equipment for the Construction of Two (2) Storey Four(4) Classrooms School Building, J.S. Herrera Sr. Elementary School, Brgy. Wawa, Pilar, Bataan</t>
  </si>
  <si>
    <t xml:space="preserve">Lyric Piano &amp; Organ Corp. </t>
  </si>
  <si>
    <t>Musical Instrument's for Arts Specialization</t>
  </si>
  <si>
    <t>Security services rendered deployed in Bataan Provincial High School provincewide for May 1-31, 2022</t>
  </si>
  <si>
    <t>Subsidy to Schools Division Office of Bataan for attending the National Awarding of the Brigada Eskwela Best Impementing Schools at Iloilo Convention Center (ICON) Iloilo City on June 19-21, 2022</t>
  </si>
  <si>
    <t xml:space="preserve">Provincial Government of Bataan- General Fund </t>
  </si>
  <si>
    <t>General Fund-TRansfer the amount paid by general fund for the pag-ibig contributions under SEF - 3.5% engineering supervisions for May 1-15, 2022 which was remitted</t>
  </si>
  <si>
    <t>Supply &amp; delivery of equipment FOR THE CONSTRUCTION OF TWO (2) STOREY FOUR (4) CLASSROOMS SCHOOL BUILDING AT JC PAYUMO JR. ELEMENTARY SCHOOL , Brgy. JC Payumo. Dinalupihan, Bataan</t>
  </si>
  <si>
    <t>Supply &amp; delivery of equipment FOR THE CONSTRUCTION OF TWO (2) STOREY FOUR (4) CLASSROOMS SCHOOL BUILDING AT MABATANG NATIONAL HIGH SCHOOL, BRGY. MABATANG, ABUCAY, BATAAN</t>
  </si>
  <si>
    <t>Supply &amp; delivery of equipment FOR THE CONSTRUCTION OF TWO (2) STOREY FOUR (4) CLASSROOMS SCHOOL BUILDING AT GUGO ELEMENTARY SCHOOL, BRGY. GUGO, SAMAL, BATAAN</t>
  </si>
  <si>
    <t>Supply &amp; delivery of equipment FOR THE CONSTRUCTION OF SLOPE PROTECTION, PAYSAWAN ELEMENTARY SCHOOL, BRGY. PAYSAWAN, BAGAC, BATAAN</t>
  </si>
  <si>
    <t>Supply &amp; delivery for  THE CONSTRUCTION OF TWO (2) STOREY FOUR (4) CLASSROOMS SCHOOL BUILDING AT SISIMAN ELEMENTARY SCHOOL, BRGY. SISIMAN, MARIVELES, B ATAAN</t>
  </si>
  <si>
    <t>Supply &amp; delivery for THE REPAIR/REHABILITATION OF EIGHT (8) CLASSROOM SCHOOL BUILDING OF KATAASAN ELEMENTARY SCHOOL, BRGY. KATAASAN, DINALUPIHAN, BATAAN</t>
  </si>
  <si>
    <t>Supply &amp; delivery forTHE CONSTRUCTION OF FISH HATCHERY BATAAN SCHOOL OF FISHERIES, BRGY. DAAN BAGO, ORION, BATAA</t>
  </si>
  <si>
    <t>Supply &amp; delivery for THE CONSTRUCTION OF TWO (2) STOREY FOUR (4) CLASSROOM SCHOOL BUILDING MT. VIEW ES, BRGY. MT. VIEW , MARIVELES, BATAAN</t>
  </si>
  <si>
    <t>Supply &amp; delivery for the Construction of Two (2) Storey Six (6) Classrooms School Building, Pantalan Luma, Elementary School</t>
  </si>
  <si>
    <t>Supply &amp; delivery for the Construction of Two (2) Storey Four(4) Classrooms School Building, Magsaysay Elementary School, Brgy. Magsaysay, Dinalupihan, Bataan</t>
  </si>
  <si>
    <t>Supply &amp; delivery for THE CONSTRUCTION OF TWO (2) STOREY FOUR (4) CLASSROOMS SCHOOL BUILDING ATSACRIFICE VALLEY ELEMENTARY SCHOOL, BRGY. SACRIFICE VALLEY, HERMOSA, BATAAN</t>
  </si>
  <si>
    <t>Supply &amp; delivery for the Construction of Two (2) Classrooms School Building, Legua Integrated School Barangay Pag-asa, Orani, Bataan</t>
  </si>
  <si>
    <t>Supply &amp; delivery for  THE SUPPLY AND INSTALLATION OF FLOOD CONTROL BARRIERS OF VARIOUS SCHOOLS, PROVINCEWIDE</t>
  </si>
  <si>
    <t>Construction of slope protection bankal highschool, Brgy Bangkal, Abucay, Bataan</t>
  </si>
  <si>
    <t>Repair/Rehabilitation of Sunshine Building (As Covid Facility), Brgy Doña, Orani Bataan</t>
  </si>
  <si>
    <t>Construction of learning resource center, Balon Elementary School, Brgy Alon Anito, Mariveles, Bataan</t>
  </si>
  <si>
    <t>Supply &amp; delivery of equipment FOR the LABOR AND MATERIALS FOR THE ANAY TREATMENT FOR VARIOUS SCHOOL BUILDINGS PROVINCEWIDE</t>
  </si>
  <si>
    <t>Supply &amp; delivery of equipment FOR the LABOR AND MATERIALS FOR THE REPAIR/REHABILITATION OF EIGHT (8) CLASSROOM SCHOOL BUILDING OF KATAASAN ELEMENTARY SCHOOL, BRGY. KATAASAN, DINALUPIHAN, BATAAN</t>
  </si>
  <si>
    <t>Supply &amp; delivery for the CONSTRUCTION OF PERIMETER FENCE AND  SLOPE PROTECTION, PAGASA ES, BRGY. PAGASA, ORANI, BATAAN</t>
  </si>
  <si>
    <t>Supply &amp; delivery for THE CONSTRUCTION OF SLOPE PROTECTION AND ACCESS ROAD, MARIVELES NHS ANNEX- CABCABEN, BRGY. ALAS-ASIN, MARIVELES, BATAAN</t>
  </si>
  <si>
    <t>Supply &amp; delivery of equipment FOR THE CONSTRUCTION OF FOUR (4) STOREY TWELVE (12) CLASSROOMS SCHOOL BUILDING AT MARIVELES NATIONAL HIGHSCHOOL-ANNEX, BRGY. POBLACION, MARIVELES, BATATAAN</t>
  </si>
  <si>
    <t>Supply &amp; delivery of equipment FOR THE CONSTRUCTION OF TWO (2) STOREY FOUR (4) CLASSROOM SCHOOL BUILDING MT. VIEW ES, BRGY. MT. VIEW , MARIVELES, BATAAN</t>
  </si>
  <si>
    <t xml:space="preserve">E.S. Print Media Inc. </t>
  </si>
  <si>
    <t>Supply &amp; delivery forLABOR AND MATERIALS for the Upgrading/ Improvement of Electrical System for School Buildings Provincewide</t>
  </si>
  <si>
    <t>The Construction of Two (2) Storey Six (6) Classrooms School Building, Roosevelt Elementary School, Brgy. Roosevelt , Dinalupihan, Bataan</t>
  </si>
  <si>
    <t>29.04% FINAL PAYMENT FOR LABOR AND MATERIALS FOR THE CONSTRUCTION OF 2 STOREY 4 CLASSROOM BUILDING,BANGKAL HIGHSCHOOL BRGY.BAGKAL ABUCAY,BATAAN</t>
  </si>
  <si>
    <t>29.23% FINAL PAYMENT FOR THE LABOR AND MATERIALS FOR THE CONSTRUCTION OF 2 STOREY 4 CLASSROOM SCHOOL BUILDING, DONA ES, BRGY. DONA, ORANI,BATAAN</t>
  </si>
  <si>
    <t>1% retention for materials for the repiar &amp; maintenance of ODH &amp; BCMH as COVID 19 frontline PGB Departement</t>
  </si>
  <si>
    <t xml:space="preserve">Krukspec Tactical Gear Manufacturer </t>
  </si>
  <si>
    <t xml:space="preserve">Assisonkyle Trading </t>
  </si>
  <si>
    <t>Supply &amp; delivery for THE CONSTRUCTION OF MULTI-PURPOSE (COVERED COURT) PAGALANGGANG NHS, DINALUPIHAN, BATAAN</t>
  </si>
  <si>
    <t>FOR THE CONSTRUCTION OF FOUR (4) STOREY TWELVE (12) CLASSROOMS SCHOOL BUILDING AT MARIVELES NATIONAL HIGHSCHOOL-ANNEX, BRGY. POBLACION, MARIVELES, BATATAAN</t>
  </si>
  <si>
    <t>Supply &amp; delivery of equipment for THE CONSTRUCTION OF TWO (2) UNITS TWO (2) STOREY SIX (6) CLASSROOM SCHOOL BUILDING (NEW SITE) HACIENDA ELEMENTARY SCHOOL, ABUCAY, BATAAN</t>
  </si>
  <si>
    <t xml:space="preserve">Ebizolution Inc. </t>
  </si>
  <si>
    <t>Subscription of Provincial Annual License of AI-Driven Web-Based Philippine Curriculum Aligned Education Platforms</t>
  </si>
  <si>
    <t>1% retention fee of JIC Trading which was charged to General Fund instead of special education fund</t>
  </si>
  <si>
    <t>Transfer to General Fund the BIR remittance for June 2022</t>
  </si>
  <si>
    <t>Remittance of Pag-ibig MPL &amp; calamity loan JO employees   June 2022</t>
  </si>
  <si>
    <t>Remittance of Pag-ibig contribution JO employees  for  June 2022</t>
  </si>
  <si>
    <t>Supply &amp; delivery of equipment  for Labor and Materials for the Construction of Two (2) Storey Four(4) Classrooms School Building, Asuncion Consunji Mes, Brgy. Imelda, Samal, Bataan</t>
  </si>
  <si>
    <t>100% full payment of labor and materials for the construction of Bataan School for the Arts, Bagac, Bataan</t>
  </si>
  <si>
    <t>Supply &amp; delivery of equipment  for LABOR AND MATERIALS FOR THE CONSTRUCTION OF TWO (2) STOREY FOUR (4) CLASSROOMS SCHOOL BUILDING AT MABATANG NATIONAL HIGH SCHOOL, BRGY. MABATANG, ABUCAY, BATAAN</t>
  </si>
  <si>
    <t>Supply &amp; delivery of equipment  for THE CONSTRUCTION OF TWO (2) STOREY FOUR (4) CLASSROOMS SCHOOL BUILDING AT GUGO ELEMENTARY SCHOOL, BRGY. GUGO, SAMAL, BATAAN</t>
  </si>
  <si>
    <t>Supply &amp; delivery of equipment  for  Labor and Materials for the Construction of Two (2) Storey Four(4) Classrooms School Building, Magsaysay Elementary School, Brgy. Magsaysay, Dinalupihan, Bataa</t>
  </si>
  <si>
    <t>Supply &amp; delivery of equipment  for  Labor and Materials for the Construction of Two (2) Storey Six (6) Classrooms School Building, Pantalan Luma, Elementary School, Pantalan Luma, Orani, Bataan</t>
  </si>
  <si>
    <t>Supply &amp; delivery of equipment  for  LABOR AND MATERIALS FOR THE CONSTRUCTION OF TWO (2) STOREY FOUR (4) CLASSROOMS SCHOOL BUILDING AT SISIMAN ELEMENTARY SCHOOL, BRGY. SISIMAN, MARIVELES, B ATAAN</t>
  </si>
  <si>
    <t>Supply &amp; delivery of ink for Construction of Two (2) Storey Four(4) Classrooms School Building, Asuncion Consunji Mes, Brgy. Imelda, Samal, Bataan</t>
  </si>
  <si>
    <t>Supply &amp; delivery of equipment  for LABOR AND MATERIALS FOR THE CONSTRUCTION OF TWO (2) STOREY FOUR (4) CLASSROOMS SCHOOL BUILDING SAPANG</t>
  </si>
  <si>
    <t>Supply &amp; delivery of ink for Construction CONSTRUCTION OF TWO (2) STOREY FOUR (4) CLASSROOMS SCHOOL BUILDING SAPANG</t>
  </si>
  <si>
    <t>Supply &amp; delivery of ink for CONSTRUCTION OF TWO (2) STOREY FOUR (4) CLASSROOMS SCHOOL BUILDING AT SISIMAN ELEMENTARY SCHOOL, BRGY. SISIMAN, MARIVELES, B ATAAN</t>
  </si>
  <si>
    <t>Supply &amp; delivery of equipment  for LABOR AND MATERIALS FOR THE CONSTRUCTION OF TWO (2) STOREY FOUR (4) CLASSROOMS SCHOOL BUILDING ATSACRIFICE VALLEY ELEMENTARY SCHOOL, BRGY. SACRIFICE VALLEY, HERMOSA, BATAAN</t>
  </si>
  <si>
    <t>Supply &amp; delivery for  THE CONSTRUCTION OF ACCESS ROAD KABUKIRAN ES, BRGY. CALAYLAYAN, ABUCAY, BATAA</t>
  </si>
  <si>
    <t>Supply &amp; delivery of ink for Construction of Two (2) Storey Four(4) Classrooms School Building, J.S. Herrera Sr. Elementary School, Brgy. Wawa, Pilar, Bataan</t>
  </si>
  <si>
    <t>129 security guards deployed in Pataan Provincial High School provincewide for June 1-30, 2022</t>
  </si>
  <si>
    <t>Supply &amp; delivery of ink for the Upgrading/ Improvement of Electrical System for School Buildings Provincewide</t>
  </si>
  <si>
    <t>. Supply &amp; delivery of ink for THE CONSTRUCTION OF TWO (2) STOREY FOUR (4) CLASSROOMS SCHOOL BUILDING AT JC PAYUMO JR. ELEMENTARY SCHOOL , Brgy. JC Payumo. Dinalupihan, Bataan</t>
  </si>
  <si>
    <t>Supply &amp; delivery of ink FOR THE CONSTRUCTION of Two (2) Storey Four(4) Classrooms School Building, Magsaysay Elementary School, Brgy. Magsaysay, Dinalupihan, Bataa</t>
  </si>
  <si>
    <t>Supply &amp; delivery of ink for  THE CONSTRUCTION OF SLOPE PROTECTION AND ACCESS ROAD, MARIVELES NHS ANNEX- CABCABEN, BRGY. ALAS-ASIN, MARIVELES, BATAAN</t>
  </si>
  <si>
    <t xml:space="preserve">Cristina C. Sangalang </t>
  </si>
  <si>
    <t>Payment of Job Order Wages of the late Alexander Sangalang for the period of March 16-31, 2022</t>
  </si>
  <si>
    <t>Medals to be used at different schools province wide</t>
  </si>
  <si>
    <t>Supply &amp; delivery of equipment  for the Construction of Two (2) Storey Six (6) Classrooms School Building, Roosevelt Elementary School, Brgy. Roosevelt , Dinalupihan, Bataan</t>
  </si>
  <si>
    <t xml:space="preserve">Arbat trading </t>
  </si>
  <si>
    <t>Supply &amp; delivery of equipment  for the Construction of Two (2) Storey Four(4) Classrooms School Building, J.S. Herrera Sr. Elementary School, Brgy. Wawa, Pilar, Bataan</t>
  </si>
  <si>
    <t>Supply &amp; delivery of equipment  for  THE CONSTRUCTION OF FOUR (4) STOREY TWELVE (12) CLASSROOMS SCHOOL BUILDING AT MARIVELES NATIONAL HIGHSCHOOL-ANNEX, BRGY. POBLACION, MARIVELES, BATATAAN</t>
  </si>
  <si>
    <t xml:space="preserve">Ability Prints  </t>
  </si>
  <si>
    <t>Certificate to be used at different schools province wide</t>
  </si>
  <si>
    <t>Printing of RIS Form for the Distribution of Mobile Tablet Project of the Provincial Government of Bataan to DepEd SDO-Bataan Public Junior High School (Grades 9 &amp; 10)</t>
  </si>
  <si>
    <t>Well General Merchandise-1% retention for other supplies &amp; materials for use of MDH fielf based temporary treatment &amp; monitoring facility during COVID-19 pandemic</t>
  </si>
  <si>
    <t>Supply &amp; Delivery of safety shoes FOR THE REPAIR/REHABILITATION OF EIGHT (8) CLASSROOM SCHOOL BUILDING OF KATAASAN ELEMENTARY SCHOOL, BRGY. KATAASAN, DINALUPIHAN, BATAAN</t>
  </si>
  <si>
    <t>Supply &amp; Delivery of safety shoes for the Construction of Two (2) Storey Six (6) Classrooms School Building, Roosevelt Elementary School, Brgy. Roosevelt , Dinalupihan, Bataan</t>
  </si>
  <si>
    <t>Supply &amp; Delivery of safety shoes FOR THE CONSTRUCTION OF TWO (2) STOREY FOUR (4) CLASSROOMS SCHOOL BUILDING ATSACRIFICE VALLEY ELEMENTARY SCHOOL, BRGY. SACRIFICE VALLEY, HERMOSA, BATAAN</t>
  </si>
  <si>
    <t>Supply &amp; Delivery of safety shoes FOR THE CONSTRUCTION OF SLOPE PROTECTION AND ACCESS ROAD, MARIVELES NHS ANNEX- CABCABEN, BRGY. ALAS-ASIN, MARIVELES, BATAAN</t>
  </si>
  <si>
    <t>Supply &amp; Delivery of safety shoes FOR THE CONSTRUCTION OF TWO (2) STOREY FOUR (4) CLASSROOMS SCHOOL BUILDING AT SISIMAN ELEMENTARY SCHOOL, BRGY. SISIMAN, MARIVELES, B ATAAN</t>
  </si>
  <si>
    <t>Supply &amp; Delivery of safety shoes FOR THE CONSTRUCTION OF TWO (2) STOREY FOUR (4) CLASSROOMS SCHOOL BUILDING AT MABATANG NATIONAL HIGH SCHOOL, BRGY. MABATANG, ABUCAY, BATAAN</t>
  </si>
  <si>
    <t>Supply &amp; Delivery of safety shoes FOR THE CONSTRUCTION OF TWO (2) STOREY FOUR (4) CLASSROOMS SCHOOL BUILDING AT JC PAYUMO JR. ELEMENTARY SCHOOL , Brgy. JC Payumo. Dinalupihan, Bataan</t>
  </si>
  <si>
    <t>Subsidy to Division Federated Parents Teachers Association for the 2022 Capacity Building for Division FPTA cum Strategic Planning on July 29-31, 2022 at Baguio City</t>
  </si>
  <si>
    <t>Supply &amp; delivery of equipment FOR THE CONSTRUCTION OF TWO (2) UNITS TWO (2) STOREY SIX (6) CLASSROOM SCHOOL BUILDING (NEW SITE) HACIENDA ELEMENTARY SCHOOL, ABUCAY, BATAAN</t>
  </si>
  <si>
    <t>Cash advance for PGB teachers honoraria on June 1-30, 2022</t>
  </si>
  <si>
    <t>10% retention for labor &amp; materials for the construction of 1. 2 storey 10 classroom school building, Mrong SHS (new site), Sabang Morong Bataan 2. 2 storey 4 classroom school building Quinawan ES Quinawan Bagac Bataan 3. 2 storey 4 classroom school building Mabayo NHS Mabayo morong Bataan 4. 2 storey 4 classroom school bldg Mabayo ES Mabayo Morong BAtaan</t>
  </si>
  <si>
    <t>Supply &amp; delivery for THE CONSTRUCTION OF FOUR (4) STOREY TWELVE (12) CLASSROOMS SCHOOL BUILDING AT MARIVELES NATIONAL HIGHSCHOOL-ANNEX, BRGY. POBLACION, MARIVELES, BATATAAN</t>
  </si>
  <si>
    <t>Supply &amp; delivery for the Upgrading/ Improvement of Electrical System for School Buildings Provincewide</t>
  </si>
  <si>
    <t>Supply &amp; delivery for the Construction of Two (2) Storey Four(4) Classrooms School Building, Asuncion Consunji Mes, Brgy. Imelda, Samal, Bataan</t>
  </si>
  <si>
    <t>LABOR AND MATERIALS FOR THE CONSTRUCTION OF FOUR (4) STOREY TWELVE (12) CLASSROOMS SCHOOL BUILDING AT MARIVELES NATIONAL HIGHSCHOOL-ANNEX, BRGY. POBLACION, MARIVELES, BATATAAN</t>
  </si>
  <si>
    <t>Music Instrument for Arts Specialization</t>
  </si>
  <si>
    <t>LABOR AND MATERIALS FOR THE CONSTRUCTION OF SLOPE PROTECTION AND ACCESS ROAD, MARIVELES NHS ANNEX- CABCABEN, BRGY. ALAS-ASIN, MARIVELES, BATAAN</t>
  </si>
  <si>
    <t>Transfer to General fund</t>
  </si>
  <si>
    <t>Supply &amp; delivery of personal protective equipment FOR THE CONSTRUCTION OF PERIMETER FENCE AND SLOPE PROTECTION, PAGASA ES, BRGY. PAGASA, ORANI, BATAAN</t>
  </si>
  <si>
    <t>Remittance of salary &amp; rice loan installment of JO for July 2022</t>
  </si>
  <si>
    <t>Remitance of SSS contribution of JO employees for July 2022</t>
  </si>
  <si>
    <t>Remittance of philhealth contribution of consultants for July 2022</t>
  </si>
  <si>
    <t>Supply &amp; Delivery of safety shoes FOR THE CONSTRUCTION OF TWO (2) STOREY FOUR (4) CLASSROOMS SCHOOL BUILDING AT GUGO ELEMENTARY SCHOOL, BRGY. GUGO, SAMAL, BATAAN</t>
  </si>
  <si>
    <t>Supply &amp; Delivery of safety shoes FOR THE ANAY TREATMENT FOR VARIOUS SCHOOL BUILDINGS PROVINCEWIDE</t>
  </si>
  <si>
    <t>Supply and installation of Solar Panel for Various School Buildings, Provincewide</t>
  </si>
  <si>
    <t>Supply &amp; Delivery of safety shoes for the Construction of Two (2) Storey Four(4) Classrooms School Building, Asuncion Consunji Mes, Brgy. Imelda, Samal, Bataan</t>
  </si>
  <si>
    <t>Supply &amp; Delivery of safety shoes for the Construction of Two (2) Storey Four(4) Classrooms School Building, Magsaysay Elementary School, Brgy. Magsaysay, Dinalupihan, Bataa</t>
  </si>
  <si>
    <t xml:space="preserve">Xepto Computing, Inc. </t>
  </si>
  <si>
    <t>Procurement for the subscription to a remote communication platform for the distribution and retrieval of digital content and learning materials for the learners of Deped Division of Bataan</t>
  </si>
  <si>
    <t>Remittance of Pag-ibig MPL &amp; calamity loan JO employees July 2022</t>
  </si>
  <si>
    <t>Remittance of Pag-ibig contribution JO employees for July 2022</t>
  </si>
  <si>
    <t>Subsidy to Tipo Elementary School for their transportation expenses in the 3rd Project W.A.T.C.H. Summit on August 3-5, 2022 at Baguio City</t>
  </si>
  <si>
    <t>1% retention for materials for the fabrication of drying racks of frontliners personal protective equipment of JCPMH &amp; Const of cover/shed for the generator set of 1 Bataan COVID-19 Mega-quarantine facility</t>
  </si>
  <si>
    <t>1% retention for medicines &amp; medica supplies for use of vaccination sites during COVID 19 pandemic</t>
  </si>
  <si>
    <t>Cash advance for PSB teacher honoraria for July 2022</t>
  </si>
  <si>
    <t>Fabrication of two tables &amp; chairs provincewide</t>
  </si>
  <si>
    <t xml:space="preserve">JEPA Construction and Supplies </t>
  </si>
  <si>
    <t>Labor and Materials for the Construction of Two (2) Storey Four(4) Classrooms School Building, Asuncion Consunji Mes, Brgy. Imelda, Samal, Bataan</t>
  </si>
  <si>
    <t>Transfer the amount paid by General Fund for wages under SEF 3.5% Engineering Supervision for May 01 - 15, 2022</t>
  </si>
  <si>
    <t>Supply &amp; Delvery of equipment to be used for the Upgrading/ Improvement of Electrical System for School Buildings Provincewide</t>
  </si>
  <si>
    <t>Subsidy to Pinagsumilan Elementary School for the rehabilitation of comfort rooms</t>
  </si>
  <si>
    <t>Subsidy to Dalao Elementary School for the rehabilitation of Gulayan sa Paaralan</t>
  </si>
  <si>
    <t>Subsidy to Calungusan Elementary School for the construction of Learners Table</t>
  </si>
  <si>
    <t>Subsidy to Sta. Elena Elementary School for the construction of drainage canal</t>
  </si>
  <si>
    <t>Subsidy to Eva Aeta Elementary School for the repair of pathway</t>
  </si>
  <si>
    <t>Subsidy to Kabukiran Elementary School for the repair of classroom ceiling and electrical wiring</t>
  </si>
  <si>
    <t>Subsidy to Bangkal Resettlement Elementary School for the repainting of classrooms</t>
  </si>
  <si>
    <t>Subsidy to Jose Abejar Memorial Elementary School for the repair of exit door</t>
  </si>
  <si>
    <t>Subsidy to Hacienda Elementary School Elementary School for the construction of wooden chair and tables</t>
  </si>
  <si>
    <t>Subsidy to Bangkal Elementary School for the emprovement of school facilities</t>
  </si>
  <si>
    <t>Subsidy to Bangkal High School for the installation of classroom door grills</t>
  </si>
  <si>
    <t>Subsidy to Pelagio Rubiano Elementary School for the completion of classroom partition</t>
  </si>
  <si>
    <t>Subsidy to Wakas Elementary School for the rehabilitation of water system</t>
  </si>
  <si>
    <t>Subsidy to Sto. Niño Elementary Elementary School for plastering and repair of Perimeter fence</t>
  </si>
  <si>
    <t>Subsidy to Kabalutan Elementary School for the repaiting of school building</t>
  </si>
  <si>
    <t>Subsidy to Bayan-Bayanan Elementary School for the improvement of pathway</t>
  </si>
  <si>
    <t>Subsidy to Bantan Elementary School for the repaiting of Math park and plant boxes</t>
  </si>
  <si>
    <t>Subsidy to Layac Elementary School for the putting up of Trellises for Gulayan sa Paaralan</t>
  </si>
  <si>
    <t xml:space="preserve">ER Venzon Construction </t>
  </si>
  <si>
    <t>51% partial payt for LABOR AND MATERIALS FOR THE CONSTRUCTION OF PERIMETER FENCE AND HACIENDA ELEMENTARY SCHOOL (NEW SITE) BRGY. GABON, ABUCAY BATAAN</t>
  </si>
  <si>
    <t>Subsidy to Quinawan Integrated School for the improvement of Math &amp; Science Park</t>
  </si>
  <si>
    <t>Subsidy to Pagalanggang Elementary School for the repair of security fence</t>
  </si>
  <si>
    <t>Subsidy to Alauli Elementary School for the rehabilitation of pathwalk</t>
  </si>
  <si>
    <t>Subsidy to Paraiso Elementary School for the improvement of pathwalk</t>
  </si>
  <si>
    <t>Subsidy to Pantalan Luma Elementary School for the repainting fence, steel gate &amp; plant boxes</t>
  </si>
  <si>
    <t>Subsidy to Kaparangan Elementary School for their various project</t>
  </si>
  <si>
    <t>Subsidy to JS Herrera Sr. Memorial Elementary School for the rehabilitation of ceiling</t>
  </si>
  <si>
    <t>Subsidy to Pantingan Elementary School for the improvement of pathwalk</t>
  </si>
  <si>
    <t>Subsidy to Morong National High School Mabayo - Annex for the improvement of school facilities</t>
  </si>
  <si>
    <t>Subsidy to Baseco National High School for the Movable guard house</t>
  </si>
  <si>
    <t>Subsidy to Kinaragan Elementary School for the repainting of internal wall and chairs</t>
  </si>
  <si>
    <t>Subsidy to Kitang Elementary School for the repainting of plantboxes, benches and classroom fañade</t>
  </si>
  <si>
    <t>Subsidy to Binuangan Elementary School for the improvement of Learning Park</t>
  </si>
  <si>
    <t>Subsidy to Paysawan Elementary School for the repair of school canteen</t>
  </si>
  <si>
    <t>Subsidy to Alangan Elementary School for the construction of drainage &amp; flower box</t>
  </si>
  <si>
    <t>Subsidy to Luz Elementary School for the improvement of gulayan sa Paaralan</t>
  </si>
  <si>
    <t>Subsidy to Gabaldon Elementary School for the construction of comfort room &amp; windows</t>
  </si>
  <si>
    <t>Subsidy to St. Francis Elementary School (BACONG) for the installation of street light</t>
  </si>
  <si>
    <t>Subsidy to Biaan Aeta Integrated School for the repainting of fence</t>
  </si>
  <si>
    <t>Subsidy to Marina Bay Elementary School for the improvement of Brigada Eskwela Bulletin Board</t>
  </si>
  <si>
    <t>Subsidty to Bilolo Elementary School for the rehabilitation of School facilities &amp; ground improvement</t>
  </si>
  <si>
    <t>Subsidy to Saysain Elementary School for the concrete bricks pavement of Math Park</t>
  </si>
  <si>
    <t>Subsidy to Capunitan Elementary School for the repainting of School Fence</t>
  </si>
  <si>
    <t>Subsidy to Saysain High School for the extension of pathwalk</t>
  </si>
  <si>
    <t>Subsidy to Pentor Elementry School for the installation of steel matting &amp; steel gate</t>
  </si>
  <si>
    <t>Subsidy to Pita Elementary School for the improvement of gulayan sa Paaralan</t>
  </si>
  <si>
    <t>Subsidy to Duale Elementary School for the construction of plan boxes</t>
  </si>
  <si>
    <t>Subsidy to Sapang Balas Elementary School for the repainting of armchairs</t>
  </si>
  <si>
    <t>Subsidy to San Simon Elementary School for the installation of steel matting</t>
  </si>
  <si>
    <t>Subsidy to Liyang Elementary School for the repainting of 3 school buildings</t>
  </si>
  <si>
    <t>Subsidy to New San Jose Elementary School for the cenreting of School grounds</t>
  </si>
  <si>
    <t>Subsidy to Sta. Lucia High School for the repair of roofing</t>
  </si>
  <si>
    <t>Subsidy to Tucop Integrated School for the roofing of learning space</t>
  </si>
  <si>
    <t>Subsidy to Sta Isabel Elementary School for the concreation of the Area on the School's front gate</t>
  </si>
  <si>
    <t>40% PARTIAL PAYMENT FOR LABOR AND MATERIALS FOR THE CONSTRUCTION OF 2 STOREY 6 CLASSROOMS SCHOOL BUILDING PANTALAN LUMA ELEMENTARY SCHOOL PANTALAN LUMA, ORANI,BATAAN</t>
  </si>
  <si>
    <t>Subsidy to Talimundoc Elementary School for the improvement of ceiling</t>
  </si>
  <si>
    <t>Subsidy to Tapulao Elementary School for the improvement of pathwalk</t>
  </si>
  <si>
    <t>Subsidy to Mariveles National High School Poblacion Annex Sisiman for the repair of windows</t>
  </si>
  <si>
    <t>Subsidy to Mariveles National High School Annex Alion for the movable multipurpose tent</t>
  </si>
  <si>
    <t>Subsidy to Sto. Niño Biaan Elementary School for the replacement of water pipe</t>
  </si>
  <si>
    <t>Subsidy to Pablo Roman Elementary School for the rehabilitation of feefing area</t>
  </si>
  <si>
    <t>Subsidy to Daan Pare Elementary School for the repainting of school for the repainting of school fence and walls</t>
  </si>
  <si>
    <t>Subsidy to Sabatan Elementary School for the Installation of new gate</t>
  </si>
  <si>
    <t>Subsidy to Alion Elementary School for the rehabilitation of pathwalk</t>
  </si>
  <si>
    <t>Subsidy to BEPZ Elementary School for the installation of classroom canopy</t>
  </si>
  <si>
    <t>Subsidy to Bayview Elementary School for the concrete pavement of exit area</t>
  </si>
  <si>
    <t>Subsidy to Mabatang National Hign School for the repainting of fences &amp; murals</t>
  </si>
  <si>
    <t>Subsidy to Mariveles National High School Malaya for the staircase renovation</t>
  </si>
  <si>
    <t>Subsidy to Townsite Elementary School for the construction of common comfort room</t>
  </si>
  <si>
    <t>Subsidy to Mabatang Elementary School for the repainting of windows grills, chairs &amp; plan boxes</t>
  </si>
  <si>
    <t>Subsidy to Capitangan Elementary School for the improvement of Drainage</t>
  </si>
  <si>
    <t>Subsidy to Abucay North Elementary School for the repair of school canteen</t>
  </si>
  <si>
    <t>Subsidy to Mt. View Elementary School for the rehabilitation of comfort room</t>
  </si>
  <si>
    <t>Subsidy to Bagumbayan Elementary School for the fabrication of tables</t>
  </si>
  <si>
    <t>Subsidy to Diwa Elementary School for the rehabilitation of concrete fence</t>
  </si>
  <si>
    <t>Subsidy to Nagwaling Elementary Elementary School for the rehabilitation of garden</t>
  </si>
  <si>
    <t>Subsidy to Dr. Victoria B. Roman Memorial High School for their various project</t>
  </si>
  <si>
    <t>Subsidy to Ipag National High School for the rehabilitation of perimeter fence</t>
  </si>
  <si>
    <t>Subsidy to Baseco Elementary School for the improvement of pathwalk</t>
  </si>
  <si>
    <t>Subsidy to Bliss Elementary School for the improvement of School stage</t>
  </si>
  <si>
    <t>Subsidy to Sta. Rosa Elementary School for the construction of covered canal</t>
  </si>
  <si>
    <t>Transfer to General Fund the BIR remittance for August 2022</t>
  </si>
  <si>
    <t>Subsidy to Puting Buhangin Elementary School for repair for the repair of school canteen's flooring &amp; lavatory</t>
  </si>
  <si>
    <t>Subsidy to Old San Jose Elementary School for the repainting of stage, Pathwalk roof &amp; corner of school</t>
  </si>
  <si>
    <t>Subsidy to Mariveles NHS Cabcaben Annex (Alasasin) for their various project</t>
  </si>
  <si>
    <t>Subsidy to Mariveles Senior High School - Sitio Mabuhay for rehabilitation of school canteen</t>
  </si>
  <si>
    <t>Subsidy to Balon Elementary School for the construction of clasroom comfort room</t>
  </si>
  <si>
    <t>Subsidy to Orani South Elementary School for the repair of ceiling &amp; roof</t>
  </si>
  <si>
    <t>Subsidy to Pilar Elementary School for the improvement of lawn area</t>
  </si>
  <si>
    <t>Subsidy to Alaasin Elementary School for the repair of ceiling</t>
  </si>
  <si>
    <t>Subsidy to Mariveles National High School - Cabcaben for the construction of material recovery facility</t>
  </si>
  <si>
    <t>Subsidy to Orani National High School Parang-Parang for the concreting of pathway</t>
  </si>
  <si>
    <t>Subsidy to Pablo Roman National High School for the repainting of roofs</t>
  </si>
  <si>
    <t>Subsidy to Tomas Pinpin Memorial Elementary School for the cementing of flooded area</t>
  </si>
  <si>
    <t>Subsidy to Pagalanggang National High School for their various project</t>
  </si>
  <si>
    <t>Subsidy to Bonifacio Camacho National High School for their various project</t>
  </si>
  <si>
    <t>PAYMENT OF COMMERCIAL RICE FOR VACCINATION INCENTIVES DURING COVID19 PANDEMIC</t>
  </si>
  <si>
    <t xml:space="preserve">RCS Construction </t>
  </si>
  <si>
    <t>52% partial payment for the Labor and Materials for the Construction of Two (2) Storey Four(4) Classrooms School Building, J.S. Herrera Sr. Elementary School, Brgy. Wawa, Pilar, Bataan</t>
  </si>
  <si>
    <t>Remitance of SSS contribution of JO employees for August 2022</t>
  </si>
  <si>
    <t>Remittance of salary &amp; rice loan installment of JO for August 2022</t>
  </si>
  <si>
    <t>Subsidy to Bataan School of Fisheries for their various project</t>
  </si>
  <si>
    <t>Subsidy to Salian Elementary School for their various projects</t>
  </si>
  <si>
    <t>Subsidy to Alikabok Elementary School for the rehabilitation of comfort room</t>
  </si>
  <si>
    <t>Subsidy to EC Bernabe National High School for the construction of student shed</t>
  </si>
  <si>
    <t>Subsidy to Orani North Elementary School for the rehabilitation of ceilings &amp; roof gutter</t>
  </si>
  <si>
    <t>Subsidy to Arellano Elementary School for the repainting of classrooms</t>
  </si>
  <si>
    <t>Subsidty to Lamao Elementary School for the improvement of Math Park</t>
  </si>
  <si>
    <t>Subsidy to Limay Elementary School for the construction of plant boxes</t>
  </si>
  <si>
    <t>Subsidy to Dinalupihan Elementary School for the repainting of premises</t>
  </si>
  <si>
    <t>Subsidy to Antonio G. Llamas Elementary School for the rehabilitation of reading KIOSK</t>
  </si>
  <si>
    <t>Subsidy to Cabcaben Elementary School for the concreting of pathwalk</t>
  </si>
  <si>
    <t>Subsidy to Mariveles National High School Camaya SHS for their various project</t>
  </si>
  <si>
    <t>Subsidy to Facundo Angeles Memorial Elementary School for the moral painting</t>
  </si>
  <si>
    <t>Subsidy to Parang Elementary School for the repair of covered pathwalk</t>
  </si>
  <si>
    <t>Subsidy to Nagbalayong National High School for the repainting of classrooms</t>
  </si>
  <si>
    <t>Subsidy to Kanawan Integrated School for the improvement of Gulayan sa Paaralan</t>
  </si>
  <si>
    <t>Subsidy to Sampaloc Integrated School for theconcreting of pathwalk</t>
  </si>
  <si>
    <t>Subsidy to Binaritan Elementary School for the repair of ceiling</t>
  </si>
  <si>
    <t>Subsidy to Batangas II Elementary School for their various projects</t>
  </si>
  <si>
    <t>Subsidy to Sto. Domingo Elementary School for their various project</t>
  </si>
  <si>
    <t>Subsidy to General Lim Elementary School for their various project</t>
  </si>
  <si>
    <t>Subsidy to Bagac National High School for their various project</t>
  </si>
  <si>
    <t>Subsidy to Orani National High School for the construction of covered pathwalk</t>
  </si>
  <si>
    <t>Subsidy to Hermosa National High School for the repair of electrical wiring &amp; ceiling</t>
  </si>
  <si>
    <t>Subsidy to Magsaysay National High School for the repainting of building</t>
  </si>
  <si>
    <t>Subsidy to Luakan National High School for the repair &amp; Repainting of ceiling</t>
  </si>
  <si>
    <t>Subsidy to Minanga Elementary School for the repair of ceiling</t>
  </si>
  <si>
    <t>Subsidy to San Ramon Elementary School for the elevation &amp; concreting of ground</t>
  </si>
  <si>
    <t>Subsidy to Bagac Elementary School for their various project</t>
  </si>
  <si>
    <t>Subsidy to Mariveles Naional High School Annex Batangas II for the repairing of ICT room, Science &amp; Speech Laboratories</t>
  </si>
  <si>
    <t>Subsidy to Hermosa Elementary School for the repair of roof/ceiling</t>
  </si>
  <si>
    <t>Subsidy to Tipo Elementary School for the leveling of school ground</t>
  </si>
  <si>
    <t>Subsidy to Balsik National High School for the concreting of pathway</t>
  </si>
  <si>
    <t>Subsidy to Lamao National High School for the construction of drainage canal</t>
  </si>
  <si>
    <t>Subsidy to Limay National High School for the installation of washing facilities</t>
  </si>
  <si>
    <t>Subsidy to Mambog Elementary School for the repainting of building facades</t>
  </si>
  <si>
    <t>Subsidy to Balsik Elementary School for their various project</t>
  </si>
  <si>
    <t>Subsidy to Bacong Elementary School for the concrete pavement of ground</t>
  </si>
  <si>
    <t>Subsidy to Bamban Elementary School for the construction of concrete pathway</t>
  </si>
  <si>
    <t>Subsidy to Ipag Elementary School for their various project</t>
  </si>
  <si>
    <t>Supply &amp; Deliveryof personal protective equipment (PPE's) for the Construction of Two (2) Storey Four(4) Classrooms School Building, J.S. Herrera Sr. Elementary School, Brgy. Wawa, Pilar, Bataan</t>
  </si>
  <si>
    <t>Remittance of Pag-ibig contribution JO employees for August 2022</t>
  </si>
  <si>
    <t>Remittance of Pag-ibig MPL &amp; calamity loan JO employees August 2022</t>
  </si>
  <si>
    <t>Subsidy to Casupanan Elementary School for the replacement of ceiling</t>
  </si>
  <si>
    <t>Subsidy to Mabiga Elementary School for the rehabilitation of leaning perimeter fence</t>
  </si>
  <si>
    <t>Subsidy to Almacen Elementary School for their various project</t>
  </si>
  <si>
    <t>Subsidy to Panilao Elementary School for the installation of study/reading area</t>
  </si>
  <si>
    <t>Subsidy to Samal National High School for their various project</t>
  </si>
  <si>
    <t>Subsidy to Palili Integrated School for the concreting of canal</t>
  </si>
  <si>
    <t>Subsidy to Sumalo Integrated School for the repainting of building</t>
  </si>
  <si>
    <t>Subsidy to Roosevelt National High School for the rehabilitation of canteen</t>
  </si>
  <si>
    <t>Subsidy to Lalawigan Elementary School for the construction of comfort room</t>
  </si>
  <si>
    <t>Subsidy to Pag-asa Elementary School for the improvement of pathway</t>
  </si>
  <si>
    <t>Subsidy to Orani National High School Pag-asa Annex for the repair of jalousie window</t>
  </si>
  <si>
    <t>Subsidy to Saba Elementary School for the repainting of roofs</t>
  </si>
  <si>
    <t>Subsidy to Hermosa National High School Annex for the improvement of waiting area</t>
  </si>
  <si>
    <t>Subsidy to FC Del Rosario Integrated School the improvement of ground pavement</t>
  </si>
  <si>
    <t>Subsidy to Payangan Integrated School the improvement of stage &amp; covered Pathwalk</t>
  </si>
  <si>
    <t>Subsidy to Tubo - Tubo Integrated School the repainting of classrooms</t>
  </si>
  <si>
    <t>Subsidy to Maligaya Elementary School for the rehabilitation of jalousy windows</t>
  </si>
  <si>
    <t>Subsidy to Kataasan Elementary School for the rehabilitation of stockroom</t>
  </si>
  <si>
    <t>Subsidy to Wawa Elementary School for the rehabilitation of gutter &amp; improvement of School Building various projects</t>
  </si>
  <si>
    <t>Subsidy to Daang Bago Elementary School for the improvement of Math Gardern</t>
  </si>
  <si>
    <t>Subsidy to Arsenal Elementary School for the cementing of plot garden</t>
  </si>
  <si>
    <t>Subsidy to Calaguiman Elementary School the improvement of nursery of Gulayan sa Paaralan</t>
  </si>
  <si>
    <t>Subsidy to San Pablo Elementary School for the plastering of School Perimeter</t>
  </si>
  <si>
    <t>Subsidy to Saguing Elementary School for the installation of learners KIOSK</t>
  </si>
  <si>
    <t>Subsidy to Naparing Elementary School for the rehabilitation of roofing of stage</t>
  </si>
  <si>
    <t>Subsidy to Roosevelt Elementary School for the installation of roof</t>
  </si>
  <si>
    <t>Subsidy to Luakan Elementary School for the improvement of Math Garden</t>
  </si>
  <si>
    <t>Subsidy to JC Payumo Jr. Elementary School for the installation of Learners KIOSK</t>
  </si>
  <si>
    <t>Subsidy to Colo Elementary School for the repainting of School Facilities</t>
  </si>
  <si>
    <t>Subsidy to Pulo Elementary School for the repair of flooring</t>
  </si>
  <si>
    <t>Subsidy to Mandana Elementary School for putting-up handwashing Facility</t>
  </si>
  <si>
    <t>Subsidy to Parapal Elementary School for the repaiting of perimeter fence &amp; building walls</t>
  </si>
  <si>
    <t>Subsidy to St. Francis National High School for their various project</t>
  </si>
  <si>
    <t>Subsidy to Morong Elementary School for their various project</t>
  </si>
  <si>
    <t>Subsidy to Sapa Elementary School for the repair of canteen</t>
  </si>
  <si>
    <t>Subsidy to Samal North Elementary School for the repainting of perimeter fence &amp; Concrete Arch</t>
  </si>
  <si>
    <t>Subsidy to Culis Elementary School for their various project</t>
  </si>
  <si>
    <t>Subsidy to Bangal Elementary School for the construction of flooring</t>
  </si>
  <si>
    <t>Subsidy to Gugo Elementary School for the improvement of Gulayan sa Paaralan Garden</t>
  </si>
  <si>
    <t>Subsidy to Tala Elementary School for the repainting of perimeter fence &amp; grills</t>
  </si>
  <si>
    <t>Subsidy to ST. Ma. Virginia P. Leonzon Memorial Elementary School for the repainting of perimeter fence</t>
  </si>
  <si>
    <t>Subsidy to Asuncion Consunji Elementary School for the improvement of stage</t>
  </si>
  <si>
    <t>Subsidy to Sibul Elementary School for the repainting of grills &amp; perimeter fence</t>
  </si>
  <si>
    <t>Subsidy to Binukawan Elementary School for the repainting of classrooms</t>
  </si>
  <si>
    <t>Subsidy to Pulo Integrated School for the flooring of makeshift classroom/Plastering</t>
  </si>
  <si>
    <t>Subsidy to Maite Elementary School for the repainting of classrooms</t>
  </si>
  <si>
    <t>Subsidy to Pag-asa Elementary School for the repainting of grills &amp; perimeter fence</t>
  </si>
  <si>
    <t>Subsidy to Samal National High School Annex for their improvement of water supplies from pump source to canteen &amp; Gulayan sa Paaralan</t>
  </si>
  <si>
    <t>Subsidy to Mariveles National High School Poblacion for the rehabilitation of one classroom</t>
  </si>
  <si>
    <t>Subsidy to Justice Emilio Angeles Gancayco Memorial High School Junior HS for their various project</t>
  </si>
  <si>
    <t>Subsidy to Overland Elementary School for the improvement of Science Park and Math Garden</t>
  </si>
  <si>
    <t>Subsidy to St. Francis II Elementary School for the roofing of handwashing Facility</t>
  </si>
  <si>
    <t>Subsidy to Balut Elementary School for the replacement of doors, bowl &amp; Jalousie</t>
  </si>
  <si>
    <t>Subsidy to Nagbalayong Elementary School for the replacement of pressurized water pump motor &amp; water tanks</t>
  </si>
  <si>
    <t>Subsidy to Banawang Elementary School for the repainting of classrooms</t>
  </si>
  <si>
    <t>Subsidy to Pastolan Elementary School for the rehabilitation of school entrance</t>
  </si>
  <si>
    <t>Subsidy to Hermosa Elementary School Annex for the concreting of pathway</t>
  </si>
  <si>
    <t>Subsidy to Jose C. Payumo Jr. Memorial High School for the improvement of school facades</t>
  </si>
  <si>
    <t>Subsidy to Legua Integrated School for the concreting of Kindergarten's School Ground</t>
  </si>
  <si>
    <t>Subsidy to Renato L. Cayetano Memorial School for the repair of water line &amp; construction of School reading nook</t>
  </si>
  <si>
    <t>Subsidy to Happy Valley Elementary School for the construction of learning tables</t>
  </si>
  <si>
    <t>Subsidy to Adamson Elementary for their additional 2 make shift classrooms for grade 3</t>
  </si>
  <si>
    <t>Subsidy to Pandatung Elementary School for the repainting of armchairs</t>
  </si>
  <si>
    <t>Subsidy to Samal South Elementary School for the concreting of entrance in Science Park</t>
  </si>
  <si>
    <t>Subsidy to Carbon Elementary School for the repainting of classroom</t>
  </si>
  <si>
    <t>Subsidy to Pantalan Bago Elementary School for the repainting of Auditorium</t>
  </si>
  <si>
    <t>Subsidy to Lucanin Elementary School for the repainting pf tables, chairs &amp; Interior wall</t>
  </si>
  <si>
    <t>Payment of Security Services rendered by 129 security guards for Bataan Provincial High School provincewide for the month of August 1-31,2022</t>
  </si>
  <si>
    <t>Subsidy to Morong National High School Junior HS for the repair of ceilings</t>
  </si>
  <si>
    <t>Subsidy to San Benito Elementary School for the various project</t>
  </si>
  <si>
    <t>Subsidy to Pinulot Elementary School for the rehabilitation of comfort room</t>
  </si>
  <si>
    <t>Subsidy to Dona Elementary School for the improvement of ground</t>
  </si>
  <si>
    <t>Subsidy to Panibatuhan Elementary School for the replacement of steel door</t>
  </si>
  <si>
    <t>Subsidy to Magsaysay Elementary School for the repainting of perimeter fence, grills &amp; armchairs</t>
  </si>
  <si>
    <t>Subsidy to Luakan National High School Annex for the painting of school building</t>
  </si>
  <si>
    <t>Subsidy to SDO-Bataan for the Division Orientation on the Implementation of Educhild Parenting Program on September 24, 2022</t>
  </si>
  <si>
    <t>1PAYMENT FOR THE 1% RETENTION FOR PAYMENT OF DIFFERENT PROCUREMENTS OF THE PROVINCIAL GOVERNMENT OF BATAAN</t>
  </si>
  <si>
    <t xml:space="preserve">Philippine Public Safety &amp; Order Support Group (PPSOSG) </t>
  </si>
  <si>
    <t>1% retention for fabrication of bunk beds for dormitory of 1 Bataan Public Safety TRaining Center</t>
  </si>
  <si>
    <t>1% retention for supply , delivery &amp; installation of access point mega facility at 1Bataan Command Center</t>
  </si>
  <si>
    <t>1% retention for industrial fans for use of Mariveles VAccination Site during COVOD 19 pandemic</t>
  </si>
  <si>
    <t>Subsidy to PEAS Elementary School for the improvement &amp; Renovation of Science Park</t>
  </si>
  <si>
    <t>35% final payt for labor &amp; materials for the construction of elevated water tank at Saysain Elementary School Saysain Bagac Bataan</t>
  </si>
  <si>
    <t>LABOR AND MATERIALS FOR THE IMPROVEMENT OF STAGE OF NAGWALING ELEMENTARY SCHOOL, BRGY. NAGWALING, PILAR , BATAAN</t>
  </si>
  <si>
    <t>One (1) unit Submersible Pump in replacement of Damaged Pump for the Water System in Morong National Highschool, Morong, Bataan</t>
  </si>
  <si>
    <t>Equipment for Arts Specialization</t>
  </si>
  <si>
    <t>Transfer to General Fund the BIR remittance for September 2022</t>
  </si>
  <si>
    <t>Remittance of philhealth contribution of JO employees for September 2022</t>
  </si>
  <si>
    <t>Subsidy to Sisiman Elementary School for rehabilitation of the Wornout Arc at the School's Entrance</t>
  </si>
  <si>
    <t>Security Services by 129 security guards deployed Provincial Government of Bataan for the period covered from Sept 1-30, 2022</t>
  </si>
  <si>
    <t>Repair/Rehabilitation of Twenty Two (22) Classroom School Building, Abucay North ES, BRGY, LAON, ABUCAY, BATAAN</t>
  </si>
  <si>
    <t>Construction of two storey 4 classroom school building Nagbalayong NHS Nagbalayong Morong Bataan</t>
  </si>
  <si>
    <t>LABOR AND MATERIALS FOR THE CONSTRUCTION OF TWO (2) UNITS TWO (2) STOREY SIX (6) CLASSROOM SCHOOL BUILDING (NEW SITE) HACIENDA ELEMENTARY SCHOOL, ABUCAY, BATAAN</t>
  </si>
  <si>
    <t>Subsidy to SDO Bataan for the Batang Pinoy 2022 - National Sports Competition on December 4-10, 2022</t>
  </si>
  <si>
    <t>Final Payt. for the construction of 2 storey 4 classroom school bldg of Talimundoc ES</t>
  </si>
  <si>
    <t xml:space="preserve">Yellow Gold Construction </t>
  </si>
  <si>
    <t>LABOR AND MATERIALS FOR THE CONSTRUCTION OF PERIMETER FENCE OF FC DEL ROSARIO ELEMENTARY SCHOOL, BRGY. IMELDA, SAMAL, BATAAN</t>
  </si>
  <si>
    <t xml:space="preserve">Salvacion Espino </t>
  </si>
  <si>
    <t>Payment of last salary of Ireneo H. Espino for the period of April 16-30, 2022</t>
  </si>
  <si>
    <t>LABOR AND MATERIALS FOR THE CONSTRUCTION OF PERIMETER FENCE NAGWALING ELEMENTARY SCHOOL BRGY. NAGWALING, PILAR, BATAAN</t>
  </si>
  <si>
    <t>LABOR AND MATERIALS FOR THE CONSTRUCTION OF TWO (2) STOREY FOUR (4) CLASSROOMS SCHOOL BUILDING AT JC PAYUMO JR. ELEMENTARY SCHOOL , Brgy. JC Payumo. Dinalupihan, Bataan</t>
  </si>
  <si>
    <t>Subsidy to SDO Bataan for the additional honorarium of speakers during the EDUCHILD Parenting Program held last September 24, 2022</t>
  </si>
  <si>
    <t>Provincial Government of Bataan - General Fund</t>
  </si>
  <si>
    <t>General Fund-Transfer the amount to General FUnd for the subsidy to GL David Memorial which was refunded under SEF instead to General Fund</t>
  </si>
  <si>
    <t>Supply &amp; delivery for equipment FOR THE REPAIR/REHABILITATION OF TEN (10) CLASSROOMS SCHOOL BUILDING SCHOOL LALAWIGAN ELEMENTARY SCHOOL, BRGY. LALAWIGAN, SAMAL, BATAAN</t>
  </si>
  <si>
    <t xml:space="preserve">SM Agri-Mac Trading  </t>
  </si>
  <si>
    <t>Agri Mac Trading-Supply &amp; delivery for equipment FOR THE CONSTRUCTION OF TWO (2) STOREY FOUR (4) CLASSROOMS SCHOOL BUILDING AT JC PAYUMO JR. ELEMENTARY SCHOOL , Brgy. JC Payumo. Dinalupihan, Bataan</t>
  </si>
  <si>
    <t>Agri Mac Trading-Supply &amp; delivery for equipment FOR THE CONSTRUCTION OF TWO (2) STOREY FOUR (4) CLASSROOM SCHOOL BUILDING MT. VIEW ES, BRGY. MT. VIEW , MARIVELES, BATAAN</t>
  </si>
  <si>
    <t xml:space="preserve">Jonie Rose Trading  </t>
  </si>
  <si>
    <t>Supply &amp; delivery for ink FOR THE CONSTRUCTION OF TWO (2) STOREY FOUR (4) CLASSROOMS SCHOOL BUILDING AT SISIMAN ELEMENTARY SCHOOL, BRGY. SISIMAN, MARIVELES, B ATAAN</t>
  </si>
  <si>
    <t>Agri Mac Trading-Supply &amp; delivery for equipment to be used for the Construction of Two (2) Storey Four(4) Classrooms School Building, Magsaysay Elementary School, Brgy. Magsaysay, Dinalupihan, Bataa</t>
  </si>
  <si>
    <t>1% retention of different procurements of the PGB</t>
  </si>
  <si>
    <t xml:space="preserve">FBF Industrial Sales and Services </t>
  </si>
  <si>
    <t>LABOR AND MATERIALS for the Upgrading/ Improvement of Electrical System for School Buildings Provincewide</t>
  </si>
  <si>
    <t>Construction and Installation of Flood Control System of Various Schools Provincewide</t>
  </si>
  <si>
    <t xml:space="preserve">Delco Builders </t>
  </si>
  <si>
    <t>LABOR AND MATERIALS FOR THE REPAIR/REHABILITATION OF EIGHT (8) CLASSROOM SCHOOL BUILDING OF KATAASAN ELEMENTARY SCHOOL, BRGY. KATAASAN, DINALUPIHAN, BATAAN</t>
  </si>
  <si>
    <t>62% Partial payment for the labor and materials for the construction of two (2) storey Four Classroom school Building, Gugo ES Brgy Gugo Samal Bataan</t>
  </si>
  <si>
    <t xml:space="preserve">Jepa Construction and Supplies </t>
  </si>
  <si>
    <t>BIR remittance for the month of October 2022</t>
  </si>
  <si>
    <t>Remittance of SSS contribution of JO employees for October 2022</t>
  </si>
  <si>
    <t>Remittance of salry loan installment of JO for October 2022</t>
  </si>
  <si>
    <t>Supply &amp; delivery FOR THE CONSTRUCTION OF TWO (2) STOREY FOUR (4) CLASSROOMS SCHOOL BUILDING AT GUGO ELEMENTARY SCHOOL, BRGY. GUGO, SAMAL, BATAAN</t>
  </si>
  <si>
    <t>Remittance of Pag-ibig contribution JO employees for October 2022</t>
  </si>
  <si>
    <t>Remittance of Pag-ibig MPL &amp; calamity loan JO employees October 2022</t>
  </si>
  <si>
    <t>Supply &amp; delivery FOR THE Construction and Installation of Flood Control System of Various Schools Provincewide</t>
  </si>
  <si>
    <t xml:space="preserve">Provincial Governement of Del Norte </t>
  </si>
  <si>
    <t xml:space="preserve">Provincial Governement of Bohol </t>
  </si>
  <si>
    <t xml:space="preserve">Provincial Governement of Cebu </t>
  </si>
  <si>
    <t xml:space="preserve">Provincial Governement of Negros Oriental </t>
  </si>
  <si>
    <t xml:space="preserve">Provincial Governement of Palawan </t>
  </si>
  <si>
    <t xml:space="preserve">Provincial Governement of Dinagat Islands </t>
  </si>
  <si>
    <t xml:space="preserve">Provincial Governement of Southern Leyte </t>
  </si>
  <si>
    <t xml:space="preserve">Benedict Bal D. Padilla </t>
  </si>
  <si>
    <t>DONATION TO ROMULO PADILLA FOR HIS PROFESSIONAL FEE QR: 0105220019</t>
  </si>
  <si>
    <t>DONATION FOR THE HOSPITAL BILL COVERING THE PERIOD DEC. 28-29, 2021</t>
  </si>
  <si>
    <t>DONATION FOR THE HOSPITAL BILLS COVERING DEC. 27-31, 2021</t>
  </si>
  <si>
    <t>Reimbursement of the amount paid for fuel consumption of the government vehicle Ford Everest IO 9548 for the month of December 2021</t>
  </si>
  <si>
    <t xml:space="preserve">Michelle Anne I. Villegas </t>
  </si>
  <si>
    <t>Security services rendered by 72 security guards deployed Nov 1-30, 2021</t>
  </si>
  <si>
    <t>Security services rendered for the period of Nov 1-30, 2021</t>
  </si>
  <si>
    <t>Secutiry Services rendered by 72 security guards deployed at Capitol Compound City of Balanga for December 1-31, 2021</t>
  </si>
  <si>
    <t>Security Services rendred by 158 security guards deployed in Bataan Command Center, motorpool, Bataan Tourism Center, Bataan PHO, OIC Dec Com, JCPMH, ODH, BCMH, Eroad Alas-asin &amp; MDH for Dec 1-31, 2021</t>
  </si>
  <si>
    <t>Payment of telephone bill for Hotline 911/653746601, 1Bataan Command Center/MBDA Office for the month period up to December 17, 2021 to January 16, 2022</t>
  </si>
  <si>
    <t>Payment of telephone bill for Hotline (047)613-8888, 1Bataan Command Center/MBDA Office for the month period up to December 17, 2021 to January 16, 2022</t>
  </si>
  <si>
    <t>Payment of Internet Bill of 1Bataan Command Center Account Number 0030300182942 for the month of January 1-31, 2022</t>
  </si>
  <si>
    <t>Payment of Internet Bill of MBDA Account Number 0030300011924 for the month of January 1-31, 2022</t>
  </si>
  <si>
    <t>Monthly subscription fee of Metro Ethernet Servicefor the use of CCTV Cameras of MBDA for the month of January 1-31, 2022</t>
  </si>
  <si>
    <t>Payment of telephone bill for the period of December 17 2021 - January 16, 2022</t>
  </si>
  <si>
    <t>Replenishment of market purchases of Jose C. Payumo memorial hospital for the period of January 1-17, 2022</t>
  </si>
  <si>
    <t>Payment of Rental Fee for the month of October 01 - December 30, 2021</t>
  </si>
  <si>
    <t>Payment of Operation and Maintenance Fee for the month of December, 2021</t>
  </si>
  <si>
    <t>Payment of Operation and Maintenance Fee for the month of November 2021</t>
  </si>
  <si>
    <t>Payment of Operation and Maintenance Fee for the month of September-November , 2021</t>
  </si>
  <si>
    <t>Payment for the funeral services rendered under the Libreng Libing Program for the period of October 10, 17 November 4,5,7,13,15,19,23, and 29, 2021</t>
  </si>
  <si>
    <t xml:space="preserve">Municipality of Orion </t>
  </si>
  <si>
    <t>Payment for the cremation services rendered by Orion Memorial Park for the period  July 14, 24, August 1,5,7,10,12,13,14,15,17,18 and 19, 2021</t>
  </si>
  <si>
    <t>Payment for the Funeral Services rendered under the Libreng Libing Program for the period November 27, December 5,11,20, &amp; 26, 2021</t>
  </si>
  <si>
    <t>Payment for the services rendered by Orion Memorial Park for the period April 16, May 23, 31, June 6,11,18,19,20,24,29, July 2,5,6, and 8, 202</t>
  </si>
  <si>
    <t>Payment for the services rendered by Orion Memorial Park for the period May 15, June 18,22,23,25,30, July 1,3,7,9,11,15,16 and 18, 2021</t>
  </si>
  <si>
    <t>ST. AGNES FUNERAL SERVICES- Payment for the funeral services rebderd under the Libreng Libing Program for the period September 4,5,67,9,11,14,21,23,24,25,26, October 1,2,6,8,12,21,22, and 31, 2021</t>
  </si>
  <si>
    <t>Payment for the funeral services rendered under the Libreng Libing Program for the period November 2,3,7,8,18,20,22,25,29, &amp; 30, 2021</t>
  </si>
  <si>
    <t>Payment for the funeral services rendered under the Libreng Libing Program for the period November 13,17,20,24,29,30, &amp; December 2, 2021</t>
  </si>
  <si>
    <t>Payment for the services rendered by Orion Memorial Park for the period May 4,5,25, jUNE 9, July 20,23,27,29,30,31, August 1 and 3, 2021</t>
  </si>
  <si>
    <t>Payment for the funeral services rendered under the Libreng Libing Program for the period November 2,14,22,27 AND 30 2021</t>
  </si>
  <si>
    <t>Payment for the funeral services rendered under the Libreng Libing Program for the period November 2,6,17,18,22,24,and 29, 202</t>
  </si>
  <si>
    <t>Payment of Insurance for six (6) units service vehicle owned by PGB</t>
  </si>
  <si>
    <t>Payment for corona stand as a gesture of Respect, Condolences and Sympathy to the bereaved  family of the deceased in the Province of Bataan for the month of December 2021</t>
  </si>
  <si>
    <t>Payment for the funeral services rendered under the Libreng Libing Program for the period November 12,13,15,18,22, and 28, 2021</t>
  </si>
  <si>
    <t>To payment for two pcs. (2) commercial checkbooks (for the account of Mariveles District Hospital-HC account no. 0442-1094-51 and Mariveles District Hospital-PF account no. 0442-1094-60)</t>
  </si>
  <si>
    <t xml:space="preserve">Don &amp; Doff Medical Equipment Trading </t>
  </si>
  <si>
    <t>Payment for the repair and preventive maintenance of generic dental unit for the use of MDH</t>
  </si>
  <si>
    <t>Payment of assorted vegetables products for the consumption of inmates of Bataan District Jail within the period of November 11-20, 2021</t>
  </si>
  <si>
    <t xml:space="preserve"> Payment of bolts and nut to be used for installation of bucket tooth Payloader  TCM-860 of PEO owned by the Provincial Government of Bataan</t>
  </si>
  <si>
    <t>Various grocery items for the consumption of inmates of Bataan District Jail within the period of December 11-20, 2021</t>
  </si>
  <si>
    <t>Assorted marine products for the consumption of inmates of Bataan District Jail within the period of December 11-20, 2021</t>
  </si>
  <si>
    <t>Payment of various grocery items for the consumption of inmates of Bataan District Jail within the period of December 1-10, 2021</t>
  </si>
  <si>
    <t>Assorted meat and processed food for the consumption of inmates of Bataan District Jail within the period of December 11-20, 2021</t>
  </si>
  <si>
    <t>Payment forwreath, ribbon and candles used during the opening and lighting ceremony of Bataan Tourism Park on December 1, 2021</t>
  </si>
  <si>
    <t>Payment of assorted vegetable products for the consumption of inmates of Bataan District Jail within the perio dof November 21-30, 2021</t>
  </si>
  <si>
    <t>Assorted meat and processed foods for the consumption of inmates of Bataan District Jail within the period of December 1-10, 2021</t>
  </si>
  <si>
    <t xml:space="preserve">CL SIA Trading </t>
  </si>
  <si>
    <t>Payment of equipment for the use of PIO</t>
  </si>
  <si>
    <t>Payment of tarpaulin for Pawikan Festival 2021 celebration</t>
  </si>
  <si>
    <t>Payment for advocacy shirt for Pawikan Festival 2021 celebration</t>
  </si>
  <si>
    <t xml:space="preserve">Bataan Peninsula Times </t>
  </si>
  <si>
    <t xml:space="preserve"> Payment for the Publication of Approved Provincial Ordinance  No. 18, Series  of 2020, Provincial Ordinance  Nos. 13,14, and 15 Series of 2021</t>
  </si>
  <si>
    <t xml:space="preserve">JMC2 Trading and Catering Services </t>
  </si>
  <si>
    <t>Payment of Meals for checkpoints for December 2021 during Covid-19 Emergency Response</t>
  </si>
  <si>
    <t>Payment of materials for the installation of metal guardrail at Sabang, Morong, Laon Vicinal Road, Salian Vicinal road, Orani Tala-Sibul Road and Sacrifice Vallet, Hermosa</t>
  </si>
  <si>
    <t>Construction materials for the repair and maintenance of Mariveles District Hospital as a COVID19 Hospital</t>
  </si>
  <si>
    <t>Replenishment of cash advance to defray payment of Daily Market Purchase from January 1-17, 2022</t>
  </si>
  <si>
    <t>Replenishment of Emergency Purchases of NBB Patients of Jose C. Payumo Jr. Memorial Hospital for the period from January 14, 2022 to January 17, 2022</t>
  </si>
  <si>
    <t>Petty cash fund replenishment, January 18 - 21, 2022</t>
  </si>
  <si>
    <t>Cash advance for Parts and Labor for 110,000 km preventive maintenance check-up of Ford Everest COC666 of PEO owned by the Provincial Government of Bataan</t>
  </si>
  <si>
    <t>Reimbursement of gasoline dated December 1-31, 2021</t>
  </si>
  <si>
    <t xml:space="preserve">Union of Local Authorities of the Philippines, Inc. </t>
  </si>
  <si>
    <t>Payment of CY 2022 Annual Membership Dues to the Union of Local Authorities of the Philippines (ULAP)</t>
  </si>
  <si>
    <t>Payment for Parts &amp; Labor for replacement of Alternator Assy. of Toyota Hilux YU9911 of MBDA owned by the Provincial Government of Bataan</t>
  </si>
  <si>
    <t>Payment for Parts &amp; Labor for the replacement of 4pcs Tires &amp; other defective Parts of Toyota Hiace A5Q31 of MBDA owned by the Provincial Government of Bataan</t>
  </si>
  <si>
    <t>Payment for Parts &amp; Labor for replacement of Tie Rod &amp; rack end of Toyota Hilux YU9911 of MBDA owned by the Provincial Government of Bataaan</t>
  </si>
  <si>
    <t>Payment for Parts &amp; Labor for the 1,000km preventive maintenance Toyota Hilux FX S0S287 of MBDA owned by Provincial Government of Bataan</t>
  </si>
  <si>
    <t>Payment for Parts &amp; Labor for the 160,000 km preventive maintenance of Toyota HiAce A5Q631 of MBDA</t>
  </si>
  <si>
    <t xml:space="preserve"> Payment for Parts and labor for the 90,000 km preventive maintenance check-up of Toyota Innova A4U 964 c/o PCEDO</t>
  </si>
  <si>
    <t>Payment for Parts &amp; labor for 40,000 km Preventive Maintenance of Toyota Hiace Ambulance P0M457 of MBDA owned by the Provincial Government of Bataan</t>
  </si>
  <si>
    <t>Parts and labor for 135,000 km prevetinve maintenance check-up of Toyota Hilux YT8598 of PEO owned by the Provincial Government of Bataan</t>
  </si>
  <si>
    <t>Payment for  Parts &amp; labor for the replacement of 4pcs Tire and other defective parts of Toyota Hilux VR5847 of MBDA owned by the Provincial Government of Bataan</t>
  </si>
  <si>
    <t>Temperature scanner for the use of DOLE-TUPAD (Tulong Pangkabuhayan sa Disadvantaged and Displaced Worker) 2021</t>
  </si>
  <si>
    <t>Emergency Purchase of Medical and Laboratory Supplies (Glucose Strip) for COVID Patients to be used at Mariveles District Hospital</t>
  </si>
  <si>
    <t>Medical and Laboratory Supplies (Reagent and Control) for the use of Mariveles District Hospital</t>
  </si>
  <si>
    <t>Laboratory reagents for the use of Jose Payumo Memorial Hospital, Dinalupihan, Bataan</t>
  </si>
  <si>
    <t>Laboratory reagents for the use of ODH</t>
  </si>
  <si>
    <t>Laboratory reagents of Hematology for the use of Jose Payumo Memorial Hospital Dinalupihan Bataan</t>
  </si>
  <si>
    <t>Medical supplies for the use of ODH</t>
  </si>
  <si>
    <t>Xray &amp; Laboratory Supplies for the use of Jose C Payumo Jr. Memorial Hospital, Dinalupihan, Bataan</t>
  </si>
  <si>
    <t>Parts &amp; Labor for the replacement of 4 pcs. tires Toyota  Innova P1I551 of MBDA owned by the Provincial Government of Bataan</t>
  </si>
  <si>
    <t>Parts &amp; Labor for the 170,000 km preventive maintenance Toyota Hilux VU0468 of MBDA owned by the Provincial Government of Bataan</t>
  </si>
  <si>
    <t>Binder for General, Trust Fund and SEF Journals for the use of Provincia Accountant's Office</t>
  </si>
  <si>
    <t>Parts and Labor for 50,000 km preventive maintenance check- up pf Toyota Fortuner P1E77 service vehicle of PPDO</t>
  </si>
  <si>
    <t>Parts &amp; Labor for the 420,000 km preventive maintenance Toyota Hilux VV0143 of MBDA owned by the Provincial Government of Bataan</t>
  </si>
  <si>
    <t>Parts and labor for the 75,000 km preventive maintenance check up of Ambulance P0Q620 of Jose C Payumo Memorial Hospital, Dinalupihan, Bataan</t>
  </si>
  <si>
    <t>Parts &amp; Labor for the 410,000 km preventive maintenance Toyota Hilux VR5847 of MBDA owned by the Provincial Government of Bataan</t>
  </si>
  <si>
    <t>Parts &amp; Labor for the 195,000 km preventive maintenance Toyota Hilux P1D122 of MBDA owned by the Provincial Government of Bataan</t>
  </si>
  <si>
    <t xml:space="preserve"> Parts &amp; Labor for the 190,000km preventive maintenance of Toyota HiAce A5Q631 of MBDA owned by the Provincial Government of Bataan</t>
  </si>
  <si>
    <t>Parts &amp; Labor for the 290,000 km preventive maintenance of Toyota Hilux A1U268 of MBDA</t>
  </si>
  <si>
    <t>Parts &amp; Labor for the 175,000 km preventive mainenance of Toyota Hilux P1K862 of MBDA owned by the Provincial Government of Bataan</t>
  </si>
  <si>
    <t>Parts &amp; Labor for the 370,000 km preventive mainenance of Toyota Hilux A2T253 of MBDA owned by the Provincial Government of Bataan</t>
  </si>
  <si>
    <t>Owned by the Provincial Government of Bataan</t>
  </si>
  <si>
    <t>Parts and Labor for 70,000 km preventive maintenance check-up for Toyota Innova A4M 291 c/o COA</t>
  </si>
  <si>
    <t>Parts &amp; Labor for the 225,000 km preventive maintenance Toyota FX P0Z559 of MBDA owned by the Provincial Government of Bataan</t>
  </si>
  <si>
    <t>Payment for Parts and labor for the repair of airconditioning system of Howo Truck of PEO owned by the Provincial Government of Bataan</t>
  </si>
  <si>
    <t>UV Light counterfeit money detector to be used in the Provincial Treasurer's Office</t>
  </si>
  <si>
    <t>Diagnosing of airconditioning system for the service vehicle Toyota Hilux VU-2619 c/o BM Rosita N. Sison</t>
  </si>
  <si>
    <t>Payment for Parts &amp; Labor for 80,000 km Preventive Maintenance of Toyota Hiace Ambulance VV6432 of MBDA owned by the Provincial Government of Bataan</t>
  </si>
  <si>
    <t>- Parts and labor for the 180,000 km maintenance check-up of Toyota Hi-Ace GL Grandia Ambulance VF-1701 of Orani District Hospital</t>
  </si>
  <si>
    <t>Payment for Parts and Labor for the replacement of Alternator Pulley and V-Belt of Toyota Hiace Ambulance MBDA owned by the Provincial Government of Bataan</t>
  </si>
  <si>
    <t xml:space="preserve"> Parts and labor for the repair of airconditioning system of Toyota Innova SHB-954 OF PEO owned by the PGB</t>
  </si>
  <si>
    <t>Payment for  Parts and labor for the 130,000 km preventive maintenance check-up of 2018 / Hilux 2.4 L 4x2 G AT - P5-006 with CS no. A5B261 for the use of Mariveles District Hospital</t>
  </si>
  <si>
    <t>Payment for Parts and labor for 90,000km preventive maintenance check-up of Hia-Ace GL Grandia A7V159 c/o PDRRMO</t>
  </si>
  <si>
    <t>PARTS &amp; LABOR FOR THE REPAIR OF AIRCONDITIONING SYSTEM OF NISSAN URVAN AMBULANCE NV350 NAO-4147 FOR THE USED OF MDH</t>
  </si>
  <si>
    <t>Payment forParts &amp; Labor for the 80,000 km Preventive Maintenance of Toyota Hiace Ambulance VV6467 of MBDA owned by the Provincial Government of Bataan</t>
  </si>
  <si>
    <t>Payment for Parts &amp; Labor for the replacement of 4pcs. Tire of Toyota Hilux VV0143 of MBDA owned by the Provincial Government of Bataan</t>
  </si>
  <si>
    <t>Payment for the funeral services rendered under the Libreng Libing Program for the period November 1,3,14, and 16, 2021</t>
  </si>
  <si>
    <t>Payment for the funeral services rendered under the Libreng Libing Program for the period November 7, 20, 21, 28 ande December 5, 2021</t>
  </si>
  <si>
    <t>Payment of fuel consumption for the period of November 29 -December 5, 2021</t>
  </si>
  <si>
    <t>Payment of fuel consumption for the period of November 22 to 28, 2021</t>
  </si>
  <si>
    <t>Payment of PGO Fuel Consumption dated November 26- December 5, 2021</t>
  </si>
  <si>
    <t>Payment of blood serve fee for the blood and blood products supplied in Orani District Hospital for October 2021</t>
  </si>
  <si>
    <t>Payment of rental of lights and sound used during the opening and lightiing ceremony of Bataan Tourism Park on December 1, 2021</t>
  </si>
  <si>
    <t>Rental of Chairs for Awarding of P5000 Cash for the Board/Bar Examinees in the Province of Bataan on November 23, 2019.</t>
  </si>
  <si>
    <t>Automatic Transmission Fluid (ATF) &amp; engine coolant to be used for the maintenance of service vehicle of Provincial Engineer's Office</t>
  </si>
  <si>
    <t xml:space="preserve">RDM Photography and General Merchandise </t>
  </si>
  <si>
    <t>Videographer/documenter of whole event of Pawikan Festival 2021 celebration</t>
  </si>
  <si>
    <t xml:space="preserve"> Lunch to be served for Personnel Selection Board on December 21, 2021</t>
  </si>
  <si>
    <t>Meals to be served for re: CP Assessment for Intermidiate Wheelchair Provision on December 4, 5,11,2,18,19, 2021</t>
  </si>
  <si>
    <t>Replacement of matting to Nissan Navara F2X613 of PEO owned by the Provincial Government of Bataan</t>
  </si>
  <si>
    <t xml:space="preserve">RC Radiator Shop </t>
  </si>
  <si>
    <t>Overhaul and repair of radiator of adventure SHS-907  of PEO owned by the PGB</t>
  </si>
  <si>
    <t>Payment of Meals for the Liga ng mga Barangay Bataan Chapter Year-End Assessment Evaluation on December 9, 2021</t>
  </si>
  <si>
    <t>Other Supplies for the used of MBDA</t>
  </si>
  <si>
    <t>Materials to be used for the Barangay Population Workers Congress on December 17, 2021</t>
  </si>
  <si>
    <t>Four (4) units UPS (650 VA) for the use of Provincial Engineer's Office</t>
  </si>
  <si>
    <t xml:space="preserve">Plato Platito Catering Services </t>
  </si>
  <si>
    <t>Meals to be serve for signing of memorandum of agreement with national agencies for the establishment of 1Bataan Inter-agency Action Center (1Bataan-IAAC) on August 10, 2021</t>
  </si>
  <si>
    <t>Battery for the three units of Nissan Navara of PEO owned by the Provincial Government of Bataan</t>
  </si>
  <si>
    <t>Bix Subic Bay Corporation-Replacement of parts for the RISO Machine of PGO -Iskolar ng Bataan</t>
  </si>
  <si>
    <t>Replacement of defective power steering hose assembly for Adventure SHS-907 owned by the Provincial Government of Bataan</t>
  </si>
  <si>
    <t>Curtains of new OR/DR Complex for the use of Orani District Hospital</t>
  </si>
  <si>
    <t>Payment of tokens given to various calling on the Provincial Governor on various occasions &amp; purposes</t>
  </si>
  <si>
    <t>Payment for Hotel Accomodation re: CP Assessement for Intermidiate Wheel Chair Provision on December 4,5,11,18,19, 2021</t>
  </si>
  <si>
    <t xml:space="preserve">Maniebla Car Care Shop </t>
  </si>
  <si>
    <t>Payment for Labor for detailing of Toyota FX A5U228 of PEO owned by the Provincial Government of Bataan</t>
  </si>
  <si>
    <t>Payment for the Replacement of four pieces of tire to Hyundai Starex MP9073 of COA service vehicle owned by Provincial Government of Bataan</t>
  </si>
  <si>
    <t>Parts and labor for the repair of airconditioning system of Howo Cargo Truck II of PEO owned by the Provincial Government of Bataan</t>
  </si>
  <si>
    <t>Medical supplies for the use of Orani District Hospital in Operating Room</t>
  </si>
  <si>
    <t>Auto Disable Syringe for the use of PHO-EPI (Expanded Program on Immunization)</t>
  </si>
  <si>
    <t>Materials needed for preventive maintenance of Toyota Innova SHJ-973 of PEO owned by the Provincial Government of Bataan</t>
  </si>
  <si>
    <t xml:space="preserve"> Hotel Accommodation for Institutionalization Integrated  Coastal Management  (ICM) Program for the Local Government Units (LGUs) on December 14-17, 2021</t>
  </si>
  <si>
    <t>Tokens to be used for the Festival of Talents on November 11, 2021</t>
  </si>
  <si>
    <t>Payment for Glass plaques to be used for the Festival of Talents on November 11, 2021</t>
  </si>
  <si>
    <t>Replenishment of Revolving Fund for Payment of donations constituents in the Province of Bataan (January 13 &amp; 20, 2022)</t>
  </si>
  <si>
    <t>Payment for  Capital Gains Tax Return</t>
  </si>
  <si>
    <t>Payment of diesel and gasolineNovember 15-21, 2021</t>
  </si>
  <si>
    <t>Payment for fuel consumption</t>
  </si>
  <si>
    <t>Payment of diesel and gasoline consumed by Hyundai Grand Starex MP 9073 abd Toyota Innova A4M291 assigned in COA for the period of October 18-24, 2021</t>
  </si>
  <si>
    <t xml:space="preserve">Oneup Petroleum Trading </t>
  </si>
  <si>
    <t>Payment of fuel consumption of SHP-848 for the period of April 14-20, 2021</t>
  </si>
  <si>
    <t>Payment of fuel consumption for the period of Oct 25-31,2021 (MDH)</t>
  </si>
  <si>
    <t>Payment of fuel consumption for the period of August 7-13, 2021</t>
  </si>
  <si>
    <t xml:space="preserve">BD Sientia Medical and Diagnostic Suplpies </t>
  </si>
  <si>
    <t>1% retention for immuno assay reagents for use of ODH</t>
  </si>
  <si>
    <t xml:space="preserve"> Payment for room accom on Oct 15-16, 2020 for PNP Society Organization(CSOs) Forum on Human Rights and the Campaign to the end local communist armed conflict(EO No 70)</t>
  </si>
  <si>
    <t>Payment of fuel consumption on different service vehicle used by other departments Oct 11-17, 2021</t>
  </si>
  <si>
    <t>Payment of diesel consumed by Passenger Van Isuzu SHP-848 assigned in the Provincial General Services Office for the period of nOVEMBER 29-dECEMBER 05, 2021</t>
  </si>
  <si>
    <t>Payment of fuel consumption of SHP848 for the period of November 1-7, 2021</t>
  </si>
  <si>
    <t>Payment of fuel consumption for the period of Nov 8-14,2021</t>
  </si>
  <si>
    <t>Payment of fuel consumption for the period of November 1-7, 2021</t>
  </si>
  <si>
    <t>Payment of fuel consumption by passenger Van Isuzu SHP-848 og PGSO for the period of November 15-21,2021</t>
  </si>
  <si>
    <t>Payment of diesel and gasoline consumed by Hyundai Grand Starex MP 9073 abd Toyota Innova A4M291 assigned in COA for the period of November 22-28, 2021</t>
  </si>
  <si>
    <t>Payment of diesel and gasoline consumed by Hyundai Grand Starex MP 9073 and Toyota Innova A4M291 November 15-21, 2021</t>
  </si>
  <si>
    <t>Payment of diesel and gasoline consumed by Hyundai Grand Starex MP 9073 and Toyota Innova A4M291 assigned in COA October 25-31, 2021</t>
  </si>
  <si>
    <t>Payment of fuel consumption for the period of November 29 to December 5, 2021</t>
  </si>
  <si>
    <t>Payment of fuel consumption for the period of Sept 27-Oct 3, 2021</t>
  </si>
  <si>
    <t>Payment of fuel consumption on different service vehicle used by other departments Nov 8-14, 2021</t>
  </si>
  <si>
    <t>Payment of fuel consumption on different service vehicle used by other departments Oct 18-24, 2021</t>
  </si>
  <si>
    <t>Payment of fuel consumption of SHP848 for the period of November 22-28, 2021</t>
  </si>
  <si>
    <t>Payment of fuel consumption for the period of November 22-28, 2021</t>
  </si>
  <si>
    <t>Payment of diesel consumed by Passenger Van Isuzu SHP-848 assigned in Provinciial General Services Office October 18-24, 2021</t>
  </si>
  <si>
    <t>Payment of fuel consumption of MDH used by other departments Oct 18-24, 2021</t>
  </si>
  <si>
    <t>Payment of fuel consumption on different service vehicle used by other departments Aug 21-27, 2021</t>
  </si>
  <si>
    <t>Payment of fuel consumption for the period April 10-16, 2021</t>
  </si>
  <si>
    <t>Payment of fuel consumption for the period of August 21 - 27, 2021</t>
  </si>
  <si>
    <t>Payment of fuel consumption for the period May 15-21, 2021</t>
  </si>
  <si>
    <t>Payment of fuel consumption for the period of July 31 to August 06, 2021</t>
  </si>
  <si>
    <t>Payment of fuel consumption for the period of July 17-23, 2021</t>
  </si>
  <si>
    <t>Payment of fuel consumption of SHP-980 for the period of September 4-10, 2021</t>
  </si>
  <si>
    <t>Payment of Legal Office for the fuel consumption for the period May 1-7, 2021</t>
  </si>
  <si>
    <t>Payment of fuel consumption of SHP-980 for the period of July 24-30, 2021</t>
  </si>
  <si>
    <t>Payment of fuel consumption for the period June 12-18, 2021</t>
  </si>
  <si>
    <t>Payment of fuel consumption for generator set for the period of July 10-16, 2021</t>
  </si>
  <si>
    <t>Payment of fuel consumption dated August 17-13,2021</t>
  </si>
  <si>
    <t>Payment of fuel consumption for the period of November 8-14, 2021</t>
  </si>
  <si>
    <t>Payment of fuel consumption on different service vehicle used by other departments Nov 15-21, 2021</t>
  </si>
  <si>
    <t>Payment of fuel consumption on different service vehicle used by other departments Sept 20-26, 2021</t>
  </si>
  <si>
    <t>Payment of fuel consumption on different service vehicle used by other departments for the period of August 28-Sept 3, 2021</t>
  </si>
  <si>
    <t>Payment of fuel consumption on different service vehicle used by Provincial Engineer's Office for the period of Sept 13-19, 2021</t>
  </si>
  <si>
    <t>Payment of fuel consumption on different service vehicle used by the Mariveles District Hospital for the period of August 14-20, 2021</t>
  </si>
  <si>
    <t>Payment of fuel consumption for the period of August 28- September 3,2021</t>
  </si>
  <si>
    <t>Payment of fuel consumption for the period of October 25 to 31, 2021</t>
  </si>
  <si>
    <t>Payment of fuel consumption for the period of December 13-19, 2021(Passenger Van Isuzu SHP-848)</t>
  </si>
  <si>
    <t>Payment of fuel consumption of NISSAN URVAN SHP-980 for the period of June 26- July 2, 2021</t>
  </si>
  <si>
    <t>Payment of fuel consumption for the period April 15, 2021</t>
  </si>
  <si>
    <t>Payment of fuel consumption for the period July 10-16, 2021</t>
  </si>
  <si>
    <t>Payment of Legal Office fuel consumption for the period May 8-14, 2021</t>
  </si>
  <si>
    <t>Payment of fuel consumption dated July24-30, 2021</t>
  </si>
  <si>
    <t>Payment of fuel consumption of  SHP 848 for the period of October 25-31, 2021</t>
  </si>
  <si>
    <t>Payment of tokens given to various calling on the Provincial Governor on various Occassions &amp; purposes</t>
  </si>
  <si>
    <t>Payment of fuel consumption for the period of Sept 27 - Oct 3,2021</t>
  </si>
  <si>
    <t>Room Accomodation for National Police Commission 3 (NAPOLCOM) for their Annual Inspection and Management Audit on March, 10,11,12,13, 16,17 and 18, 2020</t>
  </si>
  <si>
    <t>To Reimburse his expenses incurred in the payment of meals and bottled water for the relatives of BGH Patients in Tenejero Elementary School during COVID-19 Pandemic dated November 1-15, 2021</t>
  </si>
  <si>
    <t>To Reimburse his expenses incurred in the payment of meals and bottled water for the relatives of BGH Patients in Tenejero Elementary School during COVID-19 Pandemic dated October 16-31, 2021</t>
  </si>
  <si>
    <t>Payment of Electric Bill of Multi Purpose Center, Tilapya, Pantingan, Pilar for the month of DECEMBER 2021</t>
  </si>
  <si>
    <t>Electric Bill of MBDA Satellite Office for the month of DECEMBER 2021</t>
  </si>
  <si>
    <t>Electric Bill of BATAAN CHRISTIAN YOUTH for the month of DECEMBER 2021</t>
  </si>
  <si>
    <t>Electric Bill of BATAAN PEOPLE'S CENTER 3 for the month of DECEMBER 2021</t>
  </si>
  <si>
    <t>Electric Bill of PGO-PSWDO for the month of DECEMBER 2021 as follows</t>
  </si>
  <si>
    <t>Payment of fuel consumption for the period of Dec 27-31,2021 to Jan. 2, 2022 (PGO)</t>
  </si>
  <si>
    <t>For Calibration and Preventive Maintenance of various medical equipments of Jose C Payumo Memorial Hospital, Dinalupihan, Bataan</t>
  </si>
  <si>
    <t>Calibration and Preventive Maintenance of various medical equipment of Orani District Hospital</t>
  </si>
  <si>
    <t>Parts and materials needed for preventive maintenance of Toyota Innova SHJ-973 and SHJ-718 of PEO owned by the PGB</t>
  </si>
  <si>
    <t>Payment of Meals and snacks for Year-End Evaluation and Assessment on Campaign against Anti-Illegal Drugs on December 15, 2021 at Camp PFC Cirilo S. Tolentino Covered Court, Bataan PPO</t>
  </si>
  <si>
    <t>Supplies for DOLE-TUPAD (Tulong Pangkabuhayan sa Disadvantaged and Displaced Worker) ORIENTATION PROGRAM 2021 for the month of July 2021</t>
  </si>
  <si>
    <t>Emergency Purchase of AVR for Xray &amp; Laboratory use of Jose C Payumo Memorial Hospital , Dinalupihan, Bataan</t>
  </si>
  <si>
    <t>Payment for Production of promotional video for the use of Provincial Government of Bataan for the most Business Friendly Province 2021</t>
  </si>
  <si>
    <t>Desktop and A3 printer to be use in PGO Housing</t>
  </si>
  <si>
    <t>Parts and labor for the replacement of four (4) pcs tire 265/60 R18 to Ford Everest of PEO owned by the Provincial Government of Bataan</t>
  </si>
  <si>
    <t>Token to be used for the Barangay Population Workers Congress on December 17, 2021</t>
  </si>
  <si>
    <t>Payment for the Parts and labor for the replacement of tires of H100 KOS994 c/o PGSO</t>
  </si>
  <si>
    <t>Payment for Parts and labor for the replacement of four (4) pcs of tires 195R15 8ply to Hiace Commuter Van VR0088 of PGO owned by the Provincial Government of Bataan</t>
  </si>
  <si>
    <t>Payment of Snacks &amp; Lunch to be served in the Fishery and Aquatic Resources Management Council (FARMC) to be held on December 17, 2021 at Pantingan, Pilar, Bataan</t>
  </si>
  <si>
    <t>Office Supplies for the use of Provincial Engineer's Office</t>
  </si>
  <si>
    <t>Epson LQ310 for the use of Bagac Community and Medicare Hospital</t>
  </si>
  <si>
    <t>PAyment for Meals and Snacks for Institutionalization Integrated Coastal Management (ICM) Program for the Local Government Units (LGUs) on December 14-17, 2021</t>
  </si>
  <si>
    <t>Payment of 1 unit Desktop Core i5 (CPU) for the use in the Office of the Provincial Accountant</t>
  </si>
  <si>
    <t>Payment of Office Supplies for the use of PPDO</t>
  </si>
  <si>
    <t>Payment for Meals and snacks to be served on the Meat Processing and Packaging Demonstration in 4 on Nov. 23, 2021 in Mariveles, Nov. 24, 2021 in Orion, Nov. 25, 2021 in Abucay and Nov. 26, 2021 at Balanga City, Bataan</t>
  </si>
  <si>
    <t>Parts &amp; labor for the replacement of four (4) pcs tire 255/60 R18 to Nissan Navara F2X613 of PEO owned by the Provincial Government of Bataan</t>
  </si>
  <si>
    <t xml:space="preserve">Abucay Multi-Purpose Cooperative </t>
  </si>
  <si>
    <t>Foods to be served for the Festival of Talents on November 11, 2021</t>
  </si>
  <si>
    <t>Parts and Labor for the replacement of defective parts of Toyota Innova SKR-486 of PNP</t>
  </si>
  <si>
    <t>Replacement of rear shock &amp; stabilizer link rear of Honda Civic SHW-607 for the use of PHO</t>
  </si>
  <si>
    <t>Parts for the change oil of Hilux SHW604 of MBDA good for 1 year owned by the Provincial Government of Bataan</t>
  </si>
  <si>
    <t>Toner for the use of PGSO</t>
  </si>
  <si>
    <t>Payment of office supplies for the use of Provincial Budget Office</t>
  </si>
  <si>
    <t>Replacement of Crankshaft Pulley and Fan Belts for ISUZU JITNEY VAN SHP-848 c/o PGSO</t>
  </si>
  <si>
    <t>Token courier services for the speakers &amp; DOT facilitators of Webinar on Empathetic Customer Service of Tourism Month on September 27 to 28, 2021</t>
  </si>
  <si>
    <t>Token with courier services for the speaker of Business Community Planning webinar on August 31 and September 2, 2021</t>
  </si>
  <si>
    <t>Payment of meals and snacks for the Training Course on Diversified and Integrated Farming system (Development of Farm Tourism Sites/Camp) from September 7 to 10, 2021</t>
  </si>
  <si>
    <t>Payment of Printing of tarpaulin to be used for Virtual Children's Congress on November 24, 2021</t>
  </si>
  <si>
    <t>EnterpriseScanner for the use of Office of Strategy Management (OSM)</t>
  </si>
  <si>
    <t>Payment of Office Supplies for the used of PHRMO</t>
  </si>
  <si>
    <t>Payment of Other Supplies for the use of MBDA</t>
  </si>
  <si>
    <t>Two (2) pieces toner for the copier in the office of the Board Members</t>
  </si>
  <si>
    <t>Office Supplies for the use of MBDA</t>
  </si>
  <si>
    <t>Raincoat for the use of BCMH</t>
  </si>
  <si>
    <t>Meals to be served for local social welfare and development officer of Bataan Social Welfare &amp; Development Year-End Program review and evaluation workshop on December 16, 2021</t>
  </si>
  <si>
    <t xml:space="preserve">Yatzky Carwash </t>
  </si>
  <si>
    <t>Labor and Materials for installation of 3M Tint to Howo Cargo Truck I of PEO owned by the Provincial Government of Bataan</t>
  </si>
  <si>
    <t>Replacement of defective parts (refer to Car Airconditioning Shop) and repair of aircon of Toyota Innova SHJ-718</t>
  </si>
  <si>
    <t>Computer Parts (Laptop) for the used of PSWDO</t>
  </si>
  <si>
    <t>Payment of Incidental expense (e.g. token,etc.) for various calling on the Provincial Governor on various occasion &amp; purpose</t>
  </si>
  <si>
    <t>PAyment ofFoods to be served for the KATROPA program on December 3,2021</t>
  </si>
  <si>
    <t>Served in closing program of the Provincial Training for Farmer's Livestock School o Dairy Buffalo Production (FLS-DBP) on November 24, 2021 at Balanga City and November 26, 2021 at Orani, Bataan</t>
  </si>
  <si>
    <t>Payment of Meals to be served for re: for Team Building &amp; CBR Evaluation cum Celebration of International Day of Person with Disabilities on December 16,17, 2021, Bagac, Bataan</t>
  </si>
  <si>
    <t>Peyment for the Replacement of battery for Toyota Hilux A8E932</t>
  </si>
  <si>
    <t>Payment of Meals and Snacks to be served during the conduct of PDRRMC Planning re; Contingency Plan for Flood and Earthquake on December 3, 2021 at The Bunker Capitol, Compound, Balanga City, Bataan</t>
  </si>
  <si>
    <t xml:space="preserve">Amfy's Food M8 </t>
  </si>
  <si>
    <t>Meals and snacks for the Mobile Blood Donation program of JCPJMH to be held on November 13, 2021 at Bataan Peninsula State University, Dinalupihan, Bataan</t>
  </si>
  <si>
    <t>AM Snacks and Lunch for Mobile Blood Donations on December 10, 2021</t>
  </si>
  <si>
    <t>Frames 10.5" x 15" with matting for framing of congratulatory/ condolence amd the likes Resolutioins for SP use</t>
  </si>
  <si>
    <t>Payment of Electric Bill of PROVL COUNCIL FOR WELFARE for the month of December 2021 as follows</t>
  </si>
  <si>
    <t>Payment of Mobile Expenses for the period covered December 16, 2021 to January 15, 2022</t>
  </si>
  <si>
    <t>Reimbursement of gasoline expenses of Jose C. Payumo Memorial Hospital for the period from December 27, 2021 to December 31, 2021</t>
  </si>
  <si>
    <t>Replenishment of Emergency Purchases of NBB Patients of Jose C. Payumo Jr. Memorial Hospital for the period from January 18, 2022 to January 20, 2022</t>
  </si>
  <si>
    <t>Payment of water bill for Palayan ng Bayan, Bagon Silang for the month of July-November 2021</t>
  </si>
  <si>
    <t>Payment of water bill for Fishery, Bagong Silang for the month of July-November 2021</t>
  </si>
  <si>
    <t>Payment for the funeral services rendered under the Libreng Libing Program for the period November 19, December 2, 3,5,9,11,14,20,18, and 31, 2021</t>
  </si>
  <si>
    <t>Payment for the funeral services rendered under the Libreng Libing Program for the period November 25, December 6, 8, 22, &amp; 31, 2021</t>
  </si>
  <si>
    <t>Payment for the funeral services rendered under the Libreng Libing Program for the period January 19, February 17, March 30, April 2, November 11, 2020, January 30, April 30, May 8, May 15, 24, June 16, July 12, 23, August 9, September 9, 17,22, November 19, 22 and December 13, 2021</t>
  </si>
  <si>
    <t>Payment for the funeral services rendered under the Libreng Libing Program for the period January 3, 2020 November 8 &amp; 26, 2020, June 6, 11, 26 and December 27, 2021</t>
  </si>
  <si>
    <t>Payment for the funeral services rendered under the Libreng Libing Program for the period of November 21, 29, December 2,12,17,20,22,24, &amp; 30, 2021</t>
  </si>
  <si>
    <t>Payment of fuel consumption for the period of December 20-26, 2022 (PGO)</t>
  </si>
  <si>
    <t xml:space="preserve">Barry L. Valencia </t>
  </si>
  <si>
    <t>Donation to Ezekielle Valencia for his hospital bill QR: 0120220003</t>
  </si>
  <si>
    <t>Payment of diesel and gasoline October 4-10, 2021</t>
  </si>
  <si>
    <t>Payment of fuel consumption for the period of Nov 22-28,2021 (MDH)</t>
  </si>
  <si>
    <t>Meals for the Regular Session of Sangguninang Panlalawigan on November 8, 2021</t>
  </si>
  <si>
    <t>Snacks for the Committee Meeting on Finance of Sangguninang Panlalawigan on November 4, 2021</t>
  </si>
  <si>
    <t>Payment of fuel consumption on different service vehicle used by other departments Oct 25-31, 2021</t>
  </si>
  <si>
    <t>Payment of fuel consumption on different service vehicle used by the MDH (July 17-23, 2021)</t>
  </si>
  <si>
    <t>Payment of fuel consumption for the period April 7, 2021</t>
  </si>
  <si>
    <t>Payment of fuel consumption on different service vehicle used by other departments Nov 1-7, 2021</t>
  </si>
  <si>
    <t>Payment of fuel consumption for the period of September 20-26, 2021</t>
  </si>
  <si>
    <t>Payment of fuel consumption for the period of October 4-10, 2021</t>
  </si>
  <si>
    <t>Payment of fuel consumption for the period of August 21-27, 2021</t>
  </si>
  <si>
    <t>Payment of fuel consumption for the period of July 31- August 6, 2021</t>
  </si>
  <si>
    <t>Payment of meals incurred during Courtesy Visit of Mayor Isko and Companty to the Province of Bataan</t>
  </si>
  <si>
    <t>Drugs and medicines for JCPMH</t>
  </si>
  <si>
    <t>Furniture and Fixture for use of BCMH</t>
  </si>
  <si>
    <t xml:space="preserve">La Jolla Luxury Beach Resort Inc. </t>
  </si>
  <si>
    <t>Payment of Room Accommodation for the guest of Gov. Abet from NHA dated July 17-18, and November 19-20, 2021</t>
  </si>
  <si>
    <t xml:space="preserve">The Plaza Hotel Balanga City Inc. </t>
  </si>
  <si>
    <t>Payment of meals and snacks to be served during the Integral Coastal Mgt(ICM) System Review Impvt Workshop las Dec 4-6, 2019</t>
  </si>
  <si>
    <t>Payment of blood service fee for the blood and blood products supplied in ODH for November 2021</t>
  </si>
  <si>
    <t xml:space="preserve">Newshawk Newsweekly </t>
  </si>
  <si>
    <t xml:space="preserve">Bataan Defender News </t>
  </si>
  <si>
    <t>Payment of blood service fee for the blood and blood products supplied in ODH for September 2021</t>
  </si>
  <si>
    <t>Payment of blood service fee for the blood and blood products supplied in ODH for October 2021</t>
  </si>
  <si>
    <t>Payment of meals and snacks for 1st quarter 2020 General Assembly of the Peace and Order Council(POC) in the PoB on Jan 18, 2020</t>
  </si>
  <si>
    <t>Payment of fuel consumption for the period of December 6-12, 2021(PGO)</t>
  </si>
  <si>
    <t>Payment of fuel consumption for the period of December 13-19, 2022 (PGO)</t>
  </si>
  <si>
    <t>Payment of Donation for Bataan Crime Lab for their Administrative and Operational Expenses for 16 Dec.2021- 15 January 2022</t>
  </si>
  <si>
    <t>Payment of water bill for Charlie Company, Balanga City for the month of August, October, November, &amp; December 2021</t>
  </si>
  <si>
    <t>Payment of fuel consumption for the period of December 20-26, 2021(Passenger Van Isuzu SHP-848)</t>
  </si>
  <si>
    <t>Payment of fuel consumption for the period of Nov15-21,2021</t>
  </si>
  <si>
    <t>Payment of Rental of Sound System during various event in the Office of the Governor Last November 29, December 1,3,4, and 6, 2021</t>
  </si>
  <si>
    <t>Payment of meals during Occular Site Visit of Ayala Land to all housing Project dated November 26, 2021</t>
  </si>
  <si>
    <t>Payment of fuel consumption for the period of September 4-10, 2021</t>
  </si>
  <si>
    <t>Payment of fuel consumption for the period of July 10-16, 2021</t>
  </si>
  <si>
    <t>Payment of fuel consumption of SHP 848 for the period of November 8-14, 2021</t>
  </si>
  <si>
    <t>Replacement of parts for road grader GD40</t>
  </si>
  <si>
    <t>Payment of fuel consumption on different service vehicle used by other departments Aug 14-20, 2021 for the period of September 4-10, 2021</t>
  </si>
  <si>
    <t>Payment of fuel consumption on different service vehicle used by other departments for the period of September 4-10, 2021</t>
  </si>
  <si>
    <t>Payment of fuel consumption for the period May 29 to June 4, 2021</t>
  </si>
  <si>
    <t>Payment of fuel consumption for generator set for the period for the period of June 5-11, 2021</t>
  </si>
  <si>
    <t>Payment of fuel consumption for the period of July 3-9, 2021</t>
  </si>
  <si>
    <t>Payment of Legal Office for the fuel consumption for the period April 24-30, 2021</t>
  </si>
  <si>
    <t>Payment of fuel consumption for the period June 05-11, 2021</t>
  </si>
  <si>
    <t>Payment of fuel consumption for the period of September 04-10, 2021</t>
  </si>
  <si>
    <t>Payment of Legal Office fuel consumption for the period May 22-28, 2021</t>
  </si>
  <si>
    <t>Meals for the Regular Session of Sangguniang Panlalawigan on November 15, 2021</t>
  </si>
  <si>
    <t>Petty cash fund replenishment for January 25, 2022</t>
  </si>
  <si>
    <t>Toner for the use of Legal office</t>
  </si>
  <si>
    <t>Replacement of four (4) pcs tire 205/65 R15 for Toyota Innova SJA-835 c/o Sanggunaing Panlalawigan</t>
  </si>
  <si>
    <t xml:space="preserve">RM San Pedro Furniture and Upholstery </t>
  </si>
  <si>
    <t>Materials and labor for the re-upholstery of seat cover of Howo Cargo Truck I of PEO owned by the Provincial Government of Bataan</t>
  </si>
  <si>
    <t>Meals and Snacks to be served during the Conduct of LDRRMO Meeting on December 14, 2021 at Morong Bataan</t>
  </si>
  <si>
    <t>Installation of new tint to Nissan Frontier XGL-405 of PEO owned by the Provincial Government of Bataan</t>
  </si>
  <si>
    <t>Payment of Drinking Water to be used in the Office of the Governor</t>
  </si>
  <si>
    <t>Rental of Lighrs and Sound System for signing of memorandum of agreement with national agencies for the establishment of 1Bataan Inter-Agency Action Center (1Bataan-IAAC) on August 10, 2021</t>
  </si>
  <si>
    <t xml:space="preserve">CGS Solid Aircon and Refrigeration Inc. </t>
  </si>
  <si>
    <t>PAyment of supplies for the split-type air-conditioning unit of Ambient Air Quality Monitoring Equipment/ Vehicle of PG-ENRO</t>
  </si>
  <si>
    <t>Payment of Snacks &amp; Lunch to be served in the Fishery Extenstion Workers Quarterly meeting to be held on December 16, 2021 at Pantingan, Pilar, Bataan</t>
  </si>
  <si>
    <t>Payment of Snacks &amp; Lunch to be served in the Law Enforcement &amp; Partner Agencies meeting to be held on December 14, 2021 at 4th Floor Bunker Building, Balanga City, Bataan</t>
  </si>
  <si>
    <t>Parts and labor for the replacement of wiper linkage assembly of Toyota Innova SHB-954 of PEO owned by the PGB</t>
  </si>
  <si>
    <t>For replacement of battery of service vehicle of PCEDO Toyota Innova A4U964.</t>
  </si>
  <si>
    <t>Channel Enterprises- Purchase of Printer Ink for the use of Provincial General Services Office</t>
  </si>
  <si>
    <t>Replacement of defective parts of ISUZU JITNEY VAN SHP-848 c/o PGSO</t>
  </si>
  <si>
    <t>5 Layer Multi- Purpose Steel Rack with adjustable shelves to be used in the Provincial Budget Office</t>
  </si>
  <si>
    <t>Payment of Tokens for Board of Judges of 2021 Galing! Bataan Awards for Cooperative on October 20, 2021</t>
  </si>
  <si>
    <t>Parts for the change oil of FB-L300 NII529 of MBDA good for 1 year owned by the Provincial Government of Bataan</t>
  </si>
  <si>
    <t>Payment of materials needed for one (1) year preventive maintenance/change oil of Toyota Innova SJA-817 used by the Provincial Treasurer's Office</t>
  </si>
  <si>
    <t>Replacement of spare parts for the maintenance of Toyota Innova SJA-835 c/o Sangguniang Panlalawigan</t>
  </si>
  <si>
    <t>Toner for the use of PPDO</t>
  </si>
  <si>
    <t>Printer inks for the use of Provincial Cooperative and Enterprise Development Office</t>
  </si>
  <si>
    <t xml:space="preserve">Central Luzon Growth Corridor Foundation </t>
  </si>
  <si>
    <t>Payment for Provice's 2021 Contribution to Central Luzon Growth Corridor Foundation , INC. Funds</t>
  </si>
  <si>
    <t xml:space="preserve">Malasimbu Funeral Homes </t>
  </si>
  <si>
    <t>Payment for the funeral services rendered under the Libreng Libing Program for the period November 29, December 7,13 &amp; 17, 2021</t>
  </si>
  <si>
    <t>Payment for the funeral services rendered under the Libreng Libing Program for the period November 28 to December 22 &amp; 26, 2021</t>
  </si>
  <si>
    <t>Payment for the funeral services rendered under the Libreng Libing Program for the period December 11,17 and 20, 202</t>
  </si>
  <si>
    <t>Payment for telephone bill and internet for the period of December 17, 2021 - January 16, 2022 in the Office of Provincial Social Welfare Development Office</t>
  </si>
  <si>
    <t xml:space="preserve">Registry of Deeds for Balanga, Bataan </t>
  </si>
  <si>
    <t>FOR THE ACCOUNT OF PNB TRUST BANKING GROUP AS ESCROW AGENT FOR TRUST ACCOUNT NO. 161144TA01- Payment of IT Service fees for annotation on certificate title for Certificate of Sale issued by the Province dated January 3, 2019</t>
  </si>
  <si>
    <t>Payment for Ten Pcs. (10) commercial checkbooks</t>
  </si>
  <si>
    <t xml:space="preserve">3K.P Manpower Security </t>
  </si>
  <si>
    <t>Janitorial Services rendered by 12 utility personnel deployed in Bataan General Hospital - Annex for December 1-31, 2021</t>
  </si>
  <si>
    <t>Security Services for Bataan General Hospital &amp; Medical Center for the period covered from July 1, 2021 to December 31, 2021 &amp; or 184 calendar days</t>
  </si>
  <si>
    <t>Security Services rendered by 78 security guards deployed at the Bataan General Hospital &amp; Medical Center for the December 1-31, 2021</t>
  </si>
  <si>
    <t>Payment for the Complete wheel alignment of Toyota Hilux VU-2619 c/o BM Rosita N Sison</t>
  </si>
  <si>
    <t>Payment of fuel consumption for the period of December 6-12, 2022 (MBDA)</t>
  </si>
  <si>
    <t>Payment of fuel consumption for the period of December 20-26, 2021 (MBDA)</t>
  </si>
  <si>
    <t>Payment of Blood Units for NBB Patients of Jose C. Payumo Memorial Hospital for the period of October 1 to 31, 2021</t>
  </si>
  <si>
    <t>Payment of fuel consumption for the period of December 13-19, 2022 (MBDA)</t>
  </si>
  <si>
    <t>Janitorial services rendered by twelve 12 utility personnel deployed in BGH Nov 1-30, 2021</t>
  </si>
  <si>
    <t>Reimbursement of gasoline expenses of Jose C. Payumo Memorial Hospital for the period from December 1, 2021 to December 15, 2021</t>
  </si>
  <si>
    <t>Reimbursement of gasoline expenses of Jose C. Payumo Memorial Hospital for the period from December 16, 2021 to December 26, 2021</t>
  </si>
  <si>
    <t>Payment of tires and batteries of FE units of SP Board Members</t>
  </si>
  <si>
    <t>Replenishment of revolving fund for payment of donation to indigents constituents in the Province of the Bataan (January 21 &amp; 24-25, 2022)</t>
  </si>
  <si>
    <t>Payment of fuel consumption for the period of December 27, 2021- January 2, 2022 (PGSO)</t>
  </si>
  <si>
    <t>Payment of fuel consumption for the period of December 27, 2021- January 2, 2022</t>
  </si>
  <si>
    <t>Medical equipment for the use of Jose C Payumo Jr. Memorial Hospital Dinalupihan, Bataan</t>
  </si>
  <si>
    <t>Office Supplies for the use of COA office</t>
  </si>
  <si>
    <t>Medical supplies for the used of ODH</t>
  </si>
  <si>
    <t>Oxygen regulator and medical linen hamper for the use of Orani District Hospital</t>
  </si>
  <si>
    <t>Assorted marine products for the consumption of inmates of Bataan District Jail within the period of December 1-10, 2021</t>
  </si>
  <si>
    <t xml:space="preserve">Mommy Candy's Food Products and Catering Services </t>
  </si>
  <si>
    <t>Payment for meals and snacks for the Training Course on Diversified and Integrated Farming system (Development of Farm Tourism Sites/Camp) from September 7 to 10, 2021</t>
  </si>
  <si>
    <t>Cash advance fo various obligation</t>
  </si>
  <si>
    <t>Payment of Water Bill for Fishery, Bagong Silang for the month of December 2021</t>
  </si>
  <si>
    <t>Payment of Water Bill for Palayan ng Baya, Bagong Silang for the month of December 2021</t>
  </si>
  <si>
    <t>Payment for the cremation services rendered by Orion Memorial Park for the period of July 18, August 6,7,14,22,29,31, September 4 &amp; 10, 2021</t>
  </si>
  <si>
    <t>Payment for the funeral services rendered under the Libreng Libing Program for the period of November 17, 24 and 26, 2021</t>
  </si>
  <si>
    <t>Replenishment of market purchases of Jose C. Payumo Jr. Memorial Hospital for the period of January 18 to 24, 2022</t>
  </si>
  <si>
    <t>Replenishment of Emergency Purchases of NBB Patients of Jose C. Payumo Jr. Memorial Hospital for period from January 21, 2022 to January 24, 2022</t>
  </si>
  <si>
    <t>Reimbursement of gasoline, oil and lubricants expenses of Orani District hospital's Ambulance with plate No. F4D127 and water pump from July 1- November 16,2021</t>
  </si>
  <si>
    <t>Payment of water expenses of Bagac Community and Medicare Hospital for the month of December 1, 2021 to January 3, 2022</t>
  </si>
  <si>
    <t>To Reimburse his expenses incurred in the payment of meals and bottled water for the relatives of BGH Patients in Tenejero Elementary School during COVID-19 Pandemic dated October 1-15, 2021</t>
  </si>
  <si>
    <t>Payment of cremation service rendered for the period of April 2,3,4,5,8,12,14,15,22,26,27,28,29,30, May 1 &amp; 2, 2021</t>
  </si>
  <si>
    <t xml:space="preserve">League of Provinces in the Philippines (LPP) </t>
  </si>
  <si>
    <t>Payment of League of Provinces of the Philippines for annual membership dues for the calendar year 2022</t>
  </si>
  <si>
    <t>Replenishment of cash advance for emergency purchase of Jose C. Payumo Memorial Hospital from January 14 to January 18, 2022</t>
  </si>
  <si>
    <t>Donation to Carolina Sando for her hospital bill QR: 010422003LGSF</t>
  </si>
  <si>
    <t xml:space="preserve">Joanna Marie S. Malibiran </t>
  </si>
  <si>
    <t>Donation to Leigh Jafayrah Malibiran for her hospital bill QR: 010322056LGSF</t>
  </si>
  <si>
    <t xml:space="preserve">Rosanna P. Wong </t>
  </si>
  <si>
    <t>Donation to Amor Peñano for her hospital bill QR: 010322059LGSF</t>
  </si>
  <si>
    <t>Donation to Kimberly Medina for her hospital bill QR: 010622002LGSF</t>
  </si>
  <si>
    <t>Donation to Danilo Carreon for his hospital bill QR: 010622004LGSF</t>
  </si>
  <si>
    <t xml:space="preserve">Karla P. Jorge </t>
  </si>
  <si>
    <t>Donation to Jeffrey Bales for his hospital bill QR: 010522003LGSF</t>
  </si>
  <si>
    <t xml:space="preserve">Maria Sheryll B. Vargas </t>
  </si>
  <si>
    <t>Donation to Merlin Balan for his medical needs QR: 010622009LGSF</t>
  </si>
  <si>
    <t xml:space="preserve">Ernesto O. Santos </t>
  </si>
  <si>
    <t>Donation to Allen Santos for his medical needs QR: 010622011LGSF</t>
  </si>
  <si>
    <t xml:space="preserve">Raquel C. Antonio </t>
  </si>
  <si>
    <t>Donation to Sheen Ching Jerusalem for her medical needs QR: 010322054LGSF</t>
  </si>
  <si>
    <t xml:space="preserve">Rommel Arellano </t>
  </si>
  <si>
    <t>Donation to the client for his hospital bill QR: 122721013LGSF</t>
  </si>
  <si>
    <t xml:space="preserve">Michael Alarcon </t>
  </si>
  <si>
    <t>Donation to Ramon Alarcon for his medical needs QR: 010322032LGSF</t>
  </si>
  <si>
    <t xml:space="preserve">Onofre D. Sagun </t>
  </si>
  <si>
    <t>Donation to Emily SAGUN for her hospital bill QR: 010322014LGSF</t>
  </si>
  <si>
    <t xml:space="preserve">Clarita A. Alfuente </t>
  </si>
  <si>
    <t>Donation to Feliza Angeles for her burial expenses QR: 010322018LGSF</t>
  </si>
  <si>
    <t xml:space="preserve">Maricris S. Estrella </t>
  </si>
  <si>
    <t>Donation to Efren Soriano for his buril expenses QR: 010722027LGSF</t>
  </si>
  <si>
    <t xml:space="preserve">Elsa B. Sanchez </t>
  </si>
  <si>
    <t>Donation to Ronaldo Sanchez for his burial expenses QR: 011322008LGSF</t>
  </si>
  <si>
    <t xml:space="preserve">Armida C. Ramirez </t>
  </si>
  <si>
    <t>Donation to Ginno Ramirez for his burial expenses QR: 011322013LGSF</t>
  </si>
  <si>
    <t xml:space="preserve">Laila V. Lazaro </t>
  </si>
  <si>
    <t>Donation to Romeo Lazaro for his burial expenses QR: 010722014LGSF</t>
  </si>
  <si>
    <t xml:space="preserve">Ronaldo G. Matias </t>
  </si>
  <si>
    <t>Donation to Anita Matias for her burial expenses QR: 010722015LGSF</t>
  </si>
  <si>
    <t xml:space="preserve">Cathleen Joy D. Cacait </t>
  </si>
  <si>
    <t>Donation to Jose Cacait for his hospital bill QR: 011322011LGSF</t>
  </si>
  <si>
    <t xml:space="preserve">Rochelle V. Bano </t>
  </si>
  <si>
    <t>Donation to Perlita Vinzon for her hospital bill QR: 011322005LGSF</t>
  </si>
  <si>
    <t xml:space="preserve">Jesline M. Gatdula </t>
  </si>
  <si>
    <t>Donation to the client for her hospital bill and medical needs QR: 010722006LGSF</t>
  </si>
  <si>
    <t xml:space="preserve">Ruby G. Eugenio </t>
  </si>
  <si>
    <t>Donation to Jimmel Eugenio for his hospital bill QR: 010722012LGSF</t>
  </si>
  <si>
    <t>Donation to Ma. Lecha Jhunel Anne Punzalan for her hospital bill QR: 010722010LGSF</t>
  </si>
  <si>
    <t xml:space="preserve">Fernando B. Punzalan </t>
  </si>
  <si>
    <t>Donation to Kyle Bryan Punzalan for his medical needs QR: 011322014LGSF</t>
  </si>
  <si>
    <t xml:space="preserve">Jennelee C. Reyes </t>
  </si>
  <si>
    <t>Donation to Narciso Dela Rosa Jr. for his medical needs QR: 011322010LGSF</t>
  </si>
  <si>
    <t xml:space="preserve">Ruben S. Quicho </t>
  </si>
  <si>
    <t>Donation to the client for his medical needs QR: 011322009LGSF</t>
  </si>
  <si>
    <t xml:space="preserve">Mhykael Joshua F. Balmaceda </t>
  </si>
  <si>
    <t>Donation to the client for his medical needs QR: 011322006LGSF</t>
  </si>
  <si>
    <t xml:space="preserve">Estela O. Quicho </t>
  </si>
  <si>
    <t>Donation to Carlos Quicho for his medical needs QR: 011322007LGSF</t>
  </si>
  <si>
    <t xml:space="preserve">Pilar G. Balbuena </t>
  </si>
  <si>
    <t>Donation to Lyka Alexia Balbuena for his medical needs QR: 010722030LGSF</t>
  </si>
  <si>
    <t xml:space="preserve">Lorna P. de Jesus </t>
  </si>
  <si>
    <t>Donation to Crispina Pardillo for her burial expenses QR: 010722007LGSF</t>
  </si>
  <si>
    <t xml:space="preserve">D'Jay R. dela Peña </t>
  </si>
  <si>
    <t>Donation to Adoracion Dela Peña for her hospital bill QR: 011322004LGSF</t>
  </si>
  <si>
    <t xml:space="preserve">Luke Vincent E. Nisay </t>
  </si>
  <si>
    <t>Donation to Lulu Nisay for his hospital bill QR: 011322003LGSF</t>
  </si>
  <si>
    <t xml:space="preserve">Jopet B. Porlante </t>
  </si>
  <si>
    <t>Donation to Virginia Porlante for her hospital bill QR: 011222004LGSF</t>
  </si>
  <si>
    <t xml:space="preserve">Ernaida M. Del Rosario </t>
  </si>
  <si>
    <t>Donation to Ernesto Mallari for his hospital bill QR: 011322001LGSF</t>
  </si>
  <si>
    <t xml:space="preserve">Jonalyn B. Marquez </t>
  </si>
  <si>
    <t>Donation to Dionne Mikael Marquez for his hospital bill QR: 011222001LGSF</t>
  </si>
  <si>
    <t>Donation to Leslie Mangila for her hospital bill QR: 010722008LGSF</t>
  </si>
  <si>
    <t xml:space="preserve">Luxary C. Indiana </t>
  </si>
  <si>
    <t>Do9nation to Elizabeth Cacacho for her hospital bill QR: 010722018LGSF</t>
  </si>
  <si>
    <t xml:space="preserve">Shiela E. Naguiat </t>
  </si>
  <si>
    <t>Donation to Liam Jacob Naguiat for his medical needs QR: 0111222003LGSF</t>
  </si>
  <si>
    <t xml:space="preserve">Rose Marie C. Raymundo </t>
  </si>
  <si>
    <t>Donation to Norma Raymundo for her medical needs QR: 011022001LGSF</t>
  </si>
  <si>
    <t xml:space="preserve">Josephine B. Landicho </t>
  </si>
  <si>
    <t>Donation to Arnel Landicho for his medical needs QR: 010722011LGSF</t>
  </si>
  <si>
    <t xml:space="preserve">Maricris S. Herba </t>
  </si>
  <si>
    <t>Donation to Alberto Sebastian Sr. for his medical needs QR: 0107220019LGSF</t>
  </si>
  <si>
    <t>Donation to Ezekielle Valencia for his hospital bill QR: 012022002LGSF</t>
  </si>
  <si>
    <t xml:space="preserve">Harisson B. Dela Cruz </t>
  </si>
  <si>
    <t>Donation to the client for his medical needs QR: 012022013LGSF</t>
  </si>
  <si>
    <t xml:space="preserve">Roxanne M. Manabat </t>
  </si>
  <si>
    <t>DONATION TO MICKAEL MALIBIRAN FOR HIS PROFESSIONAL FEE QR: 0105220027</t>
  </si>
  <si>
    <t xml:space="preserve">Julie Ann D. Alarcio </t>
  </si>
  <si>
    <t>Donation to Alexander Alarcio for his burial expenses QR: 011422007LGSF</t>
  </si>
  <si>
    <t xml:space="preserve">Rowena M. Mendoza </t>
  </si>
  <si>
    <t>Donation to Edgardo Mungcal for his burial expenses QR: 011422010LGSF</t>
  </si>
  <si>
    <t xml:space="preserve">Richard B. Bartolay </t>
  </si>
  <si>
    <t>Donation to Ashley Pearl Bartolay for her hospital bill QR: 011422009LGSF</t>
  </si>
  <si>
    <t xml:space="preserve">Lorena R. Dizon </t>
  </si>
  <si>
    <t>Donation to Jessie Dizon for his medical needs QR: 011422008LGSF</t>
  </si>
  <si>
    <t xml:space="preserve">Lorna M. Cañiza </t>
  </si>
  <si>
    <t>Donation to Cezar Cañiza for his medical needs QR: 011422001LGSF</t>
  </si>
  <si>
    <t>Donation to Leandro Villanueva for his hospital bill QR: 011422002LGSF</t>
  </si>
  <si>
    <t xml:space="preserve">Ludivina S. Medez </t>
  </si>
  <si>
    <t>Donation to the client for her medical needs QR: 011422005LGSF</t>
  </si>
  <si>
    <t xml:space="preserve">Jeanette L. Muli </t>
  </si>
  <si>
    <t>Donation to Federico IV Muli for his medical needs QR: 011422003LGSF</t>
  </si>
  <si>
    <t xml:space="preserve">Rosita S. Facundo </t>
  </si>
  <si>
    <t>Donation to Reynaldo Facundo for his medical needs QR: 011422004LGSF</t>
  </si>
  <si>
    <t xml:space="preserve">Rolando R. Sanchez </t>
  </si>
  <si>
    <t>Donation to Celestina Sanche for her burial expenses QR: 010622012LGSF</t>
  </si>
  <si>
    <t>Donation to Carmelita Pioquinto for her burial expenses QR: 010722001LGSF</t>
  </si>
  <si>
    <t xml:space="preserve">Ma. Teresa D. Santos </t>
  </si>
  <si>
    <t>Donation to Teresita De Jesus for her burial expenses QR: 010722029LGSF</t>
  </si>
  <si>
    <t xml:space="preserve">Renato B. Sangalang </t>
  </si>
  <si>
    <t>Donation to Isabel Sangalang for her burial expenses QR: 010722028LGSF</t>
  </si>
  <si>
    <t xml:space="preserve">Jayzen T. Chavez </t>
  </si>
  <si>
    <t>Donation to Rowena Chavez for her burial expenses QR: 011022003LGSF</t>
  </si>
  <si>
    <t xml:space="preserve">Loucel B. Domingo </t>
  </si>
  <si>
    <t>Donation to Eulogio Bautista for his hospital bill QR: 0107220017LGSF</t>
  </si>
  <si>
    <t xml:space="preserve">Joshua H. Cabico </t>
  </si>
  <si>
    <t>Donation to Nayda Cabico for her hospital bill QR: 010722005LGSF</t>
  </si>
  <si>
    <t xml:space="preserve">Angelo M. Blanco </t>
  </si>
  <si>
    <t>Donation to Leonel Blanco for his hospital bill QR: 010722004LGSF</t>
  </si>
  <si>
    <t xml:space="preserve">Mylene V. Buensuceso </t>
  </si>
  <si>
    <t>Donation to Charles Axzel Cruz for his hospital bill QR: 011022004LGSF</t>
  </si>
  <si>
    <t>Donation to Mickael Malibiran for his doctor's professional fee QR: 011022005LGSF</t>
  </si>
  <si>
    <t xml:space="preserve">Ma. Janette G. Manlapaz </t>
  </si>
  <si>
    <t>Donation to Roberto Manlapaz for his medical needs QR: 010722023LGSF</t>
  </si>
  <si>
    <t xml:space="preserve">Marilyn T. Costa </t>
  </si>
  <si>
    <t>Donation to Zenaida Tacubanza for her medical needs QR: 010722003LGSF</t>
  </si>
  <si>
    <t xml:space="preserve">Jay-Ar c. Villanueva </t>
  </si>
  <si>
    <t>AR C. VILLANUEVA - Donation to the client for his medical needs QR: 0107220016LGSF</t>
  </si>
  <si>
    <t xml:space="preserve">Amelyn C. Baun </t>
  </si>
  <si>
    <t>Donation to  the client for her medical needs QR: 010722026LGSF</t>
  </si>
  <si>
    <t xml:space="preserve">Yolanda R. Casaña </t>
  </si>
  <si>
    <t>Donation to the client for her medical needs QR: 010722025LGSF</t>
  </si>
  <si>
    <t xml:space="preserve">Concepcion M. Gacutan </t>
  </si>
  <si>
    <t>DONATION TO AUREA ABELLA FOR HER HOSPITAL BILL AND MEDICAL NEEDS QR: 0110220021</t>
  </si>
  <si>
    <t xml:space="preserve">Julieta F. Zabala </t>
  </si>
  <si>
    <t>Donation to Reynaldo Fermin for his burial expenses QR: 011022002LGSF</t>
  </si>
  <si>
    <t xml:space="preserve">Regina R. Manahan </t>
  </si>
  <si>
    <t>Donation to the client for her medical needs QR: 010722013LGSF</t>
  </si>
  <si>
    <t>Donation to Marife Crisostomo for her hospital bill QR: 010722024LGSF</t>
  </si>
  <si>
    <t xml:space="preserve">Troy Airon R. Gatdula </t>
  </si>
  <si>
    <t>Donation to Rochelle Samson and Angelleyca Alexandria Gatdula for their hospital bill QR: 011222002LGSF</t>
  </si>
  <si>
    <t>Donation to Rosalina Mendoza for her medical needs QR: 012022009LGSF</t>
  </si>
  <si>
    <t xml:space="preserve">Karen D. Pingul </t>
  </si>
  <si>
    <t>Donation to Remigio Dizon for his hospital bill QR: 012022004LGSF</t>
  </si>
  <si>
    <t xml:space="preserve">Adeleviza R. Buan </t>
  </si>
  <si>
    <t>Donation to Marion Kenneth Buan for his hospital bill QR: 012022001LGSF</t>
  </si>
  <si>
    <t xml:space="preserve">Teresita P. Pangilinan </t>
  </si>
  <si>
    <t>Donation to Esperanza Peralta for her medical needs QR: 012022007LGSF</t>
  </si>
  <si>
    <t>Replenishment of Revolving Fund for Payment of Donations of Indigejnt Constituents in the Province of Bataan (January 26-27, 2022)</t>
  </si>
  <si>
    <t xml:space="preserve">Juanito B. Bernaldo </t>
  </si>
  <si>
    <t>DONATION TO JOSE JR. ANGELES FOR HIS BURIAL EXPENSES QR: 0120220016</t>
  </si>
  <si>
    <t>DONATION TO VILLAROSA DE LEON FOR HER BURIAL EXPENSES QR: 0110220004</t>
  </si>
  <si>
    <t xml:space="preserve">Bobbie Jay S. Borlongan </t>
  </si>
  <si>
    <t>DONATION TO SALOME SANTOS FOR HER BURIAL EXPENSES QR: 0110220020</t>
  </si>
  <si>
    <t xml:space="preserve">Loraida D. Estacio </t>
  </si>
  <si>
    <t>DONATIN TO CATHERINE DE SILVA FOR HER BURIAL EXPENSES QR: 0110220022</t>
  </si>
  <si>
    <t xml:space="preserve">Manuel M. Rodriguez </t>
  </si>
  <si>
    <t>DONATION TO LEMUEL DOMINGUEZ FOR HIS BURIAL EXPENSES QR: 0110220025</t>
  </si>
  <si>
    <t xml:space="preserve">Leo M. Torres </t>
  </si>
  <si>
    <t>DONATION TO LUCAS ANDREW TORRES FOR HIS BURIAL EXPENSES QR: 0110220012</t>
  </si>
  <si>
    <t xml:space="preserve">Jo Bien M. Oria </t>
  </si>
  <si>
    <t>DONATION TO NOA ORA AND CHRISTINE GRACE ORIA FOR THEIR HOSPITAL BILLS QR: 0110220019</t>
  </si>
  <si>
    <t xml:space="preserve">Ma. Cristina M. Lansangan </t>
  </si>
  <si>
    <t>DONATION TO MARCUS DWAYNE BARIA FOR HIS HOSPITAL BILL QR: 0110220024</t>
  </si>
  <si>
    <t xml:space="preserve">Mara Camille S. Reyes </t>
  </si>
  <si>
    <t>DONATION TO VINCE RUSSEL REYES FOR HIS HOSPITAL BILL QR: 0110220028</t>
  </si>
  <si>
    <t xml:space="preserve">Joveth S. Manato </t>
  </si>
  <si>
    <t>DONATION TO NONITO MANATO FOR HIS HOSPITAL BILL AND MEDICAL NEEDS QR: 0110220011</t>
  </si>
  <si>
    <t xml:space="preserve">Leticia S. Ocbian </t>
  </si>
  <si>
    <t>DONATION TO WILFREDO OCBIAN FOR HIS MEDICAL NEEDS QR: 0110220017</t>
  </si>
  <si>
    <t xml:space="preserve">Jhomell S. Martinez </t>
  </si>
  <si>
    <t>DONATION TO BAYANI MARTINEZ FOR HIS BURIALEXPENSES QR: 0114220008</t>
  </si>
  <si>
    <t xml:space="preserve">Remedios L. Lapira </t>
  </si>
  <si>
    <t>DONATION TO DENNIS LAPIRA FOR HIS BURIAL EXPENSES QR: 0114220002</t>
  </si>
  <si>
    <t xml:space="preserve">Jennlyne C. Bihag </t>
  </si>
  <si>
    <t>DONATION TO LUDINA CUSTODIO FOR HER BURIAL EXPENSESE QR: 0114220007</t>
  </si>
  <si>
    <t>DONATION TO ROCHELLE SAMSON AND ANGELLEYCA ALEXANDRIA GATDULA FOR THEIR HOSPITAL BILLS QR: 0113220008</t>
  </si>
  <si>
    <t xml:space="preserve">Rafael P. Paras </t>
  </si>
  <si>
    <t>DONATION TO ANNA PARAS AND BREANNA CAYLEN PARAS FOR THEIR HOSPITAL BILLS QR: 0113220005</t>
  </si>
  <si>
    <t xml:space="preserve">Mirasol M. Manaloto </t>
  </si>
  <si>
    <t>DONATION TO MARIA MERCADO FOR HER PROFESSIONAL FEE QR: 0113220011</t>
  </si>
  <si>
    <t xml:space="preserve">Gilbert G. Escala </t>
  </si>
  <si>
    <t>DONATION TO CLIENT FOR HIS MEDICAL NEEDS QR: 0110220005</t>
  </si>
  <si>
    <t xml:space="preserve">Keno I. Sta. Ana </t>
  </si>
  <si>
    <t>DONATION TO CLIENT FOR HIS MEDICAL NEEDS QR: 0110220007</t>
  </si>
  <si>
    <t xml:space="preserve">Ruel H. Gimao </t>
  </si>
  <si>
    <t>DONATION TO MARVIN GIMAO FOR HIS MEDICAL NEEDS QR: 0114220003</t>
  </si>
  <si>
    <t xml:space="preserve">Provincial Government of Bataan / Trust Fund </t>
  </si>
  <si>
    <t>Transfer of unexpended balance of calamity fund for 2021</t>
  </si>
  <si>
    <t>Payment of MNAO Allowance for July to December 2021</t>
  </si>
  <si>
    <t xml:space="preserve">Noemi Gunio </t>
  </si>
  <si>
    <t xml:space="preserve">Florina Mae Crisostomo </t>
  </si>
  <si>
    <t xml:space="preserve">Caroline Reyes </t>
  </si>
  <si>
    <t>Replenishment of cash advance to defray payment of Daily Market Purchase from January 18-24, 2022</t>
  </si>
  <si>
    <t>Replenishment of cash advance to defray for emergency purchases of Jose C. Payumo Memorial Hospital from January 19, 2022 to January 21, 2022</t>
  </si>
  <si>
    <t xml:space="preserve">Cheryl Lou S. Siccion </t>
  </si>
  <si>
    <t>DONATION TO ZENAIDA SICCION FOR HER BURIAL EXPENSES QR: 0110220013</t>
  </si>
  <si>
    <t xml:space="preserve">Imelda P. Desales </t>
  </si>
  <si>
    <t>DONATION TO NOEL DESALES FOR HIS BURIAL EXPENSES QR: 01102220014</t>
  </si>
  <si>
    <t xml:space="preserve">Brian John Q. Rodriguez </t>
  </si>
  <si>
    <t>DONATION TO CONSUELO RODRIGUEZ FOR HER BURIALEXPENSES QR: 0110220009</t>
  </si>
  <si>
    <t xml:space="preserve">Riza D. Angeles </t>
  </si>
  <si>
    <t>DONATION TO LORETO DIONES FOR HIS HOSPITAL BILL QR: 0110220029</t>
  </si>
  <si>
    <t xml:space="preserve">Carlito A. Navarro </t>
  </si>
  <si>
    <t>DONATION TO JEZZA BELLE NAVARRO AND PHOENIX AXEL NAVARRO FOR THEIR HOSPITAL BILLS QR: 0110220016</t>
  </si>
  <si>
    <t xml:space="preserve">Jerry P. Vitug </t>
  </si>
  <si>
    <t>DONATION TO GRACIELA GAYLE MAGCALAS AND GRAY CIANA PAIX VITUG FOR THEIR HOSPITAL BILLS QR: 0110220023</t>
  </si>
  <si>
    <t xml:space="preserve">Rey David L. Perillo </t>
  </si>
  <si>
    <t>DONATION TO EMILY PERILLO FOR HER HOSPITAL BILL AND MEDICAL NEEDS QR: 0110220018</t>
  </si>
  <si>
    <t>DONATION TO CLIENT FOR HER HOSPITAL BILL AND MEDICAL NEEDS QR: 011020026</t>
  </si>
  <si>
    <t xml:space="preserve">Maria Teresa S. Llego </t>
  </si>
  <si>
    <t>DONATION TO CARMELA PALOMO FOR HER HOSPITAL BILL AND MEDICAL NEEDS QR: 0110220027</t>
  </si>
  <si>
    <t xml:space="preserve">Sweetzel D. Yao </t>
  </si>
  <si>
    <t>DONATION TO MILA DUNGCA FOR HER HOSPITAL BILL QR: 0110220001</t>
  </si>
  <si>
    <t xml:space="preserve">Ramil B. Dizon </t>
  </si>
  <si>
    <t>DONATION TO THEA DIZON FOR HER MEDICAL NEEDS QR: 0110220008</t>
  </si>
  <si>
    <t xml:space="preserve">Marvin D. Medina </t>
  </si>
  <si>
    <t>DONATION TO BIENVENIDO MEDINA FOR HIS BURIAL EXPENSES QR: 0113220019</t>
  </si>
  <si>
    <t xml:space="preserve">Anselmo C. Torres </t>
  </si>
  <si>
    <t>DONATION TO EUGENIA TORRES FOR HER BURIAL EXPENSES QR: 0110220006</t>
  </si>
  <si>
    <t xml:space="preserve">Adrian M. Pagute </t>
  </si>
  <si>
    <t>DONATION TO DIVINA PAGUTE FOR HER HOSPITAL BILL QR: 0113220018</t>
  </si>
  <si>
    <t xml:space="preserve">Michelle L. Asuncion </t>
  </si>
  <si>
    <t>DONATION TO ERLINDA ASUNCION FOR HER HOSPITAL BILL QR: 0113220017</t>
  </si>
  <si>
    <t xml:space="preserve">Alyssa C. Gallardo </t>
  </si>
  <si>
    <t>DONATION TO CLIENT FOR HER HOSPITAL BILL QR: 0112220004</t>
  </si>
  <si>
    <t xml:space="preserve">Ma. Cristina O. Cruz </t>
  </si>
  <si>
    <t>DONATION TO CLIENT FOR HER HOSPITAL BILL QR: 0113220022</t>
  </si>
  <si>
    <t xml:space="preserve">Mary Rose T. Dela Cruz </t>
  </si>
  <si>
    <t>DONATION TO CLIENT FOR HER HOSPITAL BILL QR: 0113220009</t>
  </si>
  <si>
    <t xml:space="preserve">Maricel A. Vilan </t>
  </si>
  <si>
    <t>DONATION TO KATE CASANDRA SANCHEZ FOR HER HOSPITAL BILL AND MEDICAL NEEDS QR: 0113220012</t>
  </si>
  <si>
    <t xml:space="preserve">Ma. Victoria A. Bantugan </t>
  </si>
  <si>
    <t>DONATION TO WILFREDO BANTUGAN FOR HIS HOSPITAL BILL AND PROFESSIONAL FEE QR: 0113220023</t>
  </si>
  <si>
    <t xml:space="preserve">Rodolfo Jr. Dela Cruz Navoa </t>
  </si>
  <si>
    <t>DONATION TO MICHELLE ANNE NAVOA AND FINN MARCUS NAVOA FOR THEIR HOSPITAL BILLS QR: 0112220003</t>
  </si>
  <si>
    <t>DONATION TO JOHN CHARD MANABA FOR HIS BURIAL EXPENSES QR: 0114220010</t>
  </si>
  <si>
    <t xml:space="preserve">Elvira Borja </t>
  </si>
  <si>
    <t>DONATION TO LUISA ORBITA FOR HER BURIAL EXPENSES QR: 0113220016</t>
  </si>
  <si>
    <t>DONATION TO ROMEO LAZARO FOR HIS BURIAL EXPENSES QR: 0113220020</t>
  </si>
  <si>
    <t xml:space="preserve">Ace Robertson B. Agranum </t>
  </si>
  <si>
    <t>DONATION TO POLLY ANNA AGRANUM FOR HER HOSPITAL BILL QR: 0113220014</t>
  </si>
  <si>
    <t>DONATION TO RYAN IZON FOR HIS BURIAL EXPENSES QR: 0113220007</t>
  </si>
  <si>
    <t xml:space="preserve">Danilo M. Magat </t>
  </si>
  <si>
    <t>DONATION TO DELIA ASUNCION FOR HER HOSPITAL BILL QR: 0113220021</t>
  </si>
  <si>
    <t xml:space="preserve">Rjay E. Soberano </t>
  </si>
  <si>
    <t>DONATION TO MICHELLE SOBERANO FOR HER HOSPITAL BILL AND MEDICAL NEEDS QR: 0114220006</t>
  </si>
  <si>
    <t>DONATION TO CHRISTOPHER ROSALES FOR HIS HOSPITAL BILL QR: 0113220002</t>
  </si>
  <si>
    <t xml:space="preserve">John P. Prieto </t>
  </si>
  <si>
    <t>DONATION TO GEMMA PRIETO AND MARTHA ATHENA PRIETO FOR THEIR HOSPITAL BILLS QR: 0114220005</t>
  </si>
  <si>
    <t xml:space="preserve">Romina L. Yumol </t>
  </si>
  <si>
    <t>DONATION TO JERALD YUMOL FOR HIS HOSPITAL BILL QR: 0113220003</t>
  </si>
  <si>
    <t xml:space="preserve">Rochelle V. Baino </t>
  </si>
  <si>
    <t>DONATION TO PERLITA VINZON FOR HER HOSPITAL BILL QR: 0113220010</t>
  </si>
  <si>
    <t xml:space="preserve">Prudencio R. Mina </t>
  </si>
  <si>
    <t>DONATION TO ENRICO MINA FOR HIS HOSPITAL BILL QR: 0113220015</t>
  </si>
  <si>
    <t xml:space="preserve">Editha A. Camilotes </t>
  </si>
  <si>
    <t>DONATION TO ERIL JOHN CAMILOTES FOR HIS MEDICAL NEEDS QR: 0113220006</t>
  </si>
  <si>
    <t xml:space="preserve">Justine C. Manzo </t>
  </si>
  <si>
    <t>DONATION TO CLIENT FOR HER MEDICAL NEEDS QR: 0114220001</t>
  </si>
  <si>
    <t xml:space="preserve">Wenifrida C. Batiles </t>
  </si>
  <si>
    <t>DONATION TO RAMON BATILES FOR HIS BURIAL EXPENSES QR: 0112220002</t>
  </si>
  <si>
    <t xml:space="preserve">Florida C. Mendoza </t>
  </si>
  <si>
    <t>DONATION TO AL MENDOZA FOR HIS BURIAL EXPENSES QR: 0112220006</t>
  </si>
  <si>
    <t>DONATION TO VIRGINIA PORLANTE FOR HER HOSPITAL BILL QR: 0112220005</t>
  </si>
  <si>
    <t xml:space="preserve">Resiliza B. Manlapid </t>
  </si>
  <si>
    <t>DONATION TO ANGELINA BASALO FOR HER HOSPITAL BILL QR: 0112220001</t>
  </si>
  <si>
    <t xml:space="preserve">Neil Francis F. Ronquillo </t>
  </si>
  <si>
    <t>DONATION TO MARINA MACALINAO FOR HER BURIAL EXPENSES QR: 0119220002</t>
  </si>
  <si>
    <t xml:space="preserve">Desiree R. Aure </t>
  </si>
  <si>
    <t>DONATION TO ALTHEA CHA FOR HER BURIAL EXPENSES QR: 0117220002</t>
  </si>
  <si>
    <t xml:space="preserve">Lovely Ann Q. Javier </t>
  </si>
  <si>
    <t>DONATION TO LILIAN JAVIER FOR HER HOSPITAL BILL QR: 0117220005</t>
  </si>
  <si>
    <t xml:space="preserve">Honey Grace D. Quindoza </t>
  </si>
  <si>
    <t>DONATION TO ZACK KRISTOFFE QUINDOZA FOR HIS HOSPITAL BILL QR: 0119220004</t>
  </si>
  <si>
    <t xml:space="preserve">Zosimo G. Manabat </t>
  </si>
  <si>
    <t>DONATION TO PAULITA MANABAT FOR HER HOSPITAL BILL QR: 0118220008</t>
  </si>
  <si>
    <t xml:space="preserve">Mary Jane D. Salvador </t>
  </si>
  <si>
    <t>DONATION TO MAIRANNE SALVADOR AND MARISHKA ARIANNA DE LUNA FOR THEIR HOSPITAL BILLS QR: 0118220009</t>
  </si>
  <si>
    <t xml:space="preserve">Renato L. Laquindanum </t>
  </si>
  <si>
    <t>DONATION TO PRAXEDES LAQUINDANUM FOR HER HOSPITAL BILL QR: 0117220009</t>
  </si>
  <si>
    <t xml:space="preserve">Eduardo R. Ronquillo </t>
  </si>
  <si>
    <t>DONATION TO IVY VILLEGAS FOR HER HOSPITAL BILL AND PROFESSIONAL FEES QR: 0118220002</t>
  </si>
  <si>
    <t xml:space="preserve">Donan Marie L. Garcia </t>
  </si>
  <si>
    <t>DONATION TO ALONA LABASAN FOR HER HOSPITAL BILL AND PROFESSIONAL FEE QR: 0117220007</t>
  </si>
  <si>
    <t xml:space="preserve">John Mark L. Dela Rosa </t>
  </si>
  <si>
    <t>DONATION TO LILIAN DELA ROSA FOR HER MEDICAL NEEDS QR: 0118220005</t>
  </si>
  <si>
    <t xml:space="preserve">Leslie G. Paguio </t>
  </si>
  <si>
    <t>DONATION TO ROLANDO PAGUIO FOR HIS HOSPITAL BILL AND PROFESSIONAL FEE QR: 0113220004</t>
  </si>
  <si>
    <t xml:space="preserve">Joy V. Ronquillo </t>
  </si>
  <si>
    <t>DONATION TO MARINA VILLANUEVA FOR HER BURIAL EXPENSES QR: 0118220006</t>
  </si>
  <si>
    <t xml:space="preserve">Darren John Lorenz M. Bagtas </t>
  </si>
  <si>
    <t>DONATION TO ROGELIO BAGTAS FOR HIS BURIAL EXPESNES QR: 0110220015</t>
  </si>
  <si>
    <t xml:space="preserve">Joyce J. Almazan </t>
  </si>
  <si>
    <t>DONATION TO REYNALDO ALMAZAN FOR HIS HOSPITAL BILL QR: 0118220004</t>
  </si>
  <si>
    <t xml:space="preserve">Joan F. Reyes </t>
  </si>
  <si>
    <t>DONATION TO CLIENT FOR HER HOSPITAL BILL QR: 0118220001</t>
  </si>
  <si>
    <t xml:space="preserve">Rene A. Conda </t>
  </si>
  <si>
    <t>DONATION TO RAENE CULLEN CONDA FOR HIS HOSPITAL BILL QR: 0118220007</t>
  </si>
  <si>
    <t xml:space="preserve">Realynrose S. Go </t>
  </si>
  <si>
    <t>DONATION TO LEONARDO GO FOR HIS HOSPITAL BILLDONATION TO NAPOLEON DELFIN FOR HIS HOSPITAL BILL QR: 0117220003</t>
  </si>
  <si>
    <t xml:space="preserve">Rowen Jake R. Delfin </t>
  </si>
  <si>
    <t>DONATION TO NAPOLEON DELFIN FOR HIS HOSPITAL BILL QR: 0117220001</t>
  </si>
  <si>
    <t xml:space="preserve">Sherrylyn M. Federis </t>
  </si>
  <si>
    <t>DONATION TO SOLEDAD MILLAMES FOR HER HOSPITAL BILL AND MEDICAL NEEDS QR: 0117220008</t>
  </si>
  <si>
    <t xml:space="preserve">Rosita R. Baldonado </t>
  </si>
  <si>
    <t>DONATION TO ROMEO BALDONADO FOR HIS HOSPITAL BILL QR: 0119220005</t>
  </si>
  <si>
    <t xml:space="preserve">Shiela G. Aulo </t>
  </si>
  <si>
    <t>DONATION TO MANUEL GARCIA FOR HIS HOSPITAL BILL QR: 0118220014</t>
  </si>
  <si>
    <t xml:space="preserve">Maricel B. Paular </t>
  </si>
  <si>
    <t>DONATION TO NOEL PAULAR FOR HIS HOSPITAL BILL QR: 0118220011</t>
  </si>
  <si>
    <t xml:space="preserve">Anabeth P. De Leon </t>
  </si>
  <si>
    <t>DONATION TO JOHN CEDRICK DE LEON FOR HIS HOSPITAL BILL QR: 0114220009</t>
  </si>
  <si>
    <t xml:space="preserve">Eva C. San Pedro </t>
  </si>
  <si>
    <t>DONATION TO TIMMY DESLATE FOR HER MEDICAL NEEDS QR: 0118220012</t>
  </si>
  <si>
    <t>Payment of fuel consumption for the period April 17-23, 2021</t>
  </si>
  <si>
    <t>Reimbursement of gasoline expenses of Jose C. Payumo Memorial Hospital for the period from January 1, 2022 to January 16, 2022</t>
  </si>
  <si>
    <t>Remittance of Pag-ibig II Savings of the provincial employees  January 2022</t>
  </si>
  <si>
    <t>ONEUP PETROLEUM TRADINGPayment of fuel consumption for the</t>
  </si>
  <si>
    <t>Reimbursement of Incidental Expenses and Daily Market Purchase of Bagac Community and Medicare Hospital from January 1-15, 2022</t>
  </si>
  <si>
    <t>Payment of Electric Bill of Mariveles District Hospital for the month of December 2021</t>
  </si>
  <si>
    <t xml:space="preserve">Gloria T. Garcia </t>
  </si>
  <si>
    <t>DONATION TO HERVIE GARCIA FOR HIS HOSPITAL BILL QR: 0113220001</t>
  </si>
  <si>
    <t>Payment of Electric Bill of Bataan People's Center II for the month of December 2021</t>
  </si>
  <si>
    <t>Payment of Electric Bill of 1Bataan Command Center, Orani for the month of December 2021</t>
  </si>
  <si>
    <t>Payment of Electric Bill of CCTV for the month of December 2021</t>
  </si>
  <si>
    <t>Payment of Electric Bill of PGSO Checkpoint Brgy. Tucop, Dinalupihan for the month of December 2021</t>
  </si>
  <si>
    <t>Payment of Electric Bill of 1Bataan Malasakit Dialysis Center the month of December 2021</t>
  </si>
  <si>
    <t>Payment of Electric Bill of Different Hospital for the month of December 2021</t>
  </si>
  <si>
    <t>Payment of Electric Bill of BJMP (Mega Proessing COVID-19 Facility) for the month of December 2021</t>
  </si>
  <si>
    <t>Payment of Electric Bill of PGSO Checkpoint Brgy. Roosevelt, Dinalupihan for the month of December 2021</t>
  </si>
  <si>
    <t>Payment of Electric Bill of Checkpoint Palihan and Checkpoint Balsik for the month of December 2021</t>
  </si>
  <si>
    <t>Payment of Electric Bill of Establishment of Provincial Plan (Pilar) the month of December 2021</t>
  </si>
  <si>
    <t>Operation and Maintenance Fee for the month of January 2022</t>
  </si>
  <si>
    <t>Drugs and medicines for the use of ODH</t>
  </si>
  <si>
    <t>Payment of medicines to be use for Bagac Community and Medical Hospital</t>
  </si>
  <si>
    <t>Drugs and Medicines of the use of PHO</t>
  </si>
  <si>
    <t>Payment of Office Supplies for Provincial Engineer's Office printer and copier</t>
  </si>
  <si>
    <t>Fabrication of acrylic dividers for the use of Iskolar ng Bataan Office outdoor activities</t>
  </si>
  <si>
    <t>Transmission parts for preventive maintenance of 8 units of Toyota Innova of PEO owned by the PGB</t>
  </si>
  <si>
    <t>Philcopy Corporation</t>
  </si>
  <si>
    <t xml:space="preserve">RBM Construction </t>
  </si>
  <si>
    <t>Construction of Multi-Purpose Building, Brgy. Bilolo, Orion, Bataan (20% DF)</t>
  </si>
  <si>
    <t xml:space="preserve">BQA Construction and Trading </t>
  </si>
  <si>
    <t>Labor and Materials for the Concreting of Road Brgy. New San Jose, Dinalupihan, Bataan (20% DF)</t>
  </si>
  <si>
    <t>Medical supplies for use of MDH</t>
  </si>
  <si>
    <t>Emergency Hauling of Hospital Waste Collection for different District Hospital and Command Center from March to Dec. 2021</t>
  </si>
  <si>
    <t xml:space="preserve">JEK Trading and Construction </t>
  </si>
  <si>
    <t>Labor and Materials for the Rehabilitation of Water System Brgy. Ibaba, Samal, Bataan (20% DF)</t>
  </si>
  <si>
    <t>Replenishment of Revolving Fund for payment of donations of indigents constituents in the Province of Bataan (January 28 &amp; 31, 2022)</t>
  </si>
  <si>
    <t>DONATION FOR THE HOSPITAL BILLS COVERING THE PERIOD JAN. 3-7, 2022</t>
  </si>
  <si>
    <t>DONATION FOR THE HOSPITAL BILLS COVERING THE PERIOD JAN. 6, 2022</t>
  </si>
  <si>
    <t>Payment of Electric Bill of various offices, buildings and street lights owned by PGB for the month of December 2021</t>
  </si>
  <si>
    <t>Payment of Electric Bill of J.C. Payumo Memorial Hospital for the month of December 2021</t>
  </si>
  <si>
    <t>Payment for the subscription fee on mobile unlimited call &amp; text postpaid plan (Globe to Globe) for the period of November 27- December 26, 2021 for official use of PEO</t>
  </si>
  <si>
    <t>Payment of monthly subscription plan for the period of December 22- January 21, 2022</t>
  </si>
  <si>
    <t>Payment of service rendered under the Libreng Libing Program for the period of December 5,6,7,11, and 24, 2021</t>
  </si>
  <si>
    <t>Additional remittance of philhealth contribution of provincial employees for November 2021</t>
  </si>
  <si>
    <t>Additional remittance of philhealth contribution of provincial employees for December 2021</t>
  </si>
  <si>
    <t>Additional remittance of philhealth contribution of provincial employees for June 2021</t>
  </si>
  <si>
    <t>Remittance of philhealth contribution of consultants for January 2022</t>
  </si>
  <si>
    <t>Remittance of salary loan installment of provincial employees for January 2022</t>
  </si>
  <si>
    <t>Payment for the funeral services under the Libreng libing Program for the period March 9-24, April 6-27, May 10-27, September 1-23, October 9-26, November 3-30, December 3-31, 2021</t>
  </si>
  <si>
    <t>Payment for the funeral services under the Libreng libing Program for the period April 2-30, 2021</t>
  </si>
  <si>
    <t>Reimbursement of gasoline, oil and lubricants expenses of Orani District Hospital from December 1-15, 2021</t>
  </si>
  <si>
    <t>Fund transfer</t>
  </si>
  <si>
    <t>Reimbursement of gasoline, oil and lubricants expenses of Orani District Hospital from December 16-31, 2021</t>
  </si>
  <si>
    <t>Donation to Noel Desales for his burial expenses QR: 011422013LGSF</t>
  </si>
  <si>
    <t xml:space="preserve">Lourdes G. Catanghal </t>
  </si>
  <si>
    <t>Donation to Lyndon Catanghal for his burial expenses QR: 011722001LGSF</t>
  </si>
  <si>
    <t>Donation to Edwin Bustamante for his hospital bill QR: 011822004LGSF</t>
  </si>
  <si>
    <t xml:space="preserve">Erminda S. Almazan </t>
  </si>
  <si>
    <t>Donation to Ernesto Solania for his hospital bill QR: 011822005LGSF</t>
  </si>
  <si>
    <t xml:space="preserve">Nerissa B. Martin </t>
  </si>
  <si>
    <t>Donation to John Dave Martin for his hospital bill QR: 011722002LGSF</t>
  </si>
  <si>
    <t xml:space="preserve">Teodulo Jr. C. Taguimacon </t>
  </si>
  <si>
    <t>Donation to Tyrone Kylde Taguimacon and Kristalyn Taguimacon for their hospital bills QR: 011722013LGSF</t>
  </si>
  <si>
    <t xml:space="preserve">Elenita D. Navarro </t>
  </si>
  <si>
    <t>Donation to the client for her medical needs QR: 011822002LGSF</t>
  </si>
  <si>
    <t xml:space="preserve">Estrella M. Acosta </t>
  </si>
  <si>
    <t>Donation to the client for her medical needs QR: 011822006LGSF</t>
  </si>
  <si>
    <t xml:space="preserve">Abigele L. Tapang </t>
  </si>
  <si>
    <t>Donation to Anita Tapang for her medical needs QR: 011822003LGSF</t>
  </si>
  <si>
    <t xml:space="preserve">Michelle S. Casuga </t>
  </si>
  <si>
    <t>Donation to Luisito Casuga for his medical needs QR: 011722005LGSF</t>
  </si>
  <si>
    <t xml:space="preserve">Annabel B. Frondoza </t>
  </si>
  <si>
    <t>Donation to Eugenia Flores for her medical needs QR: 011722006LGSF</t>
  </si>
  <si>
    <t xml:space="preserve">Luzviminda M. Gutierrez </t>
  </si>
  <si>
    <t>Donation to Cesar Gutierrez for his medical needs QR: 011722003LGSF</t>
  </si>
  <si>
    <t xml:space="preserve">Alicia A. Ong </t>
  </si>
  <si>
    <t>Donation to Ian Ong for his medical needs QR: 011722007LGSF</t>
  </si>
  <si>
    <t xml:space="preserve">Lilibeth D. Velasquez </t>
  </si>
  <si>
    <t>Donation to Luzviminda De Leon for her medical needs QR: 011722015LGSF</t>
  </si>
  <si>
    <t xml:space="preserve">Lani B. Flores </t>
  </si>
  <si>
    <t>Donation to the client for her medical needs QR: 011722014LGSF</t>
  </si>
  <si>
    <t xml:space="preserve">Elmer P. Angulo </t>
  </si>
  <si>
    <t>Donation to Emelita Arraro for her medical needs QR: 011722011LGSF</t>
  </si>
  <si>
    <t xml:space="preserve">Susana D. Lajara </t>
  </si>
  <si>
    <t>Donation to the client for her medical needs QR: 011722010LGSF</t>
  </si>
  <si>
    <t xml:space="preserve">Roberto R. Toledo </t>
  </si>
  <si>
    <t>Donation to Brenda Toledo for her burial expenses QR: 011922004LGSF</t>
  </si>
  <si>
    <t>Donation to Wilfredo Bantugan for his hospital bill QR: 011822032LGSF</t>
  </si>
  <si>
    <t xml:space="preserve">Wilfredo R. Cruz </t>
  </si>
  <si>
    <t>Donation to Edna Cruz for her medical needs QR: 011922005LGSF</t>
  </si>
  <si>
    <t xml:space="preserve">Celso D. Lopez </t>
  </si>
  <si>
    <t>Donation to Aurea Lopez for her medical needs QR: 012022003LGSF</t>
  </si>
  <si>
    <t xml:space="preserve">Sandy T. Diego </t>
  </si>
  <si>
    <t>Donation to Rolando Diego for his hospital bill QR: 012022011LGSF</t>
  </si>
  <si>
    <t xml:space="preserve">Elenita G. Cuevas </t>
  </si>
  <si>
    <t>Donation to Ofelia Calderon for his hospital bill QR: 012022015LGSF</t>
  </si>
  <si>
    <t xml:space="preserve">Ernie S. Hernandez </t>
  </si>
  <si>
    <t>Donation to Estela Hernandez for her hospital bill QR: 011822001LGSF</t>
  </si>
  <si>
    <t xml:space="preserve">Janine M. Raya </t>
  </si>
  <si>
    <t>Donation to Lourdes Raya for her medical needs QR: 011922003LGSF</t>
  </si>
  <si>
    <t xml:space="preserve">Mary Jane D. Samson </t>
  </si>
  <si>
    <t>Donation to the client for her medical needs QR: 011922002LGSF</t>
  </si>
  <si>
    <t>Donation to Alicia Nayanga for her burial expenses QR: 011722018LGSF</t>
  </si>
  <si>
    <t xml:space="preserve">Zenaida F. Dalugdug </t>
  </si>
  <si>
    <t>Donation to Zandro Dalugdug for his burial expenses QR: 011722008LGSF</t>
  </si>
  <si>
    <t xml:space="preserve">Mae Anne M. Cayabyab </t>
  </si>
  <si>
    <t>Donation to Mikleen Cayabyab for her hospital bill QR: 011722017LGSF</t>
  </si>
  <si>
    <t xml:space="preserve">Edmon S. Manansala </t>
  </si>
  <si>
    <t>Donation to Amanda Manansala for her hospital bill QR: 011722020LGSF</t>
  </si>
  <si>
    <t>Donation to Elsa Quintana for her hospital bill QR: 011722019LGSF</t>
  </si>
  <si>
    <t xml:space="preserve">Ralfh D. Rosario </t>
  </si>
  <si>
    <t>Donation to Jonnalyn Perez for her hospital bill QR: 011722021LGSF</t>
  </si>
  <si>
    <t xml:space="preserve">Emma D. Ariem </t>
  </si>
  <si>
    <t>Donation to Elmer Ariem for his medical needs QR: 011722016LGSF</t>
  </si>
  <si>
    <t xml:space="preserve">Ersida D. Landicho </t>
  </si>
  <si>
    <t>Donation to the client for her medical needs QR: 011722009LGSF</t>
  </si>
  <si>
    <t xml:space="preserve">Michael A. Dela Cruz </t>
  </si>
  <si>
    <t>Donation to Amie Grace Dela Cruz for her medical needs QR: 011722012LGSF</t>
  </si>
  <si>
    <t xml:space="preserve">Annaliza H. Mateo </t>
  </si>
  <si>
    <t>Donation to the client for her medical needs QR: 011422006LGSF</t>
  </si>
  <si>
    <t xml:space="preserve">Dolores M. Simeon </t>
  </si>
  <si>
    <t>Donation to Ricardo Morales for his hospital bill QR: 012022012LGSF</t>
  </si>
  <si>
    <t xml:space="preserve">Normar A. Serapion </t>
  </si>
  <si>
    <t>Donation to Kim Ye Eun for his hospital bill QR: 012022008LGSF</t>
  </si>
  <si>
    <t xml:space="preserve">Ma. Lourdes D. Lantaca </t>
  </si>
  <si>
    <t>Donation to Joseph Dizon for his medical needs QR: 011722004LGSF</t>
  </si>
  <si>
    <t xml:space="preserve">Jocelyn P. Bondoc </t>
  </si>
  <si>
    <t>DONATION TO LUCIO BONDOC JR. FOR HIS BURIAL EXPENSES QR: 0127220011</t>
  </si>
  <si>
    <t>DONATION FOR THE HOSPITAL BILL AND MEDICAL NEEDS COVERING THE PERIOD JAN. 3-7- 2022</t>
  </si>
  <si>
    <t xml:space="preserve">Airon R. Tena </t>
  </si>
  <si>
    <t>DONATION TO ROWENA TENA FOR HER BURIAL EXPENSES QR: 0127220041</t>
  </si>
  <si>
    <t>DONATION TO ENCARNACION DIZON FOR HER BURIAL EXPENSES QR: 0127220043</t>
  </si>
  <si>
    <t xml:space="preserve">Ma. Kristine P. Pineda </t>
  </si>
  <si>
    <t>DONATION TO BENJAMIN PILI FOR HIS MEDICAL NEEDS QR: 0127220042</t>
  </si>
  <si>
    <t xml:space="preserve">Mike Donald C. Santos </t>
  </si>
  <si>
    <t>DONATION TO DONATO SANTOS FOR HIS HOSPITAL BILL QR: 0127220040</t>
  </si>
  <si>
    <t xml:space="preserve">Wilfredo D. Solligue </t>
  </si>
  <si>
    <t>DONATION TO REYNALDO SOLLIGUE FOR HIS HOSPITAL BILL QR: 0127220038</t>
  </si>
  <si>
    <t xml:space="preserve">Maricris M. Bilog </t>
  </si>
  <si>
    <t>DONATION TO BENJAMIN BILOG FOR HIS HOSPITAL BILL QR: 0127220037</t>
  </si>
  <si>
    <t xml:space="preserve">Jocelyn C. Turno </t>
  </si>
  <si>
    <t>DONATION TO DANICA DENISE FARAON FOR HER HOSPITAL BILL QR: 0127220039</t>
  </si>
  <si>
    <t xml:space="preserve">Jhafil E. Cruz </t>
  </si>
  <si>
    <t>DONATION TO BETTY ESGUERRA FOR HER HOSPITAL BILL QR: 0127220033</t>
  </si>
  <si>
    <t>DONATION TO ARMANDO MAGDALERA FOR HIS HOSPITAL BILL QR: 0127220024</t>
  </si>
  <si>
    <t xml:space="preserve">Larry P. Gonzales </t>
  </si>
  <si>
    <t>DONATION TO JULITA GONZALES FOR HER HOSPITAL BILL QR: 0127220026</t>
  </si>
  <si>
    <t xml:space="preserve">Christopher S. Marcos </t>
  </si>
  <si>
    <t>DONATION TO IRENE JOY MARCOS FOR HER HOSPITAL BILL QR: 0127220017</t>
  </si>
  <si>
    <t xml:space="preserve">Eric R. Quintero </t>
  </si>
  <si>
    <t>DONATION TO CLIENT FOR HIS MEDICAL NEEDS QR: 0127220025</t>
  </si>
  <si>
    <t xml:space="preserve">Rosabena A. Carreon </t>
  </si>
  <si>
    <t>DONATION TO JOROSS CARREON FOR HIS MEDICAL NEEDS QR: 0127220018</t>
  </si>
  <si>
    <t xml:space="preserve">Rogelio Jr. T. Orosco </t>
  </si>
  <si>
    <t>DONATION TO LORNA OROSCO FOR HER HOSPITAL BILL QR: 0127220022</t>
  </si>
  <si>
    <t xml:space="preserve">Lou Angeline Buenaventura Ulanday </t>
  </si>
  <si>
    <t>Donation for competing THE UPLIVE WORLD STAGE ONLINE GLOBAL COMPETITION on December 7, 2021 to January 23, 2022</t>
  </si>
  <si>
    <t>Payment for the cremation services rendered by Orion Memorial Park as per attached documents for the period of August 5-31, September 17-30 and October 1, 2021</t>
  </si>
  <si>
    <t>Payment of internet bill for the period covering January 22, 2022 to February 17, 2022</t>
  </si>
  <si>
    <t>Payment of insurance for one (1) Unit Service Vehicle Owned by PGB</t>
  </si>
  <si>
    <t>Payment of Scholarship grant of 284 students if school year 2020-2021 of the Iskolar ng Bataan Program of the Provincial Government of Bataan</t>
  </si>
  <si>
    <t>Payment of First Salary, PERA and RATA as Secretary to the Sangguinang Panlalawigan for the period of January 3-31, 2022</t>
  </si>
  <si>
    <t xml:space="preserve">Asia Pacific Colelge of Advanced Studies, Inc. </t>
  </si>
  <si>
    <t>Payment of Scholarship grant of 186 students if school year 2020-2021 of the Iskolar ng Bataan Program of the Provincial Government of Bataan</t>
  </si>
  <si>
    <t>Remittance of integrated insurance contribution, EC, Consoloan, Emergency loan, Educational assistance loan, Regular &amp; optional policy, REL, GFAL, MPL &amp; Computer loan for January 2022</t>
  </si>
  <si>
    <t>Payment of fuel consumption for the period of January 3-9, 2022 (PGO)</t>
  </si>
  <si>
    <t>Payment of fuel consumption for the period of January 10-16, 2022</t>
  </si>
  <si>
    <t>Payment of fuel consumption for the period of January 10-16, 2022 (MBDA)</t>
  </si>
  <si>
    <t>Payment of fuel consumption for the period of January 3-9, 2022 (MBDA)</t>
  </si>
  <si>
    <t xml:space="preserve">Yale L. Apuro </t>
  </si>
  <si>
    <t>Donation for educational assistance (Thesis Writing)</t>
  </si>
  <si>
    <t xml:space="preserve">Aileen L. Lumaban </t>
  </si>
  <si>
    <t xml:space="preserve">Alma M. Sico </t>
  </si>
  <si>
    <t xml:space="preserve">Rochelle R. Palaypay </t>
  </si>
  <si>
    <t>Payment of 50% Monetized Leave for the year 2022</t>
  </si>
  <si>
    <t xml:space="preserve">Loreta S. Badrina </t>
  </si>
  <si>
    <t>DONATION TO ROMMEL BADRINA FOR HIS PROFESSIONAL FEE QR: 0128220021</t>
  </si>
  <si>
    <t xml:space="preserve">Mharjorie O. Bagaoisan </t>
  </si>
  <si>
    <t>DONATION TO MARIO BAGAOISAN FOR HIS HOSPITAL BILL QR: 0128220022</t>
  </si>
  <si>
    <t xml:space="preserve">Riza Q. Mendoza </t>
  </si>
  <si>
    <t>DONATION TO PRISCILA VILLEGAS FOR HER HOSPITAL BILL AND PROFESSIONAL FEE QR: 0128220023</t>
  </si>
  <si>
    <t xml:space="preserve">Baby Santa D. Adagio </t>
  </si>
  <si>
    <t>DONATION TO MARCEL DIONISIO FOR HIS HOSPITAL BILL QR: 0128220029</t>
  </si>
  <si>
    <t xml:space="preserve">Analiza B. Miranda </t>
  </si>
  <si>
    <t>DONATION TO CLIENT AND ZAYNE MATTHIEU MIRANDA FOR THEIR HOSPITAL BILLS QR: 0128220026</t>
  </si>
  <si>
    <t xml:space="preserve">Kathleene P. Evaristo </t>
  </si>
  <si>
    <t>DONATION TO EDITHA PALINES FOR HERHOSPITAL BILL QR: 0127220044</t>
  </si>
  <si>
    <t>DONATION FOR THE HOSPITAL BILL COVERING THE PERIOD JAN. 3-6, 2022</t>
  </si>
  <si>
    <t xml:space="preserve">Marie Michelle V. Alonzo </t>
  </si>
  <si>
    <t>DONATION TO AIDA ALONZO FOR HER HOSPITALBILL AND PROFESSIONAL FEE QR: 0128220025</t>
  </si>
  <si>
    <t xml:space="preserve">Jose M. Patdu </t>
  </si>
  <si>
    <t>DONATION TO CLIENT FOR HIS HOSPITAL BILL AND PROFESSIONAL FEE QR: 0128220024</t>
  </si>
  <si>
    <t xml:space="preserve">Zenaida A. Satimbre </t>
  </si>
  <si>
    <t>DONATION TO ARLENE ALCAZAR FOR HER HOSPITAL BILL QR: 0128220028</t>
  </si>
  <si>
    <t xml:space="preserve">Rikki Joshua M. De Leon </t>
  </si>
  <si>
    <t>DONATION TO KAY ANN FRANCISCO AND KIANA JANE DE LEON FOR THEIR HOSPITAL BILLS QR: 0127220027</t>
  </si>
  <si>
    <t xml:space="preserve">Maricel A. Marayan </t>
  </si>
  <si>
    <t>DONATION TO MARY GRACE AQUINO FOR HER HOSPITAL BILL QR: 0127220020</t>
  </si>
  <si>
    <t xml:space="preserve">Julie Anne S. Ramirez </t>
  </si>
  <si>
    <t>DONATION TO DAENIEL JOACHIM RAMIREZ FOR HIS MEDICAL NEEDS QR: 0127220019</t>
  </si>
  <si>
    <t xml:space="preserve">Leni M. Obdin </t>
  </si>
  <si>
    <t>DONATION TO CLIENT FOR HER HOSPITAL BILL AND MEDICAL NEEDS QR: 0127220030</t>
  </si>
  <si>
    <t xml:space="preserve">Alvin O. Carpio </t>
  </si>
  <si>
    <t>DONATION TO EDEN CARPIO FOR HER BURIAL EXPENSES QR: 0127220014</t>
  </si>
  <si>
    <t xml:space="preserve">Lily H. Mazo </t>
  </si>
  <si>
    <t>DONATION TO LEOPOLDO HIPOLIO FOR HIS HOSPITAL BILL QR: 0127220013</t>
  </si>
  <si>
    <t xml:space="preserve">Marilyn O. Bersamino </t>
  </si>
  <si>
    <t>DONATION TO ARTHUR TOMOMBAY FOR HIS BURIAL EXPENSES QR: 0127220012</t>
  </si>
  <si>
    <t xml:space="preserve">Arcely Q. Galang </t>
  </si>
  <si>
    <t>DONATION TO JAYSOND LEE GALANG FOR HIS PROFESSIONAL FEE QR: 0127220031</t>
  </si>
  <si>
    <t xml:space="preserve">Alfredo III C. Rodriguez </t>
  </si>
  <si>
    <t>DONATION TO NORA RODRIGUEZ FOR HER HOSPITAL BILL QR: 0127220023</t>
  </si>
  <si>
    <t xml:space="preserve">Leticia F. Sausa </t>
  </si>
  <si>
    <t>DONATION TO MARY JANE SAUSA FOR HER HOSPITAL BILL QR: 0127220010</t>
  </si>
  <si>
    <t xml:space="preserve">Beethoven G. Perez </t>
  </si>
  <si>
    <t>DONATION TO CLIENT FOR HIS HOSPITAL BILL QR: 0127220029</t>
  </si>
  <si>
    <t xml:space="preserve">Maria Alona M. Almes </t>
  </si>
  <si>
    <t>DONATION TO LAMBERTO ALMES FOR HIS MEDICAL NEEDS QR: 0128220030</t>
  </si>
  <si>
    <t>Cash advance of various obligation</t>
  </si>
  <si>
    <t>Remitance of SSS contribution of JO employees for January 2022</t>
  </si>
  <si>
    <t>Parts &amp; Labor for the 110,000 km preventive maintenance check-up of Ford Everest IO-8925 c/o BM Reynaldo T. Ibe Jr.</t>
  </si>
  <si>
    <t xml:space="preserve">Celestino M. Banzon Jr. </t>
  </si>
  <si>
    <t>Payment of his 50% of monetized leave credits</t>
  </si>
  <si>
    <t xml:space="preserve">Nick Omar C. Atuan </t>
  </si>
  <si>
    <t>DONATION TO ZAIRAH ELENOR ATUAN AND ZAIRAH ELIANA ATUAN FOR THEIR HOSPITAL BILLS QR: 0128220032</t>
  </si>
  <si>
    <t xml:space="preserve">Beatris F. Santos </t>
  </si>
  <si>
    <t>Donation to client QR: 0128220033</t>
  </si>
  <si>
    <t xml:space="preserve">Eloisa de Jesus Bautista </t>
  </si>
  <si>
    <t>Donation to client QR: 0128220034</t>
  </si>
  <si>
    <t xml:space="preserve">Kim Harold de Silva Celecio </t>
  </si>
  <si>
    <t>Donation to client QR: 0128220037</t>
  </si>
  <si>
    <t xml:space="preserve">Marben A. Medrano </t>
  </si>
  <si>
    <t>Onation to client  QR: 0128220039</t>
  </si>
  <si>
    <t xml:space="preserve">May A. Hizon </t>
  </si>
  <si>
    <t>Donation to client QR: 1028220038</t>
  </si>
  <si>
    <t xml:space="preserve">Irene A. Caragay </t>
  </si>
  <si>
    <t>Donation to client QR: 0128220040</t>
  </si>
  <si>
    <t xml:space="preserve">Erlene C. Diaz </t>
  </si>
  <si>
    <t>Donation to client QR: 0128220036</t>
  </si>
  <si>
    <t xml:space="preserve">Catherine P. Dela Cruz </t>
  </si>
  <si>
    <t>Donation to client QR: 0128220027</t>
  </si>
  <si>
    <t xml:space="preserve"> QR: 0127220015</t>
  </si>
  <si>
    <t xml:space="preserve">Virginia T. Rodriguez </t>
  </si>
  <si>
    <t>DODonation to clientNATION TO CLIENT FOR HER MEDICAL NEEDS QR: 0128220035</t>
  </si>
  <si>
    <t xml:space="preserve">Aslima A. Sangcopan </t>
  </si>
  <si>
    <t>DONATION TO MAMBARTAS AMPUAN FOR HIS HOSPITAL BILL QR: 0128220031</t>
  </si>
  <si>
    <t>Petty cash fund replenishment for Jan 26-Feb 4, 2022</t>
  </si>
  <si>
    <t>Replenishment of Revolving Fund for payment of donations of indigents constituents in the Province of Bataan (February 2-3, 2022)</t>
  </si>
  <si>
    <t>Payment of monthly subscription fee for the services of Internet of Malasakit Dinalupihan Covering Period 12/17 - 2/16/22</t>
  </si>
  <si>
    <t>Payment of telephone expenses for the period of December 22, 2021 to February 17, 2022 (PPDO)</t>
  </si>
  <si>
    <t xml:space="preserve">Joel S. Castro </t>
  </si>
  <si>
    <t>Payment of 50% scholarhip grant of 1 Teacher (Gurong Iskolar)taking his Doctoroal Education as part of of the Iskolar ng Bataan Programo of the Provincial Goverment of Bataan</t>
  </si>
  <si>
    <t xml:space="preserve">Elaine V. Cuadra </t>
  </si>
  <si>
    <t>Payment of 50% scholarhip grant of 1 Teacher (Gurong Iskolar)taking her Master Education as part of of the Iskolar ng Bataan Programo of the Provincial Goverment of Bataan</t>
  </si>
  <si>
    <t xml:space="preserve">Mart Allester C. Bautista </t>
  </si>
  <si>
    <t>Payment of 50%of scholarship grant of 1 Student (Graduate Studies Iskolar) taking his Master Education as part of the Iskolar ng Bataan Program of the Provincial Government of Bataan</t>
  </si>
  <si>
    <t xml:space="preserve">Dorothy D. Pingol </t>
  </si>
  <si>
    <t xml:space="preserve">Caryl Dorothy B. Ariola </t>
  </si>
  <si>
    <t xml:space="preserve">Mary Grace S. Tantengco </t>
  </si>
  <si>
    <t xml:space="preserve">Rechelle V. Forbes </t>
  </si>
  <si>
    <t xml:space="preserve">Mary Vi D. Dela Cruz </t>
  </si>
  <si>
    <t xml:space="preserve">Caroline M. Jimenez </t>
  </si>
  <si>
    <t xml:space="preserve">John Paul C. Solon </t>
  </si>
  <si>
    <t>Payment of 50% scholarhip grant of 1 Teacher (Gurong Iskolar)taking his Master Education as part of of the Iskolar ng Bataan Programo of the Provincial Goverment of Bataan</t>
  </si>
  <si>
    <t xml:space="preserve">Eleanor B. Feria </t>
  </si>
  <si>
    <t>Remittance of Pag-ibig contributions JO employees  for January 2022</t>
  </si>
  <si>
    <t>Remittance of Pag-ibig MPL &amp; calamity loan JO employees  January 2022</t>
  </si>
  <si>
    <t>Payment for the Funeral services rendered under the Libreng Libing Program for the period January 1,4,5,8,13,15,19,21,24,25,28, &amp; 29, 2021</t>
  </si>
  <si>
    <t>Payment for the funeral services rendered under the Libreng Libing Program for the period February 2,3,6,10,16,17,21,22,23,25,26, &amp; 27, 2021</t>
  </si>
  <si>
    <t>Payment for the funeral services under the Libreng libing Program for the period March 1-31, 2021</t>
  </si>
  <si>
    <t>Replenishment of cash advance for emergency purchase of JPMH from January 22-25, 2022</t>
  </si>
  <si>
    <t>Payment of Home Bro Ultera Plan 999 for the period January 26, 2022 to February 25, 2022</t>
  </si>
  <si>
    <t>Payment of Salary for January 3-31, 2022</t>
  </si>
  <si>
    <t>Payment of of her salary Security Officer I from January 1 to 31, 2022</t>
  </si>
  <si>
    <t>Payment of her salary as Secuirty Office III from January 1 to 31, 2022</t>
  </si>
  <si>
    <t>SALARY DIFFERENTIAL FOR JANUARY 2022</t>
  </si>
  <si>
    <t xml:space="preserve">Maria Eva M. Basalo </t>
  </si>
  <si>
    <t xml:space="preserve">Rey Christopher G. Guevarra </t>
  </si>
  <si>
    <t>Clothing Allowance for the year 2022</t>
  </si>
  <si>
    <t>DONATION TO CLIENT FOR HIS MEDICAL NEEDS QR: 0131220036</t>
  </si>
  <si>
    <t>Remittance of philhealth contribution of consultants for February 2022</t>
  </si>
  <si>
    <t xml:space="preserve">Emerita M. Ponay </t>
  </si>
  <si>
    <t>DONATION TO DIOSDADA PONAY FOR HER BURIAL EXPENSES QR: 0131220015</t>
  </si>
  <si>
    <t xml:space="preserve">Randy T. Morales </t>
  </si>
  <si>
    <t>DONATIONTO EVELYN MORALES FOR HER BURIAL EXPENSES QR: 0131220014</t>
  </si>
  <si>
    <t xml:space="preserve">Arceli de Lara Fuentes </t>
  </si>
  <si>
    <t>DONATION TO LEOCEL FUENTES FOR HER BURIAL EXPENSES QR: 0131220011</t>
  </si>
  <si>
    <t xml:space="preserve">Rizelle de Guzman Samson </t>
  </si>
  <si>
    <t>DONATION TO CLIENT FOR HER HOSPITAL BILL QR: 0131220016</t>
  </si>
  <si>
    <t xml:space="preserve">Franz Ervin S. Magat </t>
  </si>
  <si>
    <t>DONATION TO FRANCESS ELLARA MAGAT FOR HER HOSPITAL BILL AND MEDICAL NEEDS QR: 0131220012</t>
  </si>
  <si>
    <t xml:space="preserve">Margarita Q. Waje </t>
  </si>
  <si>
    <t>DONATION TO CLIENT FDOR HER MEDICAL NEEDS QR: 0131220013</t>
  </si>
  <si>
    <t>DONATION TO ZANDRO DALUGDUG FOR HIS BURIAL EXPENSES QR: 0131220005</t>
  </si>
  <si>
    <t>DONATION TO PURIFICACION RAGEL FOR HER BURIAL EXPENSES QR: 0131220018</t>
  </si>
  <si>
    <t xml:space="preserve">Remigio H. Larman </t>
  </si>
  <si>
    <t>DONATION TO WILMA TAMBALO FOR HER HOSPITAL BILL AND MEDICAL NEEDS QR: 0131220004</t>
  </si>
  <si>
    <t xml:space="preserve">Amelia D. Enriquez </t>
  </si>
  <si>
    <t>DONATION TO ANTHONY ENRIQUEZ FOR HIS HOSPITAL BILL QR: 0131220003</t>
  </si>
  <si>
    <t xml:space="preserve">Eloisa D. Ortiguerra </t>
  </si>
  <si>
    <t>DONATION TO NENITA DEL ROSARIO FOR HER HOSPITAL BILL QR: 0131220001</t>
  </si>
  <si>
    <t>DONATION FOR THE HOSPITAL BILLS COVERING THE PERIOD 10-13, 2022</t>
  </si>
  <si>
    <t xml:space="preserve">Centro Medico de Santisio Rosario Inc. </t>
  </si>
  <si>
    <t>DONATION FOR THE HOSPITAL BILLS COVERING THE PERIOD JANUARY 10-14, 2022</t>
  </si>
  <si>
    <t>DONATION FOR THE HOSPITAL BILLS COVERING THE PERIOD JANUARY 10-13,2022</t>
  </si>
  <si>
    <t>DONATION FOR THE HOSPITAL BILLS COVERING THE PERIOD JANUARY 13, 2022</t>
  </si>
  <si>
    <t>DONATION TO KIM YE EUN FOR HER HOSPITAL BILL QR: 0127220032</t>
  </si>
  <si>
    <t xml:space="preserve">Carl Michael A. Frias </t>
  </si>
  <si>
    <t>DONATION TO CARLITO FRIA FOR HIS HOSPITAL BILL QR: 0131220017</t>
  </si>
  <si>
    <t>Payment of her 50 days leave monitized credit year 2022</t>
  </si>
  <si>
    <t xml:space="preserve">Rossana Verdida </t>
  </si>
  <si>
    <t>60 days monetized leave</t>
  </si>
  <si>
    <t>Replenishment of Revolving Fund for payment of donations of indigents constituents in the Province of Bataan (February 4, 2022)</t>
  </si>
  <si>
    <t xml:space="preserve">Joseph Longboan </t>
  </si>
  <si>
    <t>Allowance for the month of January 2022</t>
  </si>
  <si>
    <t xml:space="preserve">Annabel Claravall </t>
  </si>
  <si>
    <t>Payment of her allowance for the month of January 2022</t>
  </si>
  <si>
    <t>Payment of service rendered for the month of January 2022</t>
  </si>
  <si>
    <t xml:space="preserve">Karla Alba </t>
  </si>
  <si>
    <t>Alfonso-Payment of service rendered for the month of January 2022</t>
  </si>
  <si>
    <t xml:space="preserve">Romielya Salazar </t>
  </si>
  <si>
    <t>Payment of Allowance for the month of January 2022</t>
  </si>
  <si>
    <t xml:space="preserve">Amelita Cruz </t>
  </si>
  <si>
    <t xml:space="preserve">Edralin Medina </t>
  </si>
  <si>
    <t xml:space="preserve">James Michael Esteban </t>
  </si>
  <si>
    <t xml:space="preserve">Joel Magtuloy </t>
  </si>
  <si>
    <t xml:space="preserve">Ma. Paulette de Leon </t>
  </si>
  <si>
    <t xml:space="preserve">Jay-Ar Magpayo </t>
  </si>
  <si>
    <t>Ar M. Magpayo- Payment of Allowance for the month of January 2022</t>
  </si>
  <si>
    <t xml:space="preserve">Carlito Amistoso </t>
  </si>
  <si>
    <t xml:space="preserve">Microhms Electronics Trading &amp; Services </t>
  </si>
  <si>
    <t>Reimbursement of his expenses incurred in the payment of Lysol Disinfectant to be used in Special Assistance Program (SAP) and 1Bataan Malasakit Dialysis Assistance (1BMDA) last January 6, 2022</t>
  </si>
  <si>
    <t>Monthly subscription fee on ASDN Pri Service for the 911 hotline/ 876484499 for the month December 27, 2021 to January 26, 2022</t>
  </si>
  <si>
    <t xml:space="preserve">Barangay Treasurer - San Carlos, Mariveles </t>
  </si>
  <si>
    <t>SAN CARLOS MARIVELES BATAAN - Subsidy to Barangay San Carlos Mariveles Bataan for 1Bataan San Carlos CoVax Center</t>
  </si>
  <si>
    <t>Payment of Fidelity Bond Premium of bonded personnel in PTO</t>
  </si>
  <si>
    <t>To Payment of for thirty (30) pcs. commercial checkbooks</t>
  </si>
  <si>
    <t xml:space="preserve">Proworx Car Care &amp; Collision CTR Vehicle Repair Service </t>
  </si>
  <si>
    <t>Payment of participation fee for the repair of service vehicle 2020 Toyota Hilux with Conduction Sticker No. P7X087</t>
  </si>
  <si>
    <t>Reimbursement of the amount paid for fuel consumption of government vehicle Ford Everest IP 0816 for the month of January 2022</t>
  </si>
  <si>
    <t>Parts &amp; Labor for the 110,000 km preventive maintenance check-up of Ford Everest IP-0770 c/o BM Maria Khristine G. Dela Fuente</t>
  </si>
  <si>
    <t xml:space="preserve">Bethsaida Ongoco </t>
  </si>
  <si>
    <t>Payment of her RIC Allowance for the month of January 2022</t>
  </si>
  <si>
    <t xml:space="preserve">Keesha Camille del Rosario </t>
  </si>
  <si>
    <t xml:space="preserve">Marlene Guinto </t>
  </si>
  <si>
    <t xml:space="preserve">Catalina Sumandal </t>
  </si>
  <si>
    <t xml:space="preserve">Jeanalyn Bantugan </t>
  </si>
  <si>
    <t>Replenishment of Emergency Purchases of NBB Patients of Jose C. Payumo Jr. Memorial Hospital for the period from February 1, 2022 to February 3, 2022</t>
  </si>
  <si>
    <t>Replenishment of cash advance for emergency purchases of Jose C. Payumo Memorial Hospital from January 25, 2022 to January 28, 2022</t>
  </si>
  <si>
    <t>Payment of allowance in Regional Trial Court for the month of January 2022</t>
  </si>
  <si>
    <t xml:space="preserve">Rofel Princess Espino </t>
  </si>
  <si>
    <t xml:space="preserve">Edgar Latauan </t>
  </si>
  <si>
    <t>Payment of Provincial Allowance for the month of January 2022</t>
  </si>
  <si>
    <t xml:space="preserve">Gay Gonzaga </t>
  </si>
  <si>
    <t xml:space="preserve">Nestly Querubin </t>
  </si>
  <si>
    <t xml:space="preserve">Sheena Esteban Bartolome </t>
  </si>
  <si>
    <t>Bartolome- Payment of Provincial Allowance for the month of January 2022</t>
  </si>
  <si>
    <t xml:space="preserve">Wilhelmina Diwa </t>
  </si>
  <si>
    <t xml:space="preserve">James Bendaen </t>
  </si>
  <si>
    <t xml:space="preserve">April Jacob Castro </t>
  </si>
  <si>
    <t xml:space="preserve">Romeo Bonifacio Jr. </t>
  </si>
  <si>
    <t xml:space="preserve">Abigael Chavez </t>
  </si>
  <si>
    <t xml:space="preserve">Eden Bautista </t>
  </si>
  <si>
    <t>Replenishment of Revolving Fund for payment of donations of indigents constitutents in the Province of Bataan (February 7-8, 2022)</t>
  </si>
  <si>
    <t>Payment of monthly internet subscription plan for the period of January 17, 2022 - February 16, 2022 for NBI - Mariveles Satellite office in FAB Building, Mariveles, Bataan as part of the tripartite MOA among (PGB) Provincial Government of Bataan, (NBI) National Bureau of Investigation, (FAB) Freeport Area of Bataan</t>
  </si>
  <si>
    <t>Fuel on different service vehicle used by PIO Nov 1-28, 2021</t>
  </si>
  <si>
    <t>To reimburse her expenses incurred in the purchase of Hosting and Domain for Document Tracking System for the year 2022</t>
  </si>
  <si>
    <t xml:space="preserve">Ronald T. Silva </t>
  </si>
  <si>
    <t xml:space="preserve">Abbeygail D. Capuli </t>
  </si>
  <si>
    <t>Payment of fuel consumption for the period of January 17-23, 2022 (MBDA)</t>
  </si>
  <si>
    <t xml:space="preserve">Provincial Government of Bataan - General Fund (DBP Account No. 0-05375-515-2) </t>
  </si>
  <si>
    <t>To transfer to DBP account the amount paid for the unutilized amount as per DBM Circular Letter No 2021-13 of fund received by the Province of Bataan from Department of Budget &amp; Management for Bayanihan Grant to province which were inadvertently paid &amp; accounted to DBP</t>
  </si>
  <si>
    <t xml:space="preserve">June Ann E. Omega </t>
  </si>
  <si>
    <t>DONATION TO HOPE IAN OMEGA FOR HER BURIAL EXPENSES QR: 0131220038</t>
  </si>
  <si>
    <t xml:space="preserve">Job C. Malit </t>
  </si>
  <si>
    <t>DONATION TO LEDESMA MALIT FOR HER HOSPITAL BILL QR: 0131220019</t>
  </si>
  <si>
    <t xml:space="preserve">Erlinda P. Gonzales </t>
  </si>
  <si>
    <t>DONATION TO ABEGAIL GONZALES AND TIMOTHY BRYLLE DELA CRUZ FOR THEIR HOSPITAL BILLS AND PROFESSIONAL FEE QR: 0131220031</t>
  </si>
  <si>
    <t xml:space="preserve">Marlon M. Delos Reyes </t>
  </si>
  <si>
    <t>DONATION TO HANNAH MARLEI DELS REYES FOR THEIR HOSPITAL BILLS QR: 0131220039</t>
  </si>
  <si>
    <t xml:space="preserve">Jerwin De Guzman Guiang </t>
  </si>
  <si>
    <t>DONATION TO PRECIOUS MAY GUIANG AN PRIYA JERMAINE GUIANG FOR THEIR HOSPITAL BILLS QR: 0131220008</t>
  </si>
  <si>
    <t xml:space="preserve">Jerome A. Tuazon </t>
  </si>
  <si>
    <t>DONATION TO KAREN TUAZON AND JOAQUIM KRISTOFF TUAZON FOR THEIR HOSPITAL BILLS QR: 0131220040</t>
  </si>
  <si>
    <t>DONATION TO CAMILLE CLORENA FOR HER HOSPITAL BILL QR: 0131220037</t>
  </si>
  <si>
    <t xml:space="preserve">Ma. Teresa P. Lingad </t>
  </si>
  <si>
    <t>DONATION TO MITZI JOYCE LINGAD FOR HER HOSPITAL BILL QR: 0131220048</t>
  </si>
  <si>
    <t xml:space="preserve">Ednalin G. Ricamara </t>
  </si>
  <si>
    <t>DONATION TO ERNESTO GERVACIO FOR HIS HOSPITAL BILL AND MEDICAL NEEDS QR: 0131220042</t>
  </si>
  <si>
    <t xml:space="preserve">Aileen Joy S. Regencia </t>
  </si>
  <si>
    <t>DONATION TO RAZZY LEVIN REGENCIA FOR HIS MEDICAL NEEDS QR: 0131220041</t>
  </si>
  <si>
    <t xml:space="preserve">Danica Grace Bohol </t>
  </si>
  <si>
    <t>Payment for their first salary for the period of January 03-31, 2022</t>
  </si>
  <si>
    <t xml:space="preserve">Rowena R. Castro </t>
  </si>
  <si>
    <t xml:space="preserve">Eunice G. Bueno </t>
  </si>
  <si>
    <t xml:space="preserve">Reuben S. Tordera </t>
  </si>
  <si>
    <t>Laboratory Reagents for the use of ODH</t>
  </si>
  <si>
    <t xml:space="preserve">Francis M. Mandocdoc </t>
  </si>
  <si>
    <t xml:space="preserve">Prosecutor Ramoncito Bienvenida T. Ocampo, Jr. </t>
  </si>
  <si>
    <t>Guiua-Payment of allowance for the month of January 2022</t>
  </si>
  <si>
    <t>Payment for Allowance for the period of January 2022</t>
  </si>
  <si>
    <t>LABANG - Payment for Allowance for the period of January 2022</t>
  </si>
  <si>
    <t>Payment of fuel consumption for the period of October 04-10,2021 (BJMP)</t>
  </si>
  <si>
    <t xml:space="preserve">TR33 Enterprise </t>
  </si>
  <si>
    <t>1% retention for fruit bearing tree seedlings</t>
  </si>
  <si>
    <t>1% retention of pritning of printed forms for use of PGB</t>
  </si>
  <si>
    <t xml:space="preserve">Rodel Patrick B. Bairan </t>
  </si>
  <si>
    <t>DONATION TO ABNER CHUACO FOR HIS BURIAL EXPENSES QR: 0127220016</t>
  </si>
  <si>
    <t>Payment of meals incurred during Courtesy Visit of Senator Joel Villanueva and Year End Assessment and Planning of PGB</t>
  </si>
  <si>
    <t>Payment of Meals incurred during Command Conference for the Insurgency Planning of the Province of Bataan for the Coastal Lines Facing Arest Phil. Sea.</t>
  </si>
  <si>
    <t>Payment of meals incurred during Courtesy Call with AR HB Mayuga</t>
  </si>
  <si>
    <t xml:space="preserve">Berzan Enterprises </t>
  </si>
  <si>
    <t>Repair and Maintenance of Laboratory equipment for the use of ODH</t>
  </si>
  <si>
    <t>Reimbursement of market purchase of JPMH for the period of January 25 - 31, 2022</t>
  </si>
  <si>
    <t>Replenishment of cash advance to defray payment of Daily Market Purchase from January 25-31, 2022</t>
  </si>
  <si>
    <t>Payment of Telephone Bill for the period of December 22, 2021 to January 20, 2022 (JPMH)</t>
  </si>
  <si>
    <t>Replenishment of Emergency Purchases of NBB patients of JPMH for the period from January 25 - 31, 2022</t>
  </si>
  <si>
    <t>Reimbursement of his expenses to Medical Assistance for Tokens dated December 27, 2021</t>
  </si>
  <si>
    <t>Payment of Internet Landline of JPMH for the period of January 22, 2022 to February 20, 2022</t>
  </si>
  <si>
    <t>Payment of Water Bill of JPMH for the month of January, 2022</t>
  </si>
  <si>
    <t>Payment of telephone bill for the period of January 22, 2022 February 21, 2022 (ODH)</t>
  </si>
  <si>
    <t>Payment of fuel consumption for the period of Sept 27-Oct 29, 2021</t>
  </si>
  <si>
    <t>Payment of drugs and medicines for the use of ODH</t>
  </si>
  <si>
    <t>Payment of PLDT Fiber Telephone Bills in the office of the SP for the month of January 2022</t>
  </si>
  <si>
    <t>Reimbursement of his expenses to Medical Assistance for Tokens dated January 3, 2022</t>
  </si>
  <si>
    <t xml:space="preserve">Dennis B. Duran </t>
  </si>
  <si>
    <t>Donation for their operational expenses re: Project Usig operations againts illegal drugs for the month of November and December 2021</t>
  </si>
  <si>
    <t xml:space="preserve">Galahad D. Taqueban </t>
  </si>
  <si>
    <t>Donation for their operational expenses re: Project Usig operations againts illegal drugs for the month of October, 2021</t>
  </si>
  <si>
    <t xml:space="preserve">Joel K. Tampis </t>
  </si>
  <si>
    <t>Donation for their operational expenses re: Project Usig operations againts illegal drugs for the month of November and December, 2021</t>
  </si>
  <si>
    <t xml:space="preserve">Larry C. Valencia </t>
  </si>
  <si>
    <t xml:space="preserve">Michelle Agnetha B. Gaviola </t>
  </si>
  <si>
    <t xml:space="preserve">Orlando L. Castil Jr. </t>
  </si>
  <si>
    <t xml:space="preserve">Phoe G. Pangan Jr. </t>
  </si>
  <si>
    <t xml:space="preserve">Joey V. Sampaga </t>
  </si>
  <si>
    <t xml:space="preserve">Emerson L. Coballes </t>
  </si>
  <si>
    <t>Donation for their operational expenses re: Project Usig operations againts illegal drugs for the month of November, 2021</t>
  </si>
  <si>
    <t xml:space="preserve">Dennis Ian B. Revillas </t>
  </si>
  <si>
    <t>Donation for their operational expenses re: Project Usig operations againts illegal drugs for the month of December, 2021</t>
  </si>
  <si>
    <t xml:space="preserve">Melandio DG. Santiago </t>
  </si>
  <si>
    <t xml:space="preserve">Emelito M. Dela Cruz </t>
  </si>
  <si>
    <t>Reimbursement of his expenses incurred in the payment of various expenses for Medical Assistance dated December 27 and 29, 2021</t>
  </si>
  <si>
    <t>Payment of meals and snacks incurred for Vaccination Team- Vista Mall Bataan</t>
  </si>
  <si>
    <t xml:space="preserve">Agnes N. Sciessere </t>
  </si>
  <si>
    <t>DONATION TO ERNESTO NAVARRO FOR HIS HOSPITAL BILL QR: 0131220045</t>
  </si>
  <si>
    <t xml:space="preserve">Norma P. Fernandez </t>
  </si>
  <si>
    <t>DONATION TO DOLORES DELA CRUZ FOR HER HOSPITAL BILL QR: 0131220047</t>
  </si>
  <si>
    <t xml:space="preserve">Jonaver E. Santiago </t>
  </si>
  <si>
    <t>DONATION TO JEFFREY ESTRELLA FOR HIS HOSPITAL BILL QR: 0131220034</t>
  </si>
  <si>
    <t xml:space="preserve">Aurora B. Mangubat </t>
  </si>
  <si>
    <t>DONATION TO ALFREDO BALMACEDA FOR HIS HOSPITAL BILL QR: 0131220033</t>
  </si>
  <si>
    <t xml:space="preserve">Lyra P. Halili </t>
  </si>
  <si>
    <t>DONATION TO EZEKIEL ACHILLES WANIA FOR HIS HOSPITAL BILL QR: 0131220032</t>
  </si>
  <si>
    <t xml:space="preserve">Kathlyn S. Dela Cruz </t>
  </si>
  <si>
    <t>DONATION TO CLIENT FOR ATALIA DELA CRUZ AND AKI DELA CRUZ FOR THEIR HOSPITAL BILLS QR: 0131220010</t>
  </si>
  <si>
    <t>DONATION TO BERNARDITO DELA CRUZ FOR HIS MEDICAL NEEDS QR: 0131220043</t>
  </si>
  <si>
    <t xml:space="preserve">Brian M. Labog </t>
  </si>
  <si>
    <t>DONATION TO CLIENT AND CELESTINE BRIANNA LABOG FOR THEIR HOSPITAL BILL QR: 0131220035</t>
  </si>
  <si>
    <t>Cash advance for overtime pay for January 2022</t>
  </si>
  <si>
    <t xml:space="preserve">Sharon L. Cruz </t>
  </si>
  <si>
    <t>DONATION TO LIBRADA LINTAG FOR HER HOSPITAL BILL QR: 0131220025</t>
  </si>
  <si>
    <t>DONATION TO CHARLES DENVER DIONES FOR HIS MEDICAL NEEDS QR: 0131220006</t>
  </si>
  <si>
    <t xml:space="preserve">Nestlyn T. Arriola </t>
  </si>
  <si>
    <t>DONATION TO GEOBREY ARRIOLA FOR HIS MEDICAL NEEDS QR: 0131220022</t>
  </si>
  <si>
    <t xml:space="preserve">Marielle M. Paculanan </t>
  </si>
  <si>
    <t>DONATION TO MELODY LEAL FOR HER MEDICAL NEEDS QR: 0131220024</t>
  </si>
  <si>
    <t xml:space="preserve">Kristeen Maye P. Robles </t>
  </si>
  <si>
    <t>DONATION TO JESSIE ROBLES FOR HIS BURIAL EXPENSES QR: 0202220016</t>
  </si>
  <si>
    <t xml:space="preserve">Alicia P. Ludovico </t>
  </si>
  <si>
    <t>DONATION TO WILFREDO LUDOVICO FOR HIS BURIAL EXPENSES QR: 0202220007</t>
  </si>
  <si>
    <t xml:space="preserve">Marilyn C. Emperador </t>
  </si>
  <si>
    <t>DONATION TO ROMEO EMPERADOR FOR HIS BURIAL EXPENSES QR: 0202220004</t>
  </si>
  <si>
    <t xml:space="preserve">Charisma P. Garcia </t>
  </si>
  <si>
    <t>DONATION TO RODANTE TUNGOL FOR HIS HOSPITAL BILLS AND MEDICAL NEEDS QR: 020220015</t>
  </si>
  <si>
    <t xml:space="preserve">Reiner C. Manalansan </t>
  </si>
  <si>
    <t>DONATION TO CLARIBEL MANALANSAN AND CLYDE GAVIN MANALANSAN FOR THEIR HOSPITAL BILLS AND PROFESSIONAL FEE QR: 020220012</t>
  </si>
  <si>
    <t xml:space="preserve">Angelito H. Sazon </t>
  </si>
  <si>
    <t>DONATION TO ADORACIO SAZON FOR HER HOSPITAL BILL QR: 0202220003</t>
  </si>
  <si>
    <t xml:space="preserve">Danilo C. Cabangal </t>
  </si>
  <si>
    <t>DONATION TO MARIA CABANGAL FOR HER HOSPITA L BILL QR: 02022220011</t>
  </si>
  <si>
    <t xml:space="preserve">Rommel C. Quicho </t>
  </si>
  <si>
    <t>DONATION TO LEIMEL YUSUF FOR HIS HOSPITAL BILL QR: 0202220001</t>
  </si>
  <si>
    <t>DONATION TO ARNEL LAYUG FOR HIS MEDICAL NEEDS QR: 0202220005</t>
  </si>
  <si>
    <t xml:space="preserve">Rosen E. Layug </t>
  </si>
  <si>
    <t>DONATION TO ZENAIDA ESQUETA FOR HER MEDICAL NEEDS QR: 022220006</t>
  </si>
  <si>
    <t xml:space="preserve">Elenita A. Quezon </t>
  </si>
  <si>
    <t>DONATION TO CLIENT FOR HER MEDICAL NEEDS QR: 0202220013</t>
  </si>
  <si>
    <t xml:space="preserve">Gemma P. Casubuan </t>
  </si>
  <si>
    <t>DONATION TO ARJEL CASUBUAN FOR HIS MEDICAL NEEDS QR: 0131220026</t>
  </si>
  <si>
    <t xml:space="preserve">Annie B. Demetion </t>
  </si>
  <si>
    <t>DONATION TO AILEEN DEMETION FOR HER HOSPITAL BILL AND MEDICAL NEEDS QR: 0203220023</t>
  </si>
  <si>
    <t xml:space="preserve">Ediwn A. Mendoza </t>
  </si>
  <si>
    <t>DONATION TO EDUARDO MENDOZA II FOR HIS HOSPITAL BILL QR: 0131220021</t>
  </si>
  <si>
    <t>To Reimburse his expenses incurred in the payment of meals and snacks during various meetings</t>
  </si>
  <si>
    <t xml:space="preserve">League of Vice Governors of the Philippines </t>
  </si>
  <si>
    <t>Payment of LVGO 2022 Annual Dues of Ma. Cristina M. Garcia, Provincial Vice Governor of Bataan</t>
  </si>
  <si>
    <t>Payment of honorarium of Municipal Treasurers for the month of January 2022</t>
  </si>
  <si>
    <t>Payment of her maternity leave benefits from January 1, 2022 to February 27, 2022 as Nurse II in the Provincial Health Office</t>
  </si>
  <si>
    <t>Reimbursement of his expenses incurred in the payment of car maintenance check up and car aircon repair and overhaul cleaning of service vehicle Grand Starex with Plate No. KO-P403</t>
  </si>
  <si>
    <t>Reimbursement of his expenses incurred in the payment of car maintenance check up of service vehicle Toyota Fortuner with Plate No. SI-S834</t>
  </si>
  <si>
    <t xml:space="preserve">Meral Enterprises </t>
  </si>
  <si>
    <t>Animal/Zoological Supplies to be used in various Livestock Program</t>
  </si>
  <si>
    <t>DONATION TO MELE DE VERA FOR HER BURIAL EXPENSES</t>
  </si>
  <si>
    <t>Cash Advance to defray expenses of National Arts Month 2022 celebration from February 17 to March 4, 2022</t>
  </si>
  <si>
    <t>Payment of allowance for the month January 2022</t>
  </si>
  <si>
    <t>Reimbursement of his expenses incurred in the payment of car maintenance check up/full body washiver painting (2) Tone vanof service vehicle Grand Starex with Plate No. KO-P403</t>
  </si>
  <si>
    <t>Reimburse his expenses in the payment of Marine Products for Medical Partners of the Provincial Government of Bataan for Medical Assistance Program (2nd Batch)</t>
  </si>
  <si>
    <t>Payment of Electrical Consumption for December 21, 2021</t>
  </si>
  <si>
    <t xml:space="preserve">Golden Design Enterprises </t>
  </si>
  <si>
    <t>Final payment for supply, fabrication &amp; installationof embellishment for Capitol Area, The bunker building &amp; 1Bataan Command Center</t>
  </si>
  <si>
    <t>Payment of allowance in the Regional Trial Court of Bataan- Branch 3 for the month of January 2022</t>
  </si>
  <si>
    <t>Reimbursement of his expenses incurred in the payment of various expenses for Medical Assistance dated January 7 and 9, 202</t>
  </si>
  <si>
    <t xml:space="preserve">Alberto Roque </t>
  </si>
  <si>
    <t>DONATION TO ARIEL MARK ROQUE FOR HIS HOSPITAL BILL QR: 0203220022</t>
  </si>
  <si>
    <t xml:space="preserve">Ricca Aiza Dela Cruz </t>
  </si>
  <si>
    <t>DONATION TO ROB ALEXIS DELA CRUZ FOR HIS PROFESSIONAL FEE QR: 0127220021</t>
  </si>
  <si>
    <t xml:space="preserve">Maria Fe Nudo </t>
  </si>
  <si>
    <t>DONATION TO REYNALDO RIVERA FOR HIS MEDICAL NEEDS QR: 0203220025</t>
  </si>
  <si>
    <t xml:space="preserve">Noberto Palaypay </t>
  </si>
  <si>
    <t>DONATION TO JOSEFINA PALAYPAY FOR HER HOSPITAL BILL AND MEDICAL NEEDS QR: 0203220008</t>
  </si>
  <si>
    <t xml:space="preserve">Dennis Carlos </t>
  </si>
  <si>
    <t>DONATION TO DELFIN CARLOS FOR HIS HOSPITAL BILL QR: 0202220026</t>
  </si>
  <si>
    <t xml:space="preserve">Ricky Carandang </t>
  </si>
  <si>
    <t>DONATION TO NILDA CARANDANG FOR HER HOSPITAL BILL QR: 0203220002</t>
  </si>
  <si>
    <t xml:space="preserve">Marissa Roque </t>
  </si>
  <si>
    <t>DONATION TO MAE RAQUEL ROQUE AND AVERY SHANELLE CASTRO FOR THEIR HOSPITAL BILLS QR: 0203220010</t>
  </si>
  <si>
    <t xml:space="preserve">Freddie Abe </t>
  </si>
  <si>
    <t>DONATION TO CLIENT FOR HIS MEDICAL NEEDS QR: 0203220019</t>
  </si>
  <si>
    <t xml:space="preserve">Aaron Joseph G. Cruz </t>
  </si>
  <si>
    <t>DONATION TO CONEY ROSE SANTOS AND AEVRIEL CSEAH CRUZ FOR THEIR HOSPITAL BILL QR: 0203220026</t>
  </si>
  <si>
    <t xml:space="preserve">Charissa Ann Jimena </t>
  </si>
  <si>
    <t>DONATION TO LILY NAVARRO FOR HER MEDICAL NEEDS QR: 0203220011</t>
  </si>
  <si>
    <t xml:space="preserve">Cristine Jhoy Jaraba </t>
  </si>
  <si>
    <t>DONATION TO MYLENE BARENG FOR HER MEDICAL NEEDS QR: 0203220004</t>
  </si>
  <si>
    <t xml:space="preserve">Jasmine Saliente </t>
  </si>
  <si>
    <t>DONATION TO SALIENTE FOR HER HOSPITAL BILL QR: 0203220024</t>
  </si>
  <si>
    <t xml:space="preserve">Michelle Nayanga </t>
  </si>
  <si>
    <t>DONATION TO ALICIA NAYANGA FOR HER BURIAL EXPENSES QR: 0203220005</t>
  </si>
  <si>
    <t xml:space="preserve">Marc Alvin C. Lingad </t>
  </si>
  <si>
    <t>DONATION TO EDWARDO JR. LINGAD FOR HIS BURIAL ASSISTANCE QR: 0203220021</t>
  </si>
  <si>
    <t xml:space="preserve">Josephine S. Puno </t>
  </si>
  <si>
    <t>DONATION TO BENITA SAMANIEGO FOR HER MEDICAL NEEDS QR: 0203220020</t>
  </si>
  <si>
    <t xml:space="preserve">Else S. Datu </t>
  </si>
  <si>
    <t>DONATION TO KIMBERLYN QUIAMBAO FOR HER MEDICAL NEEDS QR: 0202220008</t>
  </si>
  <si>
    <t xml:space="preserve">Perla R. Halili </t>
  </si>
  <si>
    <t>DONATION TO LUCILA REYES FOR HER MEDICAL NEEDS QR: 0203220007</t>
  </si>
  <si>
    <t>DONATION FOR THE HOSPITAL BILLS COVERING THE PERIOD JANUARY 17-21, 2022</t>
  </si>
  <si>
    <t>DONATION FOR THE HOSPITAL BILL AND COVERING THE PERIOD JANUARY 17, 2022</t>
  </si>
  <si>
    <t>DONATION FOR THE HOSPITAL BILL COVERING THE PERIOD JAN. 21, 2022</t>
  </si>
  <si>
    <t xml:space="preserve">Rommel C. Quimlat </t>
  </si>
  <si>
    <t>DONATION TO ROLANDO QUINLAT FOR HIS BURIAL EXPENSES QR: 0131220020</t>
  </si>
  <si>
    <t xml:space="preserve">John Zabala </t>
  </si>
  <si>
    <t>DONATION TO JOSE RAZON JR. FOR HIS HOSPITAL BILL AND MEDICAL NEEDS QR: 0131220028</t>
  </si>
  <si>
    <t xml:space="preserve">Jack Jacob </t>
  </si>
  <si>
    <t>DONATION TO JARAINE NICOLE JACOB FOR HIS HOSPITAL BILL QR: 0203220012</t>
  </si>
  <si>
    <t xml:space="preserve">Encarnacion Juan </t>
  </si>
  <si>
    <t>DONATION TO CLIENT FOR HER MEDICAL NEEDS QR: 0202220010</t>
  </si>
  <si>
    <t>Labor and Materials for the Imporvement of Canal Brgy. St. Francis II, Limay, Bataan</t>
  </si>
  <si>
    <t xml:space="preserve">LKY Reosrt and Hotels Inc. </t>
  </si>
  <si>
    <t>PAYMENT OF MEALS DURING GROUND BREAKING CEREMONY FOR THE MARIVELES SHOWROOM OF FABTOWNSHIP LAST DECEMBER 14,2021</t>
  </si>
  <si>
    <t xml:space="preserve">JIC Builders </t>
  </si>
  <si>
    <t>1% retention for payment of 100 KVA transformer for use of ODH</t>
  </si>
  <si>
    <t xml:space="preserve">QGM Plant Nursery and Garden </t>
  </si>
  <si>
    <t>1% retention fotr different procurements of the PGB</t>
  </si>
  <si>
    <t>1% retention for supplies to be used for operation &amp; management of drop in center</t>
  </si>
  <si>
    <t>1% retention for materials for the repair &amp; maintenance of electrical system of the negative pressure tents of MDH</t>
  </si>
  <si>
    <t>Reimbursement of the amount paid for fuel consumption of the government vehicle Ford Everest IP 0770for the month of January 2022</t>
  </si>
  <si>
    <t>Reimbursement of the amount paid for the fuel consumption of the government vehicle Hi-Lux VU2619 for the month of January 2022</t>
  </si>
  <si>
    <t>Payment for the internet subscription with account number 13544 for the period of February 1-28, 2022</t>
  </si>
  <si>
    <t>Payment for the funeral services under the Libreng Libing Program for the period December 6 - 30, 2021, January 1-2, 2022</t>
  </si>
  <si>
    <t>Payment for the funeral services under the Libreng Libing Program for the period January 3-25, 2022</t>
  </si>
  <si>
    <t>Replenishment of cash advance to defray for emergency purchases of Jose C. Payumo Memorial Jr. Hospital from January 29, 2022to January 31, 2022</t>
  </si>
  <si>
    <t>Meals for Meetings of Vice Governor ot Bataan Press on January 28, 2022</t>
  </si>
  <si>
    <t xml:space="preserve">Maricris G. Añonuevo </t>
  </si>
  <si>
    <t>DONATION TO RICARDO GATDULA FOR HIS HOSPITAL BILL AND MEDICAL NEEDS QR: 0131220027</t>
  </si>
  <si>
    <t xml:space="preserve">Ronualdo L. Morales </t>
  </si>
  <si>
    <t>DONATION TO ARSENIO MORALES FOR HIS BURIAL EXPENSES QR: 0204220018</t>
  </si>
  <si>
    <t xml:space="preserve">Michelle R. Mendoza </t>
  </si>
  <si>
    <t>DONATION TO VIRGINIA MALABANAN FOR HER HOSPITAL BILL QR: 0204220016</t>
  </si>
  <si>
    <t xml:space="preserve">Evangeline R. Brown </t>
  </si>
  <si>
    <t>DONATION TO MARILOU RUBIANO FOR HER HOSPITAL BILL QR: 0204220008</t>
  </si>
  <si>
    <t xml:space="preserve">Jonalyn B. Figueroa </t>
  </si>
  <si>
    <t>DONATION TO JAIME BAUTISTA FOR HIS HOSPITAL BILL QR: 0204220005</t>
  </si>
  <si>
    <t xml:space="preserve">Lampel Q. Poblete </t>
  </si>
  <si>
    <t>DONATION TO GEREMY GATDULA FOR HIS HOSPITAL BILL AND MEDICAL NEEDS QR: 0204220002</t>
  </si>
  <si>
    <t xml:space="preserve">Jocelyn C. Nefulda </t>
  </si>
  <si>
    <t>DONATION TO EMMA CAPILI FOR HER HOSPITAL BILL QR: 0204220020</t>
  </si>
  <si>
    <t xml:space="preserve">Cathyrine C. Macam </t>
  </si>
  <si>
    <t>DONATION TO MANUEL CALAYO FOR HIS HOSPITAL BILL QR: 0204220006</t>
  </si>
  <si>
    <t xml:space="preserve">Mary P. Bugay </t>
  </si>
  <si>
    <t>DONATION TO KURT JEFFERSON BUGAY FOR HIS MEDICAL NEEDS QR: 0204220019</t>
  </si>
  <si>
    <t xml:space="preserve">Romeo A. Canlapan </t>
  </si>
  <si>
    <t>DONATION TO MARLEN CANLAPAN FOR HER MEDICAL NEEDS QR: 0207220011</t>
  </si>
  <si>
    <t xml:space="preserve">Von Jole C. Villapando </t>
  </si>
  <si>
    <t>DONATION TO CLIENT FOR HIS MEDICAL NEEDS QR: 0204220017</t>
  </si>
  <si>
    <t xml:space="preserve">Merlita C. Ibabao </t>
  </si>
  <si>
    <t>DONATION TO GILBERT PAUL IBABAO FOR HIS MEDICAL NEEDS QR: 0204220009</t>
  </si>
  <si>
    <t>Reimbursement of the amount paid for the fuel consumption of the government vehicle Ford Everest IO 4973 for the month of January 2022</t>
  </si>
  <si>
    <t>Reimbursement of the amount paid for the fuel consumption of the government vehicle Ford Everest IP 1451 for the month of January 2022</t>
  </si>
  <si>
    <t>Ines-Payment of allowance for the month of January 2022</t>
  </si>
  <si>
    <t>Reimbursement of his expenses to medical assistance for tokens dated January 26, 2022</t>
  </si>
  <si>
    <t>Payment of Tarpaulin, Sticker on Sintra, Placardsm Welcome Tarp, and Billboards to be used for various Covid 19 Vaccination Sites, Christmas Greetings and Welcome Tarp dated November 17, 19, December 1,8, and 10, 2021</t>
  </si>
  <si>
    <t>Reimbursement of his expenses incurred in the payment of various token for various visitors of Gov. Abet dated December 10,20,29, and 30, 2021</t>
  </si>
  <si>
    <t xml:space="preserve">Gerald P. Gamboa </t>
  </si>
  <si>
    <t xml:space="preserve">Dennis C. Wenceslao </t>
  </si>
  <si>
    <t xml:space="preserve">Winston Leo Norte </t>
  </si>
  <si>
    <t>MAULEON- Payment of allowance for the month of January 2022</t>
  </si>
  <si>
    <t>Payment of allowance in Regional Trial Court of Bataan for the month of January 2022</t>
  </si>
  <si>
    <t xml:space="preserve">Atty. Romeo L. de Lemos </t>
  </si>
  <si>
    <t>Reimbursement of amount paid for Mobile and Internet Allowance for the period of November 15, 2021 to December 14, 2021 (Month of January 2022) and December 15, 2021 to January 14, 2022 (Month of February 2022)</t>
  </si>
  <si>
    <t>Reimbursement of the amount paid for the fuel consumption of the government vehicle Ford Everest IP 0801for the month of January 2022</t>
  </si>
  <si>
    <t xml:space="preserve">Sherwin Joyce T. Gallardo </t>
  </si>
  <si>
    <t>Payment of her first salary as Administrative Aide at a monthly rate if P 14,993.00 for the period of January 3-31, 2022</t>
  </si>
  <si>
    <t xml:space="preserve">Aimarie R. Sulangi </t>
  </si>
  <si>
    <t xml:space="preserve">United Coconut Planters Bank </t>
  </si>
  <si>
    <t>Payment of UCPB eMoney Cash Cards issue for the Iskolar ng Bataan beneficiaries as part of the Iskolar ng Bataan Program of the Provincial Government of Bataan</t>
  </si>
  <si>
    <t>Reimbursement for expenses incurred in the payment of meals/bangus, baname, and alimango during various meetings and visitors of Gov. Abet last February 05, 2022</t>
  </si>
  <si>
    <t>Reimbursement of expenses incurred in the payment of snacks (bread and drinks) for beneficiaries of the PGB Medical Assistance program implementation for January 08 and 24, 2022</t>
  </si>
  <si>
    <t>For the account of PNB Trust Banking Group as Escrow Agent for Trust Account No. 161144TA01- Payment of LRA Fees for annotation on certificate of title for Certificate of Sale issued by the Province dated January 3, 2019</t>
  </si>
  <si>
    <t xml:space="preserve">Diana Elaine O. Paguio </t>
  </si>
  <si>
    <t>Full payment of her maternity leave benefits from January 1, 2022 to February 1, 2022 as Nurse II in the Provincial Health Office, Balanga City, Bataan</t>
  </si>
  <si>
    <t>Payment of LRA Fees for annotation on certificate of title for Certificate of Sale issued by the Province dated January 3, 2019</t>
  </si>
  <si>
    <t>Payment of registration fee, application and annual administration fee forthe Provincial Government of Bataan property in Abucay, Bataan as FAB Expansion Area</t>
  </si>
  <si>
    <t xml:space="preserve">Fe C. Bantugan </t>
  </si>
  <si>
    <t>To refund the amount due to tax payer for real property tax</t>
  </si>
  <si>
    <t>Replenishment of revolving fund for payment of donations of indigents constituents in the province of Bataan (Feb 11,2022)</t>
  </si>
  <si>
    <t>DONATION FOR THE HOSPITAL BILL COVERING THE PERIOD JAN. 24-25,2022</t>
  </si>
  <si>
    <t>DONATION FOR THE HOSPITAL BILLS COVERING THE PERIOD JAN. 24-28, 2022</t>
  </si>
  <si>
    <t>Payment for the funeral services under the Libreng Libing Program for the period January15, 17 and 22, 2022</t>
  </si>
  <si>
    <t>Payment for the funeral services under the Libreng Libing Program for the period December 9-29, 2021 January 4-6, 2022</t>
  </si>
  <si>
    <t>Payment of Clothing Allowance for the year 2022</t>
  </si>
  <si>
    <t>Payment for her salary differential from January 3-31, 2022</t>
  </si>
  <si>
    <t>Payment for her first salary for the period of January 3 - 31, 2022</t>
  </si>
  <si>
    <t>Payment for her overtime pay for the month of January 2022</t>
  </si>
  <si>
    <t>Reimbursement of Internet &amp; Mobile Expenses for the period covered November 24, 2021- January 23, 2022/ November 22, 2021- January 21, 2022</t>
  </si>
  <si>
    <t>Payment of telephone and internet bill for the PHO Feb 6 - March 5, 2021 (633-3700)</t>
  </si>
  <si>
    <t xml:space="preserve">Rolando B. Siasat </t>
  </si>
  <si>
    <t>DONATION TO CLIENT FOR HIS HOSPITAL BILL QR: 0208220001</t>
  </si>
  <si>
    <t xml:space="preserve">Imelda V. Magbanua </t>
  </si>
  <si>
    <t>DONATION TO TERESITA FOR HER BURIAL EXPENSES QR: 0207220004</t>
  </si>
  <si>
    <t xml:space="preserve">Phoebe Cates C. Canlas </t>
  </si>
  <si>
    <t>DONATION TO FAVIA LAYUG FOR HER HOSPITAL BILL QR: 0207220010</t>
  </si>
  <si>
    <t xml:space="preserve">Donna S. Villanueva </t>
  </si>
  <si>
    <t>DONATION TO VERONICA TAMAYO FOR HER HOSPITAL BILL QR: 0207220008</t>
  </si>
  <si>
    <t xml:space="preserve">Carmelita B. Solomon </t>
  </si>
  <si>
    <t>DONATION TO RODEL BAUTISTA FOR HIS HOSPITAL BILL QR: 0207220019</t>
  </si>
  <si>
    <t xml:space="preserve">Jennifer S. Quiambao </t>
  </si>
  <si>
    <t>DONATION TO ROELITO QUIAMBAO FOR HIS HOSPITAL BILL QR: 0207220015</t>
  </si>
  <si>
    <t>DONATION TO DENNIS DELA CRUZ FOR HIS HOSPITAL BILL</t>
  </si>
  <si>
    <t xml:space="preserve">Mary Grace E. Asturias </t>
  </si>
  <si>
    <t>DONATION TO JAMES ASTURIAS FOR HIS HOSPITAL BILL QR: 0207220005</t>
  </si>
  <si>
    <t xml:space="preserve">Jennelyn S. Salazar </t>
  </si>
  <si>
    <t>DONATION TO OSCAR SALAZAR FOR HIS HOSPITAL BILL QR: 0207220018</t>
  </si>
  <si>
    <t xml:space="preserve">Carolina F. Damaso </t>
  </si>
  <si>
    <t>DONATION TO LUCITA FELICIANO FOR HER HOSPITAL BILL QR: 02071220009</t>
  </si>
  <si>
    <t xml:space="preserve">Eden M. Ventura </t>
  </si>
  <si>
    <t>DONATION TO SEGUNDINA VENTURA FOR HER HOSPITAL BILL QR: 0207220012</t>
  </si>
  <si>
    <t xml:space="preserve">Rosemarie P. Domingo </t>
  </si>
  <si>
    <t>DONATION TO KENNETH BRYAN DOMINGO FOR HIS MEDICAL NEEDS QR: 0207220016</t>
  </si>
  <si>
    <t xml:space="preserve">Federico R. Urbano </t>
  </si>
  <si>
    <t>DONATION TO ARCELI URBANO FOR HER MEDICAL NEEDS QR: 0207220007</t>
  </si>
  <si>
    <t xml:space="preserve">Rachell J. Silva </t>
  </si>
  <si>
    <t>DONATION TO SUSANA JAVIER FOR HER MEDICAL NEEDS QR: 0207220002</t>
  </si>
  <si>
    <t xml:space="preserve">Zenaida Cristina C. Bautista </t>
  </si>
  <si>
    <t>DONATION TO RUAN FRANCESCO BAUTISTA FOR HIS HOSPITAL BILL QR: 0204220010</t>
  </si>
  <si>
    <t xml:space="preserve">Sonia M. Alvarez </t>
  </si>
  <si>
    <t xml:space="preserve">City Treasurer of Balanga, Bataan </t>
  </si>
  <si>
    <t>To refund the amount to be transferred to City of Balanga due to erroneous of real property tax by Atty Cheryl Laine H. Viray-Miranda</t>
  </si>
  <si>
    <t>Payment of Internet Subscription of Orani District Hospital with Account No. 0020200386215</t>
  </si>
  <si>
    <t>Cash advance for confidential expenses for the period February 17, 2022 to March 16, 2022</t>
  </si>
  <si>
    <t xml:space="preserve">Vener Z. Gervacio </t>
  </si>
  <si>
    <t>DONATION TO ERNESTO GERVACIO FOR HIS BURIAL EXPENSES QR: 0208220027</t>
  </si>
  <si>
    <t xml:space="preserve">Marites M. Dela Cruz </t>
  </si>
  <si>
    <t>DONATION TO RONANDO DELA CRUZ FOR HIS HOSPITAL BILL QR: 0208220022</t>
  </si>
  <si>
    <t xml:space="preserve">Rowena A. Belleza </t>
  </si>
  <si>
    <t>DONATION TO LOLITA PATOC FOR HER BURIAL EXPENSES QR: 0208220018</t>
  </si>
  <si>
    <t xml:space="preserve">Rhea D. Batungbacal </t>
  </si>
  <si>
    <t>DONATION TO CRISANTA SIBUG FOR HER MEDICAL NEEDS QR: 0208220023</t>
  </si>
  <si>
    <t>DONATION TO ROMEO POLINTAN FOR HIS BURIAL EXPENSES QR: 0208220016</t>
  </si>
  <si>
    <t xml:space="preserve">Shirley S. Cueno </t>
  </si>
  <si>
    <t>DONATION TO MARINO CUENO FOR HIS HOSPITAL BILL AND MEDICAL NEEDS QR: 0208220024</t>
  </si>
  <si>
    <t xml:space="preserve">Nelson D. Camacho </t>
  </si>
  <si>
    <t>DONATION TO ESTELLA CAMACHO FOR HER BURIAL EXPENSES QR: 0208220030</t>
  </si>
  <si>
    <t xml:space="preserve">Vichelle Allana D. San Jose </t>
  </si>
  <si>
    <t>DONATION TO ALLAN SAN JOSE FOR HIS HOSPITAL BILL QR: 0208220028</t>
  </si>
  <si>
    <t xml:space="preserve">Apple Joy B. Reyes </t>
  </si>
  <si>
    <t>DONATION TO FLORECITA BORNOLLA FOR HER HOSPITAL BILL QR: 0208220020</t>
  </si>
  <si>
    <t xml:space="preserve">Priscilla P. Diansen </t>
  </si>
  <si>
    <t>DONATION TO JOSE DIANSEN JR. FOR HIS BURIAL EXPENSES QR: 0208220031</t>
  </si>
  <si>
    <t xml:space="preserve">Racquel D. Inlong </t>
  </si>
  <si>
    <t>DONATION TO JERRY INLONG FOR HIS MEDICAL NEEDS QR: 0208220032</t>
  </si>
  <si>
    <t xml:space="preserve">Ruth Johnson </t>
  </si>
  <si>
    <t>DONATION TO JEREMIAH JOHNSON FOR HIS HOSPITAL BILL QR: 0208220021</t>
  </si>
  <si>
    <t xml:space="preserve">Leanne S. Nulod </t>
  </si>
  <si>
    <t>DONATION TO LEA NULOD FOR HER BURIAL EXPENSES QR: 0209220001</t>
  </si>
  <si>
    <t xml:space="preserve">Leopoldo C. Del Rosario </t>
  </si>
  <si>
    <t>DONATION TO CLIENT FOR HIS HOSPITAL BILL AND PROFESSIONAL FEE QR: 0208220029</t>
  </si>
  <si>
    <t xml:space="preserve">Jennifer E. Antigo </t>
  </si>
  <si>
    <t>DONATION TO CLIENT FOR HER HOSPITAL BILL QR: 0208220005</t>
  </si>
  <si>
    <t>Other supplies and materials for the installation of aircon split type 2.0 HP wall mounted to be used by PDRRMO</t>
  </si>
  <si>
    <t>Payment for Bonded Personnel in the Provincial Social Welfare Development Office</t>
  </si>
  <si>
    <t>Payment of fire insurance covering the FF: ODH and MDH</t>
  </si>
  <si>
    <t>Payment of fire insurance covering the FF: 1CCTV EQUIPMENT (POPLE CENTER), 2CCTV EQUIPMENT (MDH 3RD FLOOR), 3CCTV EQUIPMENT AT MBDA WAREHOUSE</t>
  </si>
  <si>
    <t>Payment of fire insurance covering the FF: SHJ 972, A4M291, A9W631, P6H209, 2019 KAWASAKI MOTORCYCLE VRYS 650 ABS BIG BIKE ER650AEX70840/ LE650F-A31837, A31824, A31836, A31839, AND A31834</t>
  </si>
  <si>
    <t>Reimbursement of his expenses incurred in the payment of requested lunch in vikings to celebrate great accomplishments during the national project WATCH Virtual awarding Ceremony was named champion in the category of "The Outstanding W.A.T.C.H Schools", Last December 22, 2021</t>
  </si>
  <si>
    <t>Reimbursement of his expesnes incurred in the payment of various expense for medical assistance dated December 28, 2021, January 13 - 28, and February 1, 2022</t>
  </si>
  <si>
    <t>Reimbursement of his expenses incurred in the payment of various expenses for medical assistanded dated December 16,20,21,22,23,24,27,28,03,04,05, and 06, 2021</t>
  </si>
  <si>
    <t xml:space="preserve">Michelle I. Abesamic </t>
  </si>
  <si>
    <t>Reimbursement for market purchase of MDH for the period of January 18-23, 2022</t>
  </si>
  <si>
    <t>Replenishment of cash advance to defray payment of Daily Market Purchase from February 1-7, 2022</t>
  </si>
  <si>
    <t>Reimbursement of his expenses incurred in the payment of various expenses for medical assistance dated December 5-15, 2021</t>
  </si>
  <si>
    <t>Replenishment of cash advance to defray for emergency purchases of Jose C. Payumo Jr. Memorial Hospital for the period of February 1, 2022 to February 3, 2022</t>
  </si>
  <si>
    <t>Payment of PLDT FIBER for the month of January 22 to February 21,2022 of Provincial Tourism Office</t>
  </si>
  <si>
    <t>Payment of Water Bill of Marivelews District Hospital for the month of January 2022</t>
  </si>
  <si>
    <t>Payment of telephone and internet bill for the PHO Jan 17 - Feb 16 , 2022 (237-3270)</t>
  </si>
  <si>
    <t>III-Registration Fee for the two-day virtual Seminar Workshop on the use of the eBudget System February 23-24,2022</t>
  </si>
  <si>
    <t>Payment for the funeral services under the Libreng Libing Program for the period January 5-30, 2022</t>
  </si>
  <si>
    <t>Reimbursement of the amount paid for the fuel consumption for fuel allowance of government vehicle Ford Everest IO 9547 for the month of January 2022</t>
  </si>
  <si>
    <t>Reimbursement of the amount paid for the fuel consumption of the government vehicle Ford Everest IO 4423 for the month of January 2022</t>
  </si>
  <si>
    <t xml:space="preserve">Adelaida D. Yandoc </t>
  </si>
  <si>
    <t>Payment of her first salary for the period of January 3-31,2022</t>
  </si>
  <si>
    <t>Reimbursement of his expenses incurred in the payment of room accommodation and incidentals in Las Casas De Acuzar during meeting with DOH Central Employees last December 31, 2021</t>
  </si>
  <si>
    <t>Reimbursement of his expenses incurred in the payment of Medical Tank with Content Oxygen were used for the Malasakit Center last January 4, 202</t>
  </si>
  <si>
    <t xml:space="preserve">Angelina OL. Lara </t>
  </si>
  <si>
    <t>Reimbursement for the amount paid for mobile expenses for the period of October 21, 2021- January 20, 2022</t>
  </si>
  <si>
    <t>Reimbursement of market purchase of Mariveles District Hospital for the period of January 13-17, 2022</t>
  </si>
  <si>
    <t xml:space="preserve">Magien Catacutan </t>
  </si>
  <si>
    <t>Donation for and in behalf of the deceased Barangay Tanod of Barangay Tapulao, Orani, Bataan</t>
  </si>
  <si>
    <t>DONATION FOR THE HOSPITAL BILLS AND MEDICAL NEEDS COVERING THE PERIOD JANUARY 17-21, 2022</t>
  </si>
  <si>
    <t>Cash advance for payment of registration fees and per diem of Board Members attending PBMLP Regional meeting on February 24-26, 2022 at Royce Hotel Clarkfield Pampanga</t>
  </si>
  <si>
    <t>Replenishment of Revolving Fund for payment of donations of indigent constituents in the Province of Bataan (February 14-15, 2022)</t>
  </si>
  <si>
    <t>Payment of Honorarium for the month of January 2022</t>
  </si>
  <si>
    <t>Payment of his first salary for the period of January 3-31,2022</t>
  </si>
  <si>
    <t>Cash Advance of various expense sfor Launching COVID-19 Vaccination among 5-11 years old pediatric population on February 19, 2022</t>
  </si>
  <si>
    <t xml:space="preserve">Nerisa V. Tolentino </t>
  </si>
  <si>
    <t>DONATION TO VIRGILIO TOLENTINO FOR HIS BURIAL EXPENSES QR: 0208220015</t>
  </si>
  <si>
    <t xml:space="preserve">Renato C. Borja Jr. </t>
  </si>
  <si>
    <t>DONATION TO RENATO BORJA FOR HIS BURIAL EXPENSES QR: 0208220006</t>
  </si>
  <si>
    <t xml:space="preserve">Jonita Rose N. Perez </t>
  </si>
  <si>
    <t>DONATION TO DOMNGA PEREZ FOR HER BURIAL EXPENSES QR: 02082200019</t>
  </si>
  <si>
    <t>DONATION TO RAMON ALARCON FOR HIS BURIAL EXPENSES QR: 0202220023</t>
  </si>
  <si>
    <t xml:space="preserve">Mary Joy N. Juanta </t>
  </si>
  <si>
    <t>DONATION TO ARNINO JUANTA FOR HIS HOSPITAL BILL AND MEDICAL NEEDS QR: 0208220012</t>
  </si>
  <si>
    <t xml:space="preserve">Alma N. Macabulos </t>
  </si>
  <si>
    <t>DONATION TO ALEXANDER VITUG FOR HIS HOSPITAL BILL QR: 0208220004</t>
  </si>
  <si>
    <t xml:space="preserve">Prix Ian I. Cañete </t>
  </si>
  <si>
    <t>DONATION TO ANALIZA CAñETE FOR HER HOSPITAL BILL QR: 0208220008</t>
  </si>
  <si>
    <t xml:space="preserve">Jocelyn L. Gorospe </t>
  </si>
  <si>
    <t>DONATION TO PACITA GOROSPE FOR HER HOSPITAL BILL QR: 0208220014</t>
  </si>
  <si>
    <t xml:space="preserve">Jeaneth A. Manilag </t>
  </si>
  <si>
    <t>DONATION TO JAY ARON MANILAG FOR HIS HOSPITAL BILL QR: 0208220017</t>
  </si>
  <si>
    <t xml:space="preserve">Mary Dae P. Deligero </t>
  </si>
  <si>
    <t>DONATION TO EDGARDO DELIGERO FOR HIS MEDICAL NEEDS QR: 0208220009</t>
  </si>
  <si>
    <t xml:space="preserve">Charlie Loise M. De Leon </t>
  </si>
  <si>
    <t>DONATION TO LUISITO DE LEON FOR HIS MEDICAL NEEDS QR: 0208220013</t>
  </si>
  <si>
    <t xml:space="preserve">Kristine T. Limcumpao </t>
  </si>
  <si>
    <t>DONATION TO MEDENCIA TUAZON FOR HER MEDICAL NEEDS QR: 0208220007</t>
  </si>
  <si>
    <t xml:space="preserve">Leonida M. Gonzales </t>
  </si>
  <si>
    <t>DONATION TO LEONARD BONG GONZALES FOR HIS MEDICAL NEEDS QR: 0208220003</t>
  </si>
  <si>
    <t xml:space="preserve">Aida S. Reyes </t>
  </si>
  <si>
    <t>DONATION TO CLIENT FOR HER MEDICAL NEEDS QR: 0208220010</t>
  </si>
  <si>
    <t xml:space="preserve">Jeffrey C. Buensuceso </t>
  </si>
  <si>
    <t>DONATION TO REYNALDO BUENSUCESO FOR HIS MEDICAL NEEDS QR: 0208220011</t>
  </si>
  <si>
    <t xml:space="preserve">Michelle C. Quiambao </t>
  </si>
  <si>
    <t>DONATION TO CLIENT FOR HER MEDICAL NEEDS QR: 0208220002</t>
  </si>
  <si>
    <t xml:space="preserve">Nerry Natalie E. Ma </t>
  </si>
  <si>
    <t>DONATION TO JESUS MA FOR HIS BURIAL EXPENSES QR: 0209220009</t>
  </si>
  <si>
    <t xml:space="preserve">Genalyn C. David </t>
  </si>
  <si>
    <t>DONATION TO JASPER DAVID FOR HIS BURIAL EXPENSES QR: 0208220025</t>
  </si>
  <si>
    <t xml:space="preserve">Carmela M. Mallari </t>
  </si>
  <si>
    <t>DONATION TO LEDESMA MALIT FOR HER HOSPITAL BILL QR: 0209220018</t>
  </si>
  <si>
    <t xml:space="preserve">Perla A. Salang </t>
  </si>
  <si>
    <t>DONATION TO CLIENT FOR HER HOSPITAL BILL QR: 0209220023</t>
  </si>
  <si>
    <t xml:space="preserve">Evangeline N. Jaring </t>
  </si>
  <si>
    <t>DONATION TO DAMIANA NUGUID FOR HER HOSPITAL BILL AND MEDICAL NEEDS QR: 0209220005</t>
  </si>
  <si>
    <t xml:space="preserve">Alice A. Ocampo </t>
  </si>
  <si>
    <t>DONATION TO JAILAH OCAMPO FOR HER HOSPITAL BILL QR: 0209220020</t>
  </si>
  <si>
    <t xml:space="preserve">Leah B. Silva </t>
  </si>
  <si>
    <t>DONATION TO ERLINDA SILVA FOR HER HOSPITAL BILL QR: 0209220013</t>
  </si>
  <si>
    <t xml:space="preserve">Roy Vincent C. Llanda </t>
  </si>
  <si>
    <t>DONATION TO IVY LLANDA FOR HER HOSPITAL BILL QR: 0209220011</t>
  </si>
  <si>
    <t xml:space="preserve">Emerlita E. De Guia </t>
  </si>
  <si>
    <t>DONATION TO CLIENT FOR HER MEDICAL NEEDS QR: 0209220025</t>
  </si>
  <si>
    <t xml:space="preserve">Jaime A. Tala </t>
  </si>
  <si>
    <t>DONATION TO CLIENT FOR HIS MEDICAL NEEDS QR: 0209220019</t>
  </si>
  <si>
    <t xml:space="preserve">Alona T. Lasala </t>
  </si>
  <si>
    <t>DONATION TO RODERICK LASALA FOR HIS BURIAL EXPENSES QR: 0209220007</t>
  </si>
  <si>
    <t xml:space="preserve">Jasmin D. Bartolome </t>
  </si>
  <si>
    <t>DONATION TO JILLIANNE MAY BARTOLOME FOR HER HOSPITAL BILL QR: 0209220003</t>
  </si>
  <si>
    <t>DONATION TO LULU NISAY FOR HER HOSPITAL BILL QR: 0209220004</t>
  </si>
  <si>
    <t xml:space="preserve">Janine A. Rimbao </t>
  </si>
  <si>
    <t>DONATION TO KEARL CEDRIC CAPILI FOR HIS HOSPITAL BILL QR: 0209220021</t>
  </si>
  <si>
    <t xml:space="preserve">Jessarie G. Garcia </t>
  </si>
  <si>
    <t>DONATION TO MARIA TISHA LERISSE GARCIA FOR HER HOSPITAL BILL QR: 0210220015</t>
  </si>
  <si>
    <t xml:space="preserve">King Dom A. Gepiga </t>
  </si>
  <si>
    <t>DONATION TO MAELYNE GEPIGA AND KHYLE ANGELO GEPIGA FOR THEIR HOSPITAL BILLS QR: 0210220013</t>
  </si>
  <si>
    <t>DONATION TO VIRGINIA PORLANTE FOR HER MEDICAL NEEDS QR: 0209220015</t>
  </si>
  <si>
    <t xml:space="preserve">Amelia C. Pancho </t>
  </si>
  <si>
    <t>DONATION TO CLIENT FOR HER MEDICAL NEEDS QR: 0209220017</t>
  </si>
  <si>
    <t xml:space="preserve">Ruby S. Mateo </t>
  </si>
  <si>
    <t>DONATION TO CLIENT FOR HER MEDICAL NEEDS QR: 0209220010</t>
  </si>
  <si>
    <t xml:space="preserve">Philippine Association of Records Officers and Archivists Inc. </t>
  </si>
  <si>
    <t>Payment of Registration FEe of Domingo O. Larman Jr. for attending Virtual Training/ Seminar on Electronic Records Management System for the Local Government with the "Develop Basic Services" and How to Operationalize the Electronic Management Policy in this Context" on March 2-4, 2022</t>
  </si>
  <si>
    <t xml:space="preserve">Jasmin A. Felipe </t>
  </si>
  <si>
    <t>DONATION TO JAIME AGUSTIN FOR HIS BURIAL EXPENSES QR: 0209220014</t>
  </si>
  <si>
    <t xml:space="preserve">Alnor N. Mendoza </t>
  </si>
  <si>
    <t>DONATION TO MONNET MENDOZA FOR HER HOSPITAL BILL QR: 0211220010</t>
  </si>
  <si>
    <t xml:space="preserve">Eugenia C. Galvez </t>
  </si>
  <si>
    <t>DONATION TO GABRIEL GALVEZ FOR HIS HOSPITAL BILL QR: 0210220019</t>
  </si>
  <si>
    <t xml:space="preserve">Cecilia M. Gavino </t>
  </si>
  <si>
    <t>DONATION TO JUANITA MENA FOR HER BURIAL EXPENSES QR: 0211220014</t>
  </si>
  <si>
    <t xml:space="preserve">Jun Paulo A. Roque </t>
  </si>
  <si>
    <t>DONATION TO DORIS ANN TOLIONGCO AND DYLAN CIV TOLIONGCO FOR THEIR HOSPITAL BILLS QR: 0210220022</t>
  </si>
  <si>
    <t>Jerand V. Macaspac</t>
  </si>
  <si>
    <t>QR: 02112200024</t>
  </si>
  <si>
    <t xml:space="preserve">William E. Pineda </t>
  </si>
  <si>
    <t>DONATION TO RACHELLE PINEDA FOR HER MEDICAL NEEDS QR: 0211220005</t>
  </si>
  <si>
    <t xml:space="preserve">Christine C. Frenilla </t>
  </si>
  <si>
    <t>DONAITON TO CONRADO FRENILLA FOR HIS MEDICAL NEEDS QR: 0211220011</t>
  </si>
  <si>
    <t xml:space="preserve">Ryan S. Laluna </t>
  </si>
  <si>
    <t>DONATION TO MA. LIZA LALUNA FOR HER HOSPITAL BILL QR: 0211220002</t>
  </si>
  <si>
    <t xml:space="preserve">Rodolfo C. Perona </t>
  </si>
  <si>
    <t>DONATION TO EDNA RERONA FOR HER BURIAL EXPENSES QR: 0211220006</t>
  </si>
  <si>
    <t xml:space="preserve">Wenefrede R. Perez </t>
  </si>
  <si>
    <t>DONATION TO ERNESTO PEREZ FOR HIS HOSPITAL BILL QR: 0210220017</t>
  </si>
  <si>
    <t xml:space="preserve">Lea E. Punzalan </t>
  </si>
  <si>
    <t>DONATION TO LORETO ESGUERRA FOR HIS BURIAL EXPENSES QR: 0211220008</t>
  </si>
  <si>
    <t xml:space="preserve">Maria Vinnise Marcelo </t>
  </si>
  <si>
    <t xml:space="preserve">Allan Josjua Reyes </t>
  </si>
  <si>
    <t xml:space="preserve">Glezy M. Rodrigo </t>
  </si>
  <si>
    <t xml:space="preserve">Princess Isma </t>
  </si>
  <si>
    <t xml:space="preserve">Sonny Boy C. Carang </t>
  </si>
  <si>
    <t>Payment of his first salary for the period of January 3 to 31, 2022</t>
  </si>
  <si>
    <t xml:space="preserve">Aniceta C. Muñoz </t>
  </si>
  <si>
    <t>DONATION TO CARLOS MANUEL MUñOZ FOR HIS BURIAL EXPENSES QR: 0210220011</t>
  </si>
  <si>
    <t xml:space="preserve">Pamela G. Torres </t>
  </si>
  <si>
    <t>DONATION TO PIA GALICIA FOR HER BURIAL EXPENSES QR: 0210220012</t>
  </si>
  <si>
    <t xml:space="preserve">Mark Genelie B. Hanopol </t>
  </si>
  <si>
    <t>DONATION TO MARIE ANGEL AVENDANIO AND GAVE AZRAEL HANAPOL FOR THEIR HOSPITAL BILLS QR: 0209220016</t>
  </si>
  <si>
    <t xml:space="preserve">Daisy G. Mariano </t>
  </si>
  <si>
    <t>DONATION TO ERNESTO MARIANO FOR HIS HOSPITAL BILL QR: 0209220022</t>
  </si>
  <si>
    <t xml:space="preserve">Rinz Ian M. Gregorio </t>
  </si>
  <si>
    <t>DONATION TO MIA JOY ANN ROSE GREGORIO AND REIN MATTHEW GREGORIO FOR THEIR HOSPITAL BILLS QR: 0210220008</t>
  </si>
  <si>
    <t>DONATION TO SAMUEL CABAHUG FOR HIS HOSPITAL BILL</t>
  </si>
  <si>
    <t xml:space="preserve">Dexter Dela Rosa Dela Cruz </t>
  </si>
  <si>
    <t>DONATION TO KHALEB DENZELL DELA CRUZ FOR HIS HOSPITAL BILL QR: 0209220024</t>
  </si>
  <si>
    <t xml:space="preserve">Isagani B. Villafania </t>
  </si>
  <si>
    <t>DONATION TO CLIENT FOR HIS HOSPITAL BILL QR: 0210220007</t>
  </si>
  <si>
    <t xml:space="preserve">Irene M. Imperial </t>
  </si>
  <si>
    <t>DONATION TO JOSEF RAPHAEL IMPERIAL FOR HIS HOSPITAL BILL QR: 0210220010</t>
  </si>
  <si>
    <t xml:space="preserve">Juliet B. Baquing </t>
  </si>
  <si>
    <t>DONATION TO MARY GRACE BAQUING AND MAVIN LORETO FOR THEIR HOSPITAL BILLS QR: 0210220001</t>
  </si>
  <si>
    <t xml:space="preserve">Luisito S. Montemayor </t>
  </si>
  <si>
    <t>DONATION TO CHONA MONTEMAYOR FOR HER HOSPITAL BILL AND PROFESSIONAL FEE QR: 0210220002</t>
  </si>
  <si>
    <t xml:space="preserve">Lee Anne P. Medina </t>
  </si>
  <si>
    <t>DONATION TO CLIENT FOR HER MEDICAL NEEDS QR: 0210220005</t>
  </si>
  <si>
    <t xml:space="preserve">Jose Jr. B. Mallari </t>
  </si>
  <si>
    <t>DONATION TO EDNA MALLARI FOR HER MEDICAL NEEDS QR: 0210220009</t>
  </si>
  <si>
    <t xml:space="preserve">Leonardo D. Balingit, Jr. </t>
  </si>
  <si>
    <t>DONATION TO CLIENT FOR HIS MEDICAL NEEDS QR: 0210220004</t>
  </si>
  <si>
    <t xml:space="preserve">Marianne N. Laurenciana </t>
  </si>
  <si>
    <t>DONATION TO MARIANO NARVAEZ FOR HIS MEDICAL NEEDS QR: 0210220006</t>
  </si>
  <si>
    <t>To cash advance for payment of various obligation</t>
  </si>
  <si>
    <t xml:space="preserve">Maria Fe D. Gabaya </t>
  </si>
  <si>
    <t>Payment of yearend bonus CY 2022</t>
  </si>
  <si>
    <t>Reimbursement of her expenses incurred in the payment of meals/alimango, sugpo, and suaher during various meeting with DOH Dated February 16, 2022</t>
  </si>
  <si>
    <t>Reimbursement of her expenses incurred in the payment of meals/alimango, sugpo, and hipon during various meeting with NKTI Officials Dated February 3, 2022</t>
  </si>
  <si>
    <t>DONATION TO BERNALYN SAPON FOR HER BURIAL EXPENSES QR: 0217220014</t>
  </si>
  <si>
    <t>DONATION TO MERLIN BALAN FOR HIS BURIAL EXPENSES QR: 0217220010</t>
  </si>
  <si>
    <t>DONATION FOR THE HOSPITAL BILLS COVERING THE PERIOD JANUARY 24-28, 2022</t>
  </si>
  <si>
    <t xml:space="preserve">Mylene P. Lucero </t>
  </si>
  <si>
    <t>DONATION TO NARCISA MANGILIT FOR HER HOSPITAL BILL AND MEDICAL NEEDS QR: 0217220018</t>
  </si>
  <si>
    <t xml:space="preserve">Andrea de Jesus Frenly </t>
  </si>
  <si>
    <t>DONATION TO ROMEO DE JESUS FOR HER HOSPITAL BILL AND MEDICAL NEEDS QR: 0217220017</t>
  </si>
  <si>
    <t xml:space="preserve">Jenefer H. Ramos </t>
  </si>
  <si>
    <t>DONATION TO LEONARDO TAñALA FOR HIS HOSPITAL BILL AND MEDICAL NEEDS QR: 0217220015</t>
  </si>
  <si>
    <t xml:space="preserve">Geselle D. Arceo </t>
  </si>
  <si>
    <t>DONATION TO CLIENT FOR HER HOSPITAL BILL QR: 0217220019</t>
  </si>
  <si>
    <t xml:space="preserve">Ma. Kristina Bernadette P. Angeles </t>
  </si>
  <si>
    <t>DONATION TO RICARDO ANGELES FOR HIS HOSPITAL BILL QR: 0215220014</t>
  </si>
  <si>
    <t xml:space="preserve">Dominga B. Baltazar </t>
  </si>
  <si>
    <t>DONATION TO CLIENT FOR HER MEDICAL NEEDS QR: 0218220010</t>
  </si>
  <si>
    <t xml:space="preserve">Julie Ann P. Otrera </t>
  </si>
  <si>
    <t>DONATION TO JULLIANA OLIE OTRERA FOR HER PROFESSIONAL FEE AND MEDICAL NEEDS QR: 0217220011</t>
  </si>
  <si>
    <t xml:space="preserve">TI-Tech Medical Trading </t>
  </si>
  <si>
    <t>DONATION TO ARESTEO CRUZ AND FREDERICK MANAHAN FOR THEIR MEDICAL NEEDS QR: 0218220008</t>
  </si>
  <si>
    <t>Birth and Death Certificate Forms for the use of Orani District Hospital</t>
  </si>
  <si>
    <t>Payment of his 15 days monetized leave credits</t>
  </si>
  <si>
    <t xml:space="preserve">Karen V. Tuazon </t>
  </si>
  <si>
    <t>Full payment of her 105 days maternity leave with full pay covering the period of December 22, 2021 to April 5, 2022 as Engineer III in the Office of the Provincial Engineer, Balanga Citym Bataan at the rate if P49,835.00</t>
  </si>
  <si>
    <t xml:space="preserve">Redentor Y. Geronia </t>
  </si>
  <si>
    <t>Payment of the 196.042 days Terminal Leave of Mr. Redentor Y. Geronia</t>
  </si>
  <si>
    <t xml:space="preserve">Emelita B. Lezada </t>
  </si>
  <si>
    <t>Replenishment of Revolving Fund for payment of donation to indigent constituents from Province of Bataan (FEBRUARY 22-23,2022)</t>
  </si>
  <si>
    <t xml:space="preserve">Ma. Concepcion E. Huevos </t>
  </si>
  <si>
    <t>DONATION TO JOSEPH HUEVOS FOR HIS HOSPITAL BILL QR: 0218220018</t>
  </si>
  <si>
    <t xml:space="preserve">Marigold T. Pamesa </t>
  </si>
  <si>
    <t>DONATION TO JAHAZIAH PAQMESA FOR HER HOSPITAL BILL QR: 021822015</t>
  </si>
  <si>
    <t xml:space="preserve">Teresita A. Liquiran </t>
  </si>
  <si>
    <t>DONATION TO KRISTINE LIQUIRAN FOR HER HOSPITAL BILL QR: 0218220013</t>
  </si>
  <si>
    <t xml:space="preserve">Jermyn R. Europa </t>
  </si>
  <si>
    <t>DONATION TO JAN OSCAR ERICK EUROPA FOR HIS HOSPITAL BILL QR: 0218220011</t>
  </si>
  <si>
    <t xml:space="preserve">Windy de Silva Azada </t>
  </si>
  <si>
    <t>DONATION TO BENITO DE SILVA FOR HIS HOSPITAL BILL QR: 0218220006</t>
  </si>
  <si>
    <t xml:space="preserve">Mary Grace F. Vista </t>
  </si>
  <si>
    <t>DONATION TO MONICA FERNANDEZ FOR HER HOSPITAL BILL QR: 0218220012</t>
  </si>
  <si>
    <t xml:space="preserve">Precy Juco </t>
  </si>
  <si>
    <t>Payment of 50% monetization leave credits</t>
  </si>
  <si>
    <t xml:space="preserve">Jhon Dale C. Banzon </t>
  </si>
  <si>
    <t>DONATION TO RENATO BANZON FOR HIS HOSPITAL BILL QR: 0217220008</t>
  </si>
  <si>
    <t xml:space="preserve">Angel Kaye M. Manalili </t>
  </si>
  <si>
    <t>DONATION TO CLIENT FOR HER MEDICAL NEEDS QR: 0217220013</t>
  </si>
  <si>
    <t xml:space="preserve">Filipina E. Galsim </t>
  </si>
  <si>
    <t>DONATION TO LAEJANDRO ESPINO FOR HIS BURIAL EXPENSS QR: 0218220017</t>
  </si>
  <si>
    <t xml:space="preserve">Ethel V. Angeles </t>
  </si>
  <si>
    <t>DONATION TO REMEDIOS VALENZUELA FOR HER HOSPITAL BILL AND MEDICAL NEEDS QR: 0218220003</t>
  </si>
  <si>
    <t xml:space="preserve">Tuesday S. Crisostomo </t>
  </si>
  <si>
    <t>DONATION TO CLIENT FOR HER HOSPITAL BILLS AND MEDICAL NEEDS QR: 0218220001</t>
  </si>
  <si>
    <t xml:space="preserve">Ricky S. Samin </t>
  </si>
  <si>
    <t>DONATION TO MYRA SAMIN FOR HER HOSPITAL BILL AND PROFESSIONAL FEE QR: 0218220004</t>
  </si>
  <si>
    <t xml:space="preserve">Josephine L. Siasat </t>
  </si>
  <si>
    <t>DONATION TO CLIENT FOR HER MEDICAL NEEDS QR: 0218220019</t>
  </si>
  <si>
    <t xml:space="preserve">Ronald S. Palacio </t>
  </si>
  <si>
    <t>DONATION TO CLIENT FOR HIS MEDICAL NEEDS QR: 0218220005</t>
  </si>
  <si>
    <t xml:space="preserve">Remedios C. Lomboy </t>
  </si>
  <si>
    <t>DONATION TO CLIENT FOR HER HOSPITAL BILL QR: 0218220016</t>
  </si>
  <si>
    <t>DONATION FOR THE HOSPITAL BILLS COVERING THE PERIOD FEB. 7-11, 2022</t>
  </si>
  <si>
    <t>DONATION FOR THE HOSPITAL BILLS COVERING THE PERIOD FEB. 10, 2022</t>
  </si>
  <si>
    <t>DONATION FOR THE HOSPITAL BILLS COVERING THE PERIOD FEB. 8-11, 2022</t>
  </si>
  <si>
    <t>DONATION FOR THE HOSPITAL BILLS C OVERING THE PERIOD FEB. 11, 2022</t>
  </si>
  <si>
    <t>Payment of mothly subscription fee on mobile unlimited call &amp; texyt postpaid plan (Globe to Globe) for the month of October 13, 2021 to November 12, 2021, November 13, 2021 to December 12, 2021. December 13, 2021 to January 12, 2022, and January 13, 2022 to February 12, 2022</t>
  </si>
  <si>
    <t xml:space="preserve">Melinda L. Layug, MD. </t>
  </si>
  <si>
    <t>Reimbursement of emergency purchases of JPMH for the period of February 8-10,2022</t>
  </si>
  <si>
    <t>Payment of monthly subscription fee for the services of Internet Connection of PIO Covering period January 17 to February 16, 2022</t>
  </si>
  <si>
    <t>Payment of monthly subscription fee for the services of Internet Connection of 7th Floor Covering period January 17 to February 16, 2022</t>
  </si>
  <si>
    <t>Payment of monthly subscription fee for the services of Internet Connection of NBI Covering Period January 17, 2022 to January 16, 2022</t>
  </si>
  <si>
    <t>Replenishment of Emergency Purchases of NBB patients of JPMH for the period from February 15-17,2022</t>
  </si>
  <si>
    <t>Replenishment of cash advances for emergency purchases of Jose C. Payumo Memorial Hospital from February 11, 2022 to February 14, 2022</t>
  </si>
  <si>
    <t>Reimbursement of market purchases of Jose C. Payumo Memorial Hospital for the period of February 11 to 21, 2022</t>
  </si>
  <si>
    <t>Payment of Donation to Bataan Crime Lab for their Administrative and Operational Expenses for 16 January - 15 February 2022</t>
  </si>
  <si>
    <t>Payment of internet connection of BCMH for the period of Nov 30-Dec 29,2021</t>
  </si>
  <si>
    <t>Reimbursement of the amount paid for fuel consumption of the government vehicle Ford Everest C1 T417 for the month of January 2022</t>
  </si>
  <si>
    <t>Reimbursement of gasoline dated January 2-29, 2022</t>
  </si>
  <si>
    <t>Payment of internet connection of Bagac Community and Medicare Hospital for the billing period of January 30, 2022 to February 27, 2022</t>
  </si>
  <si>
    <t>Payment of internet connection of BCMH for the billing period of December 30 2021 to January 29,2022</t>
  </si>
  <si>
    <t>Payment of BIZLOAD for Brgy. Capts. assigned as monitoring gathering and analysing COVID 2019 related data in the Province of Bataan covering period for the month of February 2022</t>
  </si>
  <si>
    <t>Reimbursement for market purchase of Mariveles District Hospital for the period of January 31, 2022 - February 13, 2022</t>
  </si>
  <si>
    <t>Payment of 92.825 days Terminal Leave</t>
  </si>
  <si>
    <t xml:space="preserve">Norman Llanda </t>
  </si>
  <si>
    <t>Payment of 15 days monetized leave credit FY 2022</t>
  </si>
  <si>
    <t xml:space="preserve">Raymond Palaypay </t>
  </si>
  <si>
    <t>Payment of 50% monetized leave credit FY 2022</t>
  </si>
  <si>
    <t>Payment for the funeral services rendered under the Libreng Libing Program for the period January 7,10,13,15,18,19,23,25, and 28, 2022</t>
  </si>
  <si>
    <t xml:space="preserve">Flora R. Bobadilla </t>
  </si>
  <si>
    <t>Payment of her PBB for the year 2019 with the rate of 70,827.00/mo</t>
  </si>
  <si>
    <t xml:space="preserve">GACPA, Inc. </t>
  </si>
  <si>
    <t>Registration fee to virtual seminar on Ethics/Integrity and the Philippine GOvernment Anti-Corruption Initiatives on March 18, 2022 1:00 PM-4:00 PM</t>
  </si>
  <si>
    <t xml:space="preserve">Acces D. Corpuz </t>
  </si>
  <si>
    <t>Payment of 36.888 days monetized leave for the year 2022</t>
  </si>
  <si>
    <t>Reimbursement of his expenses of his expenses incurred in the payent of car maintenance check up of ac climate Control panel of service vehicle grand starex with plate no. KO-P403</t>
  </si>
  <si>
    <t>Payment of fuel consumption for the period of January 31-February 6, 2022 (MBDA)</t>
  </si>
  <si>
    <t>Payment for the funeral services under the Libreng Libing Program for the period December 31, 2021, January 10,24,31, February 3,8 and 9, 2022</t>
  </si>
  <si>
    <t>Payment of meals incurred during Meeting with 1BAITC, PGB, Mayor Gila Garcia, Agrilever</t>
  </si>
  <si>
    <t>Payment of meals incurred Courtesy Visit of Ambassador Stephen Robinson and Courtesy Visit of Mr. Robin Padilla and PACC Commissioner Grego Belgica</t>
  </si>
  <si>
    <t>Payment of meals during coordination meeting with DHSUD Regional Director</t>
  </si>
  <si>
    <t>Payment of Rental of Sound System and Lights for various activities</t>
  </si>
  <si>
    <t>Dialysis supplies for Jose C. Payumo Jr. Memorial Hospital, Dinalupihan Bataan</t>
  </si>
  <si>
    <t xml:space="preserve">JMC2 Trading &amp; Catering Services </t>
  </si>
  <si>
    <t>Meals for the Checkpoints for January 2022 during Covid-19 Emergency Response</t>
  </si>
  <si>
    <t>Re-routing of electric power transmission lines of COVID 19 vaccine's Cold Storage Facility from Old Power transformer to a new house including tapping to a power generator</t>
  </si>
  <si>
    <t>Tarpaulin to be used for the Celebration of Foundation Day on January 3, 2022- January 11, 2022</t>
  </si>
  <si>
    <t>Advocacy Shirt to be used for the Celebration of Foundation Day on January 3, 2022- January 11, 2022</t>
  </si>
  <si>
    <t>Meals for the Special Session of Sangguniang Panlalawigan on January 10, 2022</t>
  </si>
  <si>
    <t>Videographer/Documenter for the Celebration of Foundation Day on January 3, 2022- January 11, 2022</t>
  </si>
  <si>
    <t>Emergency Purchase of Non Accountable Forms for the use of Jose C. Payumo Memorial Hospital, Dinalupihan, Bataan</t>
  </si>
  <si>
    <t>Remittance of Pag-ibig II Savings of the provincial employees  February 2022</t>
  </si>
  <si>
    <t>Payment of salary differential as Project Development Officer IV with a monthly rate of P69,963.00 from February 1-28, 2022</t>
  </si>
  <si>
    <t>Payment of her salary as Administrative Assistant I with a monthly rate of P17,899.00 for February 1-28, 2022</t>
  </si>
  <si>
    <t>Payment of her salary as Administrative Aide IV with a monthly rate of P14,993.00 for February 1-28, 2022</t>
  </si>
  <si>
    <t>Payment of his salary as Administrative Aide IV with a monthly rate of P14,993.00 for February 1-28, 2022</t>
  </si>
  <si>
    <t>Payment of Internet subscription to PlDT under Billing account 657019607 for the period of January 17, 2022 - February 16, 2022 for the use of MDH</t>
  </si>
  <si>
    <t>Payment of water bill for Palayan ng Bayan, Bagong Silang for the month of January 2022</t>
  </si>
  <si>
    <t>Payment of water bill for Fishery, Bagong Silang for the month of January 2022</t>
  </si>
  <si>
    <t>Reimbursement of the amount paid for the fuel allowance of government vehicle Ford Everest IO 8925 for the month of January 202</t>
  </si>
  <si>
    <t>Replenishment of Revolving Fund for payment of donations of indigents constituents in the Province of Bataan ( February 24 &amp; 28, 2022)</t>
  </si>
  <si>
    <t>Replenishment of cash advance to defray payment of Daily Market Purchase from February 15-21,2022</t>
  </si>
  <si>
    <t>Reimbursement of his expenses incurred in the payment of office tables, chairs, and appliances to be used in the Office of Kabalikat dated November 19, 2021</t>
  </si>
  <si>
    <t xml:space="preserve">Lucita V. Bautista </t>
  </si>
  <si>
    <t>Donation for and in behald of the deceased Barangay Tanod Joel Q. Bautista of Barangay Baseco, Bataan</t>
  </si>
  <si>
    <t>Payment for the internet subscription of account number 656682647 for the period of January 17, 2022 to February 16, 2022</t>
  </si>
  <si>
    <t>Payment for the internet subscription of account number 656678917 for the period of January 17, 2022 to February 16,2022</t>
  </si>
  <si>
    <t>Payment for the internet subscription of account number 656849940 for the period of January 17, 2022 to February 16,2022</t>
  </si>
  <si>
    <t>Payment for the cremation services rendered by Orion Memorial park for the period November 11 and December 19, 2021</t>
  </si>
  <si>
    <t>Payment for the cremation services rendered by Orion Memorial park for the period August 17, September 2, October 7 &amp; 5, 2021</t>
  </si>
  <si>
    <t>Payment for the cremation services rendered by Orion Memorial park for the period August 16, 30 September 1 and 27, 2021</t>
  </si>
  <si>
    <t>Payment of his service rendered for the month of January 2022</t>
  </si>
  <si>
    <t>Payment of Fidelity Bond Premium of Cynthia M. Tolentino of Jose C. Payumo Memorial Hospital</t>
  </si>
  <si>
    <t>Replenishment of Emergency Purchases of NBB Patients of JPMH for the period from Feb 18,22 to Feb 21,202</t>
  </si>
  <si>
    <t>Payment of cremation service rendered for the period of May 17,20,22,39,30, June, 1,2,5,6,7,8,9,10,11,13,14,15, &amp; 16, 202</t>
  </si>
  <si>
    <t>Reimbursement of gasoline, oil and lubricants expenses of Orani District Hospital from January 1-15, 2022</t>
  </si>
  <si>
    <t>DONATION FOR THE HOSPITAL BILLS AND MEDICAL NEEDS COVERING THE PERIOD FEB. 7-11, 2022</t>
  </si>
  <si>
    <t xml:space="preserve">Autokid Subic Trading Corporation </t>
  </si>
  <si>
    <t>1% retention for garbage truck for Provincial Government of BAtaan Solid Waste Management Program</t>
  </si>
  <si>
    <t xml:space="preserve">John Lester B. Batol </t>
  </si>
  <si>
    <t>DONATION TO JOSELITO BATOL FOR HIS MEDICAL NEEDS QR: 0221220006</t>
  </si>
  <si>
    <t xml:space="preserve">Wendy Rose S. Valencia </t>
  </si>
  <si>
    <t>DONATION TO CLIENT FOR HER HOSPITAL BILL, PROFESSIONAL FEE AND MEDICAL NEEDS QR: 0221220002</t>
  </si>
  <si>
    <t xml:space="preserve">Al Jerome M. Lorenzo </t>
  </si>
  <si>
    <t>DONATION TO RUTH LORENZO FOR HER HOSPITAL BILL QR: 0221220007</t>
  </si>
  <si>
    <t xml:space="preserve">Rachelle T. Cruz </t>
  </si>
  <si>
    <t>DONATION TO ROLANDO TUAZAON JR. FOR HIS MEDICAL NEEDS QR: 0221220003</t>
  </si>
  <si>
    <t xml:space="preserve">Rogel P. Mauricio </t>
  </si>
  <si>
    <t>DONATION TO ELSA MAURICIO FOR HER BURIAL EXPENSES QR: 0221220005</t>
  </si>
  <si>
    <t>DONATION TO CLIENT FOR HIS MEDICAL NEEDS QR: 0221220004</t>
  </si>
  <si>
    <t xml:space="preserve">Marjorie Anne T. Ganzon </t>
  </si>
  <si>
    <t>Payment of her 14 days monetized leave benefits for the year 2022</t>
  </si>
  <si>
    <t>Reimbursement of his expenses for various appliances given to various organizations, officers and LGU's in the Province of Bataan delivered December 8,9,14,15,16,21,22,24,25,28,29, and 30, 2021</t>
  </si>
  <si>
    <t>Rental of Sounds and Lights for the Celebration of Foundation Day on January 3, 2022- January 11, 2022</t>
  </si>
  <si>
    <t>Toner for Kyocera 7119 for the use of Provincial Accountant</t>
  </si>
  <si>
    <t>Materials to be used for the Celebration of Foundation Day on January 3, 2022- January 11, 2022</t>
  </si>
  <si>
    <t>Remittance of salary loan installment of provincial employees for February 2022</t>
  </si>
  <si>
    <t>Remittance of philhealth contribution of provincial employees February 2022</t>
  </si>
  <si>
    <t>Remittance of integrated insurance contribution, emergency loan, REL, cash advance, optional insurance premium, policy loan, REL, GFAL, MPL and computer Loan for the month of February 2022</t>
  </si>
  <si>
    <t>Payment of insurance of five (5) units of service vehicles owned by PGB (KOP 475, A7V159, P5M142, SHJ 962, 2017 SINO TRUCK TRACTOR TRUCK)</t>
  </si>
  <si>
    <t>Cash Advance to Defray for the expenses of Honorarium of Trainors and Entrance Fee for Water Search and Rescue Response System Strategy and Tactics Training on March 7-11, 2022</t>
  </si>
  <si>
    <t>Payment of her salary as Administrative Officer IV with a monthly rate of P35,097.00 for February 1-28, 2022</t>
  </si>
  <si>
    <t>Payment of his salary as Administrative Assistant VI with a monthly rate of P 27,608.00 for February 1-28, 2022</t>
  </si>
  <si>
    <t>Payment of her salary as Administrative Office VI with a monthly rate of P35,097.00 for February 1-28, 2022</t>
  </si>
  <si>
    <t>Payment of the insurance premium for the period of September 3, 2021- September 3, 2022 covering the 1 Building Between Old Capitol and the Bunker</t>
  </si>
  <si>
    <t>Ink to be used for the printing of NBI Clearance Certificates and other related documents for the NBI Mariveles Satellite Office</t>
  </si>
  <si>
    <t>Gen Pharmaceutical-Auto Disable Syringe 0.5ml with needle for the used in vaccination site (Bataan People's Center) during COVID-19 Pandemic</t>
  </si>
  <si>
    <t>Central luzon-Expanded Newborn Filter Screening Kit for the use of Jose C. Payumo Memorial Hospital, Dinalupihan, Bataan</t>
  </si>
  <si>
    <t xml:space="preserve">Maricar P. Alonzo </t>
  </si>
  <si>
    <t>Payment of her salary as Nurse I with a monthly rate of P35,097.00 for February 1-28, 2022</t>
  </si>
  <si>
    <t>Payment of his salary as Farm Foreman in the Office of the Provincial Agriculturist for the period February 1-28, 2022</t>
  </si>
  <si>
    <t>Payment of her Salary as Population Program Worker II for the month of February 1-28, 2022</t>
  </si>
  <si>
    <t>Salary for February 28, 2022</t>
  </si>
  <si>
    <t>Payment of his salary and RATA as Provincial Government Department Head with a monthly rate of P113,891.00 from February 1-28, 2022</t>
  </si>
  <si>
    <t xml:space="preserve">Resvan Farah T. Lulu </t>
  </si>
  <si>
    <t>Payment of her 26.704 days monetized leave credits</t>
  </si>
  <si>
    <t xml:space="preserve">Mark Lorenz C. Quezon </t>
  </si>
  <si>
    <t>Advance payment for registration fee and per diem for attending the Local Legislation Enhancement Seminar on March 29-31, 2022, at Malate, Manila</t>
  </si>
  <si>
    <t xml:space="preserve">Joie Dee R. Rubiano </t>
  </si>
  <si>
    <t>Payment of her first salary from January 3- February 28, 2022 as Social Welfare Officer II at at monthly rate of 35,097.00q</t>
  </si>
  <si>
    <t xml:space="preserve">Joel C. Silverio </t>
  </si>
  <si>
    <t>Payment of Monetize Leave Benefit for the year 2022</t>
  </si>
  <si>
    <t>Replenishment of Revolvig Fund for payment of donations of indigents constituents in the Province of Bataan</t>
  </si>
  <si>
    <t xml:space="preserve">Elizabeth T. Manalaysay </t>
  </si>
  <si>
    <t>DONATION TO EDGARDO MANALAYSAY FOR HIS BURIAL EXPENSES QR: 0223220014</t>
  </si>
  <si>
    <t xml:space="preserve">Jesus C. Santos </t>
  </si>
  <si>
    <t>DONATION TO DANILO SANTOS FOR HIS HOSPITAL BILL QR: 0223220023</t>
  </si>
  <si>
    <t xml:space="preserve">Lorina Pascual </t>
  </si>
  <si>
    <t>DONATION TO DAREN PASCUAL FOR HIS HOSPITAL BILL</t>
  </si>
  <si>
    <t xml:space="preserve">Renato Jr. A. Dela Cruz </t>
  </si>
  <si>
    <t>DONATION TO ALSHAHEEN DELA CRUZ AND NASH RYLEIGH DELA CRUZ FOR THEIR HOSPITAL BILLS AND MEDICAL NEEDS QR: 0223220025</t>
  </si>
  <si>
    <t xml:space="preserve">Wilmer P. Berdolaga </t>
  </si>
  <si>
    <t>DONATION TO WINIFREDA BONGCO FOR HER HOSPITAL BILL QR: 0223220019</t>
  </si>
  <si>
    <t xml:space="preserve">Oliver M. Mena </t>
  </si>
  <si>
    <t>DONATION TO JHONA MENA FOR HER HOSPITAL BILL QR: 0223220012</t>
  </si>
  <si>
    <t xml:space="preserve">Perrylyn Dela Peña Paguio </t>
  </si>
  <si>
    <t>DONATION TO CLIENT OFR HER MEDICAL NEEDS QR: 0223220015</t>
  </si>
  <si>
    <t xml:space="preserve">Joel D. De Leon </t>
  </si>
  <si>
    <t>DONATION TO CLIENT FOR HIS MEDICAL NEEDS QR: 0223220022</t>
  </si>
  <si>
    <t xml:space="preserve">Evangeline G. Angeles </t>
  </si>
  <si>
    <t>DONATION TO KHRYSS GWYNETH PAHUDPOD OFR HER MEDICAL NEEDS QR: 0223220021</t>
  </si>
  <si>
    <t xml:space="preserve">Ma. Luz T. Paguio </t>
  </si>
  <si>
    <t>DONATION TO REYNALDO PAGUIO FOR HIS MEDICAL NEEDS QR: 0223220013</t>
  </si>
  <si>
    <t xml:space="preserve">Jahara B. Estrella </t>
  </si>
  <si>
    <t>DONATION TO CLIENT OFR HER MEDICAL NEEDS QR: 0223220020</t>
  </si>
  <si>
    <t xml:space="preserve">Ana Maureen A. Cura </t>
  </si>
  <si>
    <t>DONATION TO JUSTINE RAIN CURA FOR HIS MEDICAL NEEDS QR: 0223220011</t>
  </si>
  <si>
    <t>Replenishment of cash advance for emergency purchases of Jose C. Payumo Jr. Memorial Hospital from February 15, 2022 to February 17, 2022</t>
  </si>
  <si>
    <t>Payment of telephone expenses landline of ODH for the period of Feb 21-March 20,2022</t>
  </si>
  <si>
    <t>Payment of internet subscription to PLDT under Billing account 0278696871 and Telephone Subscription PLDT under Billing Accounts 0277357615 and 0277359928 for the period of January 17, 2022 - February 16, 2022</t>
  </si>
  <si>
    <t>Payment of internet bill for the period covering February 18, 2022 to March 17, 2022</t>
  </si>
  <si>
    <t>Maintenance Kit of KYOCERA digital copier for replacement defective parts in used in the Provincial Treasurer's Office</t>
  </si>
  <si>
    <t>Personalized Accountable Forms to be used in the Provincial Treasurer's Office</t>
  </si>
  <si>
    <t xml:space="preserve">Arturo dela Fuente </t>
  </si>
  <si>
    <t>Payment of salary differentialas Executive Assistant II with a monthly rate of P41,508.00 from January 16, 2022 to February 28, 2022</t>
  </si>
  <si>
    <t xml:space="preserve">Harrison dela Cruz </t>
  </si>
  <si>
    <t>Payment of his first salary ad Administrative Aide VI from January 3, 2022 to February 28, 2022</t>
  </si>
  <si>
    <t xml:space="preserve">Capitol Employees of Bataan Multi Purpose Cooperaitve </t>
  </si>
  <si>
    <t>Remittance of salary &amp; rice loan installment of JO employees for February 2022</t>
  </si>
  <si>
    <t>Remittance of SSS contribution of JO employees for February 2022</t>
  </si>
  <si>
    <t>DONATION FOR THE HOSPITAL BILLS COVERING THE PERIOD FEB. 14-17, 2022</t>
  </si>
  <si>
    <t xml:space="preserve">Centro Medico Santisimo Rosario Inc. </t>
  </si>
  <si>
    <t>DONATION FOR THE HOSPITAL BILLS COVERING THE PERIOD FEB. 14-16,2022</t>
  </si>
  <si>
    <t xml:space="preserve">Bataan Doctors Hospital and Medical Center Inc, </t>
  </si>
  <si>
    <t xml:space="preserve">Mc Jurry C. Perez </t>
  </si>
  <si>
    <t>DONATION TO JAZEL ANNE PEREZ AND MC ZIONN PEREZ FOR THEIR HOSPITAL BILLS QR: 0221220001</t>
  </si>
  <si>
    <t xml:space="preserve">Florante C. Mejia </t>
  </si>
  <si>
    <t>DONATION TO CLIENT FOR HIS HOSPITAL BILL AND MEDICAL NEEDS QR: 0223220004</t>
  </si>
  <si>
    <t xml:space="preserve">Gerone Dela Peña Koenigsteadter </t>
  </si>
  <si>
    <t>DONATION TO CARLOS KOENIGSTEADTER FOR HIS BURIAL EXPENSES QR: 0223220003</t>
  </si>
  <si>
    <t xml:space="preserve">Angelina S. Dela Cruz </t>
  </si>
  <si>
    <t>DONATION TO LYDIA DELA CRUZ FOR HER MEDICAL NEEDS AND PROFESSIONAL FEE QR: 0223220002</t>
  </si>
  <si>
    <t xml:space="preserve">Corazon R. Ortiz </t>
  </si>
  <si>
    <t>DONATION TO WILSON JIMENEZ FOR HIS MEDICAL NEEDS QR: 0223220005</t>
  </si>
  <si>
    <t xml:space="preserve">Mary Grace R. Padul </t>
  </si>
  <si>
    <t>DONATION TO CONCEPCION ANG FOR HER MEDICAL NEEDS QR: 0223220016</t>
  </si>
  <si>
    <t xml:space="preserve">Maria Luisa C. Almirante </t>
  </si>
  <si>
    <t>DONATION TO CLIENT FOR HER MEDICAL NEEDS QR: 0223220001</t>
  </si>
  <si>
    <t xml:space="preserve">Reynaldo P. Jimenez </t>
  </si>
  <si>
    <t>Payment of his salary differential from January 3 - February 28, 2022</t>
  </si>
  <si>
    <t xml:space="preserve">Jocelyn V. Rueda </t>
  </si>
  <si>
    <t>Payment of her salary differential from January 3- February 28, 2022</t>
  </si>
  <si>
    <t xml:space="preserve">Renan Archibal N. de Guia </t>
  </si>
  <si>
    <t>Payment of his first salary and PERA as Administrative Officer III from January 3-31, 2022 to February 1-28, 2022</t>
  </si>
  <si>
    <t xml:space="preserve">Edgar Alvin L. Dolor </t>
  </si>
  <si>
    <t>Payment of his first salary as Administrative Assistant III with a monthly rate of P 20,402.00 from January 3, 2022 to February 28, 222</t>
  </si>
  <si>
    <t xml:space="preserve">Aesa B. Rivas </t>
  </si>
  <si>
    <t>Payment of his first salary as Project Development Officer I with a monthly rate of P25,439.00 from January 3, 2022 to February 28, 222</t>
  </si>
  <si>
    <t>Payment of her salary as Administrative Assistant VI with a monthly rate of P27,608 for February 2022</t>
  </si>
  <si>
    <t xml:space="preserve">Mariel Dabu </t>
  </si>
  <si>
    <t>Payment of her first salary and PERA as Administrative Aide III from January 3-31 to February 1-28, 2022</t>
  </si>
  <si>
    <t xml:space="preserve">Josephine A. Mendoza </t>
  </si>
  <si>
    <t xml:space="preserve">Gemma G. Dilig </t>
  </si>
  <si>
    <t>DONATION TO SANTOS GALICIA FOR HIS BURIAL EXPENSES QR: 0216220010</t>
  </si>
  <si>
    <t xml:space="preserve">Yogielyn Q. Baltazar </t>
  </si>
  <si>
    <t>DONATION TO ROGELIO BALTAZAR FOR HIS BURIAL EXPENSES QR: 0216220009</t>
  </si>
  <si>
    <t xml:space="preserve">Aljon P. Salandanan </t>
  </si>
  <si>
    <t>DONATION TO RACHELL SALANDANAN FOR HER HOSPITAL BILL QR: 0216220024</t>
  </si>
  <si>
    <t xml:space="preserve">Winnie V. Sapallo </t>
  </si>
  <si>
    <t>DONATION TO OFELIA VILLEGAS FOR HER MEDICAL NEEDS QR: 0216220020</t>
  </si>
  <si>
    <t xml:space="preserve">Leopoldo Thaddeus F. Mercado </t>
  </si>
  <si>
    <t>DONATION TO CLIENT FOR HIS MEDICAL NEEDS QR: 0216220018</t>
  </si>
  <si>
    <t>DONATION TO ALFREDO REYES FOR HIS BURIAL EXPENSES QR: 0224220001</t>
  </si>
  <si>
    <t xml:space="preserve">Catalina G. Morales </t>
  </si>
  <si>
    <t>DONATION TO ERWIN MORALES FOR HIS BURIAL EXPENSES QR: 0224220007</t>
  </si>
  <si>
    <t xml:space="preserve">Anabel H. Villegas </t>
  </si>
  <si>
    <t>DONATION TO DELFIN VILLEGAS FOR HIS BURIAL EXPENSES QR: 0224220013</t>
  </si>
  <si>
    <t xml:space="preserve">Michael M. Gomez </t>
  </si>
  <si>
    <t>DONATION TO FERNANDO GOMEZ FOR HIS HOSPITAL BILL QR: 0224220006</t>
  </si>
  <si>
    <t xml:space="preserve">Karen C. Columna </t>
  </si>
  <si>
    <t>DONATION TO BONNIE COLUMNA FOR HIS HOSPITAL BILL QR: 0224220004</t>
  </si>
  <si>
    <t xml:space="preserve">Ma. Jonel R. Morales </t>
  </si>
  <si>
    <t>DONATION TO SAMANTHA JOY MORALES FOR HER HOSPITAL BILL QR: 0224220005</t>
  </si>
  <si>
    <t xml:space="preserve">Jesa Q. Siasat </t>
  </si>
  <si>
    <t>DONATION TO AURORA SIASAT FOR HER MEDICAL NEEDS QR: 0224220008</t>
  </si>
  <si>
    <t>DONATION TO CLIENT FOR HER MEDICAL NEEDS QR: 0224220002</t>
  </si>
  <si>
    <t xml:space="preserve">Jacinto O. Marcelo </t>
  </si>
  <si>
    <t>DONATION TO JULIETA MARCELO FOR HER MEDICAL NEEDS QR: 0224220010</t>
  </si>
  <si>
    <t xml:space="preserve">Maria Angelica Mae M. Del Rosario </t>
  </si>
  <si>
    <t>DONATION TO CLIENT OFR HER MEDICAL NEEDS QR: 0224220014</t>
  </si>
  <si>
    <t xml:space="preserve">Joeclyn D. Quimlat </t>
  </si>
  <si>
    <t>DONATION TO KRISTINA DE LEON FOR HER HOSPITAL BILL QR: 0224220016</t>
  </si>
  <si>
    <t xml:space="preserve">Emma V. Muli </t>
  </si>
  <si>
    <t>DONATION TO MAREE MULI FOR HER MEDICAL NEEDS QR: 0224220018</t>
  </si>
  <si>
    <t xml:space="preserve">Rosine P. Navaja </t>
  </si>
  <si>
    <t>DONATION TO CHARLIE DE LEON FOR HIS PROFESSIONAL FEE AND MEDICAL NEEDS QR: 0224220017</t>
  </si>
  <si>
    <t>Replenishment of Emergency Purchases of NBB Patients of Jose C. Payumo Jr. Memorial Hospital for the period from February 22, 2022 to February 24, 2022</t>
  </si>
  <si>
    <t xml:space="preserve">Joel C. Anicete </t>
  </si>
  <si>
    <t>Payment clothing allowance for the year 2022</t>
  </si>
  <si>
    <t>To Reimburse his expenses incurred in the payment of Janitorial Services for the Bunker</t>
  </si>
  <si>
    <t>PURPOSE COOP- Payment of newspaper subscription for the period of February 2022</t>
  </si>
  <si>
    <t>PURPOSE COOPERATIVE- Payment of newspaper subscription for the month of February 2022</t>
  </si>
  <si>
    <t>PURPOSE COOPERATIVE- Payment for the newspaper subscription for the month of February 2022</t>
  </si>
  <si>
    <t>Payment of meals during meeting with BHSO and HBMAYUGA last January 28, 2022</t>
  </si>
  <si>
    <t>Payment of Electric Bill of Checkpoint Palihan and Checkpoint Balsik for the month of January 2022</t>
  </si>
  <si>
    <t>Payment of Electric Bill of MBDA RELAY for the month of January 2022</t>
  </si>
  <si>
    <t>Payment of Electric Bill of ESTABLISHMENT OF PROVINCIAL PLANT (Pilar) for the month of January 2022 (07-0720-0067-P)</t>
  </si>
  <si>
    <t>Payment of Electric Bill of CCTV the month of January 2022 (CCTV:Balanga, Pilar, Abucay, Pilar, Orion, Orion)</t>
  </si>
  <si>
    <t>Payment of Electric Bill of MDH for the month of January 2022 (Acct No, 50666)</t>
  </si>
  <si>
    <t>Payment of Electric Bill of MDH for the month of January 2022 (Acct No, 50774)</t>
  </si>
  <si>
    <t>Payment of Electric Bill of BATAAN PEOPLE'S CENTER 3 for the month of January 2022</t>
  </si>
  <si>
    <t>Payment of yearly Rental of 2 units 37 1/2 KVA Transformer of Provincial Motorpool on November 2020</t>
  </si>
  <si>
    <t>Payment of Electric Bill of MBDA Satellite Office for the month of January 2022</t>
  </si>
  <si>
    <t>Payment of Electric Bill of Balanga Tricycle Terminal, Roman Hi-way, Balanga City for the month of January 2022 (Acct No. 01-0135-0439)</t>
  </si>
  <si>
    <t>Payment of Electric Bill of Different Hospital for the month of January 2022</t>
  </si>
  <si>
    <t>Cash advace for various obligation</t>
  </si>
  <si>
    <t xml:space="preserve">Anthony Cortez </t>
  </si>
  <si>
    <t>Payment of his first salary as Security Agent II with a monthly rate of P22,190.00 for January 16, 2022-February 1-28, 202</t>
  </si>
  <si>
    <t xml:space="preserve">Hanna Shyrine Majadas </t>
  </si>
  <si>
    <t>Payment of her first salary as Community Affiars Officer I with a monthly rate of P25,439.00 for the period of February 2-28, 2022</t>
  </si>
  <si>
    <t xml:space="preserve">Katherine Reyes </t>
  </si>
  <si>
    <t>Payment of her first salary as Community Affairs Officer III with a monthly rate of P45,203 for February 2-28, 2022</t>
  </si>
  <si>
    <t xml:space="preserve">Celine Antonio </t>
  </si>
  <si>
    <t>Payment of her salary differential from January 3, 2022 to February 28, 2022 as Administrative Officer II at rate of P25,439.00</t>
  </si>
  <si>
    <t xml:space="preserve">Austin Diego </t>
  </si>
  <si>
    <t>Payment of first salary as Veterinarian I from January 3, 2022 to February 28, 222</t>
  </si>
  <si>
    <t xml:space="preserve">Emily B. Capili </t>
  </si>
  <si>
    <t>Payment of her salary differential from Administrative Aide VI to Administrative Assistant III from January 3, 2022 to February 28, 2022</t>
  </si>
  <si>
    <t xml:space="preserve">Mary Jane D. Balana </t>
  </si>
  <si>
    <t>Payment of salary differential as Security Officer III with a monthly rate if P45,203.00 from January 16, 2022 to February 28, 2022</t>
  </si>
  <si>
    <t xml:space="preserve">Rogina T. Clemente </t>
  </si>
  <si>
    <t>Payment of salary for the period of February 1-28, 2022</t>
  </si>
  <si>
    <t xml:space="preserve">Rico T. Bozar </t>
  </si>
  <si>
    <t>Payment of his first salary as Driver I with a monthly rate of Php 14,125.00 for the month of January- February 2022</t>
  </si>
  <si>
    <t xml:space="preserve">Juanito Medina Jr. </t>
  </si>
  <si>
    <t>Payment of his first salaryas Labor Gen. Foreman with a monthly rate of PhP 18,998.00 for the period of Janury - February 2022</t>
  </si>
  <si>
    <t xml:space="preserve">Isabel Claire Gamat </t>
  </si>
  <si>
    <t>Payment of her first salary as Draftsman I with a monthly rate of Php 16,877.300 for the month of January-February 2022</t>
  </si>
  <si>
    <t xml:space="preserve">Ma. Cecilia Tordera </t>
  </si>
  <si>
    <t>Payment of her first salary as Engineering Aide with a monthly rate of Php 14,993.00 for the month of January-February 2022</t>
  </si>
  <si>
    <t>Payment of 140.912 days terminal leave as Administrative Aide I (Utility Worker I0 with a salary rate of 12,756.00 per month in Bagac Community and Medicare Hospital, Bagac, Bataan</t>
  </si>
  <si>
    <t xml:space="preserve">Adrian C. Dinglasan </t>
  </si>
  <si>
    <t>Payment of his first salary as CEO II with a monthly rate of Php 16,877.300 for the month of January-February 2022</t>
  </si>
  <si>
    <t>Tokens for Judges t to be used for the Celebration of Foundation Day on January 3, 2022- January 11, 2022</t>
  </si>
  <si>
    <t>Payment of fuel consumption for the period of Nov 15-21,2021 (MDH)</t>
  </si>
  <si>
    <t>Payment of fuel consumption for the period of February 7-13, 2022 (PGO)</t>
  </si>
  <si>
    <t>Payment of fuel consumption for the period of February 7-13, 2022 (MBDA)</t>
  </si>
  <si>
    <t>Replenishment of revolving fund for payment of donation of indigents constituents in the Province of Bataan for the period of March 3-4, 2022</t>
  </si>
  <si>
    <t>Reimbursement of registration fee and per diem attending the PBMLP 1st quarter National board meeting lastFebruary 21-23, 2022</t>
  </si>
  <si>
    <t>DONATION FOR THE HOSPITAL BILLS COVERING THE PERIOD FEB. 14-18, 2022</t>
  </si>
  <si>
    <t xml:space="preserve">Concepcion Y. Florendo </t>
  </si>
  <si>
    <t>DONATION TO EDUARD PATRICIO FLORENDO FOR HIS BURIAL EXPENSES QR: 0216220002</t>
  </si>
  <si>
    <t>Advance payment of registration fee and per diem of Board Members attending PBMLP 30th National Convention on March 17 -19, 2022 at Sofitel Hotel Manila,</t>
  </si>
  <si>
    <t>Payment of overtime pay for the month of February 2022</t>
  </si>
  <si>
    <t>Payment of Electric Bill of BATAAN PEOPLE'S CENTER II for the month of January 2022</t>
  </si>
  <si>
    <t>Payment of Electric Bill of BJMP (Mega Processing Covid-19 Facility for the month of January 2022</t>
  </si>
  <si>
    <t>Payment of Electric Bill of PGSO Checkpoint Brgy. Tucop, Dinalupihan for the month of January 2022</t>
  </si>
  <si>
    <t>Payment of Electric Bill of PGSO Checkpoint Brgy. Roosevelt, Dinalupihan for the month of January 2022</t>
  </si>
  <si>
    <t xml:space="preserve">Government Service Insurance system </t>
  </si>
  <si>
    <t>Payment for insurance of one (1) unit service vehicle owned by PGB</t>
  </si>
  <si>
    <t>Payment of her salary for the period of February 1-28, 2022</t>
  </si>
  <si>
    <t>Payment of her salary for period of February 1-28, 2022</t>
  </si>
  <si>
    <t xml:space="preserve">Ernesto N. Labog, Jr. </t>
  </si>
  <si>
    <t>Payment of his salary differential for January 2022 and February 2022</t>
  </si>
  <si>
    <t>Additional remittance of philhealth contribution of consultants for January 2022</t>
  </si>
  <si>
    <t xml:space="preserve">Jennifer Z. Lozada </t>
  </si>
  <si>
    <t>DONATION TO ELISEO ZULUETA FOR HIS BURIAL EXPENSES QR: 0216220021</t>
  </si>
  <si>
    <t xml:space="preserve">Jose Antonio M. Lapido </t>
  </si>
  <si>
    <t>DONATON TO EDILBERTA JORGE FOR HER BURIAL EXPENSES QR: 0216220006</t>
  </si>
  <si>
    <t>DONATION TO PEPITO MAGULIT FOR HIS BURIAL EXPENSES</t>
  </si>
  <si>
    <t xml:space="preserve">Renz John V. Nicdao </t>
  </si>
  <si>
    <t>DONATION TO WIZ NIGEL NICDAO FOR HIS HOSPITAL BILL QR: 0223220008</t>
  </si>
  <si>
    <t xml:space="preserve">Angelica Mae L. Olaco </t>
  </si>
  <si>
    <t>DONATION TO AKEEM ETHAN OLACO FOR HIS HOSPITLA BILL QR: 0223220009</t>
  </si>
  <si>
    <t xml:space="preserve">Merlita O. Natividad </t>
  </si>
  <si>
    <t>DONATION TO ROSALIE NATIVIDAD FOR HER HOSPITAL BILL QR: 0216220012</t>
  </si>
  <si>
    <t xml:space="preserve">Shiela Dela Cruz Zulueta </t>
  </si>
  <si>
    <t>DONATION TO NENITA ZULUETA FOR HER HOSPITAL BILL AND PROFESSIONAL FEE QR: 0224220003</t>
  </si>
  <si>
    <t xml:space="preserve">Roberto R. Santos </t>
  </si>
  <si>
    <t>DONATION TO MELINDA SANTOS FOR HER HOSPITAL BILL AND MEDICAL NEEDS QR: 0216220023</t>
  </si>
  <si>
    <t xml:space="preserve">Nenita D. Farrales </t>
  </si>
  <si>
    <t>DONATION TO FLORITA DELA ROSA FOR HER MEDICAL NEEDS QR: 0216220001</t>
  </si>
  <si>
    <t xml:space="preserve">Julita G. Legaspi </t>
  </si>
  <si>
    <t>DONATION TO CLIENT FOR HER MEDICAL NEEDS QR: 0216220008</t>
  </si>
  <si>
    <t xml:space="preserve">Norma B. Rico </t>
  </si>
  <si>
    <t>DONATION TO JOSE DANIEL RICO FOR HIS BURIAL EXPENSES QR: 0216220015</t>
  </si>
  <si>
    <t xml:space="preserve">Marjorie M. Sengco </t>
  </si>
  <si>
    <t>DONATION TO MYRNA SONGCO FOR HER BURIAL EXPENSES QR: 0216220013</t>
  </si>
  <si>
    <t xml:space="preserve">Francesca P. Santos </t>
  </si>
  <si>
    <t>DONATION TO YOLANDA FOR HER HOSPITAL BILL QR: 0223220010</t>
  </si>
  <si>
    <t xml:space="preserve">Eddie P. Rodriguez </t>
  </si>
  <si>
    <t>DONATION TO ASUNCION RODRIGUEZ FOR HER HOSPITAL BILL AND MEDICAL NEEDS QR: 0216220005</t>
  </si>
  <si>
    <t xml:space="preserve">Ma. Remedios C. Palad </t>
  </si>
  <si>
    <t>DONATION TO MICHELLE SOBERANO FOR HER HOSPITAL BILL QR: 0216220019</t>
  </si>
  <si>
    <t xml:space="preserve">Jim Christopher M. Gonzales </t>
  </si>
  <si>
    <t>DONATION TO JOHAN GONZALES FOR HIS MEDICAL NEEDS QR: 0216220011</t>
  </si>
  <si>
    <t>Fuel on different service vehicle used by BJMP, OPA, PCEDO, PGENRO, PIO, PPDO, PVO Jan 3-9, 2022</t>
  </si>
  <si>
    <t>Payment of fuel on different service vehicle used by PDRRMO, PPDO, PCEDO, OPA, PTO, PIO, PGENRO, PVO, PNP &amp; Army for Jan24-30, 2022</t>
  </si>
  <si>
    <t>Fuel on different service vehicle used by PPDO, VEt, PDRRMO, ENRO, PHO, Tourism &amp; PCEDO Janauray 17-23, 2022</t>
  </si>
  <si>
    <t>Payment of fuel consumption for the period of Januaru 1-9, 2022 (MDH)</t>
  </si>
  <si>
    <t>Payment of fuel consumption for the period of Januaru 10-16, 2022 (MDH)</t>
  </si>
  <si>
    <t>Payment of fuel consumption for the period of January 3-9, 2022 (PGSO)</t>
  </si>
  <si>
    <t>Payment of fuel consumption for the period of January 3 to 9, 2022 (Legal)</t>
  </si>
  <si>
    <t>Fuel on different service vehicle used by PCEDO Jan 10-16, 2022</t>
  </si>
  <si>
    <t>Payment of fuel consumption for the period of January 24-30, 2022 (LEGAL)</t>
  </si>
  <si>
    <t>Payment of fuel consumption for the period of January 17-23, 2022 (PEO)</t>
  </si>
  <si>
    <t>Payment of fuel consumption for the period of January 3-9, 2022 (PEO)</t>
  </si>
  <si>
    <t>Payment of fuel consumption for the period of January 3-9, 2022</t>
  </si>
  <si>
    <t>Payment of fuel consumption for the period of JAn 10-16, 2022 (LEGAL)</t>
  </si>
  <si>
    <t>Payment of fuel consumption for the period of JAn 17-23, 2022 (LEGAL)</t>
  </si>
  <si>
    <t>Payment of fuel on different service vehicle used by PNP, BJMP, OPA, PTO &amp; SOCO for Jan 17-23, 2022</t>
  </si>
  <si>
    <t>Fuel on different service vehicle used by BJMP, OPA, PDRRMO, PGENRO, PIO, PPDO, PVO Jan 10-16, 2022</t>
  </si>
  <si>
    <t>Payment of fuel consumption for the period of January24-30,2022 (PEO)</t>
  </si>
  <si>
    <t>Payment of fuel consumption for the period of January 10-16, 2022 (PEO)</t>
  </si>
  <si>
    <t>Payment of fuel consumption for the period of December 27, 2021 - January 2, 2022 (PEO)</t>
  </si>
  <si>
    <t>Payment of fuel consumption for the period of January 3-9, 2022 (PHO)</t>
  </si>
  <si>
    <t>Fuel on different service vehicle used by SOCO, PHO &amp; PNP Jan 10-16, 20-22</t>
  </si>
  <si>
    <t>Replenishment of Revolving Fund for payment of donation to indigent constituents from Province of Bataan (March 07-08)</t>
  </si>
  <si>
    <t xml:space="preserve">Rolando S. Salvador </t>
  </si>
  <si>
    <t>Payment of 50% monetized leave for the year 2022</t>
  </si>
  <si>
    <t>Payment for Insurance of three (3) unit service vehicle owned by PGB</t>
  </si>
  <si>
    <t>Payment for Insurance of six(6) unit service vehicle owned by PGB</t>
  </si>
  <si>
    <t>Payment for Insurance of seven (7) unit service vehicle owned by PGB</t>
  </si>
  <si>
    <t xml:space="preserve">Karen June A. Balbuena </t>
  </si>
  <si>
    <t>Payment of 15 days monetized leave for the year 2022</t>
  </si>
  <si>
    <t xml:space="preserve">Leonilo C. Paguio </t>
  </si>
  <si>
    <t>Payment of 15 days monetized leave credit for the year 2022</t>
  </si>
  <si>
    <t>Payment of telephone expenses (237-24141) for the period of February 18 to March 17, 2022</t>
  </si>
  <si>
    <t>Reimbursement of Preventive maintenance for 110,000 km check-up for Ford Everest IO-4973 c/o BM Edgardo P. Calimbas</t>
  </si>
  <si>
    <t xml:space="preserve">Noel M. Montemayor </t>
  </si>
  <si>
    <t>Payment of his first salary and PERA as Security Agent I (Co-Terminus) in the Office of the Sangguniang Panlalawiganfor the period of February 1-28, 2022</t>
  </si>
  <si>
    <t>Payment of Electric Bill of various offices, buildings and street lights owned by the PGB for the month of January 2022</t>
  </si>
  <si>
    <t xml:space="preserve">Crisanto C. Mendez </t>
  </si>
  <si>
    <t>Payment of his first salary as Security Agent II with a monthly rate of P 22,190.00 from February 1-28, 2022</t>
  </si>
  <si>
    <t xml:space="preserve">Jobelle Keith C. Dabuet </t>
  </si>
  <si>
    <t>Payment of her salary differential from January 3 - February 28, 2022 as Administrative Assistant VI</t>
  </si>
  <si>
    <t xml:space="preserve">Joanamary N. Magpoc </t>
  </si>
  <si>
    <t>Payment of 92.815 days Terminal Leave as Health and Education Promotion Officer II with a monthly rate of P31,143.00per month in the Provincial Health Office</t>
  </si>
  <si>
    <t>Payment of overtine pay for the period of January 1-31, 202</t>
  </si>
  <si>
    <t>Payment of his overtime pay for the period of February, 2022</t>
  </si>
  <si>
    <t>Payment of PLDT Fiber for the month of February 22, 2022 to March 21, 2022</t>
  </si>
  <si>
    <t>Payment of his salary as Local Disas Risk Reduction and Management Assistant with a monthly rate of P 18,998.00 from February 1-28, 2022</t>
  </si>
  <si>
    <t xml:space="preserve">Warren Tomas </t>
  </si>
  <si>
    <t>Payment of 14 days monetized leave credits</t>
  </si>
  <si>
    <t>Payment of serivces rendered for the month of February 2022</t>
  </si>
  <si>
    <t>Payment for ten pcs (10) commercial checkbooks</t>
  </si>
  <si>
    <t>Payment of Internet Landline of Jose C. Payumo Jr. Memorial Hospital for the period of February 21, 2022 to March 20, 2022</t>
  </si>
  <si>
    <t>Payment of honorarium of Municipal Treasurers for the month of February 2022</t>
  </si>
  <si>
    <t xml:space="preserve">Rosalinda Atiena </t>
  </si>
  <si>
    <t>Laygo - Payment of allowance for the period of February 2022</t>
  </si>
  <si>
    <t>Payment of allowance for the period of February 2022</t>
  </si>
  <si>
    <t>Payment of allowance in Regional Trial Court for the month of February 2022</t>
  </si>
  <si>
    <t>Payment of Allowance for the month of February 2022</t>
  </si>
  <si>
    <t xml:space="preserve">Amelita Cruz Corpuz </t>
  </si>
  <si>
    <t>Payment of allowance for the month of February 2022</t>
  </si>
  <si>
    <t>Payment of allowance as Clerk of Court II of MTC Abucay, Bataan for the month of February</t>
  </si>
  <si>
    <t>Payment Allowance for the month of February 2022</t>
  </si>
  <si>
    <t>Payment of allowance in the Regional Trial Court of Bataan- Branch 3 for the month of February 2022</t>
  </si>
  <si>
    <t>Replenishment of Emergency Purchases of NBB Patients of Jose C. Payumo Jr. Memorial Hospital for the period from February 25, 2022 to February 28, 2022</t>
  </si>
  <si>
    <t>Replenishment of cash advance for emergency purchase of JPMH from February 18 -22, 2022</t>
  </si>
  <si>
    <t>Fuel on different service vehicle used by BJMP, Tourism &amp; PHO January 24-30, 2022</t>
  </si>
  <si>
    <t>Payment of fuel consumption for the period of January 24-30,2022 (COA)</t>
  </si>
  <si>
    <t>Payment of fuel consumption</t>
  </si>
  <si>
    <t>Payment of fuel consumption for the period of February 14-20, 2022 (MBDA)</t>
  </si>
  <si>
    <t>Reimbursement of the amount paid for LTO Registration of Fifteen (15) Service vehicle owned by PGB</t>
  </si>
  <si>
    <t>Payment of allowance in Regional Trial Court of Bataan for the month of February 2022</t>
  </si>
  <si>
    <t>Reimbursement of the amount paid for LTO Registration of Eight (8) Service vehicle owned by PGB</t>
  </si>
  <si>
    <t>Reimbursement of the amount paid for LTO Registration of Nine (9) Service vehicle owned by PGB</t>
  </si>
  <si>
    <t>Payment of her RIC Allowance for the month of February 2022</t>
  </si>
  <si>
    <t xml:space="preserve">Emelyn P. Magulit </t>
  </si>
  <si>
    <t>Donation for and in Behalf of the deceased Barangay Tanod Pepito M. Magulit of Barangay Pinulot, Dinalupihan, Bataan</t>
  </si>
  <si>
    <t xml:space="preserve">Marivic D. Manalansan </t>
  </si>
  <si>
    <t>Donation for and in Behalf of the deceased Barangay Tanod Enrique G. Manalansan of Barangay Bayan, Orani, Bataa</t>
  </si>
  <si>
    <t>Payment of fuel consumption for the period of January 31 to February 6, 2022</t>
  </si>
  <si>
    <t>Feeds to be used in Swine Multiplier and Technodemo farm in Mariveles, Bataan</t>
  </si>
  <si>
    <t>Maria Khristine G. dela Fuente</t>
  </si>
  <si>
    <t xml:space="preserve">Erwin M. Oximoso </t>
  </si>
  <si>
    <t xml:space="preserve">CEMBA MPC </t>
  </si>
  <si>
    <t>PURPOSE COOPERATIVE (CEMBA)- Payment for monthly subscription of newspaper delivered in Vice Gov. and SP Secretariat Office for the month of February 2022</t>
  </si>
  <si>
    <t>Replenishment of cash advance to defray payment of Daily Market Purchases from February 22-28, 2022</t>
  </si>
  <si>
    <t>Replenishment of cash advance for emergency purchases of Jose C. Payumo Memorial Jr. Dinalupihan, Bataan from February 22, 2022 to February 26, 2022</t>
  </si>
  <si>
    <t>Monthly Subscription fee of Metro Ethernet Service for the use of CCTV Cameras of MBDA for the month of March 1-31, 2022</t>
  </si>
  <si>
    <t>Payment of telephone bill of 911/653746601 1Bataan Command Center/MBDA January 17, 2021 to February 16, 2022 and February 17, 2022 to March 16, 2022</t>
  </si>
  <si>
    <t>Replenishment of Incidental Expenses and Daily Market Purchase of BCMH from February, 2022</t>
  </si>
  <si>
    <t xml:space="preserve">Jude Chester Malungcut </t>
  </si>
  <si>
    <t>Payment of his First Salary as Medical Officer III of ODH from January 3 to February 28, 2022</t>
  </si>
  <si>
    <t xml:space="preserve">Christopher S. Puzon </t>
  </si>
  <si>
    <t>Payment of his First Salary as Laundry Worker I of ODH from January 3 to February 28, 2022</t>
  </si>
  <si>
    <t xml:space="preserve">Anna Carina M. Taduan </t>
  </si>
  <si>
    <t>Payment of her First Salary as Social Welfare Office I of ODH from January 3 to February 28, 2022</t>
  </si>
  <si>
    <t xml:space="preserve">Wilfredo Roman </t>
  </si>
  <si>
    <t>Payment of his First Salary as Administrative Aide III of ODH from January 3 to February 28, 2022</t>
  </si>
  <si>
    <t>Payment of telephone bill for hotline (047) 613-8888/ 652661831, 1Bataan Command Center / MBDA Office for the month period up to January 17, 2022 to February 16, 2022, February 17, 2022 to March 16, 2022</t>
  </si>
  <si>
    <t xml:space="preserve">Converge Information and Communications Technology Solutions Inc. </t>
  </si>
  <si>
    <t>Payment of Internet Bill of MBDA Account number 0030300011924 for the month of March 1-31, 2022</t>
  </si>
  <si>
    <t>Payment of Internet Bill of 1Bataan Command Center Account Number 0030300182942 for the month of March 1-31, 2022</t>
  </si>
  <si>
    <t xml:space="preserve">Hon Judge Ma. Lourdes Eltanal-Ignacio </t>
  </si>
  <si>
    <t xml:space="preserve">Berlino A. Reyes </t>
  </si>
  <si>
    <t>DONATION TO MARIA REYES FOR HOSPITAL BILL QR: 030322032</t>
  </si>
  <si>
    <t xml:space="preserve">Virginia A. Lumbre </t>
  </si>
  <si>
    <t>DONATION TO JASON ROY LUMBRE FOR HIS HOSPITAL BILL QR: 0303220022</t>
  </si>
  <si>
    <t xml:space="preserve">Lorena L. Cayanan </t>
  </si>
  <si>
    <t>DONATION TO ERLINDA LOPEZ FOR HER HOSPITAL BLL AND MEDICAL NEEDS QR: 0303220027</t>
  </si>
  <si>
    <t xml:space="preserve">Raymundo D. Cruz </t>
  </si>
  <si>
    <t>DONATION TO CLIENT FOR HIS HOSPITAL BILL QR: 0303220028</t>
  </si>
  <si>
    <t xml:space="preserve">Aleth M. Franco </t>
  </si>
  <si>
    <t>DONATION TO MELODY FRANCO FOR HER MEDICAL NEEDS QR: 0303220031</t>
  </si>
  <si>
    <t xml:space="preserve">Marlyn S. Mangaliman </t>
  </si>
  <si>
    <t>DONATION TO ROLANDO MANGALIMAN FOR HIS MEDICAL NEEDS QR: 0303220033</t>
  </si>
  <si>
    <t xml:space="preserve">Mary Janelle Mina </t>
  </si>
  <si>
    <t>DONATION TO ROSALINDA MINA FOR HER PROFESSIONAL FEE AND MEDICAL NEEDS QR: 0303220039</t>
  </si>
  <si>
    <t xml:space="preserve">Chereen Diarra H. Pizarro </t>
  </si>
  <si>
    <t>DONATION TO MA. TEODORO PIZARRO FOR HER MEDICAL NEEDS QR: 0303220023</t>
  </si>
  <si>
    <t xml:space="preserve">Julius H. Casuga </t>
  </si>
  <si>
    <t>Donation for participating the Mister Asian International on March 7-29, 2022 at Singapore</t>
  </si>
  <si>
    <t xml:space="preserve">Minerva Jimenez-Ines </t>
  </si>
  <si>
    <t>Ines-Payment of allowance for the month of February 2022</t>
  </si>
  <si>
    <t xml:space="preserve">Johnnel Soriano </t>
  </si>
  <si>
    <t xml:space="preserve">Elaine Villanueva </t>
  </si>
  <si>
    <t>Payment of 15.063 days terminal Leave Benefits</t>
  </si>
  <si>
    <t xml:space="preserve">Merlita Tiangco </t>
  </si>
  <si>
    <t>DONATION TO CLIENT FOR HER HOSPITALBILL QR: 0303220024</t>
  </si>
  <si>
    <t>To Reimburse his expenses incurred in the payment of meals and snacks during COA Exit Conference for Philippine Rural Development Project (PRDP) Sub-Projects</t>
  </si>
  <si>
    <t>REIMB.OF HIS EXPENSES INCURRED IN THE PAYMENT OF VARIOUS EXPENSES FOR VARIOUS MEETING AND VISITORS IN THE OFFICE OF THE GOVERNOR DATED DEC.3,6,9,17 AND 21,2021</t>
  </si>
  <si>
    <t>Replenishment of Incidental Expenses and Daily Market Purchase of Bagac Community and Medicare Hospital from January 19-31, 2022</t>
  </si>
  <si>
    <t>Reimbursement of gasoline expenses of Jose C. Payumo Jr. Memorial Hospital for the period from February 1, 2022 to February 14, 2022</t>
  </si>
  <si>
    <t xml:space="preserve">Michael O. Nicdao </t>
  </si>
  <si>
    <t>DONATION TO JHONA NICDAO AND MIKAEL JOHAN NICDAO FOR THEIR HOSPITAL BILLS QR: 0303220036</t>
  </si>
  <si>
    <t xml:space="preserve">Jinky B. Molina </t>
  </si>
  <si>
    <t>DONATION TO AEVINCE JULIANN MOLINA FOR HIS HOSPITAL BILL AND MEDICAL EXPENSES QR: 0228220014</t>
  </si>
  <si>
    <t xml:space="preserve">Myrna T. De Guia </t>
  </si>
  <si>
    <t>DONATION TO CLIENT FOR HER MEDICAL NEEDS QR: 0302220031</t>
  </si>
  <si>
    <t xml:space="preserve">Melissa Joy S. Buco </t>
  </si>
  <si>
    <t>DONATION TO JOSE BUCO FOR HIS MEDICAL NEEDS QR: 0302220023</t>
  </si>
  <si>
    <t xml:space="preserve">Imelda G. Pareja </t>
  </si>
  <si>
    <t>DONATION TO MARIO PAREJA FOR HIS BURIAL EXPENSES QR: 0303220004</t>
  </si>
  <si>
    <t xml:space="preserve">Myrna D. Sevilla </t>
  </si>
  <si>
    <t>DONATION TO ANGELINA DE SLVA FOR HER BURIAL EXPENSES QR: 0303220001</t>
  </si>
  <si>
    <t xml:space="preserve">Romil C. Pancho </t>
  </si>
  <si>
    <t>DONATION TO PRUDENCIO PANCHO JR. FOR HIS BURIAL EXPENSES QR: 0303220003</t>
  </si>
  <si>
    <t xml:space="preserve">Jenna Mae Lois M. Enriquez </t>
  </si>
  <si>
    <t>DONATION TO MARRY GRACE ENRIQUEZ FOR HER HOSPITAL BILL AND MEDICAL NEEDS QR: 0304220017</t>
  </si>
  <si>
    <t xml:space="preserve">Royel S. Ignacio </t>
  </si>
  <si>
    <t>DONATION TO RICARDO IGNACIO FOR HIS HOSPITAL BILL QR: 0304220019</t>
  </si>
  <si>
    <t xml:space="preserve">Estrella R. Abadia </t>
  </si>
  <si>
    <t>DONATION TO RICARDO RAMIREZ FOR HIS HOSPITAL BILL QR: 0304220014</t>
  </si>
  <si>
    <t>DONATION TO RHOY ADRIAN FLORES FOR HIS HOSPITAL BILL QR: 0304220015</t>
  </si>
  <si>
    <t xml:space="preserve">Dexter P. Capuyan </t>
  </si>
  <si>
    <t>DONATION TO ROBERTO CAPUYAN FOR HIS HOSPITAL BILL QR: 0303220029</t>
  </si>
  <si>
    <t xml:space="preserve">Tyron John S. Magpoc </t>
  </si>
  <si>
    <t>DONATION TO YSABELLA NATHALIA MAGPOC FOR HER MEDICAL NEEDS QR: 0303220005</t>
  </si>
  <si>
    <t xml:space="preserve">Jeremiah S. Consunto </t>
  </si>
  <si>
    <t>DONATION TO MATILDE FOR HER MEDICAL NEEDS QR: 0304220016</t>
  </si>
  <si>
    <t xml:space="preserve">Jay R. Jucdong </t>
  </si>
  <si>
    <t>DONATION TO CLIENT FOR PURCHASE OF BASIC NECESSITIES  QR: 0303220002</t>
  </si>
  <si>
    <t xml:space="preserve">Rhodora V. Llorente </t>
  </si>
  <si>
    <t>DONATION TO CARLOS VITUG FOR HIS BURIAL EXPENSES QR: 0302220027</t>
  </si>
  <si>
    <t xml:space="preserve">Christina Jhace M. Cruz </t>
  </si>
  <si>
    <t>DONATIN TO HENDRY CRUZ FOR HIS BURIAL EXPENSES QR: 0302220026</t>
  </si>
  <si>
    <t xml:space="preserve">Maribeth R. Sinforoso </t>
  </si>
  <si>
    <t>DONATIN TO CLIENT FOR HER HOSPITAL BILL QR: 0302220025</t>
  </si>
  <si>
    <t xml:space="preserve">Madona E. Timbang </t>
  </si>
  <si>
    <t>DONATION TO PEPITO TIMBANG FOR HIS MEDICAL NEEDS QR: 0302220024</t>
  </si>
  <si>
    <t xml:space="preserve">Ahmad Jibril I. Hadji Cabir </t>
  </si>
  <si>
    <t>DONATION TO ZAVIA HADJI CABIR FOR HER MEDICAL NEEDS QR: 0302220039</t>
  </si>
  <si>
    <t xml:space="preserve">Ronaldo M. Dela Rosa </t>
  </si>
  <si>
    <t>DONATION TO CLIENT FOR HIS MEDICAL NEEDS QR: 0302220028</t>
  </si>
  <si>
    <t xml:space="preserve">Cerrelyn D. Bartolaba </t>
  </si>
  <si>
    <t>DONATION TO DANIEL DIMACULANGAN FOR HIS BURIAL EXPENSES QR: 0303220018</t>
  </si>
  <si>
    <t xml:space="preserve">Jesus Jr. R. Naungayan </t>
  </si>
  <si>
    <t>DONATION TO JESUS NAUNGAYAN FOR HIS BURIAL EXPENSES QR: 0302220033</t>
  </si>
  <si>
    <t xml:space="preserve">Diana L. Eslaga </t>
  </si>
  <si>
    <t>DONATION TO ESTER IRINCO FOR HER HOSPITAL BILL QR: 0302220035</t>
  </si>
  <si>
    <t xml:space="preserve">Catalina T. Manalili </t>
  </si>
  <si>
    <t>DONATION TO CARLOTO MANALILI FOR HIS HOSPITAL BILL QR: 0302220034</t>
  </si>
  <si>
    <t xml:space="preserve">Rebeca C. Gerella </t>
  </si>
  <si>
    <t>DONATION TO ABEGAIL GERELLA FOR HER HOSPITAL BILL QR: 0302220037</t>
  </si>
  <si>
    <t xml:space="preserve">Maria Milette M. De Villa </t>
  </si>
  <si>
    <t>DONATION TO ARTURO MACALINAO FOR HIS HOSPITAL BILL QR: 0302220032</t>
  </si>
  <si>
    <t xml:space="preserve">Jenylyn S. Santos </t>
  </si>
  <si>
    <t>DONATION TO RAY ALLN SANTOS FOR HIS HOSPITAL BILL QR: 0302220036</t>
  </si>
  <si>
    <t xml:space="preserve">Anabella T. Baluyot </t>
  </si>
  <si>
    <t>DONATION TO JESSIE BALUYOT FOR HIS MEDICAL NEEDS QR: 0302220030</t>
  </si>
  <si>
    <t xml:space="preserve">Mary Jane L. San Gabriel </t>
  </si>
  <si>
    <t>DONATION TO ISABELITA LOZANO FOR HER MEDICAL NEEDS QR: 0302220029</t>
  </si>
  <si>
    <t xml:space="preserve">Lorena E. Punzalan </t>
  </si>
  <si>
    <t>DONATIN TO HERINIA ESQUETA FOR HER MEDICAL NEEDS QR: 0302220038</t>
  </si>
  <si>
    <t xml:space="preserve">Arlin S. Capili </t>
  </si>
  <si>
    <t>DONATION TO CLIENT FOR HER PROFESSIONAL FEE QR: 0228220002</t>
  </si>
  <si>
    <t xml:space="preserve">Edgardo M. Opiana </t>
  </si>
  <si>
    <t>DONATION TO JONATHAN OPIANA FOR HIS HOSPITAL BILL AND PROFESSIONAL FEE QR: 0228220004</t>
  </si>
  <si>
    <t xml:space="preserve">Robert T. Pangan </t>
  </si>
  <si>
    <t>DONATION TO OFELIA PANGAN FOR HER HOSPITAL BILL AND MEDICAL NEEDS QR: 0228220010</t>
  </si>
  <si>
    <t xml:space="preserve">Arturo Jr. A. Vianzon </t>
  </si>
  <si>
    <t>DONATION TO LOURDES ABARICO FOR HER HOSPITAL BILL AND MEDICAL NEEDS QR: 0228220011</t>
  </si>
  <si>
    <t xml:space="preserve">Aura E. Rue </t>
  </si>
  <si>
    <t>DONATION TO HILARIO RUE FOR HIS HOSPITAL BILL QR: 0228220007</t>
  </si>
  <si>
    <t xml:space="preserve">Arnie A. Pamintuan </t>
  </si>
  <si>
    <t>DONATION TO ABIGAIL CRUZ AND JANELA CRUZ FOR THEIR HOSPITAL BILLS QR: 0228220005</t>
  </si>
  <si>
    <t>DONATION TO LOUIS JESUS LLENARES FOR HIS HOSPITAL BILL QR: 0228220015</t>
  </si>
  <si>
    <t xml:space="preserve">Ofelia Q. Aquino </t>
  </si>
  <si>
    <t>DONATION TO LIGAYA BLANAS FOR HER HOSPITAL BILL QR: 0228220001</t>
  </si>
  <si>
    <t xml:space="preserve">Diana Lyn S. Ramos </t>
  </si>
  <si>
    <t>DONATION TO BENJO RAMOS FOR HIS HOSPITAL BILL QR: 0228220016</t>
  </si>
  <si>
    <t xml:space="preserve">Amado C. Castillo </t>
  </si>
  <si>
    <t>DONATION TO GLORIA CASTILLO FOR HER HOSPITAL BILL QR: 0228220008</t>
  </si>
  <si>
    <t xml:space="preserve">Rolyn Christopher R. Tungol </t>
  </si>
  <si>
    <t>DONATION TO MICHAELLA TUNGOL AND MILLERD ROSHAN TUNGOL FOR THEIR HOSPITAL BILLS QR: 0228220012</t>
  </si>
  <si>
    <t>DONATION TO ALMA ACAS FOR HER MEDICAL NEEDS QR: 0228220006</t>
  </si>
  <si>
    <t xml:space="preserve">Jaybee dela Cruz </t>
  </si>
  <si>
    <t>DONATION TO KRIZZEL AILO JORDAN FOR HER HOSPITAL BILL QR: 0303220030</t>
  </si>
  <si>
    <t xml:space="preserve">Angela Sangalang </t>
  </si>
  <si>
    <t>DONATION TO CLIENT FOR HER MEDICAL NEEDS QR: 0303220037</t>
  </si>
  <si>
    <t xml:space="preserve">Jocelyn Navarro </t>
  </si>
  <si>
    <t>DONATION TO ROMEO BANTOG FOR HIS HOSPITAL BILL QR: 0303220025</t>
  </si>
  <si>
    <t xml:space="preserve">Rex Borja </t>
  </si>
  <si>
    <t>DONATION TO JEFFERSON BORJA FOR HIS MEDICAL NEEDS QR: 0303220021</t>
  </si>
  <si>
    <t xml:space="preserve">Jhomar Rhey de Belen </t>
  </si>
  <si>
    <t>DONATION TO ROSEMARIE DE BELEN FOR HER HOSPITAL BILL QR: 0303220035</t>
  </si>
  <si>
    <t xml:space="preserve">John Wilson Villanueva </t>
  </si>
  <si>
    <t>DONATION TO LADELYN VILLANUEVA FOR HER HOSPITAL BILL QR: 0303220026</t>
  </si>
  <si>
    <t xml:space="preserve">Nelie Lagamayo </t>
  </si>
  <si>
    <t>DONATION TO GAUDIOSA LAGAMAYO FOR HER BURIAL EXPENSES QR: 0303220038</t>
  </si>
  <si>
    <t xml:space="preserve">Ma. Concepcion Garcia </t>
  </si>
  <si>
    <t>DONATION TO JESSICA JHANE GARCIA FOR HER HOSPITAL BILL QR: 0303220034</t>
  </si>
  <si>
    <t xml:space="preserve">Karen Columna </t>
  </si>
  <si>
    <t>DONATION TO BONIE COLUMNA FOR HIS HOSPITAL BILL</t>
  </si>
  <si>
    <t xml:space="preserve">Marlon Garay </t>
  </si>
  <si>
    <t>DONATION TO NORMA GARAY FOR HER BURIAL EXPENSES</t>
  </si>
  <si>
    <t xml:space="preserve">Virginia Buenavanetura </t>
  </si>
  <si>
    <t xml:space="preserve">Oscar Jr. Buco </t>
  </si>
  <si>
    <t xml:space="preserve">Paulo Perez </t>
  </si>
  <si>
    <t>DONATION TO LORETO PEREZ FOR HIS MEDICAL NEEDS</t>
  </si>
  <si>
    <t xml:space="preserve">Marieta Bongco </t>
  </si>
  <si>
    <t xml:space="preserve">Angelita Lanzanorte </t>
  </si>
  <si>
    <t>DONATION TO PATRICIA MAE FERNANDO FOR HER HOSPITAL BILL</t>
  </si>
  <si>
    <t xml:space="preserve">Rosell Trajano </t>
  </si>
  <si>
    <t>DONATION TO LOURDES TRAJANO FOR HER HOSPITAL BILL</t>
  </si>
  <si>
    <t xml:space="preserve">Romeo Jr. Gonzales </t>
  </si>
  <si>
    <t>DONATION TO MARY JOY AND HEZEKIEL RJOI GONZALES FOR THEIR HOSPITAL BILLS</t>
  </si>
  <si>
    <t>DONATION FOR HOSPITAL BILLS</t>
  </si>
  <si>
    <t>Payment for fire insurance of Provincial District Jail (Mega Processing Covid 19)</t>
  </si>
  <si>
    <t>Payment for insurance of eight (8) unit service vehicle owned by PGB</t>
  </si>
  <si>
    <t>Buban- Payment of allowance for the month of February 2022</t>
  </si>
  <si>
    <t>Salaria- Payment of allowance for the month of February 2022</t>
  </si>
  <si>
    <t xml:space="preserve">Ludivino Joseph Augusto L. Tobias </t>
  </si>
  <si>
    <t>Payment of Provincial Allowance for the month of February 2022</t>
  </si>
  <si>
    <t>Bartolome- Payment of Provincial Allowance for the month of February 2022</t>
  </si>
  <si>
    <t>Payment of Home Bro Ultera Plan 999 for the period February 26 to March 25, 2022</t>
  </si>
  <si>
    <t xml:space="preserve">Kristine Joy Paguio </t>
  </si>
  <si>
    <t>Allowance for the month of February 2022</t>
  </si>
  <si>
    <t>Payment of service rendered for the month of February 2022</t>
  </si>
  <si>
    <t xml:space="preserve">Municipal Treasure - Abucay Bataan </t>
  </si>
  <si>
    <t>Subsidy for various projects</t>
  </si>
  <si>
    <t>Alfonso-Payment of service rendered for the month of February 2022</t>
  </si>
  <si>
    <t xml:space="preserve">Charina Pascua </t>
  </si>
  <si>
    <t xml:space="preserve">Suzette Sebastian </t>
  </si>
  <si>
    <t xml:space="preserve">Wimbek Ferekus Tajonera </t>
  </si>
  <si>
    <t xml:space="preserve">Keith Marcelo </t>
  </si>
  <si>
    <t xml:space="preserve">Francis Mandocdoc </t>
  </si>
  <si>
    <t xml:space="preserve">Fatima Leoan Lumabas </t>
  </si>
  <si>
    <t xml:space="preserve">Stacy Anne Pagarigan </t>
  </si>
  <si>
    <t xml:space="preserve">Prosecutor Ramoncito Bienvenido T. Ocampo, Jr. </t>
  </si>
  <si>
    <t>Guiua-Payment of allowance for the month of February 2022</t>
  </si>
  <si>
    <t>Payment for Allowance for the period of February 2022</t>
  </si>
  <si>
    <t>Payment of Internet Subscription to PLDT under Billing Account 0278696871 and 657019607 and Telephone Subscription to PLDT under Billing Accounts 0277357615 and 0277359928 for the period of February 17, 2022- March 16, 2022</t>
  </si>
  <si>
    <t>Payment of Monthly Subscription Fee for the services of Internet Connection of Bulwagan ng Bayan covering February 2, 2022 to March 16, 2022</t>
  </si>
  <si>
    <t>Payment of internet subscription plan for vehicle tracker of PEO for the period of February &amp; March, 2022</t>
  </si>
  <si>
    <t xml:space="preserve">Innove Communications Inc. </t>
  </si>
  <si>
    <t>Monthly subscription fee on ASDN Pri Service for the 911 hotline/876484499 for the month January 27, 2022 to February 26, 2022</t>
  </si>
  <si>
    <t xml:space="preserve">JCINSP. Manolet L. Datan, MPA </t>
  </si>
  <si>
    <t>Payment of his allowance for the month of February 2022</t>
  </si>
  <si>
    <t>Reimbursement of market purchase of JPMH for the period of February 22 to 28, 2022</t>
  </si>
  <si>
    <t xml:space="preserve">Rhea Mae B. Mallari </t>
  </si>
  <si>
    <t>DONATION TO MARLON MALLARI FOR HIS HOSPITAL BILL QR: 0314220011</t>
  </si>
  <si>
    <t>Reimbursement of the amount paid for fuel consumption of the government vehicle Ford Everest IO 4423 for the month of February 2022</t>
  </si>
  <si>
    <t>Reimbursement of the amount paid for fuel consumption of the government vehicle Hi-LUX VU2619 for the month of February 2022</t>
  </si>
  <si>
    <t>Reimbursement of the amount paid for fuel consumption of the government vehicle Ford Everest IP 1451 for the month of February 2022</t>
  </si>
  <si>
    <t>Reimbursement of the amount paid for fuel consumption of the government vehicle Ford Everest IP 0800 for the month of February 2022</t>
  </si>
  <si>
    <t>Reimbursement of the amount paid for fuel consumption of the government vehicle Ford Everest IP 0189 for the month pf February 2022</t>
  </si>
  <si>
    <t>Reimbursement of amount paid for fuel consumption of the government vehicle Ford Everest IP 0816 for the month of February 2022</t>
  </si>
  <si>
    <t>Reimbursement of the amount paid for fuel consumption of the government vehicle FORD EVEREST IO 4973 for the month of February, 2022</t>
  </si>
  <si>
    <t xml:space="preserve">Ma. Christina M. Garcia </t>
  </si>
  <si>
    <t>Payment of monthly internet subscription plan for the period of February 17, 2022- March 16, 2022 for NBI-Mariveles Satellite Office in FAB Building, Mariveles, Bataan as part of the tripartite MOA among (PGB) Provincial Government of Bataan, (NBI) National Bureau of Investigation, (FAB) Freeport Area of Bataan</t>
  </si>
  <si>
    <t>Payment of Water Bill for Balsik Checkpoint for the month of January 2022 to February 2022</t>
  </si>
  <si>
    <t xml:space="preserve">Cristina M. Alcober </t>
  </si>
  <si>
    <t>D0NATION TO CRISTINA MANGILIMAN FOR HER MEDICAL NEEDS QR: 0304220018</t>
  </si>
  <si>
    <t xml:space="preserve">Lym D. De Leon </t>
  </si>
  <si>
    <t>DONATION TO CELESTINA DAVID FOR HER BURIAL EXPENSES QR: 0304220029</t>
  </si>
  <si>
    <t>DONATION TO SOLITA FLORES FOR HER BURIAL EXPENSES QR: 0304220030</t>
  </si>
  <si>
    <t>DONATION TO CLIENT FOR HIS MEDICAL NEEDS QR: 0304220035</t>
  </si>
  <si>
    <t>Reimbursement of gasoline, oil and lubricants expenses of Orani District Hospital from January 16-31, 2022</t>
  </si>
  <si>
    <t>Payment of internet subscription with account number 13544 for the period of March 1-31, 2022</t>
  </si>
  <si>
    <t>Payment of Electric BIll of MBDA Relay (Orion) for the month of December 2021</t>
  </si>
  <si>
    <t>Reimbursement of gasoline expenses of Jose C. Payumo Memorial Hospital for the period from February 15, 2022 to February 28, 2022</t>
  </si>
  <si>
    <t xml:space="preserve">Maritesse SD. Teopengco </t>
  </si>
  <si>
    <t>Reimbursement for payment of mobile expenses for the period of December 2021 to January 2022 and Bataan Space Cable Network November 2021</t>
  </si>
  <si>
    <t>Payment of Water Bill for Bataan Tricycle Terminal, Balanga City for the month of December 2021- January 2022</t>
  </si>
  <si>
    <t>Payment of Water Bill for Tucop PGSO Checkpoint for the month of December 2021 to January 2022</t>
  </si>
  <si>
    <t>Payment of fuel consumption for the period of February 14-20, 2022</t>
  </si>
  <si>
    <t>Purchase of fuel consumption for the period of Feb 7-13, 2022 (PEO)</t>
  </si>
  <si>
    <t>Payment of telephone bill of Jose C. Payumo Jr. Memorial Hospital for the period of January 21, 2022 to February 20, 2022</t>
  </si>
  <si>
    <t>Payment of telephone bill for the month of January 17, 2022 to February 16, 2022 and February 17, 2022 to March 16, 2022</t>
  </si>
  <si>
    <t>Parts and Labor for the 310,000 km preventive maintenance Toyota Hilux A1U268 of MBDA owned by the Provincial Government of Bataan</t>
  </si>
  <si>
    <t>Parts and Labor for the 200,000 km preventive maintenance Toyota Hilux P1P503 of MBDA owned by the Provincial Government of Bataan</t>
  </si>
  <si>
    <t>Parts &amp; Labor for the 200,000 km preventive maintenance Toyota HiAce A5Q631 of MBDA owned by the Provincial Government of Bataan</t>
  </si>
  <si>
    <t>Parts &amp; Labor for the 10,000km preventive maintenance Toyota Hilux S0S287 of MBDA owned by the Provincial Government of Bataan</t>
  </si>
  <si>
    <t>Parts &amp; Labor for the 385,000 km preventive maintenance Toyota A2T253 of MBDA owned by the Provincial Government of Bataan</t>
  </si>
  <si>
    <t>Parts and Labor for the 205,000 km preventive maintenance Toyota P1D122 of MBDA owned by the Provincial Government of Bataan</t>
  </si>
  <si>
    <t>Parts and Labor for the 435,000 km preventive maintenance Toyota Hilux VV0143 of MBDA owned by the Provincial Government of Bataan</t>
  </si>
  <si>
    <t>Parts &amp; Labor for the 180,000 km preventive maintenance Toyota Hilux P0Z302 of MBDA owned by the Provincial Government of Bataan</t>
  </si>
  <si>
    <t>Parts and Labor for the replacement of Fuel Filter Toyota YU9911 of MBDA owned by the Provincial Government of Bataa</t>
  </si>
  <si>
    <t>Parts &amp; Labor for the 425,000 km preventive maintenance Toyota Hilux VR5847 of MBDA owned by the Provincial Government of Bataan</t>
  </si>
  <si>
    <t>Parts and Labor for the 90,000 km check-up of Toyota HiLux WA8105 of PEO owned by the Provincial Government of Bataan</t>
  </si>
  <si>
    <t>Parts and Labor for the 350,000 km preventive maintenance Toyota Hilux A1Z842 of MBDA owned by the Provincial Government of Bataan</t>
  </si>
  <si>
    <t>Labor ad Materials for the replacement of 4pcs Tires of Toyota Hilux P1V505 of MBDA owned by the Provincial Government of Bataan</t>
  </si>
  <si>
    <t>Parts &amp; Labor for the 60,000 km preventive maintenance Toyota HiAce Ambulance P0M457 of MBDA owned by the Provincial Government of Bataan</t>
  </si>
  <si>
    <t>Labor ad Materials for the replacement of 4pcs Tires of Toyota Hilux P1P503 of MBDA owned by the Provincial Government of Bataan</t>
  </si>
  <si>
    <t>LPG-50 kgs for the consumption of inmates of Bataan District Jail within the period of January 2022</t>
  </si>
  <si>
    <t>LPG-50kgs. for the consumption of inmates of Bataan District Jail within the period of February 2022</t>
  </si>
  <si>
    <t>Assorted marine products d food for the consumption of inmates of Bataan District Jail with the period of January 1-10, 2022</t>
  </si>
  <si>
    <t>Assorted vegetables product for the consumption of inmates of Bataan District Jail within the period of January 1-10, 2022</t>
  </si>
  <si>
    <t>Payment of Water Bill of Jose C. Payumo Jr. Memorial Hospital, Dialysis forthe month of February 2022</t>
  </si>
  <si>
    <t xml:space="preserve">Municipal Treasurer - Bagac, Bataan </t>
  </si>
  <si>
    <t>Bagac Bataan- Subsidy to Municipality of Bagac Bataan for their various program relative to COVID-19 response (3,000 food packs to be distrbuted to the families and help them alleviate their sufferings brought by the pandemic</t>
  </si>
  <si>
    <t>Tax refund for 2021</t>
  </si>
  <si>
    <t>Parts &amp; Labor for the 190,000 km preventive maintenance Toyota Hilux P1K862 of MBDA owned by the Provincial Government of Bataan</t>
  </si>
  <si>
    <t>Parts and labor for the 190,000 km preventive maintenance check up of Ambulance A4R620 of Jose C Payumo Memorial Hospital, Dinalupihan, Bataan</t>
  </si>
  <si>
    <t xml:space="preserve">Mary Jane Balana </t>
  </si>
  <si>
    <t>Cash Advance to defray for the expenses for various events</t>
  </si>
  <si>
    <t>Reimbursement of AM &amp; PM Snacks, Lunch for the ocular inspection and survey of farm to tourism sites in various places from March 2,3,4,8, &amp; 9, 2022</t>
  </si>
  <si>
    <t>Payment of telephone and internet bill for the PHO for the period March 6, 2022 to April 5, 2022.</t>
  </si>
  <si>
    <t>Payment of Internet Subscription of ODH with acct# 0020200386215 for the billing period March 1-31,2022</t>
  </si>
  <si>
    <t>Payment of Water Bill of Mariveles District Hospital for the month of February 2022</t>
  </si>
  <si>
    <t>Fuel on different service vehicle used by PVO, PGENRO, BJMP, PDRRMO, PCEDO, PHO, PPDO, PIO, PTO, SOCO, OPA &amp; PNP January 31-FEbruary 6, 2022</t>
  </si>
  <si>
    <t>Replenishment of Emergency Purchase of NBB Patients of JPMH for the period from March 7-9, 2022</t>
  </si>
  <si>
    <t>Payment for Telephone Bill and Internet for the period of January 17, 2021 - February 16, 2022 in the Office of PSWDO</t>
  </si>
  <si>
    <t>Melchor A. Cui</t>
  </si>
  <si>
    <t>Payment of Salary &amp; PERA for the month of January 1-6, 2022</t>
  </si>
  <si>
    <t>DONATION FOR THE HOSPITAL BILLS AND MEDICAL NEEDS COVERING THE PERIOD FEB 21-24, 2022</t>
  </si>
  <si>
    <t>DONATION FOR THE HOSPITAL BILLS COVERING THE PERIOD FEBRUARY 21-24, 2022</t>
  </si>
  <si>
    <t>DONATION FOR THE HOSPITAL BILLS COVERING THE PERIOD FEBRUARY 21-23, 2022</t>
  </si>
  <si>
    <t>Parts &amp; Labor for the replacement of aircon blower and other defective parts Toyota Hilux A1U268 of MBDA owned by the Provincial Government of Bataan</t>
  </si>
  <si>
    <t>Parts &amp; Labor for the 100,000 km preventive maintenance Toyota HiAce Ambulance VV979 of MBDA owned by the Provincial Government of Bataan</t>
  </si>
  <si>
    <t xml:space="preserve">Canomed Corporation </t>
  </si>
  <si>
    <t>Parts &amp; Labor for the replacement of 4pcs. Tires of Toyota Hilux P0Z302 of MBDA owned by the Provincial Government of Bataan</t>
  </si>
  <si>
    <t xml:space="preserve">Elena B. Laurel </t>
  </si>
  <si>
    <t>DONATION TO JOSE LAUREL FOR HIS BURIAL EXPENSES QR: 0308220002</t>
  </si>
  <si>
    <t xml:space="preserve">Maximo G. Mangila </t>
  </si>
  <si>
    <t>DONATION TO TERESITA MANGILA FOR HER HOSPITAL BILL QR: 0308220003</t>
  </si>
  <si>
    <t xml:space="preserve">Rosalina P. Dela Rosa </t>
  </si>
  <si>
    <t>DONATION TO ROMEO DELA ROSA FOR HIS HOSPITAL BILL QR: 0308220005</t>
  </si>
  <si>
    <t xml:space="preserve">Wilfredo Jr. Y. Guila </t>
  </si>
  <si>
    <t>DONATION TO WILFREDO GUILA FOR HIS HOSPITAL BILL QR: 0307220012</t>
  </si>
  <si>
    <t xml:space="preserve">Perla F. Sangco </t>
  </si>
  <si>
    <t>DONATION TO VICTOR SANGCO FOR HIS HOSPITAL BILL QR: 0307220014</t>
  </si>
  <si>
    <t xml:space="preserve">Susana V. Cameguing </t>
  </si>
  <si>
    <t>DONATION TO RODOLFO VALDEZ JR. FOR HIS HOSPITAL BILL QR: 0307220013</t>
  </si>
  <si>
    <t xml:space="preserve">Ferna Mae V. Pingki-an </t>
  </si>
  <si>
    <t>AN / ORION BATAAN-DONATION TO NATIVIDAD VILLEGAS FOR HER HOSPITAL BILL QR: 0308220004</t>
  </si>
  <si>
    <t>Replenishment of revolving fund for payment of donations of indigents consituents in the Province of Bataan (March 15-16, 2022)</t>
  </si>
  <si>
    <t>Replenishment of Emergency Purchases of NBB Patients of Jose C. Payumo Jr. Memorial Hospital for the period from March 1, 2022 to March 6, 2022</t>
  </si>
  <si>
    <t>Parts &amp; Labor for the 290,000 km preventive maintenance Toyota Hilux A2T545 of MBDA owned by the Provincial Government of Bataan</t>
  </si>
  <si>
    <t>Assorted meat and processed food for the consumption of inmates of Bataan District Jail with the period of January 1-10, 2022</t>
  </si>
  <si>
    <t>Assorted meat and processed food for the consumption of inmates of Bataan District Jail within the period of January 11-31, 2022</t>
  </si>
  <si>
    <t>Assorted vegetables products for the consumption of inmates of Bataan District Jail within the period of January 11-31, 2022</t>
  </si>
  <si>
    <t xml:space="preserve">Chubab's Marine Products Distribution </t>
  </si>
  <si>
    <t>Assorted marine products for the consumption of inmates of Bataan District Jail within the period of January 11-31, 2022</t>
  </si>
  <si>
    <t>Payment of janitorial services rendered by Twelve (12) Utility Personnel deployed in Bataan General Hospital Annex for the period covered from January 1-31, 2022</t>
  </si>
  <si>
    <t>Reimbursement of the amount paid for fuel consumption of the government vehicle Ford Everest C1 T417 for the month of February 2022</t>
  </si>
  <si>
    <t>Reimbursement of the amount paid for fuel consumption of the government vehicle FORD EVEREST IP 0801 for the month of January, 2022</t>
  </si>
  <si>
    <t>Tokens given to various calling on the Provincial Governor on various occasions &amp; purposes</t>
  </si>
  <si>
    <t>Incidental Expenses (e.g. tokens, etc.) for various calling on the Provincial Governor on various occasions &amp; purposes</t>
  </si>
  <si>
    <t>Payment for the funeral services rendered under the Libreng Libing Program for the period January 5,13,16,18,21,25, and 28, 2022</t>
  </si>
  <si>
    <t xml:space="preserve">Jersal Welding Shop </t>
  </si>
  <si>
    <t>1% retention for fabrication of garbage buggy to be used for PGB Solid Waste Management Program</t>
  </si>
  <si>
    <t xml:space="preserve">Goshen Medical Supplies </t>
  </si>
  <si>
    <t>1% retention for medical supplies for dialysis for use of JCPJMH for 3rd quarter</t>
  </si>
  <si>
    <t>Well General Merchandise-1% retention for furniture as Provincial Government of Bataan commitment for NBI satelite office in Freeport of Bataan (FAB)</t>
  </si>
  <si>
    <t xml:space="preserve">Avelina Delfin </t>
  </si>
  <si>
    <t xml:space="preserve">Bryan Ramichan dela Cruz </t>
  </si>
  <si>
    <t>Payment of his expenses incurred in the payment of bottled water to be used during meeting and visitors in the office of the governor dated May - December 2021</t>
  </si>
  <si>
    <t xml:space="preserve">Philippine Nuclear Research Institute </t>
  </si>
  <si>
    <t>Payment of subscription of OSL Personnel Mointoring Service and Mailing Service for the period of June 2022 - May 2023 of ODH</t>
  </si>
  <si>
    <t>Replenishment of cash advence for emergency purchases of JPMH from February 28 to March 3, 2022</t>
  </si>
  <si>
    <t xml:space="preserve">Michael M. Rodriguez </t>
  </si>
  <si>
    <t>DONATION TO CLIENT FOR HIS MEDICAL NEEDS QR: 0310220039</t>
  </si>
  <si>
    <t xml:space="preserve">Rolando Q. Tiongson </t>
  </si>
  <si>
    <t>DONATION TO ROCHELLE TIONGSON FOR HER HOSPITAL BILL QR: 0308220048</t>
  </si>
  <si>
    <t xml:space="preserve">Zyrell Dior V. Valerio </t>
  </si>
  <si>
    <t>DONATION TO CLIENT FOR HER HOSPITAL BILL QR: 0308220043</t>
  </si>
  <si>
    <t xml:space="preserve">Allan C. Nohay </t>
  </si>
  <si>
    <t>DONATION TO MAGDALENA NOHAY FOR HER HOSPITAL BILL QR: 0308220044</t>
  </si>
  <si>
    <t>DONATION TO BEMJAMIN LUCENA JR. FOR HIS HOSPITAL BILL QR: 0308220050</t>
  </si>
  <si>
    <t xml:space="preserve">Marietta C. Modrigo </t>
  </si>
  <si>
    <t>DONATION TO CRESENCIO MODRIGO FOR HIS MEDICAL NEEDS QR: 0308220041</t>
  </si>
  <si>
    <t xml:space="preserve">Amor A. Herrera </t>
  </si>
  <si>
    <t>DONATION TO NOEL ARTUZ FOR HIS MEDICAL NEEDS QR: 0308220045</t>
  </si>
  <si>
    <t xml:space="preserve">Norbe B. Flores </t>
  </si>
  <si>
    <t>DONATION TO MARICEL FLORES FOR HER MEDICAL NEEDS QR: 0308220049</t>
  </si>
  <si>
    <t>DONATION TO CLIENT FOR HIS MEDICAL NEEDS QR: 0308220046</t>
  </si>
  <si>
    <t xml:space="preserve">Gemma B. Visperas </t>
  </si>
  <si>
    <t>DONATION TO BERNIE VISPERAS FOR HIS MEDICAL NEEDS QR: 0308220010</t>
  </si>
  <si>
    <t xml:space="preserve">Dennis G. David </t>
  </si>
  <si>
    <t>DONATION TO ANGEL DAVID FOR HER HOSPITAL BILL QR: 0311220004</t>
  </si>
  <si>
    <t xml:space="preserve">Carmelita I. Montealegre </t>
  </si>
  <si>
    <t>DONATION TO REYNALDO MONTEALEGRE FOR HIS HOSPITAL BILL QR: 0311220016</t>
  </si>
  <si>
    <t>DONATION TO PRECY JUCO FOR HER HOSPITAL BILL QR: 0311220017</t>
  </si>
  <si>
    <t xml:space="preserve">Ma. Lourdes C. Silvano </t>
  </si>
  <si>
    <t>DONATION TO EMILIO SILVANO FOR HIS HOSPITAL BILL QR: 0310220007</t>
  </si>
  <si>
    <t xml:space="preserve">Ma. Corazon D. Mateo </t>
  </si>
  <si>
    <t>DONATION TO DARYLLE IANNE MATEO FOR HIS HOSPITAL BILL QR: 0311220002</t>
  </si>
  <si>
    <t xml:space="preserve">Darby R. Bautista </t>
  </si>
  <si>
    <t>DONATION TO ELENA BAUTISTA FOR HER HOSPITAL BILL AND PROFESSIONAL FEE QR: 0311220005</t>
  </si>
  <si>
    <t xml:space="preserve">Nova Lynn M. Samaniego </t>
  </si>
  <si>
    <t>DONATION TO CLIENT FOR HER MEDICAL NEEDS QR: 0311220003</t>
  </si>
  <si>
    <t>Toner to be used in the Office of the Governor</t>
  </si>
  <si>
    <t>Parts &amp; Labor for the 180,000 km preventive maintenance Toyota Hilux VU0468 of MBDA owned by the Provincial Government of Bataan</t>
  </si>
  <si>
    <t>Parts &amp; Labor for the 245,000 km preventive maintenance Toyota FX P0Z559 of MBDA owned by the Provincial Government of Bataan</t>
  </si>
  <si>
    <t>Parts and labor for the 100,000 km preventive maintenance check up, defective timing belt of Ambulance POQ 620 C Payumo Memorial Hospital, Dinalupihan, Bataan</t>
  </si>
  <si>
    <t>Office Supplies (TONER-TN-217/TN-2380) for the use of Mariveles District Hospital</t>
  </si>
  <si>
    <t>Reimbursement of Parts and Labor for 90,000 km preventive maintenance check-up of Hyundai Starex MP-9073 of COA</t>
  </si>
  <si>
    <t>Reimbursement of Parts and Labor for replacement of lower arm bushing, ball joint, brake pads and intake manifold gasket for Hyundai Starex MP-9073 of COA</t>
  </si>
  <si>
    <t>KYOCERA TK-7120 Toner Cartridge to be used for the Photocopying of Requirements for Patients and Clients in PGO-SAP Office in Bulwagan, Balanga</t>
  </si>
  <si>
    <t>Cash advance for Parts &amp; labor for 110,000 km preventive maintenance check-up of Nissan Navara OV8024 of PEO owned by the Provincial Government of Bataan</t>
  </si>
  <si>
    <t>Meals for the Special Session of Sangguniang Panlalawigan on February 11, 2022</t>
  </si>
  <si>
    <t>Payment of terminal leave</t>
  </si>
  <si>
    <t>Meals for the Special Session of Sangguniang Panlalawigan on February 04, 2022</t>
  </si>
  <si>
    <t>Payment of monthly subscription plan for the period of Jan 22- Marcg 17, 2022</t>
  </si>
  <si>
    <t xml:space="preserve">Angelita D. Pineda </t>
  </si>
  <si>
    <t>DONATION TO EDWIN PINEDA FOR HIS MEDICAL NEEDS QR: 0311220026</t>
  </si>
  <si>
    <t xml:space="preserve">Nichole M. Montemayor </t>
  </si>
  <si>
    <t>DONATION TO ZALDY MONTEMAYOR FOR HIS BURIAL EXPENSES QR: 0311220027</t>
  </si>
  <si>
    <t xml:space="preserve">Merlita L. Puno </t>
  </si>
  <si>
    <t>DONATION TO RODEL PUNO FOR HIS MEDICAL NEEDS QR: 0311220020</t>
  </si>
  <si>
    <t xml:space="preserve">Ray An R. Cabiling </t>
  </si>
  <si>
    <t>DONATION TO ROSE ANN CABILING FOR HER HOSPITAL BILL QR: 0311220009</t>
  </si>
  <si>
    <t xml:space="preserve">Joselito A. Esguerra </t>
  </si>
  <si>
    <t>DONATION TO MELODY ESGUERRA FOR HER HOSPITAL BILL QR: 0311220039</t>
  </si>
  <si>
    <t xml:space="preserve">Arnold C. Dela Peña </t>
  </si>
  <si>
    <t>DONATION TO JAMELIN DELA PEñA FOR HER PROFESSIONAL FEE QR: 0311220023</t>
  </si>
  <si>
    <t xml:space="preserve">Rod Eric D. Navoa </t>
  </si>
  <si>
    <t>DONATION TO JANICE LOPEZ AND JAN MAXXINE NAVOA FOR THEIR HOSPITAL BILLS QR: 0311220006</t>
  </si>
  <si>
    <t>DONATION TO CLIENT FOR HER MEDICAL NEEDS QR: 0308220039</t>
  </si>
  <si>
    <t>DONATION TO ANGEL NAGUIAT FOR THEIR BURIAL EXPENSES QR: 0310220034</t>
  </si>
  <si>
    <t xml:space="preserve">Ma. Imelda L. Calma </t>
  </si>
  <si>
    <t>DONATION TO CLIENT FOR HER MEDICAL NEEDS QR: 0310220033</t>
  </si>
  <si>
    <t xml:space="preserve">Bernadette G. Calimag </t>
  </si>
  <si>
    <t>DONATION TO FRANCISCO CALIMAG III FOR HIS HOSPITAL BILL QR: 0310220032</t>
  </si>
  <si>
    <t xml:space="preserve">Danilo S. Samson </t>
  </si>
  <si>
    <t>DONATION TO CLIENT FOR HIS MEDICAL NEEDS QR: 0310220035</t>
  </si>
  <si>
    <t xml:space="preserve">Jonathan D. Calara </t>
  </si>
  <si>
    <t>DONATION TO CLIENT FOR HIS HOSPITAL BILL, PROFESSIONAL FEE AND MEDICAL NEEDS QR: 0310220031</t>
  </si>
  <si>
    <t xml:space="preserve">Maria Theresa C. Toletino </t>
  </si>
  <si>
    <t>DONATION TO FERDINAND TOLENTINO FOR HIS HOSPITAL BILL QR: 0310220036</t>
  </si>
  <si>
    <t xml:space="preserve">Melinda R. Nocedal </t>
  </si>
  <si>
    <t>DONATION TO LIDIO RAMOS FOR HIS BURIAL EXPENSES QR: 0310220042</t>
  </si>
  <si>
    <t xml:space="preserve">Maria Luisa P. Malixi </t>
  </si>
  <si>
    <t>DONATION TO ESPERANZA GREGORIO FOR HER HOSPITAL BILL AND MEDICAL NEEDS QR: 0310220037</t>
  </si>
  <si>
    <t xml:space="preserve">Ritchelyn V. Bueno </t>
  </si>
  <si>
    <t>DONATION TO JUSTINE GARCIA FOR HIS MEDICAL NEEDS QR: 0310220041</t>
  </si>
  <si>
    <t xml:space="preserve">Criselda P. Cruz </t>
  </si>
  <si>
    <t>DONATION TO LUDWIG CAJALJAL AND WENDY LYN CAJALJAL FOR THEIR HOSPITAL BILL QR: 0310220040</t>
  </si>
  <si>
    <t xml:space="preserve">Jovencio S. Reyes </t>
  </si>
  <si>
    <t>DONATION TO REMEGIO REYES FOR HIS HOSPITAL BILL QR: 0310220030</t>
  </si>
  <si>
    <t>DONATION TO LUCITA BORROMEO FOR HER MEDICAL NEEDS QR: 0310220011</t>
  </si>
  <si>
    <t>DONATION TO AURELIA MARTINEZ FOR HER BURIAL EXPENSES QR: 0310220029</t>
  </si>
  <si>
    <t>DONATION FOR THE HOSPITAL BILLS COVERING THE PERIOD FEBRUARY 21, 2022</t>
  </si>
  <si>
    <t>DONATION TO GERONIMO SANTOS FOR HIS BURIAL EXPENSES</t>
  </si>
  <si>
    <t xml:space="preserve">Crisbert P. Cajaljal </t>
  </si>
  <si>
    <t>DONATION TO LUDWIG CAJALJAL AND WENDY LYN CAJALJAL FOR THEIR HOSPITAL BILL QR: 0310220038</t>
  </si>
  <si>
    <t xml:space="preserve">Ruvina M. Delos Santos </t>
  </si>
  <si>
    <t>DONATION TO SUSANA GORRE FOR HER HOSPITAL BILL QR: 0310220028</t>
  </si>
  <si>
    <t>Reimbursement of his expenses incurred in the payment of various tokens given to various visitors of Gov. Abet Garcia Dated February 15, 21, 25 and March 3, 2022</t>
  </si>
  <si>
    <t>To payment of allowance for the month of February 2022</t>
  </si>
  <si>
    <t xml:space="preserve">J/INSP Mayrose D. Lorenzo </t>
  </si>
  <si>
    <t>OCAMPO - Allowance for the month of February 2022</t>
  </si>
  <si>
    <t xml:space="preserve">Gary T. Mata </t>
  </si>
  <si>
    <t>DONATION TO EVANGELINE MATA FOR HER BURIAL EXPENSES QR: 0308220036</t>
  </si>
  <si>
    <t xml:space="preserve">Rodsan R. Sangalang </t>
  </si>
  <si>
    <t>DONATION TO CLIENT FOR HIS MEDICAL NEEDS QR: 0308220035</t>
  </si>
  <si>
    <t xml:space="preserve">Marilene L. Ascrate </t>
  </si>
  <si>
    <t>DONATION TO MARIO ASCRATE FOR HIS HOSPITAL BILL QR: 0308220034</t>
  </si>
  <si>
    <t xml:space="preserve">Victoria B. Lazarte </t>
  </si>
  <si>
    <t>DONATION TO VIANNE EUNICE LAZARTE FOR HER HOSPITAL BILL AND MEDICAL EXPENSES QR: 0308220033</t>
  </si>
  <si>
    <t xml:space="preserve">John Michael C. David </t>
  </si>
  <si>
    <t>DONATION TO ELIZABETH DAVID FOR HER HOSPITAL BILL AND PROFESSINAL FEE QR: 0308220032</t>
  </si>
  <si>
    <t xml:space="preserve">Eustaquio C. Raper </t>
  </si>
  <si>
    <t>DONATION TO CLIENT FOR HIS MEDICAL NEEDS QR: 0308220031</t>
  </si>
  <si>
    <t xml:space="preserve">Rita S. Geronimo </t>
  </si>
  <si>
    <t>DONATION TO CLIENT FOR HER MEDICAL NEEDS QR: 0308220029</t>
  </si>
  <si>
    <t xml:space="preserve">Rosario G. Dote </t>
  </si>
  <si>
    <t>DONATION TO VICTOTIO DOTE FOR HIS HOSPITAL BILL QR: 0308220030</t>
  </si>
  <si>
    <t xml:space="preserve">Alma T. Sitjar </t>
  </si>
  <si>
    <t>DONATION TO FRANZ SITJAR FO HIS MEDICAL NEEDS QR: 0308220040</t>
  </si>
  <si>
    <t xml:space="preserve">Evangeline B. Santos </t>
  </si>
  <si>
    <t>DONATION TO PURITA BAUTISTA FOR HER HOSPITAL BILL AND MEDICAL NEEDS QR: 0311220038</t>
  </si>
  <si>
    <t>DONATION TO PERLITA GANZON FOR HER HOSPIRTAL BILL AND MEDICAL NEEDS QR: 0311220025</t>
  </si>
  <si>
    <t xml:space="preserve">Charisse Mae C. Magat </t>
  </si>
  <si>
    <t>DONATION TO ZCCHAEUS MEINL MANGANDI FOR HIS MEDICAL NEEDS QR: 0311220024</t>
  </si>
  <si>
    <t xml:space="preserve">Michael Angelo T. Maglaque </t>
  </si>
  <si>
    <t>DONATION TO ABEGAIL MAGLAQUE AND MATTHEW ABIEL MAGLAQUE FOR THEIR HOSPITAL BILLS QR: 0308220037</t>
  </si>
  <si>
    <t xml:space="preserve">Robert V. Ramirez </t>
  </si>
  <si>
    <t>DONATION TO ARTHUR RAMIREZ FOR HIS HOSPITAL BILL QR: 0308220038</t>
  </si>
  <si>
    <t xml:space="preserve">Mikko F. Enriquez </t>
  </si>
  <si>
    <t>Payment of Mobile Expenses for the covered period of February, 2022 ( Account #0800283558 / 009190065181)</t>
  </si>
  <si>
    <t>Payment of Electric Bill of 1Bataan Command Center, Orani for the month of February 2022</t>
  </si>
  <si>
    <t xml:space="preserve">Jacqueline Rivera </t>
  </si>
  <si>
    <t xml:space="preserve">Maria Arnie Reyes </t>
  </si>
  <si>
    <t xml:space="preserve">Raycar Macalinao </t>
  </si>
  <si>
    <t>Reimbursement of fuel consumption for the period of Feb 21-27, 2022 (MBDA)</t>
  </si>
  <si>
    <t>Reimbursement of the amount paid for fuel consumption of the government vehicle Ford Everest C2X097 for the month of February, 2022</t>
  </si>
  <si>
    <t>Reimbursement of the amount paid for fuel allowance of Ford Everest IO 9547 for the month of February, 2022</t>
  </si>
  <si>
    <t>Reimbursement of her expenses incurred in the payment of meals/alimango and sugpo during various meeting with DOH Dated March 07, 2022</t>
  </si>
  <si>
    <t>Reimbursement of her expenses incurred in the payment of meals/alimango and sugpo during varioys meeting with NKTI officials dated February 28, 2022</t>
  </si>
  <si>
    <t>Reimbursement of her expenses incurred in the payment of meals/ alimango and sugpo during various meeting with NKTI Officials Dated March 15, 2022</t>
  </si>
  <si>
    <t>Payment of fuel consumption for the period of January 10-16 (BCMH)</t>
  </si>
  <si>
    <t>Payment of fuel consumption for the period of January 17-23 (BCMH)</t>
  </si>
  <si>
    <t>Payment of fuel consumption for the period of January 24-30 (BCMH)</t>
  </si>
  <si>
    <t>Parts &amp; Labor for the 110,000 km preventive maintenance Toyota HiAce Ambulance VV6432 of MBDA owned by the Provincial Government of Bataan</t>
  </si>
  <si>
    <t>Printer to be used in the Provincial Budget Office</t>
  </si>
  <si>
    <t>Construction of water system brgy bagong silang balanga city bataan</t>
  </si>
  <si>
    <t xml:space="preserve">Sheila Marie R. Ramos </t>
  </si>
  <si>
    <t>DONATION TO EVELYN RAMOS FOR HER HOSPITAL BILL AND MEDICAL NEEDS QR: 0308220042</t>
  </si>
  <si>
    <t xml:space="preserve">Cecilia C. Damao </t>
  </si>
  <si>
    <t>DONATION TO SIMON CASUMBAL FOR HIS BURIAL EXPENSES QR: 0310220044</t>
  </si>
  <si>
    <t xml:space="preserve">Sharon C. Aguilar </t>
  </si>
  <si>
    <t>DONATION TO ARNOLD CORTEZ FOR HIS BURIAL EXPENSES QR: 0309220024</t>
  </si>
  <si>
    <t xml:space="preserve">Zhyrha France E. Ocay </t>
  </si>
  <si>
    <t>DONATION TO RUBEN OCAY FOR HIS PROFESSIONAL FEE QR: 0310220058</t>
  </si>
  <si>
    <t xml:space="preserve">Eloie Dyan S. Fabian </t>
  </si>
  <si>
    <t>DONATION TO ROLAND ENRIQ ROMAN FOR HIS HOSPITAL BILL QR: 0310220046</t>
  </si>
  <si>
    <t xml:space="preserve">Ana M. Cruz </t>
  </si>
  <si>
    <t>DONATION TO ALICIA MAURICIO FOR HER HOSPITAL BILL QR: 0310220047</t>
  </si>
  <si>
    <t xml:space="preserve">Salve D. Declaro </t>
  </si>
  <si>
    <t>DONATION TO LEO MANAMBAY FOR HOSPITAL BILL QR: 0310220043</t>
  </si>
  <si>
    <t xml:space="preserve">Aris M. Tinao </t>
  </si>
  <si>
    <t>DONATION TO CAROLYN TINAO FOR HER HOSPITAL BILL QR: 0309220018</t>
  </si>
  <si>
    <t xml:space="preserve">Loreta M. Arcayos </t>
  </si>
  <si>
    <t>DONATION TO CLIENT FOR HER HOSPITAL BILL QR: 0309220023</t>
  </si>
  <si>
    <t xml:space="preserve">Joshua B. Fariñas </t>
  </si>
  <si>
    <t>DONATION TO JEANNET BASA FOR HER HOSPITAL BILL QR: 0309220021</t>
  </si>
  <si>
    <t>DONATION TO CLIENT FOR HER MEDICAL NEEDS QR: 0310220001</t>
  </si>
  <si>
    <t xml:space="preserve">Alma D. Rivera </t>
  </si>
  <si>
    <t>DONATION TO CLIENT FOR HER MEDICAL NEEDS QR: 0310220045</t>
  </si>
  <si>
    <t xml:space="preserve">Mark Bryan M. Dela Fuente </t>
  </si>
  <si>
    <t>DONATION TO MELITA DELA FUENTE FOR HER MEDICAL NEEDS QR: 0309220020</t>
  </si>
  <si>
    <t xml:space="preserve">Danilo Q. Rodriguez </t>
  </si>
  <si>
    <t>DONATION TO PACITA RODRIGUEZ FOR HER MEDICAL NEEDS QR: 0309220019</t>
  </si>
  <si>
    <t xml:space="preserve">Virginio C. Cabalic </t>
  </si>
  <si>
    <t>DONATION TO SHERYL CABALIC FOR HER MEDICAL NEEDS QR: 0309220025</t>
  </si>
  <si>
    <t xml:space="preserve">Romnick C. Esteron </t>
  </si>
  <si>
    <t>DONATION TO FLAVIANO ESTERON FOR HIS BURIAL EXPENSES QR: 0310220049</t>
  </si>
  <si>
    <t xml:space="preserve">Julieta M. Ortiguerra </t>
  </si>
  <si>
    <t>DONATION TO ANTONIO ORTIGUERRA FOR HIS BURIAL EXPENSES QR: 0310220048</t>
  </si>
  <si>
    <t xml:space="preserve">Hersie P. Jimenez </t>
  </si>
  <si>
    <t>DONATION TO TERESITA JIMENEZ FOR HER BURIAL EXPENSES QR: 0310220054</t>
  </si>
  <si>
    <t>DONATION TO JAYSON KEITH PAGUIO FOR HIS HOSPITAL BILL AND MEDICAL NEEDS QR: 0310220055</t>
  </si>
  <si>
    <t xml:space="preserve">Jerome D. Tallara </t>
  </si>
  <si>
    <t>DONATION TO PERLA DILIG FOR HER HOSPITAL BILL QR: 0310220052</t>
  </si>
  <si>
    <t xml:space="preserve">Sheena A. Boniel </t>
  </si>
  <si>
    <t>DONATION TO ALFREDO AGUSTIN FOR HIS HOSPITAL BILL AND MEDICAL NEEDS QR: 0310220051</t>
  </si>
  <si>
    <t xml:space="preserve">Rodolfo G. Guanzon Jr. </t>
  </si>
  <si>
    <t>DONATION TO ROWENA GUANZON FOR HER HOSPITAL BILL QR: 0310220050</t>
  </si>
  <si>
    <t xml:space="preserve">Romeo T. Trufil </t>
  </si>
  <si>
    <t>DONATION TO CLIENT FOR HIS MEDICAL NEEDS QR: 0310220053</t>
  </si>
  <si>
    <t>Reimbursement for Meals for the Committee Meetings of different Committees of Sangguniang Panlalawigan on March 09, 2022</t>
  </si>
  <si>
    <t>Assorted meat and processed food for the consumption of inmates of Bataan District Jail within the period of February 16-28, 2022</t>
  </si>
  <si>
    <t>Assorted marine products for the consumption of inmates of Bataan District Jail within the period of February 16-28, 2022</t>
  </si>
  <si>
    <t>Assorted marine products for the consumption of Bataan District Jail within the period of February 1-15, 2022</t>
  </si>
  <si>
    <t>Assorted vegetable products for the consumption of Bataan District Jail within the period of February 1-15, 2022</t>
  </si>
  <si>
    <t>Assorted meat and processed food for the consumption of Bataan District Jail within the period of February 1-15, 2022</t>
  </si>
  <si>
    <t xml:space="preserve">Magdalena de Jesus </t>
  </si>
  <si>
    <t xml:space="preserve">Maria Lourdes Mungcal </t>
  </si>
  <si>
    <t>1% retention for medicaL EQUIPMENT FOR use of JCPMH</t>
  </si>
  <si>
    <t>Replenishment of Revolving Fund for payment of donations of indigents constituents in the Province of Bataan March 17-18, 2022</t>
  </si>
  <si>
    <t xml:space="preserve">Irene Ragudos </t>
  </si>
  <si>
    <t>DONATION TO ELVIRA MANALILI FOR HER BURIAL EXPENSES QR: 0311220011</t>
  </si>
  <si>
    <t xml:space="preserve">Louie Ann T. Huevia </t>
  </si>
  <si>
    <t>DONATION TO PURISIMA HUEVIA FOR HER BURIAL EXPENSES QR: 0311220007</t>
  </si>
  <si>
    <t xml:space="preserve">Annielyn R. Piol </t>
  </si>
  <si>
    <t>DONATION TO RICARDO PEREZ FOR HIS BURIAL EXPENSES QR: 0311220037</t>
  </si>
  <si>
    <t xml:space="preserve">Emelita F. Aquino </t>
  </si>
  <si>
    <t>DONATION TO CLIENT FOR PURCHASE OF BASIC NECESSITIES QR: 0311220033</t>
  </si>
  <si>
    <t xml:space="preserve">Michael Angelo C. Crisostomo </t>
  </si>
  <si>
    <t>DONATION TO ROBERT ALLAN CRISOSTOMO FOR HIS HOSPITAL BILL QR: 0311220035</t>
  </si>
  <si>
    <t xml:space="preserve">Ricardo Jr. A. Sanchez </t>
  </si>
  <si>
    <t>DONATION TO KATRICE ALEXANDRIA SANCHEZ FOR HER HOSPITAL BILL AND MEDICAL NEEDS QR: 0311220018</t>
  </si>
  <si>
    <t xml:space="preserve">Genoveva L. Aquino </t>
  </si>
  <si>
    <t>DONATION TO JONA MAE AQUINO FOR HER HOSPITAL BILL AND MEDICAL NEEDS QR: 0311220029</t>
  </si>
  <si>
    <t xml:space="preserve">Jayrex R. Reyes </t>
  </si>
  <si>
    <t>DONATION TO DANICA CABICO FOR HER HOSPITAL BILL QR: 0311220030</t>
  </si>
  <si>
    <t xml:space="preserve">Mike Omer B. Bernal </t>
  </si>
  <si>
    <t>DONATION TO CRYSTAL JOY FIELD AND NOAH NYJAH BERNAL FOR THEIR HOSPITAL BILL QR: 0311220019</t>
  </si>
  <si>
    <t xml:space="preserve">Glenn M. Guimeroy </t>
  </si>
  <si>
    <t>DONATION TO FLORAME GUIMEROY FOR HER MEDICAL NEEDS QR: 0311220034</t>
  </si>
  <si>
    <t xml:space="preserve">Mildred N. Namangon </t>
  </si>
  <si>
    <t>DONATION TO NENITA MAMANGON FOR HER MEDICAL NEEDS QR: 0311220032</t>
  </si>
  <si>
    <t xml:space="preserve">Wilma A. De Jesus </t>
  </si>
  <si>
    <t>DONATION TO WILFREDO ARANGEL FOR HIS MEDICAL NEEDS QR: 0311220022</t>
  </si>
  <si>
    <t>DONATION TO FORTUNATA ARANGEL FOR HER MEDICAL NEEDS QR: 0311220021</t>
  </si>
  <si>
    <t xml:space="preserve">Jerome V. Canare </t>
  </si>
  <si>
    <t>DONATION TO KURT ANGEL MELGAR FOR HIS HOSPITAL BILL QR: 0311220028</t>
  </si>
  <si>
    <t xml:space="preserve">Apolinario L. Lagnas </t>
  </si>
  <si>
    <t>DONATION TO DANGIELYN LAGNAS FOR HER MEDICAL NEEDS QR: 0311220008</t>
  </si>
  <si>
    <t xml:space="preserve">Mark S. Caguimbal </t>
  </si>
  <si>
    <t>DONATION TO KRIS VERNADETTE CAGUIMBAL AND MEERE NATALIA ROE CAGUIMBAL FOR THEIR HOSPITAL BILLS QR: 0311220031</t>
  </si>
  <si>
    <t>DONATION TO JUNEL PADILLA FOR HIS BURIAL EXPENSES QR: 0308220047</t>
  </si>
  <si>
    <t>Donation to Arnel Layug for his hospital bill QR: 0321220003</t>
  </si>
  <si>
    <t xml:space="preserve">GSM Agricultural Products Trading </t>
  </si>
  <si>
    <t xml:space="preserve">Reynaldo L. Del Rosario, Jr. </t>
  </si>
  <si>
    <t>DONATION TO MARICEL DEL ROSARIO FOR HER MEDICAL NEEDS QR: 0310220056</t>
  </si>
  <si>
    <t>DONATION FOR THE HOSPITAL BILLS COVERING THE PERIOD MARCH 1-3, 2022</t>
  </si>
  <si>
    <t xml:space="preserve">Marissa P. Boiser </t>
  </si>
  <si>
    <t>DONATION TO REYNALDO JOSE FOR HIS MEDICAL NEEDS QR: 0314220017</t>
  </si>
  <si>
    <t xml:space="preserve">Alwin W. Serrano </t>
  </si>
  <si>
    <t>DONATION TO KATRINA SERRANO AND ALYSSA KLAIRE SERRANO FOR THEIR HOSPITAL BILLS QR: 0314220003</t>
  </si>
  <si>
    <t xml:space="preserve">Arthur S. Tan </t>
  </si>
  <si>
    <t>DONATION TO KRISTINE TAN FOR HER MEDICAL NEEDS QR: 0314220001</t>
  </si>
  <si>
    <t xml:space="preserve">Caryll C. Dizon </t>
  </si>
  <si>
    <t>DONATION TO LILIA DIZON FOR HER HOSPITAL BILL QR: 0314220016</t>
  </si>
  <si>
    <t xml:space="preserve">Agnes R. Vidallon </t>
  </si>
  <si>
    <t>DONATION TO ANTONIO VIDALLON FOR HIS MEDICAL NEEDS QR: 0314220002</t>
  </si>
  <si>
    <t>Reimbursement of his expenses incurred in the payment of various expenses to be used in the office of the Governor Dated December 9, 22, 2021 January 20, February 10, 11, 18 , and March 2, 2022</t>
  </si>
  <si>
    <t xml:space="preserve">Pretimino R. Paguio Jr. </t>
  </si>
  <si>
    <t>Subsidy to limay high school retired teachers &amp; employees association for their various needs</t>
  </si>
  <si>
    <t>DONATION FOR THE HOSPITAL BILLS AND MEDICAL NEEDS COVERING THE PERIOD MARCH 1-3, 2022</t>
  </si>
  <si>
    <t>DONATION FOR THE HOSPITAL BILLS AND MEDICAL NEEDS COVERING THE PERIOD FEBRUARY 28 - MARCH 4, 2022</t>
  </si>
  <si>
    <t>Payment of fuel consumption for the period of Feb 21-27 2022 (PGO)</t>
  </si>
  <si>
    <t>Fuel on different service vehicle used by PNP-Maritime January 31-FEbruary 6, 2022</t>
  </si>
  <si>
    <t>Payment of fuel consumption for the period of Feb 14-20,2022 (LEGAL)</t>
  </si>
  <si>
    <t>Payment of fuel consumption for the period of February 7-13, 2022 (LEGAL)</t>
  </si>
  <si>
    <t>CAsh Advance for varrious obligation</t>
  </si>
  <si>
    <t>To Reimburse the amount paid as downpayment to the (2) units of Mobile Phones for the use of Malakasakit Center in Mariveles, Bataan</t>
  </si>
  <si>
    <t>Payment of fuel consumption for the period of Feb 14-22 2022 (PEO)</t>
  </si>
  <si>
    <t>Replenishment of Medicines, Supplies, X-ray, &amp; Laboratory Expenses under PhilHealth No Balance Billing (NBB) of indigent patients in ODH from January 19 - February 17, 2022</t>
  </si>
  <si>
    <t>Emergeny Purchase of other supplies and materials for the use of New Bataan District Jail at Brgy. Dona, Orani, Bataan</t>
  </si>
  <si>
    <t>PMS 90,000 KM and repair the deffective parts of the vehicle assigned to the Office of the Governor Toyota Innova 2.8 Diesel A/T with Conduction Sticker A9-R043</t>
  </si>
  <si>
    <t>Parts and labor for the replacement of 2 pcs. rack end of Toyota Hilux A83932 of PG-ENRO</t>
  </si>
  <si>
    <t>Parts &amp; Labor for the 460,000 km preventive maintenance Toyota Hilux YU9911 of MBDA owned by the Provincial Government of Bataan</t>
  </si>
  <si>
    <t>Parts &amp; Labor for the repair of Aircon of Toyota Hiace A5Q631 of MBDA owned by the Provincial Government of Bataan</t>
  </si>
  <si>
    <t>Parts &amp; Labor for the replacement of 4pcs of Tires and other defective parts of Toyota Hilux A2T253 of MBDA owned by the Provincial Government of Bataan</t>
  </si>
  <si>
    <t>Replacement of Defective Water Pump Assembly of Toyota Innova SHJ-973 of PEO owned by the Provincial Government of Bataan</t>
  </si>
  <si>
    <t xml:space="preserve">GE-Channel Enteprises </t>
  </si>
  <si>
    <t>Printers for PGO-Special Assistance Program</t>
  </si>
  <si>
    <t>Meals for the Checkpoints for February 2022 during COVID-19 Emergency Response</t>
  </si>
  <si>
    <t>Payment for Fidelity Bond Premium of bonded personnel in Mariveles District Hospital</t>
  </si>
  <si>
    <t>DONATION FOR THE HOSPITAL BILLS COVERING THE PERIOD FEBRUARY 28 - MARCH 4, 2022</t>
  </si>
  <si>
    <t>Replenishment of Emergency Purchases of NBB Patients of JPMH for the period from March 5-13, 2022</t>
  </si>
  <si>
    <t>Replenishment for market purchases of JPMH for the period of March 01 to 10, 2022</t>
  </si>
  <si>
    <t>Payment of internet connection of BCMH for the period of February 28,2022 - March 29,2022</t>
  </si>
  <si>
    <t>Replenishment of cash advance defray payment of Daily Market Purchase from March 1-8, 2022</t>
  </si>
  <si>
    <t>Replenishment of cash advance for emergency purchases of JPMH from March 4 - 8, 2022</t>
  </si>
  <si>
    <t>DONATION FOR THE HOSPITAL BILLS AND MEDICAL NEEDS COVERING THE PERIOD FEBRUARY 21-25, 2022</t>
  </si>
  <si>
    <t>Donation for their operational expenses re: Project Usig operations againts illegal drugs for the month of January 2022</t>
  </si>
  <si>
    <t xml:space="preserve">Linad B. Agustino </t>
  </si>
  <si>
    <t>Donation for the deceased Barangay Tanod Igmedio M. Agustino Jr. of Brgy. Balon Anito, Mariveles Bataan</t>
  </si>
  <si>
    <t xml:space="preserve">Belen V. Versoza </t>
  </si>
  <si>
    <t>Donation for the deceased Barangay Tanod Ruben . Versoza of Brgy. Camaya, Mariveles Bataan</t>
  </si>
  <si>
    <t xml:space="preserve">Merlinda M. Austria </t>
  </si>
  <si>
    <t>Donation for the deceased Barangay Tanod Renato B. Austria of Brgy. Lucanin, Mariveles Bataan</t>
  </si>
  <si>
    <t>Reimbursement for the Production of Christmas AVP Risk Communication for the Holiday Season and 1Bataan Christmas Station ID for the use of the Provincial Government of Bataan, Dated December 17- 25, 2021</t>
  </si>
  <si>
    <t>Replenishment of revolving fund for payment of donations of indigents constituents in the province of Bataan (March 21-22, 2022)</t>
  </si>
  <si>
    <t>Petty cash fund replenishment for March 15-23, 2022</t>
  </si>
  <si>
    <t xml:space="preserve">Shellah M. Caraballos </t>
  </si>
  <si>
    <t xml:space="preserve">Roberto Javier </t>
  </si>
  <si>
    <t>Tax refund for CY 2003 &amp; 2014</t>
  </si>
  <si>
    <t xml:space="preserve">May Charlotte Pantaleon </t>
  </si>
  <si>
    <t>Reimbursement of medicines, supplies, x-ray, &amp; laboratory expenses under the philhealth no balance billing (NBB) of indigent patients in ODH from January 1-19, 2022</t>
  </si>
  <si>
    <t>Payment of Electric Bill of Balanga Tricycle Terminal, Roman Hi-way, Balanga City for the month of February 2022</t>
  </si>
  <si>
    <t>Payment for the internet subscription for the period of covered from March, 2022</t>
  </si>
  <si>
    <t>Payment for the internet subscription of account number 656682647 for the period of February 17, 2022 to March 16, 2022</t>
  </si>
  <si>
    <t>Fuel consumption on different service vehicle used by th PNP Feb 7-13, 2022</t>
  </si>
  <si>
    <t>Payment of his first salary for the period January 3 - February 28, 2022</t>
  </si>
  <si>
    <t>Reimbursement of Meals and Snacks for the Mobile Blood Donation program of JCPJMH to be held on March 12, 2022 2021 at Bataan Peninsula State University, Dinalupihan, Bataan</t>
  </si>
  <si>
    <t xml:space="preserve">Gerald L. Quiambao </t>
  </si>
  <si>
    <t xml:space="preserve">Elias L. Tait </t>
  </si>
  <si>
    <t xml:space="preserve">Romella A. Velasco </t>
  </si>
  <si>
    <t xml:space="preserve">Rizaldy G. Rubio </t>
  </si>
  <si>
    <t xml:space="preserve">Gerald John L. Bautista </t>
  </si>
  <si>
    <t xml:space="preserve">Dennis R. Orbista </t>
  </si>
  <si>
    <t>Parts and labor for the 100,000 km preventive maintenance check-up of Ford Everest IP - 1451 c/o BM Romano L. Del Rosario</t>
  </si>
  <si>
    <t xml:space="preserve">Teresita R. Mariano </t>
  </si>
  <si>
    <t>DONATION TO GLORIA CABAGAY FOR HER MEDICAL NEEDS QR: 0314220004</t>
  </si>
  <si>
    <t>DONATION TO JESSIE DIZON FOR HIS MEDICAL NEEDS QR: 0314220012</t>
  </si>
  <si>
    <t xml:space="preserve">Dennis R. Cruz </t>
  </si>
  <si>
    <t>DONATION TO LOLITA CRUZ FOR HER MEDICAL NEEDS QR: 0314220018</t>
  </si>
  <si>
    <t xml:space="preserve">Don C. Dajoya </t>
  </si>
  <si>
    <t>DONATION TO CLIENT FOR HIS MEDICAL NEEDS QR: 0314220005</t>
  </si>
  <si>
    <t xml:space="preserve">Dondon L. Viloria </t>
  </si>
  <si>
    <t>DONATION TO GERALDINE HILDRA VILORIA FOR HER MEDICAL NEEDS QR: 0314220009</t>
  </si>
  <si>
    <t xml:space="preserve">Jeny S. Dizon </t>
  </si>
  <si>
    <t>DONATION TO NELIA DIZON FOR HER MEDICAL NEEDS QR: 0315220003</t>
  </si>
  <si>
    <t xml:space="preserve">Johanna T. Almazan </t>
  </si>
  <si>
    <t>DONATION TO CARMEN TOLENTINO FOR HER HSPITAL BILL QR: 0315220017</t>
  </si>
  <si>
    <t xml:space="preserve">Arturo S. Tolentino </t>
  </si>
  <si>
    <t>DONATION TO PEDRO TOLENTINO FOR HIS BURIAL EXPENSES QR: 0309220022</t>
  </si>
  <si>
    <t xml:space="preserve">Elizabeth C. Buenaventura </t>
  </si>
  <si>
    <t>DONATION TO MA. KATRINA YOROBE AND GIANNA KAMYLLA YOROBE FOR THEIR HOSPITAL BILLS QR: 0315220001</t>
  </si>
  <si>
    <t xml:space="preserve">Domielyn C. Pantaleon </t>
  </si>
  <si>
    <t>DONATION TO MA. CHRISTINE CRUZ FOR HER HOSPITAL BILL QR: 0316220005</t>
  </si>
  <si>
    <t xml:space="preserve">Estelita R. Lacaron </t>
  </si>
  <si>
    <t>DONATION TO JESSICA RUIZ AND JERON RIO RUIZ FOR THEIR HOSPITAL BILLS QR: 0316220013</t>
  </si>
  <si>
    <t xml:space="preserve">Joezer Gerome M. Manrique </t>
  </si>
  <si>
    <t>DONATION TO GINA MANRIQUE FOR HER HOSPITAL BILL QR: 0316220014</t>
  </si>
  <si>
    <t xml:space="preserve">Mary Louise C. Peña-Cruz </t>
  </si>
  <si>
    <t>DONATION TO CLIENT FOR HER HOSPITAL BILL QR: 0316220016</t>
  </si>
  <si>
    <t xml:space="preserve">Rica Mae G. Rivera </t>
  </si>
  <si>
    <t>DONATION TO ANGELITA RIVERA FOR HER BURIAL EXPENSES QR: 0316220004</t>
  </si>
  <si>
    <t xml:space="preserve">Jasper D. Del Rosario </t>
  </si>
  <si>
    <t>DONATION TO ARLENE MAY DEL ROSARIO FOR HER HOSPITAL BILL QR: 0316220019</t>
  </si>
  <si>
    <t xml:space="preserve">Shiela Mae P. Sabado </t>
  </si>
  <si>
    <t>DONATION TO WILLIAM FRANCISS PAGUIO FOR HIS HOSPITAL BILL QR: 0316220015</t>
  </si>
  <si>
    <t xml:space="preserve">Jocelyn B. Tizara </t>
  </si>
  <si>
    <t>DONATION TO PRINCESS OPRAH CABRERA FOR HER HOSPITAL BILL QR: 0315220015</t>
  </si>
  <si>
    <t xml:space="preserve">Arlene R. Angel </t>
  </si>
  <si>
    <t>DONATION TO LEIMEL ISLEY FOR HER HOSPITAL BILL QR: 0314220019</t>
  </si>
  <si>
    <t xml:space="preserve">Charles Miguel C. Gatbunton </t>
  </si>
  <si>
    <t>DONATION TO NICOLE ANN HERRERA FOR HER HOSPITAL BILL QR: 0315220014</t>
  </si>
  <si>
    <t xml:space="preserve">Gayla P. Abao </t>
  </si>
  <si>
    <t>DONATION TO KATHLYNE GAILE ABAO FOR HER MEDICAL NEEDS QR: 0316220017</t>
  </si>
  <si>
    <t>DONATION TO GRACE JAGONOB FOR HER HOSPITAL BILL AND MEDICAL NEEDS QR: 0316220012</t>
  </si>
  <si>
    <t xml:space="preserve">Christine T. Garcia </t>
  </si>
  <si>
    <t>DONATION TO JASON GARCIA FOR HIS MEDICAL NEEDS QR: 0316220011</t>
  </si>
  <si>
    <t xml:space="preserve">Felizardo G. Dela Rosa </t>
  </si>
  <si>
    <t>DONATION TO ADELINA DELA ROSA FOR HER MEDICAL NEEDS QR: 0316220018</t>
  </si>
  <si>
    <t xml:space="preserve">Dhec Osis D. Guzman </t>
  </si>
  <si>
    <t>DONATION TO ISABEL GUZMAN FOR HER MEDICAL NEEDS QR: 0316220006</t>
  </si>
  <si>
    <t xml:space="preserve">Dina T. Santos </t>
  </si>
  <si>
    <t>DONATION TO RODRIGO SANTOS FOR HIS MEDICAL NEEDS QR: 0316220003</t>
  </si>
  <si>
    <t xml:space="preserve">Reinalyn C. Romero </t>
  </si>
  <si>
    <t>DONATION TO RODRIGO ROMERO FOR HER MEDICAL NEEDS QR: 0315220016</t>
  </si>
  <si>
    <t xml:space="preserve">Carmelita C. Tolentino </t>
  </si>
  <si>
    <t>Tax refund for CY 2021</t>
  </si>
  <si>
    <t>Payment of Electric bill of PGSO Checkpoint Brgy. Roosevelt, Dinalupihan for the month of February 2022</t>
  </si>
  <si>
    <t>Payment of fuel consumption for the period of Feb 21-27 2022 (LEGAL)</t>
  </si>
  <si>
    <t>Fuel on different service vehicle used by Tourism, PNP-Maritme, PNP-Army , SOCO Feb 7-13, 2022</t>
  </si>
  <si>
    <t>Fuel on different service vehicle used by PTO, PIO, PCEDO, PVO, PGENRO, PDRRMO, PHO &amp; BJMP Feb 7-13, 2022</t>
  </si>
  <si>
    <t>Payment of Electric bill of Multi Purpose, Center, Tilapya, Pantingan, Pilar, for the month of February 2022</t>
  </si>
  <si>
    <t>Payment of Water bill for Balsik Checkpoint for the month of January to March 2022</t>
  </si>
  <si>
    <t>Payment of Electric bills of Bataan People's Center II for the month of February 2022</t>
  </si>
  <si>
    <t>Payment of Monthly Subscription fee on mobile unlimited call &amp; text postpaid plan (globe to globe) for the month of February 13, 2022 to March 12, 2022 in the Provincial Tourism Office</t>
  </si>
  <si>
    <t>Payment of water expense of BCMH for the month of February 2, 2022 to March 1, 2022</t>
  </si>
  <si>
    <t>Payment of Electric bill of BJMP (MEGA PROCESSING COVID-19 FACILITY) for the month of February 2022</t>
  </si>
  <si>
    <t xml:space="preserve">Albert Alcoreza </t>
  </si>
  <si>
    <t>Payment for the funeral services under the Libreng Libing Program for the period February 2,7,16 and 23, 2022</t>
  </si>
  <si>
    <t>Payment for the funeral services under the Libreng Libing Program for the period February 13, 15 and 23, 2022</t>
  </si>
  <si>
    <t>Payment for the funeral services under the Libreng Libing Program for the period February 5,6,9,10 AND 12, 2022</t>
  </si>
  <si>
    <t>Payment for the funeral services rendered under the Libreng Libing Program for the period February 2,6,11,17 and 22, 2022</t>
  </si>
  <si>
    <t xml:space="preserve">St. Anges Funeral Services </t>
  </si>
  <si>
    <t>Payment for the funeral services rendered under the Libreng Libing Program for the period January 16,20,21,25,26, February 3,6,14,16, and 19, 2022</t>
  </si>
  <si>
    <t>Payment for the funeral services rendered under the Libreng Libing Program for the period of February 22, 2022</t>
  </si>
  <si>
    <t xml:space="preserve">Richelda H. Lucas </t>
  </si>
  <si>
    <t>Fuel on different service vehicle used by OPA FEbruary 7-13, 2022</t>
  </si>
  <si>
    <t>Payment of fuel consumption for the period of Feb 7-13,2022 (COA)</t>
  </si>
  <si>
    <t>Payment of fuel consumption for the period of January 31 to February 6, 2022 (LEGAL)</t>
  </si>
  <si>
    <t>Reimbursement of the amount paid for fuel allowance of Ford Everest IO 8925 for the month of February 2022</t>
  </si>
  <si>
    <t xml:space="preserve">Leizel C. Pallan </t>
  </si>
  <si>
    <t>DONATION TO HONORATA CIPRIANO FOR HER HOSPITAL BILL QR: 0315220013</t>
  </si>
  <si>
    <t>Additional Remittance of philhealth contribution of consultants for January 2022</t>
  </si>
  <si>
    <t xml:space="preserve">Ronnie M. Guinto </t>
  </si>
  <si>
    <t>DONATION TO REYNALDO GUINTO FOR HIS MEDICAL NEEDS QR: 0321220001</t>
  </si>
  <si>
    <t xml:space="preserve">Rosita M. Lalican </t>
  </si>
  <si>
    <t>DONATION TO ARSENIO MANUEL FOR HIS HOSPITAL BILL AND MEDICAL NEEDS QR: 0321220004</t>
  </si>
  <si>
    <t>DONATION TO JOSEPHINE PELAGIO FOR HER BURIAL EXPENSES QR: 0321220002</t>
  </si>
  <si>
    <t xml:space="preserve">Michael D. Jagonob </t>
  </si>
  <si>
    <t>DONATION TO GRACE JAGONOB FOR HER HOSPITAL BILL AND MEDICAL NEEDS QR: 0316220001</t>
  </si>
  <si>
    <t xml:space="preserve">Randy B. San Diego </t>
  </si>
  <si>
    <t>Replacement for check no 71125115 dated July 7, 2020</t>
  </si>
  <si>
    <t>Reimbursement of the amount paid for LTO Registration of Ten (10) service vehicles owned by the PGB</t>
  </si>
  <si>
    <t>Payment for the internet subscription of account number 656678917 for the period of February 17, 2022 to March 16, 2022</t>
  </si>
  <si>
    <t>Payment for the internet subscription of account number 656849940for the period of February 17, 2022 to March 16, 2022</t>
  </si>
  <si>
    <t>Payment of participation fee of Orani District Hospital's Laboratory in National External Quality Assessment Scheme (NEQAS) for Hematology of the National Reference Laboratory for CY 2022</t>
  </si>
  <si>
    <t>Replenishment of cash advance to defray payment of Daily Market Purchase from March 9-16, 2022</t>
  </si>
  <si>
    <t>Replenishment of cash advance to defray for emergency purchases of Jose C. Payumo Jr. Memorial Hospital from March 9, 2022- March 12, 2022</t>
  </si>
  <si>
    <t>Reimbursement of gasoline expenses of JPMH for the period from March 1-12, 2022</t>
  </si>
  <si>
    <t>Payment of PLDT Fiber Telephone Bills in the Office of the Sangguniang Panlalawigan for the month of March 2022</t>
  </si>
  <si>
    <t>Reimbursement of Preventive maintenance for 120, 000km check-up for Ford Everest IP0189 c/o BM Maria Margarita R. Roque</t>
  </si>
  <si>
    <t>Assorted vegetables products for the consumption of inmates of Bataan District Jail within the period of February 16-28, 2022</t>
  </si>
  <si>
    <t>Emergency Purchase of Medicine Cabinet for the use of New Bataan District Jail at Brgy. Dona, Orani, Bataan</t>
  </si>
  <si>
    <t>Reimbursement of Parts and Labor for the repair of shock absorber system of Nissan Urvan Ambulance NV350 NAO-4747 for the use of Mariveles District Hospital</t>
  </si>
  <si>
    <t>Payment of Honorarium for the month of February 2022</t>
  </si>
  <si>
    <t xml:space="preserve">Mary-Ann R. De Guzman </t>
  </si>
  <si>
    <t xml:space="preserve">Jean D. Matir </t>
  </si>
  <si>
    <t xml:space="preserve">Irene C. Catitir </t>
  </si>
  <si>
    <t xml:space="preserve">Ma. Lourdes L. De Castro </t>
  </si>
  <si>
    <t xml:space="preserve">Renan P. Diwa </t>
  </si>
  <si>
    <t xml:space="preserve">Ma. Teresa A. Panergo </t>
  </si>
  <si>
    <t xml:space="preserve">Feliza I. Navarro </t>
  </si>
  <si>
    <t xml:space="preserve">Robin M. Izon </t>
  </si>
  <si>
    <t xml:space="preserve">Juanita C. Tongco </t>
  </si>
  <si>
    <t xml:space="preserve">Kristine Marie G. David </t>
  </si>
  <si>
    <t xml:space="preserve">Jose T. De Guzman </t>
  </si>
  <si>
    <t xml:space="preserve">Evelyn Samson </t>
  </si>
  <si>
    <t xml:space="preserve">Allan O. Lamon </t>
  </si>
  <si>
    <t>Payment of internet bill for the period covering March 18 - April 17, 2022</t>
  </si>
  <si>
    <t>Payment for Mobile Expenses for the covered Period of February 1-28, 2022 ( 0806416150/09688541466)</t>
  </si>
  <si>
    <t>Payment for Mobile Expenses for the covered Period of February 1-28, 2022 (0792238092/09399240450)</t>
  </si>
  <si>
    <t>Payment of Internet Subscription to PLDT under Billing Account 657777803 for the period of February 11- March 16, 2022</t>
  </si>
  <si>
    <t>Payment of Electric Bill of PGO-PSWDO for the month of February 2022</t>
  </si>
  <si>
    <t>To reimburse his expenses incurred in the payment of DIN66 Motolite Gold for the service vehicle plate no. A7-V914 OF of Governors Office</t>
  </si>
  <si>
    <t>Reimbursement of the amount paid for LTO Registration of Eleven (11) service Vehicles owned by PGB</t>
  </si>
  <si>
    <t>Payment for corona stand as a gesture of respect, condolences and sympathy to the breaved family of the deceased in the province of bataan for the month of FEB, 2022</t>
  </si>
  <si>
    <t>Reimbursement of Parts &amp; Labor for the 50,000 km preventive maintenance check-up of Ford Everest C1-T417 c/o BM Precious D. Manuel</t>
  </si>
  <si>
    <t>Payment of fuel consumption for the period of February 28-March 6, 2022(PGO)</t>
  </si>
  <si>
    <t>Payment of fuel consumption for the period of Feb 28- March 06, 2022 (PGO)</t>
  </si>
  <si>
    <t>Cash advance for varrious obligation</t>
  </si>
  <si>
    <t>Payment of honorarium for the month of February 2022</t>
  </si>
  <si>
    <t xml:space="preserve">Jenedine Consorcia T. Nojadera </t>
  </si>
  <si>
    <t>Payment for corona stand as a gesture of Respect, Condolences and Sympathy to the bereaved family of the deceased in the Province of Bataan for the month of January 2022</t>
  </si>
  <si>
    <t>Parts and Labor for 15,000 KMS PMS service check-up and Maintenance of the vehicle assgiend to the Office of the Governor Toyota HiACe SG Elite with plate number S2Q007</t>
  </si>
  <si>
    <t>Parts &amp; Labor for the replacement of 4pcs of tires and other defective parts of Toyota Hilux A1Z842 of MBDA owned by the Provincial Government of Bataan</t>
  </si>
  <si>
    <t>Office and Executive Chair for the use of 1Bataan Command Center</t>
  </si>
  <si>
    <t>Payment of Electric Bill of Bataan Christian Youth for the month of February 2022</t>
  </si>
  <si>
    <t>Payment of Electric Bill of various offices, buildings and street light owned by PGB for the month of February 2022</t>
  </si>
  <si>
    <t>Payment of her salary for the month of January 1-10, 2022</t>
  </si>
  <si>
    <t>Payment of the 371.454 DAYS Terminal Leave</t>
  </si>
  <si>
    <t>Payment of Electric Bill</t>
  </si>
  <si>
    <t>Payment of Electric Bill of Checkpoint Palihan and Balsok for the month of February 2022</t>
  </si>
  <si>
    <t>Payment of Electric Bills for the month of February 2022/ ODH, JPMH,Luminaire - Pilar, BCMH</t>
  </si>
  <si>
    <t>Payment of yearly Rental of 2units 37 1/2 KVA transformer of Bulwagan ng Kapayapaan on March 2022</t>
  </si>
  <si>
    <t>Reimbursement of Parts &amp; Labor for the 150,000 km preventive maintenance check-up of Ford Everest IO-4423 c/o BM Manuel N. Beltran</t>
  </si>
  <si>
    <t>Replenishment of Revolving Fund for payment of donation of indigents constituents in the Province of Bataan for the period of March 23, 2022</t>
  </si>
  <si>
    <t xml:space="preserve">Analiza D. Suarez </t>
  </si>
  <si>
    <t>Payment of tax refund for CY 2014</t>
  </si>
  <si>
    <t xml:space="preserve">Ladle S. Agustin </t>
  </si>
  <si>
    <t xml:space="preserve">Catalino G. Cabreros, Jr. </t>
  </si>
  <si>
    <t xml:space="preserve">Arlene G. Oliveria </t>
  </si>
  <si>
    <t xml:space="preserve">Rodrigo N. Agong Jr. </t>
  </si>
  <si>
    <t>Replenishment of emerngency purchases of NBB Patients of Jose C. Payumo Jr. Memorial Hospital for the period from March 14, 2022 to March 20, 2022</t>
  </si>
  <si>
    <t>Reimbursement of his expense incurred in the payment of various expenses for various meeting and visitors in the office of the Governor Dated November 22, December 17,20,23, 2021 January 3,6,7 and 10, 2022</t>
  </si>
  <si>
    <t xml:space="preserve">Maria Christina V. Lopez </t>
  </si>
  <si>
    <t>Reimbursement Re: Transportation Allowance of Samahan ng Taong May Kapansanan sa Bataan (SATAMAKABA) Meeting dated March 18, 2022</t>
  </si>
  <si>
    <t>Reimbursement the amount paid for LTO Registration of Twelve (12) service vehicles owned by th PGB</t>
  </si>
  <si>
    <t>Payment of Electric Bill of Bataan People's Center 3 for the month of February 2022</t>
  </si>
  <si>
    <t>Payment of Electric Bill of J.C. Payumo Memorial Hospital for the month of February 2022</t>
  </si>
  <si>
    <t>Payment of Electric Bill of MBDA Relay (Orion) for the month of February 2022</t>
  </si>
  <si>
    <t>Payment of Electric Bill of Establishment of Provincial Plant (Pilar) for the month of February 2022</t>
  </si>
  <si>
    <t>Payment of fuel consumption for the period of January 31-February 6,2022 (COA)</t>
  </si>
  <si>
    <t>Payment of fuel consumption for the period of February 28-March 6, 2022 (COA)</t>
  </si>
  <si>
    <t>Payment of fuel consumption for the period of February 28- March 6, 2022 (LEGAL)</t>
  </si>
  <si>
    <t>Payment of fuel consumption for the period of Feb 14-27 2022 (COA)</t>
  </si>
  <si>
    <t>Payment of Electric Bill of MBDA Satellite Office for the month of February 2022</t>
  </si>
  <si>
    <t>Payment of fuel consumption for the period of March 07-13, 2022 (PGO)</t>
  </si>
  <si>
    <t>Payment of fuel consumption for the period of Feb 21-27, 2022 (PEO)</t>
  </si>
  <si>
    <t>Payment of fuel consumption for the period of January 31-February 6, 2022 (BCMH)</t>
  </si>
  <si>
    <t>Purchase of fuel consumption for the period of Feb 21-27, 2022 (BCMH)</t>
  </si>
  <si>
    <t xml:space="preserve">Raul P. Atentar II </t>
  </si>
  <si>
    <t>Payment of fuel consumption for the period of March 07-13, 2022 (MBDA)</t>
  </si>
  <si>
    <t xml:space="preserve">Kevyn Alessandra C. Mateo </t>
  </si>
  <si>
    <t>Donation to for her participation for the annual miss universe pageant on April 30, 2022</t>
  </si>
  <si>
    <t>Payment of donation to Bataan Crime Lab for their Administrative and Operational Expenses for 16 February- 15 March 2022</t>
  </si>
  <si>
    <t>Nylon Rope for the Billboard Tarpaulin of National Arts Month Celebration</t>
  </si>
  <si>
    <t>Meals and Snacks to be served for the Celebration of Foundation Day on January 3, 2022- January 11, 2022</t>
  </si>
  <si>
    <t>Cash advance payment for monetized leave credits</t>
  </si>
  <si>
    <t>Remittance of Philhealth contribution of JO employees for March 2022</t>
  </si>
  <si>
    <t>Payment of Electric Bill of CCTV for the month of February 2022</t>
  </si>
  <si>
    <t>Payment of Bizload for Brgy. Captain assigned as monitoring gathering, and analysing Covid 2019 related data in the Province of Bataan Covering period for the month of March 2022</t>
  </si>
  <si>
    <t>Payment of monthly subscription fee for the services of Internet of Malasakit Dinalupihan Covering Period 2/17/22 - 3/16/22</t>
  </si>
  <si>
    <t>Reimbursement of his expenses incurred in the payment of various tokens given to various visitors of Gov. Abet Garcia Dated December 15, 16, 21, 2021 and February 2, 2022</t>
  </si>
  <si>
    <t xml:space="preserve">Maria Lourdes M. Cruz </t>
  </si>
  <si>
    <t xml:space="preserve">Jose Ronaldo D. Paguio </t>
  </si>
  <si>
    <t xml:space="preserve">Norie S. Pruna </t>
  </si>
  <si>
    <t xml:space="preserve">Larah May Dela Rosa </t>
  </si>
  <si>
    <t xml:space="preserve">Marissa Castel </t>
  </si>
  <si>
    <t xml:space="preserve">Angeline Quicho </t>
  </si>
  <si>
    <t xml:space="preserve">Gina I. Baluyot </t>
  </si>
  <si>
    <t>To transfer to DBP Account the amount paid for the emergency purchases during covid19 under Bayanihan Grant Fund which were inadvertently paid and account to DBP Account instead of LBP Account No.0442-1046-11</t>
  </si>
  <si>
    <t>Payment of telephone expenses landline of Orani District Hospital for billing period March 21, 2022 April 20, 2022</t>
  </si>
  <si>
    <t>Reimbursement of his expenses incurred in the payment of meals and bottled water for the relatives of BGH patients in Tenejero Elementary School during COVID-19 Pandemic dated November 16-30, 2021</t>
  </si>
  <si>
    <t>Cash advance to defray expenses of bataan day commemoration 2022 from march 28 to April 9, 2022</t>
  </si>
  <si>
    <t xml:space="preserve">Wilhelmina C. Quilang </t>
  </si>
  <si>
    <t>Payment of Water Bill of 1Bataan Malasakit Dialysis Center for the month of February 2022</t>
  </si>
  <si>
    <t>Payment of Electric Bill of PGSO Checkpoint Brgy. Tucop, Dinalupihan for the month of February, 2022</t>
  </si>
  <si>
    <t>Payment of electric bill of 1Bataan Malasakit Dialysis Center for the month of February 2022</t>
  </si>
  <si>
    <t>Payment of monthly fee for the services of Internet Connection of PIO Office covering Period 02/17 - 03/16</t>
  </si>
  <si>
    <t>Payment of monthly fee for the services of Internet Connection of NBI covering Period 02/17 - 03/16</t>
  </si>
  <si>
    <t>Payment of Electric Bill of Mariveles District Hospital for the month of February 2022</t>
  </si>
  <si>
    <t>Payment of water bill for TUCOP PGSO CHECKPOINT for the month of February 2022</t>
  </si>
  <si>
    <t>Replenishment of cash advance for emergency purchases of JPMH from March 17 to 20, 2022</t>
  </si>
  <si>
    <t>Replenishment of cash advance for emergency purchase of JPMH from March 14, 2022 to March 16, 2022</t>
  </si>
  <si>
    <t>Reimbursement of Snacks and Meals to be served during the Mobile Blood Donation of Orani District Hospital on March 17, 2022</t>
  </si>
  <si>
    <t>Payment of fuel consumption for the period of January 31 to February 6, 2022 (PGSO)</t>
  </si>
  <si>
    <t>Payment of fuel consumption for the period of January 24-30, 2021 (PGSO)</t>
  </si>
  <si>
    <t>Payment of fuel consumption for the period of January 10-16,2022 (PGSO-SHP-848)</t>
  </si>
  <si>
    <t>Payment of fuel consumption for the period of Feb 21-27 2022 (MDH)</t>
  </si>
  <si>
    <t>Payment of fuel consumption for the period of January 24-30, 2022 (MDH)</t>
  </si>
  <si>
    <t>Payment of fuel consumption for the period of February 28-March 6, 2022 (MDH)</t>
  </si>
  <si>
    <t>Payment of fuel consumption for the period of February 28-March 6, 2022</t>
  </si>
  <si>
    <t>Payment of fuel consumption for the period of January 31-February 6,2022 (MDH)</t>
  </si>
  <si>
    <t>Payment of fuel consumption for the period of January 17-23, 2022 (MDH)</t>
  </si>
  <si>
    <t>Fuel on different service vehicle used by PIO &amp; GSO January 17-23, 2022</t>
  </si>
  <si>
    <t>Payment of fuel consumption on different service vehicle used by OPA for the period of February 21-27, 2022</t>
  </si>
  <si>
    <t>Payment of fuel consumption on different service vehicle used by SOSCO, PNP &amp; BJMP for the period of February 21-27, 2022</t>
  </si>
  <si>
    <t>Purchase of fuel consumption for the period of Feb 21-27, 2022 (PGSO)</t>
  </si>
  <si>
    <t>Payment of fuel consumption for the period of February 4-20, 2022 (PGSO)</t>
  </si>
  <si>
    <t>Payment of fuel consumption for the period of Feb 14-20 2022 (MDH)</t>
  </si>
  <si>
    <t>Payment of fuel consumption for the period of March 07-13, 2022 (BCMH)</t>
  </si>
  <si>
    <t>Payment of fuel consumption for the period of February 7-13,2022 (MDH)</t>
  </si>
  <si>
    <t>Fuel consumption on different service vehicle used by the BJMP, PIO, PNP, SOCO Feb 14-20, 2022</t>
  </si>
  <si>
    <t>Payment of fuel consumption of Bagac Community and Medicare Hospital for the period of January 31- February 6, 2022</t>
  </si>
  <si>
    <t>Payment of internet landline of JPMH for the period of March 21, 2022 to April 20, 2022</t>
  </si>
  <si>
    <t>Payment of monthly fee for the services of Internet Connection of 7TH FLOOR covering Period 02/17 - 03/16</t>
  </si>
  <si>
    <t xml:space="preserve">Clarence A. Ramos </t>
  </si>
  <si>
    <t>Tax refund CY 2021</t>
  </si>
  <si>
    <t xml:space="preserve">Ceferino G. Mena </t>
  </si>
  <si>
    <t>Tax refund CY 2014</t>
  </si>
  <si>
    <t xml:space="preserve">Joseph Sandy C. Santiago </t>
  </si>
  <si>
    <t xml:space="preserve">Edmar R. Apilan </t>
  </si>
  <si>
    <t>Reimbursement of Parts and Labor for 75,000 km preventive maintenance of service vehicle HyundaiH100 KO-S994 c/o PGSO</t>
  </si>
  <si>
    <t>Cash advance for confidential expenses for the month of April 2022</t>
  </si>
  <si>
    <t>Payment of fuel consumption for the period of February 28 - March 06, 2022 (PEO)</t>
  </si>
  <si>
    <t>Fuel on different service vehicle used by OPA, PCEDO, ENRO, PHGO, PPDO, VEt, PDRRMO &amp; PTO FEbruary 7-13, 2022</t>
  </si>
  <si>
    <t>Payment of fuel consumption for the period of March 07-13, 2022 (COA)</t>
  </si>
  <si>
    <t xml:space="preserve">Martinez Mobile </t>
  </si>
  <si>
    <t>Emergency Rental of Sound System for Distribution of ATM Cards for the Cashless Strategic Iniative of the Iskolar ng Bataan Program on December 4,6,11, and 13, 2021</t>
  </si>
  <si>
    <t>Payment of Security Services rendered by 72 Security Guards deployed at Bataan General Hospital and Medical Center, City of Balanga, Bataan for the period covered from January 1-31, 2022</t>
  </si>
  <si>
    <t>Payment of Security Services rendered by 158 Security Guards deployed in Bataan Command Center, Motorpool, Bataan Tourism Center, Bataan Provincial Health Office, OIC Det. Com., JPMH, ODH, BCMH EROAD ALAS-ASIN, &amp; Mariveles District Hospital for the month of February 1-28, 2022</t>
  </si>
  <si>
    <t>Payment of Security Services rendered by 72 Security Guards deployed at Capitol Compound City of Balanga, Bataan for the period covered from Februray 1-28, 2022</t>
  </si>
  <si>
    <t>Payment of Security Services rendered by 72 Security Guards deployed at Capitol Compound , City of Balanga, Bataan for the period covered from January 1-31, 2022</t>
  </si>
  <si>
    <t>Payment of Security Services rendered by 158 Security Guards deployed in Bataan Command Center, Motorpool, Bataan Tourism Center, Bataan Provincial Health Office, OIC Det. Com., JPMH, ODH, BCMH EROAD ALAS-ASIN, &amp; Mariveles District Hospital for the month of January 1-31, 2022</t>
  </si>
  <si>
    <t>Cash Advance for various obligation</t>
  </si>
  <si>
    <t>Reimbursement of the amount paid for mobile and internet allowance for the period of January 15, 2022 to February 14, 2022 (Month of March 2022)</t>
  </si>
  <si>
    <t>Remittance of Pag-ibig II Savings of the provincial employees March 2022</t>
  </si>
  <si>
    <t>Payment for Insurance of Nine (9) unit service vehicle owned by PGB</t>
  </si>
  <si>
    <t>Service rendered for the month of March 2022</t>
  </si>
  <si>
    <t>Reimbursement of his expenses incurred in the payment of meals for meeting with governor Albert Raymond S. Garcia with integrated pest management (IPM) last October 12, 2021</t>
  </si>
  <si>
    <t>Reimbursement of his expenses incurred in the payment of various meals expenses for medical assistance dated January 20, February 10, 13, 14, 24, 25, March 1 and 5, 2022</t>
  </si>
  <si>
    <t>Payment of telephone expenses (237-2414) for the period of March 18 to April 17, 2022</t>
  </si>
  <si>
    <t>Reimbursement of gasoline expenses of JPMH for the period from March 13 - 21, 2022</t>
  </si>
  <si>
    <t>Reimbursement of AM Snacks for the Launching of Kalusugan hatid sa Katutubong Kapatid (KKK) on March 23, 2022</t>
  </si>
  <si>
    <t>Tarpaulin for the National Arts Month Celebration</t>
  </si>
  <si>
    <t>Reimbursement of AM Snacks for Kalusugan hatid sa Katutubong on March 30, 2022</t>
  </si>
  <si>
    <t>Replenishment of Incidental expenses and Daily market purchase of BCMH from February 21, 2022 and March 01-15, 2022</t>
  </si>
  <si>
    <t>Replenishment of Emergency Purchase of NBB Patients of JPMH for the period from March 18 to 24, 2022</t>
  </si>
  <si>
    <t>Reimbursement of gasoline dated February 1-28, 2022</t>
  </si>
  <si>
    <t>Reimbursement for market purchase of MDH for the period of February 14, 2022 - March 22, 2022</t>
  </si>
  <si>
    <t>Replenishment of cash advance to defray payment of Daily Market Purchase from March 17-24, 2022</t>
  </si>
  <si>
    <t>Payment of fuel consumption on different service vehicle used by PPDO, Opa, PNP, SOCO, BJMP, PCEDO, PGENRO &amp; PHO for the period of February 28-Mrach 6, 2022</t>
  </si>
  <si>
    <t>Fuel consumption on different service vehicle used by the Tourism, PHO, PVO, PGENRO, PDRRMO, PIO, PPDO Feb 21-27, 2022</t>
  </si>
  <si>
    <t>Payment of fuel consumption on different service vehicle used by PIO, Tourism, PTO &amp; PVO for the period of February 28-Mrach 6, 2022</t>
  </si>
  <si>
    <t>Payment for the Operation and Maintenance Fee for the month of March 2022</t>
  </si>
  <si>
    <t>Janitorial Serves for the Bataan General Hospital and Medical Center- Annex to be used as temporary medical facilities for the period covered from February to December 2022</t>
  </si>
  <si>
    <t>Payment of accommodation to the four (4) local participants from bataan for Go_pro ver 2.0 Training from March 17 to March 26, 2022</t>
  </si>
  <si>
    <t>Fuel consumption on different service vehicle used by the PCEDO, SOCO, PDRRMO, PTO &amp; PG-ENRO March 7-13, 2022</t>
  </si>
  <si>
    <t>Payment of fuel consumption for the period of March 07-13, 2022 (LEGAL)</t>
  </si>
  <si>
    <t>Payment of fuel consumption for the period of March 14-20,2022 (BCMH)</t>
  </si>
  <si>
    <t>Monthly subscription fee onASDN pri Service for the 911 hotline/876484499 for the month February 27 to March 26, 2022</t>
  </si>
  <si>
    <t>Payment of Mobile Expenses for the covered period of Feb 16 - March 15, 2022</t>
  </si>
  <si>
    <t>Too reimburse his expenses in the payment of services rendered from July, August and September 2021 for the repacking of relief goods for the Province of Bataan</t>
  </si>
  <si>
    <t>Reimbursement RE: Transportation of SAMAHAN ng DAY CARE WORKER ng Bataan Allowance on their attendance to their regular meeting dated March 25,2022</t>
  </si>
  <si>
    <t>Additional remittance of philhealth contribution of provincial employees for  February 2022 Batch 2</t>
  </si>
  <si>
    <t>Additional remittance of philhealth contribution of provincial employees for February 2022 Batch 3</t>
  </si>
  <si>
    <t>Remittance of salary loan installment of provincial employees for March 2022</t>
  </si>
  <si>
    <t>Remittance of integrated insurance contribution, emergency loan, REL, cash advance, optional insurance premium, policy loan, REL, GFAL, MPL and computer Loan for the month of March 2022</t>
  </si>
  <si>
    <t>Remittance of SSS contribution of JO employees for March2022</t>
  </si>
  <si>
    <t xml:space="preserve">Capitol Employees of Bataan MPC </t>
  </si>
  <si>
    <t>Remittance of salary &amp; rice loan installment of JO employees for March 2022</t>
  </si>
  <si>
    <t>Supply and Delivery of the Furinture and Fixture for the Bunker</t>
  </si>
  <si>
    <t>Replenishment of Emergency Purchases of NBB Patients of JPMH for the period from March 25-28, 2022</t>
  </si>
  <si>
    <t xml:space="preserve">Roman L. Cudia </t>
  </si>
  <si>
    <t>Payment of Teminal Leave</t>
  </si>
  <si>
    <t xml:space="preserve">Jessieleane G. Mangayao </t>
  </si>
  <si>
    <t>Payment of her salary differential as Accountant II with a monthly rate of P38,150.00 from March 1-31, 2022</t>
  </si>
  <si>
    <t>Payment for the Electrical Consumption for the month of February, 2022</t>
  </si>
  <si>
    <t>Payment of water bill for Charlie Company, Balanga City for the month of December 2021 to February 2022</t>
  </si>
  <si>
    <t>CA for payt of various obligation</t>
  </si>
  <si>
    <t xml:space="preserve">Abigail M. Esguerra </t>
  </si>
  <si>
    <t>PAYMENT OF WAGES FOR MARCH 1-31,2022</t>
  </si>
  <si>
    <t>Payment of fuel consumption for the period of March 07-13, 2022 (PEO)</t>
  </si>
  <si>
    <t>Payment of fuel consumption for the period of March 14-20,2022 (PGO)</t>
  </si>
  <si>
    <t>Payment of fuel consumption for the period of March 14-20,2022 (MBDA)</t>
  </si>
  <si>
    <t>Payment of Electrical Consumption for January 2022</t>
  </si>
  <si>
    <t>Operation and Maintenance Fee for the month of February 2022</t>
  </si>
  <si>
    <t>Payment of Allowance for the month of March 2022</t>
  </si>
  <si>
    <t xml:space="preserve">Emmanuel N. Larioz </t>
  </si>
  <si>
    <t>Ar M. Magpayo- Payment of Allowance for the month of March 2022</t>
  </si>
  <si>
    <t>Payment of Provincial Allowance for the month of March 2022</t>
  </si>
  <si>
    <t xml:space="preserve">Romeo E. Bonifacio </t>
  </si>
  <si>
    <t>Bartolome- Payment of Provincial Allowance for the month of March 2022</t>
  </si>
  <si>
    <t>Reimbursement of his expenses inurred in the payment of room accomodation in crown royale hotel and resort corporation incurred during the meeting of Governor Abet Garcia's Visitor last March 17, 2022</t>
  </si>
  <si>
    <t>Laygo - Payment of allowance for the period of March 2022</t>
  </si>
  <si>
    <t>Payment of allowance in the Regional Trial Court of Bataan- Branch 3 for the month of March 2022</t>
  </si>
  <si>
    <t>Postage Stamps for the use of Provincial Treasurer's Office</t>
  </si>
  <si>
    <t>Baltazar- Payment of allowance for the month of March 2022</t>
  </si>
  <si>
    <t>Payment of allowance in Regional Trial Court for the month of March 2022</t>
  </si>
  <si>
    <t>IGNACIO- Payment of allowance for the month of March 2022</t>
  </si>
  <si>
    <t>Payment of service rendered for the month of March 2022</t>
  </si>
  <si>
    <t>Alfonso-Payment of service rendered for the month of March 2022</t>
  </si>
  <si>
    <t xml:space="preserve">Romelyn T. Salazar </t>
  </si>
  <si>
    <t xml:space="preserve">Constatino S. Molinar </t>
  </si>
  <si>
    <t>Rental Fee for the months of January to March 2022</t>
  </si>
  <si>
    <t xml:space="preserve">Allan B. Balangit </t>
  </si>
  <si>
    <t>Payment of fuel consumption for the period of March 14-20, 2022 (MDH)</t>
  </si>
  <si>
    <t>Payment of fuel consumption for the period of March 21-27, 2022 (BCMH)</t>
  </si>
  <si>
    <t>Payment of fuel consumption for the period of March 07-13, 2022 (MDH)</t>
  </si>
  <si>
    <t>Ines-Payment of allowance for the month of March 2022</t>
  </si>
  <si>
    <t xml:space="preserve">Ma. Lourdes El Tanal-Ignacio </t>
  </si>
  <si>
    <t>Reimbursement the amount paid for LTO Registration of Eleven (11) Service vehicle owned by the PGB</t>
  </si>
  <si>
    <t xml:space="preserve">Pristine D. dela Cruz </t>
  </si>
  <si>
    <t>Payment of her first salary as Environmental Management Specialist I for the month of March 2022</t>
  </si>
  <si>
    <t xml:space="preserve">Joshue Andrei D. Vitug </t>
  </si>
  <si>
    <t>Payment of his first salary as Farm Supervisor for the month of March, 2022</t>
  </si>
  <si>
    <t>Payment of his first salary as Information Technology Officer II for the month of March, 2022</t>
  </si>
  <si>
    <t>Payment of allowance for the month of March2022</t>
  </si>
  <si>
    <t>Payment of overtime pay for the month of March 2022</t>
  </si>
  <si>
    <t xml:space="preserve">Angeles University Foundation Center, Inc. </t>
  </si>
  <si>
    <t>100%FP for the L&amp;M for the repair of existing Dike Brgy Pantingan Pilar Bataan</t>
  </si>
  <si>
    <t>Labor and Materials for the Concreting of Farm to Market Road Brgy. Pulo Hermosa, Bataan</t>
  </si>
  <si>
    <t>Labor and Materials for Construction of Irrigation Canal, Barangay Bantan, Orion Bataan</t>
  </si>
  <si>
    <t xml:space="preserve">P and V Construction and Sales </t>
  </si>
  <si>
    <t>Concreting of Farm to Market Road, Brgy. Palili, Samal, Bataan</t>
  </si>
  <si>
    <t xml:space="preserve">Ram Builders and Trading </t>
  </si>
  <si>
    <t>Labor and Materials for the Construction of Slope Protection Brgy. Maligaya, Dinalupihan, Bataan</t>
  </si>
  <si>
    <t xml:space="preserve">Nicap Construction </t>
  </si>
  <si>
    <t>Rehabilitation and Improvement of Heritage Sites, Provincewide, Bataan (20% DF)</t>
  </si>
  <si>
    <t xml:space="preserve">DM Madarang Construction </t>
  </si>
  <si>
    <t>Labor and Materials for the Upgrading of Road Barangay Poblacion, Pilar, Bataan</t>
  </si>
  <si>
    <t>Labor and Materials for the Construction of Expansion of DOST-3 Regional Metrology Laboratory Through Establishment of a Satelite Big Volume Calibration Laboratory Brgy. Calaylayan, Abucay, Bataan</t>
  </si>
  <si>
    <t>Labor and Materials for the Construction of Open Canal Barangay Aquino, Dinalupihan, Bataan (20% DF)</t>
  </si>
  <si>
    <t>Labor and Materials for the Concreting of Road Barangay Pentor, Dinalupihan, Bataan (20% DF)</t>
  </si>
  <si>
    <t>Retrofitting , Repair &amp; Rehabilitation of Hospital Facility, JC Payumo Memorial Hospital (20% DF)</t>
  </si>
  <si>
    <t>Labor and Materials for the Concreting of Road, Apollo, Orani, Bataan</t>
  </si>
  <si>
    <t>Construction of Multi-Purpose Building, Brgy. Wakas South, Pilar, Bataan (20% DF)</t>
  </si>
  <si>
    <t xml:space="preserve">Sterilab Co. </t>
  </si>
  <si>
    <t>Defibrillator for the use of Bagac Community and Medicare Hospital</t>
  </si>
  <si>
    <t xml:space="preserve">Tri-Access Veterinary Trading Corporation </t>
  </si>
  <si>
    <t>Access Veterinary Corp-stocks to be used in Swine Multiplier and Technodemo farm in Mariveles, Bataan</t>
  </si>
  <si>
    <t xml:space="preserve">BPQ Construction and Trading </t>
  </si>
  <si>
    <t>Labor and Materials for the Concreting of Farm to Market Road Brgy. Alangan, Limay, Bataan (20% DF)</t>
  </si>
  <si>
    <t xml:space="preserve">RAM Builders and Trading </t>
  </si>
  <si>
    <t>Labor and Materials for the Improvement of Drainage System, Barangay Central Balanga City Bataan (20% DF)</t>
  </si>
  <si>
    <t>Labor and Materials for the Concreting of Road, Brgy A Ricardo Bagac Bataan (20% DF)</t>
  </si>
  <si>
    <t>Meals and Snack to be served during the conduct of coordination meeting regarding PDRRMC Search and Rescue Team Activities on March 11, 2022 at 1Bataan Command Center Orani, Bataan</t>
  </si>
  <si>
    <t>Double deck bed with mattress and bedding set for the use in temporary treatment and management facility during Covid-19 Pandemic</t>
  </si>
  <si>
    <t>Meals &amp; Snacks to be served during the conduct of Tabletop Exercise for CP Fire on March 29, 2022 at Conference Room, 4th Floor The Bunker</t>
  </si>
  <si>
    <t>DONATION TO DAMIANA NUGUID FOR HER BURIAL EXPENSES QR: 0428220002</t>
  </si>
  <si>
    <t xml:space="preserve">Ara T. Suba </t>
  </si>
  <si>
    <t>DONATION TO ROBERTO TALLARA FOR HIS BURIAL EXPENSES QR: 0427220011</t>
  </si>
  <si>
    <t xml:space="preserve">Maria Jesamin S. Mina </t>
  </si>
  <si>
    <t>DONATION TO ENRICO MINA FOR HIS BURIAL EXPENSES QR: 0428220012</t>
  </si>
  <si>
    <t xml:space="preserve">Erickson S. Zapanta </t>
  </si>
  <si>
    <t>DONATION TO MADEL ZAPANTA FOR HER HOSPITAL BILL QR: 0428220013</t>
  </si>
  <si>
    <t xml:space="preserve">Melinda A. Festin </t>
  </si>
  <si>
    <t>DONATION TO ERLINDA ASEBIAS FOR HER HOSPITAL BILL QR: 0428220006</t>
  </si>
  <si>
    <t xml:space="preserve">Joana Marie S. Pineda </t>
  </si>
  <si>
    <t>DONATION TO AMARAH CELINE PINEDA FOR HER HOSPITAL BILL QR: 0428220010</t>
  </si>
  <si>
    <t xml:space="preserve">Pura E. Soberano </t>
  </si>
  <si>
    <t>DONATION TO PRECIOUS JEM SOBERANO FOR HER HOSPITAL BILL AND MEDICAL NEEDS QR: 0427220012</t>
  </si>
  <si>
    <t xml:space="preserve">Jennelyn L. De Jesus </t>
  </si>
  <si>
    <t>DONATION TO SAMPAGUITA DE JESUS FOR HER HOSPITAL BILL QR: 0428220009</t>
  </si>
  <si>
    <t xml:space="preserve">Dexter Allan C. Malang </t>
  </si>
  <si>
    <t>DONATION TO CLIENT FOR HIS HOSPITAL BILL, PROFESSIONAL FEE AND MEDICAL NEEDS QR: 0428220008</t>
  </si>
  <si>
    <t xml:space="preserve">Ma. Victoria E. Sadiasa </t>
  </si>
  <si>
    <t>DONATION TO LAUREANA ESTRADA FOR HER MEDICAL NEEDS QR: 0428220003</t>
  </si>
  <si>
    <t xml:space="preserve">Kim F. Marapao </t>
  </si>
  <si>
    <t>DONATION TO LOLITA MARAPAO FOR HER MEDICAL NEEDS QR: 0428220005</t>
  </si>
  <si>
    <t xml:space="preserve">Gemma R. Molina </t>
  </si>
  <si>
    <t>DONATION TO CLIENT FOR PURCHASE OF BASIC NECESSITIES QR: 0407220015</t>
  </si>
  <si>
    <t xml:space="preserve">Ma. Katrina R. Baluyot </t>
  </si>
  <si>
    <t>DONATION TO CONSOLACION BALUYOT FOR HER HOSPITAL BILL QR: 0407220017</t>
  </si>
  <si>
    <t xml:space="preserve">Rhoda A. Vitangcol </t>
  </si>
  <si>
    <t>DONATION TO RICHARD VITANGCOL FOR HIS HOSPITAL BILL QR: 0407220020</t>
  </si>
  <si>
    <t xml:space="preserve">Lorela Q. Asuncion </t>
  </si>
  <si>
    <t>DONATION TO BERNIE YUMOL FOR HIS HOSPITAL BILL QR: 0407220012</t>
  </si>
  <si>
    <t xml:space="preserve">Luz S. Hulipas </t>
  </si>
  <si>
    <t>DONATION TO JOSE HULIPAS FOR HIS HOSPITAL BILL QR: 0407220006</t>
  </si>
  <si>
    <t xml:space="preserve">Williamson E. De Jesus </t>
  </si>
  <si>
    <t>DONATION TO DARLENE DE JESUS AND DARREN DE JESUS FOR THEIR HOSPITAL BILLS QR: 04072200002</t>
  </si>
  <si>
    <t xml:space="preserve">Katherine B. Sulit </t>
  </si>
  <si>
    <t>DONATION TO YOLANDA FRIAS FOR HER HOSPITAL BILL AND MEDICAL NEEDS QR: 0407220018</t>
  </si>
  <si>
    <t xml:space="preserve">Marisol D. Santos </t>
  </si>
  <si>
    <t>DONATION TO CLARITA SANTOS FOR HER MEDICAL NEEDS QR: 0407220014</t>
  </si>
  <si>
    <t xml:space="preserve">Paula Nicole P. Del Mundo </t>
  </si>
  <si>
    <t>DONATION TO GINA DEL MUNDO FOR HER PROFESSIONAL FEE AND MEDICAL NEEDS QR: 0407220007</t>
  </si>
  <si>
    <t>DONATION TO CLIENT FOR HER MEDICAL NEEDS QR: 0407220005</t>
  </si>
  <si>
    <t xml:space="preserve">Redante J. Velasco </t>
  </si>
  <si>
    <t>DONATION TO WILMA VELASCO FOR HER MEDICAL NEEDS QR: 0407220011</t>
  </si>
  <si>
    <t xml:space="preserve">Lou Jester R. Agustin </t>
  </si>
  <si>
    <t>DONATION TO ESTELA AGUSTIN FOR HER MEDICAL NEEDS QR: 0407220008</t>
  </si>
  <si>
    <t xml:space="preserve">Liberty E. David </t>
  </si>
  <si>
    <t>DONATION TO ROSCHELLE ANN DAVID FOR HER MEDICAL NEEDS QR: 0407220016</t>
  </si>
  <si>
    <t xml:space="preserve">Rea Lyn M. Nuñez </t>
  </si>
  <si>
    <t>DONATION TO NORMITA MALLARI FOR HER MEDICAL NEEDS QR: 0407220003</t>
  </si>
  <si>
    <t xml:space="preserve">Reminda P. Limin </t>
  </si>
  <si>
    <t>DONATION TO CLIENT FOR HER MEDICAL NEEDS QR: 0407220019</t>
  </si>
  <si>
    <t>Payment of honorarium of Municipal Treasurers for the month of April 2022</t>
  </si>
  <si>
    <t xml:space="preserve">Dona E. Jimenez </t>
  </si>
  <si>
    <t>DONATION TO RODOLFO JIMENEZ FOR HIS BURIAL EXPENSES QR: 0412220013</t>
  </si>
  <si>
    <t xml:space="preserve">Kristin Gay de Jesus Abundia </t>
  </si>
  <si>
    <t>DONATION TO CARMEN ABUNDIA FOR HER BURIAL EXPENSES QR: 0412220007</t>
  </si>
  <si>
    <t>DONATION TO NESTOR ABUNDIA FOR HIS BURIAL EXPENSES QR: 0412220008</t>
  </si>
  <si>
    <t xml:space="preserve">Lawrence A. Enriquez </t>
  </si>
  <si>
    <t>DONATION TO JINKY ENRIQUEZ AND SAPPHIRA ALEXA ENRIQUEZ FOR THEIR HOSPITAL BILLS QR: 0412220001</t>
  </si>
  <si>
    <t xml:space="preserve">Princess Mary S. Valdoz </t>
  </si>
  <si>
    <t>DONATION TO CLIENT FOR HER HOSPITAL BILL AND PROFESSIONAL FEE QR: 0412220003</t>
  </si>
  <si>
    <t xml:space="preserve">Francisco C. Dinglasan </t>
  </si>
  <si>
    <t>DONATION TO CLIENT FOR HIS HOSPITAL BILL QR: 0412220002</t>
  </si>
  <si>
    <t xml:space="preserve">Charles Vincent C. Gatbunton </t>
  </si>
  <si>
    <t>DONATION TO CLIENT FOR HIS HOSPITAL BILL, PROFESSIONAL FEE AND MEDICAL NEEDS QR: 0412220009</t>
  </si>
  <si>
    <t>DONATION TO JAHAZIAH PAMESA FOR HER HOSPITAL BILL QR: 0412220006</t>
  </si>
  <si>
    <t xml:space="preserve">Gerren G. Constantino </t>
  </si>
  <si>
    <t>DONATION TO RENITA RAMOS FOR HER HOSPITAL BILL AND PROFESSIONAL FEE QR: 0411220003</t>
  </si>
  <si>
    <t xml:space="preserve">Mar Abbey B. Torres </t>
  </si>
  <si>
    <t>DONATION TO REJEANA KAYE TORRES AND AVERY KALIL TORRES FOR THEIR HOSPITAL BILLS QR: 0412220005</t>
  </si>
  <si>
    <t xml:space="preserve">Maureen U. Cruz </t>
  </si>
  <si>
    <t>DONATION TO MICHAEL TERRENCE CRUZ FOR HIS MEDICAL NEEDS QR: 0412220012</t>
  </si>
  <si>
    <t xml:space="preserve">Marites D. Infante </t>
  </si>
  <si>
    <t>DONATION TO TITO INFANTE FOR HIS MEDICAL NEEDS QR: 0412220004</t>
  </si>
  <si>
    <t xml:space="preserve">Liza Flor S. Balbuena </t>
  </si>
  <si>
    <t>DONATION TO EDITHA SERRANO FOR HER BURAIL EXPENSES QR: 0325220024</t>
  </si>
  <si>
    <t xml:space="preserve">Zenaida B. Ragel </t>
  </si>
  <si>
    <t>DONATION TO CLIENT FOR HER PROFESSIONAL FEE QR: 0419220002</t>
  </si>
  <si>
    <t xml:space="preserve">Dempsey Q. Baluyot </t>
  </si>
  <si>
    <t>DONATION TO EMILY BANZON AND DAPNEY ELIZ BALUYOT FOR HER HOSPITAL BILLS AND PROFESSIONAL FEE QR: 0419220010</t>
  </si>
  <si>
    <t xml:space="preserve">Luisa B. Borja </t>
  </si>
  <si>
    <t>DONATION TO JOHN LEANARD BERGONIA FOR HIS HOSPITAL BILL QR: 0419220008</t>
  </si>
  <si>
    <t xml:space="preserve">Jocelyn de Leon Adeva </t>
  </si>
  <si>
    <t>DONATION TO VICTOR VELENZUELA FOR HIS HOSPIATL BILL, PROFESSIONAL FEE AND MEDICAL NEEDS QR: 0419220006</t>
  </si>
  <si>
    <t xml:space="preserve">Kim M. Ragudos </t>
  </si>
  <si>
    <t>DONATION TO KIMBERLY RAGUDOS FOR HER HOSPITAL BILL QR: 0419220005</t>
  </si>
  <si>
    <t xml:space="preserve">Maria Alice F. Salonga </t>
  </si>
  <si>
    <t>DONATION TO JAIME SALONGA FOR HIS HOSPITAL BILL QR: 0325220015</t>
  </si>
  <si>
    <t xml:space="preserve">Colleen I. Dela Torre-Razon </t>
  </si>
  <si>
    <t>DONATION TO CLIENT FOR HER HOSPITAL BILL QR: 0325220019</t>
  </si>
  <si>
    <t xml:space="preserve">Airone A. Paguio </t>
  </si>
  <si>
    <t>DONATION TO RONNIELA APOSTOL FOR HER MEDICAL NEEDS QR: 0419220011</t>
  </si>
  <si>
    <t xml:space="preserve">Felicidad R. Magno </t>
  </si>
  <si>
    <t>DONATION TO REYNALDO MAGNO FOR HIS MEDICAL NEEDS QR: 0419220003</t>
  </si>
  <si>
    <t xml:space="preserve">Dexter D. Bustamante </t>
  </si>
  <si>
    <t>DONATION TO JONALYN BUSTAMANTE FOR HER MEDICAL NEEDS QR: 0419220007</t>
  </si>
  <si>
    <t xml:space="preserve">Angelito P. Reyes </t>
  </si>
  <si>
    <t>DONATION TO ROSALINDA REYES FOR HER MEDICAL NEEDS QR: 0419220004</t>
  </si>
  <si>
    <t xml:space="preserve">Danilyn P. Catapang </t>
  </si>
  <si>
    <t>DONATION TO EDLYN PALAD FOR HER BURIAL EXPENSES QR: 0411220008</t>
  </si>
  <si>
    <t xml:space="preserve">Leah C. Flores </t>
  </si>
  <si>
    <t>DONATION TO LINSEY FLORES FOR HER HOSPITAL BILL QR: 0325220026</t>
  </si>
  <si>
    <t xml:space="preserve">Bernadette D. Benin </t>
  </si>
  <si>
    <t>DONATION TO JAIME SALONGA FOR HIS HOSPITAL BILL QR: 0325220006</t>
  </si>
  <si>
    <t xml:space="preserve">Melchor P. Valerio </t>
  </si>
  <si>
    <t>DONATION TO CLIENT FOR HIS MEDICAL NEEDS QR: 0427220001</t>
  </si>
  <si>
    <t xml:space="preserve">Joseph Joven E. Long </t>
  </si>
  <si>
    <t>DONATION TO JOVEN VERON LONG FOR HIS HOSPITAL BILL QR: 0406220014</t>
  </si>
  <si>
    <t xml:space="preserve">Rommel E. Arellano </t>
  </si>
  <si>
    <t>DONATION TO FEDRICO ARELLANO FOR HIS BURIAL EXPENSES QR: 0405220005</t>
  </si>
  <si>
    <t xml:space="preserve">Leonida T. Rosanes </t>
  </si>
  <si>
    <t>DONATION TO SHAYNE DELA PEñA AND SOPHIA LORRAINE DELA PEñA FOR THEIR HOSPITAL BILLS QR: 0408220004</t>
  </si>
  <si>
    <t xml:space="preserve">Benigno Novie Boy U. Aquino </t>
  </si>
  <si>
    <t>DONATION TO LERMA AQUINO FOR HER HOSPITAL BILL QR: 0408220010</t>
  </si>
  <si>
    <t xml:space="preserve">Allan T. Abriol </t>
  </si>
  <si>
    <t>DONATION TO CLIENT FOR HIS HOSPITAL BILL AND MEDICAL NEEDS QR: 0408220017</t>
  </si>
  <si>
    <t>DONATION TO CRISHA ANN VICENTE FOR HER HOSPITAL BILL , PROFESSIONAL FEE AND MEDICAL NEEDS QR: 0408220001</t>
  </si>
  <si>
    <t xml:space="preserve">Aldrin P. Javellana </t>
  </si>
  <si>
    <t>DONATION TO MARCO ALDEN JAVELLANA FOR HIS HOSPITAL BILL QR: 0408220003</t>
  </si>
  <si>
    <t xml:space="preserve">Lourdes T. Del Rosario </t>
  </si>
  <si>
    <t>DONATION TO EFREN DEL ROSARIO FOR HIS HOSPITAL BILL QR: 0408220005</t>
  </si>
  <si>
    <t>DONATION TO ATHENA BRIELLE ALTURA FOR HER HOSPITAL BILL QR: 0408220009</t>
  </si>
  <si>
    <t xml:space="preserve">Liza D. Bino </t>
  </si>
  <si>
    <t>DONATION TO MYLENE BRUNO FOR HER MEDICAL NEEDS QR: 0408220007</t>
  </si>
  <si>
    <t xml:space="preserve">Joahnna D. San Pedro </t>
  </si>
  <si>
    <t>DONATION TO JAMES ELVIN SAN PEDRO FOR HIS MEDICAL NEEDS QR: 0408220011</t>
  </si>
  <si>
    <t xml:space="preserve">Felicidad M. Llorin </t>
  </si>
  <si>
    <t>DONATION TO CLIENT FOR HER MEDICAL NEEDS QR: 0408220013</t>
  </si>
  <si>
    <t xml:space="preserve">Lilian M. Palaña </t>
  </si>
  <si>
    <t>DONATION TO CLIENT FOR HER MEDICAL NEEDS QR: 0408220006</t>
  </si>
  <si>
    <t>Replenishment of Revolving Fund for payment of donation to indigent constituents from Province of Bataan (May 10, 2022)</t>
  </si>
  <si>
    <t>Payment of fuel consumption for the period of March 28 - April 3, 2022 (PEO)</t>
  </si>
  <si>
    <t>Payment of fuel consumption of Tourism &amp; PIO for April 4-10, 2022</t>
  </si>
  <si>
    <t xml:space="preserve">Orion St. Michael Hospita Inc. </t>
  </si>
  <si>
    <t>DONATION FOR THE HOSPITAL BILLS COVERING THE PERIOD MARCH 22, 2022</t>
  </si>
  <si>
    <t>DONATION FOR THE HOSPITAL BILLS COVERING THE PERIOD APRIL 19, 2022</t>
  </si>
  <si>
    <t>DONATION FOR THE HOSPITAL BILLS COVERING THE PERIOD APRIL 20, 2022</t>
  </si>
  <si>
    <t>DONATION TO RODRIGO TIPAN FOR HIS BURIAL EXPENSES</t>
  </si>
  <si>
    <t xml:space="preserve">Marrian V. de Jesus </t>
  </si>
  <si>
    <t>DONATION TO ANDRES DE JESUS FOR HIS BURIAL EXPENSES QR: 0405220004</t>
  </si>
  <si>
    <t xml:space="preserve">Barangay Treasurer - San Isidro, Mariveles, Bataan </t>
  </si>
  <si>
    <t>SAN ISIDRO MARIVELES BATAAN - Subsidy to Barangay San Isidro Mariveles Bataan for their annual cultural activity on May 15, 2022</t>
  </si>
  <si>
    <t xml:space="preserve">Rimnick V. Cardenas </t>
  </si>
  <si>
    <t>DONATION TO BABY LUZ VALENCIA FOR HER PROFESSIONAL FEE AND MEDICAL NEEDS QR: 0406220008</t>
  </si>
  <si>
    <t xml:space="preserve">Raquel B. Monzon </t>
  </si>
  <si>
    <t>DONATION TO NEMIA MONZON FOR HER HOSPITAL BILL QR: 0405220009</t>
  </si>
  <si>
    <t xml:space="preserve">Criselda P. Bautista </t>
  </si>
  <si>
    <t>DONATION TO WENIFREDA BAUTISTA FOR HER HOSPITAL BILL</t>
  </si>
  <si>
    <t xml:space="preserve">Baby Ruth E. Eltanal </t>
  </si>
  <si>
    <t>DONATION TO MARY JOYA NUGUID AND ALYAH REYN NUGUID FOR THEIR HOSPITAL BILLS QR: 0406220001</t>
  </si>
  <si>
    <t xml:space="preserve">Percival C. Balanon </t>
  </si>
  <si>
    <t>DONATION TO PATRICK JEID BALANON FOR HIS MEDICAL NEEDS QR: 0329220004</t>
  </si>
  <si>
    <t xml:space="preserve">Mely E. Ramos </t>
  </si>
  <si>
    <t>DONATION TO YOLANDA RAMOS FOR HER HOSPITAL BILL QR: 0421220010</t>
  </si>
  <si>
    <t xml:space="preserve">Rebecca A. Arceo </t>
  </si>
  <si>
    <t>DONATION TO JOBIN VIRAY FOR HIS BURIAL EXPENSES QR: 0421220001</t>
  </si>
  <si>
    <t>DONATION TO CLIENT FOR HER MEDICAL NEEDS QR: 0422220001</t>
  </si>
  <si>
    <t xml:space="preserve">Joevan H. Catague </t>
  </si>
  <si>
    <t>DONATION TO ELIZABETH HILARIO FOR HER MEDICAL NEEDS QR: 0420220003</t>
  </si>
  <si>
    <t xml:space="preserve">Nelia C. Layug </t>
  </si>
  <si>
    <t>DONATION TO JAYNELYN TRIA FOR HER HOSPITAL BILL QR: 0421220007</t>
  </si>
  <si>
    <t xml:space="preserve">Ernesto B. Morales </t>
  </si>
  <si>
    <t>DONATION TO CLIENT FOR HIS HOSPITAL BILL AND MEDICAL NEEDS QR: 0420220002</t>
  </si>
  <si>
    <t xml:space="preserve">Evalyn G. Ventura </t>
  </si>
  <si>
    <t>DONATION TO JAMES VENTURA FOR HIS MEDICAL NEEDS QR: 0411220017</t>
  </si>
  <si>
    <t xml:space="preserve">Elbert P. Natanawan </t>
  </si>
  <si>
    <t>DONATION TO SEAN KIRBY NATANAWAN FOR HIS HOSPITAL BILL QR: 0422220004</t>
  </si>
  <si>
    <t xml:space="preserve">Jovy Dela Cruz Paguio </t>
  </si>
  <si>
    <t>DONATION TO KNIA JANELLA PAGUIO FOR HER HOSPITAL BILL QR: 0329220009</t>
  </si>
  <si>
    <t xml:space="preserve">Jeanipher S. Hatol </t>
  </si>
  <si>
    <t>DONATION TO ZORAIDA SANTOS FOR HER MEDICAL NEEDS QR: 0329220003</t>
  </si>
  <si>
    <t xml:space="preserve">Iris S. Brillante </t>
  </si>
  <si>
    <t>DONATION TO ADRIAN PAUL BRILLANTE FOR HIS HOSPITAL BILL AND MEDICAL NEEDS QR: 0422220005</t>
  </si>
  <si>
    <t xml:space="preserve">Sylvia Q. Guzman </t>
  </si>
  <si>
    <t>DONATION TO CESAR GUZMAN FOR HIS BURIAL EXPENSES QR: 0329220011</t>
  </si>
  <si>
    <t>Remittance of philhealth contribution of consultants for April 2022</t>
  </si>
  <si>
    <t>Additional remittance of philhealth contribution of consultans for MArch 2022</t>
  </si>
  <si>
    <t>Additional remittance of philhealth contribution of consultans for February 2022</t>
  </si>
  <si>
    <t xml:space="preserve">Robert John M. Cabuang </t>
  </si>
  <si>
    <t>DONATION TO NELDA CABUANG FOR HER HOSPITAL BILL QR: 0422220007</t>
  </si>
  <si>
    <t xml:space="preserve">Jayson P. Aranas </t>
  </si>
  <si>
    <t>DONATION TO CALIX JIO ARANAS FOR HIS HOSPITAL BILL QR: 0329220005</t>
  </si>
  <si>
    <t xml:space="preserve">Rowena R. Namangon </t>
  </si>
  <si>
    <t>DONATION TO RONELIO MAMANGON FOR HIS MEDICAL NEEDS QR: 0421220002</t>
  </si>
  <si>
    <t xml:space="preserve">Aida F. Alarcon </t>
  </si>
  <si>
    <t>DONATION TO MARY ANN ALARCON FOR HER HOSPITAL BILL QR: 0329220012</t>
  </si>
  <si>
    <t xml:space="preserve">Ricky D. Carandang </t>
  </si>
  <si>
    <t>DONATION TO NILDA CARANDANG FOR HER HOSPITAL BILL QR: 0329220007</t>
  </si>
  <si>
    <t>DONATION TO PERLITA TENGONCIANG FOR HER HOSPITAL BILL QR: 0329220010</t>
  </si>
  <si>
    <t xml:space="preserve">Freda R. Mentar </t>
  </si>
  <si>
    <t>DONATION TO FREDERICK MENTAR FOR HIS HOSPITAL BILL QR: 0329220006</t>
  </si>
  <si>
    <t xml:space="preserve">Florcefida V. Ganacias </t>
  </si>
  <si>
    <t>DONATION EDUARDO GANACIAS FOR HIS HOSPITAL BILL AND PROFESSIONAL FEE QR: 0422220002</t>
  </si>
  <si>
    <t>DONATION TO ADELA VINZON FOR HER BURIAL EXPENSES QR: 0329220008</t>
  </si>
  <si>
    <t xml:space="preserve">Aurora V. Enriquez </t>
  </si>
  <si>
    <t>DONATION TO NLI ANN BONIQUIT FOR HER HOSPITAL BILL QR: 0329220002</t>
  </si>
  <si>
    <t xml:space="preserve">Lorna P. Gozon </t>
  </si>
  <si>
    <t>DONATION TO JOHN LAURENZ GOZON FOR HER HOSPITAL BILL QR: 0420220001</t>
  </si>
  <si>
    <t xml:space="preserve">Francis Rodhel T. Baino </t>
  </si>
  <si>
    <t>DONATION TO RODELIO FOR HIS MEDICAL NEEDS QR: 0329220001</t>
  </si>
  <si>
    <t xml:space="preserve">Jocelyn C. Gatbunton </t>
  </si>
  <si>
    <t>DONATION TO CLIENT FOR HER HOSPITAL BILL QR: 0329220013</t>
  </si>
  <si>
    <t xml:space="preserve">Marilyn J. Dela Rosa </t>
  </si>
  <si>
    <t>DONATION TO CLIENT FOR HER MEDICAL NEEDS QR: 0408220002</t>
  </si>
  <si>
    <t xml:space="preserve">Jennifer C. Pabustan </t>
  </si>
  <si>
    <t>DONATION TO ROMEO CASTRO FOR HIS HOSPIATL BILL QR: 0422220003</t>
  </si>
  <si>
    <t>DONATION TO DANIELA ISO FOR HER BURIAL EXPENSES QR: 0428220015</t>
  </si>
  <si>
    <t xml:space="preserve">Luisito M. Baino </t>
  </si>
  <si>
    <t>DONATION TO ROSEMARIE BAINO FOR HER HOSPITAL BILL QR: 0428220015</t>
  </si>
  <si>
    <t xml:space="preserve">Myreen C. Valdez </t>
  </si>
  <si>
    <t>DONATION TO CLIENT AND EARL MAVIN VALDEZ FOR THEIR HOSPITAL BILLS QR: 0420220005</t>
  </si>
  <si>
    <t xml:space="preserve">Roberto M. Tallada </t>
  </si>
  <si>
    <t>DONATION TO JOHN ROBERT BARCELONA FOR HIS HOSPITAL BILL QR: 0422220006</t>
  </si>
  <si>
    <t xml:space="preserve">Johnna C. Cercado </t>
  </si>
  <si>
    <t>DONATION TO FRANCE MATEO CERCADO FOR HIS MEDICAL NEEDS QR: 0427220002</t>
  </si>
  <si>
    <t xml:space="preserve">Raymond G. De Guzman </t>
  </si>
  <si>
    <t>DONATION TO RIO DE GUZMAN FOR HER HOSPITAL BILL QR: 0421220006</t>
  </si>
  <si>
    <t xml:space="preserve">Annalyn C. Tapang </t>
  </si>
  <si>
    <t>DONATION TO TOMAS CABARUBIO FOR HIS HOSPITAL BILL QR: 0404220004</t>
  </si>
  <si>
    <t xml:space="preserve">Josie Q. Bernales </t>
  </si>
  <si>
    <t>DONATION TO ALETH BERNALES FOR HER HOSPITAL BILL QR: 0401220001</t>
  </si>
  <si>
    <t xml:space="preserve">Katherine F. Tungol </t>
  </si>
  <si>
    <t>DONATION TO YOLANDA FRIAS FOR HER HOSPITAL BILL AND MEDICAL NEEDS QR: 0407220004</t>
  </si>
  <si>
    <t xml:space="preserve">Wally E. Quilor </t>
  </si>
  <si>
    <t>DONATION TO JALLENE QUILOR AND OSTEEN CALEB QUILOR FOR THEIR HOSPITAL BILLS QR: 0401220004</t>
  </si>
  <si>
    <t xml:space="preserve">Lilibeth R. Sioson </t>
  </si>
  <si>
    <t>DONATION TO CLIENT FOR HER MEDICAL NEEDS QR: 0401220007</t>
  </si>
  <si>
    <t xml:space="preserve">Jose Jr. G. Valdoz </t>
  </si>
  <si>
    <t>DONATION TO CLIENT FOR HIS MEDICAL NEEDS QR: 0401220005</t>
  </si>
  <si>
    <t xml:space="preserve">Lorena V. Mollasco </t>
  </si>
  <si>
    <t>DONATION TO WILSON MOLLASGO FOR HIS BURIAL EXPENSES QR: 0407220013</t>
  </si>
  <si>
    <t xml:space="preserve">Teresita R. Alonzo </t>
  </si>
  <si>
    <t>DONATION TO CLIENT FOR HER MEDICAL NEEDS ' QR: 0404220008</t>
  </si>
  <si>
    <t xml:space="preserve">Enrique P. Nicolas </t>
  </si>
  <si>
    <t>DONATION TO CLIENT FOR HIS MEDICAL NEEDS QR: 0404220005</t>
  </si>
  <si>
    <t xml:space="preserve">Susita V. Yamaguchi </t>
  </si>
  <si>
    <t>DONATION TO LUCENA DE MESA FOR HER BURIAL EXPENSES QR: 0407220010</t>
  </si>
  <si>
    <t xml:space="preserve">Mederlan S. Ignacio </t>
  </si>
  <si>
    <t>DONATION TO CLIENT FOR HER MEDICAL NEEDS QR: 0404220009</t>
  </si>
  <si>
    <t xml:space="preserve">Ronald C. Magpayo </t>
  </si>
  <si>
    <t>DONATION TO CLIENT FOR HIS MEDICAL NEEDS QR: 0404220006</t>
  </si>
  <si>
    <t xml:space="preserve">Lawrence Dela Dingco Balana </t>
  </si>
  <si>
    <t>DONATION TO MARY JOY BALANA AND PIO RAPHAEL BALANA FOR THEIR HOSPITAL BILLS QR: 0401220006</t>
  </si>
  <si>
    <t>DONATION TO LOLITA MAGPOC FOR HER HOSPITAL BILL QR: 0401220003</t>
  </si>
  <si>
    <t xml:space="preserve">Alexander D. Abundia </t>
  </si>
  <si>
    <t>DONATION TO LUISA ABUNDIA FOR HER MEDICAL NEEDS QR: 0404220007</t>
  </si>
  <si>
    <t xml:space="preserve">Jomari R. Lintag </t>
  </si>
  <si>
    <t>DONATION TO PERCIVAL LINTAG FOR HIS HOSPITAL BILL AND MEDICAL NEEDS QR: 0401220008</t>
  </si>
  <si>
    <t xml:space="preserve">Ofelia T. Aguilar </t>
  </si>
  <si>
    <t>DONATION TO IRA MAE ROZAL FOR HER HOSPITAL BILL QR: 040422001DIN</t>
  </si>
  <si>
    <t xml:space="preserve">Reymon M. Manahan </t>
  </si>
  <si>
    <t>DONATION TO CARMENCITA MANAHAN FOR HER MEDICAL NEEDS QR: 0408220015</t>
  </si>
  <si>
    <t xml:space="preserve">Sonia S. Santiago </t>
  </si>
  <si>
    <t>DONATION TO LEONARDO SANTIAGO FOR HIS MEDICAL NEEDS QR: 0408220014</t>
  </si>
  <si>
    <t xml:space="preserve">Carlito B. Carillo </t>
  </si>
  <si>
    <t>DONATION TO CLIENT FOR HIS MEDICAL NEEDS QR: 0408220016</t>
  </si>
  <si>
    <t xml:space="preserve">Gelica S. Manalansan </t>
  </si>
  <si>
    <t>DONATION TO BERNADETTE LUSUNG FOR HER MEDICAL NEEDS QR: 0408220012</t>
  </si>
  <si>
    <t>Cash advance for confidential expenses for the period May 13 to June 12, 2022</t>
  </si>
  <si>
    <t xml:space="preserve">Victoria O. Navoa </t>
  </si>
  <si>
    <t>DONATION TO ANTONIO CASAL FOR HIS BURIAL EXPENSES QR: 0328220003</t>
  </si>
  <si>
    <t xml:space="preserve">Joan V. Signio </t>
  </si>
  <si>
    <t>DONATION TO ARTURO VERZO FOR HIS BURIAL EXPENSES QR: 0328220004</t>
  </si>
  <si>
    <t xml:space="preserve">Elenita R. Bonifacio </t>
  </si>
  <si>
    <t>DONATION TO ERLINDA RAMOS FOR HER BURIAL EXPENSES QR: 0328220007</t>
  </si>
  <si>
    <t xml:space="preserve">Sonny San Diego Soriano </t>
  </si>
  <si>
    <t>DONATION TO CRISTINO SORIANO FOR HIS BURIAL EXPENSES QR: 0328220010</t>
  </si>
  <si>
    <t>DONATION TO RODOLFO BUAN FOR HIS BURIAL EXPENSES QR :0328220011</t>
  </si>
  <si>
    <t xml:space="preserve">Daisy Y. Donatos </t>
  </si>
  <si>
    <t>DONATION TO CLIENT FOR PURCHASE OF BASIC NECESSITIES QR: 0328220001</t>
  </si>
  <si>
    <t xml:space="preserve">Flordelita B. Avila </t>
  </si>
  <si>
    <t>DONATION TO MARIO AVILA FOR HIS HOSPITAL BILL QR: 0328220002</t>
  </si>
  <si>
    <t xml:space="preserve">Mercedes V. Hermogeno </t>
  </si>
  <si>
    <t>DONATION TO CARLOS HERMOGENO FOR HIS HOSPITAL BILL QR: 0328220018</t>
  </si>
  <si>
    <t xml:space="preserve">Ronnel L. Manuel </t>
  </si>
  <si>
    <t>DONATION TO LESLIE MANUEL AND RIO LOIS ELIZA MANUEL FOR THEIR HOSPITAL BILLS QR: 0328220005</t>
  </si>
  <si>
    <t xml:space="preserve">Rizalita D. Gomez </t>
  </si>
  <si>
    <t>DONATION TO CANDIDO GOMEZ FOR HIS HOSPITAL BILL QR: 0328220008</t>
  </si>
  <si>
    <t xml:space="preserve">Marites J. Garcia </t>
  </si>
  <si>
    <t>DONATION TO MICHAELLA FONTILLAS AND ZILDIAN KALEB FONTILLAS FOR THEIR HOSPITAL BILLS QR: 0328220012</t>
  </si>
  <si>
    <t xml:space="preserve">Federico M. Mena </t>
  </si>
  <si>
    <t>DONATION TO JOSEFINA MENA FOR HER HOSPITAL BILL QR: 0328220016</t>
  </si>
  <si>
    <t xml:space="preserve">Chester Anthon S. Jorge </t>
  </si>
  <si>
    <t>DONATION TO MARICEIS JORGE AND ZANE CALIX JORGE FOR THEIR HOSPITAL BILLS QR: 0328220014</t>
  </si>
  <si>
    <t xml:space="preserve">Sonny Floyd F. Yao </t>
  </si>
  <si>
    <t>DONATION TO CRISTEL YAO FOR HER HOSPITAL BILL QR: 0328220015</t>
  </si>
  <si>
    <t xml:space="preserve">Melchor Q. Reyes </t>
  </si>
  <si>
    <t>DONATION TO CLIENT FOR HIS MEDICAL NEEDS QR: 0328220006</t>
  </si>
  <si>
    <t xml:space="preserve">Melissa A. De. Torres </t>
  </si>
  <si>
    <t>DONATION TO CLIENT FOR HER MEDICAL NEEDS QR: 0328220009</t>
  </si>
  <si>
    <t xml:space="preserve">Hossana T. Razon </t>
  </si>
  <si>
    <t>DONATION TO FELICISIMA TOVILLO FOR HER MEDICAL NEEDS QR: 0328220017</t>
  </si>
  <si>
    <t>Assorted vegetables products for the consumption of inmates of Bataan District Jail within the period of March 16-31, 2022</t>
  </si>
  <si>
    <t>Meals for the Regular Session of Sangguniang Panlalawigan on March 28, 2022</t>
  </si>
  <si>
    <t>Meals for the Regular Session of Sangguniang Panlalawigan on APRIL 04, 2022</t>
  </si>
  <si>
    <t>Camera Drone fot the Use of PPDO for accurate and efficient on-site inspection for potential development and monitoring purposes.</t>
  </si>
  <si>
    <t>Trolley Folding Push Cart (150 kg) for the use of Orani District Hospital</t>
  </si>
  <si>
    <t>Replacement of Defective Tandem Bearing of Road Grader LG2H of PEO owned by the Provincial Government of Bataan</t>
  </si>
  <si>
    <t>Meals and Snacks to be served on Interagency Meeting on March 30, 2022</t>
  </si>
  <si>
    <t>Repair of office equipment for the use of Orani District Hospital</t>
  </si>
  <si>
    <t>Emergency Purchase of Air-conditioning Unit for the transfer of vaccination site from Bataan People Center to Old Capitol Bldg. (New PHO Bldg.)</t>
  </si>
  <si>
    <t>Labor and Materials for the repair of airconditioning system for Toyota Innova SKR-486 of PNP</t>
  </si>
  <si>
    <t>Payment of allowance in the Regional Trial Court of Bataan- Branch 3 for the month of April 2022</t>
  </si>
  <si>
    <t>Payment of Provincial Allowance for the month of April 2022</t>
  </si>
  <si>
    <t>Payment of Provincial Allowance for the month of April2022</t>
  </si>
  <si>
    <t>Replacement of defective auxillary fan of Mini Dumptruck White of PEO owned by the Provincial Government of Bataan</t>
  </si>
  <si>
    <t>Parts and labor for 90,000 km preventive maintenance of service vehicle TOYOTA HILUX A9W631 c/o PGSO</t>
  </si>
  <si>
    <t>Parts &amp; labor for the 60,000 km preventive maintenance Toyota Innova P11551 of MBDA owned by the Provincial Government of Bataan</t>
  </si>
  <si>
    <t>Parts &amp; Labor for the 400,000 km preventive maintenance Toyota Hilux A2T253 of MBDA owned by the Provincial Government of Bataan</t>
  </si>
  <si>
    <t>Parts &amp; Labor for the 210,000 km preventive maintenance Toyota Hilux P1P503 of MBDA owned by the Provincial Government of Bataan</t>
  </si>
  <si>
    <t>Parts &amp; Labor for the 440,000 km preventive maintenance Toyota Hilux VR5847 of MBDA owned by the Provincial Government of Bataan</t>
  </si>
  <si>
    <t>Parts &amp; Labor for the 215,000 km preventive maintenance &amp; replacement of other defective parts Toyota Hiace A5Q631 of MBDA owned by the Provincial Government of Bataan</t>
  </si>
  <si>
    <t>Parts &amp; Labor for the 220,000 km preventive maintenance Toyota Hilux P1D122 of MBDA owned by the Provincial Government of Bataan</t>
  </si>
  <si>
    <t>Meals for the SK Regular Session on Aprill 29, 2022</t>
  </si>
  <si>
    <t>Printer for the used of Bataan Central Quarantine and Isolation Facility at Brgy. Doña, Orani, Bataan</t>
  </si>
  <si>
    <t>Meals and snacks</t>
  </si>
  <si>
    <t>3 Layer Filing Cabinet for the use of Provincial Budget Office</t>
  </si>
  <si>
    <t>Bartolome- Payment of Provincial Allowance for the month of April 2022</t>
  </si>
  <si>
    <t>Ar M. Magpayo- Payment of Allowance for the month of April 2022</t>
  </si>
  <si>
    <t xml:space="preserve">Cristina Guiao-Garcia </t>
  </si>
  <si>
    <t>Payment of allowance of the Comelec Field Officers for the month of April 2022</t>
  </si>
  <si>
    <t xml:space="preserve">Joy Eleazar Cano </t>
  </si>
  <si>
    <t xml:space="preserve">Prosecutor Jeffrey Cruz </t>
  </si>
  <si>
    <t>Payment for insurance of newly purchased service vehicle owned by PGB</t>
  </si>
  <si>
    <t>Guiua-Payment of allowance for the month of April 2022</t>
  </si>
  <si>
    <t xml:space="preserve">Julius Abraham C. Ferrer </t>
  </si>
  <si>
    <t>Payment for Allowance for the period of March 2022</t>
  </si>
  <si>
    <t xml:space="preserve">Prosecutor Janale Salaum </t>
  </si>
  <si>
    <t>Payment for Allowance for the period of April 2022</t>
  </si>
  <si>
    <t xml:space="preserve">Maridez Ablola-Labang </t>
  </si>
  <si>
    <t>LABANG - Payment for Allowance for the period of April 2022</t>
  </si>
  <si>
    <t xml:space="preserve">Richelmina Velasco </t>
  </si>
  <si>
    <t>Payment of her RIC Allowance for the month of March 2022</t>
  </si>
  <si>
    <t xml:space="preserve">Aida Del Rosario </t>
  </si>
  <si>
    <t xml:space="preserve">Keesha Camille Del Rosario </t>
  </si>
  <si>
    <t xml:space="preserve">Enriqueta Bantugan </t>
  </si>
  <si>
    <t xml:space="preserve">Corazon Tomas </t>
  </si>
  <si>
    <t>DONATION TO TOMAS CABARUBIO FOR HIS HOSPITAL BILL</t>
  </si>
  <si>
    <t xml:space="preserve">Kristofferson Castillo </t>
  </si>
  <si>
    <t>DONATION TO ALETH BERNALES FOR HER HOSPITAL BILL</t>
  </si>
  <si>
    <t xml:space="preserve">PLDT </t>
  </si>
  <si>
    <t>Payment of telephone bill of JPMH for the period of March 21 - April 20, 2022</t>
  </si>
  <si>
    <t xml:space="preserve">Converge ICT Solutions Inc </t>
  </si>
  <si>
    <t>Payment of Internet Bill of MBDA Account Number 00300011924 for the month of May, 2022</t>
  </si>
  <si>
    <t xml:space="preserve">Smart Comm. Inc </t>
  </si>
  <si>
    <t>Payment of Home Bro Ultera Plan 999 for the period of April 26 to May 25,2022</t>
  </si>
  <si>
    <t>Payment of PLDT Fiber for the month of April 21 - May 20, 2022</t>
  </si>
  <si>
    <t xml:space="preserve">MT Pilar </t>
  </si>
  <si>
    <t>Monthly subscription fee on Metro Ethernet Service for the use of CCTV Cameras of MBDA for the month of May, 2022</t>
  </si>
  <si>
    <t>Payment of Internet Bill of 1Bataan Command Center Account Number 030300182942 for the month of May, 2022</t>
  </si>
  <si>
    <t>Payment of Water Bill of JPMH for the month of March, 2022</t>
  </si>
  <si>
    <t xml:space="preserve">Victor Ubaldo </t>
  </si>
  <si>
    <t>Payment of mobile phone expenses for the month of February 2022 and March 2022</t>
  </si>
  <si>
    <t xml:space="preserve">Municipal Treasurer - Pilar </t>
  </si>
  <si>
    <t>Payment of Water bill for fishery,Bagong Silang for the month of March, 2022</t>
  </si>
  <si>
    <t>Payment of participation fee of ODH Laboratory in National External Quality Assessment Scheme(NEQAS) for Parasitology and TB Microscopy for the year 2022</t>
  </si>
  <si>
    <t>Payment of participation fee of ODH Laboratory in National External Quality Assessment Scheme(NEQAS) for Serology for the year 2022</t>
  </si>
  <si>
    <t>Payment for the funeral services under the Libreng Libing Program for the period February 2, 19, 25, March 9, 11, and 15, 2022</t>
  </si>
  <si>
    <t>DONATION FOR THE HOSPITAL BILLS COVERING THE PERIOD MARCH 14-18, 2022</t>
  </si>
  <si>
    <t>Reimbursement of the amount paid for fuel consumption of the government vehicle Ford Everest C2X097 for the month of April 2022</t>
  </si>
  <si>
    <t>Reimbursement of the amount paid for fuel consumption of the government vehicle FORD EVEREST IP 1451 for the month of April, 2022</t>
  </si>
  <si>
    <t>Replenishment of cash advance for emergency purchases of JPMH from April 28 - 30, 2022</t>
  </si>
  <si>
    <t>Replenishment of Revolving Fund for payment of donation to indigent constituents from Province of Bataan (May 11-12, 2022)</t>
  </si>
  <si>
    <t xml:space="preserve">Maria Quiambao </t>
  </si>
  <si>
    <t>Donation for and in behalf of the deceased Barangay Tanod of Barangay Mabuco, Hermosa, Bataan</t>
  </si>
  <si>
    <t>Payment of his overtime pay for the period of April, 2022</t>
  </si>
  <si>
    <t>DONATION FOR THE HOSPITAL BILLS COVERING THE PERIOD MARCH 28 - APRIL 1, 2022</t>
  </si>
  <si>
    <t xml:space="preserve">Cynthia Tolentino </t>
  </si>
  <si>
    <t>Replenishment of market purchases of JPMH for the period of April 22 - 30, 2022</t>
  </si>
  <si>
    <t>Replenishment of cash advance to defray payment of Daily Market Purchase from April 24-30, 2022</t>
  </si>
  <si>
    <t>DONATION FOR THE HOSPITAL BILLS COVERING THE PERIOD MARCH 28-30, 2022</t>
  </si>
  <si>
    <t>DONATION FOR THE HOSPITAL BILLS COVERING THE PERIOD APRIL 26, 2022</t>
  </si>
  <si>
    <t>DONATION FOR THE HOSPITAL BILLS AND MEDICAL NEEDS COVERING THE PERIOD APRIL 25-29, 2022</t>
  </si>
  <si>
    <t>Payment of her overtime pay for the period of March - April, 2022</t>
  </si>
  <si>
    <t xml:space="preserve">Lea De Guzman Lapuz </t>
  </si>
  <si>
    <t xml:space="preserve">Mary Ann S. Gloria </t>
  </si>
  <si>
    <t>DONATION TO DONATO GLORIA FOR HIS HOSPITAL BILL AND MEDICAL NEEDS</t>
  </si>
  <si>
    <t xml:space="preserve">Jayson R. Rañola </t>
  </si>
  <si>
    <t>DONATION TO JENNELYN VILLAGANES AND TERRENCE JAE RAñOLA FOR THEIR HOSPITAL BILLS</t>
  </si>
  <si>
    <t xml:space="preserve">Catherine P Mañalac </t>
  </si>
  <si>
    <t>DONATION TO ELIZABETH PALOMO FOR HER HOSPITAL BILL</t>
  </si>
  <si>
    <t xml:space="preserve">Cherry Z. De Silva </t>
  </si>
  <si>
    <t>DONATION TO ANTONINA ZAPANTA FOR HER MEDICAL NEEDS</t>
  </si>
  <si>
    <t xml:space="preserve">Evelyn M. Columna </t>
  </si>
  <si>
    <t>DONATION TO ROSALYN COLUMNA FOR HER MEDICAL NEEDS</t>
  </si>
  <si>
    <t xml:space="preserve">Kim Harold D. Celecio </t>
  </si>
  <si>
    <t>DONATION TO JOYCE D. CELECIO FOR HER BURIAL EXPENSES</t>
  </si>
  <si>
    <t xml:space="preserve">Dexter F. Cebedo </t>
  </si>
  <si>
    <t>DONATION TO CANDELARIA F. CEBEDO FOR HER BURIAL EXPENSES</t>
  </si>
  <si>
    <t xml:space="preserve">Virgie S. Barias </t>
  </si>
  <si>
    <t>DONATION TO TEOFILO BARIAS FOR HIS HOSPITAL BILL</t>
  </si>
  <si>
    <t xml:space="preserve">Hayzel D. Ramos </t>
  </si>
  <si>
    <t>DONATION TO MARIBETH DIZON FOR HER HOSPITAL BILL</t>
  </si>
  <si>
    <t xml:space="preserve">Conchita R. Barcelona </t>
  </si>
  <si>
    <t>DONATION TO DOMINGO BARCELONA JR. FOR HIS HOSPITAL BILL AND MEDICAL NEEDS</t>
  </si>
  <si>
    <t xml:space="preserve">Flordeliza G. Ladines </t>
  </si>
  <si>
    <t>DONATION TO JOSE LANDINES FOR HIS HOSPITAL BILL AND MEDICAL NEEDS</t>
  </si>
  <si>
    <t xml:space="preserve">Grace Melbeth B. Dizon </t>
  </si>
  <si>
    <t>DONATION TO MELODY DIZON FOR HER MEDICAL NEEDS</t>
  </si>
  <si>
    <t xml:space="preserve">Lynethe C. Pallasigue </t>
  </si>
  <si>
    <t xml:space="preserve">Ronald G. Ebido </t>
  </si>
  <si>
    <t>DONATION TO CARMELITA EBIDO FOR HER BURIAL EXPENSES</t>
  </si>
  <si>
    <t>DONATION TO JUANITO PUNZALAN FOR HIS BURIAL EXPENSES</t>
  </si>
  <si>
    <t xml:space="preserve">Marieta R. Ermino </t>
  </si>
  <si>
    <t>DONATION TO ROLANDO RAMOS FOR HIS BURIAL EXPENSES</t>
  </si>
  <si>
    <t xml:space="preserve">Olivia C. Numock </t>
  </si>
  <si>
    <t>DONATION TO JOHN MARK CORPUZ FOR HIS BURIAL EXPENSES</t>
  </si>
  <si>
    <t xml:space="preserve">Teresa N. Bawar </t>
  </si>
  <si>
    <t>DONATION TO LORENZO BAWAR FOR HIS HOSPITAL BILL</t>
  </si>
  <si>
    <t xml:space="preserve">Roditha Z. Capuli </t>
  </si>
  <si>
    <t>DONATION TO JASLYN KATE CAPULI AND GAVE ENRICO DEL ROSARIO DEL ROSARIO FOR THEIR HOSPITAL BILLS</t>
  </si>
  <si>
    <t xml:space="preserve">Christian A. Tremotcha </t>
  </si>
  <si>
    <t>DONATION TO SANDY MIANO FOR HIS BURIAL EXPENSES</t>
  </si>
  <si>
    <t xml:space="preserve">Mel R. Ramos </t>
  </si>
  <si>
    <t>DONATION TO EMELITA RAMOS FOR HER HOSPITAL BILL</t>
  </si>
  <si>
    <t xml:space="preserve">Precita B. Loreto </t>
  </si>
  <si>
    <t>DONATION TO MA. CHRISTINES LORETO AND ATHENA CELESTINE TANARTE FOR THEIR HOSPITAL BILLS</t>
  </si>
  <si>
    <t xml:space="preserve">Jennica V. Italia </t>
  </si>
  <si>
    <t>DONATION TO CLIENT AND ADELLE TIARRA ADRANEDA FOR THEIR HOSPITAL BILLS AND MEDICAL NEEDS</t>
  </si>
  <si>
    <t xml:space="preserve">Jerome B. Catalan </t>
  </si>
  <si>
    <t>DONATION TO PRINCE JACOB CATALAN FOR HIS HSPITAL BILL AND PROFESSIONAL FEE</t>
  </si>
  <si>
    <t xml:space="preserve">Emmanuel B. Pablo </t>
  </si>
  <si>
    <t>DONATION TO NOEMI PABLO FOR HER HOSPITAL BILL</t>
  </si>
  <si>
    <t xml:space="preserve">Benjamin D. Flores </t>
  </si>
  <si>
    <t>DONATION TO NORMITA FLORES FOR HER HOSPITAL BILL, PROFESSIONAL FEE AND MEDICAL NEEDS</t>
  </si>
  <si>
    <t xml:space="preserve">Vivian B. Silip </t>
  </si>
  <si>
    <t>DONATION TO TEODORO BANZON FOR HIS MEDICAL NEEDS</t>
  </si>
  <si>
    <t xml:space="preserve">Reymund S. Izon </t>
  </si>
  <si>
    <t>DONATION TO MONICA S. IZON FOR HER HOSPITAL BILL AND MEDICAL NEEDS</t>
  </si>
  <si>
    <t xml:space="preserve">Mark Anthony D. Atrazo </t>
  </si>
  <si>
    <t xml:space="preserve">Annabella M. Lucas </t>
  </si>
  <si>
    <t>DONATION TO MELVIN LUCAS FOR HIS MEDICAL NEEDS</t>
  </si>
  <si>
    <t xml:space="preserve">Jeffrey A. Lintag </t>
  </si>
  <si>
    <t>DONATION TO CARMELITA LINTAG FOR HER HOSPITAL BILL</t>
  </si>
  <si>
    <t xml:space="preserve">Maria Teresa C. Siton </t>
  </si>
  <si>
    <t xml:space="preserve">Janette S. Ambito </t>
  </si>
  <si>
    <t>DONATION TO ELLEANA JANE AMBITO AND FLOREN LEAN AMBITO FOR THEIR HOSPITAL BILL</t>
  </si>
  <si>
    <t xml:space="preserve">Winefreda S. Labasbas </t>
  </si>
  <si>
    <t>DONATION TO SALVADOR LABASBAS FOR HIS HOSPITAL BILL</t>
  </si>
  <si>
    <t xml:space="preserve">Angelina Q. Torrico </t>
  </si>
  <si>
    <t>DONATION TO NESTOR TORRICO FOR HIS HOSPITAL BILL</t>
  </si>
  <si>
    <t xml:space="preserve">Richard F. Espinosa </t>
  </si>
  <si>
    <t>DONATION TO AZUCENA ESPINOSA FOR HER MEDICAL NEEDS</t>
  </si>
  <si>
    <t xml:space="preserve">Jeanick A. Oliveria </t>
  </si>
  <si>
    <t>DONATION TO CRESENCIO OLIVERIA FOR HIS MEDICAL NEEDS</t>
  </si>
  <si>
    <t xml:space="preserve">Noeme D. Bendoy </t>
  </si>
  <si>
    <t>DONATION FOR THE HOSPITAL BILLS AND MEDICAL NEEDS COVERING THE PERIOD MARCH 28- APRIL 1, 2022</t>
  </si>
  <si>
    <t xml:space="preserve">Marlon Quito </t>
  </si>
  <si>
    <t>DONATION TO RUBY LIZA QUITO FOR HER MEDICAL NEEDS</t>
  </si>
  <si>
    <t xml:space="preserve">Robin Navoa </t>
  </si>
  <si>
    <t>DONATION T MONIQUE NAVOA AND RYKIE JOSIAH NAVOA FOR THEIR HOSPITAL BILLS</t>
  </si>
  <si>
    <t xml:space="preserve">Noe Millano </t>
  </si>
  <si>
    <t>DONATION TO GLOCELYN MILANO FOR HER HOSPITAL BILL</t>
  </si>
  <si>
    <t xml:space="preserve">Marissa Hernandez </t>
  </si>
  <si>
    <t>DONATION TO MICHAEL HERNANDEZ FOR HIS HOSPITAL BILL</t>
  </si>
  <si>
    <t xml:space="preserve">Monnette Bartolo </t>
  </si>
  <si>
    <t>DONATION TO VERONICA MANGLALLAN FOR HER HOSPITAL BILL</t>
  </si>
  <si>
    <t xml:space="preserve">Editha Reyes </t>
  </si>
  <si>
    <t>DONATION TO CLIENT FOR HER HOSPITAL BILL AND PROFESSIONAL FEE</t>
  </si>
  <si>
    <t xml:space="preserve">Trisha Mae Frobes </t>
  </si>
  <si>
    <t>DONATION TO RONNIE FORBES FOR HIS HOSPITAL BILL AND MEDICAL NEEDS</t>
  </si>
  <si>
    <t xml:space="preserve">Raquel Berceles </t>
  </si>
  <si>
    <t>DONATION TO JOSE MENDOZA FOR HIS HOSPITAL BLL AND MEDICAL NEEDS</t>
  </si>
  <si>
    <t xml:space="preserve">Shiela Marie de Silva Capili </t>
  </si>
  <si>
    <t>DONATION TO EVELINDA DE SILVA FOR HER HOSPITAL BILL</t>
  </si>
  <si>
    <t xml:space="preserve">Lorena Oguilla </t>
  </si>
  <si>
    <t>DONATION TO ALFRED AGUSTIN FOR HIS HOSPITAL BILL AND PROFESSIONAL FEE</t>
  </si>
  <si>
    <t xml:space="preserve">Perla Estioko </t>
  </si>
  <si>
    <t xml:space="preserve">Roberto Jr. Almario </t>
  </si>
  <si>
    <t xml:space="preserve">Roberto Alonzo </t>
  </si>
  <si>
    <t xml:space="preserve">Maria Sheerin Young </t>
  </si>
  <si>
    <t>DONATION TO FRANK JR. YOUNG FOR HIS MEDICAL NEEDS</t>
  </si>
  <si>
    <t xml:space="preserve">Bataan St. Joseph Hospital and Medical Center Inc. </t>
  </si>
  <si>
    <t>DONATION FOR THE HOSPITAL BILLS COVERING THE PERIOD APRIL 12, 2022</t>
  </si>
  <si>
    <t>DONATION FOR THE HOSPITAL BILLS COVERING THE PERIOD APRIL 12-13, 2022</t>
  </si>
  <si>
    <t xml:space="preserve">Balanga Medical Center (BMCC) Corp. </t>
  </si>
  <si>
    <t>DONATION FOR THE HOSPITAL BILLS COVERING THE PERIOD APRIL 11-12, 2022</t>
  </si>
  <si>
    <t>Payment for the funeral services rendered under the Libreng Libing Program for the period February 20, 23, March 18, 21, 24, and 29, 2022</t>
  </si>
  <si>
    <t>Payment for the funeral services rendered under the Libreng Libing Program for the period March 2-28, 2022</t>
  </si>
  <si>
    <t>Payment for the funeral services under the Libreng Libing Program for the period May 8, 2020 November 28, 2021 January 11, February 2-27, 2022</t>
  </si>
  <si>
    <t>Payment for the funeral service rendered under the libring libing program for the period of March 18-29, 2022</t>
  </si>
  <si>
    <t xml:space="preserve">Real-Tech Mobile Innovation Inc </t>
  </si>
  <si>
    <t>TECH MOBILE INNOVATION INC. - Payment of Internet subscription plan for vehicle tracker of PEO for the period of May, 2022</t>
  </si>
  <si>
    <t xml:space="preserve">Loida Ocampo </t>
  </si>
  <si>
    <t>OCAMPO - Allowance for the period of April, 2022</t>
  </si>
  <si>
    <t xml:space="preserve">Dorina Castro Baltazar </t>
  </si>
  <si>
    <t>Baltazar- Payment of allowance for the month of April 2022</t>
  </si>
  <si>
    <t xml:space="preserve">Rodel Patrick Bairan </t>
  </si>
  <si>
    <t>Ines-Payment of allowance for the month of April 2022</t>
  </si>
  <si>
    <t xml:space="preserve">John Erick Macatangay </t>
  </si>
  <si>
    <t>Replenishment of Medicines, Supplies, X-ray &amp; Laboratory Expenses under the Philhealth (NBB) of indigent patients in ODH from March 24 - 31, 2022</t>
  </si>
  <si>
    <t>Replenishment for medicine, medical supplies and laboratory expenses under Philhealth NBB of indigent patients in MDH January 18-21, 2022</t>
  </si>
  <si>
    <t>Payment for mobile expenses for the Covered Period of April, 2022 1057156186</t>
  </si>
  <si>
    <t>Payment for mobile expenses for the Covered Period of April, 2022 1057146687</t>
  </si>
  <si>
    <t xml:space="preserve">Benjamin C. Serrano Sr. </t>
  </si>
  <si>
    <t>Reimbursement of the amount paid for fuel consumption of the government vehicle Ford Everest IP 0816 for the month of April 2022</t>
  </si>
  <si>
    <t>Reimbursement of the amount paid for fuel consumption of the government vehicle Ford Everest IO 9548 for the month of April, 2022</t>
  </si>
  <si>
    <t>Payment of insurance for Two (2) units service vehicle owned byPGB</t>
  </si>
  <si>
    <t>Payment of fidelity bond premium of Ms. Leonora O. Siasat</t>
  </si>
  <si>
    <t>Replenishment of Revolving Fund for payment of donation to indigent constituents from Province of Bataan (May 17-18)</t>
  </si>
  <si>
    <t>Payment of registration fee for Risk Management webinar to be attended by Christine T. Ferrera on June 1-3, 2022</t>
  </si>
  <si>
    <t>Payment of his salary differential as board member (PCL Pres.) in the Office of the Sangguniang Panlalawigan from the period of January, February, March, April and May, 2022</t>
  </si>
  <si>
    <t>Replenishment of Revolving Fund for payment of donation to indigent constituents from Province of Bataan (May 24-25)</t>
  </si>
  <si>
    <t>Replenishment of Emergency Purchases of NBB Patients of JPMH for the period from May 10 - 12, 2022</t>
  </si>
  <si>
    <t>Replenishment of Emergency Purchases of NBB Patients of JPMH for the period from May 13 - 16, 2022</t>
  </si>
  <si>
    <t>Replenishment of cash advence for emergency purchases of JPMH from May 11 - 14, 2022</t>
  </si>
  <si>
    <t>Reimbursement of medicines, supplies, X-ray, &amp; laboratory expenses under the PhilHelath No Balance Billing(NBB) of indigent patients in ODH from April 01-19, 2022</t>
  </si>
  <si>
    <t>Replenishment of cash advance to defray payment of Daily Market Purchase from May 9-16, 2022</t>
  </si>
  <si>
    <t>Reimbursement for market purchase of MDH for the period of April 23 - May 07, 2022</t>
  </si>
  <si>
    <t>Replenishment of Miscellaneous Expenses of MDH used for COVID-19 for the period of May 04-12, 2022</t>
  </si>
  <si>
    <t>Purchase of Newborn Hearing Kit for the use of ODH</t>
  </si>
  <si>
    <t>Payment of electric bills of BJMP (Mega Processing Covid-19 Facility) for the month of April 2022</t>
  </si>
  <si>
    <t>Payment of Electric bill of 1Bataan Command Center, Orani for the month of April 2022</t>
  </si>
  <si>
    <t xml:space="preserve">Myra B. Moral-Soriano </t>
  </si>
  <si>
    <t>SORIANO - SUBSIDY TO DILG REGION III - BATAAN FOR THEIR PPA MID YEAR ASSESSMENT FOR CY 2022 CUM STRENGTHENING OF POC SECRETARIAT ON JUNE 1-2, 2022</t>
  </si>
  <si>
    <t>Replenishment of Emergency Purchases of NBB Patients of JPMH for the period from May 17, 2022 to May 19, 2022</t>
  </si>
  <si>
    <t>Replenishment of application fee for JPMH Medical X-ray (Mobile X-ray new) for CY 2022 at Food &amp; Drugs Administration</t>
  </si>
  <si>
    <t>Replenishment of cash advance to defray payment of Daily Market Purchase from May 17-24, 2022</t>
  </si>
  <si>
    <t>Replenishment of Revolving Fund for payment of donation to indigent constituents from Province of Bataan (May 26-27)</t>
  </si>
  <si>
    <t>Replenishment of cash advance for emergency purchases of JPMH from May 15 - 19, 2022</t>
  </si>
  <si>
    <t>Replenishment of cash advance for emergency purchases of JPMH from May 19 - 23, 2022</t>
  </si>
  <si>
    <t>Replenishment of Miscellaneous expenses of ODH from March 25 - May 12, 2022</t>
  </si>
  <si>
    <t xml:space="preserve">Gina A. Baldo </t>
  </si>
  <si>
    <t>Payment of her 22 days monetized leave credits</t>
  </si>
  <si>
    <t>Payment of yearly Rental of 2 units of 50KVA Transformer of Bulwagan ng Bayan on June 2021</t>
  </si>
  <si>
    <t>Fuel on different service vehicle used by the PNP &amp; PHO April 11-17, 2022</t>
  </si>
  <si>
    <t>Fuel on different service vehicle used by the Tourism April 25-May 1, 2022</t>
  </si>
  <si>
    <t>Payment of fuel consumption for BJMP-Male, PHO &amp; OPA for April 4-10, 2022</t>
  </si>
  <si>
    <t>Payment of fuel consumption for PPDO &amp; VET for April 18-24, 2022</t>
  </si>
  <si>
    <t>Payment of fuel consumption for the period of April 11 - 17, 2022 (LEGAL)</t>
  </si>
  <si>
    <t>Fuel on different service vehicle used by Vet, PPDO, BJMP-Female &amp; ENRO April 25-May 1, 2022</t>
  </si>
  <si>
    <t>Fuel on different service vehicle used by PHO &amp; PCEDO0 for April 18-24, 2022</t>
  </si>
  <si>
    <t>Payment of fuel consumption for PG-ENRO, PDRRMO, Tourism, BJMP-Female, PIO &amp; SOCO for April 18-24, 2022</t>
  </si>
  <si>
    <t>Fuel on different service vehicle used by the PNP, BJMP-Male &amp; OPA April 18-24, 2022</t>
  </si>
  <si>
    <t>Fuel on different service vehicle used by PPDO &amp; PVO -May 2-8, 2022</t>
  </si>
  <si>
    <t>Fuel on different service vehicle used by SOCO, PDRRMO, &amp; PHO April 25-May 1, 2022</t>
  </si>
  <si>
    <t>Remittance of Pag-ibig II Savings of the provincial employees  May 2022</t>
  </si>
  <si>
    <t xml:space="preserve">Barangay Treasurer - Parang-Parang, Orani, Bataan </t>
  </si>
  <si>
    <t>Subsidy for their annual cultural activity on May 29, 2022</t>
  </si>
  <si>
    <t>Replenishment of Emergency Purchases of NBB Patients of JPMH for the period of May 20 - 22, 2022</t>
  </si>
  <si>
    <t xml:space="preserve">Barangay Treasurer - Bagong Paraiso, Orani, Bataan </t>
  </si>
  <si>
    <t>Subsidy for their annual cultural activity on May 16, 2022</t>
  </si>
  <si>
    <t xml:space="preserve">Barangay Treasurer - Balut II, Pilar, Bataan </t>
  </si>
  <si>
    <t>Subsidy for their annual cultural activity on May 15, 2022</t>
  </si>
  <si>
    <t xml:space="preserve">Barangay Treasurer - Balut I, Pilar, Bataan </t>
  </si>
  <si>
    <t xml:space="preserve">Barangay Treasurer - Maria Fe, Orani, Bataan </t>
  </si>
  <si>
    <t>Subsidy for their annual cultural activity on May 22, 2022</t>
  </si>
  <si>
    <t xml:space="preserve">Barangay Treasurer Tabing Ilog Bagac, Bataan </t>
  </si>
  <si>
    <t>Subsidy for their annual cultural activity on June 24, 2022</t>
  </si>
  <si>
    <t xml:space="preserve">Barangay Treasurer Cupang North Balanga City, Bataan </t>
  </si>
  <si>
    <t xml:space="preserve">Barangay Treasurer of Cupang West, Balanga City, Bataan </t>
  </si>
  <si>
    <t>Reimbursement for market purchase of MDH for the period of May 08-18, 2022</t>
  </si>
  <si>
    <t>Payment of Electric bill f MDH for the month of April 2022</t>
  </si>
  <si>
    <t>Replenishment of Medicines, Supplies, X-ray &amp; Laboratory Expenses under the PhilHealth No Balance Billing (NBB) of indigent patients in ODH from April 20-May 2,2022</t>
  </si>
  <si>
    <t>Payment of fuel consumption for OPA for April 11-17, 2022</t>
  </si>
  <si>
    <t>Payment of fuel consumption for BJMP-FEMale &amp; BJMP-Male for April 11-17, 2022</t>
  </si>
  <si>
    <t>Payment of fuel consumption for the period of April 25 - May 1, 2022 (MBDA)</t>
  </si>
  <si>
    <t>Payment of fuel consumption for the period of April 25 - May 1, 2022 (PGO)</t>
  </si>
  <si>
    <t>Payment of fuel consumption for the period of April 25 - May 1, 2022 (BCMH)</t>
  </si>
  <si>
    <t>Payment of fuel consumption for the period of April 11-17 2022 (PEO)</t>
  </si>
  <si>
    <t>Payment of fuel consumption for the period of April 4-10, 2022 (PEO)</t>
  </si>
  <si>
    <t>Payment of fuel consumption for the period of April 11-17 2022 (MDH)</t>
  </si>
  <si>
    <t>Payment of fuel consumption for the period of April 04-10, 2022 (MDH)</t>
  </si>
  <si>
    <t>Payment of fuel consumption for the period of March 28 - April 3, 2022 (MDH)</t>
  </si>
  <si>
    <t>Payment of fuel consumption for SOCO for April 11-17, 2022</t>
  </si>
  <si>
    <t>Payment of Electric bill of Bataan Provincial Jail Bldg. for the month of February 2022</t>
  </si>
  <si>
    <t xml:space="preserve">Felimon Alvarado Jr. </t>
  </si>
  <si>
    <t>Donation to samahang DABARKADS for their flower festival 2022 on May 28, 2022</t>
  </si>
  <si>
    <t>Payment of Electric bill of Establishment of Provincial Plant (Pilar) for the month of April 2022</t>
  </si>
  <si>
    <t>Payment of electric bill of various offices, buildings and street lights owned by PGB for the month of April 2022</t>
  </si>
  <si>
    <t>Payment of electric bill of PGO-PSWDO for the month of April, 2022</t>
  </si>
  <si>
    <t>Payment of electric bill of MBDA Relay (Orion) for the month of April 2022</t>
  </si>
  <si>
    <t>Payment of Electric Bill of Provl Council for welfare for the month of April 2022</t>
  </si>
  <si>
    <t>Replenishment of emergency purchases of NBB patients of JPMH for the period from May 22 - 23, 2022</t>
  </si>
  <si>
    <t>Replenishment for market purchases of JPMH for the period of May 12 - 23, 2022</t>
  </si>
  <si>
    <t>Reimbursement of the amount paid for fuel consumption of the government vehicle FORD EVEREST IP 0801 for the month of April, 2022</t>
  </si>
  <si>
    <t>Reimbursement of the amount paid for fuel consumption of the government vehicle Ford Everest C1 T417 for the month of April 2022</t>
  </si>
  <si>
    <t>Reimbursement of the amount paid for fuel consumption of the government vehicle Ford Everest IP 0189 for the month of April 2022</t>
  </si>
  <si>
    <t>Reimbursement of the amount paid for fuel consumption of the government vehicle Ford Everest IP 0800 for the month of April 2022</t>
  </si>
  <si>
    <t>Construction of Water System at Sitio Damulog, Brgy. Daan Pare, Orion, Bataan (20% DF)</t>
  </si>
  <si>
    <t>Payment of electric bill of CCTV for the month of April 2022</t>
  </si>
  <si>
    <t>Payment of Electric bill of JPMH for the month of April, 2022</t>
  </si>
  <si>
    <t>Payment of registration fee, application fee, and annual administration fee for the Provincial Government of Bataan property in Orani, Bataan</t>
  </si>
  <si>
    <t>Payment of Electrical Consumption for the period of March 2022</t>
  </si>
  <si>
    <t>Payment of Bunker Genset's Diesel During Power Interruption Dated March 16, 2022</t>
  </si>
  <si>
    <t>Payment of Operation and Maintenance Fee for the month of April , 2022</t>
  </si>
  <si>
    <t>Donation for their operational expenses re: Project Usig operations againts illegal drugs for the month of February 2022</t>
  </si>
  <si>
    <t xml:space="preserve">Romell A. Velasco </t>
  </si>
  <si>
    <t xml:space="preserve">Gary T. Lupuan </t>
  </si>
  <si>
    <t xml:space="preserve">Eduardo D. Banzon </t>
  </si>
  <si>
    <t>Payment of his 50% monetized Leave Benefits</t>
  </si>
  <si>
    <t>Fuel on different service vehicle used by PCEDO, PNP, OPA &amp; BJMP-Male April 25-May 1, 2022</t>
  </si>
  <si>
    <t>Fuel on different service vehicle used by PGENRO, PCEDO, Tourism &amp; PDRRMO May 2-8, 2022</t>
  </si>
  <si>
    <t>Payment of fuel consumption for the period of May 9-15, 2022 (MBDA)</t>
  </si>
  <si>
    <t>Payment of fuel consumption for the period of April 18-24, 2022(PEO)</t>
  </si>
  <si>
    <t>Welding rod for the welding &amp; fabrication purposes of PEO - Motorpool Welders</t>
  </si>
  <si>
    <t>Janitorial Supplies to be used for the General Maintenance of the Bunker Building</t>
  </si>
  <si>
    <t>Materials for the repair and maintenance of Mt. Samat Shrine, Pilar, Bataan</t>
  </si>
  <si>
    <t>Purchase of cutting disc and grinding disc for the welding and fabrication purposes of Motorpool welders</t>
  </si>
  <si>
    <t>Materials for the installation of electrical wirings and fittings for the electric supply of Uninterruptable Power Source of Mariveles District Hospital</t>
  </si>
  <si>
    <t xml:space="preserve">Cha Rev Pharmatrade </t>
  </si>
  <si>
    <t>Vitamin C for frontliners and district hospitals druing Covid-19 Pandemic</t>
  </si>
  <si>
    <t>Materials needed for the repainting of office, repair of electrical fixtures and replacement of lavatory fictures Bataan Chamber of Commerce &amp; industry (BACCI)</t>
  </si>
  <si>
    <t>Materials for the repair of craks and repainting of exterior wall/ fañade of Commission o Audit Building located in Abucay, Bataan</t>
  </si>
  <si>
    <t xml:space="preserve">Full Speed Emission Test Center, Inc. </t>
  </si>
  <si>
    <t>Payment for emission testing on various government vehicles ending in 6-0 and various conduction stickers owned by the PGB</t>
  </si>
  <si>
    <t>Reimbursement of AM Snack for the orientation meeting of VISITA APP with Tourism Stakeholders on May 23, 2022 at Emiliano Hall</t>
  </si>
  <si>
    <t>Laboratory reagents for the use of Orani District Hospital</t>
  </si>
  <si>
    <t>Payment of fuel consumption for the period of April 25 - May 1,2022</t>
  </si>
  <si>
    <t>Payment of fuel consumption for the period of May 02-08, 2022</t>
  </si>
  <si>
    <t xml:space="preserve">Barangay Treasurer - Binukawan, Bagac, Bataan </t>
  </si>
  <si>
    <t>Subsidy for the additional materials for the Water System in Sitio Ipil-Ipil, Binukawan, Bagac, Bataan</t>
  </si>
  <si>
    <t>DONATION FOR THE HOSPITAL BILLS COVERING THE PERIOD MAY 2-7, 2022</t>
  </si>
  <si>
    <t>Payment of Water bill for Palayan ng Bayan, Bagong Silang for the month of April, 2022</t>
  </si>
  <si>
    <t>Payment of water bill for fishery, Bagong Silang for the month of April, 2022</t>
  </si>
  <si>
    <t>Payment of Plan 300 for employees assigned as monitoring gathering and analysing COVID 2019 related data in the Province of Bataan Covering Period for the month of April, 2022</t>
  </si>
  <si>
    <t>Payment of internet connection of BCMH for the period period of April 30 - May 29, 2022</t>
  </si>
  <si>
    <t>Subsidy to Liga ng mga Barangay sa Pilipinas Bataan Chapter for their Liga different activities for the month of May to August 2022</t>
  </si>
  <si>
    <t>Payment of Bizload for Barangay Captains as monitoring gathering and analysing Covid 19 related data in the province of Bataan Coveriong Period for the month of May 2022</t>
  </si>
  <si>
    <t>DONATION FOR THE HOSPITAL BILLS AND MEDICAL NEEDS COVERING THE PERIOD MARCH 7-11, 2022</t>
  </si>
  <si>
    <t xml:space="preserve">Mavis, Inc. </t>
  </si>
  <si>
    <t>Payment for the internet subscription for the period covered from May 1-31, 2022</t>
  </si>
  <si>
    <t>Payment of electric bill of Multi Purpose Center, Tilapya, Pantingan, Pilar for the month of April 2022</t>
  </si>
  <si>
    <t>Payment of Electric bill of Bataan Christian Youth for the month of April 2022</t>
  </si>
  <si>
    <t>Payment of Electric bill of Bataan People's Center 3 for the month of April 2022</t>
  </si>
  <si>
    <t>Payment of electric bill of MBDA Satellite Office for the month of April 2022</t>
  </si>
  <si>
    <t>Payment of Monthly subscription fee for the services of Internet Connection of Malasakit Dinalupihan Covering Period April 17 - May 16, 2022</t>
  </si>
  <si>
    <t>Payment of internet subscription of account number 65649940 for the period of April 17, 2022 to May 16, 2022</t>
  </si>
  <si>
    <t>Payment of Monthly subscription fee for the services of Internet Connection of PIO Office Covering Period April 17 - May 16, 2022</t>
  </si>
  <si>
    <t>Payment for the funeral services under the Libreng libing Program for the period July 1-31, 2021</t>
  </si>
  <si>
    <t>Payment for the funeral services under the Libreng libing program for the period February 11-19, March 5-27, April 4 - 15, 2022</t>
  </si>
  <si>
    <t>Payment for the funeral services under the Libreng libing program for the period April 2 - 29, 2022</t>
  </si>
  <si>
    <t>Payment for the funeral services under the Libreng libing program for the period February 1, March 4-29, April 4-25, 2022</t>
  </si>
  <si>
    <t>Security Services for CAPITOL COMPOUND for the period covered from April 1-30, 2022</t>
  </si>
  <si>
    <t>Labor and Materials for Construction of Streetlights Barangay Roxas, Dinalupihan Bataan (20% DF)</t>
  </si>
  <si>
    <t xml:space="preserve">DAJ Builders </t>
  </si>
  <si>
    <t>Labor and Materials for the Construction of Health Center Brgy. San Pablo, Dinalupihan, Bataan (20% DF)</t>
  </si>
  <si>
    <t>Labor and Materials for the Concreting to Farm to market road CABOG CABOG BALANGA (20% DF)</t>
  </si>
  <si>
    <t>Labor and Materials for the Concreting of Road, Bangkal, Abucay, Bataan (20% DF)</t>
  </si>
  <si>
    <t>Labor and Materials for the Construction of Drainage System Barangay Paraiso, Orani,Bataan (20% DF)</t>
  </si>
  <si>
    <t>Labor and Materials for the Concreting of Road, Brgy. Pantalan Luma Orani Bataan (20% DF)</t>
  </si>
  <si>
    <t>Replenishment for Medicine, Medical Supplies and Laboratory Expenses under the Philhealth No Balance Biling (NBB) of indigent patients in MDH April 21 - May 18, 2022</t>
  </si>
  <si>
    <t xml:space="preserve">Atty. Efren C. Lizardo </t>
  </si>
  <si>
    <t>Reimbursement for the amount paid for certified true copy of Titles (LRA &amp; IT FEES) for the provincial Government of Bataan for the month of April 2022</t>
  </si>
  <si>
    <t>Reimbursement of gasoline expenses of JPMH for the period from April 27-30, 2022</t>
  </si>
  <si>
    <t>Reimbursement of gasoline expenses of JPMH for the period from April 11 - 26, 2022</t>
  </si>
  <si>
    <t>Cash advance for Parts and Labor for the repair/replacement of power inventer of Nissan Urvan Ambulance NV350 NAO-4147 fot the use of Mariveles District Hospital</t>
  </si>
  <si>
    <t>Remittance of salary loan installment of provincial employees for May 2022</t>
  </si>
  <si>
    <t>Remittance of integrated insurance contribution, emergency loan, REL, cash advance, optional insurance premium, policy loan, REL, GFAL, MPL and computer Loan for the month of May 2022</t>
  </si>
  <si>
    <t>Remittance of mid year bonus loan of provincial employees for CY 2022</t>
  </si>
  <si>
    <t>Additional remittance of philhealth contribution of provincial employees for April 2022</t>
  </si>
  <si>
    <t>Additional remittance of philhealth contribution of provincial employees for March 2022</t>
  </si>
  <si>
    <t>General materials for Bataan Day Commemoration from March 28 at April 9, 2022</t>
  </si>
  <si>
    <t xml:space="preserve">RDM Photography &amp; General Merchandise </t>
  </si>
  <si>
    <t>Documenter / Videographer for the various activities of Bataan Day Commemoration 2022 from March 28 at April 9, 2022</t>
  </si>
  <si>
    <t>Reimburseemnt of materials for the replacement of damaged tiles in 1 Bataan Command Center</t>
  </si>
  <si>
    <t>Reimbursement of Parts and labor for the replacement of four (4) pcs tire for Mitsubishi FB L300 B8-S852 of MBDA</t>
  </si>
  <si>
    <t>Purchase of assorted vegetables products for the consumption of inmates of BJMP within the period of December 11-20, 2021</t>
  </si>
  <si>
    <t>Assorted vegetable products for the consumption of inmates of Bataan District Jail within the period of April 1-15,2022</t>
  </si>
  <si>
    <t>Various grocery items for the consumption of Covid Patient and Staff of Mega Processing Facility from March 16-31, 2022 during Covdi-19 Pandemic</t>
  </si>
  <si>
    <t>Assorted marine products for the consumption of inmates of Bataan District jail within the period of April 1-15,2022</t>
  </si>
  <si>
    <t>Assorted meat processed food for the consumption of inmates of Bataan District Jail within the period of April 1-15 2022</t>
  </si>
  <si>
    <t>Assorted meat and processed food for the consumption of inmates of Bataan District Jail within the period of April 16 - 30, 2022</t>
  </si>
  <si>
    <t>Purchase of various grocery items for the consumption of inmates of BJMP within the period of Decmeber 21-31, 2022</t>
  </si>
  <si>
    <t xml:space="preserve">Bullseye Solutions, Inc. </t>
  </si>
  <si>
    <t>Replacement of spare part of x-ray machine for the use of JPMH</t>
  </si>
  <si>
    <t>Purchase of assorted meat and processed food for the consumption of inmates of BJMP within the period of December 23-31, 2021</t>
  </si>
  <si>
    <t>Assorted marine products for the consumption of inmates of Bataan District Jail within the period of April 16 - 30, 2022</t>
  </si>
  <si>
    <t>Various grocery items for the consumption of inmates of Bataan District Jail within the period of April 1-15,2022</t>
  </si>
  <si>
    <t>For printing of additional indoor sticker to be used in the Provincial Treasure 's Office</t>
  </si>
  <si>
    <t>Machinery &amp; Equipment (for firty ER use) for the use of JPMH</t>
  </si>
  <si>
    <t>To purchase 2 pieces of 8 GB DDRA (RAM) for upgrade of memory for the purpose of using eBudget System</t>
  </si>
  <si>
    <t>Community Tax Certificate - Individual to be used in the Provincial Treasurer's Office</t>
  </si>
  <si>
    <t xml:space="preserve">Jayper P. Merla </t>
  </si>
  <si>
    <t>Reimbursement of Meals and snacks to be served during the installation of Tomas Del Rosario Bronze Bust at Capitol, Compound, City of Balanga on May 13, 2022</t>
  </si>
  <si>
    <t>ECG Machine with Trolly for the use of Mariveles District Hospital during COVID-19</t>
  </si>
  <si>
    <t>Dialysis Supplies for the of Joes C. Payumo Memorial Hospital</t>
  </si>
  <si>
    <t>Printing of Tarpaulin during the 1st Quarter National Simultaneous Earthquake Drill on March 10, 2022</t>
  </si>
  <si>
    <t>Procurement of Transport Vehicle/ Transport of rescued victimes to be used of Provincial Disaster Risk Reduction and Management Office</t>
  </si>
  <si>
    <t>Meals for the checkpoints for April 2022 during Covid-19 Emergency Response</t>
  </si>
  <si>
    <t>Meals fand Snacks of Vaccination Team for COVID 19 at Penelco for the period covered for March 202</t>
  </si>
  <si>
    <t>Meals for the Vaccination Area (Bataan People's Center) from February 2022 COVID-19 Pandemic</t>
  </si>
  <si>
    <t>Meals for the vaccination Area (PHO) from March 2022 during Covid-19 Pandemic</t>
  </si>
  <si>
    <t>Purchase of assorted vegetables products for the consumption of inmates of BJMP with in the period of December 1-10, 2021</t>
  </si>
  <si>
    <t>Various grocery items for the consumption of inmates of Bataan District Jail within the period of April 16 - 30 , 2022</t>
  </si>
  <si>
    <t>Grocery items for the consumption of Covid Patients and Staff of Mega Processing Facility from January 1-15, 2022 during COVID - 19 Pandemic</t>
  </si>
  <si>
    <t>LPG-50kgs for the consumption of inmates of Bataan District Jail within the period of March 2022</t>
  </si>
  <si>
    <t>Office Supplies for the use in the Provincial Treasurer's Ofrice</t>
  </si>
  <si>
    <t>Meals for the Checkpoints for March 2022 during Covid-19 Emergency Response</t>
  </si>
  <si>
    <t>ECG Machine with Trolley for the use of Jose C. Payumo Jr. Memorial Hospital during Covid-19 Pandemic</t>
  </si>
  <si>
    <t>Reimbursement of AM Snack/PM Snack &amp; Lunch to be served for Hybrid Job Fair 2022 on May 20, 2022 at Bataan, People's Center, Capitol, Compound, Balanga City, Bataan</t>
  </si>
  <si>
    <t>REIMB.OF THE PAYMENT MADE TO GOLDEN DESIGN ENTERPRISES FOR THE LABOR AND SERVICES OF 24 GARDENERS FOR 2 MONTHS FROM MARCH 14-APRIL 30,2022</t>
  </si>
  <si>
    <t>Reimbursement For change oil &amp; perform 200,000 km checkup for preventive maintenance of Nissan Ambulance ABW-4680 of Bagac Community and Medicare Hospital</t>
  </si>
  <si>
    <t>Medical and Laboratory Supplies (RT-PCR Test Kits) for the use of Mariveles District Hospital</t>
  </si>
  <si>
    <t>Purchase of assorted marine products for the consumption of inmates of BJMP within the period of December 21-31, 2021</t>
  </si>
  <si>
    <t>Purchase of assorted vegetables products for the consumption of inmates of BJMP with in the period of December 21-31, 2021</t>
  </si>
  <si>
    <t>Payment of fuel consumption for the period of May 1-15,2022 (PGO)</t>
  </si>
  <si>
    <t>1% retention for voucher boxes for use of Provincial Accountant's Office</t>
  </si>
  <si>
    <t>1% retention for janitorial supplies for use of PGB</t>
  </si>
  <si>
    <t xml:space="preserve">Serjohn Electrical </t>
  </si>
  <si>
    <t>1% retention for transformer for use pf JCPMH</t>
  </si>
  <si>
    <t>Security Services-Security Services rendered by 78 security guards deployed at BGHMC for the period covered from April 1-30, 2022</t>
  </si>
  <si>
    <t xml:space="preserve">Maria Jocelyn G. Roque </t>
  </si>
  <si>
    <t>Tax refund for CY 2000, 2003 &amp; 2004</t>
  </si>
  <si>
    <t xml:space="preserve">Rosielyn T. Cerezo </t>
  </si>
  <si>
    <t>Tax refund for CY 2004</t>
  </si>
  <si>
    <t>Tax refund for CY 2003 &amp; 2004</t>
  </si>
  <si>
    <t xml:space="preserve">Vanessa C. Tarongoy </t>
  </si>
  <si>
    <t>Tax refund for CY 2001</t>
  </si>
  <si>
    <t xml:space="preserve">Jose D. Dabu </t>
  </si>
  <si>
    <t>Tax refund for CY 2017</t>
  </si>
  <si>
    <t>Payment for the funeral services rendered under the Libreng Libing Program for the period of March 19, 24, 29, April 1 and 23, 2022</t>
  </si>
  <si>
    <t>Payment for the funeral services under the Libreng Libing Program for the period March 16-28, April 4-21, 2022</t>
  </si>
  <si>
    <t>Payment for the funeral services under the Libreng Libing Program for the period for the period March 3 and 12, 2022</t>
  </si>
  <si>
    <t>Payment for the funeral services under the Libreng Libing Program for the period February 3, 5, 8, 13 and 24, 2022</t>
  </si>
  <si>
    <t>Payment for the funeral services rendered under the Libreng Libing Program for the period March 7-27, 2022</t>
  </si>
  <si>
    <t>Payment for the funeral services under the Libreng libing Program for the period March23-27, April 7-13 and May 1, 2022</t>
  </si>
  <si>
    <t>Payment for the funeral services under the Libreng libing program for the period March 4-13, April 2 - 23, 2022</t>
  </si>
  <si>
    <t>Annex to be used as temporary medical facilities for the period covered from April 1-30, 2022</t>
  </si>
  <si>
    <t>CASH ADVANCE for Honorarium and Cash Prizes Re: Provincial Celebration of Day Care Workers Week on June 7, 2022</t>
  </si>
  <si>
    <t>Payment of Bunker Electrical consumption for April 2022</t>
  </si>
  <si>
    <t>Payment of PLDT FIBER in the office of SP (Vice Gov Garcia, Sec Salazar and BM Dominguez) for the month of May 2022</t>
  </si>
  <si>
    <t>Petty cash fund replenishment for May 23-June 2, 2022</t>
  </si>
  <si>
    <t xml:space="preserve">Jocelyn A. Noveda </t>
  </si>
  <si>
    <t>Payment of her 50% monetization leave credits</t>
  </si>
  <si>
    <t>Payment of telephone expenses landline of ODH for billing period May 21 - June 20, 2022</t>
  </si>
  <si>
    <t>Payment of Monthly subscription fee for the services of Internet Connection of NBI Office Covering Period April 17 - May 16, 2022</t>
  </si>
  <si>
    <t>Payment of internet bill for the period covering May 18 - June 17, 2022</t>
  </si>
  <si>
    <t>Payment of telephone expenses (237-2414) for the period of May 18 - June 17, 2022</t>
  </si>
  <si>
    <t>Payment of monthly subscription plan for the period of May 18 - June 17, 2022</t>
  </si>
  <si>
    <t>Payment of internet bill for the period of May 21-June 20,2022</t>
  </si>
  <si>
    <t>Payment for the gasoline consumption for the period of April 18-24,2022</t>
  </si>
  <si>
    <t>Payment of Monthly subscription fee for the services of Internet Connection of Bulwagan ng Bayan Covering Period April 17 - May 16, 2022</t>
  </si>
  <si>
    <t>Payment of Monthly subscription of account number 656682647 for the period of April 17 - May 16, 2022</t>
  </si>
  <si>
    <t>Payment of Monthly subscription of account number 656678917 for the period of April 17 - May 16, 2022</t>
  </si>
  <si>
    <t xml:space="preserve">Eloisa S. Abejar </t>
  </si>
  <si>
    <t>Advance payment of registration fee for attending LNB Prov'l Chapter Seminar on June 9-12, 2022</t>
  </si>
  <si>
    <t xml:space="preserve">May A. Quimlat </t>
  </si>
  <si>
    <t>Token to be used in Coordination Meeting with heads of Ayala for Real Estate Management on March 3,</t>
  </si>
  <si>
    <t>Hotel Accommodation from April 6 -8, 2022 of museum content creators and consultant for the inauguration of the Battle of Bataan Gallery</t>
  </si>
  <si>
    <t>Replacement of new battery for Toyota Ambulance A4R620 of Jose C. Payumo Jr. Memorial Hospital, Dinalupihan, Bataan</t>
  </si>
  <si>
    <t>Parts &amp; Labor for the 210,000 km preventive maintenance Toyota Hilux P1K862 of MBDA owned by the Provincial Government of Bataan</t>
  </si>
  <si>
    <t>Parts &amp; Labor for the 195,000 km preventive maintenance Toyota Hilux P0Z302 of MBDA owned by the Provincial Government of Bataan</t>
  </si>
  <si>
    <t>Toner for TASKAlfa 255ci for the use of Provincial Engineer's Office 5/F Bunker Bldg., Balanga City, Bataan</t>
  </si>
  <si>
    <t>Parts &amp; Labor for the repair of Aircondition of Toyota Hilux P2F782 of MBDA owned by the Provincial Government of Bataan</t>
  </si>
  <si>
    <t>Lunch &amp; Snack to be served in the Fisheries &amp; Aquatic Resources Management Council (FARMC) meeting to be held on April 27, 2022 at Poblacion, Mariveles, Bataan</t>
  </si>
  <si>
    <t>Communication equipment for the Live Streaming of the Provincial Government of Bataan</t>
  </si>
  <si>
    <t>Token for visitors of Gov. Albert Garcia From Health facilities and infrastructure development team (HFIDT) of the DOH on March 25, 2022</t>
  </si>
  <si>
    <t>Printer for the use of Provincial Information Office</t>
  </si>
  <si>
    <t>Parts and Labor for the 150000 km preventive maintenance check up of 2018/Hilux 2.4L 4x2 G AT -P-006 with CS no. A5B261 for the use of Mariveles District Hospital</t>
  </si>
  <si>
    <t>Parts and labor for 70,000 km preventive maintenance check-up of Toyota Innova P6H209 of PDEA owned by the Provincial Government of Bataan</t>
  </si>
  <si>
    <t>Supplies for Trichoderma Production in the Office of the Provincial Agriculturist, Pantingan, Pilar, Bataan</t>
  </si>
  <si>
    <t>Purchase of Goods for PGB Year - End Assembly 2021 on December 22, 2021</t>
  </si>
  <si>
    <t>Replacement of two(2) pcs tire 265/60 R18 for service Ford Everest IP-0816 c/o Benjamin C Serrano, JR.</t>
  </si>
  <si>
    <t xml:space="preserve">Cleanway Environmental Management Solutions, Inc. </t>
  </si>
  <si>
    <t>Emergency hauling of hospital waste collection for diff. district hospital and command center from March to December 2021</t>
  </si>
  <si>
    <t>Meals during various meetings</t>
  </si>
  <si>
    <t>Parts and Labor for 90,000 km preventive maintenance check-up of Toyota HiLux POA308 of PNP owned by the Provincial Government of Bataan</t>
  </si>
  <si>
    <t>Parts &amp; Labor for the 300,000 km preventive maintenance Toyota Hilux A2T545 of MBDA owned by the Provincial Government of Bataan</t>
  </si>
  <si>
    <t>IT Equipment for Photo and Video Coverage of the Provincial Governor's Office</t>
  </si>
  <si>
    <t>Parts and Accessories for HyundaiH100 KO-S994 c/o PGSO</t>
  </si>
  <si>
    <t>Parts and labor for the replacement of 4pcs (four) Tires Toyota Hiace Ambulance VV6467 of MBDA owned by the Provincial Government of Bataan</t>
  </si>
  <si>
    <t>Parts &amp; Labor for the repair of Aircon of Toyota Hilux A2T545 of MBDA owned by the Provincial Government of Bataan</t>
  </si>
  <si>
    <t>Printing of Tarpaulin for Kalusugan hatid sa Katutubong Kapatid on March 29, 2022</t>
  </si>
  <si>
    <t>Preventive maintenance for 120,809 km check-up of Toyota Hilux A8E932</t>
  </si>
  <si>
    <t>Purchase of IT equipment accessories for the use of video and photo coverages of PIO</t>
  </si>
  <si>
    <t>Office supplies (Ink) for the use of CSIU</t>
  </si>
  <si>
    <t>Office material for Clearance Processing Operation of NBI Bataan District Office located inside the 1Bataan Command Center, Dona, Orani, Bataan</t>
  </si>
  <si>
    <t>Office material for Clearance Processing and Investigation Section of NBI Bataan District Jail inside the 1Bataan Command Center, Dona, Orani, Bataan</t>
  </si>
  <si>
    <t>Specialty paper for certificates, invitations and program of various of Bataan Day Commemoration from March 28 at April 9, 2022</t>
  </si>
  <si>
    <t>Meals for the meeting of different Committees of the Sangguniang Panlalawigan on March 30 2022</t>
  </si>
  <si>
    <t>Snacks and meals for the three (3) day Speaker - Messenger Training (SMT) workshop consisting of 24 hrs. training to develop speakers / messengers who can help cascade the truth on the CPP / NPA / NDF in connection with the programs and mandate of National Task Force to End Local Communist Armed Conflict on March 28-30, 2022</t>
  </si>
  <si>
    <t>Printing of Tarpaulin for Mass Blood Donation on March 30, 2022</t>
  </si>
  <si>
    <t>Ink to be used in the Office of the Governor</t>
  </si>
  <si>
    <t>Grasscutters for the road maintnenace works on Provincial Roads of Bataan and Landscape maintenance of Provincial Government of Bataan owned properties</t>
  </si>
  <si>
    <t xml:space="preserve">Lilibeth M. Pacampara Plumbing Services </t>
  </si>
  <si>
    <t>Siphoning and manual cleaning of septic tanks of Mariveles District Hospital</t>
  </si>
  <si>
    <t>Meals and snacks to be served on Bataan Transport Forum on April 6, 2022</t>
  </si>
  <si>
    <t>Meals for the Provincial School Board Meeting on March 31, 2022 at The Bunker, Capitol, Balanga City, Bataan</t>
  </si>
  <si>
    <t>Snacks and meals for the Lecture / Seminar on Election Related Laws and COMELEC Resolutions at Raven Resort, Abucay, Bataan on March 24, 2022</t>
  </si>
  <si>
    <t>Meals for the meetings of different Committees of the Sangguniang Panlalawigan on April 06, 2022</t>
  </si>
  <si>
    <t>Lunch and Snack to be served in the Municipal Agriculturist Officers/Municipal Agriculturist Meeting to be held on APRIL 20, 2022 at the 4rth Floor Bunker Bldg. Capitol, Balanga City Bataan</t>
  </si>
  <si>
    <t>Lunch &amp; Snack to be served in the Municipal Corn Coordinator's meeting to be held on April 21, 2022 at 4th Floor Bunker Bldg. Capitol, Balanga City, Bataan</t>
  </si>
  <si>
    <t>Various office supplies for the use in the Office of the Provincial Accountant</t>
  </si>
  <si>
    <t>Other supplies and materials to be used in the implementation of PVO Activities</t>
  </si>
  <si>
    <t>Construction Paper and Canon Laid Paper for the use of Governors Office</t>
  </si>
  <si>
    <t>Printer Ink for the use in Provincial General Services Office</t>
  </si>
  <si>
    <t>UPS for the use of PPDO</t>
  </si>
  <si>
    <t>Industrial Floor Polisher to be used in the Office of the Governor (7th Floor)</t>
  </si>
  <si>
    <t>Window type aircon for the use of COMELEC</t>
  </si>
  <si>
    <t>Tokens to be used for the Provincial Women's Commission on March 24, 2022</t>
  </si>
  <si>
    <t>Printer supplies for the use of Bagac Community and Medicare Hospital</t>
  </si>
  <si>
    <t>Tokens for the PPP Center courtesy meeting with Gov. Albert Raymond S. Garcia and Bataan PPP and Investment Center on April 04, 2022</t>
  </si>
  <si>
    <t>Parts &amp; labor for the replacement of 4 pcs (four) Tires Toyota Hiace Ambulance VV6432 of MBDA owned by the Provincial Government of Bataan</t>
  </si>
  <si>
    <t>Snacks for Disaster Control Group / Crisis Management Group Meeting Re Active Shooter Contingency Plan on April 18, 2022 at The Bunker 4th Floor, Conference Rooms</t>
  </si>
  <si>
    <t>Replacement of wiper linkage assembly for Toyota Innova SHJ-708 of PEO owned by the Provincial Government of Bataan</t>
  </si>
  <si>
    <t>Parts and labor for 80,000 km preventive maintenance check-up of TOYOTA INNOVA A4M 291 c/o COA</t>
  </si>
  <si>
    <t>Toner for TK-379 (FS-6530MFP) for the use of Provincial Engineer's Office 5/F Bunker Bldg., Balanga City, Bataan</t>
  </si>
  <si>
    <t>Replacement of four (4) pcs tire of GL Grandia VF-1701 of Orani District Hospital</t>
  </si>
  <si>
    <t>Toner to be used for the printing of NBI Clearance certificates and other related documents for the NBI Bataan District Office</t>
  </si>
  <si>
    <t>New Printer Head for the Repair of Desktop Computer for the used of PSWDO Office</t>
  </si>
  <si>
    <t>Replacement of battery of Toyota Innova SLB-235 c/o PGSO</t>
  </si>
  <si>
    <t>Tarpaulin to be used for the Mainstreaming GAD and GFPS Programs and Activities - 1st Quarter Meeting on March 22, 2022</t>
  </si>
  <si>
    <t>Meals to be served for Cooperative Assessment Information System Orientation on April 13, 2022</t>
  </si>
  <si>
    <t>Heavy snacks to be served during the inauguration of BPML: Battle of Bataan Gallery on April 8, 2022</t>
  </si>
  <si>
    <t>Parts &amp; Labor for the repair and replacement of aircondition of Toyota Hiace Ambulance VV6467 of MBDA owned by the Provincial Government of Bataan</t>
  </si>
  <si>
    <t>Parts &amp; Labor for the 195,000 km preventive maintenance Toyota Hilux VU0468 of MBDA owned by the Provincial Government of Bataan</t>
  </si>
  <si>
    <t>Parts &amp; Labor for the 365,000 km preventive maintenance Toyota Hilux A1Z842 of MBDA owned by the Provincial Government of Bataan</t>
  </si>
  <si>
    <t>Non-commonly used office supplies to be used in the office of the SP Secretariat</t>
  </si>
  <si>
    <t>Computer supplies / accessories for the use of PGO - Iskolar ng Bataan Office</t>
  </si>
  <si>
    <t>Materials for the Repair and Maintenance of Commission On Audit Building at Abucay, Bataan</t>
  </si>
  <si>
    <t>Materials for the Renovation of Philippine National Police-21st Special Action Company's office located in Nagbalayong, Morong, Bataan</t>
  </si>
  <si>
    <t>Replenishment of Revolving Fund for payment of donation to indigent constituents from Province of Bataan (June 01)</t>
  </si>
  <si>
    <t>Payment of Operation and Maintenance Fee for the month of May , 2022</t>
  </si>
  <si>
    <t>Payment of fuel consumption for the period of April 25- May 01, 2022</t>
  </si>
  <si>
    <t>Payment of fuel consumption for the period of April 25 -May 1, 2022</t>
  </si>
  <si>
    <t>Payment of monthly internet subscription plan for the period of April 17 - May 16, 2022 for NBI- Mariveles Satellite Office in FAB Building</t>
  </si>
  <si>
    <t>Payment of monthly internet subscription plan</t>
  </si>
  <si>
    <t xml:space="preserve">Smart Communications </t>
  </si>
  <si>
    <t>Payment for Mobile Expenses for the Covered Period of April 16 - May 15, 2022</t>
  </si>
  <si>
    <t>Payment of honorarium for the month of April 2022</t>
  </si>
  <si>
    <t>Payment of Honorarium for the month of April 2022</t>
  </si>
  <si>
    <t xml:space="preserve">Maria Cristina Lopez </t>
  </si>
  <si>
    <t>Reimbursement re: Transportation of Samahan Day Care Worker ng Kabataan Allowance on their Attendance to the Regular Meeting dated May 20, 2022</t>
  </si>
  <si>
    <t>Reimbursement re: Samahan ng taong may kapansanan sa bataan, CBR. INC. (SATAMAKABA) Transportation Allowance in their attendance to the regular meeting dated May 19, 2022</t>
  </si>
  <si>
    <t>Payment for two pcs. (2) commercial checkbooks</t>
  </si>
  <si>
    <t>Payment for the funeral services rendered under the Libreng Libing Program for the period April 2,4,12,17,20 &amp; 27,2022</t>
  </si>
  <si>
    <t>Payment for the funeral services rendered under the Libreng Libing Program for the period January 1,5,7,10,14,20 &amp; 26,2022</t>
  </si>
  <si>
    <t>Payment for the funeral services rendered under the Libreng Libing Program for the period February 1,3,5,8,12,15,20,23 &amp; 25,2022</t>
  </si>
  <si>
    <t>Payment of fuel consumption for the period of April 4- May 1, 2022 (COA)</t>
  </si>
  <si>
    <t>Replenishment of Miscellaneous Expenses of MDH used for Covid-19 for the period of May 11-20, 2022</t>
  </si>
  <si>
    <t>Replenishment of incidental expenses and daily market purchase of BCMH from May 1-15, 2022</t>
  </si>
  <si>
    <t>Supply and Installation of one unit 1.5 HP Shallow well pump with automatic at PGSO</t>
  </si>
  <si>
    <t>Supply of labor and materials for the relocation of airconditioning unit, one (1) Air cooled Condensing Unit (ACCU) and three (3) Fan Coil Unit to DBP office at ground floor bunker building</t>
  </si>
  <si>
    <t>Replacement of six (6) pcs of tire 900 x 20 with flap &amp; interior of Howo Mini Dumptruck White of PEO owned by the Provincial Government of Bataan</t>
  </si>
  <si>
    <t>Remittance of salary &amp; rice loan installment of JO employees for May 2022</t>
  </si>
  <si>
    <t>Reimbursement of the amount paid for LTO Registration of six (6) service vehicle owned by PGB (KPYOO55822, SJA 845, SH 4166, SJA 846, SJJ 236 &amp; SGR 686)</t>
  </si>
  <si>
    <t>Purchase of drinking water to be used in the office of the governor</t>
  </si>
  <si>
    <t>85/100 asphalt for repair and maintenance of Provincial Roads and Bridges within Bataan</t>
  </si>
  <si>
    <t>Materials for the installation of units spotlights in Balsik Checkpoint</t>
  </si>
  <si>
    <t>Materials for the installation of guardrails along Provincial Roads of Bataan for Compliance to road safety requirements</t>
  </si>
  <si>
    <t>Materials for the repair, maintenance and operation of Provincial Government of Bataan owned facilities and buildings</t>
  </si>
  <si>
    <t>Ink for the use of PGSO</t>
  </si>
  <si>
    <t>Tokens of Appreciation and Leis for Guests/VIPs for the Inauguration of BPML: Battle of Bataan Gallery on April 8, 2022 at the Bunker, Capitol Compound.</t>
  </si>
  <si>
    <t xml:space="preserve">VL Heritage Kitchen Treasure, Inc. </t>
  </si>
  <si>
    <t>Food for the Bataan Day Commemoration 2022 various activities from March 28 to April 9, 2022</t>
  </si>
  <si>
    <t>Portable x-ray machine use for PUI, Covid Patients for Jose C. Payumo Jr. Memorial Hospital, Dinalupinhan, Bataan</t>
  </si>
  <si>
    <t>Forest Trees and Fruit Bearing Trees for Provincial Greening Program</t>
  </si>
  <si>
    <t>Labor and Materials for the Concreting of Farm to Market Road Barangay Pantingan, Pilar Bataan (20% DF)</t>
  </si>
  <si>
    <t xml:space="preserve">Provincial Government of Bataan - DBP General Fund </t>
  </si>
  <si>
    <t>To transfer to DBP account for the emergency purchases during COVID-19 under Bayanihan Grant Fund which were inadvertenly paid</t>
  </si>
  <si>
    <t xml:space="preserve">Provincial Government of Bataan - UCPB General Fund </t>
  </si>
  <si>
    <t>To transfer to UCPB account for the emergency purchases during COVID-19 under Bayanihan Grant Fund which were inadvertenly paid</t>
  </si>
  <si>
    <t>Labor and Materials for the Construction of Multi-purpose Building Barangay Gabon, Abucay, Bataan</t>
  </si>
  <si>
    <t>Labor and Materials for the Concreting of Road Barangay Tabing-Ilog, Bagac, Bataan</t>
  </si>
  <si>
    <t>Labor and Materials for the Rehabilitation of Drainage System Barangay Masantol, Orani, Bataan (20% DF)</t>
  </si>
  <si>
    <t xml:space="preserve">Full Blast Trading &amp; Construction </t>
  </si>
  <si>
    <t>Construction of Ambulance Bay and Driver's Quarters Bagac, Community Medicare Hospital (20% DF)</t>
  </si>
  <si>
    <t xml:space="preserve">Oliver V. Pacifico </t>
  </si>
  <si>
    <t>DONATION TO CLIENT FOR HIS MEDICAL NEEDS QR: 0615220006</t>
  </si>
  <si>
    <t xml:space="preserve">Fermina D. Sazon </t>
  </si>
  <si>
    <t>DONATION TO FERNANDO DELIZO FOR HIS HOSPITAL BILL QR: 0620220020</t>
  </si>
  <si>
    <t xml:space="preserve">Dante P. Manalang </t>
  </si>
  <si>
    <t>DONATION TO MARIA ANGELA MANALANG FOR HER MEDICAL NEEDS QR: 0620220022</t>
  </si>
  <si>
    <t xml:space="preserve">Cynthia P. Rodrigo </t>
  </si>
  <si>
    <t>DONATION TO LEONARDO PAJARIN FOR HIS BURIAL EXPENSES QR: 0617220002</t>
  </si>
  <si>
    <t xml:space="preserve">Bataeño Federation of Senior Citizens of the Philippines - Abucay Chapter, Inc. </t>
  </si>
  <si>
    <t>DONATION TO DALLAN BORILLO FOR HIS BURIAL EXPENSES QR: 0620220019</t>
  </si>
  <si>
    <t xml:space="preserve">Rosario G. Arañez </t>
  </si>
  <si>
    <t>DONATION TO CARL JOSEPH ARAñEZ FOR HIS HOSPITAL BILL QR: 0620220012</t>
  </si>
  <si>
    <t xml:space="preserve">Herna G. Sisante </t>
  </si>
  <si>
    <t>DONATION TO EDNA GUARIN FOR HER HOSPITAL BILL QR: 0620220018</t>
  </si>
  <si>
    <t xml:space="preserve">Jeffrey C. Dayrit </t>
  </si>
  <si>
    <t>DONATION TO ROSALIE DYRIT FOR HER HOSPITAL BILL QR: 0620220017</t>
  </si>
  <si>
    <t xml:space="preserve">Yosela R. Gaid </t>
  </si>
  <si>
    <t>DONATION TO ISIDRO GAID FOR HIS MEDICAL NEEEDS QR: 0620220009</t>
  </si>
  <si>
    <t>DONATION TO ALFREDO OCONER FOR HIS BURIAL EXPENSES QR: 0621220005</t>
  </si>
  <si>
    <t xml:space="preserve">Jumong Funeral Services </t>
  </si>
  <si>
    <t>DONATION TO ALBERTO AñOVER FOR HIS BURIAL EXPENSES QR: 0621220019</t>
  </si>
  <si>
    <t xml:space="preserve">Een Jay G. Nalus </t>
  </si>
  <si>
    <t>DONATION TO JOSEPH NALUS FOR HIS HOSPITAL BILL QR: 0621220015</t>
  </si>
  <si>
    <t>DONATION TO LEONARDO CALDERON FOR HIS BURIAL EXPENSES QR: 0621220003</t>
  </si>
  <si>
    <t xml:space="preserve">Ramilo C. Medes </t>
  </si>
  <si>
    <t>DONATION TO CLIENT FOR HIS HOSPITAL BILL QR: 0621220007</t>
  </si>
  <si>
    <t xml:space="preserve">Angelica V. Maglaque </t>
  </si>
  <si>
    <t>DONATION TO CLIENT FOR HER HOSPITAL BILL AND MEDICAL NEEDS QR: 0621220022</t>
  </si>
  <si>
    <t xml:space="preserve">Edna T. Naguiat </t>
  </si>
  <si>
    <t>DONATION TO ENRICA NAVARRO FOR HER HOSPITAL BILL QR: 061422001DIN</t>
  </si>
  <si>
    <t xml:space="preserve">Celia B. Tria </t>
  </si>
  <si>
    <t>DONATION TO EDGAR TRIA FOR HIS MEDICAL NEEDS QR: 0621220001</t>
  </si>
  <si>
    <t xml:space="preserve">Mary Joy S. Ponciano </t>
  </si>
  <si>
    <t>DONATION TO RODRIGO A. PONCIANO FOR HIS MEDICAL NEEDS QR: 0621220011</t>
  </si>
  <si>
    <t xml:space="preserve">Remedios D. Buan </t>
  </si>
  <si>
    <t>DONATION TO BERNARDO P. BUAN FOR HIS MEDICAL NEEDS QR: 0621220012</t>
  </si>
  <si>
    <t>DONATION TO ANDREA G. LERIOS FOR HER BURIAL EXPENSES QR: 0620220013</t>
  </si>
  <si>
    <t xml:space="preserve">Mia Lyn D. Rivera </t>
  </si>
  <si>
    <t>DONATION TO MYRA D. RIVERA FOR HER MEDICAL NEEDS QR: 0621220010</t>
  </si>
  <si>
    <t xml:space="preserve">Raymond P. Tranate </t>
  </si>
  <si>
    <t>DONATION TO LUNINGNING P. TRANATE FOR HER MEDICAL NEEDS QR: 0621220002</t>
  </si>
  <si>
    <t xml:space="preserve">Ermeliza S. Bantog </t>
  </si>
  <si>
    <t>DONATION TO HAZEL S. BANTOG AND RAZELL FLYNN B. LUMAMPAO FOR THEIR HOSPITAL BILL QR: 0621220008</t>
  </si>
  <si>
    <t xml:space="preserve">Cleofe A. Jaring </t>
  </si>
  <si>
    <t>DONATION TO CLIENT FOR HER MEDICAL NEEDS QR: 0621220004</t>
  </si>
  <si>
    <t>Labor and Materials for Construction of Irrigation Canal, Barangay Bantan, Orion Bataan (20% DF)</t>
  </si>
  <si>
    <t xml:space="preserve">Blaise Scientific Trading </t>
  </si>
  <si>
    <t>Chemical and filtering supplies for Provincial Environmental Monitoring Program</t>
  </si>
  <si>
    <t>Reimbursement of Parts and labor for the replacement of Four (4) pcs of Tires Nissan Ambulance NAO 4143 of MBDA owned by the Provincial Government of Bataan</t>
  </si>
  <si>
    <t>Reimbursement of Meals for year end assessment of strategic Initiative and whirlwind for 2021 and Planning for 2022 of PEO on December 21, 2021</t>
  </si>
  <si>
    <t>To purchase parts for replacement of timing belt, belt tensioner, crankshaft oil seal and valve cover gasket for Toyota Innova with plate number SJA-817</t>
  </si>
  <si>
    <t>Payment of electric bill of PGSO Checkpoint Brgy. Roosevelt,Dinalupihan for the month of April, 202</t>
  </si>
  <si>
    <t>Payment of Electric Bill of PGSO Checkpoint Brgy. Tucop, Dinalupihan for the month of April, 2022</t>
  </si>
  <si>
    <t>Reimbursement of Snacks &amp; drinks during meeting with Mayor Elect AJ Concepcion &amp; Vice MAyor Elect Rubia &amp; SB member Elect of MAriveles</t>
  </si>
  <si>
    <t>Payment for the internet subscription of account number 656678917 for the period of May 17, 2022 to June 16, 2022</t>
  </si>
  <si>
    <t>Fuel on different service vehicle used by PPDO &amp; PIO May 30-JUne 5, 2022</t>
  </si>
  <si>
    <t>Payment of fuel consumption for the period of May 30 - June 5, 2022 (COA)</t>
  </si>
  <si>
    <t xml:space="preserve">Josefina T. Timeoteo </t>
  </si>
  <si>
    <t>Payment of fuel consumption for the period of May 23-29, 2022 (LEGAL)</t>
  </si>
  <si>
    <t>Payment of fuel consumption for the period of May 23-29, 2022 (PEO)</t>
  </si>
  <si>
    <t>Reimbursement of gasoline expenses of JPMH for the period from June 1-13, 2022</t>
  </si>
  <si>
    <t>Replenishment of emergency purchases of NBB patients of JPMH for the period from June 18 - 20, 2022</t>
  </si>
  <si>
    <t>Purchase roofing nail, lumber, common nail, GI Wire, gun tacker and nylon rope for Pawikan Festival 2021</t>
  </si>
  <si>
    <t xml:space="preserve">Roldan-Aldy Plant Nursery </t>
  </si>
  <si>
    <t>Procurement of Farm Inputs for Upload Farmers</t>
  </si>
  <si>
    <t>DONATION FOR THE HOSPITAL BILL COVERING THE PERIOD JUNE 14, 2022</t>
  </si>
  <si>
    <t>DONATION FOR THE HOSPITAL BILLS COVERING THE PERIOD JUNE 14-16, 2022</t>
  </si>
  <si>
    <t xml:space="preserve">Erika Marie D. Angeles </t>
  </si>
  <si>
    <t>DONATION TO GILBERT ANGELES FOR HIS HOSPITAL BILL AND MEDICAL NEEDS QR: 0621220023</t>
  </si>
  <si>
    <t xml:space="preserve">Geraldine de Guzman Lopez </t>
  </si>
  <si>
    <t>DONATION TO RODERICK LOPEZ FOR HIS HOSPITAL BILL QR: 0613220020</t>
  </si>
  <si>
    <t xml:space="preserve">Josiphine P. Estrella </t>
  </si>
  <si>
    <t>DONATION TO GREGORIO ESTRELLA FOR HIS BURIAL EXPENSES QR: 0621220014</t>
  </si>
  <si>
    <t>DONATION FOR THE HOSPITAL BILL COVERING THE PERIOD JUNE 16, 2022</t>
  </si>
  <si>
    <t>DONATION FOR THE HOSPITAL BILLS COVERING THE PERIOD JUNE 10, 2022</t>
  </si>
  <si>
    <t>Payment of yearly rental for 2 units of 50 KVA transformer for Bulwagan ng Bayan on June 2022</t>
  </si>
  <si>
    <t>Payment of yearly rental for 3 units of 75 KVA transformer for Provincial Capitol BLDG.on October, 2021</t>
  </si>
  <si>
    <t>Payment of yearly rental for 2 units of 50 KVA transformer for MCHC-BATAAN Office on September, 2021</t>
  </si>
  <si>
    <t>Payment of Monthly subscription fee on mobile unlimited call &amp; text postpaid plan for the month of May 13 - June 12, 2022</t>
  </si>
  <si>
    <t>Payment of Electric Bill of Multi Purpose CTR, Tilapya, Pantingan Pilar, for the month of May, 2022</t>
  </si>
  <si>
    <t xml:space="preserve">ePLDT, Inc. </t>
  </si>
  <si>
    <t>Payment for the renewal of Google Workspace subscription for the year 202</t>
  </si>
  <si>
    <t xml:space="preserve">Patrick Gerald Garcia </t>
  </si>
  <si>
    <t>DONATION TO IVY MANICANI AND PRIEL IDRIS GARCIA FOR THEIR HOSPITAL BILL</t>
  </si>
  <si>
    <t xml:space="preserve">Dante Cruz </t>
  </si>
  <si>
    <t>DONATION TO CLIENT AND DOROTEA CRUZ FOR THEIR MEDICAL NEEDS</t>
  </si>
  <si>
    <t xml:space="preserve">Wilfredo Pascual </t>
  </si>
  <si>
    <t xml:space="preserve">Manolita Mena </t>
  </si>
  <si>
    <t>DONATION TO JOSE MENA FOR HIS HOSPITAL BILL</t>
  </si>
  <si>
    <t xml:space="preserve">Alfredo Solomon, Jr. </t>
  </si>
  <si>
    <t>DONATION TO ALBERTO SOLOMON FOR HIS MEDICAL</t>
  </si>
  <si>
    <t xml:space="preserve">Jocelyn Cruz </t>
  </si>
  <si>
    <t>DONATION TO ANTONIO CABILLO FOR HIS HOSPITAL BILL</t>
  </si>
  <si>
    <t xml:space="preserve">Cecilia Gilles </t>
  </si>
  <si>
    <t>DONATION TO PRESCILLA LUCIO FOR HER HOSPITAL BILL</t>
  </si>
  <si>
    <t>DONATION TO RAZZY LEVIN REGENCIA FOR HIS BURIAL EXPENSES</t>
  </si>
  <si>
    <t xml:space="preserve">Dexter Veluz </t>
  </si>
  <si>
    <t>DONATION FOR THE HOSPITAL BILLS COVERING THE PERIOD JUNE 6-10, 2022</t>
  </si>
  <si>
    <t xml:space="preserve">Jettley de Leon </t>
  </si>
  <si>
    <t>DONATION TO JESTER DE LEON FOR HIS HOSPITAL BILL</t>
  </si>
  <si>
    <t>Labor and Materials for the Concreting of Road, Panilao, Pilar, Bataan</t>
  </si>
  <si>
    <t xml:space="preserve">Barangay Treasurer - Calungusan Orion </t>
  </si>
  <si>
    <t>Subsidy to Barangay Calungusan Orion Bataan for their Annual Cultural Activity on June 29, 2022</t>
  </si>
  <si>
    <t>Agricultural and marine supplies to be used during the conduct of Mangrove Development Program on May 4,5,6 and 18, 2022</t>
  </si>
  <si>
    <t xml:space="preserve">Hardhat Songbird Industrial Trades </t>
  </si>
  <si>
    <t>Procurement of wood chipper for the market viability assessment of falcata (albiza falcataria) in the exisitng plantations in Bataan</t>
  </si>
  <si>
    <t>Medical Supplies for the use of PDRRMO for the Provincial Response</t>
  </si>
  <si>
    <t xml:space="preserve">Vans Turf Construction Corporation </t>
  </si>
  <si>
    <t>Design &amp; build for the construction &amp; command post structure (phase I) Brgy Cabo Cabog Balanga City (20% DF)</t>
  </si>
  <si>
    <t>To transfer to DBP account for emergency purchases during COVID-19 under Bayanihan Grant fund</t>
  </si>
  <si>
    <t>Labor and Materials for the Upgrading of Road, Brgy. Bagumbayan, Balanga City, Bataan (20% DF)</t>
  </si>
  <si>
    <t>45% final payt of Labor and Materials for Construction of Slope Protection of Brgy. Tenejero, Balanga City, Bataan (20% DF)</t>
  </si>
  <si>
    <t>Labor and Materials for the Concreting of Road, Brgy. Ala-Uli Pilar, Bataan (20% DF)</t>
  </si>
  <si>
    <t>-Labor and Materials for the Concreting of Farm to Market Road Brgy. Pita, Dinalupihan, Bataan (20% DF)</t>
  </si>
  <si>
    <t>Labor and Materials for the Upgrading of Road, Brgy. Sibacan, Balanga, Bataan (AES) (20% DF)</t>
  </si>
  <si>
    <t>Labor and Materials for the Improvement of Drainage System, Brgy. San Carlos, Mariveles, Bataan (20% DF)</t>
  </si>
  <si>
    <t>65% partial Labor and Materials for the Construction of Water System,Brgy. Sisiman, Mariveles, Bataan (EAS) (20% DF)</t>
  </si>
  <si>
    <t>Pre - An's Enterprises</t>
  </si>
  <si>
    <t>Optical Coagulation Analyzer for the use of Bagac Community and Medicare Hospital</t>
  </si>
  <si>
    <t>Tony and Ann's Cathering Services</t>
  </si>
  <si>
    <t>Meals (Breakfast and Lunch) to be served during the Conduct of Activation of the Provincial Incident Management Team for the Bataan Day of Commemoration 2022. APRIL 09, 2022</t>
  </si>
  <si>
    <t>Ram Builders and Trading</t>
  </si>
  <si>
    <t>Construction of Boat Ramp and Parking Area of High Speed Tactical Water Craft at Bataan Maritime Police Station
C.T. LEONCIO CONSTRUCTION &amp; TRADING/YELLOW GOLD CONSTRUCTION (JV)	C.T. LEONCIO CONSTRUCTION &amp; TRADING/YELLOW GOLD CONSTRUCTION (JV)		15% advance payt Labor and Materials for the Construction Morong District Hosptial (ABC)</t>
  </si>
  <si>
    <t>C.T. LEONCIO CONSTRUCTION &amp; TRADING/YELLOW GOLD CONSTRUCTION (JV)</t>
  </si>
  <si>
    <t>Payment of meals and snacks served during the conduct of OPLAN SUMVAC on April 13, 14, 15, and 16, 2022</t>
  </si>
  <si>
    <t>Payment of breakfast, meals, and AM, PM snacks served during the conduct of Incident Command System Training for Instructor on April 18 - 23, 2022</t>
  </si>
  <si>
    <t>Labor and Materials for Construction of Solar Powered Streetlights, Brgy. Del Rosario, Pilar, Bataan</t>
  </si>
  <si>
    <t>Labor and Materials for the Rehabilitation of Road Barangay, Sabatan, Orion, Bataan (20% DF)</t>
  </si>
  <si>
    <t>Medicines and Medical Supplies to be used for Mega Processing Facility during Covid-19 Pandemic</t>
  </si>
  <si>
    <t>Labor and Materials for the Rehabilitation of Drainage System, Brgy. Bonifacio, Dinalupihan, Bataan (20% DF)</t>
  </si>
  <si>
    <t>Labor and Materials for the Rehabilitation of Road Barangay Mabatang, Abucay, Bataan  (20% DF)</t>
  </si>
  <si>
    <t>Supply, equipment, and accessories for the 1Bataan Handicraft Industry Ecosystem (20% DF)</t>
  </si>
  <si>
    <t>E.R. Venzon Construction</t>
  </si>
  <si>
    <t>(20% DF)</t>
  </si>
  <si>
    <t>Ma. Cristina M. Garcia</t>
  </si>
  <si>
    <t>Labor and Materials for the Concreting of Road, Dona, Orani, Bataan (20% DF)</t>
  </si>
  <si>
    <t>Labor and Materials for the Construction of Drainage system, Brgy. East Calaguiman, Samal, Bataan (20% DF)</t>
  </si>
  <si>
    <t>Labor and Materials for the Concreting of Road Barangay Balut II, Pilar, Bataan (20% DF)</t>
  </si>
  <si>
    <t>Payment of fuel consumption for the period of June 20-26, 2022 (BJMP FEMALE)</t>
  </si>
  <si>
    <t>Replenishment of Incidental expenses and Daily market purchase of BCMH from July 1-15, 2022</t>
  </si>
  <si>
    <t xml:space="preserve">Barangay Treasurer - Maite, Hermosa, Bataan </t>
  </si>
  <si>
    <t>Subsidy to Barangay Maite Hermosa Bataan for their Annual Cultural Activity on August 28, 2022</t>
  </si>
  <si>
    <t xml:space="preserve">Barangay Treasurer - Kabalutan, Orani, Bataan </t>
  </si>
  <si>
    <t>Subsidy to Barangay Kabalutan Orani Bataan for their annual Cultural Activity on August 16, 2022</t>
  </si>
  <si>
    <t xml:space="preserve">Barangay Treasurer - Lamao, Limay, Bataan </t>
  </si>
  <si>
    <t>Subsidy to Barangay LAMAO LIMAY BATAAN FOR THEIR ANNUAL CULTURAL ACTIVITY ON AUGUST 10 TO 16, 2022</t>
  </si>
  <si>
    <t>Payment of fuel consumption for the period of June 27 - July 03, 2022 (TOYOTA HILUX A9W-631 PGSO)</t>
  </si>
  <si>
    <t>Payment of fuel consumption for the period of June 27 - July 03, 2022 (VAN ISUZU KOS-994 PGSO)</t>
  </si>
  <si>
    <t xml:space="preserve">Hector T. Santos, MD </t>
  </si>
  <si>
    <t>Replenishment of Medicine, Medical Supplies and Laboratory Expenses under the Philhealth No Balance Billing (NBB) of indigent patients in MDH June 22 - July 02, 2022</t>
  </si>
  <si>
    <t>Replenishment of Miscellaneous Expenses of MDH used for Covid 19 for the period of July 03-04, 2022</t>
  </si>
  <si>
    <t>Replenishment for medicine, Medical supplies and laboratory expenses under the philhealth no balance billing (NBB) of indigent patients in MDH June 29-July 09, 2022</t>
  </si>
  <si>
    <t>Replenishment of Emergency Purchases of NBB Patients of JPMH for the period from July 19 - 24, 2022</t>
  </si>
  <si>
    <t>Replenishment of cash advance for emergency purchases of JPMH from July 13 - 17, 2022</t>
  </si>
  <si>
    <t>100% FULL PAYMENT FOR THE LABOR AND MATERIALS FOR THE IMPROVEMENT OF ROAD, BRGY. PTO.RIVAS ITAAS, BALANGA CITY, BATAAN (20% DF)</t>
  </si>
  <si>
    <t>Security Services rendered by 186 security guards deployed in Command Center, motorpool, Tourism Center , PHO, OIC Det Com MAy 1-31, 2022</t>
  </si>
  <si>
    <t>Seurity services rendered by 72 security guards deployed at Capitol Compound City of Balanga Bataan June 1-30, 2022</t>
  </si>
  <si>
    <t>Payment of fuel consumption for the period of June 27 - July 03, 2022 (VAN Isuzu SHP-848 PGSO)</t>
  </si>
  <si>
    <t>Replenishment of cash advance for emergency purchases of JPMH from July 18 - 20, 2022</t>
  </si>
  <si>
    <t>Replenishmen of Medicines, Supplies, X-ray &amp; laboratory expenses uneder the PhilHealth No Balance Billing (NBB) of indigent patients in ODH from July 5-18, 2022</t>
  </si>
  <si>
    <t>Reimbursement for the amount paid for the expenses incurred for services (notarial fee) for the month of June 2022</t>
  </si>
  <si>
    <t>Reimbursement for the amount paid for mailed letters and couriers under the Provincial Legal Office for the month of June 2022</t>
  </si>
  <si>
    <t>Payment of fuel consumption for the period of July 11-17, 2022 (MBDA)</t>
  </si>
  <si>
    <t>Payment of fuel consumption for the period of June 6-12, 2022 (MDH)</t>
  </si>
  <si>
    <t>Fuel on different service vehicle used by PGENRO, PVO, SOCO, BJMP-Female, PNP, OPA, PCEDO &amp; PIO July 4-10, 2022</t>
  </si>
  <si>
    <t>Payment of fuel consumption for the period of July 04-10, 2022 (BCMH)</t>
  </si>
  <si>
    <t>Plaque for the used of PHO for Vaccination Program on fight against Covid-19 Awarding Ceremony on April 25, 2022</t>
  </si>
  <si>
    <t xml:space="preserve">BP Integrated Technologies, Inc. </t>
  </si>
  <si>
    <t>Repair and maintenance of mobile trailer air quality monitoring station for PEMP</t>
  </si>
  <si>
    <t>Diesel engine oil, engine coolant and battery solution to be used for the maintenance of service vehicle of the Provincial Engineer's Office</t>
  </si>
  <si>
    <t>Parts &amp; Labor for the 225,000 km preventive maintenance Toyota Hiace A5Q631 of MBDA owned by the Provincial Government of Bataan</t>
  </si>
  <si>
    <t>Central Luzon (NSC-CL)-Expanded Newborn Filter screening kit for the use of Jose C Payumo Jr. Memorial Hospital, Dinalupihan, Bataan</t>
  </si>
  <si>
    <t>Parts and labor for replacement of tire of Hyundai Coaster White NCI 7450 for the use of MDH</t>
  </si>
  <si>
    <t>PM Snacks (Heavy) for Stakeholders Meeting for Universal Health Care (UHC) Implementation with Gov. Abet and incoming Governor-Cong. Joet Garcia on June 22, 2022</t>
  </si>
  <si>
    <t>Hotel Accomodation for Ocular visit w/ DHSUD Central &amp; Region 3 in Fisherfolks resettlement and Facilities in Bataan on June 7-8, 2022</t>
  </si>
  <si>
    <t>Parts and labor for the replacement of four (4) pcs tire 195R15 8ply to Hiace Commuter Van VR0090 of Bataan Rehabilitation Center owned by the PGB</t>
  </si>
  <si>
    <t>Purchase and stock of spareparts for change oil and preventive maintenance for one year of FB L300 with plate number B8-S852 of MBDA</t>
  </si>
  <si>
    <t>Replacement of four tire (4) pcs tire 235 / 65 R16 for Toyota Ambulance P1 A213 for the use of Bagac Community and Medicare hospital</t>
  </si>
  <si>
    <t>Remittance of MP2 for the month of July 2022</t>
  </si>
  <si>
    <t>Medical supplies to be used for the Bunker Clinic</t>
  </si>
  <si>
    <t>Payment of monetized leaved credits CY 2022</t>
  </si>
  <si>
    <t>Fuel consumption on different service vehicle used by PHO JUne 20-26, 2022</t>
  </si>
  <si>
    <t>Fuel consumption on different service vehicle used by PIO July 11-17, 2022</t>
  </si>
  <si>
    <t>Parts and labor for 120,000km preventive maintenance check-up of Toyota Hilux P1X530 of PNP owned by the PGB</t>
  </si>
  <si>
    <t>Replacement of 3SM and Auxilliary fan for Mitsubishi Ambulance SJS-377 for the use of BCMH</t>
  </si>
  <si>
    <t>Parts and labor for the 80,000km preventive maintenance Hi-ace Commuter Van of SOCO owned by the PGB</t>
  </si>
  <si>
    <t>Parts &amp; Labor for the repair of clutch system of Toyota Hilux POA 308 of PNP owned by the Provincial Government of Bataan</t>
  </si>
  <si>
    <t xml:space="preserve">Philippine Manila Standard Publishing Inc. </t>
  </si>
  <si>
    <t>Publication of Summons</t>
  </si>
  <si>
    <t>Materials for the repair / asphalting of unpaved roads of PEO - Maintenance Division</t>
  </si>
  <si>
    <t>Parts and labor for the replacement of spare parts of service vehicle Ford Everest IO - 9548 c/o BM Jomar L. Gaza</t>
  </si>
  <si>
    <t>Various grocery items for the used of PHO for Kalusugan Hatid sa Katutubong Kapatid on April to May 2022 (9 Visits)</t>
  </si>
  <si>
    <t>Split Type aircon for the use of Family Court , Capitol, Balanga City, Bataan</t>
  </si>
  <si>
    <t>4680 for the use of Bagac Community and Medicare Hospital</t>
  </si>
  <si>
    <t>Materials needed for fabrication of 4 pcs. of steel rack for the stockroom of motorpool division of Provincial Engineer's Office</t>
  </si>
  <si>
    <t>Stock of spareparts for change oil and preventive maintenance for one year of FB L300 with plate number NII - 529 of MBDA</t>
  </si>
  <si>
    <t>Purchase and stock of spareparts for change oil and preventive maintenance for one year of Toyota with plate number SHV-604 of MBDA</t>
  </si>
  <si>
    <t>Parts and labor for the replacement of rack end and four (4) pcs of tire 205/70 R15 for Toyota Hilux A4K287 of PNP</t>
  </si>
  <si>
    <t>Repair of airconditioning system of Honda Civic SHW-607 for the use of PHO</t>
  </si>
  <si>
    <t>Other supplies and materials for the use of Bataan Tourism Park</t>
  </si>
  <si>
    <t>Parts &amp; Labor for the preventive maintenance of PIO Service vehicle Nissan Urvan 350 F2J 084</t>
  </si>
  <si>
    <t>Replacement of defective parts of Payloader TCM-860 of PEO owned by the PGB</t>
  </si>
  <si>
    <t>Meals for the meeting of different Committees of Sangguniang Panlalawigan on June 22, 2022</t>
  </si>
  <si>
    <t>Meals and Snacks to be served on 2-Day deliberation of the Bataan Local Public Transport Route Plan (LPTRP) Program on June 14 - 15, 2022</t>
  </si>
  <si>
    <t>Snacks and Lunch for Galing! Bataan for MSMEs - Board of Judges Meeting on June 21, 2022</t>
  </si>
  <si>
    <t>Meals for the meetings of different Committees of Sangguniang Panlalawigan on June 30, 2022</t>
  </si>
  <si>
    <t>Parts and labor for the replacement of four (4) pcs tire 205/65 R15 for Toyota Innova SKR-486 of PNP</t>
  </si>
  <si>
    <t>Parts and labor for the replacement of four (4) pcs. tire 195R15 8ply to Nissan Urvan NAO4141 of Bataan Rehabilitation Center owned by the Provincial Government of Bataan</t>
  </si>
  <si>
    <t>Repair and maintenance of coaster Hyundai Coaster Plate No. NC1 7450 for the use of Mariveles District Hospital</t>
  </si>
  <si>
    <t>Replacement of two (2) units Solid State Drive (SSD) 480 GB for upgrading of two (2) unit desktop in the of the Sangguniang Panlalawigan - Secretariat</t>
  </si>
  <si>
    <t>To purchase tools and materials to be used for painting activities of Painter in Motorpool Division of Provincial Engineers Office</t>
  </si>
  <si>
    <t>Meals for the Regular Session of Sangguniang Panlalawigan on June 27, 2022</t>
  </si>
  <si>
    <t>Parts &amp; labor for the 20,000 km check-up for preventive maintenance of HI ACE COMMUTER VAN P7132 for the use of PHO</t>
  </si>
  <si>
    <t>Traffic cones for the use of MBDA at Tactical Operation Center</t>
  </si>
  <si>
    <t>Materials needed for fabrication of heavy duty tool hanger (2 meter span) 6 units for Motorpool Division of Provincial Engineers Office</t>
  </si>
  <si>
    <t>Materials needed for fabrication of Steel Ramp for light &amp; heavy vehicles at Motorpool Repair Bay of Provincial Engineers Office (2 units)</t>
  </si>
  <si>
    <t>Meals for the Special Session of Sangguniang Panlalawigan on May 12, 2022</t>
  </si>
  <si>
    <t>Meals for the Regular Session of Sangguniang Panlalawigan on July 11, 2022</t>
  </si>
  <si>
    <t>Materials for Quality Control and Material Testing</t>
  </si>
  <si>
    <t>An's Enterprises- laboratory machine (equipment) for the use of Jose C Payumo Jr Memorial Hospital, Dinalupihan, Bataan</t>
  </si>
  <si>
    <t xml:space="preserve">Tony &amp; Ann's Enterprises </t>
  </si>
  <si>
    <t>Meals for the Regular Session of SP on July 4, 2022</t>
  </si>
  <si>
    <t>Parts and labor for the repair defective alternator of Nissan Urvan SHP-980 of PEO</t>
  </si>
  <si>
    <t>Parts and Labor for the repair of Injection pump of Nissan Frotntier XGL-405 of PEO</t>
  </si>
  <si>
    <t>Meals and Snacks to be served for the Hosting of Central Luzon Regional Cooperative Development Council Meeting on July 22, 2022</t>
  </si>
  <si>
    <t>Parts and labor for the replacement of lower and upper ball joint of Toyota Pick-Up SHJ-698 of PEO</t>
  </si>
  <si>
    <t>Tokens for resource speakers: Visioning Workshop for 1PawiCAN Morong Chapter on June 2, 2022</t>
  </si>
  <si>
    <t>Office supplies for the use of the Provincial Assessor's Office</t>
  </si>
  <si>
    <t>Replacement and installation of stored energy unit and repair line monitor and charger board of Qrad Analog X-ray Machine for the use of Jose C. Payumo Jr. Memorial Hospital, Dinalupihan, Bataan</t>
  </si>
  <si>
    <t>Replacement of one (1) pc Solid State Drive (SSD) 480 GB for upgrading of one (1) unit desktop in the office of the Vice-Governor</t>
  </si>
  <si>
    <t>Reimbursement of Gasoline dated June 1-30, 2022</t>
  </si>
  <si>
    <t>Reimbursement of the amount paid for fuel consumption of the government vehicle Ford Everest IO 9548 for the month of July, 2022</t>
  </si>
  <si>
    <t>Payment of Genset Diesel used during power interruption - period covered: June 27 to July 3, 2022</t>
  </si>
  <si>
    <t>Replenishment of Revolving Fund for payment of donations of indigent constituents in the Province of Bataan July 29, 2022 &amp; August 1, 2022</t>
  </si>
  <si>
    <t>Payment of PLDT Fiber for the month of July 17, 2022 to August 20, 2022</t>
  </si>
  <si>
    <t>Payment of fuel consumption for the period of July 04-10, 2022 (PEO)</t>
  </si>
  <si>
    <t>Payment for Mobile Expenses for the covered period of June 16 - July 15, 2022 Acct. no. 0747823030</t>
  </si>
  <si>
    <t>Payment of fuel consumption for the period of July 11-17, 2022 (BCMH)</t>
  </si>
  <si>
    <t>Additional remittance of philhealth contribution of consultants for MAy 2022</t>
  </si>
  <si>
    <t>Remittance of salary loan installment of provincial employees for July 2022</t>
  </si>
  <si>
    <t>Remittance of integrated insurance contribution, emergency loan, REL, cash advance, optional insurance premium, policy loan, REL, GFAL, MPL and computer Loan for the month of July 2022</t>
  </si>
  <si>
    <t>Replenishment of cash advance to defray payment of Daily Market Purcahase from July 20-25, 2022</t>
  </si>
  <si>
    <t>Payment for corona stand as a gesture of Respect, Condolences and Sympathy to the bereaved family of the deceased in the Province of Bataan for the month of June 2022</t>
  </si>
  <si>
    <t>DONATION TO CESAR GUTIERREZ FOR HIS MEDICAL NEEDS QR: 0728220001</t>
  </si>
  <si>
    <t xml:space="preserve">Remedios M. Francisco </t>
  </si>
  <si>
    <t>DONATION TO ANTONIO FRANCISCO FOR HIS HOSPITAL BILL QR: 0728220007</t>
  </si>
  <si>
    <t xml:space="preserve">Rosario N. Navarro </t>
  </si>
  <si>
    <t>DONATION TO FELICISIMA NUGUID FOR HER HOSPITAL BILL QR: 0728220005</t>
  </si>
  <si>
    <t>Payment of her salary as Project Development Officer IV with a monthly rate of P69,963.00 for July 11-31, 2022</t>
  </si>
  <si>
    <t>Printing of Tarpaulin for Worl No Tobacco Day on May 31, 2022</t>
  </si>
  <si>
    <t>Tokens for exit conference with COA on May 26, 2022</t>
  </si>
  <si>
    <t>Printing of Tarpaulin to be used for the 2022 National Women's Month Celebration (Culmination at Camp PFC Cirilo S Tolentino, Balanga City, Bataan on March 31, 2022)</t>
  </si>
  <si>
    <t>Payment of her 50% Monetized Leave Benefits for the year 2022</t>
  </si>
  <si>
    <t>Replenishment of Emergency Purchases of NBB Patients of JPMH for the period from July 25 - 28, 2022</t>
  </si>
  <si>
    <t>Printing of Tarpaulin for World Blood Donor Day Celebration on June 14, 2022</t>
  </si>
  <si>
    <t>Parts and labor for 160,000km preventive maintenance check up of Ambulance A4R620 of JPMH</t>
  </si>
  <si>
    <t>Parts &amp; Labor for the 170,000km preventive maintenance change oil &amp; other concern of A4R620</t>
  </si>
  <si>
    <t>Payment of his Salary, Pera and Ra for the period of July, 2022</t>
  </si>
  <si>
    <t xml:space="preserve">Roman Harold R. Espeleta </t>
  </si>
  <si>
    <t xml:space="preserve">Jorge S. Estanislao, MD. </t>
  </si>
  <si>
    <t xml:space="preserve">Antonio B. Roman, III JD. LL.M </t>
  </si>
  <si>
    <t xml:space="preserve">Bataan Primestar Newsweekly </t>
  </si>
  <si>
    <t>Publication of Approved Provincial Ordinance No. 12 Series of 2022</t>
  </si>
  <si>
    <t xml:space="preserve">Jorge S. Estanislao MD. </t>
  </si>
  <si>
    <t>Reimbursement of the amount paid for fuel consumption of the government vehicle Ford Everest IO 9547 for the month of July 2022</t>
  </si>
  <si>
    <t>Reimbursement of fuel allowance for Government Vehicle IO 4973 for the month of July 2022</t>
  </si>
  <si>
    <t xml:space="preserve">Josefina L. Lopez </t>
  </si>
  <si>
    <t>DONATION TO CLIENT FOR HER MEDICAL NEEDS QR: 0727220013</t>
  </si>
  <si>
    <t xml:space="preserve">Sarah Jenn R. San Blas </t>
  </si>
  <si>
    <t>DONATION TO JEANNI SAN BLAS FOR HER HOSPITAL BILL AND MEDICAL NEEDS QR: 0727220010</t>
  </si>
  <si>
    <t xml:space="preserve">Julieta R. Dela Cruz </t>
  </si>
  <si>
    <t>DONATION TO MER DELA CRUZ FOR HIS HOSPITAL BILL QR: 0727220015</t>
  </si>
  <si>
    <t xml:space="preserve">Danilo Jr. G. Garcia </t>
  </si>
  <si>
    <t>DONATION TO JULIE ANN GARCIA FOR HER HOSPITAL BILL QR: 0727220005</t>
  </si>
  <si>
    <t xml:space="preserve">Jan Erwin D. Sevilla </t>
  </si>
  <si>
    <t>DONATION TO JOAN SEVILLA FOR HER HOSPITAL BILL QR: 0727220006</t>
  </si>
  <si>
    <t xml:space="preserve">Marco G. Soriano </t>
  </si>
  <si>
    <t>DONATION TO MARVIN SORIANO FOR HIS HOSPITAL BILL QR: 0727220019</t>
  </si>
  <si>
    <t xml:space="preserve">Teresita D. Lopez </t>
  </si>
  <si>
    <t>DONATION TO LAURA DELOS SANTOS FOR HER HOSPITAL BILL QR: 0727220014</t>
  </si>
  <si>
    <t xml:space="preserve">Eledia I. Oliveria </t>
  </si>
  <si>
    <t>DONATION TO RODOLFO JR. INOPIA FOR HIS HOSPITAL BILL QR: 0727220012</t>
  </si>
  <si>
    <t>Security Services by 185 security guards deployed in Bataan Command Center, motorpool, Bat Tourism Center, Bataan PHO , OIC Det Com, JCPMH, ODH, BCMH, Eroad Alas-asin, MDH, NTP/Transpo lot Limay &amp; Tourism Park for June 1-30, 2022</t>
  </si>
  <si>
    <t>Token and Leis to use in Groundbreaking, Unveiling of DHSUD Marker &amp; Blessing of DHSUD Bataan Office on June 14, 2022</t>
  </si>
  <si>
    <t>Parts and labor for the replacement of transmission parts &amp; Brake shoe of Toyota Innova SJA-834 of Pgo</t>
  </si>
  <si>
    <t>Replacement of disc pad and refacing of rotor discof Nissan Ambulance ABW 4680 for the use of BCMH</t>
  </si>
  <si>
    <t>Replacement of Alternator assembly for Toyota Innova SJA-846 of PEO owned by the PGB</t>
  </si>
  <si>
    <t>Parts and labor for 60,000 km preventive maintenance check-up of Toyota FX ASU 228 of PEO owned by the Provincial Government of Bataan</t>
  </si>
  <si>
    <t>Replacement of front bumper and fog lamp for Toyota Innova SKR-486 of PNP</t>
  </si>
  <si>
    <t>Janitorial Supplies for the use of MBDA</t>
  </si>
  <si>
    <t>Payment of salary from July 8-31, 2022</t>
  </si>
  <si>
    <t xml:space="preserve">Aviva G. Limos </t>
  </si>
  <si>
    <t>Payment of salary for the month of July, 2022</t>
  </si>
  <si>
    <t xml:space="preserve">Converge Information &amp; Communications Technology Solutions, Inc. </t>
  </si>
  <si>
    <t>Monthly subscription fee of Metro Ethernet Service for the use of CCTV Cameras of MBDA for the month of August, 2022</t>
  </si>
  <si>
    <t>Payment of Internet Bill of 1BATAAN COMMAND CENTER Account number 0030300182942 for the month of August 1-31, 2022</t>
  </si>
  <si>
    <t>Reimbursement of the amount paid for mobile expenses for the period of April 21 - May 20, 2022 / May21 - June 20, 2022</t>
  </si>
  <si>
    <t>Payment of Water Bill of JPMH for the month of July, 2022</t>
  </si>
  <si>
    <t>Reimbursement of monthly subscription plan for the period of April 24 - June, 2022 ( 09175796171) / April 22 - July 21, 2022 (09472404214)</t>
  </si>
  <si>
    <t xml:space="preserve">Noli M. Montemayor, Security Agent I </t>
  </si>
  <si>
    <t>Fuel consumption on different service vehicle used by Tourism, BJMP-Male &amp; PHO July 4-10, 2022</t>
  </si>
  <si>
    <t>Fuel consumption on different service vehicle used by BJMP-Male &amp; PHO JUne 27-July 3, 2022</t>
  </si>
  <si>
    <t xml:space="preserve">Wyn Gen Manpower Services &amp; Enterprises Co. </t>
  </si>
  <si>
    <t>Parts and labor for the replacement of four (4) pcs tire 185R14 of FB L-300 SHS-641 of PEO owned by the Provincial Government of Bataan</t>
  </si>
  <si>
    <t>Meals to be served for RE: Provincial Social Welfare and Development Office of Pampanga Lakbay - Aral on June 10, 2022</t>
  </si>
  <si>
    <t xml:space="preserve">Stunro Printhouse </t>
  </si>
  <si>
    <t>Engraving/wood laser cut printing for plaque of appreciation for stakeholders of BPML : Battle of Bataan Gallery to be given during ots inauguration on April 8, 2022</t>
  </si>
  <si>
    <t>Janitor Supplies to be use in the Showroom of AFAB TOWNSHIP</t>
  </si>
  <si>
    <t>Tokens for Ocular visit w/ DHSUD Central &amp; Region 3 in Fisherfolks resettlement and Facilities in Bataan on June 7-8, 2022</t>
  </si>
  <si>
    <t>Inks to be used in Clearance Processing and Investigation Section of NBI Bataan District Office located in Orani, Bataan</t>
  </si>
  <si>
    <t>Leis to be given in Blessing and Opening of NHA office in the Bunker on June 9, 2022</t>
  </si>
  <si>
    <t>Various supplies to be use in PGB-SAP 1Bataan Malasakit Dialysis Assistance (Mariveles)</t>
  </si>
  <si>
    <t>Token to be given in Blessing of Showroom Mariveles on May 5, 2022</t>
  </si>
  <si>
    <t>Token to be used in Ocular Inspection in Bataan Fisherfolk Ressettlement on June 07, 2022</t>
  </si>
  <si>
    <t>Token to be given in Blessing and Opening of the new NHA Office in the Bunker on March 31, 2022</t>
  </si>
  <si>
    <t xml:space="preserve">La Jolla Luxury Beach Inc. </t>
  </si>
  <si>
    <t>Additional expenses for the visitors of Gov. Abet Garcia and Cong. Joet Garcia from yonsei University and Korean Soul Clinical Laboratories Dated June 26-29, 2022</t>
  </si>
  <si>
    <t>Meals to be served for RE: Celebration of the 44th National Disability Prevention &amp; Rehabilitation (NDPR) Week on July 21, 2022</t>
  </si>
  <si>
    <t>Letterhead for the use of PGSO</t>
  </si>
  <si>
    <t>Tire Replacement &amp; Wheel Balancing (Parts &amp; Labor) of PIO Service Vehicle Nissan Urvan 350 F2J 084</t>
  </si>
  <si>
    <t>Medical equipment for the use of Jose C Payumo Jr Memorial Hospital Dinalupihan, Bataan</t>
  </si>
  <si>
    <t xml:space="preserve">Donaldo R. Chan </t>
  </si>
  <si>
    <t>Payment of his Salary and Ra for the period of July 4-31, 2022</t>
  </si>
  <si>
    <t xml:space="preserve">Bataan Maritime Insitute </t>
  </si>
  <si>
    <t>Payment of scholarship of 4 students for 1st semester of school year 2021-2022 of the Iskolar ng Bataan Program of the PGB</t>
  </si>
  <si>
    <t>Payment of scholarship of 250 students for 1st semester of school year 2021-2022 of the Iskolar ng Bataan Program of the PGB</t>
  </si>
  <si>
    <t>Payment of scholarship of 455 students for 1st semester of school year 2021-2022 of the Iskolar ng Bataan Program of the PGB</t>
  </si>
  <si>
    <t>Replenishment of cash advance for emergency purchases of JPMH from July 21 - 25, 2022</t>
  </si>
  <si>
    <t>Chalor Howell S. Icban</t>
  </si>
  <si>
    <t>Payment of scholarship of 23 students for 1st semester of school year 2021-2022 of the Iskolar ng Bataan Program of the PGB</t>
  </si>
  <si>
    <t>Payment of scholarship of 287 students for 1st semester of school year 2021-2022 of the Iskolar ng Bataan Program of the PGB</t>
  </si>
  <si>
    <t xml:space="preserve">Microcity College of Business &amp; Technology Inc. </t>
  </si>
  <si>
    <t>Payment of scholarship of 9 students for 1st semester of school year 2021-2022 of the Iskolar ng Bataan Program of the PGB</t>
  </si>
  <si>
    <t>Payment of scholarship grant 20 students for 1st semester of SY 2021-2022 of Iskolar ng Bataan Program of the PGB</t>
  </si>
  <si>
    <t>Payment of scholarship of 14 students for 1st semester of school year 2021-2022 of the Iskolar ng Bataan Program of the PGB</t>
  </si>
  <si>
    <t>Payment of scholarship of 28 students for 1st semester of school year 2021-2022 of the Iskolar ng Bataan Program of the PGB</t>
  </si>
  <si>
    <t>Payment of scholarship of 12 students for 1st semester of school year 2021-2022 of the Iskolar ng Bataan Program of the PGB</t>
  </si>
  <si>
    <t>Payment of Allowance for the month of July 2022</t>
  </si>
  <si>
    <t>Replenishment of Revolving Fund for payment of donation to indigent constituents from Province of Bataan (August 02-03)</t>
  </si>
  <si>
    <t>Payment of Provincial Allowance for the month of July 2022</t>
  </si>
  <si>
    <t>Materials for the repainting of traffic line / markings of Provincial Roads of Bataan</t>
  </si>
  <si>
    <t xml:space="preserve">Panco Medical Trading Inc. </t>
  </si>
  <si>
    <t>Medical Equipment for the use of Orani District Hospital</t>
  </si>
  <si>
    <t>Meals and Snacks to be served on Bataan Cooperative Development Council Regular Monthly Meeting on May 26, 2022</t>
  </si>
  <si>
    <t>Meals to be served for Provincial Celebration of Day Care Workers Week on June 07, 2022</t>
  </si>
  <si>
    <t>Mealsincurred duroing various meetings</t>
  </si>
  <si>
    <t xml:space="preserve">Edwin C. Dela Rosa </t>
  </si>
  <si>
    <t>DONATION TO RODOLFO DELA ROSA FOR HIS BURIAL EXPENSES QR: 0727220016</t>
  </si>
  <si>
    <t xml:space="preserve">Rowena Marie S. Santos </t>
  </si>
  <si>
    <t>DONATION TO CLIENT AND MICHAELA ANDREA SANTOS FOR THEIR HOSPITAL BILLS QR: 0727220018</t>
  </si>
  <si>
    <t xml:space="preserve">Noel S. Cruz </t>
  </si>
  <si>
    <t>DONATION TO MARIANNE CRUZ AND ANNE MARIELLE CRUZ FOR THEIR HOSPITAL BILLS QR: 0727220008</t>
  </si>
  <si>
    <t xml:space="preserve">Normalyn G. Tanjuan </t>
  </si>
  <si>
    <t>DONATION TO NORMA TANJUAN FOR HER HOSPITAL BILL QR: 0727220017</t>
  </si>
  <si>
    <t xml:space="preserve">Marivic S. Ocampo </t>
  </si>
  <si>
    <t>DONATION TO REX OCAMPO FOR HIS HOSPITAL BILL QR: 0727220003</t>
  </si>
  <si>
    <t xml:space="preserve">Ma. Cleofe E. David </t>
  </si>
  <si>
    <t>DONATION TO LIBERATO ESGUERRA FOR HIS HOSPITAL BILL QR: 0727220011</t>
  </si>
  <si>
    <t xml:space="preserve">Venna F. Buhisan </t>
  </si>
  <si>
    <t>DONATION TO CECILIA BUHISAN FOR HER MEDICAL NEEDS QR: 0727220004</t>
  </si>
  <si>
    <t>DONATION TO CRISTEL YAO FOR HER MEDICAL NEEDS QR: 0727220009</t>
  </si>
  <si>
    <t xml:space="preserve">Editha M. Cruz </t>
  </si>
  <si>
    <t>DONATION TO FRANCISCA CRUZ FOR HER BURIAL EXPENSES QR: 0729220015</t>
  </si>
  <si>
    <t xml:space="preserve">Joshua F. Apas </t>
  </si>
  <si>
    <t>DONATION TO RAUL APAS AND MIRIAM APAS FOR THEIR BURIAL EXPENSES QR: 0729220014</t>
  </si>
  <si>
    <t xml:space="preserve">Emma S. Jimenez </t>
  </si>
  <si>
    <t>DONATION TO DIOSDADO JIMENEZ FOR HIS BURIAL EXPENSES QR: 0729220022</t>
  </si>
  <si>
    <t xml:space="preserve">Lucy P. Rodriguez </t>
  </si>
  <si>
    <t>DONATION TO WILFREDO MACASPAC FOR HIS HOSPITAL BILL QR: 0729220021</t>
  </si>
  <si>
    <t xml:space="preserve">Norma A. San Miguel </t>
  </si>
  <si>
    <t>DONATION TO IMELDA CORPUZ FOR HER HOSPITAL BILL QR: 0729220001</t>
  </si>
  <si>
    <t xml:space="preserve">Rossniel de Guzman Leola </t>
  </si>
  <si>
    <t>DONATION TO RACQUEL FOR HER HOSPITAL BILL QR: 0729220006</t>
  </si>
  <si>
    <t xml:space="preserve">Joemar D. Malabanan </t>
  </si>
  <si>
    <t>DONATION TO MARIEGLO DAMOCLES AND MARIA AMIRA ISABEL MALABANAN FOR THEIR HOSPITAL BILLS QR: 0729220016</t>
  </si>
  <si>
    <t xml:space="preserve">Zaldy A. Reyes </t>
  </si>
  <si>
    <t>DONATION TO NAZH REYES FOR HIS HOSPITAL BILL QR: 0729220011</t>
  </si>
  <si>
    <t xml:space="preserve">Leony M. Punzalan </t>
  </si>
  <si>
    <t>DONATION TO DOMINGO PUNZALAN JR. FOR HIS HOSPITAL BILL QR: 0729220017</t>
  </si>
  <si>
    <t xml:space="preserve">Jasmin B. Cruz </t>
  </si>
  <si>
    <t>DONATION TO FLORENTINA CRUZ FOR HER MEDICAL NEEDS QR: 0729220012</t>
  </si>
  <si>
    <t>DONATION TO GERALDINE HILDRA FOR HER MEDICAL NEEDS QR: 0729220007</t>
  </si>
  <si>
    <t>Replacement of defective battery for Adventure SHS-907 &amp; Toyota Hilux YT8598 of PEO owned by the Provincial Government of Bataan</t>
  </si>
  <si>
    <t>Replenishment of Emergency Purchases of NBB Patients of JPMH for the period from July 29 - July 31, 2022</t>
  </si>
  <si>
    <t>Payment of Internet Bill of MBDA Account Number 0030300011924 for the month of August 1-31, 2022</t>
  </si>
  <si>
    <t>Payment of BIZLOAD for employees assigned as monitoring gathering, and analysing Covid 2019 related data in the Province of Bataan Covering Period for the month of August, 2022</t>
  </si>
  <si>
    <t>Payment of Monthly subscription fee on Mobile Unlimited Call &amp; Text Postpaid plan (Globe to Globe) for the month of June 13, 2022 to July 12, 2022</t>
  </si>
  <si>
    <t>Payment of allowance in Regional Trial Court for the month of July 2022</t>
  </si>
  <si>
    <t>Payment of service rendered for the month of July 2022</t>
  </si>
  <si>
    <t>RATA for the month of August 2022</t>
  </si>
  <si>
    <t>Telephone bill &amp; internet bill of different offices covering period July 17 - August 16, 2022</t>
  </si>
  <si>
    <t>Payment of allowance in Regional Trial Court of Bataan for the month of July 2022</t>
  </si>
  <si>
    <t>Payment for Allowance for the period of June 2022</t>
  </si>
  <si>
    <t>Guiua-Payment of allowance for the month of June 2022</t>
  </si>
  <si>
    <t xml:space="preserve">Prosectuor Dindo D. Beber </t>
  </si>
  <si>
    <t xml:space="preserve">Prosecutor Abraham C. Ferrer </t>
  </si>
  <si>
    <t>Cash advance for overtime for July 2022</t>
  </si>
  <si>
    <t>Payment of scholarship of 57 students for 1st semester of school year 2021-2022 of the Iskolar ng Bataan Program of the PGB</t>
  </si>
  <si>
    <t>Payment of Scholarship Grant of 51 teachers (Gurong Iskolar) for 3rd trimester 2021-2022 of the Iskolar ng Bataan program of the Provincial Government of Bataan &amp; 3 students (Graduate Studies) for 2nd trimester 2021-2022 of the Iskolar ng Bataan program of the Provincial Government of Bataan</t>
  </si>
  <si>
    <t>Payment of allowance for the period of July 2022</t>
  </si>
  <si>
    <t>Payment of allowance for the month of July 2022</t>
  </si>
  <si>
    <t xml:space="preserve">Hilda B. Laxa </t>
  </si>
  <si>
    <t xml:space="preserve">Mc Jefferson M. Valerio </t>
  </si>
  <si>
    <t>Payment of 50% Scholarship grant of 1 Teacher (Gurong Iskolar) taking his Masteral Education as part of the Iskolar ng Bataan Program of the Provincial Government of Bataan</t>
  </si>
  <si>
    <t xml:space="preserve">Rhenn B. Songco </t>
  </si>
  <si>
    <t>Service rendered for the month of July, 2022</t>
  </si>
  <si>
    <t>Reimbursement of the amount paid for LTO vehicle registrationof Eighteen (18) service vehicle owned by the Provincial Government of Bataan</t>
  </si>
  <si>
    <t xml:space="preserve">Barangay Treasurer - Kaparangan, Orani, Bataan </t>
  </si>
  <si>
    <t>Subsidy to Barangay Kaparangan Orani Bataan for their Annual Cultural Activity on August 15, 2022</t>
  </si>
  <si>
    <t xml:space="preserve">Barangay Treasurer - Alion, Mariveles, Bataan </t>
  </si>
  <si>
    <t>Subsidy to Barangay Alion Mariveles Bataan for their Zumba for a cause</t>
  </si>
  <si>
    <t xml:space="preserve">Imelda M. Mambaje </t>
  </si>
  <si>
    <t>Donation to Imelda M. Mambaje for joining of her son Lloyd Jerozemel Montala Mambaje in the upcoming 20th Asean University Games 2022 from July 26 - August 6, 2022</t>
  </si>
  <si>
    <t>Office Supplies to be use in the Showroom of AFAB TOWNSHIP</t>
  </si>
  <si>
    <t xml:space="preserve">Benilda G. Llagas </t>
  </si>
  <si>
    <t>DONATION TO DOMINGO LLAGAS FOR HIS HOSPITAL BILL QR: 0722220001DIN</t>
  </si>
  <si>
    <t xml:space="preserve">Flordeliza M. Castro </t>
  </si>
  <si>
    <t>DONATION TO ROLANDO CASTRO FOR HOSPITAL BILL QR: 0726220001DIN</t>
  </si>
  <si>
    <t xml:space="preserve">Berna I. Baluyot </t>
  </si>
  <si>
    <t>DONATION TO ANGEL BALUYOT FOR HIS HOSPITAL BILL QR: 0801220003</t>
  </si>
  <si>
    <t>DONATION TO CLIENT FOR HER MEDICAL NEEDS QR: 0801220006</t>
  </si>
  <si>
    <t xml:space="preserve">Girlie V. Bulanon </t>
  </si>
  <si>
    <t>DONATION TO LEANDRO VILLAR FOR HIS HOSPITAL BILL QR: 0729220010</t>
  </si>
  <si>
    <t xml:space="preserve">Bella R. Baluyot </t>
  </si>
  <si>
    <t>DONATION TO AUGUSTO BALUYOT FOR HIS HOSPITAL BILL QR: 0801220008</t>
  </si>
  <si>
    <t xml:space="preserve">Gilbert M. Maroto </t>
  </si>
  <si>
    <t>DONATION TO CLIENT FOR PURCHASE OF BASIC NECESSITIES QR: 0726220001MAR</t>
  </si>
  <si>
    <t xml:space="preserve">Lamberto VII R. Linaban </t>
  </si>
  <si>
    <t>DONATION TO MIKEE LYN LINABAN AND ETHAN LEE LINABAN FOR THEIR HOSPITAL BILLS QR: 0729220019</t>
  </si>
  <si>
    <t>DONATION TO REYNALDO PAGUIO FOR HIS MEDICAL NEEDS QR: 0801220004</t>
  </si>
  <si>
    <t xml:space="preserve">Rosita S. Abagon </t>
  </si>
  <si>
    <t>DONATION TO CRISANTO SAAVEDRA FOR HOSPITAL BILL QR: 0802220021</t>
  </si>
  <si>
    <t xml:space="preserve">Noelito M. Castañeda </t>
  </si>
  <si>
    <t>DONATION TO CLIENT FOR HIS MEDICAL NEEDS QR: 0801220007</t>
  </si>
  <si>
    <t xml:space="preserve">Eastwoods Professional College of Science and Techology </t>
  </si>
  <si>
    <t>Payment of scholarship of 72 students for 1st semester of school year 2021-2022 of the Iskolar ng Bataan Program of the PGB</t>
  </si>
  <si>
    <t xml:space="preserve">Bataan Heroes College, Inc. </t>
  </si>
  <si>
    <t>Payment of scholarship of 323 students for 1st semester of school year 2021-2022 of the Iskolar ng Bataan Program of the PGB</t>
  </si>
  <si>
    <t xml:space="preserve">Lyka A. Bugarin </t>
  </si>
  <si>
    <t xml:space="preserve">Rosette Gay D. Garcia </t>
  </si>
  <si>
    <t xml:space="preserve">Oshin A. Firaza </t>
  </si>
  <si>
    <t xml:space="preserve">Lilibeth M. Villanueva </t>
  </si>
  <si>
    <t>Payment of 50% Scholarship grant of 1 Teacher (Gurong Iskolar) taking her Doctoral Education as part of the Iskolar ng Bataan Program of the Provincial Government of Bataan</t>
  </si>
  <si>
    <t xml:space="preserve">Carliza Jane T. Mariano </t>
  </si>
  <si>
    <t xml:space="preserve">Electrotechnical Institute, Inc. </t>
  </si>
  <si>
    <t>Payment of scholarship of 25 students for 1st semester of school year 2021-2022 of the Iskolar ng Bataan Program of the PBG</t>
  </si>
  <si>
    <t>Payment of scholarship of 7 students for 1st semester of school year 2021-2022 of the Iskolar ng Bataan Program of the PGB</t>
  </si>
  <si>
    <t>Payment of scholarship grant 3 students for 1st semester of SY 2021-2022 of Iskolar ng Bataan Program of the PGB</t>
  </si>
  <si>
    <t>Payment of scholarship of 3 students for 1st semester of school year 2021-2022 of the Iskolar ng Bataan Program of the PBG</t>
  </si>
  <si>
    <t>Payment of scholarship of 4 students for 1st semester of school year 2021-2022 of the Iskolar ng Bataan Program of the PBG</t>
  </si>
  <si>
    <t>Payment of scholarship of 21 students for 1st semester of school year 2021-2022 of the Iskolar ng Bataan Program of the PBG</t>
  </si>
  <si>
    <t>CDCEC BATAAN, INC.-Payment of scholarship grant 2 students for 1st semester of SY 2021-2022 of Iskolar ng Bataan Program of the PGB</t>
  </si>
  <si>
    <t>Reimbursement of gasoline expenses of JPMH for the period from July 11 - 20, 2022</t>
  </si>
  <si>
    <t xml:space="preserve">Rolando M. Agustin </t>
  </si>
  <si>
    <t>DONATION TO RIZALDY AGUSTIN FOR HIS HOSPITAL BILL QR: 0725220010</t>
  </si>
  <si>
    <t xml:space="preserve">Jennifer T. Cruz </t>
  </si>
  <si>
    <t>DONATION TO ENRIQUE CRUZ FOR HIS HOSPITAL BILL QR: 0725220017</t>
  </si>
  <si>
    <t xml:space="preserve">Rose Ann H. Roque </t>
  </si>
  <si>
    <t>DONATION TO DOMINGA HOMO FOR HER HOSPITAL BILL QR: 0725220016</t>
  </si>
  <si>
    <t>DONATION TO ROSCHELLE ANN DAVID FOR HER MEDICAL NEEDS QR: 0725220003</t>
  </si>
  <si>
    <t xml:space="preserve">Maybellyn N. Laxamana </t>
  </si>
  <si>
    <t>DONATION TO ATASHA MARIA LAXAMANA FOR HER MEDICAL NEEDS QR: 0725220011</t>
  </si>
  <si>
    <t xml:space="preserve">Marietta B. Caparas </t>
  </si>
  <si>
    <t>DONATION TO CLIENT FOR HER MEDICAL NEEDS QR: 0725220007</t>
  </si>
  <si>
    <t xml:space="preserve">Gloria D. Morales </t>
  </si>
  <si>
    <t>DONATION TO MARK ANTHONY MORALES FOR HIS MEDICAL NEEDS QR: 0725220015</t>
  </si>
  <si>
    <t xml:space="preserve">Iris Matthew O. Cabusao </t>
  </si>
  <si>
    <t>DONATION TO CLIENT FOR HER HOSPITAL AND MEDICAL NEEDS QR: 0725220005</t>
  </si>
  <si>
    <t xml:space="preserve">Norwina B. Alonzo </t>
  </si>
  <si>
    <t>DONATION TO AGOSTO BASA FOR HIS BURIAL EXPENSES QR: 0726220009</t>
  </si>
  <si>
    <t xml:space="preserve">Hernando C. Bernabe Jr. </t>
  </si>
  <si>
    <t>DONATION TO RICARDO BERNABE FOR HIS BURIAL EXPENSES</t>
  </si>
  <si>
    <t xml:space="preserve">Precilla de Guzman Lorena </t>
  </si>
  <si>
    <t>DONATION TO ROSITA DE GUZMAN FOR HER BURIAL EXPENSES QR: 0726220005</t>
  </si>
  <si>
    <t xml:space="preserve">Theresa B. Lejarde </t>
  </si>
  <si>
    <t>DONATION TO JOMARIE LEJARDE FOR HER PROFESSIONAL FEE QR: 0721220001DIN</t>
  </si>
  <si>
    <t xml:space="preserve">Matter Jr. G. Paule </t>
  </si>
  <si>
    <t>DONATION TO ROSE ANN PAULE AND MIKELLE PAULE FOR THEIR HOSPITAL BILL</t>
  </si>
  <si>
    <t xml:space="preserve">Cherrylyn M. Vargas </t>
  </si>
  <si>
    <t>DONATION TO CHERRY VARGAS FOR HER MEDICAL NEEDS QR: 0726220004</t>
  </si>
  <si>
    <t xml:space="preserve">Conrad J. Sanchez </t>
  </si>
  <si>
    <t>DONATION TO ANSELMO SANCHEZ FOR HIS MEDICAL NEEDS QR: 0726220001</t>
  </si>
  <si>
    <t xml:space="preserve">Rowena L. Baldeo </t>
  </si>
  <si>
    <t>DONATION TO CLIENT FOR HER MEDICAL NEEDS QR: 0726220007</t>
  </si>
  <si>
    <t xml:space="preserve">Emily R. Dionila </t>
  </si>
  <si>
    <t>DONATION TO LEONILA RECOLIZADO FOR HER BURIAL EXPENSES QR: 0726220014</t>
  </si>
  <si>
    <t xml:space="preserve">Kim M. Mallari </t>
  </si>
  <si>
    <t>DONATION TO CLIENT FOR HIS MEDICAL NEEDS QR: 0726220002</t>
  </si>
  <si>
    <t xml:space="preserve">Melita M. Lingad </t>
  </si>
  <si>
    <t>DONATION TO POLICARPIO LINGAD FOR HIS HOSPITALL BILL AND MEDICAL NEEDS QR: 0729220004</t>
  </si>
  <si>
    <t xml:space="preserve">Adrian M. Franco </t>
  </si>
  <si>
    <t>DONATION TO MARIA FRANCO FOR HER HOSPITAL BILL QR: 0727220007</t>
  </si>
  <si>
    <t>Parts &amp; Labor for the 205,000 km preventive maintenance Toyota Hilux VU0468 of MBDA owned by the Provincial Government of Bataan</t>
  </si>
  <si>
    <t>For changeoil of Mitsubishi Ambulance SJA-377 to be use of BCMH</t>
  </si>
  <si>
    <t>Parts and labor for the replacement of four (4) pcs tire for Nissan Ambulance ABW-4680 for the use of BCMH</t>
  </si>
  <si>
    <t>Materials needed for (1) year change oil and preventive maintenance of Mitsubishi Adventure SHS-907 of PEO owned by the Provincial Government of Bataan</t>
  </si>
  <si>
    <t>UPS as a replacement for the defective units in the Provincial Budget Office</t>
  </si>
  <si>
    <t>Foods to be served for the Organizing the Technical Working Group (TWG) for the Implementation of Measures to Address the root causes of Pregnancies in the Province of Bataan on May 31, 2022</t>
  </si>
  <si>
    <t>Replacement of defective battery for Toyota Hilux WA8105 of PEO owned by the Provincial Government of Bataan</t>
  </si>
  <si>
    <t>Materials for the repair and maintenance of plumbing and electrical fixtures in various offices under Provincial Government of Bataan</t>
  </si>
  <si>
    <t>Parts &amp; Labor for the 455,000 km preventive maintenance Toyota Hilux VV0143 of MBDA owned by the Provincial Government of Bataan</t>
  </si>
  <si>
    <t>Parts and Labor for the repair of airconditioning system of Hyundai H100 KO-S994</t>
  </si>
  <si>
    <t>Parts &amp; Labor for the repair and replacement of Assy. and other deffective parts Toyota Hiace A5Q631 pf MBDA owned by the Provincial Government of Bataan</t>
  </si>
  <si>
    <t>Parts &amp; labor for general services, replacement of alternator assembly and pulldown dashboard for aircon cleaning, valve expansion and other concerned matters for ambulance A4R620 of JCPJMH</t>
  </si>
  <si>
    <t>Meals and Snacks for World no Tabacco Day on May 31, 2022</t>
  </si>
  <si>
    <t>AM Snacks and Lunch for Mass Blood Donation on July 15, 2022</t>
  </si>
  <si>
    <t>Parts and labor for replacement and repair of the airconditioning system of HYUNDAI COASTER WHITE NCI 7450 for the use of Mariveles District Hospital</t>
  </si>
  <si>
    <t xml:space="preserve">Mydee C. Inocencio </t>
  </si>
  <si>
    <t>DONATION TO JELYN INOCENCIO AND MATEO JOSH SURBAN FOR THEIR HOSPITAL BILLS QR: 0726220008</t>
  </si>
  <si>
    <t xml:space="preserve">Traverse Trading </t>
  </si>
  <si>
    <t>Coring Bit for the use of Quality Control Division of Provincial Engineer's Office</t>
  </si>
  <si>
    <t>Labor and Materials for Rehabilitation of Canal, Barangay Rizal, Pilar, Bataan</t>
  </si>
  <si>
    <t>Assorted meat and processed food for the consumption of inmates of Bataan District Jail within the period of July 1-15, 2022</t>
  </si>
  <si>
    <t>LPG-50kgs for the consumption of inmates of Bataan District Jail within the period of July 2022</t>
  </si>
  <si>
    <t>Various grocery items for the consumption of inmates of Bataan District Jail within the period of July 16-31, 2022</t>
  </si>
  <si>
    <t>Vaious grocery items for the consumption of inmates of Bataan District Jail within the period of July 1-15, 2022</t>
  </si>
  <si>
    <t>Assorted marine products for the consumption of inmates of Bataan District Jail within the period of July 1-15, 2022</t>
  </si>
  <si>
    <t xml:space="preserve">Gallardo B. Banzon </t>
  </si>
  <si>
    <t>DONATION TO CLIENT FOR HIS MEDICAL NEEDS QR: 0801220001</t>
  </si>
  <si>
    <t xml:space="preserve">Edgardo A. Talastas </t>
  </si>
  <si>
    <t>DONATION TO CLIENT FOR HIS MEDICAL NEEDS QR: 0727220002</t>
  </si>
  <si>
    <t>DONATION FOR THIR HOSPITAL BILLS COVERING THE PERIOD JULT 18-22, 2022</t>
  </si>
  <si>
    <t>DONATION FOR THE HOSPITAL BILLS COVERING THE PERIOD JULY 18-22,2022+</t>
  </si>
  <si>
    <t>DONATION FOR THE HOSPITAL BILLS COVERING THE PERIOD JULY 19-22,2022</t>
  </si>
  <si>
    <t>Payment of maternity leave for the period of June 4 - September 16, 2022</t>
  </si>
  <si>
    <t xml:space="preserve">Meynard Bryan Z. Reyes </t>
  </si>
  <si>
    <t>Payment of his salary differential for June 1-30, 2022 and Salary for July 1-31, 2022</t>
  </si>
  <si>
    <t>Payment of overtime pay for the month of July, 2022</t>
  </si>
  <si>
    <t xml:space="preserve">Eduardo R. Dela Cirna </t>
  </si>
  <si>
    <t>Payment of Step increment for the month of June - December, 2021, Salary Differential from January - July, 2022, Year-End Bonus differential for 2021, Mid-Year Bonus differential for 2022 and Hazard Pay Differential for 2021 &amp; 2022</t>
  </si>
  <si>
    <t>Payment of scholarship grant 2 students for 1st semester of SY 2021-2022 of Iskolar ng Bataan Program of the PGB</t>
  </si>
  <si>
    <t xml:space="preserve">Barangay Treasurer - Balut, Orani, Bataan </t>
  </si>
  <si>
    <t>Subsidy to Barangay Balut Orani Bataan for their annual Cultural Activity on August 16, 2022</t>
  </si>
  <si>
    <t>Payment of allowance for the month of July2022</t>
  </si>
  <si>
    <t xml:space="preserve">Marion Jacqueluine P. Poblete </t>
  </si>
  <si>
    <t>Payment of allowance in the Regional Trial Court of Bataan- Branch 3 for the month of July 2022</t>
  </si>
  <si>
    <t xml:space="preserve">Government Financial Management Innovators Circle </t>
  </si>
  <si>
    <t>Registration fee to virtual 13th Annual National Convention (ANC) with theme "Pursuing PFM Excellence: Onto the New Administration" to be conducted by Government Financial Management Innovators Circle (GFMIC), Inc. on August 10 to 12, 2022</t>
  </si>
  <si>
    <t>Payment of honorarium of Municipal Treasurers for the month of July 2022</t>
  </si>
  <si>
    <t>Petty cash fund replenishment for July 28-August 8, 2022</t>
  </si>
  <si>
    <t>Payment of scholarship of 19 students for 1st semester of school year 2021-2022 of the Iskolar ng Bataan Program of the PGB</t>
  </si>
  <si>
    <t>Payment for Allowance for the period of July 2022</t>
  </si>
  <si>
    <t xml:space="preserve">Romulo S. Mandocdoc </t>
  </si>
  <si>
    <t>Payment for monthly subscription of newspaper delivered in VG Office and SP Secretariat Office for the month of July 2022</t>
  </si>
  <si>
    <t xml:space="preserve">Michael Jimenez </t>
  </si>
  <si>
    <t>Payment of honorarium of Psychosocial Support Training on June 22-24, 2022</t>
  </si>
  <si>
    <t xml:space="preserve">Hermione B. Monterde </t>
  </si>
  <si>
    <t>Donation to Hermione B. Monterde for participating the national pageant of Miss Aura Philippines 2022 last June 25, 2022</t>
  </si>
  <si>
    <t xml:space="preserve">James Albert D. Yumol </t>
  </si>
  <si>
    <t>Donation to James Albert D. Yumol for joining the Mahidol University's sawasdee thailand summer program 2022 from Sept. 1-15, 2022</t>
  </si>
  <si>
    <t>Replenishment for market purchases of JPMH for the period of July 22 - 31, 2022</t>
  </si>
  <si>
    <t>Replenishment of cash advance to defray of Daily Market purchase from July 26-31, 2022</t>
  </si>
  <si>
    <t>Payment of newspaper for the month of July 2022</t>
  </si>
  <si>
    <t xml:space="preserve">Christine Joyce S. Austria </t>
  </si>
  <si>
    <t>DONATION TO ALEJANDRO ALFARO FOR HIS HOSPITAL BILL</t>
  </si>
  <si>
    <t xml:space="preserve">Mary Grace B. Pineda </t>
  </si>
  <si>
    <t>DONATION TO JEREMY PINEDA FOR HIS HOSPITAL BILL</t>
  </si>
  <si>
    <t xml:space="preserve">Marty J. Senia </t>
  </si>
  <si>
    <t>DONATION TO KATHERINE GRACE PACAPAC AND LELOUCH MARKSCHUYLER PACAPAC FOR THEIR HOSPITAL BILL QR: 0725220014</t>
  </si>
  <si>
    <t xml:space="preserve">Ronnie C. Solarte </t>
  </si>
  <si>
    <t>DONATION TO CONNIE SOLARTE AND JAIME SOLARTE FOR THEIR HOSPITAL BILLS QR: 0802220010</t>
  </si>
  <si>
    <t xml:space="preserve">Marieta L. Fernandez </t>
  </si>
  <si>
    <t>DONATION TO ANTONIO FERNANDEZ FOR HIS HOSPITAL BILL QR: 0802220007</t>
  </si>
  <si>
    <t xml:space="preserve">Arvin Kert C. Sabino </t>
  </si>
  <si>
    <t>DONATION TO IRNA SABINO FOR HER HOSPITAL BILL QR: 0802220016</t>
  </si>
  <si>
    <t xml:space="preserve">Cristina L. Inocencio </t>
  </si>
  <si>
    <t>DONATION TO ENRIQUE INOCENCIO FOR HIS HOSPITAL BILL QR: 0726220003</t>
  </si>
  <si>
    <t xml:space="preserve">Ma. Victoria I. Fenomeno </t>
  </si>
  <si>
    <t>DONATION TO VALENTINO ISIDRO FOR HOSPITAL BILL AND MEDICAL NEEDS QR: 0802220002</t>
  </si>
  <si>
    <t xml:space="preserve">Christabella L. Malixi </t>
  </si>
  <si>
    <t>DON ATION TO JIMMY MALIXI FOR HIS MEDICAL NEEDS QR: 0725220013</t>
  </si>
  <si>
    <t>Meals and snacks for Orientation on Climate and Disaster Risk Assessment (CDRA) for the Environment Sector in the Province of Bataan on June 24, 2022</t>
  </si>
  <si>
    <t>DONATION FOR THE HOSPITAL BILL OF VARIOUS CLIENT COVERING THE PERIOD OF JULY 25-29,2024</t>
  </si>
  <si>
    <t>DONATION FOR THE HOSPITAL BILL OF VARIOUS CLIENT COVERING THE PERIOD OF JULY 28-29,2025</t>
  </si>
  <si>
    <t>DONATION FOR THE HOSPITAL BILL OF VARIOUS CLIENT COVERING THE PERIOD OF JULY 25-29,2022</t>
  </si>
  <si>
    <t>Replenishment of Miscellaneous Expenses of MDH used for the period of June 28 - July 12, 2022</t>
  </si>
  <si>
    <t>REIMBURSEMENT OF MARKET PURCHASES OF MARIVELES DISTRICT HOSPITAL FOR JULY 8-16,2022</t>
  </si>
  <si>
    <t>Payment of newspaper subscription for the month of July, 2022</t>
  </si>
  <si>
    <t>Replenishment of cash advance for emergency purchases of JPMH from July 26-31, 2022</t>
  </si>
  <si>
    <t>Payment of fuel consumption for the period of July 18-24, 2022 (PGO)</t>
  </si>
  <si>
    <t>Replenishment of Revolving Fund for payment of donation to indigent constituents from Province of Bataan (August 04-05)</t>
  </si>
  <si>
    <t>Reimbursement of the amount paid for fuel consumption of the government vehicle Ford Everest IP 0801 for the month of July, 2022</t>
  </si>
  <si>
    <t>Reimbursment of the amount paid for fuel consumption of the Government vehicle Ford Everest IO 4423 for the month of July 2022</t>
  </si>
  <si>
    <t>Reimbursement of the amount paid for fuel consumption of the government vehicle HI-LUX VU2619 for the month of July 2022</t>
  </si>
  <si>
    <t>Payment of fire insurance of one (1) Building owned by PGB</t>
  </si>
  <si>
    <t>Reimburse of Meals during meeting with UNESCO</t>
  </si>
  <si>
    <t>Reimburse of Meals and Snacks for various activities</t>
  </si>
  <si>
    <t>Reimburse of Meals during meeting with MDH</t>
  </si>
  <si>
    <t>Payment of Internet subscription plan for vehicle tracker of PEO for the period of August 1-31, 2022</t>
  </si>
  <si>
    <t>Labor and Materials for the Concreting of Road Barangay Bamban, Hermosa, Bataan (20% DF)</t>
  </si>
  <si>
    <t xml:space="preserve">Erlinda M. Bejo </t>
  </si>
  <si>
    <t>DONATION TO ELMER BEJO FOR HIS HOSPITAL BILL QR: 0802220001</t>
  </si>
  <si>
    <t>DONATION CLIENT FOR HIS MEDICAL NEEDS QR: 0802220004</t>
  </si>
  <si>
    <t xml:space="preserve">Nenita P. Blanas </t>
  </si>
  <si>
    <t>DONATION TO ROBERTO BLANAS FOR HIS MEDICAL NEEDS QR: 0802220017</t>
  </si>
  <si>
    <t>Supplies and Materials to be used during the conduct of Mangrove Development Program on May 4,5,6, and 18, 2022</t>
  </si>
  <si>
    <t>Labor and materials for the repair, replacement and fabrication of aluminum / glass works in various offices within Capitol Compound</t>
  </si>
  <si>
    <t>Meals for Visitors of Governor Albert S. Garcia on May 6, 2022</t>
  </si>
  <si>
    <t xml:space="preserve">DBL Aircon &amp; Refrigeration Center </t>
  </si>
  <si>
    <t>Materials for the repair of 2.0 HP window type air-conditioning unit at Philippine Drug Enforcement Agency (PDEA) Office</t>
  </si>
  <si>
    <t xml:space="preserve">Wyn's Gen Manpwoer Services and Enterprises Co. </t>
  </si>
  <si>
    <t>Parts and labor for the replacement of four (4) pcs tire 205 / 65 R15 for Toyota Innova SHJ-708 of PEO owned by the Provincial Government of Bataan</t>
  </si>
  <si>
    <t>Spur Gear for the repair of Printer EPSON - 3110</t>
  </si>
  <si>
    <t>Materials for the repair of plumbing fixtures in National Bureau of Investigation ( NBI ) District Office, Command Center, Orani, Bataan</t>
  </si>
  <si>
    <t>Meals to be served fir RE: Provincial Celebration of Nutrition Month on July 29, 2022</t>
  </si>
  <si>
    <t>Meals for Visitors of Governor Albert S. Garcia on May 11, 2022</t>
  </si>
  <si>
    <t>Breakfast and Lunch for the Mass Oathaking Ceremony on June 29, 2022</t>
  </si>
  <si>
    <t>Purchase of materials for donation to NOLCOM Liason office at Camp Aguinaldo, Quezon City</t>
  </si>
  <si>
    <t>Parts and labor for the replacement of four (4) pcs tire 215 / 70 R15 of Toyota FX A5U228 of PEO owned by the Provincial Government of Bataan</t>
  </si>
  <si>
    <t>Replacement of four (4) pcs tire 185R14 to Adventure SHS-907 of PEO owned by the Provincial Government of Bataan</t>
  </si>
  <si>
    <t>Replacement of defective battery for Manlift RJT - 101 of PEO owned by the Provincial Government of Bataan</t>
  </si>
  <si>
    <t>Parts and labor for the air conditioning unit for PIO Service Vehicle - NISSAN URVAN 350 F2J 084</t>
  </si>
  <si>
    <t>Rental of Sound System for the Mass Oath Taking Ceremony on June 29, 2022</t>
  </si>
  <si>
    <t>Office Suppliesfor stock purposes 2022</t>
  </si>
  <si>
    <t>Payment of Overtime Pay for the month of July, 2022</t>
  </si>
  <si>
    <t>Meals incurred during food subsidy assistance</t>
  </si>
  <si>
    <t>Replenishment of Revolving Fund for payment of donation to indigent constituents from Province of Bataan (AUGUST 8-9)</t>
  </si>
  <si>
    <t xml:space="preserve">Philip N. Gonzales </t>
  </si>
  <si>
    <t>DONATION TO CLIENT FOR HIS MEDICAL NEEDS QR: 0803220017</t>
  </si>
  <si>
    <t xml:space="preserve">Maria Cecilia P. Hernandez </t>
  </si>
  <si>
    <t>DONATION TO CLIENT FOR HIS MEDICAL NEEDS QR: 0803220010</t>
  </si>
  <si>
    <t>Monthly subscription fee on ASDN Pri Service for the 911 hotline/876484499 for the month of June 27 - July 26, 2022</t>
  </si>
  <si>
    <t>PAYMENT OF FUEL CONSUMPTION OF DIFFERENT SERVICE VEHICLE USED BY THE OPA, SOCO, PCEDO &amp; VET FOR JULY 11-17,2022</t>
  </si>
  <si>
    <t xml:space="preserve">Philippine Postal Corporation </t>
  </si>
  <si>
    <t>Payment to attend the 73th PHA Annual Convention on November 16-19, 2022</t>
  </si>
  <si>
    <t>Reimbursement of the amount paid for fuel consumption of the government vehicle Ford Everest C1 T417 for the month of July, 2022</t>
  </si>
  <si>
    <t>Reimbursement of the amount paid for fuel consumption of the government vehicle Ford Everest IP 1451 for the month of July 2022</t>
  </si>
  <si>
    <t>Payment of plan 300 for employees assigned as monitoring gathering and annalysing Covid 2019 related in the Province of Bataan Covering Period for the month of June 2022</t>
  </si>
  <si>
    <t>Drinking water to be used in the office of the governor</t>
  </si>
  <si>
    <t>Keyboard replacement of Dell Inspiron 3501 w/ Serial No. 9DPTGB3 for the used of PHO</t>
  </si>
  <si>
    <t>Goods/token to be given to POEA &amp; Vantagehunt representative during Hybrid Job Fair 2022 on May 20, 2022 at Bataan People's Center, Capitol Compound, Balanga City, Bataan</t>
  </si>
  <si>
    <t xml:space="preserve">Monaline N. Valiente </t>
  </si>
  <si>
    <t>DONATION TO EVANGELINE VALIENTE FOR HER HOSPITAL BILL QR: 0803220006</t>
  </si>
  <si>
    <t xml:space="preserve">John Robert G. Jorge </t>
  </si>
  <si>
    <t>DONATION TO MA. REBECCA JORGE AND PRINCE JIO JORGE FOR THEIR HOSPITAL BILLS QR: 0803220003</t>
  </si>
  <si>
    <t xml:space="preserve">Josephine S. Pagaduan </t>
  </si>
  <si>
    <t>DONATION TO ALBERT AIDAN PONCE FOR HIS HOSPITAL BILL AND MEDICAL NEEDS QR: 0803220014</t>
  </si>
  <si>
    <t xml:space="preserve">Maricel T. Bruno </t>
  </si>
  <si>
    <t>DONATION TO ROMULO TRANATE FOR HIS MEDICAL NEEDS QR: 0803220015</t>
  </si>
  <si>
    <t xml:space="preserve">Gerhard L. Guevara </t>
  </si>
  <si>
    <t xml:space="preserve"> QR: 0803220013</t>
  </si>
  <si>
    <t xml:space="preserve">Joshua L. Gudito </t>
  </si>
  <si>
    <t>DONATION TO JEANIEWIN ANN GUINTO AND JESSE REIGN GUDITO FOR THEIR HOSPITAL BILL QR: 0803220005</t>
  </si>
  <si>
    <t xml:space="preserve">Rogelio L. Reyes </t>
  </si>
  <si>
    <t>DONATION TO RENZO REYES FOR HIS MEDICAL NEEDS QR: 0804220005</t>
  </si>
  <si>
    <t xml:space="preserve">Jesselton G. Manaid </t>
  </si>
  <si>
    <t>DONATION TO MARIA TERESITA MANAID FOR HER BURIAL EXPENSES QR: 0803220009</t>
  </si>
  <si>
    <t xml:space="preserve">Raquel R. Perez </t>
  </si>
  <si>
    <t>DONATION TO AURELIA RODRIGUEZ FOR HER BURIAL EXPENSES QR: 0803220004</t>
  </si>
  <si>
    <t>Payment for the internet subscription with account number 13544 for the period of August, 2022</t>
  </si>
  <si>
    <t>Payment of Telephone Bill of JPMH for the period of June 21 - July 20, 2022</t>
  </si>
  <si>
    <t>DONATION FOR THE HOSPITAL BILLS COVERING THE PERIOD JULY 18-22,2022</t>
  </si>
  <si>
    <t>Parts for the repair of toyota ambulance A4R620 for the use of Jose Payumo Memorial Hospital</t>
  </si>
  <si>
    <t>Assorted marine products for the consumption of inmates of Bataan District Jail within the period of July 16-31, 2022</t>
  </si>
  <si>
    <t>Reimbursement of AM Snack to be served for Face to face SPES 2022 Beneficiaries Orientation on July 29, 2022 at Atrinium, Ground Floor, The Bunker Bldg. Provincial Capitol, Balanga City, Bataan</t>
  </si>
  <si>
    <t>Parts &amp; Labor for the replacement of compressor &amp; clutch assy. of Toyota Hilux YU9911 of MBDA owned by the Provincial Government of Bataan</t>
  </si>
  <si>
    <t>Cash advance for various obligation Cash advance for various obligation</t>
  </si>
  <si>
    <t>1% retention of medical equipment for use of JCPMH during COVID-19 emergency response</t>
  </si>
  <si>
    <t>Allowance for the month of June &amp; July 2022</t>
  </si>
  <si>
    <t>Replenishment of Emergency Purchases of NBB Patients of JPMH for the period from August 1-3, 2022</t>
  </si>
  <si>
    <t xml:space="preserve">Harvey V. Zulueta </t>
  </si>
  <si>
    <t>DONATION TO CONCHITA ZULUETA FOR HER HOSPITAL BILL QR: 0803220008</t>
  </si>
  <si>
    <t xml:space="preserve">Marie Pet S. Quinto </t>
  </si>
  <si>
    <t>DONATION TO CLIENT FOR HER MEDICAL NEEDS QR: 0805220002</t>
  </si>
  <si>
    <t xml:space="preserve">Michael P. Agustin </t>
  </si>
  <si>
    <t>DONATION TO RAUL AGUSTIN FOR HOSPITAL BILL QR: 0805220001</t>
  </si>
  <si>
    <t>DONATION TO WILSON SANTOS FOR HIS BURIAL EXPENSES QR: 0805220003</t>
  </si>
  <si>
    <t>DONATION TO NORBERTO CABRAL FOR HIS BURIAL EXPENSES QR: 0805220007</t>
  </si>
  <si>
    <t xml:space="preserve">Michael N. Vidal </t>
  </si>
  <si>
    <t>DONATION TO RHONE MHYKELL LUIZE VIDAL FOR HIS HOSPITAL BILL QR: 0805220005</t>
  </si>
  <si>
    <t xml:space="preserve">Carlo J. Montes </t>
  </si>
  <si>
    <t>DONATION TO MARICELS CASALJAY FOR HER MEDICAL NEEDS QR: 0805220004</t>
  </si>
  <si>
    <t xml:space="preserve">Jeffrey G. Adame </t>
  </si>
  <si>
    <t>DONATION TO CLIENT FOR HIS MEDICAL NEEDS QR: 0805220010</t>
  </si>
  <si>
    <t xml:space="preserve">Michelle M. Sidon </t>
  </si>
  <si>
    <t>DONATION TO AMELITA MADERA FOR HER HOSPITAL BILL QR: 0803220012</t>
  </si>
  <si>
    <t xml:space="preserve">Kenneth C. Reyes </t>
  </si>
  <si>
    <t>DONATION TO MARIE ANNE REYES AND KEANNA MARIE REYES FOR THEIR HOSPITAL BILLS QR: 0803220002</t>
  </si>
  <si>
    <t xml:space="preserve">John Cedric A. Vida </t>
  </si>
  <si>
    <t>DONATION TO DINA VIDA FOR HER HOSPITAL BILL QR: 0803220016</t>
  </si>
  <si>
    <t xml:space="preserve">Michael Terrence M. Cruz </t>
  </si>
  <si>
    <t>DONATION TO CLIENT FOR HIS MEDICAL NEEDS QR: 0803220011</t>
  </si>
  <si>
    <t xml:space="preserve">Glenn Johan T. Dizon </t>
  </si>
  <si>
    <t>DONATION TO CLIENT FOR HIS HOSPITAL BILL QR: 0803220023</t>
  </si>
  <si>
    <t>DONATION TO CLIENT FOR HIS MEDICAL NEEDS QR: 0803220018</t>
  </si>
  <si>
    <t xml:space="preserve">Ardy Paulo A. Suing </t>
  </si>
  <si>
    <t>DONATION TO ARTURO SUING FOR HIS BURIAL EXPENSES QR: 0803220021</t>
  </si>
  <si>
    <t xml:space="preserve">Chona B. Guzman </t>
  </si>
  <si>
    <t>DONATION TO JOELLE BAGTAS FOR HER HOSPITAL BILL QR: 0803220020</t>
  </si>
  <si>
    <t xml:space="preserve">Jose Dante D. Molo </t>
  </si>
  <si>
    <t>DONATION TO JHOANNA ISLA FOR HER MEDICAL NEEDS QR: 0803220019</t>
  </si>
  <si>
    <t>Repair and maintenance of motorcycle vehicle service of PVO</t>
  </si>
  <si>
    <t xml:space="preserve">Wyn's Gen Manpower Services and Enteprises Co. </t>
  </si>
  <si>
    <t>To purchase engine oil needed for change oil of Toyota Innova SJA - 817 used by the Provincial Office</t>
  </si>
  <si>
    <t>Purchase materials needed for preventive maintenance of Toyota Innova SJA-817 used by the Provincial Treasurer's Office</t>
  </si>
  <si>
    <t>Meals for visitors of Governor Joet Garcia on July 11, 18, &amp; 25, 2022</t>
  </si>
  <si>
    <t xml:space="preserve">Lord Elgyn Merchandising </t>
  </si>
  <si>
    <t>Rabbit for the Livelihood Assistance Through Rabbit Disperal for Meat Production</t>
  </si>
  <si>
    <t>Heavy Breakfast to be served during the conduct of Bamboo Planting Activity at Hermosa Bataan on June 10, 2022</t>
  </si>
  <si>
    <t>Snacks for Meeting of the Bunker DRRM Focal Persons Orientation re Active Shooting Incident Contingency Plan on May 10, 2022 at 4th Floor Conference Room, The Bunker</t>
  </si>
  <si>
    <t>Supplies and Materials to be used during the conduct of National Disaster Resilence Month (NDRM) on July 1, 2022, July 4-8, 2022, July 18, 2022 and July 29, 2022</t>
  </si>
  <si>
    <t>Specialty (Board) paper for Orientation on Climate and Disaster Risk Assessment (CDRA) for the Environment Sector in the Province of Bataan on June 24, 2022</t>
  </si>
  <si>
    <t>Assorted meat and processed food for the consumption of inmates of Bataan District Jail within the period of July 16-31, 2022</t>
  </si>
  <si>
    <t>Parts and labor for the 110,000KM preventive maintenance of Hilux Pickup</t>
  </si>
  <si>
    <t>Token for Guest Speaker for Seminar on Financial Management on July 13, 2022</t>
  </si>
  <si>
    <t>Parts and Labor for the replacement of defective parts for Toyota Innova SJA-845 of PEO</t>
  </si>
  <si>
    <t>Replacement of defective parts of Howo Cargo Truck I of PEO owned by the Provincial Government of Bataan</t>
  </si>
  <si>
    <t>Materials for the painting of traffic lane lines Thermoplastic Cooker - LPG refill (Cataning-Bane, Naparing-Mabiga Road, Tapulao Superhighway, Mulawin-Tala Road and BTPI Road)</t>
  </si>
  <si>
    <t>Reimbursement of the amount paid for Mobile and Internet Allowance for the period of April 15 - May 14 and May 15 - June 14, 202</t>
  </si>
  <si>
    <t>IGNACIO- Payment of allowance for the month of July 2022</t>
  </si>
  <si>
    <t>Baltazar- Payment of allowance for the month of July 2022</t>
  </si>
  <si>
    <t xml:space="preserve">Ryan Jay A. Pajarin </t>
  </si>
  <si>
    <t>Ines-Payment of allowance for the month of July 2022</t>
  </si>
  <si>
    <t xml:space="preserve">Dina Santos </t>
  </si>
  <si>
    <t>DONATION TO RODRIGO SANTOS FOR HIS MEDICAL NEEDS</t>
  </si>
  <si>
    <t xml:space="preserve">Honey-Leene T. Decena </t>
  </si>
  <si>
    <t>LEENE T. DECENA/ORANI-DONATION TO CLIENT FOR HER HOSPITAL BILL AND MEDICAL NEEDS QR: 0804220015</t>
  </si>
  <si>
    <t>DONATION TO CORAZON MARIANO FOR HER BURIAL EXPENSES QR: 0804220002</t>
  </si>
  <si>
    <t xml:space="preserve">Adonis D. Gamboa </t>
  </si>
  <si>
    <t>DONATION TO YOLA MARIE GAMBOA AND ZEKE ELIO GAMBOA FOR THEIR HOSPITAL BILLS QR: 0804220018</t>
  </si>
  <si>
    <t xml:space="preserve">Rosalyn R. Sta. Rita </t>
  </si>
  <si>
    <t>DONATION TO RODOLFO JR. FOR STA RITA FOR HIS HOSPITAL BILL QR: 0804220014</t>
  </si>
  <si>
    <t xml:space="preserve">Enrico P. Fabi </t>
  </si>
  <si>
    <t>DONATION TO VIRGINIA FABI FOR HER MEDICAL NEEDS QR: 0804220004</t>
  </si>
  <si>
    <t>DONATION TO SEVERINO DONATO FOR HIS BURIAL EXPENSES QR: 0804220016</t>
  </si>
  <si>
    <t xml:space="preserve">Milver V. Lagas </t>
  </si>
  <si>
    <t>DONATION TO TERESITA MENESES FOR HER HOSPITAL BILL QR: 0804220010</t>
  </si>
  <si>
    <t xml:space="preserve">Arrabelle B. Camano </t>
  </si>
  <si>
    <t>DONATION TO GLAIZA CAMANO FOR HER MEDICAL NEEDS QR: 0804220017</t>
  </si>
  <si>
    <t xml:space="preserve">Virginia A. Pantig </t>
  </si>
  <si>
    <t>DONATION TO ORLANDO PANTIG FOR HIS HOSPITAL BILL QR: 080422012</t>
  </si>
  <si>
    <t xml:space="preserve">Felicisimo D. Zaraspe </t>
  </si>
  <si>
    <t>DONATION TO CLIENT FOR HIS MEDICAL NEEDS QR: 0804220008</t>
  </si>
  <si>
    <t xml:space="preserve">Rolly Mar G. Ongkengco </t>
  </si>
  <si>
    <t>DONATION TO ALFREDO ONGKENGCO FOR HIS MEDICAL NEEDS QR: 0804220006</t>
  </si>
  <si>
    <t>DONATION TO ENRIQUE CRUZ FOR HIS BURIAL EXPENSES QR: 0804220009</t>
  </si>
  <si>
    <t>Payment of Fidelity Bond Premium of Ms. Regine Mendoza of PTO</t>
  </si>
  <si>
    <t>Payment of Fidelity Bond of the Provincial Vice Governor</t>
  </si>
  <si>
    <t>Tokens to various calling on the Provincial Governor on various occasions &amp; purposes</t>
  </si>
  <si>
    <t>Printing Tarpaulin to be used during the conduct of Mangrove Development Program on May 4, 5, 6 and 18, 2022</t>
  </si>
  <si>
    <t>Printing of Tarpaulin to be used during the conduct of Bamboo Planting Activity at Hermosa Bataan on June 10, 2022</t>
  </si>
  <si>
    <t>Parts and labor for engine overhauling of Nissan Frontier XGL-405 of PEO owned by the PGB</t>
  </si>
  <si>
    <t>Lunch Meals for the Bunker's 2nd Quarter Fire and Earthquake Drill on 13 June 2022</t>
  </si>
  <si>
    <t>Cash advace for payment of registration fee and per diem attending 98th LVGP National Assembly and National Executive Meeting on Aug. 16-19, 2022</t>
  </si>
  <si>
    <t xml:space="preserve">Christina May T. Ferma </t>
  </si>
  <si>
    <t>Payment of her maternity leave for the period of July 1 - October 13, 2022</t>
  </si>
  <si>
    <t>Payment of salary for the month of June - July, 2022</t>
  </si>
  <si>
    <t xml:space="preserve">Higet Inc. </t>
  </si>
  <si>
    <t>Donation Higet inc. for their event Miss Gay Festival 2022 on August 12, 2022</t>
  </si>
  <si>
    <t xml:space="preserve">Elizabeth Bakery and Grocery </t>
  </si>
  <si>
    <t>1% retention for additional supply &amp; distribution of goods to Bataan Constituents as Tulong Mula sa Pamahalaan during COVID-19 pandemic</t>
  </si>
  <si>
    <t>Cash Advance Honorarium Re: Bataan EduChild Facilitators Training Seminar on August 18-19, 2022 at the Bataan Peninsula State University City of Balanga, Bataan</t>
  </si>
  <si>
    <t>Cash advnace for Parts and labor for the 135,000 km preventive maintenance check up of NISSAN URVAN NV350 NAO-4147 for the use of Mariveles District Hospital</t>
  </si>
  <si>
    <t>DONATION FOR THE HOSPITAL BILL OF VARIOUS CLIENT COVERING THE PERIOD OF JULY 25-29,2023</t>
  </si>
  <si>
    <t xml:space="preserve">Khalimah Handicrafts and Souvenirs </t>
  </si>
  <si>
    <t>Cash Prize Winner 1st Place on Micro Category for Non- Food Processing Galing! Bataan Awards Search for Most Outstanding MSMEs</t>
  </si>
  <si>
    <t xml:space="preserve">Tess Enterprise </t>
  </si>
  <si>
    <t>Cash Prize Winner 2nd Place on Micro Category for Food Processing Galing! Bataan Awards Search for Most Outstanding MSMEs</t>
  </si>
  <si>
    <t xml:space="preserve">Sembreak Lifestyle Clothing </t>
  </si>
  <si>
    <t>Cash Prize Winner 3rd Place on Micro Category for Food Processing Galing! Bataan Awards Search for Most Outstanding MSMEs</t>
  </si>
  <si>
    <t xml:space="preserve">Montey's Food Enterprise </t>
  </si>
  <si>
    <t xml:space="preserve">Terio's Food Products </t>
  </si>
  <si>
    <t xml:space="preserve">Haspi Furniture Shop </t>
  </si>
  <si>
    <t>Cash Prize Winner 2nd Place on Small Category for Non- Food Processing Galing! Bataan Awards Search for Most Outstanding MSMEs</t>
  </si>
  <si>
    <t xml:space="preserve">Jayken's Sports Bag </t>
  </si>
  <si>
    <t>Cash Prize Winner 1st Place on SmallCategory for Non- Food Processing Galing! Bataan Awards Search for Most Outstanding MSMEs</t>
  </si>
  <si>
    <t>Cash Prize Winner 2nd Place on Medium Category for Services, Retail and Trade and Agri-Based Category for Galing! Bataan Awards Search for Most Outstanding MSMEs</t>
  </si>
  <si>
    <t xml:space="preserve">MJT Hardware </t>
  </si>
  <si>
    <t>Cash Prize Winner 3rd Place on Small Category for Services, Retail and Trade and Agri-Based Category for Galing! Bataan Awards Search for Most Outstanding MSMEs</t>
  </si>
  <si>
    <t xml:space="preserve">Heart and Mind Computer Services and Copy Center </t>
  </si>
  <si>
    <t>Cash Prize Winner 1st Place on Small Category for Services, Retail and Trade and Agri-Based Category for Galing! Bataan Awards Search for Most Outstanding MSMEs</t>
  </si>
  <si>
    <t xml:space="preserve">Bagakeño Cashew Nuts and General Merchandise </t>
  </si>
  <si>
    <t>Cash Prize Winner 1st Place on Small Category for Food Processing Galing! Bataan Awards Search for Most Outstanding MSMEs</t>
  </si>
  <si>
    <t xml:space="preserve">Beakris House of Goodies </t>
  </si>
  <si>
    <t>Cash Prize Winner 2nd Place on Small Category for Food Processing Galing! Bataan Awards Search for Most Outstanding MSMEs</t>
  </si>
  <si>
    <t xml:space="preserve">Willy's Cashew Nuts </t>
  </si>
  <si>
    <t>Cash Prize Winner 3rd Runner up on Small Category for Food Processing Galing! Bataan Awards Search for Most Outstanding MSMEs</t>
  </si>
  <si>
    <t xml:space="preserve">Ramvel's Home Furnishing Shop </t>
  </si>
  <si>
    <t>Cash Prize Winner 1st Place on Medium Category for Services, Retail and Trade and Agri-Based Category for Galing! Bataan Awards Search for Most Outstanding MSMEs</t>
  </si>
  <si>
    <t xml:space="preserve">Arki's Cafe </t>
  </si>
  <si>
    <t>Cash Prize Winner 1st Place on Micro Category for Services, Retail and Trade and Agri-Based Category for Galing! Bataan Awards Search for Most Outstanding MSMEs</t>
  </si>
  <si>
    <t xml:space="preserve">Earth 28 Cafe </t>
  </si>
  <si>
    <t>Cash Prize Winner 2nd Place on Micro Category for Services, Retail and Trade and Agri-Based Category for Galing! Bataan Awards Search for Most Outstanding MSMEs</t>
  </si>
  <si>
    <t xml:space="preserve">Reck's Auto Detailing </t>
  </si>
  <si>
    <t>Cash Prize Winner 3rd Place on Micro Category for Services, Retail and Trade and Agri-Based Category for Galing! Bataan Awards Search for Most Outstanding MSMEs</t>
  </si>
  <si>
    <t xml:space="preserve">Gloria's Delicacies </t>
  </si>
  <si>
    <t>Cash Prize Winner 1st Place on Micro Category for Food Processing Galing! Bataan Awards Search for Most Outstanding MSMEs</t>
  </si>
  <si>
    <t>Payment of Electrical Consumption for the period of June, 2022</t>
  </si>
  <si>
    <t xml:space="preserve">Imaflora's Pamangan </t>
  </si>
  <si>
    <t>Cash Prize Winner 2nd Place on Small Category for Services, Retail and Trade and Agri-Based Category for Galing! Bataan Awards Search for Most Outstanding MSMEs</t>
  </si>
  <si>
    <t>Replenishment of Revolving Fund for payment of donation to indigent constituents from Province of Bataan (AUGUST 10-11)</t>
  </si>
  <si>
    <t xml:space="preserve">Lord Be Sport Shirt and Enterprises </t>
  </si>
  <si>
    <t>Cash Prize Winner 3rd Place on Small Category for Food Processing Galing! Bataan Awards Search for Most Outstanding MSMEs</t>
  </si>
  <si>
    <t xml:space="preserve">R-Dee P. Diones </t>
  </si>
  <si>
    <t>Donation for attending a training course about problem management plus (PM+) in Vietnam on August 7-15, 2022</t>
  </si>
  <si>
    <t xml:space="preserve">Amanda's Marine Products </t>
  </si>
  <si>
    <t>Cash Prize Winner 1st Place on Medium Category for Food Processing Galing! Bataan Awards Search for Most Outstanding MSMEs</t>
  </si>
  <si>
    <t>Payment of Insurance of ten (10) units service vehicle owned by PGB</t>
  </si>
  <si>
    <t>Payment of Insurance of fourteen (14) units service vehicle owned by PGB</t>
  </si>
  <si>
    <t>Payment of Insurance of Eight (8) ubits service vehicle owned by PGB</t>
  </si>
  <si>
    <t>Payment of Insurance of one (1) units service vehicle owned by the PGB</t>
  </si>
  <si>
    <t>Payment of Insurance of fifteen (15) units service vehicle owned by PGB</t>
  </si>
  <si>
    <t>Cash Prize Winner 3rd Place on Medium Category for Services, Retail and Trade and Agri-Based Category for Galing! Bataan Awards Search for Most Outstanding MSMEs</t>
  </si>
  <si>
    <t>Payment of Telephone and Internet bill for the PHO (AIGUST 6 - SEPTEMBER 5, 2022)</t>
  </si>
  <si>
    <t>Cash advance for the expensess for the capacity development workshop on the population and development programs</t>
  </si>
  <si>
    <t>Fuel on different service vehicle used by PDRRMO July 4-10, 2022</t>
  </si>
  <si>
    <t>Materials for the Repair and Maintenance of Vaccination Area at Provincial Health Office</t>
  </si>
  <si>
    <t>Supplies to be use during the conduct of PSYCHOSOCIAL TRAINING on JUNE 22, 23 and 24, 2022, at 1 Bataan Training Center, Orani, Bataan</t>
  </si>
  <si>
    <t>Office supplies and materials to be used during the conduct of First Aid and Basic Life Support Training on July 19-22, 2022 at 1Bataan Command Center Orani Bataan</t>
  </si>
  <si>
    <t>Heating and welding purposes of Welder of Motorpool Division of Provincial Engineers Office</t>
  </si>
  <si>
    <t>Additional materials for the installation of electrical wirings and fittings for the electric supply of Uninterruptible Power Source of Mariveles District Hospital</t>
  </si>
  <si>
    <t>Replacement of one (1) pc 3SM battery for Toyota Innova SHJ-718 c/o PG-ENRO</t>
  </si>
  <si>
    <t>RISO INK and RISO MASTER for the use of PGSO</t>
  </si>
  <si>
    <t>Assorted vegetables products for the consumption of inmates of Bataan District Jail within the period of July 16-31, 2022</t>
  </si>
  <si>
    <t>Assorted vegetables products for the consumption of inmates of Bataan District Jail within the period of July 1-15, 2022</t>
  </si>
  <si>
    <t xml:space="preserve">Panco Medical Trading, Inc. </t>
  </si>
  <si>
    <t>Antigen test kit to be used during the conduct of First Aid and Basic Life Support Training on July 19-22, 2022 at 1Bataan Command Center Orani Bataan</t>
  </si>
  <si>
    <t>Fuel on different service vehicle used by PIO, Tourism &amp; PDRRMO July 18-24, 2022</t>
  </si>
  <si>
    <t>Parts and Labor for repair of airconditioning system of Isuzu Jitney Van SHP-848</t>
  </si>
  <si>
    <t xml:space="preserve">Crown Royal Hotel and Resort Corporation </t>
  </si>
  <si>
    <t>Accommodation for representative / staff &amp; RD of PRC (Professional Regulation Commission) Mobile Services for the Professionals of Bataan on July 15 &amp; 16, 2022 at 1BOSSCO, 2nd Flr. The Bunker Bldg. Provincial Capitol, Balanga City, Bataan</t>
  </si>
  <si>
    <t>Replacement of new battery for old generator set of JPMH, Dinalupihan Bataan</t>
  </si>
  <si>
    <t>Payment of fuel consumption for the period of June 18-24, 2022 (MBDA)</t>
  </si>
  <si>
    <t>Petty cash fund replenishment for Aug 8-12, 2022</t>
  </si>
  <si>
    <t>Replenishment for market purchase of MDH for the period of July 17-26, 2022</t>
  </si>
  <si>
    <t>Replenishment of Incidental expenses and Daily Market purchase of BCMH from July 16-31, 2022</t>
  </si>
  <si>
    <t>Fuel on different service vehicle used by PNP, Tourism &amp; PDRRMO July 11-17, 2022</t>
  </si>
  <si>
    <t>Payment of fuel consumption for the period of June 18-24, 2022 (BCMH)</t>
  </si>
  <si>
    <t>Reimbursement of the amount paid for fuel consumption of the government vehicle Ford Everest IO 8925 for the month of July 2022</t>
  </si>
  <si>
    <t>Payment for corona stand as a gesture of Respect, Condolences and Sympathy to the bereaved family of the deceased in the Province of Bataan for the month of July, 2022</t>
  </si>
  <si>
    <t>DONATION FOR THE HOSPITAL BILL OF VARIOUS CLIENT COVERING THE PERIOD AUGUST 1-5,2022</t>
  </si>
  <si>
    <t>DONATION FOR THE HOSPITAL BILL OF VARIOUS CLIENT COVERING THE PERIOD AUGUST 2, 2022</t>
  </si>
  <si>
    <t>DONATION FOR THE HOSPITAL BILL OF VARIOUS CLIENT COVERING THE PERIOD AUGUST 1-2,2022</t>
  </si>
  <si>
    <t xml:space="preserve">Leonora P. Dela Luna </t>
  </si>
  <si>
    <t>DONATION TO MUSSOLINI SR. DELA LUNA FOR HIS BURIAL EXPENSES QR: 0808220010</t>
  </si>
  <si>
    <t xml:space="preserve">John Kyle M. Velasco </t>
  </si>
  <si>
    <t>DONATION TO MARITES VELASCO FOR HER HOSPITAL BILL QR: 0808220011</t>
  </si>
  <si>
    <t xml:space="preserve">Valerie D. Pelayo </t>
  </si>
  <si>
    <t>DONATION TO LOUIZA KRISTINA PELAYO FOR HER HOSPITAL BILL QR: 0808220002</t>
  </si>
  <si>
    <t xml:space="preserve">Elias R. Del Rosario </t>
  </si>
  <si>
    <t>DONATION TO ELENA DEL ROSARIO FOR HER HOSPITAL BILL QR: 0729220001DIN</t>
  </si>
  <si>
    <t xml:space="preserve">Janice P. Sumandal </t>
  </si>
  <si>
    <t>DONATION TO JONATHAN SUMANDAL FOR HIS MEDICAL NEEDS QR: 0808220004</t>
  </si>
  <si>
    <t xml:space="preserve">Christian Adrian V. Dimarucut </t>
  </si>
  <si>
    <t>DONATION TO CLIENT FOR HIS MEDICAL NEEDS QR: 0808220009</t>
  </si>
  <si>
    <t xml:space="preserve">Daniel Roy R. Quintana </t>
  </si>
  <si>
    <t>DONATION TO EDUARDO QUINTANA FOR HIS MEDICAL NEEDS QR: 0805220003DIN</t>
  </si>
  <si>
    <t>DONATION TO JASON ROY LUMBRE FOR HIS MEDICAL NEEDS QR: 0808220007</t>
  </si>
  <si>
    <t xml:space="preserve">Khristine M. Mariano </t>
  </si>
  <si>
    <t>DONATION TO KIT JON MARIANO FOR HIS MEDICAL NEEDS QR: 0805220002PCDIN</t>
  </si>
  <si>
    <t xml:space="preserve">Jay C. Ambita </t>
  </si>
  <si>
    <t>DONATION TO CLIENT FOR HIS BURIAL EXPENSES QR: 0808220001</t>
  </si>
  <si>
    <t xml:space="preserve">Andrew V. Fajardo </t>
  </si>
  <si>
    <t>DONATION TO CLIENT FOR HIS HOSPITAL BILL AND MEDICAL NEEDS QR: 0808220005</t>
  </si>
  <si>
    <t xml:space="preserve">Ron Joel B. Paragatos </t>
  </si>
  <si>
    <t>DONATION TO CLIENT FOR HIS MEDICAL NEEDS QR: 0808220012</t>
  </si>
  <si>
    <t xml:space="preserve">Amie A. Amio </t>
  </si>
  <si>
    <t>DONATION TO MILAGROS ADRANEDA FOR HER MEDICAL NEEDS QR: 0804220001</t>
  </si>
  <si>
    <t xml:space="preserve">Piolo B. Mendoza </t>
  </si>
  <si>
    <t>DONATION TO JEANETTE MENDOZA FOR HER BURIAL EXPENSES QR: 0809220002</t>
  </si>
  <si>
    <t xml:space="preserve">Michelle D. Leaño </t>
  </si>
  <si>
    <t>DONATION TO ALEXANDER LEAñO FOR HIS BURIAL EXPENSES QR: 0809220011</t>
  </si>
  <si>
    <t xml:space="preserve">Raymund M. Riñosa </t>
  </si>
  <si>
    <t>DONATION TO RAYMOND RIñOSA FOR HIS HOSPITAL BILL QR: 0809220003</t>
  </si>
  <si>
    <t xml:space="preserve">Dave R. Baluyot </t>
  </si>
  <si>
    <t>DONATION TO SHEENA JAIRA BALUYOT AND LUCIA CLAIRE BALUYOT FOR THEIR HOSPITAL BILL QR: 0809220018</t>
  </si>
  <si>
    <t xml:space="preserve">Yolanda V. Cuadra </t>
  </si>
  <si>
    <t>DONATION TO CLIENT FOR HER HOSPITAL BILL QR: 0809220009</t>
  </si>
  <si>
    <t xml:space="preserve">Josephine R. Lisanin </t>
  </si>
  <si>
    <t>DONATION TO MAE GLADYS ANDEN AND ADONAI LISANIN FOR THEIR HOSPITAL BILLS QR: 0809220006</t>
  </si>
  <si>
    <t xml:space="preserve">Emilyn M. Guzman </t>
  </si>
  <si>
    <t>DONATION TO EMILY GUZMAN FOR HER PROFESSIONAL FEE AND MEDICAL NEEDS QR: 0809220001</t>
  </si>
  <si>
    <t>DONATION TO MEDENCIA TUAZON FOR HER MEDICAL NEEDS QR: 0809220007</t>
  </si>
  <si>
    <t>Replenishment of Revolving Fund for payment of donation to indigent constituents from Province of Bataan (August 12-15)</t>
  </si>
  <si>
    <t>Venue preparation for 2022 Galing! Bataan Awards Search for Most Outstanding Micro, Small and Medium Enterprises on July 29, 2022</t>
  </si>
  <si>
    <t>Reimbursement of Meals during coutesy visit benchmarking of Quezon</t>
  </si>
  <si>
    <t>AM &amp; Lunch to be served in the Fisheries &amp; Aquatic Resources Management Council (FARMC) meeting to be held on July 27, 2022 at Wawa, Abucay, Bataan</t>
  </si>
  <si>
    <t>Snack &amp; Lunch to be served in the Municipal Agricultural Biosystem Engineering Coordinator's Meeting to be held on July 27, 2022 at Pantingan, Pilar, Bataan</t>
  </si>
  <si>
    <t>Printing of Postal Registry Return Card for use in the Provincial Treasurer's Office</t>
  </si>
  <si>
    <t>Parts &amp; Labor for 195 km of preventive maintenance check up and Resurface of both front rotor, wheel balancing rotation for A4 R620 Toyota Ambulance of Jose Payumo Memorial Hospital, Dinalupihan, Bataan</t>
  </si>
  <si>
    <t xml:space="preserve">Ester T. Domingo </t>
  </si>
  <si>
    <t>Honorarium of Performer during 2022 Galing! Bataan Awards Search for Most Outstanding MSMEs.</t>
  </si>
  <si>
    <t>Payment of fuel consumption for the period of July 25-31, 2022 (BCMH)</t>
  </si>
  <si>
    <t>Payment of fuel consumption for the period of June 18-24, 2022 (COA)</t>
  </si>
  <si>
    <t>Payment for the internet subscription for the period covered from August 1-31, 2022</t>
  </si>
  <si>
    <t>Payment of Water Bill in 1Bataan Housing Showroom Mariveles for the month of July and August, 2022</t>
  </si>
  <si>
    <t>Payment of fuel consumption for the period of June 11-17, 2022 (PEO)</t>
  </si>
  <si>
    <t>Parts and Labor for Preventive Maintenance for 110,000km check up of Toyota Innova A4U-964 of PCEDO service</t>
  </si>
  <si>
    <t xml:space="preserve">Engr. Alexander M. Baluyot </t>
  </si>
  <si>
    <t>Advance payment of registration fee and per diem for the period of August 24-26, 2022</t>
  </si>
  <si>
    <t>Reimbursement of the amount paid for fuel consumption of the government vehicle Hyundai Starex MU 8265 for the month of July, 2022</t>
  </si>
  <si>
    <t>Reimbursement of the amount paid for fuel consumption of the government vehicle Ford Everest IP 0189 for the month of June 2022</t>
  </si>
  <si>
    <t>Reimbursement of the amount paid for fuel consumption of the government vehicle Ford Everest IP 0800 for the month of July 2022</t>
  </si>
  <si>
    <t>Reimbursement of the amount paid for fuel consumption of the government vehicle Ford Everest IP 0816 for the month of June 2022</t>
  </si>
  <si>
    <t>Reimbursement of gasoline expenses of JPMH for the period from July 21-31, 2022</t>
  </si>
  <si>
    <t>Fuel on different service vehicle used byBJMP Male &amp; PHO July 18-24, 2022</t>
  </si>
  <si>
    <t>Payment of water expense of BCMH for the month of July - August, 2022</t>
  </si>
  <si>
    <t>Payment of Internet Subscription of ODH with acct# 0020200386215 for the billing period August 1-31,2022</t>
  </si>
  <si>
    <t>Fuel on different service vehicle used by PPDO &amp; PTO July25-31, 2022</t>
  </si>
  <si>
    <t>Payment of Blood Units for NBB Patients of JPMH for the period from February, 2022</t>
  </si>
  <si>
    <t xml:space="preserve">Myrna V. Magtulis </t>
  </si>
  <si>
    <t xml:space="preserve">May B. Calucag </t>
  </si>
  <si>
    <t>DONATION TO TITO CALUCAG FOR HIS BURIAL EXPENSES</t>
  </si>
  <si>
    <t xml:space="preserve">Clariza D. Dominguez </t>
  </si>
  <si>
    <t>DONATION TO BERNARD DOMINGUEZ FOR HIS BURIAL EXPENSES</t>
  </si>
  <si>
    <t xml:space="preserve">Kristine B. Ragasa </t>
  </si>
  <si>
    <t>DONATION TO CARIDAD BLANCO FOR HER BURIAL EXPENSES</t>
  </si>
  <si>
    <t xml:space="preserve">Marilou P. Hernandez </t>
  </si>
  <si>
    <t>DONATION TO ERNESTO HERNANDEZ FOR HIS HOSPITAL BILL</t>
  </si>
  <si>
    <t xml:space="preserve">Ludina N. Manrique </t>
  </si>
  <si>
    <t>DONATION TO DENICE LOUISE MANRIQUE FOR HER HOSPITAL BILL</t>
  </si>
  <si>
    <t xml:space="preserve">Jay A. Reyes </t>
  </si>
  <si>
    <t>DONATION TO JUAN REYES FOR HIS HOSPITAL BILL</t>
  </si>
  <si>
    <t xml:space="preserve">Jocelyn I. Sambas </t>
  </si>
  <si>
    <t>DONATION TO RAZMHEL SAMBAS AND CEDRIC GHIAN SAMBAS FOR THEIR HOSPITAL BILL</t>
  </si>
  <si>
    <t xml:space="preserve">Diana Mae Ann S. Dacanay </t>
  </si>
  <si>
    <t xml:space="preserve">Medencia M. Labinghisa </t>
  </si>
  <si>
    <t>Fuel on different service vehicle used by OPA, BJM-female, PNP, SOCO, PCEDO, PGNERO &amp; VET July 18-24, 2022</t>
  </si>
  <si>
    <t>Printing of Tarpaulin to be used during the conduct of Tree Planting Activity for Bataan Arbor Day Celebration at Duale Limay Bataan on June 25, 2022</t>
  </si>
  <si>
    <t>LUNCH, SNACK (AM and PM) to be served during the conduct of PSYCHOSOCIAL TRAINING on JUNE 22, 23 and 24, 2022, at 1 Bataan Training Center, Orani, Bataan</t>
  </si>
  <si>
    <t>Cash Advance fpr various obligation</t>
  </si>
  <si>
    <t>Telephone expenses of various offices for July 17-Sept 17, 2022</t>
  </si>
  <si>
    <t xml:space="preserve">Philippine Academy of Technical Studies, Inc. </t>
  </si>
  <si>
    <t>Payment of scholarship grant of 50 students for 1st semester of school year 2021 - 2022 of the Iskolar ng Bataan program of the PGB</t>
  </si>
  <si>
    <t>Payment of Electric bill of 1Bataan Command Center, Orani For the month of July, 2022</t>
  </si>
  <si>
    <t>Payment of fuel consumption for the period of July 18-24, 2022 (PGSO) SHP-848</t>
  </si>
  <si>
    <t>DONATION TO MARIA DIVINA BANTUGAN FOR HER BURIAL EXPENSES QR: 0812220017</t>
  </si>
  <si>
    <t>To provide venue, snacks and meals for the Philippine Moral Transformation namely: "Bawat Tahanan Sambahan, Gabay sa Bayan, Gabay sa Barangay; and Gabay sa Bagong Buhay" on June 17, 2022</t>
  </si>
  <si>
    <t>Payment of honorarium for the month of July 2022</t>
  </si>
  <si>
    <t>Payment of Honorarium for the month of July 2022</t>
  </si>
  <si>
    <t xml:space="preserve">Renaly Ignacio </t>
  </si>
  <si>
    <t>Donation for and in behalf of the deceased Barangay Tanod Romy I. Laureano of Barangay San Jose, Balanga City Bataan</t>
  </si>
  <si>
    <t>Payment for renewal of Fidelity Bond of Provincial Tourism Office Alicia D. Pizarro</t>
  </si>
  <si>
    <t>Payment of Internet Connection for the period of July 30 to August 29, 2022</t>
  </si>
  <si>
    <t>Payment of Water Bill of Bataan Tricycle terminal, Balanga City for the month of July, 2022</t>
  </si>
  <si>
    <t>Payment of Water bill for Charlie Company, Balanga City for the month of June and July, 2022</t>
  </si>
  <si>
    <t>Payment of Water Bill of 1Bataan Malasakit Dialysis Center for the month of July 2022</t>
  </si>
  <si>
    <t>Payment of Plan 300 for employees assigned as monitoring gathering, and analysing Covid 2019 related data in the Province of Bataan Covering Period for the month of July 2022</t>
  </si>
  <si>
    <t>Payment of Insurance for One (1) Unit service vehicle owned by PGB</t>
  </si>
  <si>
    <t>Payment of Water Bill of MDH for the month of May and June, 2022</t>
  </si>
  <si>
    <t>Payment of Rental of 1 unit 25 KVA transformer of MBDA Satellite Office for the month of August 2022</t>
  </si>
  <si>
    <t>ASH ADVANCE FOR CONFIDENTIAL EXPENSES FOR THE PERIOD SEPTEMBER 1-30,2022</t>
  </si>
  <si>
    <t>Reimbursement of gasoline, oil and lubricants expenses of ODH Ambulance with Plate No. F4D127 from April 16-30, 2022</t>
  </si>
  <si>
    <t>Cash Advance for honorarium re: Seminar on Multi Disciplinary Approach on Anti-Trafficking in Person and Violence againts women and their Children on Sep1-2, 2022</t>
  </si>
  <si>
    <t>Payment of maternity leave</t>
  </si>
  <si>
    <t>Reimbursement of Cash Prizes and Honorarium Re: PAG ASA YOUTH ASSOCIATION OF THE PHILIPS. YOUTH CONGRESS dated August 17, 2022</t>
  </si>
  <si>
    <t xml:space="preserve">Antonio B. Roman III </t>
  </si>
  <si>
    <t>Reimbursement of the amount paid for fuel consumption of the government vehicle Ford Everest IP 0770 for the month of July 2022</t>
  </si>
  <si>
    <t>Snacks for Beneficiaries of the PGB Medical Assistance Program Implementation on July 1, 2022</t>
  </si>
  <si>
    <t>Snacks for Beneficiaries of the PGB Medical Assistance Program Implementation on June 24, 2022</t>
  </si>
  <si>
    <t>Reimbursement of her expenses incurred in the payment of Documentary Stamp and Certification fee of Thirty Three (33) Titles Donated to PGB</t>
  </si>
  <si>
    <t>DONATION TO LORENA FABIAN FOR HER BURIAL EXPENSES QR: 0816220013</t>
  </si>
  <si>
    <t xml:space="preserve">Jose R. Salaria Jr. </t>
  </si>
  <si>
    <t>Refund of loan amortization August 2022 QR: 0816220012</t>
  </si>
  <si>
    <t xml:space="preserve">May S. Salindong </t>
  </si>
  <si>
    <t>DONATION TO MARLON SALAZAR FOR HIS HOSPITAL BILL QR: 0816220020</t>
  </si>
  <si>
    <t xml:space="preserve">Minalene M. Gregorio </t>
  </si>
  <si>
    <t>DONATION TO JAYRUS GREGORIO FOR HIS MEDICAL NEEDS QR: 0816220016</t>
  </si>
  <si>
    <t xml:space="preserve">Mary Grace J. Oronce </t>
  </si>
  <si>
    <t>DONATION TO IMELDA ORENCE FOR HER MEDICAL NEEDS QR: 0815220006</t>
  </si>
  <si>
    <t xml:space="preserve">Sarvy S. Salenga </t>
  </si>
  <si>
    <t>DONATION CHARITO VIRAY FOR HER HOSPITAL BILL QR: 081022001DIN</t>
  </si>
  <si>
    <t xml:space="preserve">Francia D. Atanacio </t>
  </si>
  <si>
    <t>DONATION TO MARYDETH ATANACIO FOR HER BURIRAL EXPENSES QR: 0816220015</t>
  </si>
  <si>
    <t xml:space="preserve">Kevin Charles S. Salazar </t>
  </si>
  <si>
    <t>DONATION TO SEVERINO SALAZAR FOR HIS MEDICAL NEEDS QR: 0816220018</t>
  </si>
  <si>
    <t xml:space="preserve">Hannie C. Flores </t>
  </si>
  <si>
    <t>DONATION TO FERNANDO JR. FLORES FOR HIS HOSPITAL BILL QR: 0816220019</t>
  </si>
  <si>
    <t>Payment of fuel consumption for the period of July 13-19, 2022 (MDH)</t>
  </si>
  <si>
    <t>Fuel on different service vehicle used by BJMP-Male July 11-17, 2022</t>
  </si>
  <si>
    <t>Payment of fuel consumption for the period of July 04-10, 2022 (PPDO)</t>
  </si>
  <si>
    <t>Payment of fuel consumption for the period of July 18-24, 2022 (LEGAL)</t>
  </si>
  <si>
    <t>Payment of fuel consumption for the period of July 25 to August 7, 2022 (COA)</t>
  </si>
  <si>
    <t>Payment of fuel consumption for the period of July 11-17, 2022 (PGSO) A9W-631</t>
  </si>
  <si>
    <t xml:space="preserve">TEchmart Corporation </t>
  </si>
  <si>
    <t>Fuel on different service vehicle used by PPDO &amp; BJMP-Female July 11-17, 2022</t>
  </si>
  <si>
    <t>Payment of fuel consumption for the period of July 18-24, 2022 (PGSO) A9W-631</t>
  </si>
  <si>
    <t>Payment of fuel consumption for the period of July 25-31, 2022 (PEO)</t>
  </si>
  <si>
    <t>Fuel on different service vehicle used by PIO, PNP, BJMP-FeMale, PDRRMO &amp; PHO for July 25-31, 2022</t>
  </si>
  <si>
    <t>Payment of fuel consumption for the period of June 20-26, 2022 (MDH)</t>
  </si>
  <si>
    <t>Payment of Insurance for Eight (8) unit service vehicles owned by PGB</t>
  </si>
  <si>
    <t xml:space="preserve">Lyndon B. Manuel </t>
  </si>
  <si>
    <t>Donation to United Magic Group of Guardians INC. For the request of chairs and table tao be used for their 3rd Founding Anniversary and Various activities</t>
  </si>
  <si>
    <t>Payment for Mobile Expenses for the Covered Period of July 1-31, 2022 (#1057156186)</t>
  </si>
  <si>
    <t>Payment for Mobile Expenses for the Covered Period of July 1-31, 2022 (#0800283558)</t>
  </si>
  <si>
    <t>Payment for Mobile Expenses for the Covered Period of July 1-31, 2022(#1057146687)</t>
  </si>
  <si>
    <t>Reimbursement re: Samahan ng Taong may kapansanan sa bataan, CBR. Inc. (SATAMAKABA) Transportation Allowance in their attendance to the Regular Meeting dated August 11, 2022</t>
  </si>
  <si>
    <t>Payment for the renewal of subscription and upgrade of the Bataan website (Bataan.gov. ph)</t>
  </si>
  <si>
    <t>Reimbursement of Parts and labor for the replacement of turbo hose of Ford Everest IP - 0189 c/o BM Maria Margarita R. Roque</t>
  </si>
  <si>
    <t>Meals and Snack to be served during the conduct of First Aid and Basic Life Support Training on july 19-22, 2022 at 1Bataan Command Center Orani Bataan</t>
  </si>
  <si>
    <t>Replacement of Heavy Duty 3SM Battery for the used of MBDA service vehicle P0Z302, VU0468, P1P503, P1K862, P1D122</t>
  </si>
  <si>
    <t>Replenishment of revolving fund for payment of donations of indigents constituents in the province of Bataan (August 26 &amp; 30, 2022)</t>
  </si>
  <si>
    <t xml:space="preserve">John Christohper V. Gonzales </t>
  </si>
  <si>
    <t>DONATION TO CARMENIA GONZALES FOR HER BURIAL EXPENSES</t>
  </si>
  <si>
    <t>Payment of his twenty five (25) days monetized leave credits</t>
  </si>
  <si>
    <t xml:space="preserve">Neil Jonathan R. Pantaleon </t>
  </si>
  <si>
    <t>DONATION TO LUZVIMINDA PANTALEON FOR HER HOSPITAL BILL</t>
  </si>
  <si>
    <t xml:space="preserve">Julie L. Manuel </t>
  </si>
  <si>
    <t>DONATION TO CHITO MANUEL FOR HIS HOSPITAL BILL</t>
  </si>
  <si>
    <t xml:space="preserve">Necita C. Mckechnie </t>
  </si>
  <si>
    <t>DONATION TO MALCOLM MCKECHNIE FOR HIS HOSPITAL BILL</t>
  </si>
  <si>
    <t xml:space="preserve">Benly G. Bautista </t>
  </si>
  <si>
    <t>DONATION TO TERESITA DILIG FOR HER HOSPITAL BILL AND MEDICAL NEEDS</t>
  </si>
  <si>
    <t xml:space="preserve">Ervin Vijay M. Cruz </t>
  </si>
  <si>
    <t>DONATION TO DAPHNE DANE CRUZ FOR HER HOSPITAL BILL</t>
  </si>
  <si>
    <t xml:space="preserve">Marilou M. Francisco </t>
  </si>
  <si>
    <t>DONATION TO CRISTINA MANLUTAC FOR HER MEDICAL NEEDS</t>
  </si>
  <si>
    <t xml:space="preserve">Reynaldo E. Medina </t>
  </si>
  <si>
    <t>DONATION TO RICARDO MEDINA FOR HIS MEDICAL NEEDS</t>
  </si>
  <si>
    <t xml:space="preserve">Aralyn D. Arellano </t>
  </si>
  <si>
    <t xml:space="preserve">Ramiro G. Sumanga </t>
  </si>
  <si>
    <t>DONATION TO VIRGINIA SUMANGA FOR HER MEDICAL NEEDS</t>
  </si>
  <si>
    <t xml:space="preserve">Jamil T. Dela Cruz </t>
  </si>
  <si>
    <t>DONATION TO MARIA OLIVIA COMBO FOR HER HOSPITAL BILL</t>
  </si>
  <si>
    <t>Payment of Room Accommodation for the Guest of Gov. Abet from supreme court last March 18-19, 2022</t>
  </si>
  <si>
    <t xml:space="preserve">Sahar Int'l Trading Inc. </t>
  </si>
  <si>
    <t>PMS 40,000 KM AND CHECK UP OF THE SAID VEHICLE ASSIGNED TO THE OFFICE OF THE GOVERNOR TOYOTA HIACE SG ELITE WITH CONDUCTION STICKER S2Q007</t>
  </si>
  <si>
    <t>Parts and labor for the replacement of water pump assy &amp; tie rod rack end of Toyota Hiace Commuter Van VQ9940 of SOCO owned by Provincial Government of Bataan</t>
  </si>
  <si>
    <t>REPLACE THE DEFECTIVE OF THE SAID VEHICLE ASSIGNED TO THE OFFICE OF THE GOVERNOR TOYOTA HIACE COMMUTER WITH CONDUCTION STICKER VR0088</t>
  </si>
  <si>
    <t>Parts &amp; Labor for the 50,000 km preventive maintenance Toyota Hilux FX S0S287 of MBDA owned the Provincial Government of Bataan</t>
  </si>
  <si>
    <t>Parts and labor for 100,000 km preventive maintenance check-up of Toyota Hilux WA8105 of PEO owned by the Provincial Government of Bataan</t>
  </si>
  <si>
    <t>Parts &amp; Labor for the repair &amp; replacement of defective parts of Toyota Hilux VU0468 of MBDA owned by the Provincial Government of Bataan</t>
  </si>
  <si>
    <t>Parts &amp; Labor for the Replacement of (FOUR) 4pcs Tires and other defective parts of Toyota Hilux A1U268 of MBDA owned by the Provincial Government of Bataan</t>
  </si>
  <si>
    <t>0 AND VARIOUS CONDUCTION OWNED BY THE PROVINCIAL GOVERNMENT OF BATAAN</t>
  </si>
  <si>
    <t>Preventive Maintenance for 210,000 km check-up of Toyota Hiace GL Grandia Ambulance of ODH</t>
  </si>
  <si>
    <t>Replacement of two (2) pcs 2SM Battery for 4DW/4DX Series Diesel Generator for the use of Bagac Community and Medicare Hospital</t>
  </si>
  <si>
    <t>1 piece of adapter for the use of Bataan PPP and Investment Center</t>
  </si>
  <si>
    <t>Replacement of defective starter assembly, wiper blade and alternator assembly for Toyota Innova SJA-837 of PEO owned by the Provincial Government of Bataan</t>
  </si>
  <si>
    <t>Replacement of defective two (2) pcs 2D battery of Road Grader LG2H and Boom Truck of PEO owned by the Provincial Government of Bataan</t>
  </si>
  <si>
    <t xml:space="preserve">Guiyab Auto Supply </t>
  </si>
  <si>
    <t>Replacement of Radiator assembly to Isuzu Elf SJA-707 of PEO owned by the Provincial Government of Bataan</t>
  </si>
  <si>
    <t>Printing of Tarpaulin to be used in the Celebration of the 44th National Disability Prevention &amp; Rehabilitation (NDPR) Week on July 21, 2022</t>
  </si>
  <si>
    <t>Preventive maintenance for 100,000 km check - up, replacement of disc pad and complete alignment of Ford Everest IO-9547 c/o BM Jose C. Villapando, Sr.</t>
  </si>
  <si>
    <t>Replacement of defective fuel pump, power relay and turn signal switch of FB L-300 SHS-653 of PEO owned by the Provincial Government of Bataan</t>
  </si>
  <si>
    <t>Labor and Materials for the Rehabilitation of Canal, Brgy. San Isidro, Mariveles, Bataan</t>
  </si>
  <si>
    <t>For Repair of Anesthesia Machine/ Vaporizer for the use of Jose C. Payumo Jr. Memorial Hospital, Dinalupihan, Bataan</t>
  </si>
  <si>
    <t>Special test reagents of laboratory for the use of Jose Payumo Jr Memorial Hospital, Dinalupihan, Bataan</t>
  </si>
  <si>
    <t>Trolley for the use of PHRMO</t>
  </si>
  <si>
    <t>Rental of Seat Cover for the Mass Oath Taking Ceremony on June 29, 2022</t>
  </si>
  <si>
    <t>Parts &amp; labor for 5,000 kms preventive maintenance check up of Toyota Ambulance donated by PCSO with Conduction No S2Z404 for Jose C Payumo Jr Memorial Hospital</t>
  </si>
  <si>
    <t>Anti-Rabies Serum to be used for the PHO-Rabies Prevention and Control Program</t>
  </si>
  <si>
    <t>Replacement of Motor blower and micro filter of Toyota Hilux A8I896 c/o PDRRMO</t>
  </si>
  <si>
    <t>PMS for 100,000 km and check up of the vehicle assigned to the office of the governor toyota innova with plate number a5n033</t>
  </si>
  <si>
    <t>Repair of airconditioning system of ISUZU JITNEY VAN SHP - 848 c/o PGSO</t>
  </si>
  <si>
    <t>Printing of Tarpaulin to be used for Provincial Celebration of Day Care Workers Week June 07, 2022</t>
  </si>
  <si>
    <t xml:space="preserve">Panco Medical Trading </t>
  </si>
  <si>
    <t>Vaccine for the use of laboratory &amp; dialysis staff of Jose C Payumo Jr Memorial Hospital, Dinalupihan, Bataan</t>
  </si>
  <si>
    <t>Parts &amp; Labor for the 235,000 km preventive maintenance Toyota Hilux P1P503 of MBDA owned by the Provincial Government of Bataan</t>
  </si>
  <si>
    <t xml:space="preserve">Wyn's Gen Manpower Services &amp; Enterprises Co. </t>
  </si>
  <si>
    <t>Emergency Purchase of Four(4) Tire of the Vehicle Assigned to the Office of the Governor Toyota Innova with plate number SJG-485</t>
  </si>
  <si>
    <t>Security Services rendered by 72 security guards deployed at Capitol Compound for City of Balanga Bataan for July 1-31, 2022</t>
  </si>
  <si>
    <t>Labor and Materials for the Concreting of Road, Brgy. Camachile, Orion, Bataan (EAS) (20% DF)</t>
  </si>
  <si>
    <t>Labor and Materials for Concreting of Road Brgy. Binaritan, Morong, Bataan (EAS) (20% DF)</t>
  </si>
  <si>
    <t>Emergency purchase the defective parts of the vehicle assigned to the office of the governor Toyota Innova with Plate number SLB-225</t>
  </si>
  <si>
    <t>Parts and labor for 60,000 km preventive maintenance check-up of Toyota Hilux A2E407 of PNP owned by the PGB</t>
  </si>
  <si>
    <t>Snacks for the Committee Meeting on Public Information of Sangguniang Panlalawigan on August 5, 2022</t>
  </si>
  <si>
    <t>Parts and labor for 120,000 km check-up and change oil of Ford Everest IO - 4973 c/o BM Edgardo P. Calimbas</t>
  </si>
  <si>
    <t>Meals for the Regular Session of Sangguniang Panlalawigan on July 18, 2022</t>
  </si>
  <si>
    <t>Meals for the meetings of different Committees of Sangguniang Panlalawigan on July 27, 2022</t>
  </si>
  <si>
    <t>Meals for the Regular Session of Sangguniang Panlalawigan on August 01, 2022</t>
  </si>
  <si>
    <t>Meals for the meetings of different Committees of Sanguniang Panlalawigan on August 03, 2022</t>
  </si>
  <si>
    <t>Meals for the SK Regular Session on July 29, 2022</t>
  </si>
  <si>
    <t>Materials needed for fabrication of Heavy Duty Steel Trolley Flatform for the used of Motorpool Division of PEO</t>
  </si>
  <si>
    <t>Tire replacement for the use of the Provincial Assessor's Office. Nissan Urvan SLB-344</t>
  </si>
  <si>
    <t>Replacement of Heavy Duty 3SM Battery for the used of MBDA service Vehicle P1V505, P2F782, S0S287, P0Z559, B8 S852</t>
  </si>
  <si>
    <t xml:space="preserve">City Treasurer - Balanga City, Bataan </t>
  </si>
  <si>
    <t>Subsidy to City of Balanga Bataan for their 5th TFG Bike Ride on August 29, 2022</t>
  </si>
  <si>
    <t>Materials to be used for miscellaneous works in preparation for upcoming Ground Breaking of Philippine Sports Training Center in Parang, Bagac, Bataan on June 17, 2022</t>
  </si>
  <si>
    <t>Meals and Snacks to be served on Seminar on Financial Management on June 17, 2022</t>
  </si>
  <si>
    <t>Replacement of 4 tires and Wiper for P5M 142 c/o Mr. Christopher C. Leonzon of PGO-HOUSING</t>
  </si>
  <si>
    <t>Parts &amp; Labor for the Replacement of Alternator Assy &amp; other defective parts of Toyota Hilux VU0468 of MBDA owned by the Provincial Government of bataan</t>
  </si>
  <si>
    <t>Payt for the replacement of wiper linkage of Toyota Innova SJA-845 of PEO owned by the Provincial Government of Bataan</t>
  </si>
  <si>
    <t>Parts and labor for the 120,000 km preventive maintenance check up, of Toyota Ambulance POQ 620 of Jose C Payumo Memorial Hospital, Dinalupihan, Bataan</t>
  </si>
  <si>
    <t>CHECK UP AND REPLACE THE DEFECTIVE PARTS ASSIGNED TO THE OFFICE OF THE GOVERNOR TOYOTA INNOVA WITH CONDUCTION STICKER A9R043</t>
  </si>
  <si>
    <t>Snacks for 2nd Table Top Exercise, in preparation for the Bunker Active Shooter SIMEX, on 06 July 2022 at 4th Floor Conference Rooms, The Bunker</t>
  </si>
  <si>
    <t>Parts &amp; Labor for the 220,000 km preventive maintenance Toyota Hilux P0Z302 of MBDA owned by the Provincial Government of Bataan</t>
  </si>
  <si>
    <t>Parts and Installation of Curtains at TTMF (Hospital Field for Covid-19 Facility) of Mariveles District Hospital</t>
  </si>
  <si>
    <t>Replacement of Timing Belt and Component Set of Toyota Hiace GL Grandia of ODH</t>
  </si>
  <si>
    <t>Parts &amp; Labor for the 420,000 km preventive maintenance Toyota Hilux A2T253 of MBDA owned by the Provincial Government of Bataan</t>
  </si>
  <si>
    <t>Token RE: Provincial Social Welfare and Development Office of Pampanga Lakbay on June 10, 2022</t>
  </si>
  <si>
    <t>Snacks to be served on Galing! Bataan Brand Development Program - TWG Meeting (Review and Finalization of Criteria Agri Producers) on May 17, 2022</t>
  </si>
  <si>
    <t>Mac Trading-additional equipment for Repair &amp; Maintenance of Air Conditioning Units of Provincial Government of Bataan (PGB) Offices under Bunker Building</t>
  </si>
  <si>
    <t>Parts and labor for the repair of airconditioning system of Hyundai 100 KOP533 of PEO owned by the Provincial Government of Bataan</t>
  </si>
  <si>
    <t>Emergency purchase of glucose strips for the use of Orani District Hospital</t>
  </si>
  <si>
    <t>Parts for replacement of alternator assembly, tensioner bearing and drive belt for Toyota Innova with Plate No. SJA-817 used by the Provincial Treasurer's Office</t>
  </si>
  <si>
    <t>Cross wrench and jack (5 tons) for the used of Toyota Innova SHJ-718 of PEO owned by the Provincial Government of Bataan</t>
  </si>
  <si>
    <t>Philippine flag for the Independence Day Celebration 2022</t>
  </si>
  <si>
    <t>Meals and Snacks to be served on Livelihood Skills Training on Rattan Weaving for 1Bataan Handicraft Industry Ecosystem Beneficiaries on May 10-13, 2022</t>
  </si>
  <si>
    <t>Goods / Token to be given to PRC (Professional Regulation Commission) Mobile Services for the Professionals of Bataan on July 15 &amp; 16, 2022 at 1BOSSCO, 2nd Flr. The Bunker Bldg. Provincial Capitol, Balanga City, Bataan</t>
  </si>
  <si>
    <t>Printing of Tarpaulin for (PRC) mobile services for the Professionals of Bataan on July 15 &amp; 16, 2022 at 1BOSSCO 2ND flr The Bunker</t>
  </si>
  <si>
    <t>Parts and labor for the replacement of four (4) pcs tire 205 / 65 R15 of Toyota Innova SHB-954 of PEO owned by the Provincial Government of Bataan</t>
  </si>
  <si>
    <t>Tarpaulin to be used on Bunker Active Shooting Incident SIMEX on June 20, 2022</t>
  </si>
  <si>
    <t>Hospital Equipment for the use of Orani District Hospital</t>
  </si>
  <si>
    <t>Preventive maintenance for 136,531 km check-up of Toyota Hilux A8E932 c/o PG-ENRO</t>
  </si>
  <si>
    <t xml:space="preserve">Kara Mei L. Herrera </t>
  </si>
  <si>
    <t>PAYMENT OF HER 1ST SALARY FOR JULY 1-AUGUST 31,2022</t>
  </si>
  <si>
    <t>Replenishment for Medicine, Medical supplies and laboratory expenses under the philhealth no balance billing (NBB) of indigent patients in July 09-25, 2022</t>
  </si>
  <si>
    <t>Replenishment of Incidental expenses and Daily market purchase of BCMH from July 25-29 and August 1-15, 2022</t>
  </si>
  <si>
    <t>Replenishment of cash advance for emergency purchases of JPMH from August 12 -16, 2022</t>
  </si>
  <si>
    <t>Replenishment for market purchases of JPMH for the period of August 11-22, 2022</t>
  </si>
  <si>
    <t>Replenishement of Emergency Purchases of NBB Patients of JPMH for the period from August 16-18, 2022</t>
  </si>
  <si>
    <t>Replenishment of cash advance to defray of Daily Market purchase from August 8-15, 2022</t>
  </si>
  <si>
    <t>Payment of Yearly Rental for 1 unit of 25 KVA Transformer of 1Bataan Malasakit Dialysis Center on August 2022 - 2023</t>
  </si>
  <si>
    <t>Payment of Electric Bill of Multi Purpose Center, Tilapya, Pantingan, Pilar for the month of July, 2022</t>
  </si>
  <si>
    <t>Payment of fuel consumption for the period of July 18-24, 2022 (PGSO) KOS-994</t>
  </si>
  <si>
    <t>Payment of allowance for the period of August 2022</t>
  </si>
  <si>
    <t>Payment for TextBlast Subscription for the use for information dissemination of COVID 19 Programs for Bataan Province for the month of July, 2022</t>
  </si>
  <si>
    <t xml:space="preserve">Mark Daniel Serrano </t>
  </si>
  <si>
    <t>Donation to Mark Daniel Serrano and Company for Competing the DITEKI 3 National Downhill longboard competition 2022 on August 20-21, 2022</t>
  </si>
  <si>
    <t xml:space="preserve">Angelica T. Quiambao </t>
  </si>
  <si>
    <t>Donation to Fashion Icon for the Launching of Fashion Icon Season &amp; on August 28, 2022</t>
  </si>
  <si>
    <t>Payment of Electric bill of CCTV for the month of July, 2022</t>
  </si>
  <si>
    <t xml:space="preserve">Corazon de Jesus Mendoza </t>
  </si>
  <si>
    <t>DONATION TO ROGELIO MENDOZA FOR HIS MEDICAL NEEDS</t>
  </si>
  <si>
    <t xml:space="preserve">Teodora A. Marco </t>
  </si>
  <si>
    <t>DONATION TO RODOLFO ANN FOR HIS BURIAL EXPENSES</t>
  </si>
  <si>
    <t>DONATION TO JOAN SEVILLA FOR HER BURIAL EXPENSES</t>
  </si>
  <si>
    <t xml:space="preserve">Ivy V. Valentos </t>
  </si>
  <si>
    <t>DONATION TO IVOH SAMUEL VALENTOS FOR HIS HOSPITAL BILL</t>
  </si>
  <si>
    <t xml:space="preserve">Maricris B. Cayanan </t>
  </si>
  <si>
    <t>DONATION TO MARIO BUENSUCESO FOR HIS HOSPITAL BILL AND PROFESSIONAL FEE</t>
  </si>
  <si>
    <t xml:space="preserve">Antonio Jr. B. Navarro </t>
  </si>
  <si>
    <t>DONATION TO IRENE PARAYNO FOR HER HOSPITAL BILL</t>
  </si>
  <si>
    <t xml:space="preserve">Ronalie S. Emocling </t>
  </si>
  <si>
    <t>DONATION TO ANGELINA SONGCO FOR HER HOSPITAL BILL</t>
  </si>
  <si>
    <t xml:space="preserve">Marisol D. Zabala </t>
  </si>
  <si>
    <t>DONATION TO EDUARDO ZABALA FOR HIS HOSPITAL BILL</t>
  </si>
  <si>
    <t xml:space="preserve">Richelle A. Diwa </t>
  </si>
  <si>
    <t>DONATION TO FELIZARDO DIWA FOR HIS HOSPITAL BILL AND MEDICAL NEEDS</t>
  </si>
  <si>
    <t xml:space="preserve">Elmer T. Ortea </t>
  </si>
  <si>
    <t>DONATION TO ANTONIA ORTEA FOR HER HOSPITAL BILL</t>
  </si>
  <si>
    <t xml:space="preserve">Marissa C. Sanchez </t>
  </si>
  <si>
    <t>DONATION TO MERLA CATALAN FOR HER HOSPITAL BILL</t>
  </si>
  <si>
    <t xml:space="preserve">Marivic C. Santiago </t>
  </si>
  <si>
    <t>DONATION TO MIRASOL CERDEñA FOR HER HOSPITAL BILL</t>
  </si>
  <si>
    <t xml:space="preserve">Rowena L. Matawaran </t>
  </si>
  <si>
    <t>DONATION TO MACARIO BUENSUCESO FOR HIS BURIAL EXPENSES</t>
  </si>
  <si>
    <t xml:space="preserve">Kelvin L. Belleza </t>
  </si>
  <si>
    <t>DONATION TO JESSICA BELLEZA AND JEIVIN KIRL BELLEZA FOR THEIR HOSPITAL BILLS</t>
  </si>
  <si>
    <t xml:space="preserve">Ernesto D. Dizon </t>
  </si>
  <si>
    <t xml:space="preserve">Daisy B. Ritual </t>
  </si>
  <si>
    <t>DONATION TO LERMA RITUAL FOR HER HOSPITAL BILL</t>
  </si>
  <si>
    <t xml:space="preserve">Gerald B. Austria </t>
  </si>
  <si>
    <t>DONATION TPO JOANNA MARIE AUSTRIA FOR HER HOSPITAL BILL</t>
  </si>
  <si>
    <t xml:space="preserve">Marilou P. Navarro </t>
  </si>
  <si>
    <t>DONATION TO LEOPOLDO NAVARRO FOR HIS HOSPITAL BILL</t>
  </si>
  <si>
    <t xml:space="preserve">Marcelo S. Lastra </t>
  </si>
  <si>
    <t>DONATION TO ANGELA VITA LASTRA AND ALIYAH MIKA LASTRA FOR THEIR HOSPITAL BILLS</t>
  </si>
  <si>
    <t xml:space="preserve">Joshua Dominic E. Ramos </t>
  </si>
  <si>
    <t xml:space="preserve">Juvie V. Mañalac </t>
  </si>
  <si>
    <t xml:space="preserve">Criselda O. Melanio </t>
  </si>
  <si>
    <t>DONATION TO CRISENCIO OLIVERIA FOR HIS MEDICAL NEEDS</t>
  </si>
  <si>
    <t>Remittance of Pag-ibig II Savings of the provincial employees August 2022</t>
  </si>
  <si>
    <t>Security Services by 185 security guards deployed in Bat. Command Center, Motorpool, Bataan Tourism, PHO, OIC Det. Com., JCPMH, ODH, BCMH, Eroad Alas-Asin, MDH, NTP &amp; Tourism Park for the period covered from July 1-31,2022</t>
  </si>
  <si>
    <t xml:space="preserve">E-San Ads and Marble Works </t>
  </si>
  <si>
    <t>Installation of Desk Name Plates at the SP Session hall of newly Elected Board Members</t>
  </si>
  <si>
    <t>Payment of Electric bill of the following offices, Balanga City, for the month of July, 2022</t>
  </si>
  <si>
    <t>Fuel on different service vehicle used by PPDO, PNP, PDRRMO, PCEDO, OPA, SOCO, PGENRO &amp; PVO for Aug 1-7, 2022</t>
  </si>
  <si>
    <t>Payment of fuel consumption for the period of August 08-14, 2022 (PGO)</t>
  </si>
  <si>
    <t>Payment of telephone expenses (237 - 2414) for the period of August 18 to September 17, 2022</t>
  </si>
  <si>
    <t xml:space="preserve">Jose Enrique S. Garcia </t>
  </si>
  <si>
    <t>Reimbursement of gasoline dated July 1-28, 2022</t>
  </si>
  <si>
    <t>Purchase of demo materials for training course on Diversified and itegrated farming system from Sept 7-10, 2021</t>
  </si>
  <si>
    <t>Payment of Electric bill of MDH for the month of July, 2022</t>
  </si>
  <si>
    <t>Electric Bill in 1Bataan Housing Showroom Mariveles for the period of February 2022 to July 2022</t>
  </si>
  <si>
    <t>Payment of fuel consumption for the period of July 11-17, 2022 (PGSO) KOS-994</t>
  </si>
  <si>
    <t>Payment of fuel consumption for the period of July 25-31, 2022 (LEGAL)</t>
  </si>
  <si>
    <t xml:space="preserve">Wyn's Gen Manpower Services </t>
  </si>
  <si>
    <t>Purchase and repair the defective parts of the vehicle assigned to the office of the governor Toyota Innova with plate number SLB-225</t>
  </si>
  <si>
    <t>Purchase of animal / zoological supplies to be used in the implementation of PVO Activities</t>
  </si>
  <si>
    <t xml:space="preserve">iFuel Bataan LPG Trading </t>
  </si>
  <si>
    <t>LPG 11kg (refill) for the used of PHO for Kalusugan Hatid sa Katutubong Kapatid on June to July, 2022</t>
  </si>
  <si>
    <t>Payment of fuel consumption for the period of August 08-14, 2022 (BCMH)</t>
  </si>
  <si>
    <t>Tokens for 16th RDC III Full Council Meeting on June 2, 2022</t>
  </si>
  <si>
    <t>Supplies and Materials for Water Search and and Rescue Response System, Strategy and Tactics Training on March 7-11, 2022 at Black Sand Resort, Bagac and Sibul Spring Resort, Abucay, Bataan</t>
  </si>
  <si>
    <t>Parts and labor for replacement of 4pcs Tires of NISSAN URVAN AMBULANCE NAO 4146 c/o PDRRMO</t>
  </si>
  <si>
    <t>Parts and labor for the 20,000 kms. for preventive maintenance of HIACE Commuter Van S2Q283 for the use of PHO</t>
  </si>
  <si>
    <t>Additional equipment for the repair and maintenance of Provincial Government of Bataan (PGB) owned building/facilities</t>
  </si>
  <si>
    <t>Token to be given during the conduct of PSYCHOSOCIAL TRAINING on JUNE 22, 23 and 24 2022, at 1 Bataan Training Center, Orani, Bataan</t>
  </si>
  <si>
    <t>Snacks for the Provincial School Board Meeting on August 5, 2022 at the Bunker, Capitol Balanga City, Bataan</t>
  </si>
  <si>
    <t>Tokens to be served during the conduct of First Aid and Basic Life Support Training on July 19-22, 2022 at 1Bataan Command Center Orani Bataan</t>
  </si>
  <si>
    <t>Payment of PLDT Fiber Telephone Bills in the office of the SP Office of (Vice Governor Garcia, Secretary Salazar and Board Member Dominguez) for the period of August 18 - September 17, 2022)</t>
  </si>
  <si>
    <t>Two (2) pcs uninterrupted power supply for the replacement of unserviceable UPS</t>
  </si>
  <si>
    <t xml:space="preserve">Philippine Veteran's Bank </t>
  </si>
  <si>
    <t>Remittance of salary loan installment of provincial employees for August 2022</t>
  </si>
  <si>
    <t xml:space="preserve">Government Security Insurance Services </t>
  </si>
  <si>
    <t>Remittance of integrated insurance contribution, emergency loan, REL, cash advance, optional insurance premium, policy loan, REL, GFAL, MPL and computer Loan for the month of August 2022</t>
  </si>
  <si>
    <t>Remittance of philhealth contribution of provincial employees for July 2022</t>
  </si>
  <si>
    <t>Additional remittance of philhealth contribution of consultants for June 2022</t>
  </si>
  <si>
    <t>Payment of Fidelity Bond Premium of Dr. Rosanna M. Buccahan- PHO II, Lorenza R. Atienza- AOIII</t>
  </si>
  <si>
    <t>Two (2) pieces toner for the copier in the office of the SP Secretariat</t>
  </si>
  <si>
    <t>Personal Protective Equipment (PPE) for use in the Provincial Treasurer's Office</t>
  </si>
  <si>
    <t>Steel Vertical Cabinets (4 doors without vault) to be used as filing and storage cabinets of NBI Balanga Satellite Office located at the Bunker, Capitol Compound, Balanga City, Bataan</t>
  </si>
  <si>
    <t xml:space="preserve">Provincial Government of Bataan - Trust Fund (UCPB Account) </t>
  </si>
  <si>
    <t>To transfer the collecyions deposited in the Landbank of the Philippines General Fund for the NOCAP speed limit violation on Aug 31, 2022</t>
  </si>
  <si>
    <t>Replenishment of Revolving Fund for payment of donation of indigent constituents in the Province of Bataan</t>
  </si>
  <si>
    <t>Payment of fuel consumption for the period of August 15-21, 2022 (BCMH)</t>
  </si>
  <si>
    <t>Replenishment of Miscellaneous Expenses of MDH used for the period of July 12-24, 2022</t>
  </si>
  <si>
    <t>Replenishment of Emergency Purchase of NBB patients of JPMH for the period from August 19 - 22, 2022</t>
  </si>
  <si>
    <t xml:space="preserve">Evangeline P. Santos </t>
  </si>
  <si>
    <t>DONATION TO MARY GRACE CATITIR FOR HER MEDICAL NEEDS</t>
  </si>
  <si>
    <t xml:space="preserve">Anthony B. Mirand </t>
  </si>
  <si>
    <t>DONATION TO LOLITA MIRANDA FOR HER BURIAL EXPENSES</t>
  </si>
  <si>
    <t xml:space="preserve">Carmelo A. Dimaculangan </t>
  </si>
  <si>
    <t>Payment of Operation and Maintenance Fee for the month of July , 2022</t>
  </si>
  <si>
    <t>Payment of Operation and Maintenance Fee for the month of August , 2022</t>
  </si>
  <si>
    <t>Payment of Electric bill of Establishment of Provincial Plant (Pilar) for the month of July, 2022</t>
  </si>
  <si>
    <t>Replenishment for market purchase of MDH for the period of August 4-13, 2022</t>
  </si>
  <si>
    <t>Payment of Electric bill of PGSO Checkpoint Brgy. Balsik, Hermosa BJMP Orani and MBDA relay, Orion for the month of July, 2022</t>
  </si>
  <si>
    <t>Payment of Electric bill of PGSO Checkpoint Brgy. Roosevelt, Dinalupihan and Tucop, Dinalupihan for the month of July 2022</t>
  </si>
  <si>
    <t>Payment of Electric bills for the month of July 2022</t>
  </si>
  <si>
    <t>Payment of water bill of Tucop Checkpoint for the month of July, 2022</t>
  </si>
  <si>
    <t>Payment of internet bill of different offices for August 21-Sept.20,2022</t>
  </si>
  <si>
    <t>Tokens given for various calling on the Provincial Governor on various occasions &amp; purposes</t>
  </si>
  <si>
    <t>Monthly subscription fee on ASDN Pri Service for the 911 hotline/876484499 for the month of July 27 - August 26, 2022</t>
  </si>
  <si>
    <t>Replenishment of cash advance for emergency purchase from August 17-21, 2022</t>
  </si>
  <si>
    <t>Payment of salary and RATA for the month of August, 2022</t>
  </si>
  <si>
    <t>22, 2022 AT DAPITAN, ZAMBOANGA DEL NORTE</t>
  </si>
  <si>
    <t>CAsh advance for various obligation</t>
  </si>
  <si>
    <t>Payment of clothing allowance FY 2022</t>
  </si>
  <si>
    <t>Internet subscription of various offices for July 17-Sept 16, 2022</t>
  </si>
  <si>
    <t>DONATION TO CORAZON MARIANO FOR HER BURIAL EXPENSES</t>
  </si>
  <si>
    <t xml:space="preserve">Benjamin Silva </t>
  </si>
  <si>
    <t>DONATION TO ROSANA SILVA FOR HER HOSPITAL BILL</t>
  </si>
  <si>
    <t xml:space="preserve">Walter Alexander Jude S. Banzon </t>
  </si>
  <si>
    <t>DONATION TO NOLI BANZON FOR HER BURIAL EXPENSES</t>
  </si>
  <si>
    <t>DONATION TO JOHNNIE MUYON AND JANINE EMERALD MUYON FOR THEIR BURIAL EXPENSES</t>
  </si>
  <si>
    <t>DONATION TO JULIETA QUIAMBAO FOR HER BURIAL EXPENSES</t>
  </si>
  <si>
    <t xml:space="preserve">Regine C. Sta. Maria </t>
  </si>
  <si>
    <t>DONATION TO ROMULO CAPISTRANO FOR HIS BURIAL EXPENSES</t>
  </si>
  <si>
    <t xml:space="preserve">Rommel de Guzman Rosano </t>
  </si>
  <si>
    <t>DONATION TO AUREA ROSANO FOR HER HOSPITAL BILL</t>
  </si>
  <si>
    <t xml:space="preserve">Jeric G. Balasan </t>
  </si>
  <si>
    <t>DONATION TO ARIANE JOY SUNGA AND ALAS MCLAREN BALASAN FOR THEIR HOSPITAL BILLS</t>
  </si>
  <si>
    <t xml:space="preserve">Chester Sta. Maria Tarrayo </t>
  </si>
  <si>
    <t>DONATION TO LYZANRA ERICA TARRAYO AND CALIX LEIGH TARRAYO FOR THEIR HOSPITAL BILLS</t>
  </si>
  <si>
    <t xml:space="preserve">Isaac &amp; Catalina Medical Center </t>
  </si>
  <si>
    <t>DONATION TO RHEYEL ANGELES FOR HIS HOSPITAL BILL</t>
  </si>
  <si>
    <t xml:space="preserve">Franco Q. Ballener </t>
  </si>
  <si>
    <t>DONATION TO ANGELITA BALLENER FOR HER HOSPITAL BILL</t>
  </si>
  <si>
    <t xml:space="preserve">Corazon S. Axalan </t>
  </si>
  <si>
    <t>DONATION TO PEPITO DURANA FOR HIS MEDICAL NEEDS</t>
  </si>
  <si>
    <t xml:space="preserve">Carla Mae L. Vicquierra </t>
  </si>
  <si>
    <t xml:space="preserve">Milagros C. Cariño </t>
  </si>
  <si>
    <t>DONATION TO RICARDO CARIñO FOR HIS MEDICAL NEEDS</t>
  </si>
  <si>
    <t>Payment of fuel consumption for the period of August 1-7, 2022 (PGO)</t>
  </si>
  <si>
    <t>Payment of medical oxygen for the use of Jose C. Payumo Jr. Memorial Hospital, Dinalupihan, Bataan</t>
  </si>
  <si>
    <t>Payment of fuel consumption for the period of August 8-14, 2022 (MBDA)</t>
  </si>
  <si>
    <t>LPG-50kgs for the consumption of inmates of Bataan District Jail within the period of August 2022</t>
  </si>
  <si>
    <t>Meals and Snacks to be served during the PDRRMC (Action Planning Meeting with the Private Sector) on July 18, 2022</t>
  </si>
  <si>
    <t>Additional Meals (Lunch) and Snacks (PM) to be served on May 20, 2022 at the Board Room, 7/F Bunker Building, for the coordination meeting of Department of Public Works and Highways Central and Regional Officials and Bureau of Customs Officials with the Provincial Governor</t>
  </si>
  <si>
    <t xml:space="preserve">Wyn's Gen Manpower Services and Enterprises Co, </t>
  </si>
  <si>
    <t>Parts and labor for 110,000 km check - up and change oil of Ford Everest IP - 1451 c/o BM Romano L. Del Rosario</t>
  </si>
  <si>
    <t>ROOM ACCOMMODATION FOR DR. ROBERT KENNEDY AND COMPANY FOR AgiLAYA: Solidarity Run for Peace, Health and Phil. Eagles campaign ON AUGUST 6-7, 2022</t>
  </si>
  <si>
    <t>Rental of Tables and Chair for 2022 Galing! Bataan Awards Search for Most Outstanding Micro, Small and Medium Enterprises on July 29, 2022</t>
  </si>
  <si>
    <t>Tokens of Guests for 2022 Galing! Bataan Awards Search for Most Outstanding Micro, Small and Medium Enterprises on July 29, 2022</t>
  </si>
  <si>
    <t>Tokens for guests for the Hosting of Central Luzon Regional Cooperative Development Council Meeting on July 22, 2022</t>
  </si>
  <si>
    <t>Assorted meat and processed food for the consumption of inmates of Bataan District Jail within the period of August 1-15, 2022</t>
  </si>
  <si>
    <t>Various grocery items for the consumption of inmates of Bataan District Jail within the period of August 1-15, 2022</t>
  </si>
  <si>
    <t>Assorted marine products for the consumption of inmates of Bataan District Jail within the period of August 1-15, 2022</t>
  </si>
  <si>
    <t>Meals and Snacks to be served during the conduct of second PDRRMC Full Council Meeting at The Bunker 4th Floor Conference Room on June 30, 2022</t>
  </si>
  <si>
    <t>Parts and labor for change oil, cleaning and adjust brake for service vehicle Ford IO - 8925 c/o BM Reynaldo T. Ibe jr.</t>
  </si>
  <si>
    <t>AM Snacks and Lunch to be served for Interagency Meeting on August 10, 2022</t>
  </si>
  <si>
    <t>Tokens for the Benchmarking of South Cotabato with Bataan PPP and Investment Center on June 16, 2022</t>
  </si>
  <si>
    <t xml:space="preserve">Federal Pharmaceuticals Inc. </t>
  </si>
  <si>
    <t>Parts and labor for the 110,000 km preventive maintenance check up, of Toyota Ambulance POQ 620 of Jose C Payumo Memorial Hospital, Dinalupihan, Bataan</t>
  </si>
  <si>
    <t>Plaques of Participation and Appreciation for 2022 Galing! Bataan Awards Search for Most Outstanding Micro, Small and Medium Enterprises on July 29, 2022</t>
  </si>
  <si>
    <t>Payment of her Salary and PERA for the period of August 8-31, 2022</t>
  </si>
  <si>
    <t xml:space="preserve">Christine Gale O. Austria </t>
  </si>
  <si>
    <t>Payment of her first Salary from August, 2022</t>
  </si>
  <si>
    <t xml:space="preserve">Eduardo M. Garcia </t>
  </si>
  <si>
    <t>Refund of SSS contribution for August 2022</t>
  </si>
  <si>
    <t xml:space="preserve">Leane Kimberly F. Rubia </t>
  </si>
  <si>
    <t>Donation to Leane Kimver F. Rubia for her educational assistance (thesis writing)</t>
  </si>
  <si>
    <t xml:space="preserve">Barangay Treasurer - Tubo-Tubo Dinalupihan Bataan </t>
  </si>
  <si>
    <t>Subsidy to Barangay Tubo-Tubo Dinalupihan for their Annual Cultural Activity on October 3-4, 2022</t>
  </si>
  <si>
    <t xml:space="preserve">Municipal Treasurer of Orion, Bataan </t>
  </si>
  <si>
    <t>Subsidy to Municipality of Orion for the Sangguniang Kabataan federation of Orion Activity (Inter - Barangay basketball league 2022)</t>
  </si>
  <si>
    <t xml:space="preserve">Barangay Treasurer - Poblacion Limay, Bataan </t>
  </si>
  <si>
    <t>Subsidy for their participation to the Inter-Commercial Basketball League</t>
  </si>
  <si>
    <t xml:space="preserve">Analyn M. Bonifacio </t>
  </si>
  <si>
    <t>Donation to Analyn M. Bonifacio for her educational assistance (thesis writing)</t>
  </si>
  <si>
    <t>Subsidy to Barangay Poblacion Limay Bataan for their annual cultural activity on october 3 to 4, 2022</t>
  </si>
  <si>
    <t xml:space="preserve">Municipal Treasurer of Orani, Bataan </t>
  </si>
  <si>
    <t>Subsidy to Municipality of Orani Bataan for their Annual Cultural Activity on September 30 to October 9, 2022</t>
  </si>
  <si>
    <t>Payment of fuel consumption for the period of August 1-7, 2022 (BCMH)</t>
  </si>
  <si>
    <t>Replenishment of cash advance to defray payment of Daily Market Purchase from August 16-23, 2022</t>
  </si>
  <si>
    <t>Meals incurred during meeting with FAB</t>
  </si>
  <si>
    <t>Reimbursement of the amount paid for fuel consumption of the government vehicle HI-LUX VU2619 for the month of August 2022</t>
  </si>
  <si>
    <t>Reimbursement of the amount paid for fuel consumption of the government vehicle Ford Everest IO 9548 for the month of August 2022</t>
  </si>
  <si>
    <t>Reimbursement of the amount paid for fuel consumption of the government vehicle Ford Everest IP 0801 for the month of August 2022</t>
  </si>
  <si>
    <t>Reimbursement of the amount paid for fuel consumption of the government vehicle Ford Everest IO 4973 for the month of August 2022</t>
  </si>
  <si>
    <t>Replenishment of Revolving Fund for payment of donations of indigent constituents in the Province of Bataan September 2 &amp; 5, 2022</t>
  </si>
  <si>
    <t>Reimbursement of payment made for GO Daddy Annual subscription for PH Domain Renewal FY 2022 in the Provincial Tourism Office</t>
  </si>
  <si>
    <t xml:space="preserve">Atty. Fernando S. Mendoza II </t>
  </si>
  <si>
    <t>Reimbursement for the amount paid for Mailed letters and couriers under the Provincial Legal Office for the month of July 2022</t>
  </si>
  <si>
    <t>Payment of LRA fees of the annotation on the Certificate of Title in Subscquent Registration for the Warrant of Levy issued by the Province dated June 6, 2022</t>
  </si>
  <si>
    <t>Payment of IT Service fees of the annotation on the Certificate of Title in Subsequent Registration for the Warrant of Levy Issued by the Province dated June 6, 2022</t>
  </si>
  <si>
    <t>Payment of IT Service fees of the annotation on the Certificate of Title in Subsequent Registration for the Warrant of Levy Issued by the Province dated June 2-6, 2022</t>
  </si>
  <si>
    <t>Payment of LRA fees of the annotation on the Certificate of Title in Subscquent Registration for the Warrant of Levy issued by the Province dated June 2 and 6, 2022</t>
  </si>
  <si>
    <t>Toner for the use of PLO</t>
  </si>
  <si>
    <t xml:space="preserve">Ma. Jessa D. Resurreccion </t>
  </si>
  <si>
    <t>DONATION TO JOEMAR RESURRECCION FOR HIS MEDICAL NEEDS</t>
  </si>
  <si>
    <t xml:space="preserve">Rose Ann R. Omaña </t>
  </si>
  <si>
    <t>DONATION TO EMMA REYES FOR HER HOSPITAL BILL</t>
  </si>
  <si>
    <t>DONATION FOR THE HOSPITAL BILLS COVERING THE PERIOD AUGUST 15-19,2022</t>
  </si>
  <si>
    <t>DONATION FOR THE HOSPITAL BILLS COVERING THE PERIOD AUGUST 15-18,2022</t>
  </si>
  <si>
    <t>Payment of honorarium of Municipal Treasurers for the month of August 2022</t>
  </si>
  <si>
    <t>Payment of monthly internet subscription plan for the period of Aug. 17 - September 16, 2022 for NBI-Mariveles Satelite office in Fab Building Mariveles bataan as part of the tripartite MOA among (PGB) , (NBI), (FAB)</t>
  </si>
  <si>
    <t>Reimbursement of the amount paid for LTO registration of fourteen (14) service vehicle owned by the PGB</t>
  </si>
  <si>
    <t>Payment of Fidelity Bond Premium of Ms. Maria Rosaio R. Carlos of PTO</t>
  </si>
  <si>
    <t xml:space="preserve">Jose Eduardo R. Cariño </t>
  </si>
  <si>
    <t>DONATION TO LALIE JANE DESPE AND ENZO LUIS CARIñO FOR THEIR HOSPITAL BILLS</t>
  </si>
  <si>
    <t xml:space="preserve">Bella P. De San Agustin </t>
  </si>
  <si>
    <t>DONATION TO RICO DE SAN AGUSTIN FOR HIS MEDICAL NEEDS</t>
  </si>
  <si>
    <t xml:space="preserve">Eugenio U. Wee </t>
  </si>
  <si>
    <t>DONATION TO NEIL LORENZ WEE FOR HIS HOSPITAL BILL AND MEDICAL NEEDS</t>
  </si>
  <si>
    <t xml:space="preserve">Myries E. Demillo </t>
  </si>
  <si>
    <t>DONATION TO RAY CABACUNGAN FOR HIS HOSPITAL BILL</t>
  </si>
  <si>
    <t xml:space="preserve">Roxanne D. Capulong </t>
  </si>
  <si>
    <t>DONATION TO EDISON CAPULONG FOR HIS BURIAL EXPENSES</t>
  </si>
  <si>
    <t>DONATION TO VENES SANTIAGO FOR HER HOSPITAL BILL</t>
  </si>
  <si>
    <t xml:space="preserve">Rita O. Canaria </t>
  </si>
  <si>
    <t>DONATION TO KRISTEL CANARIA FOR HER HOSPITAL BILL</t>
  </si>
  <si>
    <t xml:space="preserve">Ruthie A. Aguilar </t>
  </si>
  <si>
    <t>DONATION TO JOMEL AGUILAR FOR HIS MEDICAL NEEDS</t>
  </si>
  <si>
    <t xml:space="preserve">Mary Mae S. Diana </t>
  </si>
  <si>
    <t>DONATION TO VIRGINIA DIANA FOR HER MEDICAL NEEDS</t>
  </si>
  <si>
    <t xml:space="preserve">Rosie P. Guevarra </t>
  </si>
  <si>
    <t>DONATION TO FRANCISCO GUEVARRA FOR HIS MEDICAL NEEDS</t>
  </si>
  <si>
    <t xml:space="preserve">Arnel C. Napoles </t>
  </si>
  <si>
    <t>DONATION TO WOWIE NAPOLES FOR HIS BURIAL EXPENSES</t>
  </si>
  <si>
    <t>DONATION FOR THE HOSPITAL BILLS COVERING THE PERIOD AUGUST 15, 2022</t>
  </si>
  <si>
    <t xml:space="preserve">Azucena B. Rito </t>
  </si>
  <si>
    <t xml:space="preserve">Dorothy D. Gonzales </t>
  </si>
  <si>
    <t>DONATION TO KYLE KAYTRIC GONZALES FOR HIS HOSPITAL BILL</t>
  </si>
  <si>
    <t xml:space="preserve">Djunne Leokid A. Foronda </t>
  </si>
  <si>
    <t>DONATION TO JENNILYN FORONDA AND JAILAH VEATRICE FORONDA FOR THEIR HOSPITAL BILL</t>
  </si>
  <si>
    <t xml:space="preserve">Myra P. Sarili </t>
  </si>
  <si>
    <t>DONATION TO MARILYN NALUZ FOR HIS HOSPITAL BILL</t>
  </si>
  <si>
    <t>Non accountable (printed forms) for the use of Jose C Payumo Jr Memorial Hospital Bataan</t>
  </si>
  <si>
    <t>Reimbursement for Parts and labor for the replacement of spare parts for maintenance of Ford Everest IO - 9548 c/o BM Jomar L. Gaza</t>
  </si>
  <si>
    <t>Supplies and Materials to be used for Miscellaneous works in preparation for upcoming Ground Breaking of Philippines Sports Training Center in Paring, Bagac, Bataan on June 17, 2022</t>
  </si>
  <si>
    <t>Trophies for 2022 Galing! Bataan Awards Search for Most Outstanding Micro, Small and Medium Enterprises on July 29, 2022</t>
  </si>
  <si>
    <t>Lunch Meal for Bunker Active Shooting Incident SIMEX on 20 June 2022 at The Bunker, Capitol Compound</t>
  </si>
  <si>
    <t>Reimbursement of Preventive maintenance chanhgeoil &amp; change up 45,000 km for service vehicle Starex CRDI MU 8265 c/o Vice Governor Ma. Christina M. Garcia</t>
  </si>
  <si>
    <t>Replacement of deffective 2D battery for Howo Tractor Head &amp; Road Grader Komatsu of PEO owned by the Provincial Government of Bataan</t>
  </si>
  <si>
    <t>Free-range chicken for Livelihood Assistance through Microlayer Farm (20% DF)</t>
  </si>
  <si>
    <t>BATAAN CHAPTER - Subsidy to Liga ng mga Barangay sa Pilipinas Bataan Chapter for their Liga different activities for the month of September to December 2022</t>
  </si>
  <si>
    <t xml:space="preserve">Barangay Treasurer - Pentor Dinalupihan Bataan </t>
  </si>
  <si>
    <t>PENTOR DINALUPIHAN BATAAN - Subsidy to Barangay Pentor Dinalupihan Bataan for their annual cultural actvity on September 26-27, 2022</t>
  </si>
  <si>
    <t xml:space="preserve">Barangay Treasurer - Poblacion Pilar Bataan </t>
  </si>
  <si>
    <t>POBLACION PILAR BATAAN - Subsidy to Barangay Poblacion Pilar Bataan for their annual cultural activity on October 12, 2022</t>
  </si>
  <si>
    <t xml:space="preserve">Barangay Treasurer - West Calaguiman Samal Bataan </t>
  </si>
  <si>
    <t>WEST CALAGUIMAN SAMAL BATAAN - Subsidy to Barangay West Calaguiman Samal Bataan for their Linggo ng Kabataan 2022 : Intergenerational Solidarity; Creating a World for all ages</t>
  </si>
  <si>
    <t>Reimbursement of payment for prizes to the winners during the Provincial Linggo ng KaBataan from August 12, 2022</t>
  </si>
  <si>
    <t xml:space="preserve">Arren Ryan B. Ilaya </t>
  </si>
  <si>
    <t>Payment of Clothing Allowance for CY - 2022</t>
  </si>
  <si>
    <t>Donation to Bataan and Football club for the upcoming 2nd Tet Garcia Governors Cup Football Festival on September 17-18, 2022</t>
  </si>
  <si>
    <t xml:space="preserve">Ale Dy Travel and Tours </t>
  </si>
  <si>
    <t>Payment for the Airfare of Balanga Choral Artists (BCA) for participating the 2022 Busan International Choral Festival &amp; Competition from oct. 19-22, 2022</t>
  </si>
  <si>
    <t xml:space="preserve">Emmanuel S. Gimena Jr. </t>
  </si>
  <si>
    <t>Donation for his Educational Assistance (Thesis Writing)</t>
  </si>
  <si>
    <t xml:space="preserve">Maricel V. Magpoc </t>
  </si>
  <si>
    <t>Donation for her Educational Assistance (Thesis Writing)</t>
  </si>
  <si>
    <t>DONATION FOR THE HOSPITAL BILLS OF VARIOUS CLIENTS COVERING THE PERIOD AUGUST 9-10, 2022</t>
  </si>
  <si>
    <t>DONATION FOR THE HOSPITAL BILL OF VARIOUS CLIENT COVERING THE PERIOD AUGUST 8-12, 2022</t>
  </si>
  <si>
    <t>DONATION FOR THE HOSPITAL BILLS OF VARIOUS CLIENTS COVERING THE PERIOD AUGUST 8-12, 2022</t>
  </si>
  <si>
    <t xml:space="preserve">Jonalyn S. Paguio </t>
  </si>
  <si>
    <t>DONATION TO BENJAMIN PAGUIO FOR HIS HOSPITAL BILL</t>
  </si>
  <si>
    <t>DONATION TO BENJAMIN DELOS REYES FOR HIS BURIAL EXPENSES</t>
  </si>
  <si>
    <t xml:space="preserve">Jayzen T. Calapini </t>
  </si>
  <si>
    <t>DONATION TO LORRAINE ANGELICA CALAPINI AND SETHIYA RAE CALAPINI FOR THEIR HOSPITAL BILLS</t>
  </si>
  <si>
    <t xml:space="preserve">Gloria M. Venegas </t>
  </si>
  <si>
    <t>DONATION TO FLORENDO MOLINO FOR HIS HOSPITAL BILL</t>
  </si>
  <si>
    <t>Payment of fuel consumption for the period of August 1-7, 2022 (PEO)</t>
  </si>
  <si>
    <t xml:space="preserve">Rene Basilad </t>
  </si>
  <si>
    <t>Payment of his first salary for from August 1-31, 2022</t>
  </si>
  <si>
    <t>RATA for the month of July and August , 2022</t>
  </si>
  <si>
    <t>Replenishment of Miscellaneous Expenses of MDH used for the period of July 25 - August 01, 2022</t>
  </si>
  <si>
    <t>Replenishment for market purchase of MDH for the period of August 14-20, 2022</t>
  </si>
  <si>
    <t xml:space="preserve">Emmy Lou B. Vallester </t>
  </si>
  <si>
    <t xml:space="preserve">Mike L. Francisco </t>
  </si>
  <si>
    <t>DONATION TO MORENA FRANCISCO FOR HER HOSPITAL BILL</t>
  </si>
  <si>
    <t xml:space="preserve">Zenaida M. Tafalla </t>
  </si>
  <si>
    <t>DONATION TO BISMARK TAFALLA FOR HIS HOSPITAL BILL</t>
  </si>
  <si>
    <t xml:space="preserve">Shiela Mae F. Subong </t>
  </si>
  <si>
    <t>DONATION TO ISIDRO SUBONG FOR HIS HOSPITAL BILL</t>
  </si>
  <si>
    <t xml:space="preserve">Miriam A. Zordilla </t>
  </si>
  <si>
    <t>DONATION TO JOEL PETER ZORDILLA FOR HIS HOSPITAL BILL</t>
  </si>
  <si>
    <t xml:space="preserve">Andro Kayan T. Coronel </t>
  </si>
  <si>
    <t>DONATION TO KURT NATHAN CORONEL FOR HIS BURIAL EXPENSES</t>
  </si>
  <si>
    <t xml:space="preserve">Jayson S. Gonzalvo </t>
  </si>
  <si>
    <t>DONATION TO JHON FRANCIS GONZALVO FOR HIS BURIAL EXPENSES</t>
  </si>
  <si>
    <t xml:space="preserve">Mary Jean San Juan de Leon </t>
  </si>
  <si>
    <t>DONATION TO KIMBERLY BITONG FOR HER BURIAL EXPENSES</t>
  </si>
  <si>
    <t xml:space="preserve">Kirk Roi A. Sialonga </t>
  </si>
  <si>
    <t>DONATION TO ROGELIO SIALONGA FOR HIS HOSPITAL BILL</t>
  </si>
  <si>
    <t xml:space="preserve">Perlita A. Alarcon </t>
  </si>
  <si>
    <t>DONATION TO ANITA BAYADNA FOR HER HOSPITAL BILL</t>
  </si>
  <si>
    <t xml:space="preserve">John Michael B. Domingo </t>
  </si>
  <si>
    <t>DONATION TO DONALYN DOMINGO AND ZOHAN QUELEE DOMINGO FOR THEIR HOSPITAL BILLS</t>
  </si>
  <si>
    <t xml:space="preserve">Noriel C. Vicente </t>
  </si>
  <si>
    <t>DONATION TO LOLITO VICENTE SR. FOR HIS HOSPITAL BILL</t>
  </si>
  <si>
    <t xml:space="preserve">Jessalyn S. Swin </t>
  </si>
  <si>
    <t>DONATION TO JOSEVER SISMOAN FOR HIS HOSPITAL BILL</t>
  </si>
  <si>
    <t xml:space="preserve">Antonieto Jr. P. Catiil </t>
  </si>
  <si>
    <t xml:space="preserve">Luz B. Regualos </t>
  </si>
  <si>
    <t>DONATION TO JERRY ARENAS FOR HIS HOSPITAL BILL</t>
  </si>
  <si>
    <t xml:space="preserve">Regina T. Enriquez </t>
  </si>
  <si>
    <t>DONATION TO RUBEN TUMBAGA FOR HIS HOSPITAL BILL</t>
  </si>
  <si>
    <t xml:space="preserve">Loriebel B. Naadat </t>
  </si>
  <si>
    <t>DONATION TO EVA BEMBO FOR HER MEDICAL NEEDS</t>
  </si>
  <si>
    <t xml:space="preserve">Editha O. Morales </t>
  </si>
  <si>
    <t xml:space="preserve">Reina C. Lansangan </t>
  </si>
  <si>
    <t>DONATION TO FERNANDO GARCIA FOR HIS MEDICAL NEEDS</t>
  </si>
  <si>
    <t xml:space="preserve">Rosario C. Morales </t>
  </si>
  <si>
    <t>DONATION TO RENZ MARK DE GUIA FOR HIS HOSPITAL BILL</t>
  </si>
  <si>
    <t>Reimbursement of gasoline expenses of JPMH for the period from August 1-14, 2022</t>
  </si>
  <si>
    <t>Accommodation to be used during the conduct of PSYCHOSOCIAL TRAINING on JUNE 22, 23 and 24, 2022, at 1 Bataan Training Center, Orani, Bataan</t>
  </si>
  <si>
    <t>Reimbursement of Snacks and Meal for the Barangay Masterplan Writeshop on August 26, 2022</t>
  </si>
  <si>
    <t>Replacement of spare parts for the maintenance of photo copier ECOSYS M6630CIDN with Serial No. RJG0700150 in the office of the Vice-Governor</t>
  </si>
  <si>
    <t>Meals (Snack AM &amp; PM and Lunch) to be used during the conduct of PDRRMC planning meeting re; Transform Phase with NRC, Pillars and Subpillars on August 12, 2022</t>
  </si>
  <si>
    <t>Non and Accountable forms (Death Certificate) for the use of Mariveles District Hospital</t>
  </si>
  <si>
    <t>Payment of Electrical Consumption for the period of July, 2022</t>
  </si>
  <si>
    <t>Replenishment of Revolving Fund for payment of donations of indigent consitutents in the Province of Bataan September 6-7, 2022</t>
  </si>
  <si>
    <t>Petty cash fund replenishment for Aug 31-Sept 8. 2022</t>
  </si>
  <si>
    <t>Payment of insurance premiums</t>
  </si>
  <si>
    <t>Reimbursement of Meals during meeting of Gov Joet &amp; PGB dept heads &amp; other employee</t>
  </si>
  <si>
    <t>Replenishment of Emergency Purchases of NBB Patients of JPMH for the period from August 23-29, 2022</t>
  </si>
  <si>
    <t xml:space="preserve">Philippine Red Cross - Bataan Chapter </t>
  </si>
  <si>
    <t>Payment of registration fee for 38 participants in the conduct of First Aide and Basic Life Support Training on July 19-22, 2022</t>
  </si>
  <si>
    <t>Labor and Materials for the Rehabilitation/ Improvement of Road Brgy. Wakas North, Pilar, Bataan (20% DF)</t>
  </si>
  <si>
    <t>Assorted vegetables products for the consumption of inmates of Bataan District Jail within the period of August 1-15, 2022</t>
  </si>
  <si>
    <t>Reimbursement of Meals and snacks for Distribution of ATM cards for BPSU, Outside Bataan and PUP Mariveles Scholars of the Cashless Strategic Initiative of the Iskolar ng Bataan Program of the Prov'l. Government of Bataan on August 22 to 25, 2022</t>
  </si>
  <si>
    <t>Payment of allowance for the month of August 2022</t>
  </si>
  <si>
    <t>Payment of service rendered for the month of August 2022</t>
  </si>
  <si>
    <t>Payment of Provincial Allowance for the month of August 2022</t>
  </si>
  <si>
    <t xml:space="preserve">De Leon Mobile Lights &amp; Sounds Rental </t>
  </si>
  <si>
    <t>Rental of aircon tents to be used for PRRD holding area, RTVM and VIPs on June 17, 2022 for the visit of His Excellency President Rodrigo R. Duterte for the aerial survey and groundbreaking ceremony of the establishment of the Philippin Sports Training Center</t>
  </si>
  <si>
    <t xml:space="preserve">Barangay Treasurer - Pag-Asa Bagac, Bataan </t>
  </si>
  <si>
    <t>Subsidy to Barangay Pag-asa Bagac Bataan for their Annual Cultural Activity on September 29, 2022</t>
  </si>
  <si>
    <t>Payment of registration fee for Agia Annual Convention Cum Seminar (Online) to be attended by Julius M. Abes on October 12-14, 2022</t>
  </si>
  <si>
    <t>Payment of 15 days monetized leave credit for CY 2022</t>
  </si>
  <si>
    <t>Allowance for the mont of August, 2022</t>
  </si>
  <si>
    <t>Payment of fuel consumption for the period of July 4-10, 2022 (MDH)</t>
  </si>
  <si>
    <t>Payment of Allowance for the month of August 2022</t>
  </si>
  <si>
    <t>Allowance for the month of August 2022</t>
  </si>
  <si>
    <t>Payment of fuel consumption for the period of June 27- July 3, 2022 (MDH)</t>
  </si>
  <si>
    <t xml:space="preserve">Mark Joseph Escudero </t>
  </si>
  <si>
    <t>Payment of allowance in Regional Trial Court of Bataan for the month of August 2022</t>
  </si>
  <si>
    <t>Payment of allowance in Regional Trial Court for the month of August 2022</t>
  </si>
  <si>
    <t>Office Supplies for 3rd Quarter for the use of PPDO</t>
  </si>
  <si>
    <t>Snacks to be served during the Joint Venture Agreement Signing for the development of FAB FOREST and PPPSC Meeting on june 29, 2022 at The Bunker, Balanga City, Bataan</t>
  </si>
  <si>
    <t xml:space="preserve">Perlito T. Bautista </t>
  </si>
  <si>
    <t>Payment of allowance in the Regional Trial Court of Bataan- Branch 3 for the month of August 2022</t>
  </si>
  <si>
    <t>Payment for her salary for the month of Augst 1-31, 2022</t>
  </si>
  <si>
    <t xml:space="preserve">Pristine D. Dela Cruz </t>
  </si>
  <si>
    <t>Payment of her clothing allowance for CY 2022</t>
  </si>
  <si>
    <t>Cash advacnce for various obligation</t>
  </si>
  <si>
    <t>Cash advance for payment of registration fee and per diem attending LVGP 3rd Executive , Executive Committee Meeting on September 13-15, 2022</t>
  </si>
  <si>
    <t xml:space="preserve">Provinicial Board Members League of the Philippines </t>
  </si>
  <si>
    <t>Payment of Terms Dues and Membership Fee of Board Members</t>
  </si>
  <si>
    <t xml:space="preserve">Albert L. Cea </t>
  </si>
  <si>
    <t>DONATION TO JULIE ANN CEA AND PHILIP ZACHARY CEA FOR THEIR HOSPITAL BILL</t>
  </si>
  <si>
    <t>DONATION FOR THE HOSPITAL BILL OF VARIOUS CLIENT COVERING THE PERIOD AUGUST 22-26, 2022</t>
  </si>
  <si>
    <t>DONATION FOR THE HOSPITAL BILLS OF VARIOUS CLIENT COVERING THE PERIOD AUGUST 22-25, 2022</t>
  </si>
  <si>
    <t>DONATION FOR THE HOSPITAL BILLS OF VARIOUS CLIENTS COVERING THE PERIOD AUGUST 22-26</t>
  </si>
  <si>
    <t>DONATION FOR THE HOSPITAL BILLS OF VARIOUS CLIENTS COVERING THE PERIOD AUGUST 22-26, 2022</t>
  </si>
  <si>
    <t xml:space="preserve">Jocelyn H. Visitacion </t>
  </si>
  <si>
    <t>DONATION TO MARILOU MARTIN FOR HER MEDICAL NEEDS</t>
  </si>
  <si>
    <t xml:space="preserve">Larricel G. Manalili </t>
  </si>
  <si>
    <t>DONATION TO ANGELINA PEñA FOR HER BURIAL EXPENSES</t>
  </si>
  <si>
    <t>DONATION TO FEDERICO JR. ROQUE FOR HIS BURIAL EXPENSES</t>
  </si>
  <si>
    <t xml:space="preserve">Cipriano Juan III. Consunji </t>
  </si>
  <si>
    <t>DONATION TO CONCEPTION CONSUNJI FOR HER HOSPITAL BILL AND MEDICAL NEEDS</t>
  </si>
  <si>
    <t xml:space="preserve">Melanio T. Tuazon </t>
  </si>
  <si>
    <t>DONATION TO NORMITA FEBRERO FOR HER HOSPITAL BILL</t>
  </si>
  <si>
    <t xml:space="preserve">Myrna S. Calina </t>
  </si>
  <si>
    <t>DONATION TO MARY ANN CALINA FOR HER HOSPITAL BILL</t>
  </si>
  <si>
    <t xml:space="preserve">Janine R. Gonzales </t>
  </si>
  <si>
    <t>DONATION TO RACHELL GONZALES FOR HER HOSPITAL BILL</t>
  </si>
  <si>
    <t xml:space="preserve">Leif Michael M. Quiñon </t>
  </si>
  <si>
    <t>DONATION TO MARILOU QUIñON FOR HER HOSPITAL BILL</t>
  </si>
  <si>
    <t xml:space="preserve">Jervie D. Tria </t>
  </si>
  <si>
    <t>DONATION TO ALEXANDER NICOLAS FOR HIS HOSPITAL BILL AND MEDICAL NEEDS</t>
  </si>
  <si>
    <t xml:space="preserve">Yehlen Grace Delos Reyes Cocon </t>
  </si>
  <si>
    <t>DONATION TO ERICK COCON FOR HIS MEDICAL NEEDS</t>
  </si>
  <si>
    <t xml:space="preserve">Rosanna M. Delos Santos </t>
  </si>
  <si>
    <t>DONATION TO WILFREDO CANIMO FOR HIS MEDICAL NEEDS</t>
  </si>
  <si>
    <t xml:space="preserve">Julius M. Abes </t>
  </si>
  <si>
    <t>DONATION TO JYHAN LUKKAS ABES FOR HIS MEDICAL NEEDS</t>
  </si>
  <si>
    <t xml:space="preserve">Maria Elena R. Obdin </t>
  </si>
  <si>
    <t>DONATION TO NADJILA NAVA AND KHALIL MARVEY NAVA FOR THEIR HOSPITAL BILLS</t>
  </si>
  <si>
    <t xml:space="preserve">Adonis B. Dispo </t>
  </si>
  <si>
    <t>DONATION TI MA. CECILIA DISPO FOR HER HOSPITAL BILL</t>
  </si>
  <si>
    <t xml:space="preserve">Raina F. Benedictos </t>
  </si>
  <si>
    <t>DONATION TO RUDANTE FLORDELIZ FOR HIS HOSPITAL BILL</t>
  </si>
  <si>
    <t xml:space="preserve">Gerardo C. Santiago </t>
  </si>
  <si>
    <t>DONATION TO ROSIE SANTIAGO FOR HER HOSPITAL BILL</t>
  </si>
  <si>
    <t>Remittance of philhealth contribution of consultants for August 2022</t>
  </si>
  <si>
    <t>Payment for the funeral services under the Libreng Libing Program for the period January 28, February 21, July 17, August 8, November 2-24, 2021</t>
  </si>
  <si>
    <t xml:space="preserve">Bataan St. Joseph &amp; Medical Center Corp. </t>
  </si>
  <si>
    <t>Donation for the hospital bills covering the period AUG.15-19,2022</t>
  </si>
  <si>
    <t>Replenishment for Medicine, Medical Supplies and Laboratory Expenses under the Philhealth No Balance Billing (NBB) of indigent patients in MDH August 03-20, 2022</t>
  </si>
  <si>
    <t>Replenishment of cash advance for emergency purchases of JPMH from August 22-31, 2022</t>
  </si>
  <si>
    <t xml:space="preserve">Ma. Lourdes Ignacio </t>
  </si>
  <si>
    <t>Ines-Payment of allowance for the month of August 2022</t>
  </si>
  <si>
    <t xml:space="preserve">John Erik Macatangay </t>
  </si>
  <si>
    <t xml:space="preserve">Hon. Judge Ma. Lourdes Ignacio </t>
  </si>
  <si>
    <t xml:space="preserve">Analyn Panganiban </t>
  </si>
  <si>
    <t>Payment for the Stipend of Apprentice of Bahay-Wika and Master-Apprentice Language Learning Program</t>
  </si>
  <si>
    <t>DONATION FOR THE HOSPITAL BILLS OF VARIOUS CLIENTS COBERING THE PERIOD OF AUGUST 8-12, 2022</t>
  </si>
  <si>
    <t>Replenishment for Medicine, Medical Supplies and Laboratory Expenses under the Philhealth No. Balance Billing (NBB) of indigent patients in MDH July 25 - August 01, 2022</t>
  </si>
  <si>
    <t>Payment for the funeral services under the Libreng Libing Program for the period October 1-31, 2021</t>
  </si>
  <si>
    <t>Payment for the funeral services under the Libreng Libing Program for the period March 24- December 29, 2021</t>
  </si>
  <si>
    <t>Payment for the funeral services under the Libreng Libing Program for the period April 29, July 17-28, August 5, September 17, December 23 and 25, 2021</t>
  </si>
  <si>
    <t>Various telephone &amp; imnternet bill April 17-Sept 16, 2022</t>
  </si>
  <si>
    <t>Payment of fuel consumption for the period of August 08-14, 2022 (PEO)</t>
  </si>
  <si>
    <t>Allowance for the month of August, 2022</t>
  </si>
  <si>
    <t>Payment for the funeral services under the Libreng Libing Program for the period June 21-25, July 20 20-30, 2022</t>
  </si>
  <si>
    <t>Replenishment of Miscellaneous Expenses of MDH used for the period of August 8-15, 2022</t>
  </si>
  <si>
    <t>Payment of Internet Bill of 1Bataan Command Center Account Number 0030300182942 for the month of September 2022</t>
  </si>
  <si>
    <t>Replenishment of Revolving Fund for payment of donation to indigent constituents from Province of Bataan (September 08-09)</t>
  </si>
  <si>
    <t>Service rendered for the month of August 2022</t>
  </si>
  <si>
    <t xml:space="preserve">Sherwin Mina </t>
  </si>
  <si>
    <t>Payment of 10 days monetized leave</t>
  </si>
  <si>
    <t>Petty cash fund replenishment for Sept 8-12, 2022</t>
  </si>
  <si>
    <t xml:space="preserve">Fe D. Pantaleon </t>
  </si>
  <si>
    <t>Replenishment for market purchases for the period of August 23 to 31, 2022</t>
  </si>
  <si>
    <t>Replenishment of Miscellaneous Expenses of MDH used for the period of August 1-07, 2022</t>
  </si>
  <si>
    <t>Payment of Diesel consumed by Toyota Hilux Pick-up A9W 631 for the period of July 25-31, 2022 (PGSO)</t>
  </si>
  <si>
    <t>Cash advance for FA of 229 examinees under Board/BAr examination FA program of PGB</t>
  </si>
  <si>
    <t>Payment of Internet Bill of MBDA Account Number 0030300011924 for the month of September 1-31, 2022</t>
  </si>
  <si>
    <t>Monthly subscription fee of Metro Ethernet Service for the use of CCTV Cameras of MBDA for the month of September 2022</t>
  </si>
  <si>
    <t xml:space="preserve">Mark Angelo I. Atienza </t>
  </si>
  <si>
    <t xml:space="preserve">Richard M. San Diego </t>
  </si>
  <si>
    <t xml:space="preserve">Marionne Kimberly C. Tablan </t>
  </si>
  <si>
    <t xml:space="preserve">Francis S. Balbuena </t>
  </si>
  <si>
    <t xml:space="preserve">John Paul J. Sazon </t>
  </si>
  <si>
    <t>DONATION TO MARILOU SAZON FOR HER HOSPITAL BILL AND MEDICAL NEEDS</t>
  </si>
  <si>
    <t xml:space="preserve">Edwin R. Bernales </t>
  </si>
  <si>
    <t>DONATION TO AUREA BERNALES FOR HER HOSPITAL BILL</t>
  </si>
  <si>
    <t xml:space="preserve">Rica Blanca R. Binungcal </t>
  </si>
  <si>
    <t>DONATION TO NELSON ENRIQUEZ FOR HIS HOSPITAL BILL AND MEDICAL NEEDS</t>
  </si>
  <si>
    <t xml:space="preserve">Nicko Angelo E. Crisostomo </t>
  </si>
  <si>
    <t>DONATION TO ALFREDO CRISOSTOMO FOR HIS HOSPITAL BILL</t>
  </si>
  <si>
    <t xml:space="preserve">Laiza A. Mamaril </t>
  </si>
  <si>
    <t>DONATION TO DANILO MAMARIL FOR HIS HOSPITAL BILL</t>
  </si>
  <si>
    <t xml:space="preserve">Ramon R. Bonayon </t>
  </si>
  <si>
    <t>DONATION TO MARY JANE BONAYON AND KELVIN CARL BONAYON FOR THEIR HOSPITAL BILLS</t>
  </si>
  <si>
    <t xml:space="preserve">Sophia T. Melanio </t>
  </si>
  <si>
    <t>DONATION TO RICARDO MELANIO FOR HIS HOSPITAL BILL</t>
  </si>
  <si>
    <t xml:space="preserve">Romeo T. Sazon </t>
  </si>
  <si>
    <t>DONATION TO KRISTELLE SAZON FOR HER HOSPITAL BILL</t>
  </si>
  <si>
    <t xml:space="preserve">Jover Lyn C. Estrella </t>
  </si>
  <si>
    <t>DONATION TO REMEDIOS LOMBOY FOR HER MEDICAL NEEDS</t>
  </si>
  <si>
    <t xml:space="preserve">Lucita F. Capili </t>
  </si>
  <si>
    <t>DONATION TO EFREN FORBES FOR HIS BURIAL EXPENSES</t>
  </si>
  <si>
    <t xml:space="preserve">Arnelyn H. Yanga </t>
  </si>
  <si>
    <t>DONATION TO ARCEL HWANGBO FOR HER HOSPITAL BILL</t>
  </si>
  <si>
    <t xml:space="preserve">Larissa Mae I. Atraje </t>
  </si>
  <si>
    <t>DONATION TO LOURDES IZON FOR HER HOSPITAL BILL</t>
  </si>
  <si>
    <t xml:space="preserve">Carlo Louis Gloria </t>
  </si>
  <si>
    <t>DONATION TO PRINCESS GLORIA AND SHANAIAH LOUISE GLORIA FOR THEIR HOSPITAL BILLS</t>
  </si>
  <si>
    <t xml:space="preserve">Fransel Laurence D. De Leon </t>
  </si>
  <si>
    <t>DONATION TO DOMINADOR DE LEON FOR HIS MEDICAL NEEDS</t>
  </si>
  <si>
    <t xml:space="preserve">Jezreel A. Ewarata </t>
  </si>
  <si>
    <t>DONATION TO JONALYN EWARATA AND JAAZANIAH EWARATA FOR THEIR HOSPITAL BILLS</t>
  </si>
  <si>
    <t xml:space="preserve">Araceli U. Tan </t>
  </si>
  <si>
    <t>DONATION TO JEZALYN TAN FOR HER MEDICAL NEEDS</t>
  </si>
  <si>
    <t xml:space="preserve">Luis Jr. B. Dela Cruz </t>
  </si>
  <si>
    <t>DONATION TO MYRNA DELA CRUZ FOR HER MEDICAL NEEDS</t>
  </si>
  <si>
    <t xml:space="preserve">Imelda M. Tualla </t>
  </si>
  <si>
    <t>DONATION TO MARCELO MAGCALAS FOR HIS MEDICAL NEEDS</t>
  </si>
  <si>
    <t xml:space="preserve">Joselito V. Diego </t>
  </si>
  <si>
    <t>DONATION TO BERNARDITA FOR HER HOSPITAL BILL</t>
  </si>
  <si>
    <t xml:space="preserve">Angelita A. de Leon </t>
  </si>
  <si>
    <t>DONATION TO ALBERTO AGUILON FOR HIS MEDICAL NEEDS</t>
  </si>
  <si>
    <t xml:space="preserve">Lolita D. Tranate </t>
  </si>
  <si>
    <t>DONATION TO RESTITUTO TRANATE FOR HIS HOSPITAL BILL</t>
  </si>
  <si>
    <t xml:space="preserve">Marifer T. Visda </t>
  </si>
  <si>
    <t>DONATION TO CLIENT AND KIEFER ROBIN VISDA FOR THEIR HOSPITAL BILLS</t>
  </si>
  <si>
    <t xml:space="preserve">Charina D. Fajardo </t>
  </si>
  <si>
    <t>DONATION TO CELSO DANAN FOR HIS BURIAL EXPENSES</t>
  </si>
  <si>
    <t xml:space="preserve">Leonila T. Salenga </t>
  </si>
  <si>
    <t>DONATION TO RICARDO SALENGA FOR HIS BURIAL EXPENSES</t>
  </si>
  <si>
    <t>DONATION TO ANDREA NICOLE PATDU AND ATHENA JADE PATDU FOR THEIR HOSPITAL BILLS</t>
  </si>
  <si>
    <t xml:space="preserve">Raymark L. Peña </t>
  </si>
  <si>
    <t>DONATION TO DIANDRA ZARCHELL PEñA AND CALLISTO KAI PEñA FOR THEIR HOSPITAL BILL</t>
  </si>
  <si>
    <t>DONATION TO VON JAYROIS CALILUNG FOR HIS HOSPITAL BILL</t>
  </si>
  <si>
    <t xml:space="preserve">Mark Theoderic R. Loreto </t>
  </si>
  <si>
    <t>DONATION TO RIYEL ANNE LORETO AND THEA INA REIN LORETO FOR THEIR HOSPITAL BILLS</t>
  </si>
  <si>
    <t xml:space="preserve">Mark Anthony A. Miranda </t>
  </si>
  <si>
    <t>DONATION TO ANGELA MIRANDA FOR HER MEDICAL NEEDS</t>
  </si>
  <si>
    <t xml:space="preserve">Mary Jane C. De Leon </t>
  </si>
  <si>
    <t>DONATION TO GLORIA CRISOSTOMP FOR HER MEDICAL NEEDS</t>
  </si>
  <si>
    <t>Payment of Insurance premiums (Multi Purpose, Covered Court, Brgy Poblacion Pilar, Bataan)</t>
  </si>
  <si>
    <t>Payment of Insurance of two (2) units service vehicles owned by PGB</t>
  </si>
  <si>
    <t>DONATION TO CARLOS HERMOGENO FOR HIS MEDICAL NEEDS</t>
  </si>
  <si>
    <t>Bartolome- Payment of Provincial Allowance for the month of August 2022</t>
  </si>
  <si>
    <t xml:space="preserve">Judita Tongol </t>
  </si>
  <si>
    <t>Payment of her allowance as PARAD fo of Bataan for the month of August 2022</t>
  </si>
  <si>
    <t xml:space="preserve">Abner Maano </t>
  </si>
  <si>
    <t xml:space="preserve">Teressa dela Fuente </t>
  </si>
  <si>
    <t xml:space="preserve">Marivent Hotel Resort Inc. </t>
  </si>
  <si>
    <t>Payment of Entrance Fee (Day Tour) incurred during visit of City Government of Calapan</t>
  </si>
  <si>
    <t>Security services rendered by 78 security guards deployed at BGH from July 1-31, 2022</t>
  </si>
  <si>
    <t>AFAJI Builders</t>
  </si>
  <si>
    <t>Labor and Materials for the Concreting of Road Rgy. A. Rivera, Hermosa, Bataan</t>
  </si>
  <si>
    <t>1% retention for dadditional support for canine</t>
  </si>
  <si>
    <t xml:space="preserve">Rosanna Buccahan </t>
  </si>
  <si>
    <t>Reimbursement of Dinner for Provincial Health Board Meeting on September 2, 2022</t>
  </si>
  <si>
    <t>Charina Ramos</t>
  </si>
  <si>
    <t>Balanga City B Corporate Fund</t>
  </si>
  <si>
    <t xml:space="preserve">Joseph Mandaue </t>
  </si>
  <si>
    <t>DONATION TO JULIO MANDANE FOR HIS MEDICAL NEEDS</t>
  </si>
  <si>
    <t>Ans Enterprises- Payment of medical supplies to be use for Bagac Community and Medicare Hospital</t>
  </si>
  <si>
    <t>Reimbursement of the amount paid for fuel consumption of the government vehicle FORD EVEREST IP 1451 for the month of August, 2022</t>
  </si>
  <si>
    <t>Meals for the meetings of different Committees of Sangguniang Panlalawigan on August 10, 2022</t>
  </si>
  <si>
    <t>Meals for the meetings of different Committees of Sangguniang Panlalawigan on August 17, 2022</t>
  </si>
  <si>
    <t>Reimbursement of Meals for the Regular Session of Sangguniang Panlalawigan on August 08, 2022</t>
  </si>
  <si>
    <t>Reimbursement of Parts and labor for the replacement of injector and refill coolant for Ford Everest IO-9548 c/o BM Jomar L. Gaza</t>
  </si>
  <si>
    <t>Reimbursement of Parts and labor for the replacement of horn and 130,000 km preventive maintenance check-up of Ford Everest IP-0189 c/o BM Maria Margarita R. Roque</t>
  </si>
  <si>
    <t>Reimbursement of the amount paid for fuel consumption of the government vehicle Ford Everest IO 9547 for the month of August 2022</t>
  </si>
  <si>
    <t>Labor and Materials for Concreting to Farm to Market Road, Brgy Ibaba Bagac Bataan</t>
  </si>
  <si>
    <t>100% final payt. for Labor and Materials for the Construction of Water System,Brgy. Sisiman, Mariveles, Bataan (EAS)</t>
  </si>
  <si>
    <t>Meals and Snacks to be served during meeting and ocular visit of PPP Center at the Bunker, Port of Orion, AFAB Ferry Terminal, and 1Bataan AITC at Dinalupiham, Bataan on July 4-5, 2022</t>
  </si>
  <si>
    <t>Purchase and install the FOGLIGHT of the Vehicle assigned to the office of the Governor HIACE GL Grandia with plate number A5N033</t>
  </si>
  <si>
    <t xml:space="preserve">De Leon Mobile Lights and Sounds Rental </t>
  </si>
  <si>
    <t>Rental of Stage with Canopy, Trussed and roofing for stage and crowd to be used on June 17, 2022 for the visit of His Excellency President Rodrigo R. Duterte for the aerial survey and groundbreaking ceremony of the establishment of the Philippine Sports Training Center</t>
  </si>
  <si>
    <t>Rental of portalets to be used on June 17, 2022 for the visit of His Excellency President Rodrigo R. Duterte for the aerial survey and groundbreaking ceremony of the establishment of the Philippine Sports Training Center</t>
  </si>
  <si>
    <t>Snacks &amp; Lunch to be served in the Local Agricultural &amp; Fishery Mechanization Plan Meeting and Assessment to be held on August 19, 2022 at the 5th Floor Bunker Building Capitol Balanga City, Bataan</t>
  </si>
  <si>
    <t>LUNCH FOR COURTESY CALL VISIT OF PROVINCE OF CALAPAN CITY, ORIENTAL MINDORO ON AUGUST 5-6, 2022</t>
  </si>
  <si>
    <t>Parts and labor for the repair of airconditioning system of Toyota Innova SHJ-973 of PEO owned by the Provincial Government of Bataan</t>
  </si>
  <si>
    <t>Cash advance of cash prizes for 2nd raffle draw for " Bakunahan Bayanihan sa Barangay Pinalakas ang Boosted na Bataeño: Part 2 Tuloy-Tuloy and Panalo ng Boosted na Bataeño (August 29 - September 2,5,9, 2022) on September 15, 2022</t>
  </si>
  <si>
    <t>Parts and labor for the 5,000 km preventive maintenance check up of 2021/Hiace commuter Deluxe 2.81 Ds1 MT with CS no. S2Z412 for the use of Mariveles District Hospital</t>
  </si>
  <si>
    <t>Reimbursement of Snack &amp; Lunch to be served in the Seed Growers &amp; Seed Inspectors quarterly meeting to be held on August 30, 2022 at the 4th Floor Bunker Building Capitol, Balanga City, Bataan</t>
  </si>
  <si>
    <t>Additional Lunch served in the MAO-MA &amp; Rice Report Officers meeting held on August 17, 2022 at the 5th Floor Bunker Bldg., Capitol, Balanga City, Bataan</t>
  </si>
  <si>
    <t>Repair and replace the defectives parts of the vehicle assigned to the Office of the Governor Toyota Innova with Plate number SHJ-962</t>
  </si>
  <si>
    <t>Parts and labor for the replacement of tire of Toyota Hilux A5B261 for the use of Mariveles District Hospital</t>
  </si>
  <si>
    <t>Parts and labor for the 160,000 km preventive maintenance check up of 2018 / Hilux 2.4 4x2 G AT - P5006 with CS no. A5B261 for the use of Mariveles District Hospital</t>
  </si>
  <si>
    <t>Heavy-duty padlocks to be used for 2 Jails (Male &amp; Female) of NBI Bataan District Office located inside the 1Bataan Command Center, Doña, Orani, Bataan</t>
  </si>
  <si>
    <t>Labor and materials for full interior and exterior detailing of Toyota Hilux P1P649 of PEO owned by the Provincial Government of Bataan</t>
  </si>
  <si>
    <t>- Labor and materials for the replacement of windshield of Toyota Innova SJA-846 of PEO owned by the Provincial Government of Bataa</t>
  </si>
  <si>
    <t>Meals and Snacks to be served during the Benchmarking of South Cotabato with Gov. Albert Raymond S. Garcia and Bataan PPP and Investment Center on June 16, 2022 at The Bunker, Balanga City, Bataan</t>
  </si>
  <si>
    <t>Inverter for the use in Jose Payumo Jr. Memorial Hospital Ambulance</t>
  </si>
  <si>
    <t xml:space="preserve">GE-Channel </t>
  </si>
  <si>
    <t>Repair of IT equipment - computers of the Provincial Information Office</t>
  </si>
  <si>
    <t>Replacement of two (2) pcs tire 265/60 R18 of Toyota Hilux A8E932 of PG-ENRO</t>
  </si>
  <si>
    <t>Center shaft assembly for the used of Payloader TCM-860 of PEO owned by the Provincial Government of Bataan</t>
  </si>
  <si>
    <t>2HP Split Type Air Conditioning Unit for the use of PHO-Technical Division (Old COA Office)</t>
  </si>
  <si>
    <t>MEALS AND SNACKS FOR ALAGANG PUSONG PINOY: PUSONG PINOY, DUGONG PINOY BLOOD DONATION CARAVAN ON JULY 29, 2022</t>
  </si>
  <si>
    <t>Reimbursement of meals &amp; snacks for the Training Course on Diversified &amp; integrated Farming System (Development of Farm Tourism Sites / Camp) on September 7, 2022 at Orani, Bataan</t>
  </si>
  <si>
    <t>Snacks for 1KaBataan Junior Officials Assembly on August 2, 2022 at the 5F, Training Room, The Bunker</t>
  </si>
  <si>
    <t>Replacement of defective water pump assembly of Mitsubishi Adventure SHS-907 of PEO owned by the Provincial Government of Bataan</t>
  </si>
  <si>
    <t xml:space="preserve">LM Arenas Agri Products Corporation </t>
  </si>
  <si>
    <t>Draft Horse for Livelihood Improvement in Qualified Poor Individuals</t>
  </si>
  <si>
    <t>Payment for the funeral services under the Libreng Libing Program for the period September 1-30, 202</t>
  </si>
  <si>
    <t>Replenishment of Incidental expenses and Daily market purchase of BCMH from July 25 and August 13 and August 16-31, 2022</t>
  </si>
  <si>
    <t>1% retention for laboratory supplies for various do=istrict hospitals &amp; vaccination sites during COVID 19 pandemic</t>
  </si>
  <si>
    <t xml:space="preserve">Thessaly S. Garcia </t>
  </si>
  <si>
    <t>DONATION TO WINEFREDO GARCIA FOR HIS MEDICAL NEEDS</t>
  </si>
  <si>
    <t xml:space="preserve">Faith Louise M. Martinez </t>
  </si>
  <si>
    <t>DONATION TO FRANCIS MARTINEZ FOR HIS MEDICAL NEEDS</t>
  </si>
  <si>
    <t>DONATION FOR THE HOSPITAL BILLS COVERING THE PERIOD AUGUST 30-31, 2022</t>
  </si>
  <si>
    <t>Payment for the funeral services under the Libreng Libing Program for the period May 27, June 21-30, July 10-21, 2022</t>
  </si>
  <si>
    <t>Payment for the funeral services under the Libreng Libing Program for the period July 7-16, 2022</t>
  </si>
  <si>
    <t xml:space="preserve">Jennifer L. Regulacion </t>
  </si>
  <si>
    <t>DONATION TO AIZA BALOVARFOR FOR HER HOSPITAL BILL</t>
  </si>
  <si>
    <t xml:space="preserve">Joselito S. Gaza </t>
  </si>
  <si>
    <t>DONATION TO EMILY GAZA FOR HER HOSPITAL BILL</t>
  </si>
  <si>
    <t xml:space="preserve">Evelyn T. Baltazar </t>
  </si>
  <si>
    <t>DONATION TO JELYN BALTAZAR FOR HER BURIAL EXPENSES</t>
  </si>
  <si>
    <t xml:space="preserve">Dyan B. Bugayong </t>
  </si>
  <si>
    <t>DONATION TO ATASHA MA. ANNE BUGAYONG FOR HER HOSPITAL BILL AND PROFESSIONAL FEE</t>
  </si>
  <si>
    <t xml:space="preserve">James B. Matic </t>
  </si>
  <si>
    <t>DONATION TO SHARA MATIC AND LUCAS MATIC FOR THEIR HOSPITAL BILLS</t>
  </si>
  <si>
    <t xml:space="preserve">Emily P. Bueno </t>
  </si>
  <si>
    <t xml:space="preserve">Ma. Jessa C. Aledia </t>
  </si>
  <si>
    <t>DONATION TO MARIA ZYRENE ALEDIA FOR HER HOSPITAL BILL AND PROFESSIONAL FEE</t>
  </si>
  <si>
    <t>Bataan Doctors Hospital and Medical Center Inc.</t>
  </si>
  <si>
    <t>DONATION FOR THE HOSPITAL BILLS COVERING THE PERIOD AUGUST 30-SEPTEMBER 1, 2022</t>
  </si>
  <si>
    <t>Payment for the funeral services under the Libreng Libing Program for the period April 8,28 May 9-19, June 1, July 14 and 15, 2022</t>
  </si>
  <si>
    <t>Payment for the funeral services under the Libreng Libing Program for the period May 31, June 17-30, July 9-31, August 5-11, 2022</t>
  </si>
  <si>
    <t>Payment for the funeral services under the Libreng Libing Program for the period Dec 2,4,6,7,9 and 17, 2021</t>
  </si>
  <si>
    <t>PAYMENT FOR THE FUNERAL SERVICES RENDERED UNDER LIBRENG LIBING PROGRAM FOR OCT.19,2020, AUG.1-10,12-29 &amp; 31,2021</t>
  </si>
  <si>
    <t>Payment of Diesel consumed by Hyundai Passenger Van KOS-994 for the period of July 25-31, 2022(PGSO)</t>
  </si>
  <si>
    <t>Replacement of defective water pump assembly of FB L-300 SHS-787 &amp; SHS-653 of PEO owned by the Provincial Government of Bataan</t>
  </si>
  <si>
    <t>Reimbursement of the amount paid for fuel consumption of government vehicle Ford Everest IP 0816 for the month of August, 2022</t>
  </si>
  <si>
    <t>Reimbursement of the amount paid for fuel consumption of the government vehicle Ford Everest IP 0189 for the month of August, 2022</t>
  </si>
  <si>
    <t>Non-commonly used office supplies to be used in the office of the SP</t>
  </si>
  <si>
    <t>Meals for the Regular Session of Sangguniang Panlalawigan on August 15, 2022</t>
  </si>
  <si>
    <t xml:space="preserve">Joanna Marie M. Cayago </t>
  </si>
  <si>
    <t xml:space="preserve">Nicolas M. Soriano </t>
  </si>
  <si>
    <t xml:space="preserve">Jayvee C. Decino </t>
  </si>
  <si>
    <t xml:space="preserve">Marvin F. Liwanag </t>
  </si>
  <si>
    <t>Payment for monthly subscription of newspaper in VG and SP Office for the month of August 2022</t>
  </si>
  <si>
    <t xml:space="preserve">Jorge Estanislao </t>
  </si>
  <si>
    <t>Reimbursement of Meals for the Regular Session of Sangguniang Panlalawigan on August 22, 2022</t>
  </si>
  <si>
    <t>Parts and labor for the replacement of four (4) pcs tire 205/65 R15 for Toyota Innova SJA-835 c/o SP</t>
  </si>
  <si>
    <t>Meals for the meeting of different Committees of Sangguniang Panlalawigan on August 24, 2022</t>
  </si>
  <si>
    <t>Payment of allowance of the Comelec Field Officers for the month of August 2022</t>
  </si>
  <si>
    <t>DONATION FOR THE HOSPITAL BILLS COVERING THE PERIOD AUGUST 30-SEPTEMBER 2, 2022</t>
  </si>
  <si>
    <t xml:space="preserve">Liga ng mga Cooperative Development Officers sa Pilipinas Region III - Chapter </t>
  </si>
  <si>
    <t>Payment of Registration fee (hotel accomodation, food and miscellaneous fees) for planning workshop in preparation to the forthcoming 2nd Central Luzon Tripartite Cooperative Conference in Aurora, Baler on Sept. 22-23, 2022</t>
  </si>
  <si>
    <t>Coring &amp; seawing works at the Bataan Gov't Center and Business Hub-</t>
  </si>
  <si>
    <t>Replacement of alternator assembly and water pump assembly for Honda Civic SHS-607 for the use of PHO</t>
  </si>
  <si>
    <t xml:space="preserve">Nida D. Lopez </t>
  </si>
  <si>
    <t>DONATION TO LOURDES VENTURINA FOR HER HOSPITAL BILL</t>
  </si>
  <si>
    <t>Payment of Electric Bill of the following Offices, Balanga City for the month of August 2022</t>
  </si>
  <si>
    <t>Replenishment of cash adv for emergency purchase from September 1-6, 2022</t>
  </si>
  <si>
    <t xml:space="preserve">Ma. Ranessa R. Reñosa </t>
  </si>
  <si>
    <t>Donation for her educational assistance</t>
  </si>
  <si>
    <t xml:space="preserve">Dorothy Marie D. Tubang </t>
  </si>
  <si>
    <t>Donation for her educational Assistance</t>
  </si>
  <si>
    <t xml:space="preserve">Grace B. Yambao </t>
  </si>
  <si>
    <t xml:space="preserve">Supt. Jose R. Colminero </t>
  </si>
  <si>
    <t>Replenishment of Miscellaneous Expenses of MDH for the period of August 16-22, 2022</t>
  </si>
  <si>
    <t>Replenishment of cash advance to defray payment of Daily Market Purchase from August 24-31, 2022</t>
  </si>
  <si>
    <t>Payment for the internet subscription with account number 13544 for the period of September 1-30, 2022</t>
  </si>
  <si>
    <t>Parts and labor for the replacement of disc pad of Ford Everest IO-9537 c/o BM Jose C. Villapando, Sr.</t>
  </si>
  <si>
    <t>Meals for the breakfast meeting of Vice Governor and Board Members of Sangguniang August 22, 2022</t>
  </si>
  <si>
    <t>Reimbursement of the amount paid for fuel consumption of the government vehicle Ford Everest IO 8925 for the month of August, 2022</t>
  </si>
  <si>
    <t>Payment of internet bill for the PHO for the period September 06 - October 05, 2022</t>
  </si>
  <si>
    <t>Payment of fuel consumption on different service vehicle used by BJMP-Male July 25-31, 2022</t>
  </si>
  <si>
    <t>Payment of Bizload for Brgy. Capatains for the month of September 20022</t>
  </si>
  <si>
    <t>Payment of internet subscription of ODH with acct# 0020200386215 for the billing period September 1-3,2022</t>
  </si>
  <si>
    <t>Replace Document Processor of Kyocera Taskalfa 3212i for the use of Auditor's Office</t>
  </si>
  <si>
    <t>ICT equipment, devices &amp; accessories for the use of BCMH</t>
  </si>
  <si>
    <t>Parts and labor for the replacement of four (4) pcs tire 185R14 of FB-L-300 SHS-787 of PEO owned by the Provincial Government of Bataan</t>
  </si>
  <si>
    <t>Printing of Tarpaulin to be used during the conduct of PSYCHOSOCIAL TRAINING on JUNE 22, 23 and 24, 2022 at 1 Bataan Training Center, Orani Bataan</t>
  </si>
  <si>
    <t>Replacement of defective parts and change oil assigned to the office of the Governor Toyota Innova with plate Number SLB-235</t>
  </si>
  <si>
    <t>Weigh Beam Scale to be used for the Bunker-PHO Clinic</t>
  </si>
  <si>
    <t>Snack &amp; Lunch to be served in the Fisheries &amp; Aquatic Resources Management Councils (FARMC) meeting to be held on August 30, 2022 at Brgy. Tabacan, Dinalupihan, Bataan</t>
  </si>
  <si>
    <t>Snacks for the 1KaBataan Junior Official Courtesy Call with Local Officials and Training on August 15, 2022 to be held at the 4F, Conference Room, The Bunker</t>
  </si>
  <si>
    <t>Snacks and meals for the 1KaBataan Junior Official Culminating Activity and LNK and Closing on August 18, 2022</t>
  </si>
  <si>
    <t>Snacks for the Launching of Linggo ng KaBataan 2022 on August 12, 2022 at the 4F, Conference Room, The Bunker</t>
  </si>
  <si>
    <t xml:space="preserve">Lhanz CJ Trading &amp; Computer Center, Inc. </t>
  </si>
  <si>
    <t>One (1) UPS for the use of the Provincial Information and Technology Office</t>
  </si>
  <si>
    <t>Rooms accommodation for the billeting of the eight (8) VIP for the NAPOLCOM Annual Inspection and Management Audit CY 2022 on July 18-26, 2022</t>
  </si>
  <si>
    <t>Printing of Tarpaulin for National Lung Month to be distributed provincewide</t>
  </si>
  <si>
    <t>Printing of Tarpaulin to be used during the conduct of First Aid and Basic Life Support Training on July 19-22, 2022 at 1Bataan Command Center Orani Bataan</t>
  </si>
  <si>
    <t>Labor and Materials for the Concreting of Road Barangay, Wakas, Orion, Bataan</t>
  </si>
  <si>
    <t>Subsidy to G.L. David Memorial Integrated School for the installation of blackboard</t>
  </si>
  <si>
    <t>Payment of Honorarium for the month of August 2022</t>
  </si>
  <si>
    <t>Replenishment of Miscellaneous Expenses of MDH used for the period of August 22 - 31, 2022</t>
  </si>
  <si>
    <t>Replenishment of Emergency Purchases of NBB Patients of JPMH for the period from September 5 to September 9, 2022</t>
  </si>
  <si>
    <t>Payment for corona stand as a gesture of respect.condolenses and symphaty to the bereaved family of the deceased in the province of Bataan for the month of August 2022</t>
  </si>
  <si>
    <t xml:space="preserve">Barangay Treasurer - Sabatan, Orion, Bataan </t>
  </si>
  <si>
    <t>Subsidy to Barangay Sabatan Orion for their annual culcutural activity on October 1-4, 2022</t>
  </si>
  <si>
    <t>Payment of honorarium for the month of August 2022</t>
  </si>
  <si>
    <t>Payment for Terminal leave</t>
  </si>
  <si>
    <t>Payment for Allowance for the period of August 2022</t>
  </si>
  <si>
    <t xml:space="preserve">Ethel Marie Degolado-Guiua </t>
  </si>
  <si>
    <t xml:space="preserve">Angelica R. Reyes </t>
  </si>
  <si>
    <t>DONATION TO ENRICO ANDAL FOR HIS MEDICAL NEEDS</t>
  </si>
  <si>
    <t>Payment of her last salary &amp; PERA as Agriculturist II in the Office of the Provincial Agriculturist for the period of July 1-2,2 022</t>
  </si>
  <si>
    <t>Replenishment of cash advance to defray payment of Daily Market Purchase from September 1-8, 2022</t>
  </si>
  <si>
    <t>Hainee C. Minas</t>
  </si>
  <si>
    <t>Payment of LRA Fees for insurance of Certificate Title in Subsequent Registration (Donation)</t>
  </si>
  <si>
    <t>Payment of IT Service Fees for insurance of Certificate Title in Subsequent Registration (Donation)</t>
  </si>
  <si>
    <t xml:space="preserve">Henmhark C. Sumandal </t>
  </si>
  <si>
    <t>Donation to BPSU University Student Government for their BPSU Leader's Ball 2022 on August 31, 2022</t>
  </si>
  <si>
    <t>Reimbursement re: Samahan ng Taong may kapansanan sa bataan, CBR. Inc. (SATAMAKABA) Transportation Allowance in their Attendance to the Regular Meeting dated September 09, 2022</t>
  </si>
  <si>
    <t xml:space="preserve">Josephine H. De Guia </t>
  </si>
  <si>
    <t>Donation for her son Ronell Jose D. Co for competing the national youth and schools chess championship (NYSCC) on September 16-23, 2022</t>
  </si>
  <si>
    <t xml:space="preserve">Sherrilyn B. Quintos </t>
  </si>
  <si>
    <t xml:space="preserve">Barangay Treasurer - Kitang I, Limay, Bataan </t>
  </si>
  <si>
    <t>Subsidy to Barangay Kitang I Limay Bataan for their annual Cultural activity on October 4, 2022</t>
  </si>
  <si>
    <t xml:space="preserve">Barangay Treasurer - Townsite, Limay, Bataan </t>
  </si>
  <si>
    <t>Subsidy to Barangay Townsite Limay Bataan for their annual cultural activity on October 3-4, 2022</t>
  </si>
  <si>
    <t>Reimbursement of the amount paid for fuel consumption of the government vehicle Ford Everest C1 T417 for the month of August 2022</t>
  </si>
  <si>
    <t xml:space="preserve">Registry of Deeds of Balanga Bataan for the account of PNB Trust Banking Corp </t>
  </si>
  <si>
    <t>Payment of IT service fees of the annotation on the Certificate of Title in Subsequent Registration for the Warrant of Levy Issued by the Province dated June 6, 2022</t>
  </si>
  <si>
    <t>Payment of LRA Fees of the annotation on the Certificate Title in Subsequent Registration Warrant of LEVY Issued by the Province dated June 6, 2022</t>
  </si>
  <si>
    <t>IT service fees of the annotation on the Certificate of Title in Subsequent Registration for the warrant of Levy issued by the Province Dated June 16, 2022</t>
  </si>
  <si>
    <t>LRA fees of the annotation on the certificate of Title in Subsequent Registation for the Warrant of Levy issued by the Province date June 16, 2022</t>
  </si>
  <si>
    <t>LARA fees of the Issuance of Certificate Title in Subsequent Registration - Declaration of Forfeiture</t>
  </si>
  <si>
    <t>IT service Fees of the insurance of Certificate Title in Subsequent Registration - Declaration of Forfeiture</t>
  </si>
  <si>
    <t>Payment of fuel consumption for the period of August 08-14, 2022 (PGSO)</t>
  </si>
  <si>
    <t>Payment of fuel consumption for the period of August 29 - September 4, 2022 (BCMH)</t>
  </si>
  <si>
    <t xml:space="preserve">Rosalie P. Manubay </t>
  </si>
  <si>
    <t>Replenishment of miscellaneous expenses of ODH from June 18 - August 5, 2022</t>
  </si>
  <si>
    <t>Replenishment for market purchases of JPMH for the period of September 1-12, 2022</t>
  </si>
  <si>
    <t>Reimbursement the amount paid for LTO Registration of ten (10) service vehicles</t>
  </si>
  <si>
    <t>DONATION FOR THE HOSPITAL BILLS COVERING THE PERIOD SEPTEMBER 5-10, 2022</t>
  </si>
  <si>
    <t>Replenishment of Medicines, Supplies, X-ray &amp; Laboratory Expenses under the Philhealth No Balance Billing (NBB) of Indigent patients in ODH from July 19 - August 17, 2022</t>
  </si>
  <si>
    <t>Parts and labor for replacement of two pcs tire to HYUNDAI STAREX MP9073 of COA</t>
  </si>
  <si>
    <t>Payment of fuel consumption for the period of August 15-28, 2022 (PEO)</t>
  </si>
  <si>
    <t>Labor and Materials for the Concreting of Road, Brgy. Tuyo, Balanga City, Bataan</t>
  </si>
  <si>
    <t>LRA fees of the inssuance on the Certificate of Title in Subsequent Registration for the Declaration of Forfeiture dated September 1, 2022</t>
  </si>
  <si>
    <t>IT Service fees of the inssuance on the Certificate of Title in Subsequent Registration for the Declaration of Forfeiture dated September 1, 2022</t>
  </si>
  <si>
    <t xml:space="preserve">Mabelle L. Rivera </t>
  </si>
  <si>
    <t>DONATION TO MICHAEL LAGMAN FOR HIS MEDICAL NEEDS</t>
  </si>
  <si>
    <t xml:space="preserve">Rafael D. Morales </t>
  </si>
  <si>
    <t xml:space="preserve">Virginia C. Sanglay </t>
  </si>
  <si>
    <t>DONATION TO ROMEO SANGLAY FOR HIS HOSPITAL BILL</t>
  </si>
  <si>
    <t xml:space="preserve">Rustom g. Penoliar </t>
  </si>
  <si>
    <t>DONATION TO JANINE PENOLIAR FOR HER HOSPITAL BILL</t>
  </si>
  <si>
    <t xml:space="preserve">Jerevy T. Ramos </t>
  </si>
  <si>
    <t>DONATION TO RODRIGO RAMOS FOR HIS HOSPITAL BILL</t>
  </si>
  <si>
    <t>DONATION TO KATHRINA TIAMBENG FOR HER HOSPITAL NEEDS AND MEDICAL NEEDS</t>
  </si>
  <si>
    <t xml:space="preserve">Mary Grace R. Reyes </t>
  </si>
  <si>
    <t>DONATION TO ROMEO REYES JR. FOR HIS HOSPITAL BILL</t>
  </si>
  <si>
    <t xml:space="preserve">Hanson R. Capuli </t>
  </si>
  <si>
    <t xml:space="preserve">Jhobbie Anne E. Dominguez </t>
  </si>
  <si>
    <t xml:space="preserve">Rommel M. Paguio </t>
  </si>
  <si>
    <t>DONATION TO JINKY PAGUIO FOR HER HOSPITAL BILL</t>
  </si>
  <si>
    <t xml:space="preserve">Edmundo O. Tagle </t>
  </si>
  <si>
    <t>DONATION TO THELMA DAVID FOR HER HOSPITAL BILL</t>
  </si>
  <si>
    <t>DONATION TO BERNADETTE LUSUNG FOR HER HOSPITAL BILL</t>
  </si>
  <si>
    <t xml:space="preserve">Jaime R. Mañalac </t>
  </si>
  <si>
    <t>DONATION TO NORA BIAG FOR HER HOSPITAL BILL</t>
  </si>
  <si>
    <t xml:space="preserve">Baby Len C. Dula </t>
  </si>
  <si>
    <t>DONATION TO CONSOLACION CHANTENGCO FOR HER HOSPITAL BILL</t>
  </si>
  <si>
    <t xml:space="preserve">Merlieta I. Subito </t>
  </si>
  <si>
    <t>DONATION TO WILFREDO SUBITO FOR HIS BURIAL EXPENSES</t>
  </si>
  <si>
    <t xml:space="preserve">Maria Victoria G. Tungol </t>
  </si>
  <si>
    <t>DONATION TO NORA GARCIA FOR HER MEDICAL NEEDS</t>
  </si>
  <si>
    <t xml:space="preserve">teresita C. Batino </t>
  </si>
  <si>
    <t xml:space="preserve">Sandel A. Valeriano  </t>
  </si>
  <si>
    <t xml:space="preserve">Diana L. Sorne </t>
  </si>
  <si>
    <t>DONATION TO SAMANTHA PONTILLAS FOR HER MEDICAL NEEDS</t>
  </si>
  <si>
    <t xml:space="preserve">Rose Anne Escabosa </t>
  </si>
  <si>
    <t>DONATION TO AKIRA NAOMI ALMORADIE FOR HER MEDICAL NEEDS</t>
  </si>
  <si>
    <t xml:space="preserve">Alison M. Calpo </t>
  </si>
  <si>
    <t>DONATION TO LUCIO CALPO FOR HIS HOSPITAL BILL &amp; MEDICAL NEEDS</t>
  </si>
  <si>
    <t xml:space="preserve">Virgilio Dela Cruz Buensuceso </t>
  </si>
  <si>
    <t xml:space="preserve">Dennis P. Dela Cruz </t>
  </si>
  <si>
    <t xml:space="preserve">Jay-ar T. Agsalda </t>
  </si>
  <si>
    <t>DONATION TO ROSIE LOBOS FOR HER HOSPITAL BILL</t>
  </si>
  <si>
    <t xml:space="preserve">Shiella G. Fajardo </t>
  </si>
  <si>
    <t>DONATION TO ISAGANI FAJARDO FOR HIS BURIAL EXPENSES</t>
  </si>
  <si>
    <t xml:space="preserve">Allan Dela Torre Roque </t>
  </si>
  <si>
    <t>DONATION FOR CARMELITA ROQUE FOR HER BURIAL EXPENSES</t>
  </si>
  <si>
    <t xml:space="preserve">Paulo H. Perez </t>
  </si>
  <si>
    <t xml:space="preserve">Reynaldo V. Santos </t>
  </si>
  <si>
    <t>DONATION TO JULIE SANTOS FOR HER BURIAL EXPENSES</t>
  </si>
  <si>
    <t xml:space="preserve">Cristine Joy Delos Santos </t>
  </si>
  <si>
    <t>DONATION TO ROSALIE DELOS SANTOS FOR HER HOSPITAL BILL</t>
  </si>
  <si>
    <t xml:space="preserve">Aleja Dominique B. Dela Rosa </t>
  </si>
  <si>
    <t>DONATION TO DOMINGA AGAPITO FOR HER HOSPITAL BILL</t>
  </si>
  <si>
    <t xml:space="preserve">Justin C. Padilla </t>
  </si>
  <si>
    <t>DONATION TO KATE LUMBAO AND SABRINA SKYE PADILLA FOR THEIR HOSPITAL BILLS</t>
  </si>
  <si>
    <t xml:space="preserve">Mary Jane D. Lopez </t>
  </si>
  <si>
    <t>DONATION TO MARJORIE ANN DEL ROSARIO FOR HER HOSPITAL BILL</t>
  </si>
  <si>
    <t xml:space="preserve">Jose R. Pizarro </t>
  </si>
  <si>
    <t>DONATION TO EMMA PIZARRO FOR HER BURIAL EXPENSES</t>
  </si>
  <si>
    <t xml:space="preserve">Aurora C. Mallari </t>
  </si>
  <si>
    <t>DONATION TO JAIME CARIG FOR HIS BURIAL EXPENSES</t>
  </si>
  <si>
    <t xml:space="preserve">D.C Punzalan Funeral Services </t>
  </si>
  <si>
    <t>DONATION TO SERAFIN JR. CRUZ FOR HIS BURIAL EXPENSES</t>
  </si>
  <si>
    <t xml:space="preserve">mary Len M. Bugay </t>
  </si>
  <si>
    <t>DONATION TO CALEB LAEL BUGAY FOR HJIS HOSPITAL BILL</t>
  </si>
  <si>
    <t xml:space="preserve">Rosa O. Perez </t>
  </si>
  <si>
    <t>DONATION TO JASMINE PEREZ AND JANAYA REXIE PEREZ FOR NTHEIR HOSPITAL BILLS</t>
  </si>
  <si>
    <t xml:space="preserve">Yolanda Cascasan </t>
  </si>
  <si>
    <t>DONATION TO NESTOR CASCASAN FOR HIS BURIAL EXPENSES</t>
  </si>
  <si>
    <t xml:space="preserve">Alyanna Marie T. Tolentino </t>
  </si>
  <si>
    <t>DONATION TO CLIENT AND MATT AUSTIN FOR THEIR HOSPITAL BILLS</t>
  </si>
  <si>
    <t xml:space="preserve">Rolando P. Lopez </t>
  </si>
  <si>
    <t>DONATION TO CARMEN LOPEZ FOR HER HOSPITAL BILL</t>
  </si>
  <si>
    <t xml:space="preserve">May S. Reyes </t>
  </si>
  <si>
    <t>DONATION TO DOMINADOR SANTOS FOR HIS HOSPITAL BILL</t>
  </si>
  <si>
    <t xml:space="preserve">Dolores F. Paguio </t>
  </si>
  <si>
    <t>DONATION TO RAMPEL SHAYNE REYES FOR HER HOSPITAL BILL</t>
  </si>
  <si>
    <t xml:space="preserve">Efren A. Bautista </t>
  </si>
  <si>
    <t>DONATION TO ROSARIO BAUTISTA FOR HER HOSPITAL BILL</t>
  </si>
  <si>
    <t xml:space="preserve">Edgardo T. Camacho </t>
  </si>
  <si>
    <t>DONATION TO EDGARDO "JOKER" CAMACHO JR. FOR HIS MEDICAL NEEDS</t>
  </si>
  <si>
    <t>DONATION TO HONORIO GARCIA FOR HIS MEDICAL NEEDS</t>
  </si>
  <si>
    <t xml:space="preserve">Rodney Allen G. Raquipo </t>
  </si>
  <si>
    <t>DONATION TO MARIA VIRGIE RAQUIPO FOR HER MEDICAL NEEDS</t>
  </si>
  <si>
    <t xml:space="preserve">Lunico G. Carlos </t>
  </si>
  <si>
    <t xml:space="preserve">Mary Grace B. Aquino </t>
  </si>
  <si>
    <t xml:space="preserve">Carlito S. Muñoz </t>
  </si>
  <si>
    <t xml:space="preserve">Mina C. Dimayacyac </t>
  </si>
  <si>
    <t>DONATION TO NARCISO CRUZ FOR HIS HOSPITAL BILL AND MEDICAL NEEDS</t>
  </si>
  <si>
    <t xml:space="preserve">Jeffrey D. Santos </t>
  </si>
  <si>
    <t>DONATION TO ALETHEA SOFIA SANTOS FOR HER HOSPITAL BILL</t>
  </si>
  <si>
    <t xml:space="preserve">Consorcia E. Gatdula </t>
  </si>
  <si>
    <t>DONATION TO GENEROSA GATDULA FOR HER HOSPITAL BILL</t>
  </si>
  <si>
    <t xml:space="preserve">Marilou G. Bagui </t>
  </si>
  <si>
    <t>DONATION TO CLIENT AND AXEL DAVE VALENZUELA FOR THEI HOSPITAL BILL</t>
  </si>
  <si>
    <t xml:space="preserve">Jomel christian P. De Leon </t>
  </si>
  <si>
    <t>DONATION TO GISELLE DE LEON AND GAILLE DE LEON FOR THEIR HOSPITAL BILLS</t>
  </si>
  <si>
    <t xml:space="preserve">Henrietta R. Solis </t>
  </si>
  <si>
    <t>DONATION TO JULIETA CASTILLO FOR HER HOSPITAL BILL</t>
  </si>
  <si>
    <t xml:space="preserve">Joan T. Caraan </t>
  </si>
  <si>
    <t>DONATION TO HANZ LOWELL CARAAN FOR HIS HOSPITAL BILL</t>
  </si>
  <si>
    <t>DONATION TO MIGUELA ESTERON FOR HER BURIAL EXPENSES</t>
  </si>
  <si>
    <t xml:space="preserve">Freddierits G. Rodriguez </t>
  </si>
  <si>
    <t>DONATION TO FEDERICO RODRIGUEZ FOR HIS BURIAL EXPENSES</t>
  </si>
  <si>
    <t xml:space="preserve">E.R Venzon Construction </t>
  </si>
  <si>
    <t>Labor and Materials for the Construction of Drainage System Brgy. Camacho, Balanga, Bataan (ABC)</t>
  </si>
  <si>
    <t xml:space="preserve">C.T Leoncio Construction &amp; Trading Yellow Gold </t>
  </si>
  <si>
    <t>Labor and Materials for the Construction Morong District Hosptial (EAS)</t>
  </si>
  <si>
    <t>Reimbursement of the amount paid for fuel consumption of the government vehicle Ford Everest IP 0800 for the month of August 2022</t>
  </si>
  <si>
    <t>Reimbursement of the amount paid for fuel consumption of the government vehicle Hyundai Starex MU 8265 for the month of August, 2022</t>
  </si>
  <si>
    <t>REIMB. FOR PARTS AND LABOR FOR 60,000KM PREVENTIVE MAINTENANCE AND CHANGE OIL OF FORD EVEREST C1-T417 C/O BM PRECIOUS MANUEL</t>
  </si>
  <si>
    <t>Petty cash fund replenishment for the period of September 12 - 19, 2022</t>
  </si>
  <si>
    <t>Purchase of parts for replacement of rear shock absorber for Toyota Innova with Plate No. SJA-817 used by the Provincial Treasurer's Office</t>
  </si>
  <si>
    <t>Janotorial Supplies for the use of 5 vehicles of PHO</t>
  </si>
  <si>
    <t>Parts &amp; Labor for the 350,000 km preventive maintenance Toyota Hilux A1U268 of MBDA owned by the Provincial Government of Bataan</t>
  </si>
  <si>
    <t>Newborn hearing kit for the use of Orani District Hospital</t>
  </si>
  <si>
    <t>Parts &amp; Labor for the 70,000 km preventive maintenance of Toyota Innova P1I551 of MBDA owned by the Provincial Government of Bataan</t>
  </si>
  <si>
    <t>Parts &amp; Labor for the 235,000 km preventive maintenance Toyota Hilux P1K862 of MBDA owned by the Provincial Government of Bataan</t>
  </si>
  <si>
    <t xml:space="preserve">Josephine P. Reyes </t>
  </si>
  <si>
    <t>Payment of 20.937 days Terminal leave</t>
  </si>
  <si>
    <t>Payment for mobile expenses for the covered period of July 16 - August 15, 2022</t>
  </si>
  <si>
    <t xml:space="preserve">Kristine R. Juanta </t>
  </si>
  <si>
    <t>DONATION TO ARMAN FIEL FOR HIS HOSPITAL BILL</t>
  </si>
  <si>
    <t xml:space="preserve">Lorna S. Sioson </t>
  </si>
  <si>
    <t>DONATION TO FROILAN SUMANDAL FOR HIS BURIAL EXPENSES</t>
  </si>
  <si>
    <t xml:space="preserve">Jeffrey R. Sumande </t>
  </si>
  <si>
    <t>DONATION TO NOLEEN MAE SUMANDE FOR HER HOSPITAL BILL</t>
  </si>
  <si>
    <t xml:space="preserve">Joey I. Palaypay </t>
  </si>
  <si>
    <t>DONATION TO TERESITA PALAYPAY FOR HER HOSPITAL BILL</t>
  </si>
  <si>
    <t xml:space="preserve">Maritess N. Banzon </t>
  </si>
  <si>
    <t xml:space="preserve">Jonalyn M. Pizarro </t>
  </si>
  <si>
    <t xml:space="preserve">Corazon N. Baluyut </t>
  </si>
  <si>
    <t>DONATION TO MICHELLE GUILLERMO FOR HER MEDICAL NEEDS</t>
  </si>
  <si>
    <t xml:space="preserve">Rodel P. Pizarro </t>
  </si>
  <si>
    <t>DONATION TO REMEDIOS PIZARRO FOR HER MEDICAL NEEDS</t>
  </si>
  <si>
    <t xml:space="preserve">Dea Mae M. Tongco </t>
  </si>
  <si>
    <t>DONATION TO LENON TONGCO FOR HIS MEDICAL NEEDS</t>
  </si>
  <si>
    <t>DONATION TO AUREA LOPEZ FOR HER MEDICAL NEEDS</t>
  </si>
  <si>
    <t xml:space="preserve">DBL Aircon &amp; Regfrigeration Center </t>
  </si>
  <si>
    <t>1% retention for payt of different procurements of the PGB</t>
  </si>
  <si>
    <t>1% retention forpersonal PPE for use of PEO</t>
  </si>
  <si>
    <t>Payment of water bill for Bataan Tricycle Terminal Leave for the month of August 2022</t>
  </si>
  <si>
    <t>Payment of Electric bill of various offices for the month of August 2022</t>
  </si>
  <si>
    <t>1% retention for payt of non-commonly used office supplies for use of JCPJMH</t>
  </si>
  <si>
    <t>Reimbursement of the amount paid for mobile expenses for the period of June 21 -July 20, 2022 / July 21, 2022 - August 20, 2022</t>
  </si>
  <si>
    <t>Replenishment of cash advance for emergency purchases of JPMH from September 7-11, 2022</t>
  </si>
  <si>
    <t>Payment of fuel consumption for the period of August 15-21, 2022 (LEGAL)</t>
  </si>
  <si>
    <t>Payment of fuel consumption for the period of August 22 - September 4, 2022 (MBDA)</t>
  </si>
  <si>
    <t>DONATION FOR THE HOSPITAL BILLS COVERING THE PERIOD SEPTEMBER 5-8, 2022</t>
  </si>
  <si>
    <t>DONATION FOR THE HOSPITAL BILLS COVERING THE PERIOD SEPTEMBER 5-9, 2022</t>
  </si>
  <si>
    <t xml:space="preserve">Fely E. Cagungao </t>
  </si>
  <si>
    <t>DONATION TO AIDEN JOSEFF RION FOR HIS HOSPITAL BILL</t>
  </si>
  <si>
    <t xml:space="preserve">Wyn's Gen Manopwer Services and Enterprises Co. </t>
  </si>
  <si>
    <t>Replacement of two (2) pcs tire 195R14, wiper, &amp; bulb for Nissan Urvan SGR-686 of Tourism Office</t>
  </si>
  <si>
    <t>Radiator assembly for Nissan Frontier SHA 745 of the Office of the Provincial Agriculturist</t>
  </si>
  <si>
    <t>Replacement of Wheel Cylinder of HYUNDAI 100 KOS994 c/o PGSO</t>
  </si>
  <si>
    <t>Parts &amp; Labor for 85,000 km preventive maintenance of service vehicle HYUNDAI H100 KO-S994 c/o PGSO</t>
  </si>
  <si>
    <t>Parts &amp; Labor for the 310,000 km preventive maintenance Toyota Hilux A2T545 of MBDA owned by the Provincial Government of Bataan</t>
  </si>
  <si>
    <t>Parts &amp; Labor for the replacement of Alternator Assy. w/ regulator of Toyota Hilux P1D122 of MBDA owned by the Provincial Government of Bataan</t>
  </si>
  <si>
    <t>Parts &amp; Labor for the repair and replacement of wheel bearings &amp; stabilizer link and other deffective of Toyota Hilux A1U268 of MBDA owned by the Provincial Government of Bataan</t>
  </si>
  <si>
    <t>Parts &amp; Labor for the replacement of alternator assy. of Toyota Hilux A2T253 of MBDA owned by the Provincial Government of Bataan</t>
  </si>
  <si>
    <t>Parts &amp; Labor for the 250,000 km preventive maintenance &amp; replacement of Tires &amp; other defective of Toyota Hilux P1D122 of MBDA owned by the Provincial Government of Bataan</t>
  </si>
  <si>
    <t>Parts &amp; Labor for the 20,000 km preventive maintenance Toyota Hilux P0R413 of MBDA owned by the Provincial Government of Bataan</t>
  </si>
  <si>
    <t>Parts &amp; Labor for the 5,000 km preventive maintenance Toyota Hilux S1P199 of MBDA owned by the Provincial Government of Bataan</t>
  </si>
  <si>
    <t>TOKENS FOR UPCOMING EYE MISSION COMMUNITY OUTREACH ON JULY 30-31, 2022</t>
  </si>
  <si>
    <t>PMS for 100,000 KM and Check up of the Vehicle assigned to the office of the governor toyota innova with plate number A9R043</t>
  </si>
  <si>
    <t>Honeywell switch control for installation of manual control of ceiling type (3TR) airconditioning unit in Regional Trial Court (RTC) Branch - 3 (Bulwagan II)</t>
  </si>
  <si>
    <t>OFFICE SUPPLIES for the use of Mariveles District Hospital</t>
  </si>
  <si>
    <t>Purchase the defective parts of the vehicle assigned to the office of the governor Toyota Innova with plate number SLB-235</t>
  </si>
  <si>
    <t>For replacement of one (1) piece 2SM battery, starter solenoid, high tension wire &amp; distributor assembly of Toyota FX SGJ-104 for the use of PHO</t>
  </si>
  <si>
    <t>Reimbursement of Emergency Repair of Oxygen Pipe Line (Leak) for the use of Mariveles District Hospital</t>
  </si>
  <si>
    <t>Tokens for Dugong Bayani at Banal Project c/o Bataan Youth Development Office</t>
  </si>
  <si>
    <t>Rental of Lights and Sound System to be used on June 17, 2022 for the visit of His Excellency President Rodrigo R. Duterte for the aerial survey and groundbreaking ceremony of the establishment of the Philippine Training Center</t>
  </si>
  <si>
    <t>Parts and labor for the replacement of four (4) pcs. of tire 205/65 R15 of Toyota Innova SJA-837 PEO owned by the Provincial Government of Bataan</t>
  </si>
  <si>
    <t>Payment for the funeral services under the Libreng Libing Program for the period August 2 - 7, 2022</t>
  </si>
  <si>
    <t>Payment for the funeral services under the Libreng Libing Program for the period July 9, August 11-29, 2022</t>
  </si>
  <si>
    <t>1% retention for printing of additional indoor sticker to be used in PTO</t>
  </si>
  <si>
    <t>1% retention for payt of medical laboratory supplies for use of MDH</t>
  </si>
  <si>
    <t>Payment for the funeral services under the Libreng Libing Program for the period March 7-31, 2022</t>
  </si>
  <si>
    <t>Payment for the funeral services under the Libreng Libing Program for the period April 3-30,2 022</t>
  </si>
  <si>
    <t>Payment for the funeral services under the Libreng Libing Program for the period January 2, March 25, April 12-23, May 4-29, June 4-20, 2022</t>
  </si>
  <si>
    <t>Payment for the funeral services under the Libreng Libing Program for the period February3-26, 2022 7-31, 2022</t>
  </si>
  <si>
    <t xml:space="preserve">Deodar Q. Dimaunahan </t>
  </si>
  <si>
    <t>Payment of Loyalty Pay Benefit for the month of September, 2022</t>
  </si>
  <si>
    <t xml:space="preserve">Arlene M. Dela Rosa </t>
  </si>
  <si>
    <t>Payment of LOyalty Pay Benefit FY 2022</t>
  </si>
  <si>
    <t>Payment of his Clothing Allowance for CY 2022</t>
  </si>
  <si>
    <t xml:space="preserve">Full Blast Trading and Construction </t>
  </si>
  <si>
    <t>Labor and Materials for the Construction of Senior Citizen Building, Brgy. Binukawan, Bagac, Bataan</t>
  </si>
  <si>
    <t>Payment for the funeral services under the Libreng Libing Program for the period May 3-29, 2022</t>
  </si>
  <si>
    <t xml:space="preserve">Barangay Treasurer - Bagumbayan, Bagac, Bataan </t>
  </si>
  <si>
    <t>Subsidy to Barangay Bagumbayan Bagac Bataan for their annual cultural activity on September 28, 2022</t>
  </si>
  <si>
    <t>Subsidy to Carbon Site Neighborhood association, inc. Barangay Lamao Limay Bataan for their annual cultural activity on October</t>
  </si>
  <si>
    <t>Payment of water expense for the month of August 1 - September 1, 2022</t>
  </si>
  <si>
    <t>Payment of Plan 300 for EMPLOYEES assigned as Monitoring gathering, and analysing Covid 2019 for the month of August 2022</t>
  </si>
  <si>
    <t>Payment of fuel consumption for the period of August 22-28, 2022 (BCMH)</t>
  </si>
  <si>
    <t>Payment of fuel consumption for the period of August 15-21, 2022 (PGSO)</t>
  </si>
  <si>
    <t>Payment for the funeral services under the Libreng Libing Program for the period January 4-29, 2022</t>
  </si>
  <si>
    <t>Payment of fuel consumption for the period of August 29 - September 4, 2022 (PGO)</t>
  </si>
  <si>
    <t>Replenishment of Revolving Fund for payment of donation to indigent constituents from Province of Bataan (September 20-21)</t>
  </si>
  <si>
    <t xml:space="preserve">Municipal Treasurer - Limay, Bataan </t>
  </si>
  <si>
    <t>Subsidy to Municipal of Limay Bataan for their annual cultural activity on October 4, 2022</t>
  </si>
  <si>
    <t xml:space="preserve">Aileen Sagun </t>
  </si>
  <si>
    <t>Payment of 10 days Monetized Leave</t>
  </si>
  <si>
    <t>To reimburse her expenses incurred in the purchase of domain and hosting (Information Management System with SMS Feature for PGO- Special Assistnace Program) valid for 1 year</t>
  </si>
  <si>
    <t>ICT Equipment to be used in the office of the BM Roman, Espeleta, Sunga, Beltran, Austria and Gaza</t>
  </si>
  <si>
    <t xml:space="preserve">Glenda Ballado </t>
  </si>
  <si>
    <t xml:space="preserve">Linmark Aquino </t>
  </si>
  <si>
    <t>DONATION TO CHRISTIAN AQUINO FOR HER HOSPITAL BILL</t>
  </si>
  <si>
    <t xml:space="preserve">May Montejo </t>
  </si>
  <si>
    <t>DONATION TO ESTELA ILLUSTRISIMO FOR HIS HOSPITAL BILL</t>
  </si>
  <si>
    <t xml:space="preserve">Michelle Quezon </t>
  </si>
  <si>
    <t>DONATION TO JOSE QUEZON FOR HIS MEDICAL NEEDS</t>
  </si>
  <si>
    <t>DONATION TO DOMINGO VERGARA FOR HIS HOSPITAL BILL</t>
  </si>
  <si>
    <t xml:space="preserve">Ruena de Silva </t>
  </si>
  <si>
    <t>DONATION TO DANTE DE SILVA FOR HIS HOSPITAL BILL</t>
  </si>
  <si>
    <t xml:space="preserve">Raphael C. De Leon </t>
  </si>
  <si>
    <t>Reimbursement of the reimbursable representation allowance for the month of August 2022</t>
  </si>
  <si>
    <t>Payment of Electric bill of 1Bataan Command Center for the month of August 2022</t>
  </si>
  <si>
    <t>Payment of fuel consumption on different service vehicle used by BJMP-FEMale, OPA, PIO, PCEDO &amp; Vet for August 22-28, 2022</t>
  </si>
  <si>
    <t>Supply, Delivery and Installation of Airconditioning units for the use of 1Bataan Malasakit Dialysis Center at Mariveles, Bataan</t>
  </si>
  <si>
    <t>Printing Tarpaulin for RE: PAG ASA YOUTH ASSOCIATION OF THE PHILS. YOUTH CONGRESS on Aug. 17, 2022</t>
  </si>
  <si>
    <t>Printing of Signage and Tarpaulins to be used in the new NBI Balanga Satellite Office located at the Bunker, Capitol Compound, Balanga City</t>
  </si>
  <si>
    <t>Printing of Tarpaulin for RE: Bataan EduChild Facilitators Training Seminar on August 18-19, 2022 at the Bataan Peninsula State University City of Balanga, Bataan</t>
  </si>
  <si>
    <t>Parts &amp; Labor for 235,000 kms check up &amp; change oil of Nissan Ambulance OW-3902 of Jose Payumo Memorial Hospital, Dinalupihan, Bataan</t>
  </si>
  <si>
    <t>Replacement of defective cross joint of Payloader TCM-860 of PEO owned by the Provincial Government of Bataan</t>
  </si>
  <si>
    <t>To purchase of dash cam and memory card for the use of Toyota Fx A5U228 of PEO owned by the Provincial Government of Bataan</t>
  </si>
  <si>
    <t>Snack &amp; Lunch to be served in the Local farmer Technician (LFT) 3rd quarter meeting to be held on September 9, 2022 at Poblacion, Morong, Bataan</t>
  </si>
  <si>
    <t>Medical, dental and xray supplies of MDH</t>
  </si>
  <si>
    <t>AM Snack &amp; Lunch to be served in the Small Water Irrigation System Association (SWISA) meeting to be held on August 26, 2022 at the 5th Floor Bunker Building Capitol Balanga City, Bataan</t>
  </si>
  <si>
    <t>Payment of insurance of One (1) unit service vehicle owned by PGB</t>
  </si>
  <si>
    <t>Office equipment to be used in Clearance Processing of NBI Balanga Satellite Office located in the Bunker, Capitol Compound, Balanga City, Bataan</t>
  </si>
  <si>
    <t>FOR REPLACEMENT OF ALTERNATOR PULLEY ASSIGNED TO THE OFFICE OF THE GOVERNOR TOYOTA INNOVA WITH PLATE NUMBER SLB-225</t>
  </si>
  <si>
    <t>For Replacement of two (2) Pcs. Hub Bearing of the Vehicle Assigned to the Office of the Governor Namely our Toyota Innova with Plate Number SLB-225</t>
  </si>
  <si>
    <t>Parts and labor for 105,000 km preventive maintenance check-up of Hyundai Starex MP-9073 c/o COA</t>
  </si>
  <si>
    <t>To purchase spareparts needed for the repair of engine of FB L-300 SHS-787 of PEO owned by the Provincial Government of Bataan</t>
  </si>
  <si>
    <t>Parts and labor for the replacement of suspension parts of Toyota Innova Assigned to the Office of the Governor with plate number SJG-485</t>
  </si>
  <si>
    <t>Parts and labor for the replacement of four (4) pcs tire 265/70 R15 of Toyota Hilux P1P649 of PEO owned by the Provincial Government of Bataan</t>
  </si>
  <si>
    <t xml:space="preserve">Luck-Well Construction </t>
  </si>
  <si>
    <t>60% partial payt Labor and Materials for the Construction of Road Brgy. Quinawan, Bagac, Bataan</t>
  </si>
  <si>
    <t>Payment for the funeral services under the Libreng Libing Program for the period Sept 14-29, Nov. 6, Dec. 26, 2021 Jan. 5-26, Feb. 16-27, Mar. 4-17, April 29, May 16-31, June 1-9, 2022</t>
  </si>
  <si>
    <t>Reimbursement the amount paid for LTO Registration of Six (6) Service Vehicle owned by PGB</t>
  </si>
  <si>
    <t>Payment of Donation to Bataan Crime Lab for their Administrative and Operational Expenses for 16 August - 15 September, 2022</t>
  </si>
  <si>
    <t xml:space="preserve">Barangay Treasurer - Naparing, Dinalupihan, Bataan </t>
  </si>
  <si>
    <t>Subsidy to Barangay Naparing Dinalupihan Bataan for their Annual Cultural Activity on November 3, 2022</t>
  </si>
  <si>
    <t>Text Blast Subscription for the use for information dissemination of Covid 19 programs for Bataan Province for the month of August 2022</t>
  </si>
  <si>
    <t>Payment of Electrical Consumption for the period of August, 2022</t>
  </si>
  <si>
    <t xml:space="preserve">Marjorie Ann T. Ganzon </t>
  </si>
  <si>
    <t>DONATION TO PERLITA GANZON FOR HER MEDICAL NEEDS</t>
  </si>
  <si>
    <t>Payment of Fidelity Bond of personnel in MDH</t>
  </si>
  <si>
    <t>Reimbursement of her expenses incurred in the payment of Riworal MT8 UHF Professional Wireless Microphone Desktop Gooseneck Mike With 8PPCS Frequency Changeable Ultralow Background Noise used in the Governors Office Conference Room</t>
  </si>
  <si>
    <t>Replenishment of Revolving Fund for payment of donation to indigent constituents from Province of Bataan (Sept. 22)</t>
  </si>
  <si>
    <t xml:space="preserve">Balanga City B Corpoarte Fund </t>
  </si>
  <si>
    <t>Purchase of Postage Stamps for use in the Provincial Treasurer's Office</t>
  </si>
  <si>
    <t>Labor and Materials for the IMPROVEMENT OF TENNIS COURT BRGY. DOñA FRANCISCA, BALANGA CITY, BATAAN (20% DF)</t>
  </si>
  <si>
    <t xml:space="preserve">D.M. Bernales Construction </t>
  </si>
  <si>
    <t>Labor and Materials for the Concreting of Farm to Market Road Brgy. Gugo, Samal, Bataan (20% DF)</t>
  </si>
  <si>
    <t>Subsidy to SDO-Bataan for 2022 National Education Summit on September 28 to 29, 202</t>
  </si>
  <si>
    <t>Payment of water bill for fishery, Bagong Silang for the month of August, 2022</t>
  </si>
  <si>
    <t>Payment of water bill for Palayan ng Bayan Bagong Silang for the month of August 2022</t>
  </si>
  <si>
    <t>Payment of fuel consumption for the period of August 29 - September 4, 2022 (PEO)</t>
  </si>
  <si>
    <t>1% retention for dialysis supplies for use of JCPMH</t>
  </si>
  <si>
    <t>1% retention for ddifferent procurements of the PGB</t>
  </si>
  <si>
    <t>Payment of internet connection of BCMH for the billing period of August 30 - September 29, 2022</t>
  </si>
  <si>
    <t>Parts &amp; Labor for the 390,000 km preventive maintenance Toyota Hilux A1Z842 of MBDA owned by the Provincial Government of Bataan</t>
  </si>
  <si>
    <t>Replacement of break pad of Nissan Urvan Ambulance NAO4146 c/o PDRRMO</t>
  </si>
  <si>
    <t>UPS as a replacement to defective and condemned unit used in the Provincial Treasurer's Office</t>
  </si>
  <si>
    <t>Parts and Labor for 60,000 km preventive maintenance check-up of Toyota Hilux POA308 of PNP owned by the Provincial Government of Bataan</t>
  </si>
  <si>
    <t>Oil filter &amp; fuel filter to be used for change oil of Backhoe of PEO owned by the Provincial Government of Bataan</t>
  </si>
  <si>
    <t>Emergency purchase of X-ray supplies for the use of Orani District Hospital</t>
  </si>
  <si>
    <t>Materials for repair &amp; maintenanace of JPMH, Dinalupihan, Bataan</t>
  </si>
  <si>
    <t>Replacement of Four (4) Tire 205 / 65 R15 Assigned to the Office of the Governor Toyota Innova with Plate number SLB-225</t>
  </si>
  <si>
    <t>Parts and labor for 1000 km preventive maintenance HILUX pick-up 4x4 S3P 566 conquest c/o PDRRMO</t>
  </si>
  <si>
    <t>Parts and Labor for the Change Oil Assigned to the Office of the Governor Honda Civic with Plate Number SJB-437</t>
  </si>
  <si>
    <t>Replacement of Brake pad and Brake shoe for Toyota Ambulance P1 A213 for the use of Bagac Community and Medicare Hospital</t>
  </si>
  <si>
    <t xml:space="preserve">Vista Tala Resort &amp; Recreational Park Inc. </t>
  </si>
  <si>
    <t>Meals for the NLEX Lakbay Norte on August 4, 2022 at Vista Tala, Orani, Bataan</t>
  </si>
  <si>
    <t>Cellphone for prizes to weekly raffle for "Bakunahan Bayanihan sa Barangay Pinaslakas ang Boosted na Bataeño: Part 2: Tuloy-Tuloy ang Panalo ng Boosted na Bataeño on August 30, September 15, October 3, October 17, and October 31, 2022 "</t>
  </si>
  <si>
    <t>Replacement of defective parts of Howo Mini Dumptruck White of PEO owned by the Provincial Government of Bataan</t>
  </si>
  <si>
    <t>Replacement of defective battery for Toyota Hilux SHJ-689 &amp; Toyota Hilux A6U273 of PEO owned by the Provincial Government of Bataan</t>
  </si>
  <si>
    <t xml:space="preserve">June Trading &amp; Construction Supply </t>
  </si>
  <si>
    <t>Materials for fabrication of Ten (10) units of Drop panel to be utelized for Local and National events hosted by Provincial Government of Bataan</t>
  </si>
  <si>
    <t>Replacement of defective battery of FB L-300 SHS-641 &amp; SHS-653 of PEO owned by the Provincial Government of Bataan</t>
  </si>
  <si>
    <t>Sevoflurane for the use of Orani District Hospital</t>
  </si>
  <si>
    <t>Parts &amp; Labor for the 280,000 km preventive maintenance Toyota Hilux P0Z559 of MBDA owned by the Provincial Government of Bataan</t>
  </si>
  <si>
    <t>Parts and Labor for the replacement of magnetic clutch pulleyn and charging of freon gas134A to Nissan NAvara OV8024 of PEO owned by the Provincial Government of Bataan</t>
  </si>
  <si>
    <t>Replacement of break pad of Toyota GL GRANDIA A7V159 c/o PDRRMO</t>
  </si>
  <si>
    <t>Materials for the installation of Air-conditioning Unit in MIS Office - 3rd Floor Right Wing of Bataan People's Center</t>
  </si>
  <si>
    <t>Office Supplies for the use of 2nd District Congressional Office</t>
  </si>
  <si>
    <t xml:space="preserve">Angeles University Foundation Medical Center </t>
  </si>
  <si>
    <t>Laboratory Supplies (NEWBORD HEARING SUPPLIES) for the use of Mariveles District Hospital</t>
  </si>
  <si>
    <t>Materials for change oil/preventive maintenance of SHA 745 to be used in the Office of the Provincial Agriculturist</t>
  </si>
  <si>
    <t>Sound System and Mobile to be used during the conduct of National Disaster Resilence Month (NDRM) on July 1, 2022, July 4-8, 2022, July 18, 2022 and July 29, 2022</t>
  </si>
  <si>
    <t>Medical supplies of dialysis for the use of Jose C Payumo Jr Memorial Hospital</t>
  </si>
  <si>
    <t>Replacement of break pad of Toyota Hilux A8I896 c/o PDRRMO</t>
  </si>
  <si>
    <t>For Upgrading and Updating of Computer Parts</t>
  </si>
  <si>
    <t>Payment of fuel on different service vehicle used by the VET consumption for the period of August 29, 2022 -Sept 4, 2022</t>
  </si>
  <si>
    <t>Payment of fuel consumption for the period of August 15-21, 2022 (PEO)</t>
  </si>
  <si>
    <t>Replenishment of Emergency Purchases of NBB Patients for the period from September 10 - 14, 2022</t>
  </si>
  <si>
    <t>Replenishment for Medicine and Medical Supplies and Laboratory Expenses under NBB in MDH August 23 - September 06, 2022</t>
  </si>
  <si>
    <t>Replenishment of Emergency Purchases of NBB Patients for the period from September 15 - 18, 2022</t>
  </si>
  <si>
    <t>Payment for mobile expenses for the covered period of 8/1 - 8/31, 2022 (1057146687)</t>
  </si>
  <si>
    <t>Payment of fuel consumption for the period of August 22 - 28, 2022 (PEO)</t>
  </si>
  <si>
    <t>Reimbursement of Parts and labor for 150,000 km preventive maintenance and change oil of Ford Everest IO-9845 c/o BM Jomar L. Gaze</t>
  </si>
  <si>
    <t xml:space="preserve">Maria Ursula Mae B. Antonio </t>
  </si>
  <si>
    <t>Reimbursement of her transportation expenses, per diem and registration fee for attending the 3-day Orientation - Workshop on the Enhanced PFMAT and the ePFMAT on September 12-14, 2022</t>
  </si>
  <si>
    <t>Payment for mobile expenses for the covered period of 8/1 - 8/31, 2022 (0792238092)</t>
  </si>
  <si>
    <t>Payment for mobile expenses for the covered period of 8/1 - 8/31, 2022 (0806416150)</t>
  </si>
  <si>
    <t>Medical supplies for the use of Orani District Hospital</t>
  </si>
  <si>
    <t>Payment for mobile expenses for the covered period of 8/1 - 8/31, 2022 (1057156186)</t>
  </si>
  <si>
    <t>Payment for mobile expenses for the covered period of 8/1 - 8/31, 2022 (0800283558)</t>
  </si>
  <si>
    <t>Replenishment for market purchases of JPMH for the period of September 13 - 21, 2022</t>
  </si>
  <si>
    <t>Payment of fuel on different service vehicle used by the VET consumption for the period of August 15-21, 2022</t>
  </si>
  <si>
    <t>To reimbursement his expenses incurred in the payment of meals and snacks during various meetings in the PGO</t>
  </si>
  <si>
    <t xml:space="preserve">Elizabeth F. Miranda </t>
  </si>
  <si>
    <t>DONATION TO ALFREDO MIRANDA FOR HIS BURIAL EXPENSES</t>
  </si>
  <si>
    <t xml:space="preserve">Michael P. Castro </t>
  </si>
  <si>
    <t>DONATION TO MARICAR CASTRO AND MARCUS STEEVEN CASTRO FOR THEIR HOSPITAL BILLS</t>
  </si>
  <si>
    <t xml:space="preserve">Reynante C. Sevilla </t>
  </si>
  <si>
    <t>DONATION TO MARY ROSE SEVILLA AND JACOB ALLAN SEVILLA FOR THEIR HOSPITAL BILLS</t>
  </si>
  <si>
    <t xml:space="preserve">Eunice R. Calara </t>
  </si>
  <si>
    <t>DONATION TO MARCIANA CALARA FOR HER HOSPITAL BILL AND MEDICAL EXPENSES</t>
  </si>
  <si>
    <t xml:space="preserve">Mary Ann D. Suarez </t>
  </si>
  <si>
    <t>DONATION TO KEVIN KURT SUAREZ FOR HIS MEDICAL NEEDS</t>
  </si>
  <si>
    <t>DONATION TO CRISTINA MANGILIMAN FOR HER MEDICAL NEEDS</t>
  </si>
  <si>
    <t>DONATION TO MA. NENA SISON FOR HER BURIAL EXPENSES</t>
  </si>
  <si>
    <t xml:space="preserve">Camille P. Rivera </t>
  </si>
  <si>
    <t>DONATION TO ALEGRIA RIVERA FOR HER HOSPITAL BILL</t>
  </si>
  <si>
    <t xml:space="preserve">Cecilia del Mundo de Guia </t>
  </si>
  <si>
    <t>DONATION TO ELSA SANCHEZ FOR HER HOSPITAL BILL</t>
  </si>
  <si>
    <t xml:space="preserve">Mariah Janelle A. Garcia </t>
  </si>
  <si>
    <t>DONATION TO BENNI THEO GARCIA FOR HIS HOSPITAL BILL</t>
  </si>
  <si>
    <t xml:space="preserve">Rosario D. Cayetano </t>
  </si>
  <si>
    <t>DOANTION TO SALOME DIAZ FOR HER HOSPITAL BILL</t>
  </si>
  <si>
    <t xml:space="preserve">Regina T. Samson </t>
  </si>
  <si>
    <t>DONATION TO BERNARD ELI SAMSON FOR HIS HOSPITAL BILL</t>
  </si>
  <si>
    <t xml:space="preserve">Verlinda B. Dizon </t>
  </si>
  <si>
    <t>DONATION TO MILAGROS CELEDONIA DE LEON FOR HER HOSPITAL BILL</t>
  </si>
  <si>
    <t xml:space="preserve">Natividad D. Gatdula </t>
  </si>
  <si>
    <t>DONATION TO JONROE GATDULA FOR HIS MEDICAL NEEDS</t>
  </si>
  <si>
    <t xml:space="preserve">Aida M. Taylor </t>
  </si>
  <si>
    <t>Cash advance of cash prizes for 3rd raffle draw for "Bakunahan Bayanihan sa Barangay Pinalakas ang Boosted na Bataeño: Part 2: Tuloy-Tuloy ang Panalo ng Boosted na Bataeño (September 12-16, 2022, September 19-23, 2022 &amp; September 26-30, 2022) on October 3, 2022</t>
  </si>
  <si>
    <t>Parts and labor for 90,000 km preventive maintenance check-up of TOYOTA INNOVA A4M 291 c/o COA</t>
  </si>
  <si>
    <t>Non and Accountable forms (Stock Card) for the use of Mariveles District Hospital</t>
  </si>
  <si>
    <t xml:space="preserve">Joel dela Cruz </t>
  </si>
  <si>
    <t>DONATION TO CELSO DELA CRUZ FOR HIS HOSPITAL BILL</t>
  </si>
  <si>
    <t xml:space="preserve">Mary Joy Ponciano </t>
  </si>
  <si>
    <t>DONATION TO RODRIGO PONCIANO FOR HIS BURIAL EXPENSES</t>
  </si>
  <si>
    <t>Internet bill of Bataan Human Settlememnt Office &amp; Vet Office for July 14-Oct 17, 2022</t>
  </si>
  <si>
    <t>Incidental expenses tokens given to various visitors calling on the Provincial Governor on various occasions &amp; purposes</t>
  </si>
  <si>
    <t>Payment of fuel on different service vehicle used by the PDRRMO &amp; PNP for the period of August15-21, 2022</t>
  </si>
  <si>
    <t>Payment of PLDT Fiber for the month of September 21 to October 20, 2022</t>
  </si>
  <si>
    <t>Cash advance to defray expenses of Tourism Month 2022</t>
  </si>
  <si>
    <t xml:space="preserve">Joseph Andrew Jalober </t>
  </si>
  <si>
    <t xml:space="preserve">Anabelle Claraval </t>
  </si>
  <si>
    <t>Replenishment of cash advance to defray payment of Daily Market Purchase from September 9-16, 2022</t>
  </si>
  <si>
    <t>ICT Equipment (Keyboard) for the used of CHPD</t>
  </si>
  <si>
    <t>Waste pad assembly for the one (1) unit printer Epson L14150 of Planning and Programming Division of the Provincial Engineer's Office</t>
  </si>
  <si>
    <t>Parts &amp; Labor for the 60,000 km preventive maintenance &amp; other defective parts of 2018 / Fortuner 2.4L 4x2 G Dsl AT-W3-006 of Bataan PPPIC owned by the Provincial Government of Bataan</t>
  </si>
  <si>
    <t>Foods to be served for the Capacity Development Workshop on the Population and Development Programs on August 25-26, 2022</t>
  </si>
  <si>
    <t>Parts and labor for the use of PHO for HIACE Commuter VAN P7L132</t>
  </si>
  <si>
    <t>Parts and labor for the repair of airconditioning system of HYUNDAI H100 KO-S994 c/o PGSO</t>
  </si>
  <si>
    <t>For replacement of wiper blade and 2 sets of tire 750 x16 14ply with interior &amp; flaps for the use of PHO</t>
  </si>
  <si>
    <t>PMS 300,000 KM AND CHECK UP OF THE VEHICLE ASSIGNED TO THE OFFICE OF THE GOVERNOR NAMELY OUT TOYOTA HIACE COMMUTER WITH CONDUCTION STICKER VR0088</t>
  </si>
  <si>
    <t>PMS 5,000 KM AND CHECK UP OF THE SAID VEHICLE ASSIGNED TO THE OFFICE OF GOVERNOR WITH CONDUCTION STICKER S2Q208</t>
  </si>
  <si>
    <t xml:space="preserve">A.B.G. Enterprises </t>
  </si>
  <si>
    <t>Fire Extinguiser HCFC-123 for the use of Bagac Community and Medical Hospital</t>
  </si>
  <si>
    <t xml:space="preserve">Copylandia Office Systems Corp. </t>
  </si>
  <si>
    <t>RISO INK for the use of PGSO</t>
  </si>
  <si>
    <t>Payment for two pcs. (2) commercial Checkbooks</t>
  </si>
  <si>
    <t xml:space="preserve">Lebern Builders and Trading and General Services </t>
  </si>
  <si>
    <t>Labor and Materials for the Upgrading of Road, Brgy. Wawa, Pilar, Bataan</t>
  </si>
  <si>
    <t xml:space="preserve">4B Construction Corporation </t>
  </si>
  <si>
    <t>Labor and Materials for the Construction of Drainage System Brgy. San Antonio-Parang-Saysain (Phase 3), Bagac, Bataan</t>
  </si>
  <si>
    <t>Materials needed for fabrication of 30 pcs Dust Pan for the used of Motorpool, RBM and CGBM Division of PEO</t>
  </si>
  <si>
    <t>Payment for the funeral services under the Libreng Libing Program for the period May 30, June 8-29, 2022</t>
  </si>
  <si>
    <t>Payment for the funeral services under the Libreng Libing Program for the period August 1-30, September 1, 2022</t>
  </si>
  <si>
    <t>Payment for the funeral services under the Libreng Libing Program for the period July 4-31, 2022</t>
  </si>
  <si>
    <t>Emergency purchase of Laboratory Supplies (other supplies) for the use of Mariveles District Hospital</t>
  </si>
  <si>
    <t xml:space="preserve">Edgardo B. Cruz </t>
  </si>
  <si>
    <t xml:space="preserve">Marthy de Guzman </t>
  </si>
  <si>
    <t>DONATION TO WILFREDO DE GUZMAN FOR HIS BURIAL EXPENSES</t>
  </si>
  <si>
    <t xml:space="preserve">Remellie Obenza </t>
  </si>
  <si>
    <t>DONATION TO NIñO OBENZA FOR HIS HOSPITAL BILL</t>
  </si>
  <si>
    <t xml:space="preserve">Victor de Luna </t>
  </si>
  <si>
    <t>DONATION TO MICHELLE DE LUNA FOR HER BURIAL EXPENSES</t>
  </si>
  <si>
    <t xml:space="preserve">Victor Natividad </t>
  </si>
  <si>
    <t xml:space="preserve">Irene de Jesus </t>
  </si>
  <si>
    <t>DONATION TO ZENAIDA DE JESUS FOR HER MEDICAL NEEDS</t>
  </si>
  <si>
    <t xml:space="preserve">Von Erick Carreon </t>
  </si>
  <si>
    <t xml:space="preserve">Nida Lopez </t>
  </si>
  <si>
    <t>DONATION TO ISABEL DAQUIZ FOR HER BURIAL EXPENSES</t>
  </si>
  <si>
    <t xml:space="preserve">Elvira Tuazon </t>
  </si>
  <si>
    <t>DONATION TO BRIAN TUAZON FOR HIS MEDICAL NEEDS</t>
  </si>
  <si>
    <t xml:space="preserve">May Lingad </t>
  </si>
  <si>
    <t xml:space="preserve">Merceditha Magpayo </t>
  </si>
  <si>
    <t>DONATION TO RODOLFO ADENA FOR HIS BURIAL EXPENSES</t>
  </si>
  <si>
    <t>(NSC-CL)- Expanded NBS Collection Kit for the use of Orani District Hospital</t>
  </si>
  <si>
    <t>Materials needed for fabrication of 3-Storey Shelf Workshop Steel Trolley (2 units) for Motorpool Division of PEO</t>
  </si>
  <si>
    <t>Materials for the installation of lightings for glass display case in The Bunker Building</t>
  </si>
  <si>
    <t xml:space="preserve">Cindy P. Manlapid </t>
  </si>
  <si>
    <t>Payment for Terminal Leave</t>
  </si>
  <si>
    <t xml:space="preserve">Sunshine B. Bandola </t>
  </si>
  <si>
    <t xml:space="preserve">Rustico N. Javillonar Jr. </t>
  </si>
  <si>
    <t xml:space="preserve">Edwin B. Guino </t>
  </si>
  <si>
    <t>Payment of his 1st Salara and Ra for the period of September 05 - 30, 2022</t>
  </si>
  <si>
    <t>Meals for the Special Session of Sangguniang Panlalawigan on August 30, 2022</t>
  </si>
  <si>
    <t>Meals for the Special Session of Sangguniang Panlalawigan on September 05, 2022</t>
  </si>
  <si>
    <t>IT services fees of the annotation on the Certificate of Title in Subsequent Registration for the Warrant of Levy issued by the Province dated June 23, 2022 &amp; July 5, 2022</t>
  </si>
  <si>
    <t>LRA fees of the annotation on the Certificate of Title in Subsequent Registration for the Warrant of Levy issued by the Province dated June 23, 2022 &amp; July 5, 2022</t>
  </si>
  <si>
    <t>LRA fees of the annotation on the Certificate of Title in Subsequent Registration for the Warrant of Levy issued by the Province dated September 15, 2022</t>
  </si>
  <si>
    <t>IT services fees of the annotation on the Certificate of Title in Subsequent Registration for the Warrant of Levy issued by the Province dated September 15, 2022</t>
  </si>
  <si>
    <t>Payment of Electric bill of Bataan Christian Youth for the month of August 2022</t>
  </si>
  <si>
    <t>Payment of Electric bill of CCTV for the month of August 2022</t>
  </si>
  <si>
    <t>Payment of Electric bill of various offices and buildings and street lights for the month of August 2022</t>
  </si>
  <si>
    <t>Payment of Electric bill of PGSO Checkpoint Balsik for the month of August 2022</t>
  </si>
  <si>
    <t>Payment of Electric bill of MDH for the month of August, 2022</t>
  </si>
  <si>
    <t>Payment for the renewal of zoom subscription and license for videoconferencing Solution for the Provincial Government of Bataan for the period of September, 2022 - 2023</t>
  </si>
  <si>
    <t>Payment of Electric bill of 1Bataan Malasakit Dialysis CTR for the month of August 2022</t>
  </si>
  <si>
    <t>Payment of Electric bill of Prov'l Plant and Multi Purpose CTR, Tilapya for the month of August 2022</t>
  </si>
  <si>
    <t>Payment of Water Bill for 1Bataan Malasakit Dialysis center for the month of August 2022</t>
  </si>
  <si>
    <t>Payment of Electric bill of various district hospital for the month of August 2022</t>
  </si>
  <si>
    <t>Payment of Electric bill of Checkpoint-Tucop and Roosevelt and BJMP, Orani for the month of August 2022</t>
  </si>
  <si>
    <t>Telephone bills of various offices Sept 18-OCt 20, 2022</t>
  </si>
  <si>
    <t>Payment of Electric bill of the following offices, Balanga City for the month of August 2022</t>
  </si>
  <si>
    <t>Remittance of Pag-ibig II Savings of the provincial employees September 2022</t>
  </si>
  <si>
    <t>Remittance of integrated insurance contribution, emergency loan, REL, cash advance, optional insurance premium, policy loan, REL, GFAL, MPL and computer Loan for the month of Septmeber 2022</t>
  </si>
  <si>
    <t>Remittance of salary loan installment of provincial employees for Septmeber 2022</t>
  </si>
  <si>
    <t>Additional remittance of philhealth contribution of provincial employees for July 2022</t>
  </si>
  <si>
    <t>Additional remittance of philhealth contribution of provincial employees for August 2022</t>
  </si>
  <si>
    <t>Payment of Term Loan amortization for the period of October 13, 2022</t>
  </si>
  <si>
    <t>Payment of Fidelity Bond of Jocelyn B. Fuentes and Emily B. Capili for the period of Oct. 18, 2022 - Oct. 17, 2023</t>
  </si>
  <si>
    <t>Labor and Materials for the Rehabilitation of Barangay Hall Brgy. San Roque, Samal, Bataan</t>
  </si>
  <si>
    <t>CONSTRUCTION OF PNP-SAF BARRACKS BRGY NAGBALAYONG MORONG BATAAN</t>
  </si>
  <si>
    <t xml:space="preserve">JEPA Contrucions and Supplies </t>
  </si>
  <si>
    <t>Labor and Materials for the Construction of Bida Multi-Purpose Coodination Center (ABC) BRGY. GABON, ABUCAY, BATAAN</t>
  </si>
  <si>
    <t>Labor and Materials for the Concreting of Road Brgy. Ipag, Mariveles, Bataan</t>
  </si>
  <si>
    <t>Payment of Rental Fee for the month of July 01 - September 30, 2022</t>
  </si>
  <si>
    <t xml:space="preserve">Yvonne Reigne E. Factoran </t>
  </si>
  <si>
    <t>Payment of last salary of the late Mr. Noel Factoran for the period of October 16-27, 2021</t>
  </si>
  <si>
    <t>Payment of Hazard Pay from June 16, 2021 to October 27, 2021 of late Mr. Noel Factoran</t>
  </si>
  <si>
    <t xml:space="preserve">Precy V. Narciso </t>
  </si>
  <si>
    <t>DONATION TO RUSSEL NARCISO FOR HIS MEDICAL NEEDS</t>
  </si>
  <si>
    <t xml:space="preserve">Bienvinida T. Cordinoza </t>
  </si>
  <si>
    <t>DONATION TO ARTURO CARDINOZA FOR HIS BURIAL EXPENSES</t>
  </si>
  <si>
    <t xml:space="preserve">John Edward P. Vergara </t>
  </si>
  <si>
    <t>DONATION TO BERNARD MAHINAY FOR HIS HOSPITAL BILL</t>
  </si>
  <si>
    <t>DONATION TO ROSARIO DELA ROSA FOR HER BURIAL EXPENSES</t>
  </si>
  <si>
    <t>Materials for repair and maintenance of Office under PGB (SP Office, 6th Floor, Bunker Bldg.)</t>
  </si>
  <si>
    <t xml:space="preserve">Sy Medical Trading Corporation </t>
  </si>
  <si>
    <t>Medical Supplies and Equipment for the used of Provincial Disaster Risk Reduction and Management Office</t>
  </si>
  <si>
    <t>Reimbursement of gasoline, oil and lubricants expenses of ODH Ambulance with Plate No. F4D127 from May 12-31, 2022</t>
  </si>
  <si>
    <t xml:space="preserve">Bataan Doctor's Hospital &amp; Medical Center </t>
  </si>
  <si>
    <t>DONATION FOR THE HOSPITAL BILLS COVERING THE PERIOD SEPTEMBER 12-16,2022</t>
  </si>
  <si>
    <t>Payment of fuel on different service vehicle used by the PPDo, PCEDO, SOCO, PIO, PTO, PGENRO &amp; OPA consumption for the period of August 29, 2022 -Sept 4, 2022</t>
  </si>
  <si>
    <t>Payment of fuel consumption for the period of August 8-14 (VAN Isuzu SHP-848 PGSO)</t>
  </si>
  <si>
    <t>Replenishment of Revolving Fund for payment of donation to indigent constituents from Province of Bataan (September 23 - 27)</t>
  </si>
  <si>
    <t xml:space="preserve">Joseph Silvino Pagdanganan </t>
  </si>
  <si>
    <t>Payment of his first salary from July 1 to September 30, 2022</t>
  </si>
  <si>
    <t>Payment of fuel consumption for the period of August 22 - 28, 2022 (VAN Isuzu SHP-848 PGSO)</t>
  </si>
  <si>
    <t>Replenishment for market purchase of MDH for the period of September 09-13, 2022</t>
  </si>
  <si>
    <t>Reimbursement Re: Bataan Federation of Senior Citizens Asso. Of the Phils. Transportation Allowance in their Attendance to the Regular Meeting dated September 15, 2022</t>
  </si>
  <si>
    <t xml:space="preserve">Bataan General Hospital </t>
  </si>
  <si>
    <t>Payment of blood units for NBB patients of JPMH for the period from March 1 -31, 2022</t>
  </si>
  <si>
    <t xml:space="preserve">Balanga Medical Center Corporation </t>
  </si>
  <si>
    <t>DONATION FOR THE HOSPITAL BILLS AND MEDICAL NEEDS COVERING THE PERIOD SEPTEMBER 12-15, 2022</t>
  </si>
  <si>
    <t xml:space="preserve">Microhms Electronics &amp; Services </t>
  </si>
  <si>
    <t>Production of Audio Visual Presentation (AVP) of Governor Albert S. Garcia to Nation Resilience Council (NRC) Colloquim</t>
  </si>
  <si>
    <t xml:space="preserve">Poweradio Mobile Enterprises </t>
  </si>
  <si>
    <t>Rental of Lights and Sounds System for the Philippine Trade and Investment Center of Australia / New Zealand's Pacific Business Mission to the Philippines - Bataan Leg event on August 17, 2022</t>
  </si>
  <si>
    <t>Reimbursement of gasoline expenses of JPMH for the period from September 1-11, 2022</t>
  </si>
  <si>
    <t>Replenishment of cash advance for emergency purchases of JPMH from September 12 - 15, 2022</t>
  </si>
  <si>
    <t>Payment of Fuel Consumption for the period of September 05-11, 2022 (MBDA)</t>
  </si>
  <si>
    <t>Payment of fuel on different service vehicle used by the PDRRMO, Tourism &amp; PHO for the period of August 22-28, 2022</t>
  </si>
  <si>
    <t>Payment of fuel consumption for the period of August 22 - 28, 2022 (VAN Hyundai Passenger Van KOS-994 PGSO)</t>
  </si>
  <si>
    <t>Payment of Fuel Consumption for the period of September 05-11, 2022 (PGO)</t>
  </si>
  <si>
    <t>Payment of Fuel Consumption BCMH for the period of September 05-11, 2022</t>
  </si>
  <si>
    <t>185 Security Services for Provincial Government of Bataan for the period covered from Aug 1-31, 2022</t>
  </si>
  <si>
    <t>Security Services by 72 security guards deployed Capitol Compound City of BAlanga August 1-31, 2022</t>
  </si>
  <si>
    <t>Labor and Materials for the Concreting of Farm to Market Road Brgy. Palili, Samal, Bataan</t>
  </si>
  <si>
    <t>Replenishment of Miscellaneous Expenses of MDH used for the period of June 17 - September 12, 2022</t>
  </si>
  <si>
    <t>Replenishment for market purchase of MDH for the period of September 03-08, 2022</t>
  </si>
  <si>
    <t>Replenishment for market purchase of Mariveles District Hospital for the period of August 27-September 2, 2022</t>
  </si>
  <si>
    <t>Reimbursement of gasoline, oil and lubricants expenses of ODH from July 1- 15, 2022</t>
  </si>
  <si>
    <t>Payment for the 1% retention for payment of additional supply, delivery and distribiution of goods to Bataan constituents as Tulong Mula sa Pamahalaan during Covid-19 Pandemic</t>
  </si>
  <si>
    <t xml:space="preserve">Zaila Joy Pamittan </t>
  </si>
  <si>
    <t>Payment of her honorarium as trainor in the conduct of First Aid and Basic Life Support Training on July 19-22, 2022</t>
  </si>
  <si>
    <t xml:space="preserve">Noemi Cabantog Bautista </t>
  </si>
  <si>
    <t xml:space="preserve">Carmela Dimaculangan </t>
  </si>
  <si>
    <t xml:space="preserve">Geralie Marquez </t>
  </si>
  <si>
    <t>Payment for the funeral services under the Libreng Libing Program for the period August 10-29, September 7-8, 2022</t>
  </si>
  <si>
    <t>Payment for the funeral services under the Libreng Libing Program for the period of March 24, April 29, May 2-30, 2022</t>
  </si>
  <si>
    <t>Payment for the funeral services under the Libreng Libing Program for the period of July 13-30, August 5-31, September 12, 2022</t>
  </si>
  <si>
    <t>Payment for the funeral services under the Libreng Libing Program for the period of August 2-31, 2022</t>
  </si>
  <si>
    <t xml:space="preserve">Roberto A. Ortiguerra </t>
  </si>
  <si>
    <t>DONATION TO LAURO ORTIGUERRA FOR HIS BURIAL EXPENSES</t>
  </si>
  <si>
    <t xml:space="preserve">Alfredo D. Mayoralgo </t>
  </si>
  <si>
    <t>DONATION TO NONA MAYORALGO FOR HER HOSPITAL BILL</t>
  </si>
  <si>
    <t xml:space="preserve">Aurelia V. Hernandez </t>
  </si>
  <si>
    <t>DONATION TO EFREN JR. HERNANDEZ FOR HIS HOSPITAL BILL</t>
  </si>
  <si>
    <t xml:space="preserve">Chona P. Crisostomo </t>
  </si>
  <si>
    <t>DONATION TO MICHELLE CRISOSTOMO FOR HER MEDICAL NEEDS</t>
  </si>
  <si>
    <t xml:space="preserve">Maricel M. Banzon </t>
  </si>
  <si>
    <t>DONATION TO ALADIN BANZON FOR HIS MEDICAL NEEDS</t>
  </si>
  <si>
    <t xml:space="preserve">Angelou Nicole dela Cruz Arquero </t>
  </si>
  <si>
    <t xml:space="preserve">Ofelia M. Raganas </t>
  </si>
  <si>
    <t>DONATION TO SHAYNE FRANCESE AND JOHN ZACCHEUS SABLAN FOR THEIR HOSPITAL BILLS</t>
  </si>
  <si>
    <t xml:space="preserve">Jino F. Bundalian </t>
  </si>
  <si>
    <t>DONATION TO MARILOU BUNDALIAN AND MATT JARETTE BUNDALIAN FOR THEIR HOSPITAL BILLS</t>
  </si>
  <si>
    <t xml:space="preserve">Robert B. Aguada </t>
  </si>
  <si>
    <t>DONATION TO MARISSA AGUADA FOR HER MEDICAL NEEDS</t>
  </si>
  <si>
    <t xml:space="preserve">Leslie dela Cruz Casem </t>
  </si>
  <si>
    <t>DONATION TO VILMA DELA CRUZ FOR HER HOSPITAL BILL</t>
  </si>
  <si>
    <t>DONATION TO ISIDRO GAID FOR HIS MEDICAL NEEDS</t>
  </si>
  <si>
    <t>DONATION TO AURORA SIASAT FOR HER BURIAL EXPENSES</t>
  </si>
  <si>
    <t xml:space="preserve">Jane R. Infante </t>
  </si>
  <si>
    <t>DONATION TO EDITHA DELA PEñA F OR HER HOSPITAL BILL</t>
  </si>
  <si>
    <t xml:space="preserve">Nieves G. Morales </t>
  </si>
  <si>
    <t>DONATION TO EDISON MORALES FOR HIS BURIAL EXPENSES</t>
  </si>
  <si>
    <t xml:space="preserve">Carinta M. Santos </t>
  </si>
  <si>
    <t>DONATION TO LILIA SANTOS FOR HER BURIAL EXPENSES</t>
  </si>
  <si>
    <t xml:space="preserve">Lolita dela Cruz Coronel </t>
  </si>
  <si>
    <t>DONATION TO MAGDALENA DELA CRUZ FOR HER BURIAL EXPENSES</t>
  </si>
  <si>
    <t xml:space="preserve">Lucia G. Limpin </t>
  </si>
  <si>
    <t>DONATION TO MARIETTA GONZALES FOR HER HOSPITAL BILL</t>
  </si>
  <si>
    <t xml:space="preserve">Romielou Joy M. Paguio </t>
  </si>
  <si>
    <t>DONATION TO MARILOU PAGUIO FOR HER HOSPITAL BILL</t>
  </si>
  <si>
    <t xml:space="preserve">Angelina Dela Cruz </t>
  </si>
  <si>
    <t xml:space="preserve">Alfredo Tordel </t>
  </si>
  <si>
    <t>DONATION TO REMEDIOS TORDEL FOR HER HOSPITAL BILL AND MEDICAL NEEDS</t>
  </si>
  <si>
    <t xml:space="preserve">Mikee Lyn Linaban </t>
  </si>
  <si>
    <t>DONATION TO MARK JOSEPH SANTIAGO FOR HIS HOSPITAL BILL</t>
  </si>
  <si>
    <t xml:space="preserve">Jonathan Ydia </t>
  </si>
  <si>
    <t>DONATION TO JOANA YDIA AND JAOTHAM VINCE YDIA FOR THEIR HOSPITAL BILLS</t>
  </si>
  <si>
    <t xml:space="preserve">Gernes Ombao </t>
  </si>
  <si>
    <t>DONATION TO HONEYGRACE OMBAO FOR HER MEDICAL NEEDS</t>
  </si>
  <si>
    <t xml:space="preserve">Caryl Dorothy A. Solon </t>
  </si>
  <si>
    <t>DONATION TO JOHN PAUL SOLON FOR HIS MEDICAL NEEDS AND PROFESSIONAL FEE</t>
  </si>
  <si>
    <t xml:space="preserve">Reynaldo P. Rivera </t>
  </si>
  <si>
    <t xml:space="preserve">Lorna V. Guinto </t>
  </si>
  <si>
    <t xml:space="preserve">Mario S. Samaniego </t>
  </si>
  <si>
    <t>DONATION TO LORETO SAMANIEGO FOR HIS MEDICAL NEEDS</t>
  </si>
  <si>
    <t xml:space="preserve">John Lery A. Medina </t>
  </si>
  <si>
    <t>DONATION TO NORA MEDINA FOR HER HOSPITAL BILL,PROFESSIONAL FEE AND MEDICAL NEEDS</t>
  </si>
  <si>
    <t>DONATION TO KRISTINE TAN FOR HER MEDICAL NEEDS</t>
  </si>
  <si>
    <t>70% PP Labor and Materials for the Construction of Rural Health Unit Brgy. JC Payumo, Dinalupihan, Bataan</t>
  </si>
  <si>
    <t>Subsidy to Dinalupihan District Teachers Association Federated PTA for the celebration of World Teacher's Day on October 5, 2022</t>
  </si>
  <si>
    <t>Payment of 15 days monetization of leave credit</t>
  </si>
  <si>
    <t xml:space="preserve">Allan Madera </t>
  </si>
  <si>
    <t>Tax refund for CY 1999-2001</t>
  </si>
  <si>
    <t xml:space="preserve">Franz Perez </t>
  </si>
  <si>
    <t xml:space="preserve">Wendell Literal </t>
  </si>
  <si>
    <t>Tax refund for CY 2001, 2003 &amp; 2004</t>
  </si>
  <si>
    <t>Replenishment of Emergency Purchases of NBB Patients for the period from September 22-25, 2022</t>
  </si>
  <si>
    <t>Replenishment of cash adv for emergency purchase from September 16-19, 2022</t>
  </si>
  <si>
    <t>Replenishment of Emergency purchase of NBB Patients of JPMH for the period of September 19 - 21, 2022</t>
  </si>
  <si>
    <t>Replenishment of cash adv for emergency purchase from September 20-26, 2022</t>
  </si>
  <si>
    <t>Reimbursement of gasoline, oil and lubricants expenses of ODH from July 16-31, 2022</t>
  </si>
  <si>
    <t>Reimbursement of the payment for the honorarium of speakers on training course on Diversified and Integrated Farming System (development of Farm Tourism Sites/Camp) from August 30, 31, September 1-2, 2022</t>
  </si>
  <si>
    <t xml:space="preserve">Bataan General Hospital &amp; Medical Center </t>
  </si>
  <si>
    <t>Payment of blood service fee for the blood and blood products supplied in ODH for January 2022</t>
  </si>
  <si>
    <t>Payment of blood service fee for the blood and blood products supplied in ODH for the month of March, April and May, 2022</t>
  </si>
  <si>
    <t>Payment of Meals &amp; Entrance Fee (Day Tour) for visitors of Gov. Joet Garcia during their visit in Las Casas Filipinas De Acusar</t>
  </si>
  <si>
    <t>Payment of Fuel Consumption for the period of August 1-7, 2022 (MDH)</t>
  </si>
  <si>
    <t>Payment of fuel consumption for the period of August 01-07, 2022 (PGSO)</t>
  </si>
  <si>
    <t>Payment of fuel consumption for the period of August 08-14, 2022 (LEGAL)</t>
  </si>
  <si>
    <t>Payment of Fuel Consumption for the period of August 8-14, 2022 (MDH)</t>
  </si>
  <si>
    <t>Payment of Fuel Consumption for the period of September 05-11, 2022 (COA)</t>
  </si>
  <si>
    <t xml:space="preserve">Restie Navarro </t>
  </si>
  <si>
    <t>Payment of his first salary from August - September, 2022</t>
  </si>
  <si>
    <t>Parts and labor for 120,000 km preventive maintenance HIACE GRANDIA A7V159 c/o PDRRMO</t>
  </si>
  <si>
    <t>Materials for repair and maintenance of roof gutter in Bagac Community and Medicare Hospital</t>
  </si>
  <si>
    <t>Materials for the repainting of 618 Linear Meter of Provincial Bridges, Provincewide</t>
  </si>
  <si>
    <t>Assorted meat and processed food for the consumption of inmates of Bataan District Jail within the period of September 1-15, 2022</t>
  </si>
  <si>
    <t>CMC Tire &amp; Service Centre</t>
  </si>
  <si>
    <t>Payment of PLDT Fiber Telephone Bills in the office of the SP Office (Vice Governor Garcia, Secretariat and Board Members) for the period of - September 18 - October 17, 2022</t>
  </si>
  <si>
    <t>LPG-50 kgs for the consumption of inmates of Bataan District Jail within the period of September 2022</t>
  </si>
  <si>
    <t>Assorted marine products for the consumption of inmates of Bataan District Jail within the period of September 1-15, 2022</t>
  </si>
  <si>
    <t>Laboratory supplies use for HIV of Jose C Payumo Jr Memorial Hospital Dinalupihan, Bataan</t>
  </si>
  <si>
    <t>Reimbursement of Snacks &amp; Lunch to be served in the RIC &amp; 4-H quarterly meeting to be held on September 27,2022 at the 5th floor Bunker Building Capitol, Balanga City BataanH quarterly meeting to be held on September 27,2022 at the 5th floor Bunker Building Capitol, Balanga City Bataan</t>
  </si>
  <si>
    <t>Heavy PM Snacks for Provincial Health Board Meeting on August 30, 2022</t>
  </si>
  <si>
    <t xml:space="preserve">The Plaza Hotel Balanga City, Inc. </t>
  </si>
  <si>
    <t>Hotel Accommodation for Resource Speaker to be used for the Capacity Development Workshop on the Population and Development Programs on August 25 - 26, 2022</t>
  </si>
  <si>
    <t>Replacement of four (4) pcs tire for Toyota Ambulance POQ 620 of JCPJMH, Dinalupihan Bataan</t>
  </si>
  <si>
    <t>Printing of Tarpaulin to be used during the conduct of National Disaster Resilence Month (NDRM) on July 1, 2022, July 4-8, 2022, July 18, 2022 and July 29, 2022</t>
  </si>
  <si>
    <t>Snack AM and Lunch to be served during conduct of PDRRMC Meeting re: Transformation phase Session with NRC ,Private Sector and 1 Bataan Resilience Council on August 25,2022</t>
  </si>
  <si>
    <t>Breakfast to be served during the conduct Tree Planting Activity for Bataan Arbor Day Celebration at Duale Limay on June 25, 2022</t>
  </si>
  <si>
    <t>Meals and Snacks to be served during the conduct of LDRRMO Meeting on April 20, 2022 at City of Balanga</t>
  </si>
  <si>
    <t>Parts &amp; labor for the repair of airconditioning system of Nissan Urvan SGR-686 of Tourism Office</t>
  </si>
  <si>
    <t>Trolley to be used for transferring voucher boxes from Provincial Accountant's Office to Commission on Audit</t>
  </si>
  <si>
    <t>HOTEL ACCOMMODATION RE: Bataan EduChild Facilitators Training Seminar on August 18-19, 2022 at the Bataan Peninsula State University City of Balanga, Bataan</t>
  </si>
  <si>
    <t>Parts and labor for the repair and maintenance of Toyota Fx A5U228 of PEO owned by the Provincial Government of Bataan</t>
  </si>
  <si>
    <t>Parts and labor for the repair of airconditioning system of Hyundai 100 KOP475 of PEO owned by the Provincial Government of Bataan</t>
  </si>
  <si>
    <t>Channel Enterprises- other supplies (UPS) use for HIV / Heart Unit of Jose C Payumo Jr Memorial Hospital, Dinalupihan, Bataan</t>
  </si>
  <si>
    <t>Various grocery items for the consumption of inmates of Bataan District Jail within the period of September 1-15, 2022</t>
  </si>
  <si>
    <t xml:space="preserve">Roxan R. Zabala </t>
  </si>
  <si>
    <t>Payment of her 1st Salary &amp; Pera for the period of September 05-30, 2022</t>
  </si>
  <si>
    <t xml:space="preserve">Jem Krizzel S. Cuida </t>
  </si>
  <si>
    <t>Payment of her 1st salary and pera as Security agent 1 in the office of the Sangguniang Panlalawigan of September 05-30, 2022</t>
  </si>
  <si>
    <t>Reimbursement of the amount paid for fuel consumption of gov't vehicle Ford Everest IO 9547 for the month of September 2022</t>
  </si>
  <si>
    <t>Reimbursement of Parts and labor for the replacement of front and rear brake pad of Ford Everest IP - 0189 c/o BM Maria Margarita R. Roque</t>
  </si>
  <si>
    <t>Cash advance for payment of registration fee , airfare and per diem attending LVGP 90th National Assembly on October 20-22, 2022</t>
  </si>
  <si>
    <t>Reimbursement of the amount paid for fuel consumption of the government vehicle Ford Everest C1 T417 for the month of September, 2022</t>
  </si>
  <si>
    <t>Reimbursement of the amount paid for fuel consumption of the government vehicle Ford Everest IO 9548 for the month of September, 2022</t>
  </si>
  <si>
    <t xml:space="preserve">Antonino B. Roman III </t>
  </si>
  <si>
    <t>Reimbursement of the amount paid for fuel consumption of the government vehicle Ford Everest IP 0770 for the month of August, 2022</t>
  </si>
  <si>
    <t>51% PP labor and mat. for the improvement of multi-purpose covered court, brgy Bantan, Orion (20% DF)</t>
  </si>
  <si>
    <t>Reimbursement of the amount paid for fuel consumption of the government vehicle Ford Everest IP 0189 for the month of September, 2022</t>
  </si>
  <si>
    <t>Doroteo M. Austria</t>
  </si>
  <si>
    <t>Romano del Rosario</t>
  </si>
  <si>
    <t>Reimbursement of the amount paid for fuel consumption of the government vehicle FORD EVEREST IP 1451 for the month of September, 2022</t>
  </si>
  <si>
    <t>Roman Harold Espeleta</t>
  </si>
  <si>
    <t>Reimbursement of the amount paid for fuel consumption of the government vehicle Ford Everest IO 8925 for the month of September, 2022</t>
  </si>
  <si>
    <t>Elizabeth Bakery &amp; Grocery</t>
  </si>
  <si>
    <t>Food supplies for stock purposes for disaster preparedness of the PGB (20% DF)</t>
  </si>
  <si>
    <t>Maria Cristina M. Garcia</t>
  </si>
  <si>
    <t>Reimbursement of the amount paid for fuel consumption of the government vehicle Hyundai Starex MU 8265 for the month of September 2022</t>
  </si>
  <si>
    <t>Development Bank of The Philippines</t>
  </si>
  <si>
    <t>Payment of term loan amortization for the period of October 20, 2022</t>
  </si>
  <si>
    <t>Payment of term loan amortization for the period of October 21, 2022</t>
  </si>
  <si>
    <t>Payment for monthly subscription of newspaper in VG and SP office for the month of September 2022</t>
  </si>
  <si>
    <t>Reimbursement of the amount paid for fuel consumption of the government vehicle Ford Everest IP 0800 for the month of September, 2022</t>
  </si>
  <si>
    <t>Reimnbursement of Snacks for the Joint Committee Meetings on Justice, Human Rights and Legal Matters, Tourism and Youth and Sports Development of Sangguniang Panlalawigan on October 12, 2022</t>
  </si>
  <si>
    <t xml:space="preserve">Jexter Dionisio </t>
  </si>
  <si>
    <t>Payment of Terminal Leave and Additional Philhealth (Government share)</t>
  </si>
  <si>
    <t>Reimbursement of the amount paid for fuel consumption of the government vehicle Ford Everest IP 0770 for the month of September, 2022</t>
  </si>
  <si>
    <t>Reimbursement of the amount paid for fuel consumption of the government vehicle Hi-LUX VU2619 for the month of September, 2022</t>
  </si>
  <si>
    <t xml:space="preserve">Paolo Cruz </t>
  </si>
  <si>
    <t xml:space="preserve">Barangay Treasurer - Salian, Abucay </t>
  </si>
  <si>
    <t>Subsidy to Barangay SALIAN ABUCAY BATAAN for the foods and other expenses of their Brgy. Tanods during their annual cultural activity on November 1, 2022</t>
  </si>
  <si>
    <t xml:space="preserve">Barangay Treasurer - Gabon, Abucay </t>
  </si>
  <si>
    <t>Subsidy to Barangay GABON ABUCAY BATAAN for the foods and other expenses of their Brgy. Tanods during their annual cultural activity on November 1, 2022</t>
  </si>
  <si>
    <t xml:space="preserve">Barangay Treasurer - Parang, Bagac </t>
  </si>
  <si>
    <t>Subsidy to Barangay PARANG BAGAC BATAAN for the foods and other expenses of their Brgy. Tanods during their annual cultural activity on November 1, 2022</t>
  </si>
  <si>
    <t xml:space="preserve">Barangay Treasurer - Binukawan, Bagac </t>
  </si>
  <si>
    <t>Subsidy to Barangay BINUKAWAN BAGAC BATAAN for the foods and other expenses of their Brgy. Tanods during their annual cultural activity on November 1, 2022</t>
  </si>
  <si>
    <t xml:space="preserve">Barangay Treasurer - San Antonio, Bagac </t>
  </si>
  <si>
    <t>Subsidy to Barangay SAN ANTONIO BAGAC BATAAN for the foods and other expenses of their Brgy. Tanods during their annual cultural activity on November 1, 2022</t>
  </si>
  <si>
    <t>Payment of term loan amortization for the period of November 09, 2022</t>
  </si>
  <si>
    <t xml:space="preserve">Barangay Treasurer Bagumbayan Pilar </t>
  </si>
  <si>
    <t xml:space="preserve">Barangay Treasurer Puerto Rivas Itaas </t>
  </si>
  <si>
    <t>PUERTO RIVAS ITAAS BALANGA CITY BATAAN - Subsidy to Barangay Puerto Rivas Itaas Balanga City Bataan for the foods and orther expenses of their Barangay Tanods during their annual cultural activity on November 1, 2022</t>
  </si>
  <si>
    <t xml:space="preserve">Barangay Treasurer Bangkal Abucay </t>
  </si>
  <si>
    <t>Subsidy to Brgy. Bangkal Abucay Bataan for the Foods and Other expenses of their Brgy. Tanods During their annual cultural activity on Nov 1, 2022</t>
  </si>
  <si>
    <t xml:space="preserve">Barangay Treasurer Mabatang Abucay </t>
  </si>
  <si>
    <t>Subsidy to Brgy. Mabatang Abucay Bataan for the Foods and Other expenses of their Brgy. Tanods During their annual cultural activity on Nov 1, 2022</t>
  </si>
  <si>
    <t>Cash advance of cash prizes for 5th raffle draw for "Bakunahan Bayanihan sa Barangay Pinalakas and Boosted na Bataeño: Part 2: Tuloy-Tuloy and Panalo ng Boosted na Bataeño (October 17-21, 2022 &amp; October 24-28, 2022) on November 2, 2022</t>
  </si>
  <si>
    <t>DONATION TO KYLE BRYAN PUNZALAN FOR HIS BURIAL EXPENSES</t>
  </si>
  <si>
    <t xml:space="preserve">Angelita S. Valencia </t>
  </si>
  <si>
    <t>DONATION TO RICKY VALENCIA FOR HIS BURIAL EXPENSES</t>
  </si>
  <si>
    <t xml:space="preserve">Francheska Mae M. Angeles </t>
  </si>
  <si>
    <t>DONATION TO ARMIE IGNACIO FOR HER HOSPITAL BILL</t>
  </si>
  <si>
    <t>Rowena M. Rodriguez</t>
  </si>
  <si>
    <t xml:space="preserve">April P. Manlapig </t>
  </si>
  <si>
    <t>DONATION TO MATEO MANLAPIG FOR HIS HOSPITAL BILL</t>
  </si>
  <si>
    <t>DONATION TO MARITES ERACHO FOR HER HOSPITAL BILL</t>
  </si>
  <si>
    <t xml:space="preserve">Arnel R. Flores </t>
  </si>
  <si>
    <t xml:space="preserve">Emily Rizza E. Terrado </t>
  </si>
  <si>
    <t>DONATION TO AUSTIN DUKE TERRADO FOR HIS HOSPITAL BILL</t>
  </si>
  <si>
    <t>DONATION TO FLORDELIZA WAJE FOR HER HOSPITAL BILL AND PROFESSIONAL FEE</t>
  </si>
  <si>
    <t xml:space="preserve">Eufracia P. Sangalang </t>
  </si>
  <si>
    <t>DONATION TO FREDESWINDA PUNO FOR HER MEDICAL NEEDS</t>
  </si>
  <si>
    <t xml:space="preserve">Renan James P. Dasig </t>
  </si>
  <si>
    <t>DONATION TO AENDRIA CLARE DASIG FOR HER MEDICAL NEEDS</t>
  </si>
  <si>
    <t xml:space="preserve">Jolan Faith S. Abayon </t>
  </si>
  <si>
    <t>DONATION TO MYRA ABAYON FOR HER MEDICAL NEEDS</t>
  </si>
  <si>
    <t xml:space="preserve">Bernadeth R. Real </t>
  </si>
  <si>
    <t>DONATION TO BERNARD REAL FOR HIS MEDICAL NEEDS</t>
  </si>
  <si>
    <t>DONATION TO KEVIN RYAN ALANO FOR HIS HOSPITAL BILL</t>
  </si>
  <si>
    <t xml:space="preserve">Thelma R. Dela Rosa </t>
  </si>
  <si>
    <t>DONATION TO RAMON DELA ROSA FOR HIS HOSPITAL BILL</t>
  </si>
  <si>
    <t xml:space="preserve">Lina B. Sanchez </t>
  </si>
  <si>
    <t>DONATION TO FLORENTINO SANCHEZ FOR HIS HOSPITAL BILL</t>
  </si>
  <si>
    <t xml:space="preserve">Catherine M. Obeñita </t>
  </si>
  <si>
    <t>DONATION TO JOSE TAN FOR HIS HOSPITAL BILL</t>
  </si>
  <si>
    <t xml:space="preserve">Grazielle D. Meneses </t>
  </si>
  <si>
    <t>DONATION TO FRANCISCO DINGLASAN FOR HIS BURIAL EXPENSES</t>
  </si>
  <si>
    <t xml:space="preserve">Juliet M. Montibon </t>
  </si>
  <si>
    <t>DONATION TO LOPITO MARTINEZ FOR HIS BURIAL EXPENSES</t>
  </si>
  <si>
    <t xml:space="preserve">Mary Rose L. Avila </t>
  </si>
  <si>
    <t>DONATION TO ROGINE REYES AND KLAE GABRIELLE REYES FOR THEIR HOSPITAL BILLS</t>
  </si>
  <si>
    <t xml:space="preserve">Medwin P. Rodriguez </t>
  </si>
  <si>
    <t>DONATION TO CHIEL MYKA TENORIO AND TREVON RODRIGUEZ FOR THEIR HOSPITAL BILLS</t>
  </si>
  <si>
    <t xml:space="preserve">Donnalyn C. Bicomong </t>
  </si>
  <si>
    <t>DONATION TO JONATHAN ULEP FOR HIS HOSPITAL BILL MEDICAL NEEDS</t>
  </si>
  <si>
    <t xml:space="preserve">Maribel P. Marantal </t>
  </si>
  <si>
    <t>DONATION TO ANGELICA MARANTAL FOR HER HOSPITAL BILL</t>
  </si>
  <si>
    <t xml:space="preserve">Arnold S. San Pedro </t>
  </si>
  <si>
    <t>DONATION TO LORETA RAYA FOR HER HOSPITAL BILL</t>
  </si>
  <si>
    <t xml:space="preserve">Edgardo Jr. I. De Leon </t>
  </si>
  <si>
    <t>DONATION TO CRISTINE JOY DE LEON FOR HER HOSPITAL BILL</t>
  </si>
  <si>
    <t xml:space="preserve">Mikee D. Nafuerza </t>
  </si>
  <si>
    <t>DONATION TO LEONHEL NAFUERZA FOR HIS MEDICAL NEEDS</t>
  </si>
  <si>
    <t>DONATION TO RAMON BAGSIC FOR HIS MEDICAL NEEDS</t>
  </si>
  <si>
    <t xml:space="preserve">Annalie M. Villaruz </t>
  </si>
  <si>
    <t>DONATION TO ZACARIAS VILLARUZ JR. FOR HIS MEDICAL NEEDS</t>
  </si>
  <si>
    <t>DONATION TO LUCILA REYES FOR HER MEDICAL NEEDS</t>
  </si>
  <si>
    <t xml:space="preserve">Miamona B. Lopez </t>
  </si>
  <si>
    <t>DONATION TO CARLOS BALTAZAR FOR HIS MEDICAL NEEDS</t>
  </si>
  <si>
    <t xml:space="preserve">Jo Ann R. Vequizo </t>
  </si>
  <si>
    <t>DONATION TO EDUARDO REYES FOR HIS MEDICAL NEEDS</t>
  </si>
  <si>
    <t>Ricardo D. Cleto</t>
  </si>
  <si>
    <t xml:space="preserve">Abelardo F. Castro </t>
  </si>
  <si>
    <t>DONATION TO KEVIN CASTRO FOR HIS HOSPITAL BILL</t>
  </si>
  <si>
    <t xml:space="preserve">Clarence S. Liquiran </t>
  </si>
  <si>
    <t>DONATION TO GWENDOLYN LIQUIRAN FOR HER HOSPITAL BILL</t>
  </si>
  <si>
    <t xml:space="preserve">Marilou R. Cunanan </t>
  </si>
  <si>
    <t xml:space="preserve">Ferly M. Baltazar </t>
  </si>
  <si>
    <t>DONATION TO DALE ANDREW BALTAZAR FOR HIS HOSPITAL BILL</t>
  </si>
  <si>
    <t xml:space="preserve">Jerico Arvin M. Valenzuela </t>
  </si>
  <si>
    <t>DONATION TO JANE VALENZUELA FOR HER HOSPITAL BILL</t>
  </si>
  <si>
    <t xml:space="preserve">Aivy Jearah L. Santos </t>
  </si>
  <si>
    <t>DONATION TO CLIENT AND ANNIKA RAE SANTOS FOR THEIR HOSPITAL BILLS</t>
  </si>
  <si>
    <t>DONATION TO ROMELYN IZON AND ROE CASANDRA FOR THEIR HOSPITAL BILLS</t>
  </si>
  <si>
    <t xml:space="preserve">Vilma B. Velasco </t>
  </si>
  <si>
    <t>DONATION TO DENISE MAIKA VELASCO FOR HER HOSPITAL BILL</t>
  </si>
  <si>
    <t xml:space="preserve">Krisaidel R. Pelayo </t>
  </si>
  <si>
    <t>DONATION TO DANILO RAñOCO FOR HIS HOSPITAL BILL</t>
  </si>
  <si>
    <t xml:space="preserve">Rosalia F. Lato </t>
  </si>
  <si>
    <t>DONATION TO ROMEO LATO FOR HIS BURIAL EXPENSES</t>
  </si>
  <si>
    <t xml:space="preserve">Stephanie Rose T. Basilio </t>
  </si>
  <si>
    <t>DONATION TO EPIFANIO BASILIO JR. FOR HIS BURIAL EXPENSES</t>
  </si>
  <si>
    <t>DONATION FOR THE HOSPITAL BILLS AND MEDICAL NEEDS COVERING THE PERIOD OCTOBER 3-7,2022</t>
  </si>
  <si>
    <t xml:space="preserve">Arleen Q. Gunio </t>
  </si>
  <si>
    <t>DONATION TO ROLANDA GUNIO FOR HIS HOSPITAL BILL</t>
  </si>
  <si>
    <t>Reimbursement re: Samahan ng taong may kapansanan sa Bataanm CBR. Inc. (SATAMAKABA) Transporatation Allowance in their attendance to the regular meeting dated October 19, 2022</t>
  </si>
  <si>
    <t>Reimbursement for the Facebook promotion / boosting of Bakunahan Bayanihan sa Barangay Part 2</t>
  </si>
  <si>
    <t xml:space="preserve">Rogine B. Reyes </t>
  </si>
  <si>
    <t>Payment of 105 days Maternity Leave for the period of October 3, 2022 to December 31, 2022</t>
  </si>
  <si>
    <t>Reimbursement of gasoline, oil and lubricants expenses of ODH Ambulance with Plate No. F4D127, Engine Pump and Generator Set from September 16-30, 2022</t>
  </si>
  <si>
    <t xml:space="preserve">Polymervic Construction / BPQ Construction &amp; Trading (JV) </t>
  </si>
  <si>
    <t>Labor and Materials for the Construction of Bataan Peninsula State University, Morong Bataan (PHASE I) (ABC)</t>
  </si>
  <si>
    <t>LABOR AND MATERIALS FOR THE CONSTRUCTION OF BATAAN TOURISM CENTER, ROMAN SUPERHIGHWAY, BRGY BAGONG SILANG, CITY OF BALANGA, BATAAN</t>
  </si>
  <si>
    <t xml:space="preserve">RWD Construction </t>
  </si>
  <si>
    <t>Labor and Materials for the Construction of Water System Brgy. General Lim, Orion, Bataan</t>
  </si>
  <si>
    <t>100% fuyll payt of Labor and Materials for the Improvement of Covered Court Brgy. Happy Valley, Dinalupihan, Bataan</t>
  </si>
  <si>
    <t xml:space="preserve">DM Bernales Construction </t>
  </si>
  <si>
    <t>LABOR AND MATERIALS FOR THE WIDENING OF BAñA CREEK, BRGY ARELLANO, ORION, BATAAN</t>
  </si>
  <si>
    <t>Security Services by 185 security guards in Bataan Command Center, motorpool, Bataan Tourism Center, BAtaan PHO, OIC DET Com, JCPMH, ODH, BCMH, Sept 1-30, 2022</t>
  </si>
  <si>
    <t>Drugs medicines for the use of Orani District Hospital</t>
  </si>
  <si>
    <t>Replenishment of Revolving Fund for payment of donation to indigent constituents from Province of Bataan (October 25-27)</t>
  </si>
  <si>
    <t>Cash advance for the upcoming Central Luzon Growth Corridor Foundation, Inc. in South Korea on November 7-11, 2022</t>
  </si>
  <si>
    <t xml:space="preserve">Jeremihan Villafania </t>
  </si>
  <si>
    <t>DONATION TO ADELAIDA VILLAFANIA FOR HER PROFESSIONAL FEE AND MEDICAL NEEDS</t>
  </si>
  <si>
    <t>Labor and materials for the improvement of water source plumbing for the use of Jose Payumo Jr. Memorial Hospital</t>
  </si>
  <si>
    <t xml:space="preserve">VL Heritage Kitchen Treasures Inc. </t>
  </si>
  <si>
    <t>Meals (lunch) for the Ride for Valor participants on August 28, 2022</t>
  </si>
  <si>
    <t>Stage arrangement for the Philippine Trade and Investment Center of Australia / New Zealand's Pacific Business Mission to the Philippines - Bataan Leg event on August 17, 2022</t>
  </si>
  <si>
    <t>Payment of fuel consumption on different service vehicle used by BJMP-Male August 29-Sept 4, 2022</t>
  </si>
  <si>
    <t>Payment of fuel consumption on different service vehicle used by BJMP-Male Sept 5-11, 2022</t>
  </si>
  <si>
    <t>Payment of fuel consumption for the period of September 20-23, 2022 (PIO)</t>
  </si>
  <si>
    <t>Reimbursement of Gasoline dated September 7-30, 2022</t>
  </si>
  <si>
    <t>Payment of fuel consumption for October 3-9, 2022</t>
  </si>
  <si>
    <t>Payment of Blood Units for NBB patients for the period of April 1, 2022 to April 30, 2022</t>
  </si>
  <si>
    <t>Payment for the funeral services rendered under the Libreng Libing Program for the period August 13-30, September 1-25,2022</t>
  </si>
  <si>
    <t>Payment of fuel consumption on differeny service vehicle used by Tourism, PIO, PNP, &amp; OPA Sept 26-OCt 2, 2022</t>
  </si>
  <si>
    <t>Payment of fuel consumption on differeny service vehicle used by PCEDO, PIo, PGENRO &amp; PVO Oct 3-9, 2022</t>
  </si>
  <si>
    <t>Payment of BJMP consumption for the period of September 12-18, 2022</t>
  </si>
  <si>
    <t>Reimbursement of the reimbursable representation allowance for the month of September 2022</t>
  </si>
  <si>
    <t>Reimbursement Re: Bagong Sigla ng Kalipunan ng Liping Pilipina Mobile Allowance in their attendance to the meeting dated October 24, 2022</t>
  </si>
  <si>
    <t xml:space="preserve">DepEd - Division of Balanga City </t>
  </si>
  <si>
    <t>Division of Balanga City- Subsidy to GL David Memorial Integrated School for the installation of blackboard</t>
  </si>
  <si>
    <t>Payment of fuel consumption on different service vehicle used by BJMP-Female, PNP, SOCO, Tourism &amp; PHO Sept 19-25, 2022</t>
  </si>
  <si>
    <t>Payment of fuel consumption on different service vehicle used by PCEDO, PTO, PGENRO, SOCO, PHO &amp; PVO Sept 26-OCt 2, 2022</t>
  </si>
  <si>
    <t xml:space="preserve">Barangay Treasurer - Gugo, Samal, Bataan </t>
  </si>
  <si>
    <t>Subsidy to Barangay Gugo Samal Bataan for their annual cultural activity on November 9, 2022</t>
  </si>
  <si>
    <t>Reimbursement re: Samahang Day Care Worker ng Bataan INC. Transporatation Allowance in Their Attendance to the Meeting dated October 18, 2022</t>
  </si>
  <si>
    <t>Remittance of integrated insurance contribution, emergency loan, REL, cash advance, optional insurance premium, policy loan, REL, GFAL, MPL and computer Loan for the month of October 2022</t>
  </si>
  <si>
    <t>Remittance of salary loan instamment of Provincial employees for OCtober 2022</t>
  </si>
  <si>
    <t>Remittance of salary loan installment of provincial employees for October 2022</t>
  </si>
  <si>
    <t>Additional remittance of philhealth contribution of provincial employees for September 2022</t>
  </si>
  <si>
    <t>Payment of Internet Landline of JPMH for the period of October 21 - November 20, 2022</t>
  </si>
  <si>
    <t xml:space="preserve">Cathrine Delda </t>
  </si>
  <si>
    <t>Reimbursement the amount paid for vehicle insurance for the newly purchased vehicle owned by the PGB</t>
  </si>
  <si>
    <t>Reimbursement of the payment for the subscription renewal of Unlimited stock footages and templates to be use for the production and promotional videos of the PGB</t>
  </si>
  <si>
    <t xml:space="preserve">Azucena E. Sugatain </t>
  </si>
  <si>
    <t>Reimbursement for the expense incurred for participating in the CLRCDC 9th Kooplympics on October 20, 2022</t>
  </si>
  <si>
    <t>Payment for the funeral services under the Libreng Libing Program for the period September 15-30, October 3-9, 2022</t>
  </si>
  <si>
    <t>Payment for the funeral services rendered under the Libreng Libing Program for the period June 16, September 1-25, 2022</t>
  </si>
  <si>
    <t>Payment of fuel consumption for October 10-16, 2022 (MBDA)</t>
  </si>
  <si>
    <t>Payment for the funeral services under the Libreng Libing Program for the period September 8-25 and October 1, 2022</t>
  </si>
  <si>
    <t>Payment for the funeral services rendered under the Libreng Libing Program for the period September 8-27, 2022</t>
  </si>
  <si>
    <t>Payment for the funeral services rendered under the Libreng Libing Program for the period September 4-26, 2022</t>
  </si>
  <si>
    <t>Payment for the funeral services under the Libreng Libing Program for the period August 3-24, September 21-29, 2022</t>
  </si>
  <si>
    <t xml:space="preserve">DC Punzalan Funeral Services </t>
  </si>
  <si>
    <t>Payment for the funeral services under the Libreng Libing Program for the period June 3, July 22-30, August 13-25, September 1-24, 2022</t>
  </si>
  <si>
    <t>Payment for the funeral services rendered under the Libreng Libing Program for the period July 14-21, August 7-28 and September 1, 2022</t>
  </si>
  <si>
    <t>Payment for the funeral services rendered under the Libreng Libing Program for the period July 8-31, August 6-30, 2022</t>
  </si>
  <si>
    <t>Cash advance for GSIS &amp; DBP refund for October 2022</t>
  </si>
  <si>
    <t>Advocay shorts for the Launching of Smoke-Free Campaign at Bagac Bataan on September 27, 2022 as part of the Tourism Month 2022 Celebration</t>
  </si>
  <si>
    <t>Meals for the Regular Session of Sangguniang Panlalawigan on September 26, 2022</t>
  </si>
  <si>
    <t>Reimbursement of Parts and labor for the replacement of fan belt of Ford Everest IO-9547 c/o BM Jorge S. Estanislao</t>
  </si>
  <si>
    <t>Meals for the meetings of different Committees of Sangguniang Panlalawigan on September 07, 2022</t>
  </si>
  <si>
    <t>Meals for the meetings of the different Committees of SP on September 14, 2022</t>
  </si>
  <si>
    <t>Meals for the meetings of different Committees of Sangguniang Panlalawigan on September 21, 2022</t>
  </si>
  <si>
    <t>Meals for regular session of SP last Sept 19,2022</t>
  </si>
  <si>
    <t>Parts and labor for the replacement of two (2) pcs tire 265/60 R18 for Ford Everest IP - 1451 c/o BM Romano L. Del Rosario</t>
  </si>
  <si>
    <t>Meals for the Regular Session of Sangguniang Panlalawigan on September 12, 2022</t>
  </si>
  <si>
    <t xml:space="preserve">ZBG Great Foods Corp. </t>
  </si>
  <si>
    <t>Meals for the SK Special Session on September 08, 2022</t>
  </si>
  <si>
    <t>Reimnbursement of Parts and labor for the replacement of brake pads front and rear of Ford Everest IO-9548 c/o BM Jomar L. Gaza</t>
  </si>
  <si>
    <t>Parts and labor for 140,000 km preventive maintenance and change oil of Toyota Hilux VU -2619 c/o BM Jovy Z. Banzon</t>
  </si>
  <si>
    <t>To remittance of Pag-ibig II (Savings) of the Provincial employees under General Fund for the month of October 2022</t>
  </si>
  <si>
    <t xml:space="preserve">Sharon Bautista </t>
  </si>
  <si>
    <t>Donation to United Architects of the Philippines Bataan Peninsulares Chapter for their Arkiteturan 2 on November 5, 2022</t>
  </si>
  <si>
    <t xml:space="preserve">Barangay Treasurer - Sta. Lucia, Samal, Bataan </t>
  </si>
  <si>
    <t>Subsidy to Barangay Sta. Lucia Samal Bataan for the foods and other expenses of their Barangay Tanods During their Annual Cultural Activity on November 1, 2022</t>
  </si>
  <si>
    <t>Token for the NLEX Lakbay Norte in various tourist destination of the Province of Bataan on August 4 to 6 , 2022</t>
  </si>
  <si>
    <t>Tokens for Orientation on Climate and Disaster Risk Assessment (CDRA) for the Environment Sector in the Province of Bataan on June 24, 2022</t>
  </si>
  <si>
    <t>Parts and labor for the replacement of axle bearing, oil seal &amp; lock bearing of FB L-300 SHS-641 of PEO owned by the Provincial Government of Bataan</t>
  </si>
  <si>
    <t>Rebonding of clutch lining of Toyota Innova SHJ-973 of PEO owned by the Provincial Government of Bataan</t>
  </si>
  <si>
    <t>Tarpaulin for the Training Course on Diversified &amp; Integrated Farming System (Development of Farm Tourism Sites / Camp) on August 30 to September 9, 2022 at Limay and Orani, Bataan</t>
  </si>
  <si>
    <t xml:space="preserve">CGS Solid Aircon and Refrigeration, Inc. </t>
  </si>
  <si>
    <t>Materials for the repair of 2 units airconditioning unit at Health Office and Staff Office of Trial Court (RTC) Branch-2, Justice Hall, Capitol Compound, Balanga City, Bataan</t>
  </si>
  <si>
    <t xml:space="preserve">Fill &amp; Go Water Refilling Station </t>
  </si>
  <si>
    <t>Bottled Water for the Philippine Trade and Investment Center of Australia / New Zealand's Pacific Business Mission to the Philippines - Bataan Leg event on August 17, 2022</t>
  </si>
  <si>
    <t>Replacement of Heavy Duty 3SM Battery for the used of MBDA service Vehicle P1I 551, S1P199</t>
  </si>
  <si>
    <t>Supplies for the used of different service vehicle of PEO - Motorpool Division</t>
  </si>
  <si>
    <t>Supplies and materials for the used of PEO-Motorpool Division</t>
  </si>
  <si>
    <t>Materials for the repair of lighting fixtures in Mariveles District Hospital</t>
  </si>
  <si>
    <t>Tax mapping measuring devices for the use of Provincial Assessor's Office</t>
  </si>
  <si>
    <t>Certificate Holder for Employees Award &amp; Recognition</t>
  </si>
  <si>
    <t>Office supplies for the use of Jose C Payumo Jr Memorial Hospital</t>
  </si>
  <si>
    <t>Assorted meat and processed food for the consumption of inmates of Bataan District Jail within the period of September 16-30, 2022</t>
  </si>
  <si>
    <t>Assorted marine products for the consumption of inmates of Bataan District Jail within the period of September 16-30, 2022</t>
  </si>
  <si>
    <t>Toner for the used of MBDA</t>
  </si>
  <si>
    <t>Meals and Snack to be served during the conduct of National Disaster Resilence Month (NDRM) on July 1, 2022 July 4-8, 2022 July 18, 2022 and July 29, 2022</t>
  </si>
  <si>
    <t>Meals to be served during the Activation of Emergency Operation Center re: Super Typhoon Henry on September 3-5, 2022 at 1BCC</t>
  </si>
  <si>
    <t>Meals to be served during the conduct of Activation of Emergency Operation Center (EOC) for Typhoon "Florita" on August 23-24, 2022</t>
  </si>
  <si>
    <t>Meals and Snacks to be served during the Activation of Incident Management Team (IMT) on May 9, 2022 re; ELECTION 2022</t>
  </si>
  <si>
    <t>Meals (AM Snack, Lunch, PM Snack) to be used during the conduct of DRILLS ON DISASTER PREPARENESS (Hands Only CPR with AED) on September 13, 2022 at the Bunker, Bataan</t>
  </si>
  <si>
    <t>Meals and Snacks to be served during the conduct of LDRRMO Meeting on May 19, 2022</t>
  </si>
  <si>
    <t>Meals and Snack to be served during the conduct PDRRMC meeting (Disaster Response Committee-Search and Rescue Team on July 14, 2022 at Management building (Training Center))</t>
  </si>
  <si>
    <t>Reimbursement of Parts and labor for replacement of defective parts of ISUZU JITNEY VAN SHP-848 c/o PGSO</t>
  </si>
  <si>
    <t>Lunch &amp; PM Snacks for Municipal Dentists Quarterly Meeting on October 14, 2022</t>
  </si>
  <si>
    <t>Meals and Snacks for Provincial and Regional Monitoring and Evaluation of Local Level Plan Implementation (MELLPI) on September 20, 2022</t>
  </si>
  <si>
    <t>Replenishment of Emergency Purchase of NBB Patients for the period from October 18 - 23, 2022</t>
  </si>
  <si>
    <t xml:space="preserve">Renato Encillo </t>
  </si>
  <si>
    <t>Payment of his last salary as Prison Guard I</t>
  </si>
  <si>
    <t>To provide meals for the 2022 PCR Month Celebration (Culmination Activity) at Camp PFC Cirilio S Tolentino, Balanga City, Bataan on July 29, 2022</t>
  </si>
  <si>
    <t>MEALS to be served for RE: SEMINAR ON MULTI DISCIPLINARY APPROACH ON ANTI-TRAFFICKING IN PERSON AND VIOLENCE AGAINST WOMEN AND THEIR CHILDREN on Sept. 1-2, 2022</t>
  </si>
  <si>
    <t>Cartridges for 1 unit Printer model HP Smart Tank 500 used by Maintenance Division of the Provincial Engineer's Office 5/F The Bunker Building</t>
  </si>
  <si>
    <t>Tokens for the MOA Signing and Benchmarking of GenSan on August 24, 2022</t>
  </si>
  <si>
    <t>AM Snacks for Lecture on Lactation Policy in Workplace on October 6, 2022</t>
  </si>
  <si>
    <t>Printing of Tarpaulin for the use of PHO for Bakunahan Bayanihan sa Barangay Pinaslakas ang Boosted na Bataeno: Part 2: Tuloy-Tuloy ang Panalo on August 30, 2022</t>
  </si>
  <si>
    <t>Tokens to be served during the conduct of National Disaster Resilence Month (NDRM) on July 1, 2022, July 4-8, 2022, July 18, 2022 and July 29, 2022</t>
  </si>
  <si>
    <t>Printing of Tarpaulin for RE: SEMINAR ON MULTI DISCIPLINARY APPROACH ON ANTI-TRAFFICKING IN PERSON AND VIOLENCE AGAINST WOMEN AND THEIR CHILDREN on September 1-2, 2022</t>
  </si>
  <si>
    <t>Printing of Tarpaulin for World Environmental Health Day Celebration for the use of PHO</t>
  </si>
  <si>
    <t>Tarpaulins for Distribution of ATM cards for BPSU, Outside Bataan and PUP Mariveles Scholar of the Cashless Strategic Initiative of the Iskolar ng Bataan Program of the Prov'l Government of Bataan on August 22 to 31, 2022</t>
  </si>
  <si>
    <t>Replacement of defective batteries of Toyota Innova SHJ-973, SHB-954 &amp; SJA-846 of PEO owned by the Provincial Government of Bataan</t>
  </si>
  <si>
    <t>Materials for installation of blow-off pipeline in elevated water tank at Orani District Hospital</t>
  </si>
  <si>
    <t>AM Snacks and Lunch for Mass Blood Donation on September 28, 2022</t>
  </si>
  <si>
    <t>Token to be given Provincial Engineer's Association of the Philippines (PEAP) officials upon visit in Provincial Engineer's Office on June 30, 2022</t>
  </si>
  <si>
    <t>Meals to be served for RE: Bataan EduChild Facilitators Training Seminar on August 18-19, 2022 at the Bataan Peninsula State University City of Balanga, Bataan</t>
  </si>
  <si>
    <t>Drugs and medicines for use of Jose Payumo Jr. Memorial Hospital</t>
  </si>
  <si>
    <t>Payment of his salary differential as Executive Assistance II with a monthly rate of P41,508.00 from October 1-31, 2022</t>
  </si>
  <si>
    <t xml:space="preserve">Christopher C. Leonzon </t>
  </si>
  <si>
    <t>Payment of his salary differential as Provincial Government Department Head with a monthly rate of P113,891.00 from October 1-31, 2022</t>
  </si>
  <si>
    <t>Payment of salary differential as Security Officer IV with a monthly rate of P69,963 from October 1-31, 2022</t>
  </si>
  <si>
    <t xml:space="preserve">Ramon Cañas Jr. </t>
  </si>
  <si>
    <t>Payment of salary differential as Executive Assistant III with a monthly rate of P55,799.00 from October 1-31, 2022</t>
  </si>
  <si>
    <t xml:space="preserve">Biyaya Manuel </t>
  </si>
  <si>
    <t>Payment of salary differential as Security Officer IV with a monthly rate of P635,097.00 from October 1-31, 2022</t>
  </si>
  <si>
    <t>Materials for the Concreting of Provincial Road Provincewide (Concreting at Salian Vicinal Road and Reblocking at Bayan-Superhiway Orani)</t>
  </si>
  <si>
    <t>Repair of airconditioning system of Nissan Ambulance OW3902 of JCPJMH</t>
  </si>
  <si>
    <t>Replacement of tensioner assembly with bearing of Toyota Innova SJA-846 of PEO owned by the Provincial Government of Bataan</t>
  </si>
  <si>
    <t>Supply and installation of Air Conditioning Units at 1Bataan Malasakit Dialysis Assistance (1BMDA) Brgy. San Roman, Dinalupihan, Bataan</t>
  </si>
  <si>
    <t>Meals and snacks for Distribution of ATM Cards for BPSU, Outside Bataan and PUP Mariveles Scholars of the Cashless Strategic Initiative of the Iskolar ng Bataan Program of the Prov'l. Government of Bataan on September 1 to 3, 2022</t>
  </si>
  <si>
    <t>Meals and Snacks for the MOA Signing and Benchmarking of HenSan on August 25, 2022</t>
  </si>
  <si>
    <t>Meals for 2022 SEAL OF GOOD LOCAL GOVERNANCE (SGLG) NATIONAL VALIDATION ON AUGUST 30, 2022</t>
  </si>
  <si>
    <t>OFFICE SUPPLIES EXPENSES for the use of Mariveles District Hospital</t>
  </si>
  <si>
    <t>Colored Ink Tank Printer 3 in 1 with WI-FI for the use of PHO</t>
  </si>
  <si>
    <t>MEALS TO BE SERVED FOR: DSWD NATIONAL LIVELIHOOD PROGRAM PAY-OUT on September 12, 2022</t>
  </si>
  <si>
    <t>MEALS TO BE SERVED FOR RE: Assistance in Crisis Situations Pay - out on July 12, 2022</t>
  </si>
  <si>
    <t>Snacks for Visitors of Governor Joet Garcia on September 5, 12, 19 &amp; 26, 2022</t>
  </si>
  <si>
    <t>Piece of 512 GB Solid State Drive (SSD) for replacement on the defective unit of Budget Review Section</t>
  </si>
  <si>
    <t>Power Supply Unit and Hard Disk Drive for the repair of 1 unit Computer's central Processing unit (CPU) used by Motorpool Division of the PEO</t>
  </si>
  <si>
    <t>Meals for Orientation of Newly elected Officials in the Province of Bataan on August 9, 2022</t>
  </si>
  <si>
    <t>Materials for the repair of floor tiles in comfort room at Orani District Hospital</t>
  </si>
  <si>
    <t>Materials for repair &amp; maintenance of Plumbing Fixtures/ Fittings in Provincial Government of Bataan (PGB) owned Buildings</t>
  </si>
  <si>
    <t>medical supplies (OR gowns etc) for the use of Jose C Payumo Jr Memorial Hospital Dinalupihan, Bataan</t>
  </si>
  <si>
    <t>Medical Supplies to be used for disaster / emergency response operation</t>
  </si>
  <si>
    <t>Keyboard Replacement of Lenovo Ideapad for the use of PGSO</t>
  </si>
  <si>
    <t>Electric materials for the installation of feeder wires of two (2) LED screen at Tricycle Terminal Leave overpass Capitol Access Road, Brgy. Tenejero, Balanga City, Bataan</t>
  </si>
  <si>
    <t xml:space="preserve">PRDP - Provincice of Bataan - IBUILD/LGU Equity </t>
  </si>
  <si>
    <t>Transfer of LGU (10%) for the PRDP- BUILD Subproject Construction of Fish Landing and Trading Facility</t>
  </si>
  <si>
    <t>Transfer of LGU (10%) for the PRDP- BUILD Subproject Construction of Multi-Commodity Solar Tunnel Dryers</t>
  </si>
  <si>
    <t>Parts &amp; Labor for the 230,000 km preventive maintenance &amp; repair of other deffective parts Toyota Hilux P0Z302 of MBDA owned by the Provincial Government of Bataan</t>
  </si>
  <si>
    <t>Printing of Tarpaulin to be used in the Celebration of the 44th National Disability Prevention &amp; Rehabilitation (NDPR) Week</t>
  </si>
  <si>
    <t>Snacks for Meeting of Gov. Joet Garcia and Barangay Captains of Bataan</t>
  </si>
  <si>
    <t>Meals and snacks for Distribution of ATM cards for BPSU, Outside Bataan and PUP Mariveles Scholars of the Cashless Strategic Initiative of the Iskolar ng Bataan Program of the Prov'l. Government of Bataan on August 26 to 31, 2022</t>
  </si>
  <si>
    <t>Accountable forms for MDH</t>
  </si>
  <si>
    <t>Replacement of defective battery to Backhoe and Road Roller of Provincial Engineers Office owned by the Provincial Government of Bataan</t>
  </si>
  <si>
    <t>Replacement of defective batteries of Toyota Innova SJA-845, SJA-837 and SHJ-708 of PEO owned by the Provincial Government of Bataan</t>
  </si>
  <si>
    <t>Replacement of defective batteries for Dumptruck SGR-687 &amp; Dumptruck XNA-301 of PEO owned by the Provincial Government of Bataan</t>
  </si>
  <si>
    <t>Parts and labor for change oil &amp; preventive maintenance of Hyundai Starex KOP403 of PGO</t>
  </si>
  <si>
    <t>Parts and labor for the replacement of brake shoe, brake pad &amp; change oil of Toyota Fortuner S1-S834 of PGO</t>
  </si>
  <si>
    <t>Parts and labor for the replacement of one (1) set mags of Nissan Navara OV8024 of PEO owned by the Provincial Government of Bataan</t>
  </si>
  <si>
    <t>Parts and labor for the tire replacement of Nissan Urvan Ambulance NV350 NAO-4747 for the use of Mariveles District Hospital</t>
  </si>
  <si>
    <t>Parts and labor for the replacement of seven (7) pcs tire of grabage truck of PGO-ENRO CS. U34488</t>
  </si>
  <si>
    <t>Replacement of defective axle bearing for front-left wheel of Toyota Innova SJA-804 of the PGO-Iskolar ng Bataan Office</t>
  </si>
  <si>
    <t>Replacement of two (2) pcs. rear tire 265/60 R18 of Toyota Hilux A8E932 of PG-ENRO</t>
  </si>
  <si>
    <t>Parts and labor for the replacement of four (4) pcs tire 700 x 15 for Isuzu Elf SJA-707 of PEO owned by the Provincial Government of Bataan</t>
  </si>
  <si>
    <t>Replacement of four (4) pcs tire 205/65 R15 and change oil of motor vehicle Toyota Innova SJA-804 of the PGO-Iskolar ng Bataan Office</t>
  </si>
  <si>
    <t>Parts &amp; labor for the replacement of timing belt and 4pcs Tire 225 / 70 R15 Ambulance A4R620 of Jose C Payumo Jr Memorial Hospital</t>
  </si>
  <si>
    <t>Dinner to be served for 2022 Galing! Bataan Awards Search for Most Outstanding Micro, Small and Medium Enterprises on July 29, 2022</t>
  </si>
  <si>
    <t>Am Snack and Lunch to be served for Selection of CSOs to LSBs on September 12, 2022</t>
  </si>
  <si>
    <t>Additional Lunch and PM Snack for the 2022-2025 Executive - Legislative Agenda (ELA) and Capacity Development Agenda on August 23, 2022</t>
  </si>
  <si>
    <t>PM Snack for the Joint Organizational Meeting of the Local Special Bodies Provincial Development Council, Provincial School Board, Provincial Health Board and Provincial Peace and Order on September 22, 2022</t>
  </si>
  <si>
    <t>Catering Services for meals of client in drop in center</t>
  </si>
  <si>
    <t>Room Accommodation and Meals for 2022 SEAL OF GOOD LOCAL GOVERNANCE (SGLG) NATIONAL VALIDATION ON AUGUST 30, 2022</t>
  </si>
  <si>
    <t>Bookbinding for proper filing of Annual and Supplemental Budget 2021</t>
  </si>
  <si>
    <t>Printing Tarpaulin for RE: Floor Map for the used of Panlalawigan ng Bataan Evacuation Center</t>
  </si>
  <si>
    <t>Toner for Kyocera of the Office of the Provincial Agriculturist</t>
  </si>
  <si>
    <t>Office Supplies for 4rth Quarter for the use of PPDO</t>
  </si>
  <si>
    <t>Payment of day tour package for the visitors of Governors office from the participants of TOT SMV (Batch 2) on September 28, 2022</t>
  </si>
  <si>
    <t>Tokens given to various visitors calling on the Prov'l Governor on various occasions &amp; purposes</t>
  </si>
  <si>
    <t>Emergency purchase of Refill of Medical Oxygen for the Provincial Rescue Response Operations</t>
  </si>
  <si>
    <t>Reimbursement of registration fee for the PHA Annual National Convention dated November 16-19, 2022 and service charge.</t>
  </si>
  <si>
    <t>Payment of blood service fee for the blood and blood products supplied in ODH for June 2022</t>
  </si>
  <si>
    <t>Payment of blood service fee for the blood and blood products supplied in ODH for May 2022</t>
  </si>
  <si>
    <t xml:space="preserve">Renton E. Bañez </t>
  </si>
  <si>
    <t>DONATION TO RUBY SALVADOR FOR HER HOSPITAL BILL</t>
  </si>
  <si>
    <t xml:space="preserve">Dorraine P. Soncuya </t>
  </si>
  <si>
    <t>DONATION TO DONABELLE CLEMENTE FOR HER HOSPITAL BILL</t>
  </si>
  <si>
    <t xml:space="preserve">Elvira S. de Guzman </t>
  </si>
  <si>
    <t>DONATION TO GERALD DE GUZMAN FOR HIS MEDICAL NEEDS</t>
  </si>
  <si>
    <t xml:space="preserve">Gilbert G. Paraiso </t>
  </si>
  <si>
    <t>DONATION TO GEORGE PARAISO FOR HIS HOSPITAL BILL</t>
  </si>
  <si>
    <t xml:space="preserve">Nester B. Fernandez </t>
  </si>
  <si>
    <t>DONATION TO CINDY FERNANDEZ AND CAIDEN NATE FERNANDEZ FOR THEIR HOSPITAL BILLS</t>
  </si>
  <si>
    <t xml:space="preserve">Karen V. Lulu </t>
  </si>
  <si>
    <t>DONATION TO LOLITA LULU FOR HER HOSPITAL BILL AND MEDICAL NEEDS</t>
  </si>
  <si>
    <t xml:space="preserve">Rodolfo O. Opiana </t>
  </si>
  <si>
    <t xml:space="preserve">Patrick Lance L. Lazaro </t>
  </si>
  <si>
    <t>DONATION TO PRINCESS DIANNE LAZARO AND MICHAEL DYLAN LAZARO FOR THEIR HOSPITAL BILLS</t>
  </si>
  <si>
    <t xml:space="preserve">Argie S. Fajardo </t>
  </si>
  <si>
    <t>DONATION TO LIGAYA FAJARDO FOR HER HOSPITAL BILL</t>
  </si>
  <si>
    <t>Replenishment of Miscellaneous Expenses of MDH used for the period of October 04-08, 2022</t>
  </si>
  <si>
    <t>Replenishment of cash advance to defray payment of Daily Market Purchase from Oct 16-23, 2022</t>
  </si>
  <si>
    <t>Replenishment for market purchase of MDH for the period of October 11-16, 2022</t>
  </si>
  <si>
    <t>Payment of fuel consumption for the period of September 26- October 2, 2022</t>
  </si>
  <si>
    <t>Cash advance for wages for July 1-5, 2022 &amp; Aug 1-31, 2022</t>
  </si>
  <si>
    <t>Parts and labor for the repair of airconditioning system of Hyundai 100 KOS994 c/o PGSO</t>
  </si>
  <si>
    <t>Token for Speaker in conducting program for its 3rd yr founding anniversary of JCPJMH Dialysis Unit on September 30, 2022 to held at Bulwagan ng Bayan, Dinalupihan, Bataan</t>
  </si>
  <si>
    <t>Office supplies for stock purposes</t>
  </si>
  <si>
    <t>Parts and labor for the repair of aircon and replacement of alternator assy. battery &amp; two (2) pcs tire for Toyota Hilux P1X530 of PNP owned by the Provincial Government of Bataan</t>
  </si>
  <si>
    <t xml:space="preserve">3D (Duty, Dignity, Determination) Multi Purpose Cooperative </t>
  </si>
  <si>
    <t>Replacement of defective fuel injector of Hyundai 100 KOP475 of PEO owned by the Provincial Government of Bataan</t>
  </si>
  <si>
    <t>Parts and labor for replacement of tire of Toyota Fortuner A5X468</t>
  </si>
  <si>
    <t>Parts and labor for 140,000 km preventive maintenance TOYOTA HILUX pick-up A8I896 c/o PDRRMO</t>
  </si>
  <si>
    <t>Tarpaulin to be used on Second Quarter Nationwide Simultaneous Earthquake Drill at The Bunker and Provincial Capitol Compound</t>
  </si>
  <si>
    <t>SEF-Partial transfer of RPT share collections</t>
  </si>
  <si>
    <t>Meals to be served in the conduct of World Rabies Day celebration in Bagac on September 30, 2022</t>
  </si>
  <si>
    <t>Payment for the funeral services under the Libreng Libing Program for the period August 2-27, September 7-28, 2022</t>
  </si>
  <si>
    <t>To privide meals for the Firearms Proficiency Training on September 7, 13, 19, 20 and 21, 2022 at Mt. Samat Firing Range Batas, Pilar, Bataan</t>
  </si>
  <si>
    <t>Snack &amp; Lunch to be served in the City/Municipal Fisheries &amp; Aquatic Management Council C/MFARMC meeting to be held on September 30, 2022</t>
  </si>
  <si>
    <t>Medical oxygen for the use of Jose C Payumo Jr Memorial Hospital</t>
  </si>
  <si>
    <t>1 piece toner of copying machine for the use of Bataan PPP and Investment Center.</t>
  </si>
  <si>
    <t xml:space="preserve">BMS Machine Shop </t>
  </si>
  <si>
    <t>Materials for the repair of 400KVA Generator Set at Provincial Health Office</t>
  </si>
  <si>
    <t>Payment of Network Utilities for the use of PHO-Vaccination and Technical Division</t>
  </si>
  <si>
    <t>Laboratory reagents (Blood Chem) of laboratory for the use of Jose C Payumo Jr Memorial Dinalupihan, Bataan</t>
  </si>
  <si>
    <t>Supplies for the lubricating of different service vehicle of PEO-Motorpool Division</t>
  </si>
  <si>
    <t>Snacks for the 3rd Quarter Earthquake Drill of the Bunker Employees on 26 September 2022</t>
  </si>
  <si>
    <t xml:space="preserve">Laurenze Mannelli Bautista </t>
  </si>
  <si>
    <t>Payment of his 8.417 days Terminal Leave</t>
  </si>
  <si>
    <t xml:space="preserve">Gilbert Palmiano </t>
  </si>
  <si>
    <t xml:space="preserve">Shiela Rivera </t>
  </si>
  <si>
    <t xml:space="preserve">Mark Joseph Navarro </t>
  </si>
  <si>
    <t>Subsidy to Municipality of Bagac Bataan for their annual cultural activity on november 25, 2022</t>
  </si>
  <si>
    <t xml:space="preserve">Maribel Felizardo </t>
  </si>
  <si>
    <t>Replenishment of cash adv. For emergency purchase from October 14-17, 2022</t>
  </si>
  <si>
    <t>DONATION FOR THE HOSPITAL BILLS COVERING THE PERIOD OCTOBER 18-21,2022</t>
  </si>
  <si>
    <t xml:space="preserve">Maricel Diones </t>
  </si>
  <si>
    <t>DONATION TO CHARLES DENVER DIONES FOR HIS MEDICAL NEEDS</t>
  </si>
  <si>
    <t xml:space="preserve">Registry of Deed of Balanga, Bataan </t>
  </si>
  <si>
    <t>Payment of LRA fees of the annotation on the Certificate of Title in Subscquent Registration for the Warrant of Levy issued by the Province dated June 6, 2022 - July 27, 2022</t>
  </si>
  <si>
    <t>Payment of IT Service fees of the annotation on the Certificate of Title in Subsequent Registration for the Warrant of Levy Issued by the Province dated June 6 - July 27, 2022</t>
  </si>
  <si>
    <t>Telephone &amp; internet bill of PPDO &amp; Tourism Office for OCt 18-Nov 20, 2022</t>
  </si>
  <si>
    <t>Tokens to be served during the conduct of Climate and Disaster Risk Assessment Orientation at 1Bataan Command Center on August 26, 2022</t>
  </si>
  <si>
    <t>Tarpaulin for Tourism Month Event from September 20 to 27, 2022</t>
  </si>
  <si>
    <t>Mac Trading- materials for grasscutter and consumable of grasscutters for roads and bridges vegetation control in the Province of Bataan</t>
  </si>
  <si>
    <t>To Provide meals for the Human Rights Training/Seminar on September 15-16, 2022 at Conference Room Bataan PPO</t>
  </si>
  <si>
    <t>PARTS AND LABOR FOR 70,000 KM PREVENTIVE MAINTENANCE CHECKUP OF TOYOTA FORTUNER P5M142 C/O BHSO-PGO</t>
  </si>
  <si>
    <t>Office supplies for the use of PESO</t>
  </si>
  <si>
    <t>Meals for the Reformulation of vision for the Province of Bataan 2023-2030 on August 12,2022</t>
  </si>
  <si>
    <t>Replacement of Ink Cartridge Black for the used of MBDA Printer</t>
  </si>
  <si>
    <t>Parts &amp; Labor for the Replacement of Fuel Filter of Toyota Hilux VV0143 of MBDA owned by the Provincial Government of Bataan</t>
  </si>
  <si>
    <t>IT Equipments for replacement to deffective unit used in the Provincial Treasurer's Office</t>
  </si>
  <si>
    <t>Foods to be served for the Central Luzon Association of Population Officers and Workers (CLAPOW) Strategic Planning on October 5-6, 2022</t>
  </si>
  <si>
    <t>Parts &amp; Labor for the replacement of alternator pulley &amp; brake pad of Toyota Hilux P1P503 of MBDA owned by the Provincial Government of Bataan</t>
  </si>
  <si>
    <t>To purchase of batteries for the used of FB L-300 SHS-641, SHS-653, SHS787 and Toyota Pick-up SHJ-698 of PEO</t>
  </si>
  <si>
    <t>Meals to be served during the conduct of 2nd Convening of LCCAP Core Team Meeting on September 20, 2022 at the 4th Floor Conference Room, The Bunker Capitol Compound Balanga City, Bataan</t>
  </si>
  <si>
    <t xml:space="preserve">Roman Harold Espeleta </t>
  </si>
  <si>
    <t>Reimbursement of Parts and labor for 130,000 km preventive maintenance and change oil of Ford Everest IO-8925 c/o BM Romand Harld R. Espeleta</t>
  </si>
  <si>
    <t>Reimbursement of additional for attending LVGP National Excecutive Comm. Meeting and 90th National Assembly last Oct. 19-22, 2022</t>
  </si>
  <si>
    <t xml:space="preserve">Maria Criselda Ilaya </t>
  </si>
  <si>
    <t>DONATION TO HERNAN ILAYA FOR HIS MEDICAL NEEDS</t>
  </si>
  <si>
    <t>Parts and Labor for 90,000 km preventive maintenance / change oil for Ford Everest IP-0801 c/o BM Doroteo M. Austria</t>
  </si>
  <si>
    <t>Parts and labor for 130,000 km preventive maintenance of Ford Everest IO -4973 c/o BM Angelito M. Sunga</t>
  </si>
  <si>
    <t>Ink for Canon and Brother Printer of the Office of the Provincial Agriculturist</t>
  </si>
  <si>
    <t xml:space="preserve">Imelda Valiente </t>
  </si>
  <si>
    <t>Payment of her Salary from October 1-31, 2022</t>
  </si>
  <si>
    <t xml:space="preserve">Rionica Marasigan </t>
  </si>
  <si>
    <t>Payment of her salary for September 17-30, 2022 and October 1-31, 2022</t>
  </si>
  <si>
    <t xml:space="preserve">Jerico P. Zabala </t>
  </si>
  <si>
    <t>DONATION TO ENRIQUE JR. ZABALA FOR HIS BURIAL EXPENSES</t>
  </si>
  <si>
    <t xml:space="preserve">Dionisio De Leon </t>
  </si>
  <si>
    <t>DONATION TO LINO DE LEON FOR HIS BURIAL EXPENSES</t>
  </si>
  <si>
    <t xml:space="preserve">Phebe Crizaldo </t>
  </si>
  <si>
    <t>DONATION TO TERESITA CRIZALDO FOR HIS MEDICAL NEEDS</t>
  </si>
  <si>
    <t xml:space="preserve">Donna Mae Layug </t>
  </si>
  <si>
    <t>DONATION TO ANNIE LUTCHIE AL LAYUG FOR HER HOSPITAL BILL AND PROFESSIONAL FEE</t>
  </si>
  <si>
    <t xml:space="preserve">Marie Ann Tolentino </t>
  </si>
  <si>
    <t>DONATION TO RODESON TOLENTINO FOR HIS HOSPITAL BILL AND MEDICAL NEEDS</t>
  </si>
  <si>
    <t>DONATION TO WILBERT MAGNAYE FOR HIS HOSPITAL BILL</t>
  </si>
  <si>
    <t xml:space="preserve">Janina Joy Morales </t>
  </si>
  <si>
    <t>DONATION TO LILIA ORLETT FOR HER HOSPITAL BILL</t>
  </si>
  <si>
    <t xml:space="preserve">Jocelyn Ractis </t>
  </si>
  <si>
    <t>DONATION TO JOSELITO BISLIG FOR HIS HOSPITAL BILL</t>
  </si>
  <si>
    <t xml:space="preserve">Calvin Castro </t>
  </si>
  <si>
    <t>DONATION TO ALBERT CASTRO FOR HIS HOSPITAL BILL</t>
  </si>
  <si>
    <t xml:space="preserve">Flordeliza Leope </t>
  </si>
  <si>
    <t>DONATION TO EDELWINA SACDALAN FOR HER HOSPITAL BILL</t>
  </si>
  <si>
    <t xml:space="preserve">Merlita Mañalac </t>
  </si>
  <si>
    <t>DONATION TO ARMANDO MAñALAC FOR HIS BURIAL EXPENSES</t>
  </si>
  <si>
    <t xml:space="preserve">Olivia Simsuangco </t>
  </si>
  <si>
    <t>DONATION TO ARK QUIELE SIMSUANGCO FOR HIS HOSPITAL BILL</t>
  </si>
  <si>
    <t xml:space="preserve">Mark Perez </t>
  </si>
  <si>
    <t>DONATION TO ANNA MARIE PEREZ, ZENDAYA FRANCOISE PEREZ AND ZYAIRE FRANCE PEREZ FOR THEIR HOSPITAL BILLS</t>
  </si>
  <si>
    <t xml:space="preserve">Marilou Austria </t>
  </si>
  <si>
    <t>DONATION TO JASMIN BRUTAS FOR HER HOSPITAL BILL</t>
  </si>
  <si>
    <t xml:space="preserve">Melvin Liseta </t>
  </si>
  <si>
    <t>DONATION TO VIRGINIA LISETA FOR HER HOSPITAL BILL</t>
  </si>
  <si>
    <t xml:space="preserve">Estelita Sagay </t>
  </si>
  <si>
    <t xml:space="preserve">Larry Gobris </t>
  </si>
  <si>
    <t>DONATION TO ANN BERNADETTE GOBRIS AND ALIYA JADE GOBRIS FOR THEIR HOSPITAL BILLS</t>
  </si>
  <si>
    <t xml:space="preserve">Bataan St. Joseph Hosptial and Medical Center Corp </t>
  </si>
  <si>
    <t>DONATION TO JERLIE BUENSUCESO FOR HER HOSPITAL BILL</t>
  </si>
  <si>
    <t xml:space="preserve">Janice Sales </t>
  </si>
  <si>
    <t xml:space="preserve">Pedro Dela Cruz </t>
  </si>
  <si>
    <t>DONATION TO MARIVIC DELA CRUZ FOR HER HOSPITAL BILL AND MEDICAL NEEDS</t>
  </si>
  <si>
    <t xml:space="preserve">Josielyn Lopez </t>
  </si>
  <si>
    <t>DONATION TO JOSEFINA LOPEZ FOR HER HOSPITAL BILL</t>
  </si>
  <si>
    <t xml:space="preserve">Rossil Adrian Arellano </t>
  </si>
  <si>
    <t>DONATION TO ROWENA ARELLANO FOR HER MEDICAL NEEDS</t>
  </si>
  <si>
    <t xml:space="preserve">Antonio II Alfonso </t>
  </si>
  <si>
    <t>DONATION TO ADHARA ALFONSO FOR HER HOSPITAL BILL</t>
  </si>
  <si>
    <t xml:space="preserve">Melody R. Cordova </t>
  </si>
  <si>
    <t xml:space="preserve">Joy Ann Barcelo </t>
  </si>
  <si>
    <t>DONATION TO DOMINADOR DEL ROSARIO FOR HIS BURIAL EXPENSES</t>
  </si>
  <si>
    <t xml:space="preserve">Marina Castrence  </t>
  </si>
  <si>
    <t>DONATION TO BENJAMIN CASTRENCE FOR HIS HOSPITAL BILL</t>
  </si>
  <si>
    <t xml:space="preserve">Bernadette C. Trinidad </t>
  </si>
  <si>
    <t>DONATION TO ANALISA TOWART FOR HER HOSPITAL BILL</t>
  </si>
  <si>
    <t xml:space="preserve">Julius P. Garcia </t>
  </si>
  <si>
    <t>DONATION TO NIKKI SIXX TOLENTINO FOR HER MEDICAL NEEDS AND PROFESSIONAL FEE</t>
  </si>
  <si>
    <t xml:space="preserve">Cecilia F. Buhisan </t>
  </si>
  <si>
    <t xml:space="preserve">Maida D. Legaspi </t>
  </si>
  <si>
    <t>DONATION TO GLENN LEGASPI FOR HIS MEDICAL NEEDS</t>
  </si>
  <si>
    <t>DONATION TO VICTORIA BALUYOT FOR HER MEDICAL NEEDS</t>
  </si>
  <si>
    <t>Partial payment of her 105 days Maternity leave</t>
  </si>
  <si>
    <t xml:space="preserve">Manuel G. Pangomlayen Jr. </t>
  </si>
  <si>
    <t>Reimbursement for the cost of Entrance Fee for Benchmarking of Museums and Library</t>
  </si>
  <si>
    <t>Payment of fidelity bond of Rosalie P. Manubay for the period of Nov. 10, 2022 - November 10, 2023</t>
  </si>
  <si>
    <t xml:space="preserve">Renz Gabriel Llanda </t>
  </si>
  <si>
    <t xml:space="preserve">Ana Marie B. Muli </t>
  </si>
  <si>
    <t>DONATION TO JONATHAN MULI FOR HIS BURIAL EXPENSES</t>
  </si>
  <si>
    <t xml:space="preserve">Joy Ann Z. Calupas </t>
  </si>
  <si>
    <t>DONATION TO CLIENT AND ISAIAH ARNEL CALUPAS FOR THEIR HOSPITAL BILLS</t>
  </si>
  <si>
    <t>Payment of allowance in Regional Trial Court of Bataan for the month of October 2022</t>
  </si>
  <si>
    <t>Payment of service rendered for the month of October 2022</t>
  </si>
  <si>
    <t xml:space="preserve">Gaudencio C. Ferrer </t>
  </si>
  <si>
    <t>Cash advance for overtime for October 2022</t>
  </si>
  <si>
    <t>Cash advance for Overtime for OCtober 2022</t>
  </si>
  <si>
    <t xml:space="preserve">Atty. Darwin A. Delatado </t>
  </si>
  <si>
    <t>Payment of Provincial Allowance for the month of October 2022</t>
  </si>
  <si>
    <t xml:space="preserve">Atty. Gay D. Gonzaga </t>
  </si>
  <si>
    <t xml:space="preserve">Atty. Nestly A. Querubin </t>
  </si>
  <si>
    <t xml:space="preserve">Atty. Romeo E. Bonifacio, Jr. </t>
  </si>
  <si>
    <t xml:space="preserve">Atty. Abigael R. Chavez </t>
  </si>
  <si>
    <t xml:space="preserve">Atty. Eden C. Bautista </t>
  </si>
  <si>
    <t xml:space="preserve">Atty. Miraflor L. Chavez </t>
  </si>
  <si>
    <t xml:space="preserve">Atty. Sheena Esteban-Bartolome </t>
  </si>
  <si>
    <t xml:space="preserve">Atty. Wilhelmina M. Diwa </t>
  </si>
  <si>
    <t xml:space="preserve">Atty. James P. Bendaen </t>
  </si>
  <si>
    <t xml:space="preserve">Atty. April Jacob C. Castro </t>
  </si>
  <si>
    <t xml:space="preserve">Atty. Stacy Anne V. Pagarigan </t>
  </si>
  <si>
    <t>Payment of Allowance for the month of October 2022</t>
  </si>
  <si>
    <t>Payment of allowance for the period of October 2022</t>
  </si>
  <si>
    <t>Replenishment of Revolving Fund for payment of donation to indigent constituents from Province of Bataan (November 07-08)</t>
  </si>
  <si>
    <t xml:space="preserve">Edwin Gunio </t>
  </si>
  <si>
    <t>Payment of his 1st salary &amp; pera for the period of October 17-31, 2022</t>
  </si>
  <si>
    <t>Labor and Materials for the Construction of Slope Protection, Brgy. Maligaya, Dinalupihan, Bataan</t>
  </si>
  <si>
    <t xml:space="preserve">Cristina May T. Ferma </t>
  </si>
  <si>
    <t>Payment of her salary from October 14-31, 2022</t>
  </si>
  <si>
    <t xml:space="preserve">Dorotea G. Cortez </t>
  </si>
  <si>
    <t>DONATION TO JEDIDIAH MENESES AND KALLIE ADRIELLE MENESES FOR THEIR HOSPITAL BILLS</t>
  </si>
  <si>
    <t>DONATION FOR THE HOSPITAL BILLS COVERING THE PERIOD OCTOBER 17-21,2022</t>
  </si>
  <si>
    <t>DONATION FOR THE HOSPITAL BILLS COVERING THE PERIOD OCTOBER 17-20,2022</t>
  </si>
  <si>
    <t xml:space="preserve">Orion St. Michael Hospital, Inc. </t>
  </si>
  <si>
    <t>DONATION FOR THE HOSPITAL BILL COVERING THE PERIOD OCTOBER 17-21,2022</t>
  </si>
  <si>
    <t>Payment for Allowance for the period of October 2022</t>
  </si>
  <si>
    <t xml:space="preserve">Prosecutor Ethel Marie G. Degollado-Guiua </t>
  </si>
  <si>
    <t xml:space="preserve">Atty. Rofel Princess E. Espino </t>
  </si>
  <si>
    <t xml:space="preserve">Atty. Fatima Leoan T. Lumabas </t>
  </si>
  <si>
    <t xml:space="preserve">Atty. Donnabelle B. Sierra </t>
  </si>
  <si>
    <t xml:space="preserve">Atty. Farima Naryl K. Pogongan </t>
  </si>
  <si>
    <t xml:space="preserve">Atty. Kim Israel S. Buhain </t>
  </si>
  <si>
    <t xml:space="preserve">Hon. Philger Noel B. Inovejas </t>
  </si>
  <si>
    <t>Payment of allowance in Regional Trial Court for the month of October 2022</t>
  </si>
  <si>
    <t>Payment of allowance in the Regional Trial Court of Bataan- Branch 3 for the month of October 2022</t>
  </si>
  <si>
    <t xml:space="preserve">Gerom A. Manalansan </t>
  </si>
  <si>
    <t>DONATION TO ROMMEL MANALANSAN FOR HIS HOSPITAL BILL</t>
  </si>
  <si>
    <t xml:space="preserve">Rowena D. Sta. Ana </t>
  </si>
  <si>
    <t>DONATION TO ROSARIO DABU FOR HER HOSPITAL BILL</t>
  </si>
  <si>
    <t xml:space="preserve">Arnold Jr. A. Victoria </t>
  </si>
  <si>
    <t>DONATION TO JARED NIEL VICTORIA FOR HIS HOSPITAL BILL</t>
  </si>
  <si>
    <t xml:space="preserve">Jayson P. Labrador </t>
  </si>
  <si>
    <t>DONATION TO TERESITA LABRADOR FOR HER HOSPITAL BILL</t>
  </si>
  <si>
    <t xml:space="preserve">Lilia J. Navarro </t>
  </si>
  <si>
    <t>DONATION TO GLORIA JURADO FOR HER BURIAL EXPENSES</t>
  </si>
  <si>
    <t xml:space="preserve">Loreto V. Diones </t>
  </si>
  <si>
    <t>DONATION TO RIZA ANGELES FOR HER HOSPITAL BILL</t>
  </si>
  <si>
    <t xml:space="preserve">Ann Sheerena Mae S. Labrador </t>
  </si>
  <si>
    <t>DONATION TO DELBERT LABRADOR FOR HIS HOSPITAL BILL</t>
  </si>
  <si>
    <t xml:space="preserve">Rey Aldolf V. Orieta </t>
  </si>
  <si>
    <t>DONATION TO JENIN ORIETA AND AKHIE JAREL ORIETA FOR THEIR HOSPITAL BILLS</t>
  </si>
  <si>
    <t xml:space="preserve">Christian D. Lacsamana </t>
  </si>
  <si>
    <t>DONATION TO ELSA LACSAMANA FOR HER HOSPITAL BILL</t>
  </si>
  <si>
    <t xml:space="preserve">Rosmelita B. Rubiano </t>
  </si>
  <si>
    <t>DONATION TO GLORIA BASCARA FOR HER HOSPITAL BILL</t>
  </si>
  <si>
    <t xml:space="preserve">Medylen R. Rodriguez </t>
  </si>
  <si>
    <t>DONATION TO LORETO RODRIGO FOR HIS HOSPITAL BILL</t>
  </si>
  <si>
    <t xml:space="preserve">Jessica C. Roldan </t>
  </si>
  <si>
    <t>DONATION TO GWEAN ROLDAN FOR HER MEDICAL NEEDS</t>
  </si>
  <si>
    <t xml:space="preserve">Violeta J. Oquindo </t>
  </si>
  <si>
    <t>DONATION TO ALFREDO GONZALES FOR HIS BURIAL EXPENSES</t>
  </si>
  <si>
    <t xml:space="preserve">Virginia S. Salazar </t>
  </si>
  <si>
    <t>DONATION TO ERNESTO SUYAT FOR HIS BURIAL EXPENSES</t>
  </si>
  <si>
    <t xml:space="preserve">Mark Anacleto M. Paguio </t>
  </si>
  <si>
    <t>DONATION TO TOMAS PAGUIO FOR HIS HOSPITAL BILL</t>
  </si>
  <si>
    <t xml:space="preserve">Marino Jr. E. Yacas </t>
  </si>
  <si>
    <t>DONATION TO JERRY YACAS FOR HIS HOSPITAL BILL</t>
  </si>
  <si>
    <t xml:space="preserve">Arlene C. Verzosa </t>
  </si>
  <si>
    <t>DONATION TO JUNE GIL ILAO FOR HIS MEDICAL NEEDS</t>
  </si>
  <si>
    <t xml:space="preserve">Glenn Diwa </t>
  </si>
  <si>
    <t>Reimbursement of Reimbursable reprentative Allowance for the month of October 2022</t>
  </si>
  <si>
    <t>Service rendered for the month of October 2022</t>
  </si>
  <si>
    <t xml:space="preserve">Racquel Inlong </t>
  </si>
  <si>
    <t>DONATION TO RODOLFO DIZON FOR HIS BURIAL EXPENSES</t>
  </si>
  <si>
    <t xml:space="preserve">Rosanna Liwanag </t>
  </si>
  <si>
    <t>DONATION TO AUREA SOCITO FOR HER HOSPITAL BILL</t>
  </si>
  <si>
    <t xml:space="preserve">Christopher Caragay </t>
  </si>
  <si>
    <t>DONATION TO ROSARIO CARAGAY FOR HER HOSPITAL BILL</t>
  </si>
  <si>
    <t xml:space="preserve">Jesus Samson </t>
  </si>
  <si>
    <t>DONATION TO CARLOS SAMSON FOR HIS BURIAL EXPENSES</t>
  </si>
  <si>
    <t xml:space="preserve">Ma. Angelika Ongoco </t>
  </si>
  <si>
    <t>DONATION TO RAV JEROME BONDOC FOR HIS HOSPITAL BILL</t>
  </si>
  <si>
    <t xml:space="preserve">Eloisa Barrion </t>
  </si>
  <si>
    <t>DONATION TO ROMEO BARRION FOR HIS HOSPITAL BILL</t>
  </si>
  <si>
    <t xml:space="preserve">Kristian Quicho </t>
  </si>
  <si>
    <t>DONATION TO WILFREDO QUICHO FOR HIS HOSPITAL BILL</t>
  </si>
  <si>
    <t>DONATION FOR THE HOSPITAL BILLS COVERING THE PERIOD OCTOBER 24/28,2022</t>
  </si>
  <si>
    <t>DONATION FOR THE HOSPITAL BILLS COVERING THE PERIOD OCTOBER 24-26,2022</t>
  </si>
  <si>
    <t>DONATION FOR THE HOSPITAL BILL COVERING THE PERIOD OCTOBER 24-27,2022</t>
  </si>
  <si>
    <t xml:space="preserve">Bataan St. Joseph Hosptial and Medical Center Corp. </t>
  </si>
  <si>
    <t>DONATION FOR THE MEDICAL AND HOSPITAL BILLS COVERIN THE PERIOD OCTOBER 17-21,2022</t>
  </si>
  <si>
    <t xml:space="preserve">Ana Florence CUntapay-Oamil </t>
  </si>
  <si>
    <t xml:space="preserve">Regina Aleisandra R. Bustillos </t>
  </si>
  <si>
    <t>DONATION TO AYEE BUSTILLOS FOR HER BURIAL EXPENSES</t>
  </si>
  <si>
    <t xml:space="preserve">Amalia C. Sazon </t>
  </si>
  <si>
    <t xml:space="preserve">Jermaine Andrew S. Prado </t>
  </si>
  <si>
    <t>DONATION TO FATIMA PRADO FOR HER HOSPITAL BILL</t>
  </si>
  <si>
    <t xml:space="preserve">Kristine R. Rivera </t>
  </si>
  <si>
    <t>DONATION TO CORAZON JORGE FOR HER HOSPITAL BILL</t>
  </si>
  <si>
    <t xml:space="preserve">Jose V. Antonio </t>
  </si>
  <si>
    <t xml:space="preserve">Diana Rose D. Sarmiento </t>
  </si>
  <si>
    <t xml:space="preserve">Edgardo Jr. D. Diano </t>
  </si>
  <si>
    <t>DONATION TO EDWARD JARON DIANO FOR HIS HOSPITAL BILL</t>
  </si>
  <si>
    <t xml:space="preserve">Janice P. Banzon </t>
  </si>
  <si>
    <t>Payment of 105 days maternity leave</t>
  </si>
  <si>
    <t>Toner for Kyocera 7119 to be used in the Provincial Accountant's Office</t>
  </si>
  <si>
    <t>Cash advance for PSB teacher honoraria for Oct 1-31, 2022</t>
  </si>
  <si>
    <t xml:space="preserve">Provincial Government of Bataan - Regular Trust </t>
  </si>
  <si>
    <t>Trust Fund-To transfer to PGB-Regular Trust-Trust Fund LBP checking No(0442-1046-38) the amount of unclaimed FA to Joanna Landringan</t>
  </si>
  <si>
    <t>Remittance of Philhealth contribution of conslutants for OCt 2022</t>
  </si>
  <si>
    <t>Replenishment of cash adv for emergency pyrchase from October 18-21, 2022</t>
  </si>
  <si>
    <t>Replenishment of Emergency Purchases of NBB Patients for the period from October 24 - 27, 2022</t>
  </si>
  <si>
    <t>Replenishment of Emergency Purchase of NBB Patients for the period from October 28, 2022 to November 2, 2022</t>
  </si>
  <si>
    <t>Replenishment of cash advance for emergency purchase from October 22-26, 2022</t>
  </si>
  <si>
    <t>Reimbursement of gasoline expenses from October 11 - 23, 2022 for JPMH</t>
  </si>
  <si>
    <t xml:space="preserve">Marivic P. Hender </t>
  </si>
  <si>
    <t>Donation to Oscar Peralta for his hospital bill</t>
  </si>
  <si>
    <t xml:space="preserve">Emelita Estigoy </t>
  </si>
  <si>
    <t>Replenishment of Miscellaneus Expenses of MDH used for the period of September 30 - October 04, 2022</t>
  </si>
  <si>
    <t>Replenishment of Miscellaneous Expenses of MDH used for the period of September 26-30, 2022</t>
  </si>
  <si>
    <t>Replenishment for market puchse of MDH for the period of October 17-23, 2022</t>
  </si>
  <si>
    <t>Replenishment of cash advance to defray payment of Daily Market Purchase from October 24-31, 2022</t>
  </si>
  <si>
    <t>Tablets for use in Distance Learning for the SY: 2021-2022</t>
  </si>
  <si>
    <t>LBP SEF</t>
  </si>
  <si>
    <t xml:space="preserve">Forbest Pest Control &amp; General Merchandise </t>
  </si>
  <si>
    <t>LABOR AND MATERIALS FOR THE ANAY TREATMENT FOR VARIOUS SCHOOL BUILDINGS PROVINCEWIDE</t>
  </si>
  <si>
    <t xml:space="preserve">Jose Payumo Jr. Memorial Hospital </t>
  </si>
  <si>
    <t>Payment of hospital bill of indigent patients of Jose Payumo Memorial Hospital charge to DOH-Fund Medical Assistance to Indigent Patients Program for the period of November 2021</t>
  </si>
  <si>
    <t xml:space="preserve">Cisco Engineering Industries </t>
  </si>
  <si>
    <t>Payment for the 1% Retention for payment of molecular laboratory isolation exhaust filtration system</t>
  </si>
  <si>
    <t>Five (5) units Multi-Purpose Vehicle to be use in various barangays in transporting suspected Covid-19 patients, locally standed individuals and returning Overseas Filipino Workers</t>
  </si>
  <si>
    <t xml:space="preserve">L.R. De Guzman Construction </t>
  </si>
  <si>
    <t>Labor 7 Materials for rehabilitation &amp; improvement of laon vicinal road Laon Abucay Bataan</t>
  </si>
  <si>
    <t xml:space="preserve">Francisca F. Lima </t>
  </si>
  <si>
    <t>Donation to the client for her medical needs QR: 121321021LGSF</t>
  </si>
  <si>
    <t>GENERAL FUND -Transfer to General Fund the Assistance/Donations to the Provinces severely affected by Typhoon Odette</t>
  </si>
  <si>
    <t>Emergency Purchaseof Medical; Supplies for the use of PHO Covid-19 Reporting Unit/OPCEN</t>
  </si>
  <si>
    <t xml:space="preserve">Rodrigo Tuazon </t>
  </si>
  <si>
    <t>Donation to Leonida Tuazon for her burial expenses</t>
  </si>
  <si>
    <t xml:space="preserve">Gerry Atanacio </t>
  </si>
  <si>
    <t>Donation to Melencia Atanacio for her burial expenses</t>
  </si>
  <si>
    <t xml:space="preserve">Renato C. Bunsoy </t>
  </si>
  <si>
    <t>Donation to Fortunata Bunsoy for her burial expenses QR: 122421001LGSF</t>
  </si>
  <si>
    <t xml:space="preserve">Francis Marivic S. Saringan </t>
  </si>
  <si>
    <t>Donation to Victoria Samson for her burial expenses QR: 122421015LGSF</t>
  </si>
  <si>
    <t xml:space="preserve">Glymyr D. Dizon </t>
  </si>
  <si>
    <t>Donation to Gilbert Dizon for his medical needs QR: 122421017LGSF</t>
  </si>
  <si>
    <t xml:space="preserve">Susana P. Dela Rosa </t>
  </si>
  <si>
    <t>Donation to the client for her medical needs QR: 122221009LGSF</t>
  </si>
  <si>
    <t>Donation to Lilian Muega for her hospital bill QR: 122221011LGSF</t>
  </si>
  <si>
    <t xml:space="preserve">Catherine R. Jamito </t>
  </si>
  <si>
    <t>Donation to Alexandra Denice Remetio for her medical needs QR: 122221007LGSF</t>
  </si>
  <si>
    <t xml:space="preserve">Deogracias C. Tuazon </t>
  </si>
  <si>
    <t>Donation to Alicia Tuazon for her medical needs QR: 122221003LGSF</t>
  </si>
  <si>
    <t>Donation to Blanche Margaux Sison for her hospital bill QR: 122421012LGSF</t>
  </si>
  <si>
    <t>Payment for Emergency installation of 1 unit 1.5 HP Goulds Shallow Well Pump with automatic and replacement of drop pipes for the use of Orani District Hospital during COVID-19 Pandemic.</t>
  </si>
  <si>
    <t xml:space="preserve">James Smith M. Dizon </t>
  </si>
  <si>
    <t>Donation to Maria Rizza Tendero for her medical needs QR: 122221002LGSF</t>
  </si>
  <si>
    <t xml:space="preserve">Ma. Jessa D. Resureccion </t>
  </si>
  <si>
    <t>Donation to Joemar Resurreccion for his medical needs QR: 122221005LGSF</t>
  </si>
  <si>
    <t>Donation to Reynaldo Valencia for his hospital bill QR: 122421013LGSF</t>
  </si>
  <si>
    <t xml:space="preserve">Jinky V. Gabarda </t>
  </si>
  <si>
    <t>Donation to Arnie Gabarda for his hospital bill QR: 122721011LGSF</t>
  </si>
  <si>
    <t xml:space="preserve">Rose Ann S. Sanchez </t>
  </si>
  <si>
    <t>Donation to Nelson Sanchez for his hospital bill QR: 122721010LGSF</t>
  </si>
  <si>
    <t xml:space="preserve">Sonia T. Diaz </t>
  </si>
  <si>
    <t>Donation to Bienvenido Andaya for his hospital bill QR: 122421008LGSF</t>
  </si>
  <si>
    <t xml:space="preserve">Floredeliza D. Munar </t>
  </si>
  <si>
    <t>Donation to Anne Rose Munar for her hospital bill QR: 122721001LGSF</t>
  </si>
  <si>
    <t xml:space="preserve">Alicia O. Lim </t>
  </si>
  <si>
    <t>Donation to Alfredo Lim for his hospital bill QR: 122721004LGSF</t>
  </si>
  <si>
    <t xml:space="preserve">Edelyn N. Tria </t>
  </si>
  <si>
    <t>Donation to Jonathan Nepomuceno for his hospital bill QR: 122721002LGSF</t>
  </si>
  <si>
    <t xml:space="preserve">Ester B. Lingad </t>
  </si>
  <si>
    <t>Donation to the client her medical need QR: 122721003LGSF</t>
  </si>
  <si>
    <t>Donation to Jose Quezon for his medical needs QR: 122721008LGSF</t>
  </si>
  <si>
    <t>Donation to the client for his medical needs QR: 122721006LGSF</t>
  </si>
  <si>
    <t xml:space="preserve">Julie Ann B. Cruz </t>
  </si>
  <si>
    <t>Donation to Danilo Bansil for his medical needs QR: 122721005LGSF</t>
  </si>
  <si>
    <t xml:space="preserve">Marjorie V. Gutierrez </t>
  </si>
  <si>
    <t>Donation to Marieta Gutierrez for her burial expense QR: 122221001LGSF</t>
  </si>
  <si>
    <t xml:space="preserve">Arlene C. Dela Rosa </t>
  </si>
  <si>
    <t>Donation to Aeron Khiel Jenar Dela Rosa for his doctor's professional fee QR: 122421019LGSF</t>
  </si>
  <si>
    <t xml:space="preserve">Jeffrey D. Pasaraba </t>
  </si>
  <si>
    <t>Donation to Lyneth Anne and Skyler Edron PASARABA for their hospital bills QR: 122421014LGSF</t>
  </si>
  <si>
    <t>Donation to Anna May Paras for her hospital bill QR: 122421004LGSF</t>
  </si>
  <si>
    <t xml:space="preserve">Benjamin C. Izon </t>
  </si>
  <si>
    <t>Donation to Ernesto Izon for his hospital bill QR: 122421010LGSF</t>
  </si>
  <si>
    <t xml:space="preserve">Paul John E. De Guzman </t>
  </si>
  <si>
    <t>Donation to Jane Grace Valerio for her hospital bill QR: 122421003LGSF</t>
  </si>
  <si>
    <t xml:space="preserve">Jerwin R. Ilaya </t>
  </si>
  <si>
    <t>Donation to Sara Grace Ilaya for her hospital bill QR: 122421002LGSF</t>
  </si>
  <si>
    <t xml:space="preserve">Nancy M. de Lara </t>
  </si>
  <si>
    <t>Donation to Alfredo De Lara for his hospital bill QR: 122421006LGSF</t>
  </si>
  <si>
    <t xml:space="preserve">Joven P. Almazan </t>
  </si>
  <si>
    <t>Donation to Carmelita Almazan for her hospital bill QR: 122221004LGSF</t>
  </si>
  <si>
    <t xml:space="preserve">Myrna D. Arriola </t>
  </si>
  <si>
    <t>Donation to the client for her medical need QR: 122421007LGSF</t>
  </si>
  <si>
    <t xml:space="preserve">Donnabelle S. Dionisio </t>
  </si>
  <si>
    <t>Donation to Federico DIONISIO for his medical needs QR: 122421009LGSF</t>
  </si>
  <si>
    <t xml:space="preserve">Rosemarie O. Bartolay </t>
  </si>
  <si>
    <t>Donation to Dante Bartolay for his medical needs QR: 122421005LGSF</t>
  </si>
  <si>
    <t xml:space="preserve">Wilfredo M. Canimo </t>
  </si>
  <si>
    <t>Donation to client QR: 122221008LGSF</t>
  </si>
  <si>
    <t xml:space="preserve">Philippine Public Safety and Order Support Group (PPSOSG) </t>
  </si>
  <si>
    <t xml:space="preserve">13th PArtial payment of package training expenses for the provincial wide Brgy Disaster Risk Reduction Education &amp; emeregency medical first responder </t>
  </si>
  <si>
    <t>Donation to Jocelyn CARREON for her burial expenses QR: 010322058LGSF</t>
  </si>
  <si>
    <t>Donation to Wilfredo Ludovico for his burial expenses QR: 010322015LGSF</t>
  </si>
  <si>
    <t xml:space="preserve">Rowela F. Labolabo </t>
  </si>
  <si>
    <t>Donation to Bornio LABOLABO for his burial expenses QR: 010322049LGSF</t>
  </si>
  <si>
    <t>Donation to Ely Obra for her hospital bill QR: 010322035LGSF</t>
  </si>
  <si>
    <t xml:space="preserve">Analissa O. Daquis </t>
  </si>
  <si>
    <t>Donation to Enrico Ocampo for his hospital bill QR: 010322034LGSF</t>
  </si>
  <si>
    <t xml:space="preserve">Ginalyn A. Dayot </t>
  </si>
  <si>
    <t>Donation to Joel Acayen for his hospital bill QR: 122721009LGSF</t>
  </si>
  <si>
    <t xml:space="preserve">Bryan B. Yordan </t>
  </si>
  <si>
    <t>Donation to Mark Bren Yordan for his hospital bill QR: 010322039LGSF</t>
  </si>
  <si>
    <t>Donation to Michael Bacani for his hospital bill QR: 122721007LGSF</t>
  </si>
  <si>
    <t>Donation to Ferdinand Magtanong for his hospital bill  QR: 010322030LGSF</t>
  </si>
  <si>
    <t>Donation to Reynaldo Tabadero for his hospital bill</t>
  </si>
  <si>
    <t xml:space="preserve">Argel L. Atienza </t>
  </si>
  <si>
    <t>Donation Angela Atienza for her hospital bill QR: 010322036LGSF</t>
  </si>
  <si>
    <t>Donation to Ma. Victoria D. Carlos for her medical needs QR: 010322053LGSF</t>
  </si>
  <si>
    <t xml:space="preserve">Jinky M. Abquilan </t>
  </si>
  <si>
    <t>Donation to Jerick Malanum for his medical needs QR: 010322042LGSF</t>
  </si>
  <si>
    <t xml:space="preserve">Jonnel D. Viray </t>
  </si>
  <si>
    <t>Donation to Mary Ann Viray for his medical needs QR: 010322047LGSF</t>
  </si>
  <si>
    <t xml:space="preserve">Gerald D. Quiambao </t>
  </si>
  <si>
    <t>Donation to Elizabeth Quiambao for her medical needs QR: 010322037LGSF</t>
  </si>
  <si>
    <t xml:space="preserve">Rona Joan C. dela Cruz </t>
  </si>
  <si>
    <t>Donation to Delia Cruz for her burial expenses QR: 010322011LGSF</t>
  </si>
  <si>
    <t xml:space="preserve">Jennett A. Llada </t>
  </si>
  <si>
    <t>Donation to Lolita Angeles for her hospital bill QR: 010322046LGSF</t>
  </si>
  <si>
    <t xml:space="preserve">Yolanda A. La Torre </t>
  </si>
  <si>
    <t>Donation to Marcela Acuzar for her hospital bill QR: 010322043LGSF</t>
  </si>
  <si>
    <t xml:space="preserve">Mercar U. Felix </t>
  </si>
  <si>
    <t>Donation to Marcus Adrian Felix for his hospital bill and medical needs QR: 010322052LGSF</t>
  </si>
  <si>
    <t xml:space="preserve">Christopher L. Aguisanda </t>
  </si>
  <si>
    <t>Donation to Ma. Theresa Aguisanda for her hospital bill QR: 010322029LGSF</t>
  </si>
  <si>
    <t>Donation to Lilia Flores for her hospital bill QR: 010322027LGSF</t>
  </si>
  <si>
    <t xml:space="preserve">Jennie Rose D. Oliveria </t>
  </si>
  <si>
    <t>Donation to the client for her hospital bill QR: 010322041LGSF</t>
  </si>
  <si>
    <t xml:space="preserve">Angelina P. Requillas </t>
  </si>
  <si>
    <t>Donation to Jesiah Leonardo Dizon for his hospital bill QR: 010322028LGSF</t>
  </si>
  <si>
    <t xml:space="preserve">Joy S. Javier </t>
  </si>
  <si>
    <t>Donation to the client for her hospital bill QR: 010322040LGSF</t>
  </si>
  <si>
    <t xml:space="preserve">Atilano M. Quicho </t>
  </si>
  <si>
    <t>Donation to the client for his medical needs QR: 010322033LGSF</t>
  </si>
  <si>
    <t xml:space="preserve">Jane C. Zulueta </t>
  </si>
  <si>
    <t>Donation to Kylie Catherine ZULUETA for her medical needs QR: 010322031LGSF</t>
  </si>
  <si>
    <t xml:space="preserve">Dino S. Martin </t>
  </si>
  <si>
    <t>Donation to Shirdie Martin for her medical needs QR: 010322020LGSF</t>
  </si>
  <si>
    <t xml:space="preserve">Albert D. Pineda </t>
  </si>
  <si>
    <t>Donation to the client for his medical needs QR: 010322038LGSF</t>
  </si>
  <si>
    <t xml:space="preserve">Manuel M. dela Cruz </t>
  </si>
  <si>
    <t>Donation to Rolando Dela Cruz for his burial expenses QR: 122421016LGSF</t>
  </si>
  <si>
    <t xml:space="preserve">St. Joseph Memorial Services of Balanga Inc </t>
  </si>
  <si>
    <t>Donation to Teodoro Anza for his burial expenses QR: 010322001LGSF</t>
  </si>
  <si>
    <t xml:space="preserve">Conrado E. Santos Jr. </t>
  </si>
  <si>
    <t>Donation to Franklin Santos for his burial expenses QR: 010322003LGSF</t>
  </si>
  <si>
    <t xml:space="preserve">Elvira B. Factoran </t>
  </si>
  <si>
    <t>Donation to Tomas Baluyot for his burial expenses QR: 010322006LGSF</t>
  </si>
  <si>
    <t>Donation to Patricia and Mikael Kyrie Grospe for their hospital bills QR: 0103220009LGSF</t>
  </si>
  <si>
    <t>Donation to Joevanny Base for his hospital bill QR: 010322012LGSF</t>
  </si>
  <si>
    <t xml:space="preserve">Marife R. Iyahin </t>
  </si>
  <si>
    <t>Donation to the client and Matthew Rainell Iyahin for their hospital bill QR: 010322005LGSF</t>
  </si>
  <si>
    <t xml:space="preserve">Juledner L. Macarubbo </t>
  </si>
  <si>
    <t>Donation to Christalle Macarubbo for her hospital bill QR: 010322004LGSF</t>
  </si>
  <si>
    <t xml:space="preserve">Reinier E. Vengua </t>
  </si>
  <si>
    <t>Donation to Jannielle Vengua for her hospital bill QR: 010322007LGSF</t>
  </si>
  <si>
    <t xml:space="preserve">Mark Angelo C. Raya </t>
  </si>
  <si>
    <t>Donation to Mcarvey Adalade Raya for her hospital bill QR: 010322008LGSF</t>
  </si>
  <si>
    <t xml:space="preserve">Robert Emil P. MEndoza </t>
  </si>
  <si>
    <t>Donation to Roberto Mendoza for his hospital bill QR: 010322010LGSF</t>
  </si>
  <si>
    <t xml:space="preserve">Teresita A. Panganiban </t>
  </si>
  <si>
    <t>Donation to the client for her medical needs QR: 122721015LGSF</t>
  </si>
  <si>
    <t xml:space="preserve">Paul Anthony S. Danque </t>
  </si>
  <si>
    <t>Donation to Raul Dangue for his medical needs QR: 010322025LGSF</t>
  </si>
  <si>
    <t xml:space="preserve">Ma. Veronica T. Homo </t>
  </si>
  <si>
    <t>Donation to Elton John Homo for his hospital bill QR: 122421018LGSF</t>
  </si>
  <si>
    <t xml:space="preserve">Maria Theresa W. Yago </t>
  </si>
  <si>
    <t>Donation to Mario Yago for his hospital bill QR: 010322018LGSF</t>
  </si>
  <si>
    <t xml:space="preserve">Efren M. Sartiga Jr </t>
  </si>
  <si>
    <t>Donation Melanie Sartiga for her hospital bill and doctor's professional fee QR: 010322024LGSF</t>
  </si>
  <si>
    <t xml:space="preserve">Ronaldo Rey V. Flormata </t>
  </si>
  <si>
    <t>Donation to Shiryl Flormata and Lilybelle Rei Flormata for their hospital bill QR: 010322017LGSF</t>
  </si>
  <si>
    <t xml:space="preserve">Ismael P. Ampuan </t>
  </si>
  <si>
    <t>Donation to Denniese Kyla Samson and Zariyah Zainab Ampuan for their hospital bill QR: 010322023LGSF</t>
  </si>
  <si>
    <t xml:space="preserve">Rosalinda B. Esconde </t>
  </si>
  <si>
    <t>Donation to Primitivo Esconde for his hospital bill QR: 122721012LGSF</t>
  </si>
  <si>
    <t xml:space="preserve">Gina H. Alonzo </t>
  </si>
  <si>
    <t>Donation to Melanie Alonzo for her hospital bill QR: 010322016LGSF</t>
  </si>
  <si>
    <t>Donation to Minerva Larion for her medical needs QR:010322013LGSF</t>
  </si>
  <si>
    <t xml:space="preserve">Hydee T. Cruz </t>
  </si>
  <si>
    <t>Donation to Flora Cruz for her medical needs QR: 010322002LGSF</t>
  </si>
  <si>
    <t xml:space="preserve">Emily D. Lopez </t>
  </si>
  <si>
    <t>Donation to the client for her medical needs QR: 010322021LGSF</t>
  </si>
  <si>
    <t xml:space="preserve">Rosa Lee D. Garcia </t>
  </si>
  <si>
    <t>Donation to the client for her medical needs QR: 010322026LGSF</t>
  </si>
  <si>
    <t xml:space="preserve">Myra D. Ibarra </t>
  </si>
  <si>
    <t>Donation to Mariquita Dela Cruz for her burial expenses QR: 010422002LGSF</t>
  </si>
  <si>
    <t xml:space="preserve">Manuel M. Dominguez </t>
  </si>
  <si>
    <t>Donation to Lemuel Dominguez for his burial expenses QR: 010622007LGSF</t>
  </si>
  <si>
    <t xml:space="preserve">Ludivina O. Fajardo </t>
  </si>
  <si>
    <t>Donation to Flordiliza Boniquit for her burial expenses QR: 010522001LGSF</t>
  </si>
  <si>
    <t xml:space="preserve">Luisa V. Reyes </t>
  </si>
  <si>
    <t>Donation to Menard Reyes for his burial expenses QR: 010622010LGSF</t>
  </si>
  <si>
    <t xml:space="preserve">Felipe R. Reyes </t>
  </si>
  <si>
    <t>Donation to Julieta Reyes for her burial expenses QR: 010322060LGSF</t>
  </si>
  <si>
    <t xml:space="preserve">Glenda M. Mabuyo </t>
  </si>
  <si>
    <t>Donation to Romel Mabuyo for his burial expenses QR: 010322057LGSF</t>
  </si>
  <si>
    <t xml:space="preserve">Cherrylyn L. Laquindanum </t>
  </si>
  <si>
    <t>Donation to Fernando Lustre for his burial expenses QR: 010622003LGSF</t>
  </si>
  <si>
    <t xml:space="preserve">William O. Crespo </t>
  </si>
  <si>
    <t>Donation to Normal Crespo for her burial expenses QR: 010522002LGSF</t>
  </si>
  <si>
    <t xml:space="preserve">Maria Fe M. Rodriguez </t>
  </si>
  <si>
    <t>Donation to Miler Rodriguez for his burial expenses QR: 010422006LGSF</t>
  </si>
  <si>
    <t xml:space="preserve">Mary Jane R. Suaberon </t>
  </si>
  <si>
    <t>Donation to Crispin Reyes for his burial expenses QR: 010422008LGSF</t>
  </si>
  <si>
    <t xml:space="preserve">Marilou L. Oriel </t>
  </si>
  <si>
    <t>Donation to Manolito Oriel for his hospital bill QR: 010422005LGSF</t>
  </si>
  <si>
    <t>Donation to Ryan Izon for his hospital bill QR: 010622006LGSF</t>
  </si>
  <si>
    <t>Donation to Hervie Garcia for his hospital bill QR: 010622005LGSF</t>
  </si>
  <si>
    <t xml:space="preserve">Jerry E. Fronda </t>
  </si>
  <si>
    <t>Donation to Rosalina Fronda for her hospital bill QR: 010422004LGSF</t>
  </si>
  <si>
    <t xml:space="preserve">Emma S. Pilon </t>
  </si>
  <si>
    <t>Donation to Steve Nash Pilon for his hospital bill QR: 010422007LGSF</t>
  </si>
  <si>
    <t xml:space="preserve">Zairah Dezza Tierr G. De Castro </t>
  </si>
  <si>
    <t>Donation to Delia Gantia for her hospital bill and medical needs QR: 0104220009LGSF</t>
  </si>
  <si>
    <t>Donation to Wilson Molina for his hospital bill QR: 010522004LGSF</t>
  </si>
  <si>
    <t xml:space="preserve">Shella Ann F. Izon </t>
  </si>
  <si>
    <t>Donation to Erwin Izon for his burial expenses QR: 010622008LGSF</t>
  </si>
  <si>
    <t xml:space="preserve">Haydee D. Palad </t>
  </si>
  <si>
    <t>Donation to Rodolfo De Leon for his burial expenses QR: 011922001LGSF</t>
  </si>
  <si>
    <t xml:space="preserve">Annalyn R. Sullano </t>
  </si>
  <si>
    <t>Donation to Rodolfo Sullano for his burial expenses QR: 011822012LGSF</t>
  </si>
  <si>
    <t xml:space="preserve">Alma G. Reñosa </t>
  </si>
  <si>
    <t>Donation to Leticia Reñosa for her burial expenses QR: 011822022LGSF</t>
  </si>
  <si>
    <t>Donation to Eleonor Navarro for her burial expenses QR: 011822021LGSF</t>
  </si>
  <si>
    <t xml:space="preserve">Lyn I. Navata </t>
  </si>
  <si>
    <t>Donation to Princess Rodalyn Navata for her hospital bill QR: 011822030LGSF</t>
  </si>
  <si>
    <t xml:space="preserve">Ricca Aiza G. Dela Cruz </t>
  </si>
  <si>
    <t>Donation to Robv Alexis Dela Cruz for his hospital bill QR: 011822019LGSF</t>
  </si>
  <si>
    <t xml:space="preserve">Johnna N. Dela Cruz </t>
  </si>
  <si>
    <t>Donation to Johanz Eli Dela Cruz for his hospital bill QR: 011822018LGSF</t>
  </si>
  <si>
    <t xml:space="preserve">Fatima M. Morales </t>
  </si>
  <si>
    <t>Donation to Ofelia Maniquiz for her hospital bill QR: 011822010LGSF</t>
  </si>
  <si>
    <t xml:space="preserve">Deshly A. Fernando </t>
  </si>
  <si>
    <t>Donation to the client for her hospital bill QR: 011822007LGSF</t>
  </si>
  <si>
    <t>Donation to the client for her medical needs QR: 011822016LGSF</t>
  </si>
  <si>
    <t xml:space="preserve">Julieta G. Gonzales </t>
  </si>
  <si>
    <t>Donation to Joice Red Gonzales for her medical needs QR: 011822025LGSF</t>
  </si>
  <si>
    <t xml:space="preserve">Susan M. Dalisay </t>
  </si>
  <si>
    <t>Donation to the client for her medical needs QR: 011822031LGSF</t>
  </si>
  <si>
    <t xml:space="preserve">Vivian A. Nuguit </t>
  </si>
  <si>
    <t>Donation to Arvin Nuguit for his medical needs QR: 011822009LGSF</t>
  </si>
  <si>
    <t xml:space="preserve">Rhussel John U. Matito </t>
  </si>
  <si>
    <t>Donation to Lydia Escaño for her hospital bill QR: 011822011LGSF</t>
  </si>
  <si>
    <t xml:space="preserve">Edith P. Fajardo </t>
  </si>
  <si>
    <t>Donation to Sofia Nicolle Fajardo for her medical needs QR: 011822008LGSF</t>
  </si>
  <si>
    <t xml:space="preserve">Ma. Victoria R. Manankil </t>
  </si>
  <si>
    <t>Donation to Danilo Manankil for his medical needs QR: 011822017LGSF</t>
  </si>
  <si>
    <t xml:space="preserve">Jenny E. Culubong </t>
  </si>
  <si>
    <t>Donation to Lorvill Santos for her medical needs QR: 011822029LGSF</t>
  </si>
  <si>
    <t xml:space="preserve">Provincial Government of Bataan - NOCAP - Trust Fund </t>
  </si>
  <si>
    <t>To transfer from LBP Regular Trust account no. 0442-1046-38 to PGB NOCAP-Trust Fund maintained at UCPB</t>
  </si>
  <si>
    <t>To transfer to trust fund-UCPB-Nocap Checking Account No. 202070008440 the amount of collections of speed limit violation 1st &amp; 2nd offense of Puyat Flouring Products Inc</t>
  </si>
  <si>
    <t>Access Veterinary Trading Corporation- Emergency purchase of Drugs and Machines Supplies (Flu Vaccine) for the use of RT-IPCR Molecular Diagnostic Laboratory at Mariveles District Hospital.</t>
  </si>
  <si>
    <t xml:space="preserve">Bagac Community and Medicare Hospital </t>
  </si>
  <si>
    <t>Payment of hospital bill of indigent patients of Bagac Community and Medicare Hospital (BCMH) charge to DOH Fund Medical Assistance, Assistance to Indigent Patients Program for the period of December 2021</t>
  </si>
  <si>
    <t xml:space="preserve">Jose C. Payumo Jr. Memorial Hospital </t>
  </si>
  <si>
    <t>Payment of hospital bill of indigent patients of Jose Payumo Memorial Hospital charge to DOH-Fund Medical Assistance Assistance to Indigent Patients Program for the period of December 2021</t>
  </si>
  <si>
    <t xml:space="preserve">Orani District Hospital </t>
  </si>
  <si>
    <t>PAYMENT OF MEDICAL EXPENSES FOR INDIGENT PATIENTS UNDER MAP FOR OCT.2021.</t>
  </si>
  <si>
    <t xml:space="preserve">Jessa D. Divinagracia </t>
  </si>
  <si>
    <t>Donation to Queser Tigue for his hospital bill QR: 011822013LGSF</t>
  </si>
  <si>
    <t xml:space="preserve">Sarrah Jeana L. Medina </t>
  </si>
  <si>
    <t>Donation to Nigel Medina for his hospital bill QR: 011822014LGSF</t>
  </si>
  <si>
    <t>Donation to Honorio Garcia for his medical needs QR: 012422001LGSF</t>
  </si>
  <si>
    <t>Donation to the client for his medical needs QR: 012422009LGSF</t>
  </si>
  <si>
    <t xml:space="preserve">Sanvie A. Batulayan </t>
  </si>
  <si>
    <t>Donation to Carina Batulayan for her medical needs QR: 012422007LGSF</t>
  </si>
  <si>
    <t xml:space="preserve">Anabelle P. Diaz </t>
  </si>
  <si>
    <t>Donation to Ariel Diaz for his medical needs QR: 012422011LGSF</t>
  </si>
  <si>
    <t xml:space="preserve">Lorena L. Mahinay </t>
  </si>
  <si>
    <t>Donation to Bonifacia Lescano for her Hospital bill QR: 012422010LGSF</t>
  </si>
  <si>
    <t>Donation to Amielyn R. Golpo for her hospital bill QR: 012422002LGSF</t>
  </si>
  <si>
    <t>Donation to the client for his medical needs QR: 012122012LGSF</t>
  </si>
  <si>
    <t>Donation to Divina Pagute for her hospital bill QR: 011822028LGSF</t>
  </si>
  <si>
    <t>Donation to the client for her hospital bill QR: 011822027LGSF</t>
  </si>
  <si>
    <t xml:space="preserve">Arceli D. Fuentes </t>
  </si>
  <si>
    <t>Donation to Leocel Fuentes for her burial expenses QR: 011822023LGSF</t>
  </si>
  <si>
    <t>Donation to the client for her hospital bill QR: 012522007LGSF</t>
  </si>
  <si>
    <t>Donation to Zayne Matthieu Miranda for her hospital bill QR: 012522006LGSF</t>
  </si>
  <si>
    <t xml:space="preserve">John Paul R. Taban </t>
  </si>
  <si>
    <t>Donation to Lara Claudine Taban for her hospital bill and medical needs QR: 012622006LGSF</t>
  </si>
  <si>
    <t xml:space="preserve">Aurora M. Loffler </t>
  </si>
  <si>
    <t>Donation to the client for her medical needs QR: 012122007LGSF</t>
  </si>
  <si>
    <t xml:space="preserve">Christian B. Quicho </t>
  </si>
  <si>
    <t>Donation to Wella Chris Quicho for her hospital bill QR: 012122003LGSF</t>
  </si>
  <si>
    <t xml:space="preserve">Nora B. Estrada </t>
  </si>
  <si>
    <t>Donation to the client for her medical needs QR: 012122002LGSF</t>
  </si>
  <si>
    <t xml:space="preserve">Ponce Mhar V. Pasiguen </t>
  </si>
  <si>
    <t>Donation to Alanis Somo for her hospital bill QR: 012122006LGSF</t>
  </si>
  <si>
    <t>Donation to Mary Jane F. Sausa for her hospital bill QR: 012022016LGSF</t>
  </si>
  <si>
    <t xml:space="preserve">Draneol R. Macaranas </t>
  </si>
  <si>
    <t>Donation to Liwanag Rivera for her hospital bill QR: 012022017LGSF</t>
  </si>
  <si>
    <t>Donation to Mia Joy Ann Rose Gregorio for her hospital bill QR: 012122005LGSF</t>
  </si>
  <si>
    <t xml:space="preserve">Lyda E. Yanto </t>
  </si>
  <si>
    <t>Donation to Lydia Escaño for her hospital bill QR: 011822015LGSF</t>
  </si>
  <si>
    <t xml:space="preserve">Ma. Ernestina M. Del Rosario </t>
  </si>
  <si>
    <t>Donation to the client for her hospital bill QR: 011822020LGSF</t>
  </si>
  <si>
    <t>To refund the amount of pertainign to the balance of fund received by the province of Bataan from Depratment of FInance Bureau of Treasury Region III for the purchase of 5 units multi purpose vehicle</t>
  </si>
  <si>
    <t>To refund the amount of pertainign to the balance of fund received by the province of Bataan from Depratment of FInance Bureau of Treasury Region III for the purchase of fertilizer/vegetable seeds/other materials to be used in typhoon ulysses Recovery assistance</t>
  </si>
  <si>
    <t>Donation to Renato Caragay for his burial expenses QR: 012422014LGSF</t>
  </si>
  <si>
    <t xml:space="preserve">Danilo S. Gloria </t>
  </si>
  <si>
    <t xml:space="preserve"> QR: 012522010LGSF</t>
  </si>
  <si>
    <t xml:space="preserve">Ailine E. Festijo </t>
  </si>
  <si>
    <t>Donation to Noel Festijo for his hospital bill and medical needs QR: 011822024LGSF</t>
  </si>
  <si>
    <t xml:space="preserve">Gilbert C. Cabero </t>
  </si>
  <si>
    <t>Donation to Lorna Cabero for her hospital bill QR: 012422005LGSF</t>
  </si>
  <si>
    <t xml:space="preserve">Rizelle D. Samson </t>
  </si>
  <si>
    <t>Donation to the client for her hospital  bill QR: 012422012LGSF</t>
  </si>
  <si>
    <t xml:space="preserve">Linnet S. Daguinotan </t>
  </si>
  <si>
    <t>Donation to Eduardo Silvederio for his hospital bill QR: 012522001LGSF</t>
  </si>
  <si>
    <t xml:space="preserve">Jonalyn B. Quiambao </t>
  </si>
  <si>
    <t>Donation to Carolina Basuel for her hospital bill QR: 012522004LGSF</t>
  </si>
  <si>
    <t xml:space="preserve">Luz R. Manguerra </t>
  </si>
  <si>
    <t>Donation to the client for her medical needs QR: 012422006LGSF</t>
  </si>
  <si>
    <t xml:space="preserve">Edwin A. Reyes </t>
  </si>
  <si>
    <t>Donation to the client for his medical needs QR: 012522002LGSF</t>
  </si>
  <si>
    <t xml:space="preserve">Melinda S. Junio </t>
  </si>
  <si>
    <t>Donation to the client for her medical needs QR: 012522003LGSF</t>
  </si>
  <si>
    <t>Donation to Rodolfo Dizon for his medical needs QR: 012522008LGSF</t>
  </si>
  <si>
    <t>Donation to Magdalena Pagtalunan for her burial expenses QR: 012422013LGSF</t>
  </si>
  <si>
    <t>Donation to Rowena Tena for her burial expenses QR: 012422004LGSF</t>
  </si>
  <si>
    <t>Donation to Salome Sumandal for her hospital bill QR: 012122011LGSF</t>
  </si>
  <si>
    <t xml:space="preserve">Emelita A. Solis </t>
  </si>
  <si>
    <t>Donation to Aimee Solis for her hospital bill QR: 012522011LGSF</t>
  </si>
  <si>
    <t xml:space="preserve">Frederick C. Palomares </t>
  </si>
  <si>
    <t>Donation to Angelina Palomares for her hospital bill QR: 012122010LGSF</t>
  </si>
  <si>
    <t>Donation to Jeffrey Ranulo for his medical needs QR: 012422003LGSF</t>
  </si>
  <si>
    <t xml:space="preserve">Bernadette V. Taba </t>
  </si>
  <si>
    <t>Donation to the client for her medical expenses QR: 012522015LGSF</t>
  </si>
  <si>
    <t xml:space="preserve">Cresencia L. Fernandez </t>
  </si>
  <si>
    <t>Donation to Luzviminda L. Dela Cruz for her burial expenses QR: 012122001LGSF</t>
  </si>
  <si>
    <t xml:space="preserve">Cheryl Lou Siccion </t>
  </si>
  <si>
    <t>Donation to Zenaida Siccion for her burial expenses QR: 012122009LGSF</t>
  </si>
  <si>
    <t xml:space="preserve">Benjie B. Viernes </t>
  </si>
  <si>
    <t>Donation to Narcisa Viernes for her burial expenses QR: 012522014LGSF</t>
  </si>
  <si>
    <t xml:space="preserve">Michelle A. Mabag </t>
  </si>
  <si>
    <t>Donation to Teofilo Solis for his burial expenses QR: 012622003LGSF</t>
  </si>
  <si>
    <t xml:space="preserve">Nelson C. Camacho </t>
  </si>
  <si>
    <t>Donation to Estrella Camacho for her burial expenses QR: 012622001LGSF</t>
  </si>
  <si>
    <t xml:space="preserve"> QR: 012122004LGSF</t>
  </si>
  <si>
    <t xml:space="preserve">Angela P. Bernatia </t>
  </si>
  <si>
    <t>Donation to Judith Pascual for her medical needs QR: 012522013LGSF</t>
  </si>
  <si>
    <t xml:space="preserve">Flordeliz S. Rodriquez </t>
  </si>
  <si>
    <t>Donation to Rose Ann Rodriguez dor her medical needs QR: 012622004LGSF</t>
  </si>
  <si>
    <t xml:space="preserve">Luzviminda T. Angeles </t>
  </si>
  <si>
    <t>Donation to the client for her hospital bill QR: 012822005LGSF</t>
  </si>
  <si>
    <t>Donation to Timothy Brylle Dela Cruz for his hospital bill QR: 012722010LGSF</t>
  </si>
  <si>
    <t>Donation to Abigael Gonzales for her hospital bill QR: 012722009LGSF</t>
  </si>
  <si>
    <t xml:space="preserve">Amor Herrera </t>
  </si>
  <si>
    <t>Donation to Noel Artuz for his medical needs QR: 012522012LGSF</t>
  </si>
  <si>
    <t xml:space="preserve">Danilo M. Andaya </t>
  </si>
  <si>
    <t>Donation to Delfin Andaya for his burial expenses QR: 012822001LGSF</t>
  </si>
  <si>
    <t xml:space="preserve">Aneli S. Austria </t>
  </si>
  <si>
    <t>Donation to Krade Henly David for his hospital bill QR: 012822008LGSF</t>
  </si>
  <si>
    <t xml:space="preserve">Dulce R. Reño </t>
  </si>
  <si>
    <t>Donation to Elvira Raton for her hospital bill QR: 012822007LGSF</t>
  </si>
  <si>
    <t xml:space="preserve">Nanette R. Leaño </t>
  </si>
  <si>
    <t>Donation to Janette Guila for her hospital bill QR: 012722002LGSF</t>
  </si>
  <si>
    <t>Donation to Mary Grace Baquing for her hospital bill QR: 012722007LGSF</t>
  </si>
  <si>
    <t xml:space="preserve">Roma G. Pantaleon </t>
  </si>
  <si>
    <t>Donation to Shirley Pantaleon for her hospital bill QR: 012722003LGSF</t>
  </si>
  <si>
    <t xml:space="preserve">Norma P. Hernandez </t>
  </si>
  <si>
    <t>Donation to Dolores Dela Cruz for her hospital bill QR: 012822004LGSF</t>
  </si>
  <si>
    <t>Donation to Alfredo Balmaceda for his hospital bill QR: 012722006LGSF</t>
  </si>
  <si>
    <t>Donation to Ronald Tuliao for his medical needs QR: 012822003LGSF</t>
  </si>
  <si>
    <t>Donation to Delfin Villegas for his medical needs QR: 012822002LGSF</t>
  </si>
  <si>
    <t xml:space="preserve">Lourdes S. Serrano </t>
  </si>
  <si>
    <t>Donation to the client for her medical needs QR: 012722005LGSF</t>
  </si>
  <si>
    <t xml:space="preserve">Rebecca S. Dayrit </t>
  </si>
  <si>
    <t>Donation to the client for her medical needs QR: 012522009LGSF</t>
  </si>
  <si>
    <t xml:space="preserve">Ofelia P. De Leon </t>
  </si>
  <si>
    <t>Donation to the client for her medical needs QR: 012722011LGSF</t>
  </si>
  <si>
    <t>Donation to Lito Napana gor his hospital bill QR: 012822006LGSF</t>
  </si>
  <si>
    <t>Donation to Joyce Celecio for his medical needs QR: 012722001LGSF</t>
  </si>
  <si>
    <t xml:space="preserve">Charity Ann M. Navarro </t>
  </si>
  <si>
    <t>Donation to Caeden Sangalang for his hospital bill QR: 013122002LGSF</t>
  </si>
  <si>
    <t>Donation for the laboratory expenses of Regina Palomares</t>
  </si>
  <si>
    <t xml:space="preserve">Dennis N. Quicho </t>
  </si>
  <si>
    <t>Donation to Leticia Quicho for her hospital bill QR: 012722008LGSF</t>
  </si>
  <si>
    <t xml:space="preserve">Rutchie Rosco </t>
  </si>
  <si>
    <t>Donation to Dierhon B. Donguines for his medical needs QR: 012622007LGSF</t>
  </si>
  <si>
    <t xml:space="preserve">Amelia Pineda </t>
  </si>
  <si>
    <t>Donation to Dexter Pineda for his medical needs</t>
  </si>
  <si>
    <t xml:space="preserve">Joanna Marie Santos </t>
  </si>
  <si>
    <t>Donation to Evangeline Martinez for her burial expenses</t>
  </si>
  <si>
    <t xml:space="preserve">Jenny Rose Pacay </t>
  </si>
  <si>
    <t>Donation to Rolando G. Pacay for his burial expenses</t>
  </si>
  <si>
    <t xml:space="preserve">Renato Valerio Jr. </t>
  </si>
  <si>
    <t>Donation to Cecilia Valerio for her burial expenses</t>
  </si>
  <si>
    <t xml:space="preserve">Crispina Nicolas </t>
  </si>
  <si>
    <t>Donation to Chona Lamira for her hospital bill</t>
  </si>
  <si>
    <t xml:space="preserve">Mary Rose Dela Cruz </t>
  </si>
  <si>
    <t>Donation to the client for her hospital bill</t>
  </si>
  <si>
    <t xml:space="preserve">Jessarie Garcia </t>
  </si>
  <si>
    <t>Donation to Maria Tisha Lerisse Gerella Garcia for her hospital bill</t>
  </si>
  <si>
    <t xml:space="preserve">Noly Hermosa </t>
  </si>
  <si>
    <t>Donation to Vincent Corpuz Hermosa for his hospital bill</t>
  </si>
  <si>
    <t xml:space="preserve">Mart Adoptante </t>
  </si>
  <si>
    <t>Donation to the client for his medical needs</t>
  </si>
  <si>
    <t xml:space="preserve">Erica Mae Magsino </t>
  </si>
  <si>
    <t>Donation to Gerry Magsino for his medical needs</t>
  </si>
  <si>
    <t xml:space="preserve">Liezl Guevarra </t>
  </si>
  <si>
    <t>Donation to Noel De Leon Guevarra for his medical needs</t>
  </si>
  <si>
    <t xml:space="preserve">John Paul Taban </t>
  </si>
  <si>
    <t>Donation to Wesley Taban for her hospital bill and medical needs</t>
  </si>
  <si>
    <t xml:space="preserve">Marlon Delos Reyes </t>
  </si>
  <si>
    <t>Donation to Hanna Marlei A. Delos Reyes for her hospital bill</t>
  </si>
  <si>
    <t xml:space="preserve">Rubelyn Pulido </t>
  </si>
  <si>
    <t>Donation to Rodolfo Pulido for his burial expenses</t>
  </si>
  <si>
    <t xml:space="preserve">Jeanick Oliveria </t>
  </si>
  <si>
    <t>Donation to Cresencio Oliveria for his medical needs</t>
  </si>
  <si>
    <t xml:space="preserve">Rea Lyn C. Baria </t>
  </si>
  <si>
    <t>Donation to Janelle Caparas for her hospital bill and medical needs QR: 012622002LGSF</t>
  </si>
  <si>
    <t xml:space="preserve">Merly H. Castillo </t>
  </si>
  <si>
    <t>Donation to Jonalyn Iglesia for her medical needs QR: 012722012LGSF</t>
  </si>
  <si>
    <t xml:space="preserve">Lhanz CJ Trading and Computer Inc. </t>
  </si>
  <si>
    <t xml:space="preserve">Crisanto M. Bautista </t>
  </si>
  <si>
    <t>Donation to Virigilio Bautista  for his burial expenses QR: 013122015LGSF</t>
  </si>
  <si>
    <t xml:space="preserve">Dexter A. Cerrero </t>
  </si>
  <si>
    <t>Donation to Domingo Cerrero Jr for his burial expenses QR: 013122010LGSF</t>
  </si>
  <si>
    <t>Donation to the client for her Pet-Ct-Scan QR: 013122012LGSF</t>
  </si>
  <si>
    <t>Donation to Zacarias Villaruz Jr. for his medical needs QR: 013122009LGSF</t>
  </si>
  <si>
    <t xml:space="preserve">Noel M. Mallari </t>
  </si>
  <si>
    <t>Donation to Esperanza Mallari for her medical needs QR: 013122008LGSF</t>
  </si>
  <si>
    <t xml:space="preserve">Naiza-El R. Milano </t>
  </si>
  <si>
    <t>EL R. MILANO - Donation to Loreta Milano for her medical needs QR: 011822026LGSF</t>
  </si>
  <si>
    <t xml:space="preserve">Grace B. Mejia </t>
  </si>
  <si>
    <t>Donation to Florante Mejia for his hospital bill</t>
  </si>
  <si>
    <t xml:space="preserve">Leopoldo Gabriel </t>
  </si>
  <si>
    <t>Donation to Norman Leo Gabriel for his hospital bill QR: 020422010LGSF</t>
  </si>
  <si>
    <t>Donation to Jeramy Gatdula for his hospital bill QR: 020422003LGSF</t>
  </si>
  <si>
    <t xml:space="preserve">Cristina Alipio </t>
  </si>
  <si>
    <t>Donation to Henry Alipio for his burial expenses QR: 020222016LGSF</t>
  </si>
  <si>
    <t>Donation to Reynaldo Rivera for his Surgical Procedure QR: 020222018LGSF</t>
  </si>
  <si>
    <t xml:space="preserve">Irene Suarez </t>
  </si>
  <si>
    <t>Donation to Wilfredo Autor for his medical needs QR: 020222013LGSF</t>
  </si>
  <si>
    <t>Donation to Razzy Levin Carel Regencia for his Chemotherapy QR: 020222010LGSF</t>
  </si>
  <si>
    <t xml:space="preserve">Jaime Tala </t>
  </si>
  <si>
    <t>Donation to the client for his medical needs QR: 020222001LGSF</t>
  </si>
  <si>
    <t xml:space="preserve">Merlyn Basuel </t>
  </si>
  <si>
    <t>Donation to Herminigildo Basuel for his hospital bill</t>
  </si>
  <si>
    <t xml:space="preserve">Rommel Quicho </t>
  </si>
  <si>
    <t>Donation to Leimel Yusuf De Mesa Quicho for his hospital bill QR: 020222003LGSF</t>
  </si>
  <si>
    <t xml:space="preserve">Ma. Teresa Lingad </t>
  </si>
  <si>
    <t>Donation to Mitzi Joyce Lingad for her hospital bill QR: 020222009LGSF</t>
  </si>
  <si>
    <t xml:space="preserve">Zosimo Manabat </t>
  </si>
  <si>
    <t>Donation to Paulita Manabat for her hospital bill QR: 020222002LGSF</t>
  </si>
  <si>
    <t xml:space="preserve">Janine Rimbao </t>
  </si>
  <si>
    <t>Donation to Kearl Cedric Capili for his hospital bill QR: 013122011LGSF</t>
  </si>
  <si>
    <t>Payment of medical expenses for indigent patients under MAIP for the period November 2021</t>
  </si>
  <si>
    <t xml:space="preserve">Jessica S. Bagsic </t>
  </si>
  <si>
    <t>Donation to Josh Liam Mandi for his hospital bill QR: 020222025LGSF</t>
  </si>
  <si>
    <t>Donation to Delfin Carlos for his hospital bill QR: 020222026LGSF</t>
  </si>
  <si>
    <t>Donation to Praxedes Laquindanum for his hospital bill QR: 020322008LGSF</t>
  </si>
  <si>
    <t>Donation to the client for his medical needs QR: 020322012LGSF</t>
  </si>
  <si>
    <t xml:space="preserve">Joanna S. Taloban </t>
  </si>
  <si>
    <t>Donatioon to Arjay Montemayor for his medical needs QR: 020322017LGSF</t>
  </si>
  <si>
    <t xml:space="preserve">Rodelio N. Parrera </t>
  </si>
  <si>
    <t>Donation to the client for his medical needs QR: 020322014LGSF</t>
  </si>
  <si>
    <t xml:space="preserve">Roxanne Joyce L. Mendoza </t>
  </si>
  <si>
    <t>Donation to the client for his medical needs QR: 020322002LGSF</t>
  </si>
  <si>
    <t xml:space="preserve">Herminia C. Martinez </t>
  </si>
  <si>
    <t>Donation to the client for his medical needs QR: 020222022LGSF</t>
  </si>
  <si>
    <t xml:space="preserve">Eduardo A. Isidro </t>
  </si>
  <si>
    <t>Donation to the client for his medical needs QR: 020222024LGSF</t>
  </si>
  <si>
    <t>Donation to Leonila Tolentino for her medical needs QR: 020322001LGSF</t>
  </si>
  <si>
    <t xml:space="preserve">Kyanne Kate S. Malibiran </t>
  </si>
  <si>
    <t>Donation to Alfredo Malibiran for his medical needs QR: 020322006LGSF</t>
  </si>
  <si>
    <t xml:space="preserve">Evelyn S. Punzalan </t>
  </si>
  <si>
    <t>Donation to Crisivel Punzalan for his medical needs QR: 020322021LGSF</t>
  </si>
  <si>
    <t xml:space="preserve">Ruth I. Motos </t>
  </si>
  <si>
    <t>Donation to Alejandro Motos Jr. for his medical needs QR: 020322013LGSF</t>
  </si>
  <si>
    <t xml:space="preserve">Lee Ann P. Medina </t>
  </si>
  <si>
    <t>Donation to the client for her medical needs QR: 020322020LGSF</t>
  </si>
  <si>
    <t xml:space="preserve">Juanito Jr. B. Bernido </t>
  </si>
  <si>
    <t>Donation to John Jayvee Bernido for his hospital bill</t>
  </si>
  <si>
    <t xml:space="preserve">Cecelia G. Garcia </t>
  </si>
  <si>
    <t>Donation to Rogelio Giray for his hospital bill QR: 020222014LGSF</t>
  </si>
  <si>
    <t xml:space="preserve">Razel Jeramy I. Bacani </t>
  </si>
  <si>
    <t>Donation to Abby Bacani for her hospital bill QR: 020222020LGSF</t>
  </si>
  <si>
    <t xml:space="preserve">Joey Medina </t>
  </si>
  <si>
    <t>Donation to the client for his medical needs QR: 020222007LGSF</t>
  </si>
  <si>
    <t xml:space="preserve">Sharon Cruz </t>
  </si>
  <si>
    <t>Donation to Librada Lintag for her hospital bill QR: 020222004LGSF</t>
  </si>
  <si>
    <t>Donation to Melchor Sevilla for his hospital bill QR: 020222008LGSF</t>
  </si>
  <si>
    <t xml:space="preserve">Teresita Santos </t>
  </si>
  <si>
    <t>Donation to Josielyn Santos for her hospital bill QR: 020222021LGSF</t>
  </si>
  <si>
    <t xml:space="preserve">Kelvin Sarmiento </t>
  </si>
  <si>
    <t>Donation to Leah Sarmiento for her hospital bill QR: 020222011LGSF</t>
  </si>
  <si>
    <t xml:space="preserve">Kevin Sarmiento </t>
  </si>
  <si>
    <t>Donation to Kalia Anaiah Sarmiento for her hospital bill QR: 020222012LGSF</t>
  </si>
  <si>
    <t xml:space="preserve">Honey Grace Quindoza </t>
  </si>
  <si>
    <t>Donation to Zack Kristoffe Quindoza for his hospital bill QR: 020222015LGSF</t>
  </si>
  <si>
    <t xml:space="preserve">Joseph Sibug </t>
  </si>
  <si>
    <t>Donation to Jc Sibug for his hospital bill QR: 020222019LGSF</t>
  </si>
  <si>
    <t xml:space="preserve">Janaver E. Santiago </t>
  </si>
  <si>
    <t>Donation to Jeffrey Estrella for his hospital bill QR: 020222023LGSF</t>
  </si>
  <si>
    <t>Payment of medical expenses for indigent patients under MAIP for the period December 2021</t>
  </si>
  <si>
    <t xml:space="preserve">Lea S. Antonio </t>
  </si>
  <si>
    <t xml:space="preserve">Daisy V. Santiago </t>
  </si>
  <si>
    <t>Donation to Jayson Santiago for his medical needs QR: 020322022LGSF</t>
  </si>
  <si>
    <t xml:space="preserve">Jasmin B. Vinzon </t>
  </si>
  <si>
    <t>Donation to Ofelia Bautista for her burial expenses QR: 020322018LGSF</t>
  </si>
  <si>
    <t xml:space="preserve">Ma. Theresa S. Justo </t>
  </si>
  <si>
    <t>Donation to Rosalinda Soriano for her medical needs QR: 020422009LGSF</t>
  </si>
  <si>
    <t xml:space="preserve">Melody M. Cavinta </t>
  </si>
  <si>
    <t>Donation to Oliver Cavinta for his burial expenses QR: 020422001LGSF</t>
  </si>
  <si>
    <t xml:space="preserve">Teresita A. Quicho </t>
  </si>
  <si>
    <t>Donation to Crispin De Leon Quicho for his burial expenses QR: 020422011LGSF</t>
  </si>
  <si>
    <t xml:space="preserve">Geraldine D. Flores </t>
  </si>
  <si>
    <t>Donation to Geraldo De Dios for his burial expenses QR: 020422015LGSF</t>
  </si>
  <si>
    <t xml:space="preserve">Dante I. Laforteza </t>
  </si>
  <si>
    <t>Donation to Belinda Laforteza for her Burial Expenses QR: 020422012LGSF</t>
  </si>
  <si>
    <t>Donation to Ricardo Dela Cruz Gatdula for his hospital bill and medical needs QR: 013122013LGSF</t>
  </si>
  <si>
    <t>Donation to Emma Capili for her hospital bill QR: 020322044LGSF</t>
  </si>
  <si>
    <t xml:space="preserve">Lannie A. Cordova </t>
  </si>
  <si>
    <t>Donation to Lei Ashley A. Cordova for her hospital bill QR: 020422005LGSF</t>
  </si>
  <si>
    <t>Donation to Rachel Salandanan for her hospital bill QR: 020322004LGSF</t>
  </si>
  <si>
    <t xml:space="preserve">Agness Sciessere </t>
  </si>
  <si>
    <t>Donation to Ernesto Navarro for his hospital bill</t>
  </si>
  <si>
    <t xml:space="preserve">John Lenard R. Caasi </t>
  </si>
  <si>
    <t>Donation to Melchora Ramirez for her hospital bill QR: 020422002LGSF</t>
  </si>
  <si>
    <t xml:space="preserve">Alyssa Marie M. Pajarin </t>
  </si>
  <si>
    <t>Donation to John Marc Pajarin for his medical needs QR: 020322019LGSF</t>
  </si>
  <si>
    <t>Donation to Edgardo Calara for his hospital bill</t>
  </si>
  <si>
    <t>Donation to Mark Anthony Cayanan for his hospital bill</t>
  </si>
  <si>
    <t xml:space="preserve">Twinkle F. Vallecer </t>
  </si>
  <si>
    <t>Donation to Kobe Vallecer for his medical needs QR: 020222006LGSF</t>
  </si>
  <si>
    <t xml:space="preserve">Alvin D. Bulan </t>
  </si>
  <si>
    <t>Donation to Kharen Jacinto Bulan for her hospital bill</t>
  </si>
  <si>
    <t xml:space="preserve">Endure Medical, Inc. </t>
  </si>
  <si>
    <t>Recombinant Human Erythropoietin (Epoetin Alfa) for 1Bataan Malasakit Dialysis Assistance (1BMDA)</t>
  </si>
  <si>
    <t>Donation to the client for her hospital bill QR: 020822001LGSF</t>
  </si>
  <si>
    <t xml:space="preserve">Aileen A. Laquindanum </t>
  </si>
  <si>
    <t>Donation to Rosario T. Austria for her burial expenses QR: 020322040LGSF</t>
  </si>
  <si>
    <t xml:space="preserve">Shiela Mariz D. Tordera </t>
  </si>
  <si>
    <t>Donation to Alvin Kay Galang for his burial expenses QR: 020322041LGSF</t>
  </si>
  <si>
    <t xml:space="preserve">Myra V. Tinao </t>
  </si>
  <si>
    <t>Donation to Raven De Guzman Valencia for his hospital bill QR: 020322030LGSF</t>
  </si>
  <si>
    <t>Donation to Austin Jay Tinao for his hospilat bill QR: 020322031LGSF</t>
  </si>
  <si>
    <t xml:space="preserve">John D. Zabala </t>
  </si>
  <si>
    <t>Donation to Jose Razon Jr. for his hospital bill QR: 020322039LGSF</t>
  </si>
  <si>
    <t>Donation to Maria Bernabe Cabangal for her hospital bill QR: 020322035LGSF</t>
  </si>
  <si>
    <t>Donation to Leopoldo Hipolito for his hospital bill QR: 020322032LGSF</t>
  </si>
  <si>
    <t>Donation to Nenita Del Rosario for her hospital bill QR: 020322029LGSF</t>
  </si>
  <si>
    <t xml:space="preserve">Rizaldy S. Guanlao </t>
  </si>
  <si>
    <t>Donation to Chariza and Lohr Kaiser Gualao for thier hospital bill QR: 020322024LGSF</t>
  </si>
  <si>
    <t xml:space="preserve">Rujani F. Tabugan </t>
  </si>
  <si>
    <t>Donation to Roberto Tabugan for his burial expenses QR: 020322036LGSF</t>
  </si>
  <si>
    <t xml:space="preserve">Reynaldo E. Despe </t>
  </si>
  <si>
    <t>Donation to Diane Boniquit for her hospital bill QR: 020322009LGSF</t>
  </si>
  <si>
    <t>Donation to Roelito Quimbao for his hospital bill QR: 020322037LGSF</t>
  </si>
  <si>
    <t xml:space="preserve">Liezl B. Bongat </t>
  </si>
  <si>
    <t>Donation to Delna Basalo for her medical needs QR: 020322034LGSF</t>
  </si>
  <si>
    <t xml:space="preserve">Marife B. Gatdula </t>
  </si>
  <si>
    <t>Donation to the client for her medical needs QR: 020322028LGSF</t>
  </si>
  <si>
    <t xml:space="preserve">Angie B. Bibal </t>
  </si>
  <si>
    <t>Donation to Evelyn Simeon for her medical needs QR: 020322016LGSF</t>
  </si>
  <si>
    <t>Donation to the client for hos medical needs QR: 020322003LGSF</t>
  </si>
  <si>
    <t xml:space="preserve">Didith M. Tulaban </t>
  </si>
  <si>
    <t>Donation to Narciso Magbitang for his burial expenses QR: 020322027LGSF</t>
  </si>
  <si>
    <t xml:space="preserve">Charisse Ann N. Jimena </t>
  </si>
  <si>
    <t>Donation to Lily Navarro for her medical needs QR: 020322023LGSF</t>
  </si>
  <si>
    <t>Donation to Jose Gerwin Bunsoy Capili for his hospital bill QR: 020322010LGSF</t>
  </si>
  <si>
    <t>Donation to Membartas Ampuan for his hospital bill QR: 020222017LGSF</t>
  </si>
  <si>
    <t>Donation to Marilou Rubiano for her hospital bill QR: 020322026LGSF</t>
  </si>
  <si>
    <t xml:space="preserve">Marissa M. Roque </t>
  </si>
  <si>
    <t>Donation to Mae Raquel M. Roque for her hospital bill QR: 020322042LGSF</t>
  </si>
  <si>
    <t>Donation to Virginia Neri Malabanan for her hospital bill QR: 020322033LGSF</t>
  </si>
  <si>
    <t>Donation to the client for her medical needs QR: 020322011LGSF</t>
  </si>
  <si>
    <t>Donation to the client for her medical needs QR: 020722028LGSF</t>
  </si>
  <si>
    <t>Donation to Editha Palines for her hospital bill QR: 020722011LGSF</t>
  </si>
  <si>
    <t xml:space="preserve">Preciosa A. Zulueta </t>
  </si>
  <si>
    <t>Donation to Soliman Zulueta for his medical needs QR: 020722014LGSF</t>
  </si>
  <si>
    <t xml:space="preserve">Venus P. Bernardo </t>
  </si>
  <si>
    <t>Donation to Manding Bernardo for his medical needs QR: 020722008LGSF</t>
  </si>
  <si>
    <t xml:space="preserve">Marie Saira A. Riño </t>
  </si>
  <si>
    <t>Donation to Marilou Austria for her hospital bill QR: 020422013LGSF</t>
  </si>
  <si>
    <t xml:space="preserve">Chona A. Miller </t>
  </si>
  <si>
    <t>Donation to the client for her medical needs QR: 020722018LGSF</t>
  </si>
  <si>
    <t>Donation to the client for her medical needs QR: 020722025LGSF</t>
  </si>
  <si>
    <t xml:space="preserve">Christian Paul G. Cinco </t>
  </si>
  <si>
    <t>Donation to Zoe Myrrh Cinco for her hospital bill QR: 020722026LGSF</t>
  </si>
  <si>
    <t xml:space="preserve">Melenie M. Mascareñas </t>
  </si>
  <si>
    <t>Donation to Rolando Mascareñas for his medical needs QR: 020822004LGSF</t>
  </si>
  <si>
    <t xml:space="preserve">Frank Nolan A. Ayson </t>
  </si>
  <si>
    <t>Donation to Ofelia Ayson for her burial expenses QR: 020422016LGSF</t>
  </si>
  <si>
    <t xml:space="preserve">Mary Joy D. Salenga </t>
  </si>
  <si>
    <t>Donation to Mercedita Del Rosario for her medical needs QR: 020322025LGSF</t>
  </si>
  <si>
    <t xml:space="preserve">Angelita A. Carreon </t>
  </si>
  <si>
    <t>Donation to Regie Carreon for his medical needs QR: 020422027LGSF</t>
  </si>
  <si>
    <t>Donation to Isabel Guzman for her medical needs QR: 020422024LGSF</t>
  </si>
  <si>
    <t>Donation to Karen Tuazon for her hospital bill QR: 020422023LGSF</t>
  </si>
  <si>
    <t>Donation to Manuel Calayo for his hospital bill QR: 020422017LGSF</t>
  </si>
  <si>
    <t xml:space="preserve">Celeste S. Briola </t>
  </si>
  <si>
    <t>Donation to the client for her medical needs QR: 020422026LGSF</t>
  </si>
  <si>
    <t xml:space="preserve">Romeo Jr. D. Javier </t>
  </si>
  <si>
    <t>Donation to Charish Javier for her hospital bill QR: 020422014LGSF</t>
  </si>
  <si>
    <t>Donation to Veronica Tamayo for her hospital bill QR: 020722029LGSF</t>
  </si>
  <si>
    <t xml:space="preserve">Leicel P. Morales </t>
  </si>
  <si>
    <t>Donation to Rolando Panganiban for his medical needs QR: 020722023LGSF</t>
  </si>
  <si>
    <t>Donation to Ezekiel Achilles Wania for his hospital bill QR: 020722030LGSF</t>
  </si>
  <si>
    <t xml:space="preserve">Edward Joe B. Pereyra </t>
  </si>
  <si>
    <t>Donation to Cindy Camille Zenith Pereyra for her hospital bill QR: 020722019LGSF</t>
  </si>
  <si>
    <t xml:space="preserve">Cherissa P. Morales </t>
  </si>
  <si>
    <t>Donation to Eleazar Morales for his medical needs QR: 020722021LGSF</t>
  </si>
  <si>
    <t xml:space="preserve">Mary Ann R. Babala </t>
  </si>
  <si>
    <t>Donation to the client for her medical needs QR: 020722012LGSF</t>
  </si>
  <si>
    <t>Donation to Lucila Reyes for her medical needs QR: 020722013LGSF</t>
  </si>
  <si>
    <t xml:space="preserve">Christopher A. Alba </t>
  </si>
  <si>
    <t>Donation to Mylene Bareng for her medical needs QR: 020822008LGSF</t>
  </si>
  <si>
    <t xml:space="preserve">Wilfredo M. Carreon </t>
  </si>
  <si>
    <t>Donation to the client for his medical needs QR: 020822009LGSF</t>
  </si>
  <si>
    <t>Donation to Merlin Balan for her burial expenses QR: 020422019LGSF</t>
  </si>
  <si>
    <t xml:space="preserve">Gladys G. Chan </t>
  </si>
  <si>
    <t>Donation to Ralph Dylan Chan for his hospital bill QR: 020422018LGSF</t>
  </si>
  <si>
    <t xml:space="preserve">Roberto Y. Alonzo </t>
  </si>
  <si>
    <t>Donation to the client for his medical needs QR: 020422021LGSF</t>
  </si>
  <si>
    <t>Donation to Soledad Millames for her hospital bill and doctor's proffesional fee QR: 020422020LGSF</t>
  </si>
  <si>
    <t xml:space="preserve">Rea E. Silvano </t>
  </si>
  <si>
    <t>Donation to the client for her medical needs QR: 020422025LGSF</t>
  </si>
  <si>
    <t xml:space="preserve">Noemi A. Trillana </t>
  </si>
  <si>
    <t>Donation to Norberto Trillana for his medical needs QR: 020422022LGSF</t>
  </si>
  <si>
    <t>Donation to Oscar Salazar for his hospital bill QR: 020422004LGSF</t>
  </si>
  <si>
    <t xml:space="preserve">Geno Q. Aquino </t>
  </si>
  <si>
    <t>Donation to Hazel Mae Aquino for her hospital bill QR: 020722015LGSF</t>
  </si>
  <si>
    <t>Donation to Alonoah Aquino for her hospital bill QR: 020722009LGSF</t>
  </si>
  <si>
    <t xml:space="preserve">Zenaida M. Magbanua </t>
  </si>
  <si>
    <t>Donation to the client for her hospital bill QR: 020822007LGSF</t>
  </si>
  <si>
    <t xml:space="preserve">Ronald De Los Reyes Buster </t>
  </si>
  <si>
    <t>Donation to Ronalyn Buster for her hospital bill QR: 020822005LGSF</t>
  </si>
  <si>
    <t xml:space="preserve">Edmon C. Manuel </t>
  </si>
  <si>
    <t>Donation to Richelle Herrera Manuel for her hospital bill QR: 020822003LGSF</t>
  </si>
  <si>
    <t>Donation to Thea Dizon for her medical needs QR: 020722033LGSF</t>
  </si>
  <si>
    <t xml:space="preserve">Gyne B. Gregorio </t>
  </si>
  <si>
    <t>Donation to Nerissa Gregorio for her medical needs QR: 020722031LGSF</t>
  </si>
  <si>
    <t xml:space="preserve">Marlene V. de Mesa </t>
  </si>
  <si>
    <t>Donation to the client for her medical needs QR: 020722027LGSF</t>
  </si>
  <si>
    <t xml:space="preserve">Felicidad P. Fuentes </t>
  </si>
  <si>
    <t>Donation to the client for her medical needs QR: 020722020LGSF</t>
  </si>
  <si>
    <t>Donation to Favia Layug for her hospital bill QR: 020722016LGSF</t>
  </si>
  <si>
    <t xml:space="preserve">Rhoda S. Carpio </t>
  </si>
  <si>
    <t>Donation to Camille Carpio Clorena for her hospital bill QR: 020822002LGSF</t>
  </si>
  <si>
    <t xml:space="preserve">Annalyn S. Villaflor </t>
  </si>
  <si>
    <t>Donation to Danilo Villaflor for his medical needs QR: 020722010LGSF</t>
  </si>
  <si>
    <t>Donation to  Gjianne Maxxine Ortañez for her hospital bill QR: 020422006LGSF</t>
  </si>
  <si>
    <t>Donation for their hospital bills covering period February 1-4, 2022</t>
  </si>
  <si>
    <t xml:space="preserve">Emilio Jr. D. Bautista </t>
  </si>
  <si>
    <t>Donation to Cedrick Bautista for his hospital bill QR: 020422034LGSF</t>
  </si>
  <si>
    <t xml:space="preserve">Magdalena P. Gaygay </t>
  </si>
  <si>
    <t>Donation to Kristine Claire GAYGAY for her hospital bill QR: 020722007LGSF</t>
  </si>
  <si>
    <t xml:space="preserve">Kim Clarence B. Cainoy </t>
  </si>
  <si>
    <t>Donation to Justine Mae Owel and Akila Kim Cainoy for their hospital bills QR: 020822018LGSF</t>
  </si>
  <si>
    <t xml:space="preserve">Eden V. Caringal </t>
  </si>
  <si>
    <t>Donation to Leon Caringal for his medical needs QR: 020822015LGSF</t>
  </si>
  <si>
    <t xml:space="preserve">Myra G. Agranum </t>
  </si>
  <si>
    <t>Donation to Simeon Gapasin for his medical needs QR: 020822012LGSF</t>
  </si>
  <si>
    <t>Donation to Justina Soriano for her medical needs QR: 020822006LGSF</t>
  </si>
  <si>
    <t xml:space="preserve">Lorna G. Carreon </t>
  </si>
  <si>
    <t>Donation to Antonio Gutierrez for his medical needs QR: 020822013LGSF</t>
  </si>
  <si>
    <t>Donation to the client for her medical needs QR: 020822017LGSF</t>
  </si>
  <si>
    <t xml:space="preserve">Catherine D. Guese </t>
  </si>
  <si>
    <t>Donation to Rizaldy GUESE for his medical needs QR: 020822011LGSF</t>
  </si>
  <si>
    <t xml:space="preserve">Anna Vi S. De Leon </t>
  </si>
  <si>
    <t>Donation to Marcuz De Leon for his medical needs QR: 020722005LGSF</t>
  </si>
  <si>
    <t>Donation to Carmelita Matalog for her hospital bill</t>
  </si>
  <si>
    <t>Donation to Rodel Bautista for his hospital bill QR: 020422035LGSF</t>
  </si>
  <si>
    <t xml:space="preserve">Mary Grace A. Magpoc </t>
  </si>
  <si>
    <t>Donation to Jhon Zeus Gabriel Tolentino for his hospital bill QR: 020422030LGSF</t>
  </si>
  <si>
    <t xml:space="preserve">Roy F. Santos </t>
  </si>
  <si>
    <t>Donation to Editha Santos for her burial expenses QR: 020422033LGSF</t>
  </si>
  <si>
    <t xml:space="preserve">Gary Boy V. Canta </t>
  </si>
  <si>
    <t>Donation to Dona Joy Canta for her hospital bill QR: 020422032LGSF</t>
  </si>
  <si>
    <t xml:space="preserve">Laverne Jr. T. Viuya </t>
  </si>
  <si>
    <t>Donation to Lourdes Viuya for her burial expenses QR: 020422031LGSF</t>
  </si>
  <si>
    <t>Donation to the client for her medical needs QR: 020422029LGSF</t>
  </si>
  <si>
    <t xml:space="preserve">Danilo C. Galicia </t>
  </si>
  <si>
    <t>Donation to Pia Galicia for her burial expenses QR: 020722004LGSF</t>
  </si>
  <si>
    <t xml:space="preserve">Amelia B. Morales </t>
  </si>
  <si>
    <t>Donation to Amando Morales for his medical needs QR: 020722006LGSF</t>
  </si>
  <si>
    <t xml:space="preserve">Susan J. Lingad </t>
  </si>
  <si>
    <t>Donation to Edwardo Jr. Lingad for his burial expenses QR: 020722002LGSF</t>
  </si>
  <si>
    <t xml:space="preserve">Melanie A. Acayan </t>
  </si>
  <si>
    <t>Donation to Reynaldo Acayan for his hospital bill QR: 020722001LGSF</t>
  </si>
  <si>
    <t xml:space="preserve">Arnel C. Malibas </t>
  </si>
  <si>
    <t>Donation to Yohan Malibas for his hospital bill QR: 020722003LGSF</t>
  </si>
  <si>
    <t xml:space="preserve">Vilma C. Laylay </t>
  </si>
  <si>
    <t>Donation to Al-Prince Laylay for his hospital bills QR: 020822010LGSF</t>
  </si>
  <si>
    <t xml:space="preserve">Maria Kathrina T. Polintan </t>
  </si>
  <si>
    <t>Donation to Ramil POLINTAN for his medical needs QR: 021022007LGSF</t>
  </si>
  <si>
    <t>Donation to Fernanda Cinco for her burial expenses QR: 020922003LGSF</t>
  </si>
  <si>
    <t>Donation to Segundina Ventura for her hospital bill and medical needs QR: 020922005LGSF</t>
  </si>
  <si>
    <t xml:space="preserve">Ma. Sarah Joy B. Mamitag </t>
  </si>
  <si>
    <t>Donation to Kevin Santiago for his hospital bill QR: 020922006LGSF</t>
  </si>
  <si>
    <t>Donation to Jhona Mena for her hospital bill QR: 020922002LGSF</t>
  </si>
  <si>
    <t>Donation Ernesto Day Mariano for his hospital bill QR: 020922007LGSF</t>
  </si>
  <si>
    <t xml:space="preserve">Benito I. Rubiano </t>
  </si>
  <si>
    <t>Donation to Erlinda Rubiano for her medical needs QR: 020922008LGSF</t>
  </si>
  <si>
    <t xml:space="preserve">Jennifer G. Tuazon </t>
  </si>
  <si>
    <t>Donation to Ramon Policarpio for his medical needs QR: 021022003LGSF</t>
  </si>
  <si>
    <t xml:space="preserve">Rochelle S. Garcia </t>
  </si>
  <si>
    <t>Donation to Susana Garcia for her medical needs QR: 021022006LGSF</t>
  </si>
  <si>
    <t xml:space="preserve">Eric B. Sevilla </t>
  </si>
  <si>
    <t>Donation to Client for his medical needs QR: 021022004LGSF</t>
  </si>
  <si>
    <t xml:space="preserve">Robert B. Carreon </t>
  </si>
  <si>
    <t>Donation to Von Erick Carreon for his medical needs QR: 020922001LGSF</t>
  </si>
  <si>
    <t xml:space="preserve">Vanessa N. Flores </t>
  </si>
  <si>
    <t>Donation to Juvy Flores for her medical needs QR: 021022008LGSF</t>
  </si>
  <si>
    <t xml:space="preserve">Riz T. Portuguez </t>
  </si>
  <si>
    <t>Donation to Vivian Tiangco for he medical needs QR: 020722017LGSF</t>
  </si>
  <si>
    <t>Payment of Recombinant Human Erythropoietin (Epoetin Alfa) for 1Bataan Malasakit Dialysis Assistance (1BMDA)</t>
  </si>
  <si>
    <t>Donation for their hospital bills covering period January 24-28, 2022</t>
  </si>
  <si>
    <t>Donation for their hospital bills covering period January 31 to February 4, 2022</t>
  </si>
  <si>
    <t xml:space="preserve">Pilar O. Reñosa </t>
  </si>
  <si>
    <t>Donation to Ricardo Reñosa for his burial expenses QR: 021022001LGSF</t>
  </si>
  <si>
    <t>Donation to Roberto TABUGAN for his burial expenses QR: 021022005LGSF</t>
  </si>
  <si>
    <t>Donation to Ronnie Villaflores for his hospital bill</t>
  </si>
  <si>
    <t xml:space="preserve">Pamela C. Manaog </t>
  </si>
  <si>
    <t>Donation to Macgair MANAOG for his medical needs QR: 020922004LGSF</t>
  </si>
  <si>
    <t>Donation Pacita Gorospe for her hospital bill QR: 020822022LGSF</t>
  </si>
  <si>
    <t>Donation to Jeremiah Johnson for his medical needs QR: 020822023LGSF</t>
  </si>
  <si>
    <t xml:space="preserve">Manuelito B. Inieto </t>
  </si>
  <si>
    <t>Donation to Manuelito Jr. Inieto for his burial expenses QR: 020822025LGSF</t>
  </si>
  <si>
    <t>Donation to Allan San Jose for his hospital bill QR: 020822019LGSF</t>
  </si>
  <si>
    <t xml:space="preserve">Jeanette L. Salvatierra </t>
  </si>
  <si>
    <t>Donation to Perlita Legaspi for her burial expenses QR: 020822024LGSF</t>
  </si>
  <si>
    <t>Donation to Rowena Conde for her medical needs QR: 020822026LGSF</t>
  </si>
  <si>
    <t xml:space="preserve">Janine Mae R. Santos </t>
  </si>
  <si>
    <t>Donation to Melinda Santos for her hospital bill QR: 020822027LGSF</t>
  </si>
  <si>
    <t xml:space="preserve">Juvie Mañalac </t>
  </si>
  <si>
    <t>Donation to the client for her medical needs QR: 021022016LGSF</t>
  </si>
  <si>
    <t xml:space="preserve">Aiko Ferraro </t>
  </si>
  <si>
    <t>Donation to Kim Dayson for her medical needs QR: 021022011LGSF</t>
  </si>
  <si>
    <t xml:space="preserve">Aralyn Arellano </t>
  </si>
  <si>
    <t>Donation to the client for her medical needs QR: 021022014LGSF</t>
  </si>
  <si>
    <t xml:space="preserve">Reynaldo Medina </t>
  </si>
  <si>
    <t>Donation to Ricardo Medina for his medical needs QR: 021022015LGSF</t>
  </si>
  <si>
    <t xml:space="preserve">Haydee Manahan </t>
  </si>
  <si>
    <t>Donation to the client for her medical needs QR: 021022013LGSF</t>
  </si>
  <si>
    <t xml:space="preserve">Lalaine Condaya </t>
  </si>
  <si>
    <t>Donation to Florante Condoya for his medical needs QR: 021022012LGSF</t>
  </si>
  <si>
    <t xml:space="preserve">Jeffrey Buensuceso </t>
  </si>
  <si>
    <t>Donation to Reynaldo Buensuceso for his medical needs QR: 021022025LGSF</t>
  </si>
  <si>
    <t xml:space="preserve">Jomer Sabado </t>
  </si>
  <si>
    <t>Donation to the client for his medical needs QR: 021022023LGSF</t>
  </si>
  <si>
    <t xml:space="preserve">Imelda Luna </t>
  </si>
  <si>
    <t>Donation for her medical needs QR: 021022020LGSF</t>
  </si>
  <si>
    <t xml:space="preserve">Marcelina Evangelista </t>
  </si>
  <si>
    <t>Donation to Danica Evangelista for her medical needs QR: 021022017LGSF</t>
  </si>
  <si>
    <t xml:space="preserve">Agnes Pantaleon </t>
  </si>
  <si>
    <t>Donation to Bonifacio Valencia for his medical needs QR: 021022024LGSF</t>
  </si>
  <si>
    <t xml:space="preserve">Josefina Borgonia </t>
  </si>
  <si>
    <t>Donation to Lucila Peña for her burial expenses QR: 021122009LGSF</t>
  </si>
  <si>
    <t xml:space="preserve">Maureen Ortiz </t>
  </si>
  <si>
    <t>Donation to Modesta Morales for her medical needs QR: 021122008LGSF</t>
  </si>
  <si>
    <t xml:space="preserve">Rizaldy Ongoco </t>
  </si>
  <si>
    <t>Donation to Jhimwell Ongoco for his medical needs QR: 021122005LGSF</t>
  </si>
  <si>
    <t xml:space="preserve">Lauro Alisbo </t>
  </si>
  <si>
    <t>Donation to Marites Alisbo for her medical needs QR: 021122004LGSF</t>
  </si>
  <si>
    <t xml:space="preserve">Angelito M. Arsenio </t>
  </si>
  <si>
    <t>Donation to Leticia Arsenio for her hospital bill QR: 020822021LGSF</t>
  </si>
  <si>
    <t>Donation to Jose Raphael M. Imperial for his hospityal bill QR: 021022022LGSF</t>
  </si>
  <si>
    <t xml:space="preserve">Benigno M. Dula </t>
  </si>
  <si>
    <t>Donation to Adelwisa B. Dula for her hospital bill QR: 021022030LGSF</t>
  </si>
  <si>
    <t xml:space="preserve">Jacqueline R. Sadsad </t>
  </si>
  <si>
    <t>Donation to Melito N. Redondo for his burial expenses QR: 021022010LGSF</t>
  </si>
  <si>
    <t>Donation to Gabriel Galvez for his hospital bill QR: 021022019LGSF</t>
  </si>
  <si>
    <t xml:space="preserve">Sarah P. Ronquillo </t>
  </si>
  <si>
    <t>Donation to Danilo L. Ronquillo for his hospital bill QR: 021022009LGSF</t>
  </si>
  <si>
    <t>Meals for the Vaccination Area (Bataan People's Center) from December 1-31, 2021 during Covid-19 Pandemic</t>
  </si>
  <si>
    <t xml:space="preserve">Luzviminda Cachero </t>
  </si>
  <si>
    <t>Donation to Geraldine Cachero for her medfical needs QR: 021122010LGSF</t>
  </si>
  <si>
    <t xml:space="preserve">Letecia Canare </t>
  </si>
  <si>
    <t>Donation to Kristine Joy Canare for her hospital bill QR: 021122006LGSF</t>
  </si>
  <si>
    <t xml:space="preserve">Jopet Porlante </t>
  </si>
  <si>
    <t>Donation to Virginia Porlante for her medical needs QR: 021122014LGSF</t>
  </si>
  <si>
    <t xml:space="preserve">Winnie Sapallo </t>
  </si>
  <si>
    <t>Donation to Ofelia Villegas for her medical needs QR: 021122002LGSF</t>
  </si>
  <si>
    <t xml:space="preserve">Elvira Rivera </t>
  </si>
  <si>
    <t>Donation to the client for her medical needs QR: 021122013LGSF</t>
  </si>
  <si>
    <t xml:space="preserve">Ivan Lendel Fabrea </t>
  </si>
  <si>
    <t>Donation to Akio Gabriel Fabrea for his medical needs QR: 021022033LGSF</t>
  </si>
  <si>
    <t xml:space="preserve">Sherwin Ramirez </t>
  </si>
  <si>
    <t>Donation to the client for his medical needs QR: 021022021LGSF</t>
  </si>
  <si>
    <t xml:space="preserve">Hector T. Fuentes </t>
  </si>
  <si>
    <t>Donation to Porfirio Fuentes for her medical needs QR: 021022028LGSF</t>
  </si>
  <si>
    <t xml:space="preserve">Ronquillo M. Pablo </t>
  </si>
  <si>
    <t>Donation to Arron Cloud Pablo for his hospital bill QR: 021422039LGSF</t>
  </si>
  <si>
    <t xml:space="preserve">Archie G. Valdez </t>
  </si>
  <si>
    <t>Donation to Avelino Valdez for his burial expenses QR: 021422035LGSF</t>
  </si>
  <si>
    <t xml:space="preserve">Clarissa R. Delos Reyes </t>
  </si>
  <si>
    <t>Donation to the client for her medical needs QR: 021422037LGSF</t>
  </si>
  <si>
    <t>Donation to Renalyn Sabian for her medical needs QR: 021422023LGSF</t>
  </si>
  <si>
    <t xml:space="preserve">Imelda C. Samaniego </t>
  </si>
  <si>
    <t>Donation to Joerl Samaniego for his medical needs QR: 021422043LGSF</t>
  </si>
  <si>
    <t xml:space="preserve">Realyn D. Rodrigo </t>
  </si>
  <si>
    <t>Donation to Romulo Rodrigo for his hospital bill and medical needs QR: 021422040LGSF</t>
  </si>
  <si>
    <t xml:space="preserve">Rowena V. Dela Cruz </t>
  </si>
  <si>
    <t>Donation to Domingo Dela Cruz for his medical needs QR: 021422042LGSF</t>
  </si>
  <si>
    <t xml:space="preserve">Corazon M. Ramos </t>
  </si>
  <si>
    <t>Donation to the client for her medical needs QR: 021122042LGSF</t>
  </si>
  <si>
    <t>Donation to Rolando Haciñas for his medical needs QR: 021122043LGSF</t>
  </si>
  <si>
    <t xml:space="preserve">Sotero B. Cabahug </t>
  </si>
  <si>
    <t>Donation to Samuel Cabahug for his hospital bill QR: 021122011LGSF</t>
  </si>
  <si>
    <t xml:space="preserve">Jenny C. Viernes </t>
  </si>
  <si>
    <t>Donation to the client for her medical needs QR: 021122034LGSF</t>
  </si>
  <si>
    <t xml:space="preserve">Maureen T. Palaypay </t>
  </si>
  <si>
    <t>Donation to the client for her medical needs QR: 021122037LGSF</t>
  </si>
  <si>
    <t>Donation to Asuncion Rodriguez for her hospital bill QR: 021122041LGSF</t>
  </si>
  <si>
    <t xml:space="preserve">Leodilyn P. Soriano </t>
  </si>
  <si>
    <t>Donation to Mary Angelyn Mendoza for her hospital bill QR: 021122035LGSF</t>
  </si>
  <si>
    <t xml:space="preserve">Rowena A. Quicho </t>
  </si>
  <si>
    <t>Donation to Cris Jeremy Quicho for his hospital bill QR: 021122039LGSF</t>
  </si>
  <si>
    <t xml:space="preserve">Eliza S. Zalamea </t>
  </si>
  <si>
    <t>Donation to Reynaldo Zalamea for his medical needs QR: 021122040LGSF</t>
  </si>
  <si>
    <t xml:space="preserve">Sheryl B. Mercado </t>
  </si>
  <si>
    <t>Donation to Shaine Clair Mercado for her medical needs QR: 021122038LGSF</t>
  </si>
  <si>
    <t xml:space="preserve">Jaime O. Ramos </t>
  </si>
  <si>
    <t>Donation to Jorlenin Ramos for her medical needs QR: 021122028LGSF</t>
  </si>
  <si>
    <t xml:space="preserve">Janet M. Sahagun </t>
  </si>
  <si>
    <t>Donation to Janarey Sahagun for her medical needs QR: 021122016LGSF</t>
  </si>
  <si>
    <t xml:space="preserve">Dolly F. Jacobe </t>
  </si>
  <si>
    <t>Donation to Gregor Jacob for his medical needs QR: 021122021LGSF</t>
  </si>
  <si>
    <t xml:space="preserve">Marlon Diczen N. Sabbun </t>
  </si>
  <si>
    <t>Donation to the client for his medical needs QR: 021122033LGSF</t>
  </si>
  <si>
    <t xml:space="preserve">Desiree G. Mascariña </t>
  </si>
  <si>
    <t>Donation to the client for her medical needs QR: 021122030LGSF</t>
  </si>
  <si>
    <t xml:space="preserve">Carmela C. Canaria </t>
  </si>
  <si>
    <t>Donation to the client for her medical needs QR: 021122031LGSF</t>
  </si>
  <si>
    <t xml:space="preserve">Rowena C. Gantiga </t>
  </si>
  <si>
    <t>Donation to Felicidad Gantiga for her burial expenses QR: 021122023LGSF</t>
  </si>
  <si>
    <t xml:space="preserve">Rhea C. Buensuceso </t>
  </si>
  <si>
    <t>Donation to Rosita Buensuceso for her medical needs QR: 021022026LGSF</t>
  </si>
  <si>
    <t>Donation to Lucita Feliciano for her medical needs QR: 021122003LGSF</t>
  </si>
  <si>
    <t xml:space="preserve">Jessa M. dela Cruz </t>
  </si>
  <si>
    <t>Donation to Vilma Sela Cruz for her medical needs QR: 021122001LGSF</t>
  </si>
  <si>
    <t xml:space="preserve">Hannah Mae J. Limos </t>
  </si>
  <si>
    <t>Donation to the client for her medical needs QR: 021022032LGSF</t>
  </si>
  <si>
    <t xml:space="preserve">Ronnie S. Moises </t>
  </si>
  <si>
    <t>Donation to the client for his medical needs QR: 021022029LGSF</t>
  </si>
  <si>
    <t xml:space="preserve">Lanie L. Gualberto </t>
  </si>
  <si>
    <t>Donation to Jamaica Gualberto for his medical needs QR: 021122007LGSF</t>
  </si>
  <si>
    <t xml:space="preserve">Unix Industrial Corporation </t>
  </si>
  <si>
    <t>1% retention for high speed sewing machines &amp; other materials  (starter kit)</t>
  </si>
  <si>
    <t>Donation for the hospital bills covering the period January 31 to February 4, 2022</t>
  </si>
  <si>
    <t xml:space="preserve">Socorro G. Estacio </t>
  </si>
  <si>
    <t>Donation to Manuel Estacio for his medical needs</t>
  </si>
  <si>
    <t xml:space="preserve">Lalaine Credo </t>
  </si>
  <si>
    <t>Donation to Loida Capuli for her hospital bill</t>
  </si>
  <si>
    <t xml:space="preserve">Cristina Navarro </t>
  </si>
  <si>
    <t>Donation to Lilia Catanghal for her burial expenses</t>
  </si>
  <si>
    <t xml:space="preserve">Rosita Lauron </t>
  </si>
  <si>
    <t>Donation to Felix Lauron for his burial expenses</t>
  </si>
  <si>
    <t>Donation to Virgilio Sta Cruz for his medical needs</t>
  </si>
  <si>
    <t xml:space="preserve">Meriel Gonzales </t>
  </si>
  <si>
    <t>Donation to James Gonzales for his medical needs</t>
  </si>
  <si>
    <t xml:space="preserve">Eunice Corder </t>
  </si>
  <si>
    <t>Donation to client for her medical needs</t>
  </si>
  <si>
    <t xml:space="preserve">Ivy Leizelle Benigno </t>
  </si>
  <si>
    <t xml:space="preserve">Dexter Capuyan </t>
  </si>
  <si>
    <t>Donation to Roberta Capuyan for her hospital bill</t>
  </si>
  <si>
    <t xml:space="preserve">Mark Joseph M. Toletino </t>
  </si>
  <si>
    <t>Donation to the client for his medical needs QR: 021422041LGSF</t>
  </si>
  <si>
    <t>Donation to Marites Briz for her hospital bill QR: 021422038LGSF</t>
  </si>
  <si>
    <t>To refund the amount pertaining to the balance of fund received by the Bataan from Department of Finance Bureau of Treasury Region III for the rehabilitation/improvement of Laon, Vicinal Road, Brgy Laon Abucay BAtaan</t>
  </si>
  <si>
    <t xml:space="preserve">Arlin V. Gomez </t>
  </si>
  <si>
    <t>Donation to Reynaldo Vinzon for his burial expenses QR: 021422025LGSF</t>
  </si>
  <si>
    <t xml:space="preserve">Maria Joyce Ann T. Viuya </t>
  </si>
  <si>
    <t>Donation to Jelito Teodoro for his burial expenses QR: 021422001LGSF</t>
  </si>
  <si>
    <t>Donation to Alfredo Reyes for his hospital bill QR: 021422005LGSF</t>
  </si>
  <si>
    <t>Donation to the client for his medical needs QR: 021422018LGSF</t>
  </si>
  <si>
    <t xml:space="preserve">Narcisa M. Fabian </t>
  </si>
  <si>
    <t>Donation to Alejandria Fabian for her medical needs QR: 021422019LGSF</t>
  </si>
  <si>
    <t xml:space="preserve">Joseph M. Carlos </t>
  </si>
  <si>
    <t>Donation to Jake Carlos for his medical needs QR: 021422031LGSF</t>
  </si>
  <si>
    <t xml:space="preserve">Miriam B. Mercado </t>
  </si>
  <si>
    <t>Donation to Serafin Bigay for his medical needs QR: 0214220009</t>
  </si>
  <si>
    <t>Donation to Client for his medical needs QR: 021422029LGSF</t>
  </si>
  <si>
    <t>Donation Eloisa Martinez for her medical needs (ORIF) QR: 021422027LGSF</t>
  </si>
  <si>
    <t xml:space="preserve">Alexander R. Catahan </t>
  </si>
  <si>
    <t>Donation to Client for his medical needs QR: 021422030LGSF</t>
  </si>
  <si>
    <t xml:space="preserve">Arcenia V. Aday </t>
  </si>
  <si>
    <t>Donation to Vincent Aday for his medical needs QR: 021422034LGSF</t>
  </si>
  <si>
    <t xml:space="preserve">Zenitte A. Sarmiento </t>
  </si>
  <si>
    <t>Donation to Client for her medical needs QR: 021422033LGSF</t>
  </si>
  <si>
    <t xml:space="preserve">Eduardo S. Pelagio </t>
  </si>
  <si>
    <t>Donation to Eladia Pelagio for her burial expenses QR: 021122022LGSF</t>
  </si>
  <si>
    <t xml:space="preserve">Larah Jean B. Roxas </t>
  </si>
  <si>
    <t>Donation  to Lodalia Bautista for her burial expenses QR: 021122017LGSF</t>
  </si>
  <si>
    <t xml:space="preserve">Jubhelyn E. Abenir </t>
  </si>
  <si>
    <t>Donation to Merlita Abenir for her burial expenses QR: 021122027LGSF</t>
  </si>
  <si>
    <t xml:space="preserve">Ravenne A. Quiambao </t>
  </si>
  <si>
    <t>Donation to Reggie Quiambao for his hospital bill QR: 021122032LGSF</t>
  </si>
  <si>
    <t xml:space="preserve">Marieta P. Tranate </t>
  </si>
  <si>
    <t>Donation to Bennmor Tranate for his hospital bill QR: 021422011LGSF</t>
  </si>
  <si>
    <t xml:space="preserve">Maribel L. Padilla </t>
  </si>
  <si>
    <t>Donation to John Kobie Padilla for his hospital bill QR: 021422003LGSF</t>
  </si>
  <si>
    <t>Donation to Leonora Rosete for her Hospital bill QR: 021422007LGSF</t>
  </si>
  <si>
    <t xml:space="preserve">Marieta P. Sablay </t>
  </si>
  <si>
    <t>Donation to the client for her medicall needs QR: 021422009LGSF</t>
  </si>
  <si>
    <t xml:space="preserve">Benjamin Christian T. Palad </t>
  </si>
  <si>
    <t>Donation to Benjamin Tanmajo for his medical needs QR: 021422002LGSF</t>
  </si>
  <si>
    <t>Donation to Edgardo DELIGERO for his medical needs QR: 021422012LGSF</t>
  </si>
  <si>
    <t xml:space="preserve">L.A. R. Olario </t>
  </si>
  <si>
    <t>Donation to the client for his medical needs QR: 021122036LGSF</t>
  </si>
  <si>
    <t xml:space="preserve">Ronaldo D. Diwa </t>
  </si>
  <si>
    <t>Donation to the client for his medical needs QR: 021422010LGSF</t>
  </si>
  <si>
    <t xml:space="preserve">Aurora Mangubat </t>
  </si>
  <si>
    <t>Donation to Alfredo Balamaceda for his burial expenses</t>
  </si>
  <si>
    <t xml:space="preserve">Aniceta Muñoz </t>
  </si>
  <si>
    <t>Donation to Carlos Manuel Muñuz for his burial expenses</t>
  </si>
  <si>
    <t>Donation to Emily Fernandez for her hospital bill</t>
  </si>
  <si>
    <t xml:space="preserve">Juliet Baquing </t>
  </si>
  <si>
    <t>Donation to Mavin Loreto for his hospital bill</t>
  </si>
  <si>
    <t xml:space="preserve">Haleonor Recilla </t>
  </si>
  <si>
    <t>Donation to Sophia Sky Recilla for his hospital bill &amp; medical needs</t>
  </si>
  <si>
    <t xml:space="preserve">Loida de Castro </t>
  </si>
  <si>
    <t>Donation to Arturo Gabriel Estrella for his hospital bill</t>
  </si>
  <si>
    <t xml:space="preserve">Deleila Ancera </t>
  </si>
  <si>
    <t>Donation to Jaime Fabros for his medical needs</t>
  </si>
  <si>
    <t xml:space="preserve">Susana Doña </t>
  </si>
  <si>
    <t xml:space="preserve">Herminia Dilig </t>
  </si>
  <si>
    <t xml:space="preserve">Rosemarie Sales </t>
  </si>
  <si>
    <t>Donation to Alejandro Zabdiel Sales for his medical needs</t>
  </si>
  <si>
    <t xml:space="preserve">Alfredo Solomon Jr. </t>
  </si>
  <si>
    <t>Donation to Alberto Solomon for his medical needs</t>
  </si>
  <si>
    <t xml:space="preserve">Abigail Junio </t>
  </si>
  <si>
    <t>Payment of MAIP for the period of November 2021 and January 2022</t>
  </si>
  <si>
    <t>Emergency Purchase of Janitorial Supplies for the use of PHO Covid-19 Reporting Unit/ OPCEN</t>
  </si>
  <si>
    <t xml:space="preserve">Mariveles District Hospital </t>
  </si>
  <si>
    <t>Payment of hospital bill and indigent patients of BCMH charge to DOH Fund Medical Assistance. Assistance to Indigent Patients Program for the periof of February 2022</t>
  </si>
  <si>
    <t>Donation to Raymond Palaypay for his medical needs QR: 021622017LGSF</t>
  </si>
  <si>
    <t xml:space="preserve">Eduardo G. Madriaga </t>
  </si>
  <si>
    <t>Donation to client for his Radiation Therapy  QR: 021522016LGSF</t>
  </si>
  <si>
    <t>Donation to Gloria Castillo for her hospital bill QR: 021522021LGSF</t>
  </si>
  <si>
    <t xml:space="preserve">Emmanuel S. Pesquiza </t>
  </si>
  <si>
    <t>Donation to Glenda Pesquiza for her hospital bill QR: 021522005LGSF</t>
  </si>
  <si>
    <t xml:space="preserve">Emmie Christine C. Mendoza </t>
  </si>
  <si>
    <t>Donation to Gloria Consunji for her hospital bill QR: 021522034LGSF</t>
  </si>
  <si>
    <t xml:space="preserve">John Dale L. Aranas </t>
  </si>
  <si>
    <t>Donation to Jeon Gabriel Aranas for his hospital bill QR: 021522039LGSF</t>
  </si>
  <si>
    <t xml:space="preserve">Armando D. Baldeo </t>
  </si>
  <si>
    <t>Donation to client for his medical needs QR: 021522015LGSF</t>
  </si>
  <si>
    <t xml:space="preserve">Alicia A. Anoras </t>
  </si>
  <si>
    <t>Donation to Nemesio Anoras Jr. for his medical needs QR: 021522020LGSF</t>
  </si>
  <si>
    <t xml:space="preserve">Michelle Rose L. Pastera </t>
  </si>
  <si>
    <t>Donation to Richard Jake Pastera for his medical needs QR: 021522018LGSF</t>
  </si>
  <si>
    <t xml:space="preserve">Emmanuel Jr. A. Gloria </t>
  </si>
  <si>
    <t>Donation to Emmanuel Gloria for his medical needs QR: 021522017LGSF</t>
  </si>
  <si>
    <t>Donation to Loreto Perez for his medical needs QR: 021522013LGSF</t>
  </si>
  <si>
    <t xml:space="preserve">Deleila F. Arcera </t>
  </si>
  <si>
    <t>Donation to Derick m. Fabros for his Diagnostic Procedure QR: 0216220008LGSF</t>
  </si>
  <si>
    <t xml:space="preserve">Jusel S. Mendaros </t>
  </si>
  <si>
    <t>Donation to Silvestre Mendaros for his hospital bill QR: 021622015LGSF</t>
  </si>
  <si>
    <t xml:space="preserve">Juanita L. Angeles </t>
  </si>
  <si>
    <t>Donation to Regan Angeles for his medical needs QR: 021622003LGSF</t>
  </si>
  <si>
    <t>Donation to client for her medical needs QR: 021622009KGSF</t>
  </si>
  <si>
    <t>Donation to Eliseo Zulueta for his burial expenses QR: 021422021LGSF</t>
  </si>
  <si>
    <t>Donation to Client and her Twin Babies for their hospital bills QR: 021422020LGSF</t>
  </si>
  <si>
    <t xml:space="preserve">Sherry Mae S. Zabala </t>
  </si>
  <si>
    <t>Donation to Ergyn Kylde Zabala for his hospital bill QR: 021522011LGSF</t>
  </si>
  <si>
    <t xml:space="preserve">Jelyn R. Angeles </t>
  </si>
  <si>
    <t>Donation to Ayessa Nicole Angeles for her hospital bill QR: 021522024LGSF</t>
  </si>
  <si>
    <t xml:space="preserve">Reggie Y. Dimla </t>
  </si>
  <si>
    <t>Donation to Klea Irish Dimlafor her hospital bill QR: 021522031LGSF</t>
  </si>
  <si>
    <t xml:space="preserve">Allan C. Ramos </t>
  </si>
  <si>
    <t>Donation to Angelita Ramos for her hospital bill QR: 021522033LGSF</t>
  </si>
  <si>
    <t xml:space="preserve">Ella Cecil A. Garcia </t>
  </si>
  <si>
    <t>Donation to Jonathan Garcia for his hospital bill and medical needs QR: 021522035LGSF</t>
  </si>
  <si>
    <t xml:space="preserve">Veronica J. Carreon </t>
  </si>
  <si>
    <t>Donation to Client for her medical needs QR: 021422024LGSF</t>
  </si>
  <si>
    <t xml:space="preserve">Jocelyn M. Madriaga </t>
  </si>
  <si>
    <t>Donation to client for her medical needs QR: 021422022LGSF</t>
  </si>
  <si>
    <t>Donation to Client for his medical needs QR: 021522022LGSF</t>
  </si>
  <si>
    <t>Donation to Myrna Sengco for her burial expenses QR: 021422015LGSF</t>
  </si>
  <si>
    <t>Donation to Cessna Sahara Medrano for her hospital bill QR: 021422014LGSF</t>
  </si>
  <si>
    <t>Donation to Maezy Allia Carel and Aya Bettina Lumbao for their hospital bill QR: 021422017LGSF</t>
  </si>
  <si>
    <t>Donation to Nestor Magsino for his hospital bill QR: 021422032LGSF</t>
  </si>
  <si>
    <t xml:space="preserve">Sonny B. Alonzo </t>
  </si>
  <si>
    <t>Donation to Angelica Caubang for her hospital bill QR: 021422026LGSF</t>
  </si>
  <si>
    <t xml:space="preserve">Ma. Cecilia S. Dancil </t>
  </si>
  <si>
    <t>Donation to Remedios Siasat for her hospital bill QR: 021422016LGSF</t>
  </si>
  <si>
    <t xml:space="preserve">Jumaryn B. Pincil </t>
  </si>
  <si>
    <t>Donation to Prince Zion Pincil for his medical needs QR: 021422028LGSF</t>
  </si>
  <si>
    <t xml:space="preserve">Emelia B. Banzon </t>
  </si>
  <si>
    <t>Donation to Angelito Banzon for his burial expenses QR: 021422013LGSF</t>
  </si>
  <si>
    <t xml:space="preserve">Rosemarie B. Rodriguez </t>
  </si>
  <si>
    <t>Donation to Rodolfo Rodriguez for his burial expenses QR: 021522004LGSF</t>
  </si>
  <si>
    <t>Donation to Clarito Adraneda for his burial expenses QR: 021522007LGSF</t>
  </si>
  <si>
    <t xml:space="preserve">Arthur G. Buensuceso </t>
  </si>
  <si>
    <t>Donation to Leonora Buensuceso for her hospital bill QR: 021522009LGSF</t>
  </si>
  <si>
    <t>Donation to Mikayla  Avery Zulueta for her hospital bill QR: 021522001LGSF</t>
  </si>
  <si>
    <t xml:space="preserve">Michelle S. Malig </t>
  </si>
  <si>
    <t>Donation to Ronald Jaime Malig for his hospital bill QR: 021522028LGSF</t>
  </si>
  <si>
    <t>Donation to Ricardo P. Angeles Jr. for his hospital bill QR: 021522019LGSF</t>
  </si>
  <si>
    <t xml:space="preserve">Kristel Joy C. Sevilla </t>
  </si>
  <si>
    <t>Donation to Eduardo Sevilla for his medical needs QR: 021522008LGSF</t>
  </si>
  <si>
    <t xml:space="preserve">Juliana D. Almero </t>
  </si>
  <si>
    <t>Donation to Ronaldo Almero for his medical needs QR: 021522002LGSF</t>
  </si>
  <si>
    <t xml:space="preserve">Susan D. Labonite </t>
  </si>
  <si>
    <t>Donation to Marianne Labonite for her medical needs QR: 021522026LGSF</t>
  </si>
  <si>
    <t xml:space="preserve">Myrna I. Castillo </t>
  </si>
  <si>
    <t>Donation to Magdalena Israel for her medical needs QR: 021522032LGSF</t>
  </si>
  <si>
    <t xml:space="preserve">Joshua A. Santiago </t>
  </si>
  <si>
    <t>Donation to Client for his medical needs QR: 021522030LGSF</t>
  </si>
  <si>
    <t>Donation to Librada Salandanan for her medical needs QR: 021522025LGSF</t>
  </si>
  <si>
    <t xml:space="preserve">Jeric M. Bansil </t>
  </si>
  <si>
    <t>Donation to Leticia Bansil for her medical needs QR: 021522014LGSF</t>
  </si>
  <si>
    <t xml:space="preserve">Eric D. Saldaña </t>
  </si>
  <si>
    <t>Donation to Client for his medical needs QR: 021522023LGSF</t>
  </si>
  <si>
    <t>Donation to Michael Lagman for his medical needs QR: 021522029LGSF</t>
  </si>
  <si>
    <t xml:space="preserve">Marilou D. Santos </t>
  </si>
  <si>
    <t>Donation to Client for her medical needs QR: 021522027LGSF</t>
  </si>
  <si>
    <t>Donation to Philip Gonzales for his medical needs  QR: 022322019LGSF</t>
  </si>
  <si>
    <t xml:space="preserve">Angela G. Cruz </t>
  </si>
  <si>
    <t>Donation to Ricardo Jr. Dela Rosa Gatdula for his burial expenses QR: 021522012LGSF</t>
  </si>
  <si>
    <t>Donation to Jemuel Salazar for his Diagnostic Procedure Expenses</t>
  </si>
  <si>
    <t xml:space="preserve">Evangeline F. Tolentino </t>
  </si>
  <si>
    <t>Donation to Roberto Tolentino for his medical needs QR: 021522038LGSF</t>
  </si>
  <si>
    <t xml:space="preserve">Rolando M. Signio </t>
  </si>
  <si>
    <t>Donation to Priam Lexus Airam Gesto for his Occupational Therapy Expenses QR: 021522036LGSF</t>
  </si>
  <si>
    <t>Donation to Melody Leal for her Surgery Expenses QR: 021522003LGSF</t>
  </si>
  <si>
    <t xml:space="preserve">Glenda I. Villaflor </t>
  </si>
  <si>
    <t>Donation to Garry Villaflor for his medical needs QR: 021522037LGSF</t>
  </si>
  <si>
    <t xml:space="preserve">Bong Bong B. Roque </t>
  </si>
  <si>
    <t>Donation to Manuel Roque for his burial expenses QR: 021822013LGSF</t>
  </si>
  <si>
    <t>Donation to Rogelio Giray for his burial expenses QR: 021822018LGSF</t>
  </si>
  <si>
    <t xml:space="preserve">Christian A. Quiñones </t>
  </si>
  <si>
    <t>Donation to Angelita Quiñones for her burial expenses QR: 021822024LGSF</t>
  </si>
  <si>
    <t xml:space="preserve">Clarita T. Dela Cruz </t>
  </si>
  <si>
    <t>Donation to Robert Dela Cruz for his burial expenses QR: 021822022LGSF</t>
  </si>
  <si>
    <t xml:space="preserve">Josephine P. Pardiñas </t>
  </si>
  <si>
    <t>Donation to Joel Puso for his hospital bill QR: 021822036LGSF</t>
  </si>
  <si>
    <t xml:space="preserve">Alvin M. Trajano </t>
  </si>
  <si>
    <t>Donation to Client for his medical needs QR: 021822033LGSF</t>
  </si>
  <si>
    <t xml:space="preserve">Mercedita D. Montemayor </t>
  </si>
  <si>
    <t>Donation to Salvador Demansana for his medical needs QR: 021822030LGSF</t>
  </si>
  <si>
    <t>Donation to Client for her medical needs (Physical Theraphy) QR: 021822028LGSF</t>
  </si>
  <si>
    <t xml:space="preserve">Juan Miguel F. Reyes </t>
  </si>
  <si>
    <t>Donation to Jose Norberto Reyes for his medical needs QR: 021822025LGSF</t>
  </si>
  <si>
    <t>Donation to CVlient for her hospital bill QR: 021822031LGSF</t>
  </si>
  <si>
    <t xml:space="preserve">Aldrin Jan D. Rosal </t>
  </si>
  <si>
    <t>Donation to Avia Dawn Rosal and Jessica Panotes for her hospital bill QR: 021822029LGSF</t>
  </si>
  <si>
    <t xml:space="preserve">Imelda B. Miguel </t>
  </si>
  <si>
    <t>Donation to Elsa Bayot for her burial expenses QR: 021822032LGSF</t>
  </si>
  <si>
    <t xml:space="preserve">Jose Matthew A. Dasmariñas </t>
  </si>
  <si>
    <t>Donation to Teodorica Dasmariñas for her burial expenses QR: 021822026LGSF</t>
  </si>
  <si>
    <t>Donation to Myra Samin for her hospital bill QR: 021822023LGSF</t>
  </si>
  <si>
    <t>Donation to Jaime Bautista for his hospital bill QR: 021822039LGSF</t>
  </si>
  <si>
    <t xml:space="preserve">Fe L. Santos </t>
  </si>
  <si>
    <t>Donation to Jose Santos for his medical needs QR: 021822020LGSF</t>
  </si>
  <si>
    <t xml:space="preserve">Elvira J. Tuazon </t>
  </si>
  <si>
    <t>Donation to Brian Tuazon for his medical needs QR: 021822016LGSF</t>
  </si>
  <si>
    <t>Donation to Santiago Dionila Jr. for his medical needs QR: 021822021LGSF</t>
  </si>
  <si>
    <t xml:space="preserve">Mark Anthony R. Madamba </t>
  </si>
  <si>
    <t>Donation to client for his medical needs QR: 021522010LGSF</t>
  </si>
  <si>
    <t xml:space="preserve">Solita B. Abelgas </t>
  </si>
  <si>
    <t>Donation to Narciso Barrera for his medical needs QR: 021822004LGSF</t>
  </si>
  <si>
    <t xml:space="preserve">Philippine Charity Sweepstakes Office (PCSO) </t>
  </si>
  <si>
    <t>To refund the unexpected balance of calamity assistance fund granted by PCSO to Bataan for the effects of Southwest Monsoon Typhoon Josie 2,000,000 &amp; Typhoon Tisoy to 100,000.00</t>
  </si>
  <si>
    <t xml:space="preserve">Tayag and Sons Builder &amp; Trading, Inc. </t>
  </si>
  <si>
    <t>Bataan Swine Multiplier and Technodermo Farm Mt. Tarak, Brgy. Alas-asin, Mariveles, Bataan</t>
  </si>
  <si>
    <t>Donation to Cris Paul Liwanag for his Diagnostic Procedure Expenses</t>
  </si>
  <si>
    <t>Donation to Angelito Dilig for his Diagnostic Procedure Expenses</t>
  </si>
  <si>
    <t xml:space="preserve">Liezle P. Santiago </t>
  </si>
  <si>
    <t>Donation to Rochelle Faith Santiago for her medical needs QR: 021722005LGSF</t>
  </si>
  <si>
    <t>Donation to Narcisa Mangilit for her hospital bill &amp; medical needs QR: 021722017LGSF</t>
  </si>
  <si>
    <t xml:space="preserve">Reuel L. Yumul </t>
  </si>
  <si>
    <t>Donation to Client for his medical needs QR: 021722013LGSF</t>
  </si>
  <si>
    <t xml:space="preserve">Onofre C. Pili </t>
  </si>
  <si>
    <t>Donation to Jan Karen Manahan for her medical needs QR: 021722011LGSF</t>
  </si>
  <si>
    <t xml:space="preserve">Juliet R. Pizarro </t>
  </si>
  <si>
    <t>Donation to Client for her medical needs QR: 021722020LGSF</t>
  </si>
  <si>
    <t xml:space="preserve">Alicia L. Santos </t>
  </si>
  <si>
    <t>Donation to Philip Santos for his medical needs QR: 021722004LGSF</t>
  </si>
  <si>
    <t xml:space="preserve">Eliza V. Ramos </t>
  </si>
  <si>
    <t>Donation to Lorena Ramos for her medical needs QR: 021722019LGSF</t>
  </si>
  <si>
    <t>Donation to Ramon Gimena for his Burial expenses QR: 021722014LGSF</t>
  </si>
  <si>
    <t xml:space="preserve">Candida O. Dela Cruz </t>
  </si>
  <si>
    <t>Donation to Pejay Dela Cruz for his Diagnostic Procedure QR: 021722007LGSF</t>
  </si>
  <si>
    <t xml:space="preserve">Christian V. Collera </t>
  </si>
  <si>
    <t>Donation to Angel Basa for his Diagnostic Procedure QR: 021722002LGSF</t>
  </si>
  <si>
    <t xml:space="preserve">Elena A. Marcos </t>
  </si>
  <si>
    <t>Donation to Mark Martin Marcos for his Surgical Procedure QR: 021722006LGSF</t>
  </si>
  <si>
    <t xml:space="preserve">Ricky C. Sebastian </t>
  </si>
  <si>
    <t>Donation to Shirley Sebastian for her hospital bill QR: 021822014LGSF</t>
  </si>
  <si>
    <t xml:space="preserve">Emily B. Lustistica </t>
  </si>
  <si>
    <t>Donation to Princess Ella Rances for her hospital bill QR: 021722009LGSF</t>
  </si>
  <si>
    <t xml:space="preserve">Margie CD. Pagunasan </t>
  </si>
  <si>
    <t>Donation to Felipe Jr. PAGUNASAN for his medical needs QR: 021722010LGSF</t>
  </si>
  <si>
    <t>Donation to Efren Marquez for his medical needs QR: 021722012LGSF</t>
  </si>
  <si>
    <t>Donation to Mon Alvin Enriquez for his medical needs QR: 021722008LGSF</t>
  </si>
  <si>
    <t xml:space="preserve">Reynaldo D. Quicho </t>
  </si>
  <si>
    <t>Donation to Client for his medical needs QR: 021722001LGSF</t>
  </si>
  <si>
    <t xml:space="preserve">Frederick M. Manahan </t>
  </si>
  <si>
    <t>Donation to Client for his medical expenses (Implant of Titanium) QR: 021622018LGSF</t>
  </si>
  <si>
    <t xml:space="preserve">Allysa B. Cruz </t>
  </si>
  <si>
    <t>Donation to Aresteo Cruz for his medical expenses (Implant of Titanium) QR: 021622019LGSF</t>
  </si>
  <si>
    <t xml:space="preserve">Amalia S. Tiambeng </t>
  </si>
  <si>
    <t>Donation to Client for her medical needs QR: 021722022LGSF</t>
  </si>
  <si>
    <t xml:space="preserve">Maricris G. Mari </t>
  </si>
  <si>
    <t>Donation to Client for her medical needs QR: 021722003LGSF</t>
  </si>
  <si>
    <t xml:space="preserve">Karen M. Decano </t>
  </si>
  <si>
    <t>Donation to Client for her medical needs QR: 021722021LGSF</t>
  </si>
  <si>
    <t xml:space="preserve">Rogel V. Gomez </t>
  </si>
  <si>
    <t>Donation to the client for fish medical needs QR: 021722023LGSF</t>
  </si>
  <si>
    <t xml:space="preserve">Mary Jane B. Dagami </t>
  </si>
  <si>
    <t>Donation to Eduardo Bantay for his burial expenses QR: 021822017LGSF</t>
  </si>
  <si>
    <t xml:space="preserve">Bataan St. Joseph Hospital and Medical Center Corp. </t>
  </si>
  <si>
    <t>Donation for their hospital bills covering period January 31- February 4, 2022</t>
  </si>
  <si>
    <t xml:space="preserve">Rosell D. Trajano </t>
  </si>
  <si>
    <t>Donation to Lourdes Trajano for her hospital bill QR: 021722026LGSF</t>
  </si>
  <si>
    <t xml:space="preserve">Keno Sta. Ana </t>
  </si>
  <si>
    <t>Donation to Client for his medical needs</t>
  </si>
  <si>
    <t xml:space="preserve">Maryed Jaicas Manrique </t>
  </si>
  <si>
    <t>Donation to Ryle Adbiel Manrique for his hospital bill</t>
  </si>
  <si>
    <t xml:space="preserve">Maria Carmen Lopez </t>
  </si>
  <si>
    <t>Donation to Paul Jomar Lopez for his medical needs</t>
  </si>
  <si>
    <t xml:space="preserve">Mary Jean Talastas </t>
  </si>
  <si>
    <t>Donation to Erlinda Talastas  for her hospital bill and medical expenses</t>
  </si>
  <si>
    <t xml:space="preserve">Myrna Borja </t>
  </si>
  <si>
    <t>Donation to Anselmo Borja for his hospital bill</t>
  </si>
  <si>
    <t xml:space="preserve">Catalina Manalili </t>
  </si>
  <si>
    <t>Dontion to Carloto Manalili for his hospital bill</t>
  </si>
  <si>
    <t>General Fund-To transfer to General fund the amount of subsidy to trust for recombinant human erythropoitin (Epoetin Alfa) for 1 Bataan Malasakit Dialysis Assistance last Dec 21, 2022</t>
  </si>
  <si>
    <t xml:space="preserve">Zenaida M. Gardoce </t>
  </si>
  <si>
    <t>Donation to Client for her medical needs QR: 021822007LGSF</t>
  </si>
  <si>
    <t xml:space="preserve">Celia D. Aquino </t>
  </si>
  <si>
    <t>Donation to Bryan Connel for his medical needs QR: 021822010LGSF</t>
  </si>
  <si>
    <t xml:space="preserve">Jennifer P. Delos Reyes </t>
  </si>
  <si>
    <t>Donation to Client for her medical needs QR: 021822008LGSF</t>
  </si>
  <si>
    <t xml:space="preserve">Jeffrey J. Rodriguez </t>
  </si>
  <si>
    <t>Donation to Client for his medical needs QR: 021822002LGSF</t>
  </si>
  <si>
    <t>Donation to Client for his medical needs QR: 021822003LGSF</t>
  </si>
  <si>
    <t xml:space="preserve">Rosemarie M. Rivera </t>
  </si>
  <si>
    <t>Donation to Lolita Mateo for her medical needs QR: 021722025LGSF</t>
  </si>
  <si>
    <t xml:space="preserve">Alicia T. Manrique </t>
  </si>
  <si>
    <t>Donation to Client for her medical needs QR: 0217220029LGSF</t>
  </si>
  <si>
    <t xml:space="preserve">Margaret M. Casero </t>
  </si>
  <si>
    <t>Donation to Client for her medical needs QR: 021822006LGSF</t>
  </si>
  <si>
    <t xml:space="preserve">Analiza M. Manabat </t>
  </si>
  <si>
    <t>Donation to Sherwin Williams Manuel MANABAT for his medical needs QR: 021722024LGSF</t>
  </si>
  <si>
    <t xml:space="preserve">Eden F. Cabe </t>
  </si>
  <si>
    <t>Donation to Client for her medical needs QR: 021822012LGSF</t>
  </si>
  <si>
    <t xml:space="preserve">Mitch S. Balan </t>
  </si>
  <si>
    <t>Donation to Client for her medical needs QR: 021822011LGSF</t>
  </si>
  <si>
    <t xml:space="preserve">Glenn B. Legazpi </t>
  </si>
  <si>
    <t>Donation to Client for her medical needs QR: 021822015LGSF</t>
  </si>
  <si>
    <t xml:space="preserve">Renafe P. Rubiano </t>
  </si>
  <si>
    <t>Donation to Renato Rubiano for his medical needs QR: 021822001LGSF</t>
  </si>
  <si>
    <t xml:space="preserve">Aileen B. Rubiano </t>
  </si>
  <si>
    <t>Donation to Christopher Rubiano for his medical needs QR: 022122009LGSF</t>
  </si>
  <si>
    <t xml:space="preserve">Catherine M. Santos </t>
  </si>
  <si>
    <t>Donation to Cecilia Santos for her medical needs QR: 021822037LGSF</t>
  </si>
  <si>
    <t xml:space="preserve">Mary Diane A. Cuevas </t>
  </si>
  <si>
    <t>Donation to Myrna Cuevas for her medical needs QR: 022122008LGSF</t>
  </si>
  <si>
    <t>Donation to Client for his medical needs QR: 022122010LGSF</t>
  </si>
  <si>
    <t>Donation to Corazon Gutierrez for her medical needs QR: 021822034LGSF</t>
  </si>
  <si>
    <t xml:space="preserve">Cherry M. Regis </t>
  </si>
  <si>
    <t>Donation to Estrella Regis for her burial expenses QR: 021822038LGSF</t>
  </si>
  <si>
    <t xml:space="preserve">Lavinia P. Magbag </t>
  </si>
  <si>
    <t>Donation to Mark Kevin Magbag for his burial expenses QR: 022122001LGSF</t>
  </si>
  <si>
    <t xml:space="preserve">Cheryll R. Serrano </t>
  </si>
  <si>
    <t>Donation to Mario Rodriguez for his burial expenses QR: 022122004LGSF</t>
  </si>
  <si>
    <t xml:space="preserve">Jocelyn de Leon Quimlat </t>
  </si>
  <si>
    <t>Donation to Kristina De Leon for her hospital bill QR: 022122005LGSF</t>
  </si>
  <si>
    <t xml:space="preserve">Felina L. Sarmiento </t>
  </si>
  <si>
    <t>Donation to Pablito Sarmiento for his hospital bill QR: 022122003LGSF</t>
  </si>
  <si>
    <t>Donation to Eduardo Villagen for his Diagnostic Procedure Expenses</t>
  </si>
  <si>
    <t xml:space="preserve">Rosita C. Tenorio </t>
  </si>
  <si>
    <t>Donation to Rose Ann Tenorio for her medical needs QR: 022122006LGSF</t>
  </si>
  <si>
    <t>Feeds and Equipment to be used in Swine Multiplier and Technodemo Farm in Mariveles, Bataan</t>
  </si>
  <si>
    <t>Full payment for the construction of COVID-19 Isolation Center, Mariveles, Bataan</t>
  </si>
  <si>
    <t xml:space="preserve">Fernan Rubiano </t>
  </si>
  <si>
    <t>Donation to Client for his medical needs QR: 022222035LGSF</t>
  </si>
  <si>
    <t xml:space="preserve">Bataan Doctors Hospital and Medical Center </t>
  </si>
  <si>
    <t>Donation to Antonita Soriano  for his Diagnostic Procedure Expenses</t>
  </si>
  <si>
    <t>Donation for the hospital bills covering period Feb. 14-18, 2022</t>
  </si>
  <si>
    <t>Donation to Erwin Morales for his burial expenses QR: 022122032LGSF</t>
  </si>
  <si>
    <t xml:space="preserve">Kristine D. Roxas </t>
  </si>
  <si>
    <t>Donation to Thirdy De Leon Roxas for his burial expenses QR: 022222033LGSF</t>
  </si>
  <si>
    <t xml:space="preserve">Teresita R. Pantig </t>
  </si>
  <si>
    <t>Donation to Client for her medical needs QR: 022222034LGSF</t>
  </si>
  <si>
    <t xml:space="preserve">Eufemia M. Dionisio </t>
  </si>
  <si>
    <t>Donation to Franzelle Andrea Dionisio for her hospital bill QR: 022222047LGSF</t>
  </si>
  <si>
    <t xml:space="preserve">Renato Jr. Dela Cruz </t>
  </si>
  <si>
    <t>Donation to Alshaleen Dela Cruz and Nash Ryleigh Dela Cruz for their hospital bill and medical expenses QR: 022222044LGSF</t>
  </si>
  <si>
    <t xml:space="preserve">Florentino P. De Leon Jr. </t>
  </si>
  <si>
    <t>Donation to Client for her medical expenses (Eye Surgery) QR: 022222040LGSF</t>
  </si>
  <si>
    <t xml:space="preserve">Rose M. Mari </t>
  </si>
  <si>
    <t>Donation to Glenda Mari for her hospital bill QR: 022222036LGSF</t>
  </si>
  <si>
    <t xml:space="preserve">Merlene G. Basco </t>
  </si>
  <si>
    <t>Donation to Mary Czarina Rome Basco for her hospital bill QR: 022222037GLGSF</t>
  </si>
  <si>
    <t xml:space="preserve">Ferjan Paul E. Cruz </t>
  </si>
  <si>
    <t>Donation to Cristina Cruz for his burial expenses QR: 022122033LGSF</t>
  </si>
  <si>
    <t xml:space="preserve">Aristotle G. Gabriel </t>
  </si>
  <si>
    <t>Donation to Client for his medical needs QR: 022122002LGSF</t>
  </si>
  <si>
    <t xml:space="preserve">PIlar G. Escala </t>
  </si>
  <si>
    <t>Donation to Gilbert Escala for his medical needs QR: 02122015LGSF</t>
  </si>
  <si>
    <t xml:space="preserve">Dexter N. Toliongco </t>
  </si>
  <si>
    <t>Donation to Doris Ann Away Toliongco for her hospital bill QR: 021822027LGSF</t>
  </si>
  <si>
    <t>Donation to Wilfredo Arangel for his medical needs QR: 022222038LGSF</t>
  </si>
  <si>
    <t>Donation to Fortunata Arangel for his medical needs QR: 022222039LGSF</t>
  </si>
  <si>
    <t xml:space="preserve">Donnavie M. Guinto </t>
  </si>
  <si>
    <t>Donation to Gloria Mendoza for her medical needs QR: 022122035LGSF</t>
  </si>
  <si>
    <t xml:space="preserve">Joan S. Sequitin </t>
  </si>
  <si>
    <t>Donation to Client for her medical needs QR: 022222049LGSF</t>
  </si>
  <si>
    <t xml:space="preserve">Danna Cara D. Cabanan </t>
  </si>
  <si>
    <t>Donation to Client for her hospital bill QR: 022122037LGSF</t>
  </si>
  <si>
    <t xml:space="preserve">Ronalyn D. Drio </t>
  </si>
  <si>
    <t>Donation to Roan Caleb Biocarles for her hospital bill QR: 022222041LGSF</t>
  </si>
  <si>
    <t xml:space="preserve">Melinda B. de Leon </t>
  </si>
  <si>
    <t>Donation to Federico Bongat for his burial expenses QR: 022122034LGSF</t>
  </si>
  <si>
    <t>Donation to Client for her hospital bill QR: 022222045LGSF</t>
  </si>
  <si>
    <t>Donation to Teresita Alipio for her medical needs QR: 022222001LGSF</t>
  </si>
  <si>
    <t xml:space="preserve">Minette L. Pascua </t>
  </si>
  <si>
    <t>Donation to Client for her medical needs QR: 022222042LGSF</t>
  </si>
  <si>
    <t xml:space="preserve">Reynaldo B. Gatmen </t>
  </si>
  <si>
    <t>Donation to Daisy Empleo for her burial expenses QR: 022222031LGSF</t>
  </si>
  <si>
    <t xml:space="preserve">Angelito M. Ocampo </t>
  </si>
  <si>
    <t>Donation to Pedro Ocampo for his burial expenses QR: 030122002LGSF</t>
  </si>
  <si>
    <t xml:space="preserve">Isaac &amp; Catalina Medical Center Inc. </t>
  </si>
  <si>
    <t>Donation for the hospital bill covering period Feb. 7-11, 2022</t>
  </si>
  <si>
    <t>Donation to Jonathan Opiana for her hospital bill and Professional fee QR: 022122027LGSF</t>
  </si>
  <si>
    <t>Donation to Rochelle Tiongson for her hospital bill QR: 022222019LGSF</t>
  </si>
  <si>
    <t>Donation to Mark Anthony Joshua Jr. Del Rosario for her Medical expenses QR: 022222025LGSF</t>
  </si>
  <si>
    <t xml:space="preserve">Jescel A. Bagtas </t>
  </si>
  <si>
    <t>Donation to Client for her medical needs QR: 022222028LGSF</t>
  </si>
  <si>
    <t xml:space="preserve">Roanne R. Santos </t>
  </si>
  <si>
    <t>Donation to Christopher Smith for his medicine and Laboratory Test QR: 022222021LGSF</t>
  </si>
  <si>
    <t xml:space="preserve">Flodelyn F. Cabreta </t>
  </si>
  <si>
    <t>Donation to Fred Flores for his medical needs QR: 022222015LGSF</t>
  </si>
  <si>
    <t xml:space="preserve">Nelia R. Bulusan </t>
  </si>
  <si>
    <t>Donation to Ernesto Reyes for his medical needs QR: 022222030LGSF</t>
  </si>
  <si>
    <t xml:space="preserve">Lourdes R. Peñano </t>
  </si>
  <si>
    <t>Donation to Renato Valencia for his medical expenses QR: 022222027LGSF</t>
  </si>
  <si>
    <t xml:space="preserve">Emelita M. Atabay </t>
  </si>
  <si>
    <t>Donation to Stephanie Atabay for her medical needs QR: 022222029LGSF</t>
  </si>
  <si>
    <t>Donation to Reynaldo Paguio fot his medical needs QR: 022122028LGSF</t>
  </si>
  <si>
    <t xml:space="preserve">Lilibeth P. Bautista </t>
  </si>
  <si>
    <t>Donation to Client for her medical needs QR: 022222023LGSF</t>
  </si>
  <si>
    <t xml:space="preserve">Allan Dez S. Maranan </t>
  </si>
  <si>
    <t>Donation to Client for his medical needs QR: 021822035LGSF</t>
  </si>
  <si>
    <t xml:space="preserve">Arturo P. Aguilar </t>
  </si>
  <si>
    <t>Donation to Client for his medical needs QR: 022222046LGSF</t>
  </si>
  <si>
    <t xml:space="preserve">Mariz B. Navarro </t>
  </si>
  <si>
    <t>Donation to Marcos Bernabe for his burial expenses QR: 022422010LGSF</t>
  </si>
  <si>
    <t xml:space="preserve">Teresita R. Tamayo </t>
  </si>
  <si>
    <t>Donation to Henry Tamayo for his medical needs QR: 022422006LGSF</t>
  </si>
  <si>
    <t xml:space="preserve">Jesus A. Ocampo </t>
  </si>
  <si>
    <t>Donation to the client for his medical needs QR: 022422009LGSF</t>
  </si>
  <si>
    <t xml:space="preserve">Jessica P. Lopez </t>
  </si>
  <si>
    <t>Donation to Richard Lopez for his medical needs QR: 022422005LGSF</t>
  </si>
  <si>
    <t xml:space="preserve">Alberto Jr. L. Carreon </t>
  </si>
  <si>
    <t>Donation to Marilou Semillano for her medical needs QR: 0223220009LGSF</t>
  </si>
  <si>
    <t xml:space="preserve">Gloria R. Mangiliman </t>
  </si>
  <si>
    <t>Donation to Eduardo Mangalinan for his medical needs QR: 022322006LGSF</t>
  </si>
  <si>
    <t xml:space="preserve">Rosita D. Sunga </t>
  </si>
  <si>
    <t>Donation to the client for her medical needs QR: 022322007LGSF</t>
  </si>
  <si>
    <t xml:space="preserve">Henedina S. Elfalan </t>
  </si>
  <si>
    <t>Donation to Delfin Elfalan for his medical needs QR: 022322036LGSF</t>
  </si>
  <si>
    <t xml:space="preserve">Dennis D. Diaz </t>
  </si>
  <si>
    <t>Donation to the client for his medical needs QR: 022422002LGSF</t>
  </si>
  <si>
    <t xml:space="preserve">Marissa S. Casajeros </t>
  </si>
  <si>
    <t>Donation to Client for her medical needs QR: 022322034LGSF</t>
  </si>
  <si>
    <t xml:space="preserve">Hercules A. Chavez </t>
  </si>
  <si>
    <t>Donation to the client for his medical needs QR: 022422008LGSF</t>
  </si>
  <si>
    <t xml:space="preserve">Marcelina L. Singian </t>
  </si>
  <si>
    <t>Donation to Consuelo Singian for her medical needs QR: 022422004LGSF</t>
  </si>
  <si>
    <t>Donation to Edgardo Manalaysay for his burial expenses QR: 022222018LGSF</t>
  </si>
  <si>
    <t xml:space="preserve">Stephanie D. dela Cruz </t>
  </si>
  <si>
    <t>Donation to Maria Purisima Dela Cruz fopr her hospital bill QR: 022222019LGSF</t>
  </si>
  <si>
    <t>Donation to Perlita Perez for her hospital bill QR: 022222013LGSF</t>
  </si>
  <si>
    <t>Donation for the hospital bill OF Franklin Santos QR: 021422008LGSF</t>
  </si>
  <si>
    <t xml:space="preserve">Ma. Anilyn S. Edaño </t>
  </si>
  <si>
    <t>Donation to Anjo Edaño fopr his medical needs QR: 022222004LGSF</t>
  </si>
  <si>
    <t xml:space="preserve">Maria Virgie G. Raquipo </t>
  </si>
  <si>
    <t>Donation to the client for her medical needs QR: 022222003LGSF</t>
  </si>
  <si>
    <t xml:space="preserve">Elissa H. Ventura </t>
  </si>
  <si>
    <t>Donation to Virgilio Hernandez for his medical needs QR: 022222002LGSF</t>
  </si>
  <si>
    <t xml:space="preserve">Isagani C. Fajardo </t>
  </si>
  <si>
    <t>Donation to the client for his medical needs QR: 022222008LGSF</t>
  </si>
  <si>
    <t xml:space="preserve">Catherine P. Mariano </t>
  </si>
  <si>
    <t>Donation to theclient for her medical needs QR: 022222007LGSF</t>
  </si>
  <si>
    <t xml:space="preserve">Zaida L. Enriquez </t>
  </si>
  <si>
    <t>Donation to Malou Enriquez for her medical needs QR: 022222006LGSF</t>
  </si>
  <si>
    <t xml:space="preserve">Celina A. Aytalin </t>
  </si>
  <si>
    <t>Donation to Jeric Aytalin for his medical needs QR: 022222009LGSF</t>
  </si>
  <si>
    <t xml:space="preserve">Amy I. Villaruel </t>
  </si>
  <si>
    <t>Donation to the client for her medical needs QR: 022222011LGSF</t>
  </si>
  <si>
    <t xml:space="preserve">Josephine V. Tubig </t>
  </si>
  <si>
    <t>Donation to Ariel Tubig for his medical needs QR: 022222012LGSF</t>
  </si>
  <si>
    <t xml:space="preserve">Beverly D. Yambao </t>
  </si>
  <si>
    <t>Donation to Evangeline Yambao for her medical needs QR: 022222017LGSF</t>
  </si>
  <si>
    <t xml:space="preserve">Rodolfo M. De Guzman </t>
  </si>
  <si>
    <t>Donation to Randolph De Guzman for his medical needs QR: 022222014LGSF</t>
  </si>
  <si>
    <t xml:space="preserve">Annalyn T. Basilio </t>
  </si>
  <si>
    <t>Donation to Isabelita Tamayo for her medical needs QR: 022222016LGSF</t>
  </si>
  <si>
    <t xml:space="preserve">Amelia R. Cruz </t>
  </si>
  <si>
    <t>Donation to the client for her medical needs QR: 022222032LGSF</t>
  </si>
  <si>
    <t xml:space="preserve">Lourdes C. Tala </t>
  </si>
  <si>
    <t>Donation to the client for her medical needs QR: 022222024LGSF</t>
  </si>
  <si>
    <t xml:space="preserve">Aurora D. Reyes </t>
  </si>
  <si>
    <t>Donation to Client for her medical needs QR: 022222026LGSF</t>
  </si>
  <si>
    <t>Donation to Samantha Joy Morales for her hospital bill QR: 022422012LGSF</t>
  </si>
  <si>
    <t xml:space="preserve">Ernesto S. Ramos </t>
  </si>
  <si>
    <t>Donation to Ashley Nic-Ann Ramos Dano for her (Professional Fee) QR: 022322001LGSF</t>
  </si>
  <si>
    <t xml:space="preserve">Melanie B. Arceo </t>
  </si>
  <si>
    <t>Donation to Aguinaldo Arceo for his medical needs QR: 022422007LGSF</t>
  </si>
  <si>
    <t xml:space="preserve">Regina R. Centeno </t>
  </si>
  <si>
    <t>Donation to the client for her medical needs QR: 022322011LGSF</t>
  </si>
  <si>
    <t xml:space="preserve">Lorry B. Acidera </t>
  </si>
  <si>
    <t>Donation to Ofelia Acidera for her medical needs QR: 022322005LGSF</t>
  </si>
  <si>
    <t xml:space="preserve">Angelina R. Baluyot </t>
  </si>
  <si>
    <t>Donation to the client for her medical needs QR: 022322008LGSF</t>
  </si>
  <si>
    <t>Donation to the client for his medical needs QR: 022422003LGSF</t>
  </si>
  <si>
    <t xml:space="preserve">Irene D. Capule </t>
  </si>
  <si>
    <t>Donation to Eduardo Capule for his medical needs QR: 022222005LGSF</t>
  </si>
  <si>
    <t xml:space="preserve">Rochelle N. Buhain </t>
  </si>
  <si>
    <t>Donation to the client for her medical needs QR: 022322010LGSF</t>
  </si>
  <si>
    <t xml:space="preserve">Regie B. Bautista </t>
  </si>
  <si>
    <t>Donation to Client for her medical needs QR: 022322032LGSF</t>
  </si>
  <si>
    <t xml:space="preserve">Shiela May S. Delfin </t>
  </si>
  <si>
    <t>Donation to Client for her medical needs QR: 022322033LGSF</t>
  </si>
  <si>
    <t xml:space="preserve">Laila R. Pineda </t>
  </si>
  <si>
    <t>Donation to Remegia Pineda for her burial expenses QR: 022422011LGSF</t>
  </si>
  <si>
    <t xml:space="preserve">Rosenda G. Advincula </t>
  </si>
  <si>
    <t>Donation to Client for her medical needs QR: 022322030LGSF</t>
  </si>
  <si>
    <t>Donation to Client for her medical needs QR: 022322003LGSF</t>
  </si>
  <si>
    <t>Donation to Client for his medical needs QR: 022322028LGSF</t>
  </si>
  <si>
    <t xml:space="preserve">Cecilia A. Barrion </t>
  </si>
  <si>
    <t>Donation to Doroteo Barrion for his hospital bill QR: 022122011LGSF</t>
  </si>
  <si>
    <t>Donation to Elsa Mauricio for her burial expenses QR: 022122030LGSF</t>
  </si>
  <si>
    <t xml:space="preserve">Elvira A. Padilla </t>
  </si>
  <si>
    <t>Donation to Junel Padilla for his burial expenses QR: 022122018LGSF</t>
  </si>
  <si>
    <t xml:space="preserve">Virginia C. Garsota </t>
  </si>
  <si>
    <t>Donation to Virgilio Reyes for his burial expenses QR: 022122031LGSF</t>
  </si>
  <si>
    <t xml:space="preserve">Raquel P. Leonsame </t>
  </si>
  <si>
    <t>Donation to Client for her medical needs  QR: 022122019LGSF</t>
  </si>
  <si>
    <t xml:space="preserve">Shirley B. Valencia </t>
  </si>
  <si>
    <t>Donation to Purificaion Bernal for her hospital bill QR: 022122020LGSF</t>
  </si>
  <si>
    <t xml:space="preserve">Pichitnoi U. Catahan  </t>
  </si>
  <si>
    <t>Donation to Daniel Elizabeth Catahan for her hospital billQR: 022122017LGSF</t>
  </si>
  <si>
    <t>Donation to Ruth Lorenzo for her medical needs QR: 022122021LGSF</t>
  </si>
  <si>
    <t xml:space="preserve">Ginalyn M. Nuqui </t>
  </si>
  <si>
    <t>Donation to Rommel Nuqui for his medical needs QR: 022122024LGSF</t>
  </si>
  <si>
    <t xml:space="preserve">Daisy Y. Bernaldo </t>
  </si>
  <si>
    <t>Donation to Client for her medical needs QR: 022122013LGSF</t>
  </si>
  <si>
    <t xml:space="preserve">Michelle O. Napiñas </t>
  </si>
  <si>
    <t>Donation to Client for her medical needs QR: 022122016LGSF</t>
  </si>
  <si>
    <t xml:space="preserve">Redentor R. Tongco </t>
  </si>
  <si>
    <t>Donation to Guadalupe Tongco for her medical needs QR: 022122012LGSF</t>
  </si>
  <si>
    <t xml:space="preserve">Rose Ann S. Loreno </t>
  </si>
  <si>
    <t>Donation to Anicia Sunglao for her medical needs QR: 022122022LGSF</t>
  </si>
  <si>
    <t>Donation to Client for her medical needs QR: 022122023LGSF</t>
  </si>
  <si>
    <t xml:space="preserve">Roxanne O. Dela Peña </t>
  </si>
  <si>
    <t>Donation to Client for her medical needs (Odontectomy Surger and Purchase of Medicines) QR: 022122025LGSF</t>
  </si>
  <si>
    <t>Donation to Celso Sequitin for his medical needs QR: 022322031LGSF</t>
  </si>
  <si>
    <t xml:space="preserve">Herminia P. Ricafort </t>
  </si>
  <si>
    <t>Donation to Regie Ricafort for his medical needs QR: 022422001LGSF</t>
  </si>
  <si>
    <t>To refund the ampount pertaining to the balance of fund received by the Bataan from Department of Finance Bureau of Treasury Region III for the construction of COVID-19 isolation center, Mariveles Bataan that was implemented under DILG LGSF</t>
  </si>
  <si>
    <t>Donation to Elizabeth David for his hospital bill QR: 022322035LGSF</t>
  </si>
  <si>
    <t xml:space="preserve">Shiela D. Zulueta </t>
  </si>
  <si>
    <t>Donation to Nenita Zulueta for her hospital bill and Professional Fee QR: 022222056LGSF</t>
  </si>
  <si>
    <t xml:space="preserve">Noli M. Rañada </t>
  </si>
  <si>
    <t>Donation to Patricia Rañada for her hospital bill QR: 022322024LGSF</t>
  </si>
  <si>
    <t>Donation to Client for her hospital bill QR: 022322037LGSF</t>
  </si>
  <si>
    <t xml:space="preserve">Sweet Adhel L. Cotamora </t>
  </si>
  <si>
    <t>Donation to Lusita Cotamora for he medical needs QR: 022322026LGSF</t>
  </si>
  <si>
    <t xml:space="preserve">Susana Y. Santos </t>
  </si>
  <si>
    <t>Donation to Virginia Santos for her medical needs QR: 022322025LGSF</t>
  </si>
  <si>
    <t xml:space="preserve">Remedios B. Ducot </t>
  </si>
  <si>
    <t>Donation to Client for her medical needs QR: 022322027LGSF</t>
  </si>
  <si>
    <t xml:space="preserve">Marie Lois F. Torres </t>
  </si>
  <si>
    <t>Donation to Marilou Torres for her medical needs QR: 022322004LGSF</t>
  </si>
  <si>
    <t xml:space="preserve">Rafael M. Tria </t>
  </si>
  <si>
    <t>Donation to Client for his medical nees QR: 022322002LGSF</t>
  </si>
  <si>
    <t xml:space="preserve">Melvin P. Albarda </t>
  </si>
  <si>
    <t>Donation to Jane Fronda Albarda for her medical needs QR: 022322013LGSF</t>
  </si>
  <si>
    <t xml:space="preserve">Vilma D. Solomon </t>
  </si>
  <si>
    <t>Donation to Jennelyn Solomon for her medical needs QR: 022322018LGSF</t>
  </si>
  <si>
    <t>Donation to Virginia Diana for her medical needs QR: 022322017LGSF</t>
  </si>
  <si>
    <t>Donation for the hospital bills covering period Feb. 7-11, 2022</t>
  </si>
  <si>
    <t xml:space="preserve">Christian Jhace M. Cruz </t>
  </si>
  <si>
    <t>Donation to Hendry Cruz for his burial expenses QR: 022222050LGSF</t>
  </si>
  <si>
    <t>Donation to Lolita Patoc for her burial expenses QR: 022322021LGSF</t>
  </si>
  <si>
    <t xml:space="preserve">Lorina L. Pascual </t>
  </si>
  <si>
    <t>Donation to Daren Pascual for his hospital bill QR: 022222052LGSF</t>
  </si>
  <si>
    <t xml:space="preserve">Wenefreda R. Perez </t>
  </si>
  <si>
    <t>Donation to Ernesto Perez for his hospital bill QR: 022222051LGSF</t>
  </si>
  <si>
    <t xml:space="preserve">Rechelle R. Labustro </t>
  </si>
  <si>
    <t>Donation to Champzerr King Labustro for his hospital bill QR: 022322023LGSF</t>
  </si>
  <si>
    <t xml:space="preserve">Jessica Jhane R. Garcia </t>
  </si>
  <si>
    <t>Donation to the client and Enzo Joaquin Garcia for thier hospital bill QR: 030122024LGSF</t>
  </si>
  <si>
    <t xml:space="preserve">Fortunato G. Catalan </t>
  </si>
  <si>
    <t>Donation to Susana Catalan for her medical needs QR: 022222022LGSF</t>
  </si>
  <si>
    <t xml:space="preserve">Sukhdeep S. Singhkhosa </t>
  </si>
  <si>
    <t>Donation to the client for her medical needs QR: 022222048LGSF</t>
  </si>
  <si>
    <t xml:space="preserve">Imelda D. David </t>
  </si>
  <si>
    <t>Donation to Romeo David for his medical needs QR: 022222053LGSF</t>
  </si>
  <si>
    <t xml:space="preserve">Roselia C. Simbol </t>
  </si>
  <si>
    <t>Donation to Dolores Castillo for her medical needs QR: 022422013LGSF</t>
  </si>
  <si>
    <t>Donation to Florame Guimeroy for her medical needs QR: 022222054LGSF</t>
  </si>
  <si>
    <t xml:space="preserve">Lodilyn S. Wenceslao </t>
  </si>
  <si>
    <t>Donation to the client for her medical needs QR: 022322012LGSF</t>
  </si>
  <si>
    <t xml:space="preserve">Myrna R. Paz </t>
  </si>
  <si>
    <t>Donation to the client for her medical needs QR: 022322016LGSF</t>
  </si>
  <si>
    <t xml:space="preserve">Novabelle R. Sarmiento </t>
  </si>
  <si>
    <t>Donation to the client for her medical needs QR: 022322020LGSF</t>
  </si>
  <si>
    <t xml:space="preserve">Joe Frank C. Postilos </t>
  </si>
  <si>
    <t>Donation to Emerech Mendoza for her medical needs QR: 022322022LGSF</t>
  </si>
  <si>
    <t xml:space="preserve">Imelda R. Pelagio </t>
  </si>
  <si>
    <t>Donation to Leonardo Pelagio for his medical needs QR: 022322014LGSF</t>
  </si>
  <si>
    <t>Donation to Jomel Aguilar for his medical needs                                                        QR: 022322015LGSF</t>
  </si>
  <si>
    <t>Donation to Janet Benitez for her medical needs QR: 022822026LGSF</t>
  </si>
  <si>
    <t xml:space="preserve">Regine C. Cultivo </t>
  </si>
  <si>
    <t>Donation to Imelda Cruz for her burial expenses QR: 022422031LGSF</t>
  </si>
  <si>
    <t>Donation to the client for her hospital bill and doctor's professional fee QR: 022422022LGSF</t>
  </si>
  <si>
    <t xml:space="preserve">Marilou C. Tria </t>
  </si>
  <si>
    <t>Donation to Jahaziah Pamesa for his hospital bill QR: 022822001LGSF</t>
  </si>
  <si>
    <t xml:space="preserve">Mary Grace M. Castro </t>
  </si>
  <si>
    <t>Donation to the client for her medical needs QR: 022422033LGSF</t>
  </si>
  <si>
    <t xml:space="preserve">Ronnel Allan J. Pusong </t>
  </si>
  <si>
    <t>Donation to Lolita Pusong for he medical needs QR: 022122007LGSF</t>
  </si>
  <si>
    <t>Donation to Aurora Siasat for her medical needs QR: 022422028LGSF</t>
  </si>
  <si>
    <t xml:space="preserve">Leonardo D. Talastas </t>
  </si>
  <si>
    <t>Donation to Marilou Talastas for her medical needs QR: 022422032LGSF</t>
  </si>
  <si>
    <t xml:space="preserve">Bernie S. Manalo </t>
  </si>
  <si>
    <t>Donation to Eliza Manalo for her medical needs QR: 022822002LGSF</t>
  </si>
  <si>
    <t>Donation to Francisco Guevarra for his medical needs QR: 022822007LGSF</t>
  </si>
  <si>
    <t xml:space="preserve">Julieta V. Dimarucut </t>
  </si>
  <si>
    <t>Donation to Christian Adrian Dimarucut for his medical needs QR: 022822006LGSF</t>
  </si>
  <si>
    <t xml:space="preserve">Sunshine D. Dela Cruz </t>
  </si>
  <si>
    <t>Donation to Jovie Dizon for her burial expenses QR: 022822014LGSF</t>
  </si>
  <si>
    <t xml:space="preserve">Gracita G. Tranate </t>
  </si>
  <si>
    <t>Donation to Antonio Tranate for his burial expenses QR: 022822017LGSF</t>
  </si>
  <si>
    <t xml:space="preserve">Delian D. Alejandro </t>
  </si>
  <si>
    <t>Donation to Edgar Alejandro for his burial expenses QR: 022822023LGSF</t>
  </si>
  <si>
    <t xml:space="preserve">Jun A. Gaspar </t>
  </si>
  <si>
    <t>Donation to Victorins Gaspar for her hospital bill QR: 022822022LGSF</t>
  </si>
  <si>
    <t>Donation to Maree Muli for her medical needs QR: 022822004LGSF</t>
  </si>
  <si>
    <t>Donation to Cristel Yao for her medical needs QR :022822008LGSF</t>
  </si>
  <si>
    <t>Donation to Pioquinto for his medical needs QR: 022822010LGSF</t>
  </si>
  <si>
    <t xml:space="preserve">Marivic P. Fernando </t>
  </si>
  <si>
    <t>Donation to Wilson Padua for his medical needs QR: 022822009</t>
  </si>
  <si>
    <t>Donation to the client for his medical needs QR: 022822011LGSF</t>
  </si>
  <si>
    <t>Donation to the client for his medical needs QR: 022822013LGSF</t>
  </si>
  <si>
    <t xml:space="preserve">Richard T. Santos </t>
  </si>
  <si>
    <t>Donation to the client for his medical needs QR: 022822015LGSF</t>
  </si>
  <si>
    <t xml:space="preserve">Luisa A. Camaing </t>
  </si>
  <si>
    <t>Donation to Melito Camaing for his medical needs QR: 022822018LGSF</t>
  </si>
  <si>
    <t xml:space="preserve">Cynthia V. Ebilane </t>
  </si>
  <si>
    <t>Donation to  Rogelio Ebilane for his medical needs QR: 022822021LGSF</t>
  </si>
  <si>
    <t xml:space="preserve">Joesel J. Apuya </t>
  </si>
  <si>
    <t>Donation to the client for his medical needs QR: 022822012LGSF</t>
  </si>
  <si>
    <t xml:space="preserve">Aero C. Jumao-as </t>
  </si>
  <si>
    <t>AS - Donation to Marcelino JumaO-As for his medical needs QR: 022822020LGSF</t>
  </si>
  <si>
    <t xml:space="preserve">Milagros A. Butangen </t>
  </si>
  <si>
    <t>Donation to Francisco Butangen for his medical needs QR: 022822005LGSF</t>
  </si>
  <si>
    <t>Donation to Savion Kristoff Albelda for his hospital bill QR: 022222055LGSF</t>
  </si>
  <si>
    <t>Donation to Lolita Solania for her medical needs QR: 022422019LGSF</t>
  </si>
  <si>
    <t xml:space="preserve">Ronald M. Flores </t>
  </si>
  <si>
    <t>Donation to Solita Flores  for burial expenses QR: 030322017LGSF</t>
  </si>
  <si>
    <t xml:space="preserve">Anne Galvan, MD. </t>
  </si>
  <si>
    <t>Professional fee of private doctors for Sept-Dec 2021 JCPJMH</t>
  </si>
  <si>
    <t>Donation for the hospital bill covering period February 21-25, 2022</t>
  </si>
  <si>
    <t>Donation for the hospital bills covering period February 21-21, 2022</t>
  </si>
  <si>
    <t xml:space="preserve">Aiza P. Sembrano </t>
  </si>
  <si>
    <t>Donation to Angelina Palomares for her burial expenses QR: 030222016LGSF</t>
  </si>
  <si>
    <t xml:space="preserve">Glenda M. Ballado </t>
  </si>
  <si>
    <t>Donation to the client for her medical needs QR: 030322004LGSF</t>
  </si>
  <si>
    <t xml:space="preserve">Maria Cristina A. Medalla </t>
  </si>
  <si>
    <t>Donation to Ronel Medalla for his medical needs QR: 030322003LGSF</t>
  </si>
  <si>
    <t xml:space="preserve">Sonia A. Oasan </t>
  </si>
  <si>
    <t>Donation to the client for her hospital bill QR: 030222006LGSF</t>
  </si>
  <si>
    <t xml:space="preserve">Babylin S. Javierto </t>
  </si>
  <si>
    <t>Donation to Jonathan Javierto for his medical needs QR: 030222003LGSF</t>
  </si>
  <si>
    <t xml:space="preserve">Jeremie L. Mallari </t>
  </si>
  <si>
    <t>Donation to the client for his hospital bill QR: 030222015LGSF</t>
  </si>
  <si>
    <t>Donation to Khryss Gwyneth Pahudpod for her medical needs QR: 030322019LGSF</t>
  </si>
  <si>
    <t xml:space="preserve">Maria Luisa D. Garcia </t>
  </si>
  <si>
    <t>Donation to Noel Garcia for his medical needs QR: 030322009</t>
  </si>
  <si>
    <t xml:space="preserve">Edna V. Baluyot </t>
  </si>
  <si>
    <t>Donation to Client for her medical needs QR: 022422024LSGF</t>
  </si>
  <si>
    <t xml:space="preserve">Pagasa C. Santos </t>
  </si>
  <si>
    <t>Donation to Wilson Santos for his medical needs QR: 022422015LGSF</t>
  </si>
  <si>
    <t xml:space="preserve">Alyssa H. Sanchez </t>
  </si>
  <si>
    <t>Donation to Aurelia Sanchez for her medical needs QR: 022422025LGSF</t>
  </si>
  <si>
    <t xml:space="preserve">Regine P. De Mesa </t>
  </si>
  <si>
    <t>Donation to Renell De Mesa Jr for his medical needs QR: 022422014LGSF</t>
  </si>
  <si>
    <t xml:space="preserve">Marina A. Delos Santos </t>
  </si>
  <si>
    <t>Donation to Romeo Delos Santos for his burial expenses QR: 022822024LGSF</t>
  </si>
  <si>
    <t xml:space="preserve">Allan M. Caibigan </t>
  </si>
  <si>
    <t>DONATION TO LOLITA MOJICA SISON FOR HER BURIAL EXPENSES QR: 022822030LGSF</t>
  </si>
  <si>
    <t xml:space="preserve">Shiela May I. Cruz </t>
  </si>
  <si>
    <t>Donation to Jynn Xero Isidro Cruz for his Burial expenses QR: 030122009LGSF</t>
  </si>
  <si>
    <t xml:space="preserve">Rolando C. Navarro </t>
  </si>
  <si>
    <t>Donation to Virginia Navarro for her hospital bill QR: 030122020LGSF</t>
  </si>
  <si>
    <t>Donation to Client for his hospital bill QR: 022822032LGSF</t>
  </si>
  <si>
    <t xml:space="preserve">Mylene Karen A. Dela Cruz </t>
  </si>
  <si>
    <t>Donation to Mario Dela Cruz for his medical needs QR: 030122019LGSF</t>
  </si>
  <si>
    <t xml:space="preserve">Rmoeo A. Canlapan </t>
  </si>
  <si>
    <t>Donation to Marlen Canlapan for her medical needs QR: 030122015LGSF</t>
  </si>
  <si>
    <t xml:space="preserve">Jacqueline S. Cruz </t>
  </si>
  <si>
    <t>Donation to Client for her medical needs QR: 030122017LGSF</t>
  </si>
  <si>
    <t xml:space="preserve">Marvin A. Melegrito </t>
  </si>
  <si>
    <t>Donation to Client for his medical needs QR: 030122013LSGF</t>
  </si>
  <si>
    <t xml:space="preserve">Roma T. Sinque </t>
  </si>
  <si>
    <t>Donation to Dominador Sinque for his medical needs QR: 030122018LGSF</t>
  </si>
  <si>
    <t xml:space="preserve">Arnel M. Glorioso </t>
  </si>
  <si>
    <t xml:space="preserve"> QR: 022822028LGSF</t>
  </si>
  <si>
    <t xml:space="preserve">Mary Joy N. Solomon </t>
  </si>
  <si>
    <t>Donation to Joel Solomon for his medical needs QR: 030122008LGSF</t>
  </si>
  <si>
    <t xml:space="preserve">Arlene D. Del Rio </t>
  </si>
  <si>
    <t>Donation to Client for his medical needs QR: 030122011LGSF</t>
  </si>
  <si>
    <t xml:space="preserve">Normal D. Montibon </t>
  </si>
  <si>
    <t>Donation to Client for his medical needs QR: 022822016LGSF</t>
  </si>
  <si>
    <t xml:space="preserve">Diana Lynne A. Abesamis </t>
  </si>
  <si>
    <t>Donation to Christian Angelo Abesamis for his medical needs QR: 022822033LGSF</t>
  </si>
  <si>
    <t>Donation to Client for her medical needs QR: 022422020LGSF</t>
  </si>
  <si>
    <t xml:space="preserve">Nova H. Dela Cruz </t>
  </si>
  <si>
    <t>Donation to Amel Hizon for her medical needs QR: 022422018LGSF</t>
  </si>
  <si>
    <t xml:space="preserve">Virgie M. Rodriguez </t>
  </si>
  <si>
    <t>Donation to Ricky Rodriguez for his burial expenses QR: 022422026LGSF</t>
  </si>
  <si>
    <t xml:space="preserve">Daniel G. Saclolo </t>
  </si>
  <si>
    <t>Donation to Sarah Saclolo for her hospital bill QR: 022422021LGSF</t>
  </si>
  <si>
    <t xml:space="preserve">Lorna J. Dela Cruz </t>
  </si>
  <si>
    <t>Donation to Leonardo Dela Cruz for his medical needs QR: 022422030LGSF</t>
  </si>
  <si>
    <t xml:space="preserve">Arlene B. Yraola </t>
  </si>
  <si>
    <t>Donation to Alpha Mae Yraola for his burial expenses QR: 022422023LGSF</t>
  </si>
  <si>
    <t xml:space="preserve">Consuelo F. Sanchez </t>
  </si>
  <si>
    <t>Donation to Enriquez Fabian for his medical needs QR: 022422027LGSF</t>
  </si>
  <si>
    <t>Donation to Pepito Durana for his medical needs QR: 022422029LGSF</t>
  </si>
  <si>
    <t xml:space="preserve">Marie France F. Dizon </t>
  </si>
  <si>
    <t>Donation to Rosita Gonzales for her burial expenses QR: 030122021LGSF</t>
  </si>
  <si>
    <t>Donation to the client for her hospital bill QR: 030122004LGSF</t>
  </si>
  <si>
    <t>Donation to Jamelin Dela Peña for her doctor's professional fee QR :030122005LGSF</t>
  </si>
  <si>
    <t xml:space="preserve">Felisa C. Dionela </t>
  </si>
  <si>
    <t>Donation to Edgardo DIONELA for his medical needs QR: 030122030LGSF</t>
  </si>
  <si>
    <t xml:space="preserve">Elvira C. Pabustan </t>
  </si>
  <si>
    <t>Donation to Ronald Sevilla for his medical needs QR: 030122029LGSF</t>
  </si>
  <si>
    <t xml:space="preserve">Ariel B. Jose </t>
  </si>
  <si>
    <t>Donation to the client for his medical needs QR: 030122033LGSF</t>
  </si>
  <si>
    <t xml:space="preserve">Lambert S. Irangan </t>
  </si>
  <si>
    <t>Donation to Irene Iragan for her medical needs QR: 030122032LGSF</t>
  </si>
  <si>
    <t xml:space="preserve">Flory Lee F. Panlaqui </t>
  </si>
  <si>
    <t>Donation to Mary Grace Felicitas for her medical needs QR: 030122022LGSF</t>
  </si>
  <si>
    <t xml:space="preserve">Ernesto D. Alvarado Jr. </t>
  </si>
  <si>
    <t>Donation to the client for his medical needs QR: 030122027LGSF</t>
  </si>
  <si>
    <t xml:space="preserve">Kimberly Anne A. Hernandez </t>
  </si>
  <si>
    <t>Donation to Zion Miguel Hernandez for his medical needs QR: 030122016LGSF</t>
  </si>
  <si>
    <t xml:space="preserve">Elvira V. Gamboa </t>
  </si>
  <si>
    <t>Donation to the client for her medical needs QR: 030122025LGSF</t>
  </si>
  <si>
    <t xml:space="preserve">Elias A. Diwa </t>
  </si>
  <si>
    <t>Donation to the client for his medical needs QR: 030122006LGSF</t>
  </si>
  <si>
    <t xml:space="preserve">Joy B. Francisco </t>
  </si>
  <si>
    <t>Donation to the client for her medical needa QR: 030122003LGSF</t>
  </si>
  <si>
    <t xml:space="preserve">Rosalinda A. Bueno </t>
  </si>
  <si>
    <t>Donation to Client for her medical needs QR: 030122010LGSF</t>
  </si>
  <si>
    <t xml:space="preserve">Rowen L. Austria </t>
  </si>
  <si>
    <t>Donation to Winona Limos for her medical neds QR: 022422017LGSF</t>
  </si>
  <si>
    <t xml:space="preserve">Lorna M. Carreon </t>
  </si>
  <si>
    <t>Donation to Estrella Carreon for her medical needs QR: 022422016LGSF</t>
  </si>
  <si>
    <t>Donation to the client for her medical needs QR: 030322001LGSF</t>
  </si>
  <si>
    <t xml:space="preserve">Jesus G. Cruz </t>
  </si>
  <si>
    <t>Donation to Jerwin Cruz for his medical needs QR: 030322006LGSF</t>
  </si>
  <si>
    <t>Donation to Jason Roy Lumbre for his hospital bill QR: 030322010LGSF</t>
  </si>
  <si>
    <t xml:space="preserve">Helen P. Nahgab </t>
  </si>
  <si>
    <t>Donation to Felipe Nahgab for his medical needs QR: 030322007LGSF</t>
  </si>
  <si>
    <t xml:space="preserve">Mhae G. Capati </t>
  </si>
  <si>
    <t>Donation to Federico Capati for his medical needs QR: 030322008LGSF</t>
  </si>
  <si>
    <t xml:space="preserve">Amalia B. Luangco </t>
  </si>
  <si>
    <t>Donation to Adelina Belleza for her medical needs QR: 030322012LGSF</t>
  </si>
  <si>
    <t xml:space="preserve">Katelyn B. Villafuerte </t>
  </si>
  <si>
    <t>Donation to Jefferson Mallari for his burial expenses QR: 030322002LGSF</t>
  </si>
  <si>
    <t>Donation to Geraldine Viloria for her medical needs QR: 030322015LGSF</t>
  </si>
  <si>
    <t xml:space="preserve">Lailanie P. Sarte </t>
  </si>
  <si>
    <t>Donation to Lydia Paguio for her medical needs QR: 030322011LGSF</t>
  </si>
  <si>
    <t xml:space="preserve">Nelie F. Lagamayo </t>
  </si>
  <si>
    <t>Donation to Gaudiosa Lagamayo for her burial expenses QR: 030222001LGSF</t>
  </si>
  <si>
    <t xml:space="preserve">Jefferson M. Nisay </t>
  </si>
  <si>
    <t>Donation to Nora Nisay for her hospital bill QR: 030222002LGSF</t>
  </si>
  <si>
    <t xml:space="preserve">Sherwin Nick A. Acuzar </t>
  </si>
  <si>
    <t>Donation to Allan Acuzar for his burial expenses QR: 030222005LGSF</t>
  </si>
  <si>
    <t xml:space="preserve">Shiela M. Rivera </t>
  </si>
  <si>
    <t>Donation to Renato Montemayor for his medical needs QR: 030222008LGSF</t>
  </si>
  <si>
    <t xml:space="preserve">Jonalyn T. Guinto </t>
  </si>
  <si>
    <t>Donation to the client for her medical needs QR: 030222004LGSF</t>
  </si>
  <si>
    <t xml:space="preserve">Mary Ann J. Madarang </t>
  </si>
  <si>
    <t>Donation to April Joy Madarang for her medical needs QR: 030222007LGSF</t>
  </si>
  <si>
    <t>Donation to Jona Mae Aquino for her hospital bill QR: 022822025LGSF</t>
  </si>
  <si>
    <t xml:space="preserve">Endure Medical Inc. </t>
  </si>
  <si>
    <t>Polyethersulfone Dialyzer Low Flux and High Flux H200 for 1Bataan Malasakit Dialysis Assitance (1BMDA)</t>
  </si>
  <si>
    <t>Donation to Mario Pareja for his burial expenses QR: 030822002LGSF</t>
  </si>
  <si>
    <t>Donation to Remedios Valenzuela for her hospital bill QR: 030922006LGSF</t>
  </si>
  <si>
    <t>Donation to Kris Vernadette and Meere Natalia Roe Caguimbal for their hospital bill QR: 031022001LGSF</t>
  </si>
  <si>
    <t>Donation to Jillianne May Bartolome for her hospital bill QR: 030822001LGSF</t>
  </si>
  <si>
    <t>Donation to Rolando Tuazon Jr. for his medical needs QR: 030922007LGSF</t>
  </si>
  <si>
    <t xml:space="preserve">Dolly D. Ganzon </t>
  </si>
  <si>
    <t>Donation to Roberto Ganzon for his medical needs QR: 030922002LGSF</t>
  </si>
  <si>
    <t xml:space="preserve">Ignacio V. Dela Cruz </t>
  </si>
  <si>
    <t>Donation to  the client for his medical needs QR: 030922003LGSF</t>
  </si>
  <si>
    <t xml:space="preserve">Marivin D. Gaffud </t>
  </si>
  <si>
    <t>DONATION TO JANETTE LASIM FOR HER MEDICAL NEEDS QR: 030822005LGSF</t>
  </si>
  <si>
    <t xml:space="preserve">Michael S. Yutuc </t>
  </si>
  <si>
    <t>Donation to Antonio Yutuc for his medical needs QR: 030822003LGSF</t>
  </si>
  <si>
    <t xml:space="preserve">Jahara May B. Estrella </t>
  </si>
  <si>
    <t>Donation to the client for her medical needs QR: 030722003LGSF</t>
  </si>
  <si>
    <t xml:space="preserve">Romina D. Velasco </t>
  </si>
  <si>
    <t>Donation to Eddanbel Velasco for his medical needs QR: 030722002LGSF</t>
  </si>
  <si>
    <t xml:space="preserve">Annabel D. Dinglas </t>
  </si>
  <si>
    <t>Donation to Leticia Dinglas for her medical needs QR: 030722001LGSF</t>
  </si>
  <si>
    <t xml:space="preserve">John Michael Z. Reyes </t>
  </si>
  <si>
    <t>Donation to Jesus Reyes for his medical needs QR: 030722008LGSF</t>
  </si>
  <si>
    <t xml:space="preserve">Mary Jane R. Malang </t>
  </si>
  <si>
    <t>Donation to Jose Amante Lintag for his medical needs QR: 030722006LGSF</t>
  </si>
  <si>
    <t xml:space="preserve">Carlo F. Pascual </t>
  </si>
  <si>
    <t>Donation to the client for his medical needs QR: 030322005LGSF</t>
  </si>
  <si>
    <t>Donation to Antonio ORTIGUERRA for his burial expenses QR: 030322024LGSF</t>
  </si>
  <si>
    <t>Donation to Alfredo Reyes for his burial expenses QR: 030422001LGSF</t>
  </si>
  <si>
    <t xml:space="preserve">Vilma D. Carlos </t>
  </si>
  <si>
    <t>Donation to Danilo Carlos for his burial expenses QR: 030422002LGSF</t>
  </si>
  <si>
    <t xml:space="preserve">Meryl Shane L. Pasuquin </t>
  </si>
  <si>
    <t>Donation to Manuel Pasuquin for his burial expenses QR: 030722005LGSF</t>
  </si>
  <si>
    <t xml:space="preserve">Michael D. Icban </t>
  </si>
  <si>
    <t>Donation to Bernardo Icban for his hospital bill QR: 030322016LGSF</t>
  </si>
  <si>
    <t xml:space="preserve">Arlene C. Villablanca </t>
  </si>
  <si>
    <t>Donation to Leonora C. Villablanca for her hospital bill QR: 030322029LGSF</t>
  </si>
  <si>
    <t>Donation to Arlene May Del Rosario for her hospital bill QR: 030322028LGSF</t>
  </si>
  <si>
    <t xml:space="preserve">Ara P. Nisay </t>
  </si>
  <si>
    <t>Donation to Arabella Nisay for her hospital bill QR: 030422008LGSF</t>
  </si>
  <si>
    <t xml:space="preserve">Mark Ching Le M. Capitan </t>
  </si>
  <si>
    <t>Donation to Marlene Mae Capitan for his medical needs QR: 030322027LGSF</t>
  </si>
  <si>
    <t xml:space="preserve">Angel Queen O. Sumael </t>
  </si>
  <si>
    <t>Donation to Maribel Osias for her medical needs QR: 030322023LGSF</t>
  </si>
  <si>
    <t xml:space="preserve">Rolando D. Malasmas </t>
  </si>
  <si>
    <t>Donation to the client for his medical needs QR: 030322022LGSF</t>
  </si>
  <si>
    <t xml:space="preserve">Rose Ann V. Tan </t>
  </si>
  <si>
    <t>Donation to Allan Viray for his medical needs QR: 0303220226LGSF</t>
  </si>
  <si>
    <t xml:space="preserve">Marites D. Felicitas </t>
  </si>
  <si>
    <t>Donation to Nazario Felicitas for his medical needs QR: 030322021LGSF</t>
  </si>
  <si>
    <t xml:space="preserve">Renato S. Tolentino Jr. </t>
  </si>
  <si>
    <t>Donation to the client for his medical needs QR: 030322018LGSF</t>
  </si>
  <si>
    <t xml:space="preserve">Lorena G. Aquino </t>
  </si>
  <si>
    <t>Donation to Alfredo Ganayo for his medical needs (Eye Surgery) QR: 030422003LGSF</t>
  </si>
  <si>
    <t xml:space="preserve">Mary Grace E. Balastigue </t>
  </si>
  <si>
    <t>Donation to Bryan Ramos De Dios for his medical needs QR: 030422011LGSF</t>
  </si>
  <si>
    <t xml:space="preserve">Maria Fe S. Aspili </t>
  </si>
  <si>
    <t>Donation to Roberto Suarez for his medical needs QR: 030422005LGSF</t>
  </si>
  <si>
    <t xml:space="preserve">Avegay B. Luzame </t>
  </si>
  <si>
    <t>Donation to Aixan Abby Luzame for her medical needs QR: 030322025LGSF</t>
  </si>
  <si>
    <t xml:space="preserve">Maribeth A. Diaz </t>
  </si>
  <si>
    <t>Donation to Client for her hospital bill and medical needs QR: 030422006LGSF</t>
  </si>
  <si>
    <t>Donation to Erlinda Dela Cruz for her medical needs (Chemotherapy) QR: 030422004LGSF</t>
  </si>
  <si>
    <t>Donation  to Arturo Verzon for his burial expenses QR: 030222009LGSF</t>
  </si>
  <si>
    <t>Donation to Prudencio Pacho Jr. for his burial expenses QR: 030222012LGSF</t>
  </si>
  <si>
    <t>Donation to Mario Ascrate for his hospital bill QR: 030222011LGSF</t>
  </si>
  <si>
    <t xml:space="preserve">Arrianne S. Asilo </t>
  </si>
  <si>
    <t>Dotion to the client for her medical needs QR: 030222010LGSF</t>
  </si>
  <si>
    <t xml:space="preserve">Lorna T. Leaño </t>
  </si>
  <si>
    <t>Donation to John Robert Leaño for his hospital bill QR: 030222013LGSF</t>
  </si>
  <si>
    <t xml:space="preserve">Randy M. Ponce </t>
  </si>
  <si>
    <t>Donation to Karen Margarette Ponce for her hospital bill QR: 030122031LGSF</t>
  </si>
  <si>
    <t xml:space="preserve">Antonio JR. M. Trajano </t>
  </si>
  <si>
    <t>Donation to Antonette Trajano for her medical needs QR: 030122035LGSF</t>
  </si>
  <si>
    <t xml:space="preserve">Carina T. Alegre </t>
  </si>
  <si>
    <t>Donation to Angel Neil Alegre for her medical needs QR: 030122037LGSF</t>
  </si>
  <si>
    <t xml:space="preserve">Jason D. Montemayor </t>
  </si>
  <si>
    <t>Donation to the client for his medical needs QR: 030122034LGSF</t>
  </si>
  <si>
    <t xml:space="preserve">Carmina R. Nallatan </t>
  </si>
  <si>
    <t>Donation to Client for her medical needs QR: 022222020LGSF</t>
  </si>
  <si>
    <t xml:space="preserve">Lorna M. Padilla </t>
  </si>
  <si>
    <t>Donation to Jose Mendoza Macalinao for her burial expenses  QR: 022822029LGSF</t>
  </si>
  <si>
    <t>Donation to Benjo Ramos for his hospital bill QR: 022822027LGSF</t>
  </si>
  <si>
    <t>Donation to Arturo Macalinao for his hospital bill QR: 030122028LGSF</t>
  </si>
  <si>
    <t xml:space="preserve">Elsa T. Broqueza </t>
  </si>
  <si>
    <t>Donation to Evangeline Gamayon for her medical needs QR: 030922001LGSF</t>
  </si>
  <si>
    <t xml:space="preserve">Ma. Violeta B. Jaraba </t>
  </si>
  <si>
    <t>Donation to Client for her medical needs QR: 031122011LGSF</t>
  </si>
  <si>
    <t>Donation to Charlie De Leon for his hospital bill QR: 031122009LGSF</t>
  </si>
  <si>
    <t xml:space="preserve">Normita A. Delos Santos </t>
  </si>
  <si>
    <t>Donation to Danica Delos Santos for her medical needs QR: 031122008</t>
  </si>
  <si>
    <t>Donation to Rodel Ventura for his medical needs QR: 030122036LGSF</t>
  </si>
  <si>
    <t>Financial Assistance to eligible MSE's affected by Covid 19 under 1 Bataan Recovery Program for Micro and Small Enterprises</t>
  </si>
  <si>
    <t xml:space="preserve">Cora's Food House </t>
  </si>
  <si>
    <t xml:space="preserve">Mhersayan Design Studio and Merchandise </t>
  </si>
  <si>
    <t xml:space="preserve">FCT Enterprises </t>
  </si>
  <si>
    <t xml:space="preserve">G's Enteprises </t>
  </si>
  <si>
    <t xml:space="preserve">Mindi's Food Products </t>
  </si>
  <si>
    <t xml:space="preserve">Nathan's Food Product Manufacturing </t>
  </si>
  <si>
    <t xml:space="preserve">Cesmar Enterprise </t>
  </si>
  <si>
    <t xml:space="preserve">Herrera's Food Products </t>
  </si>
  <si>
    <t xml:space="preserve">Emmer's Bagoong </t>
  </si>
  <si>
    <t xml:space="preserve">Carlos Tuna Products </t>
  </si>
  <si>
    <t xml:space="preserve">Five Brothers Bakery </t>
  </si>
  <si>
    <t xml:space="preserve">Marivel's Pillows </t>
  </si>
  <si>
    <t xml:space="preserve">Banawang Mamamayan Sagip Kalikasan Producers Cooperative (BAMASAGKA) </t>
  </si>
  <si>
    <t xml:space="preserve">Magpoc's Araro Cookies and Sari-Sari Store </t>
  </si>
  <si>
    <t>SARI STORE - Financial Assistance to eligible MSE's affected by Covid 19 under 1 Bataan Recovery Program for Micro and Small Enterprises</t>
  </si>
  <si>
    <t xml:space="preserve">Reggie's Broom Making Enterprise </t>
  </si>
  <si>
    <t xml:space="preserve">Bhebe's Food Products </t>
  </si>
  <si>
    <t xml:space="preserve">Ofelia Food Products </t>
  </si>
  <si>
    <t xml:space="preserve">Casa Vea Pastries Shop </t>
  </si>
  <si>
    <t xml:space="preserve">Anne Fish Processing </t>
  </si>
  <si>
    <t xml:space="preserve">Lord de Sport Shirt &amp; Enterprises </t>
  </si>
  <si>
    <t xml:space="preserve">Ina Gloria Food Enterprises </t>
  </si>
  <si>
    <t xml:space="preserve">Sam-Roque's Food Products </t>
  </si>
  <si>
    <t xml:space="preserve">Joyce Araro &amp; Other Pastries </t>
  </si>
  <si>
    <t xml:space="preserve">Janna's Homemade Food Products </t>
  </si>
  <si>
    <t xml:space="preserve">Alion Kapit Bisig Sea-K Association, Inc/AKB-SKA Inc. </t>
  </si>
  <si>
    <t xml:space="preserve">Danneth's Slider Footwear and Accessories </t>
  </si>
  <si>
    <t xml:space="preserve">Vangie's Cashew Nuts </t>
  </si>
  <si>
    <t xml:space="preserve">Ruthy's Food Products </t>
  </si>
  <si>
    <t xml:space="preserve">Binukawan Bicol Marketing Cooperative </t>
  </si>
  <si>
    <t xml:space="preserve">Orient Sports Gear </t>
  </si>
  <si>
    <t xml:space="preserve">Jewsrael Enterprise </t>
  </si>
  <si>
    <t xml:space="preserve">LAcson's Assorted Araro Cookies </t>
  </si>
  <si>
    <t xml:space="preserve">BJC Farms </t>
  </si>
  <si>
    <t xml:space="preserve">Balanga Agrarian Reform Beneficiaries </t>
  </si>
  <si>
    <t xml:space="preserve">HFMS Souvenir Trading </t>
  </si>
  <si>
    <t xml:space="preserve">Mariveles Bagmaker Multi-Purpose Cooperative </t>
  </si>
  <si>
    <t xml:space="preserve">MM Small Scale Industry Manufacturing </t>
  </si>
  <si>
    <t xml:space="preserve">Pilar Rural Improvement Club Multi-Purpose Cooperative </t>
  </si>
  <si>
    <t xml:space="preserve">Naatab Roots Clothing </t>
  </si>
  <si>
    <t xml:space="preserve">Samaleno Organiko Producers Cooperative </t>
  </si>
  <si>
    <t xml:space="preserve">Barangay Quinawan Agriculture Cooperative </t>
  </si>
  <si>
    <t xml:space="preserve">Noel R. Galang </t>
  </si>
  <si>
    <t>Donation to April Andrea Galang for her medical needs QR: 031022008LGSF</t>
  </si>
  <si>
    <t>15th PArtial payment of package training expenses for the provincial wide Brgy Disaster Risk Reduction Education &amp; emeregency medical first responder</t>
  </si>
  <si>
    <t xml:space="preserve">Shirly N. De Leon </t>
  </si>
  <si>
    <t>Donation to Edison De Leon for his medical needs QR: 031522002LGSF</t>
  </si>
  <si>
    <t xml:space="preserve">Elvira N. Ello </t>
  </si>
  <si>
    <t>Donation to the client for her medical needs QR: 031422006LGSF</t>
  </si>
  <si>
    <t xml:space="preserve">Babylyn B. Hular </t>
  </si>
  <si>
    <t>Donation to Rosela Hular for her hospital bill QR: 031522006LGSF</t>
  </si>
  <si>
    <t xml:space="preserve">Evelyn I. Jorge </t>
  </si>
  <si>
    <t>Donation to Vincent Villanueva Jorge for his medical needs QR: 030122007LGSF</t>
  </si>
  <si>
    <t xml:space="preserve">Rhodora B. Fermil </t>
  </si>
  <si>
    <t>Donation to Francisco Pulanco for his medical needs QR: 030422010</t>
  </si>
  <si>
    <t xml:space="preserve">Ryan A. Paragas </t>
  </si>
  <si>
    <t>Donation to Divina Paragas for her burial expenses QR: 031422012</t>
  </si>
  <si>
    <t xml:space="preserve">Jaquiline I. Nicdao </t>
  </si>
  <si>
    <t>Donation to Editha Dela Cruz for her hospital bill QR: 030122001LGSF</t>
  </si>
  <si>
    <t xml:space="preserve">Carlos Jr. A. Velasco </t>
  </si>
  <si>
    <t>Donation to Client for his medical needs QR: 031022005LGSF</t>
  </si>
  <si>
    <t>Labor &amp; materials for construction  of drainage system Nagbalayong Morong  Bataan</t>
  </si>
  <si>
    <t xml:space="preserve">Jun Wesley Pineda </t>
  </si>
  <si>
    <t>Donation to Gemini Pineda for her hospital bill</t>
  </si>
  <si>
    <t xml:space="preserve">Elizabeth Buenaventura </t>
  </si>
  <si>
    <t>Donation to Ma. Katrina Yorobe and Gianna Kamylla Yorobe  for thier hospital bills</t>
  </si>
  <si>
    <t xml:space="preserve">Ferna Mae Pingki-an </t>
  </si>
  <si>
    <t>AN - Donation to Natividan Villegas for her hospital bill</t>
  </si>
  <si>
    <t xml:space="preserve">Maximo Mangila </t>
  </si>
  <si>
    <t>Donation to Teresita Mangila for her hospital bill and doctor's professional fee</t>
  </si>
  <si>
    <t xml:space="preserve">Jasmin Banay </t>
  </si>
  <si>
    <t>Donation to Pacita Banay for her hospital bill</t>
  </si>
  <si>
    <t xml:space="preserve">Sheila Santiago </t>
  </si>
  <si>
    <t>Donation to Asher Anton Santiago for his medical needs</t>
  </si>
  <si>
    <t xml:space="preserve">Lorie Dela Cruz </t>
  </si>
  <si>
    <t>Donation to Queen Heartzel Dela Cruz for her medical needs</t>
  </si>
  <si>
    <t xml:space="preserve">Judith Lapada </t>
  </si>
  <si>
    <t>Donation to Jericha Lapada for her medical needs</t>
  </si>
  <si>
    <t xml:space="preserve">Angelica Entolasco </t>
  </si>
  <si>
    <t>Donation to Juanito Entolasco for his medical needs</t>
  </si>
  <si>
    <t xml:space="preserve">Ricardo Tuazon Jr. </t>
  </si>
  <si>
    <t xml:space="preserve">Lolita Salcedo </t>
  </si>
  <si>
    <t>Donation to Melvin Salcedo for his medical needs</t>
  </si>
  <si>
    <t xml:space="preserve">Andrea Amor Abarsosa </t>
  </si>
  <si>
    <t>Donation to Dennies Abarsosa for his medical needs</t>
  </si>
  <si>
    <t xml:space="preserve">Concepcion Sadsad </t>
  </si>
  <si>
    <t>Donation to Kim Philip Sadsad for his medical needs</t>
  </si>
  <si>
    <t xml:space="preserve">Anacleto Bantugan </t>
  </si>
  <si>
    <t>Donation to Leney Bantugan for her burial expenses</t>
  </si>
  <si>
    <t xml:space="preserve">Judy Trelles </t>
  </si>
  <si>
    <t>Donation to Grigorio Jr. Trelles for his medical needs</t>
  </si>
  <si>
    <t xml:space="preserve">Allan Italia </t>
  </si>
  <si>
    <t>Donation to Luzviminda Italia for her medical needs</t>
  </si>
  <si>
    <t xml:space="preserve">Sharon Mangrobang </t>
  </si>
  <si>
    <t>Donation to Adelaida Mangrobang  for her hospital bill</t>
  </si>
  <si>
    <t xml:space="preserve">Mannex Velasco </t>
  </si>
  <si>
    <t>Donation to Roberto Dela Peña for his burial expenses</t>
  </si>
  <si>
    <t>Donation to Wilfredo Guila  for his hospital bill QR: 031022006LGSF</t>
  </si>
  <si>
    <t xml:space="preserve">Perlita V. Libanan </t>
  </si>
  <si>
    <t>Donation to Antonio Libanan for his medical needs QR: 031022004</t>
  </si>
  <si>
    <t xml:space="preserve">Agustin E. Castro </t>
  </si>
  <si>
    <t>Donation to Esperanza Castro for her medical needs QR: 031022003LGSF</t>
  </si>
  <si>
    <t xml:space="preserve">Girlie D. Cabling </t>
  </si>
  <si>
    <t>Donation to Shaira Lie Cabling for her medical needs QR: 031122004LGSF</t>
  </si>
  <si>
    <t xml:space="preserve">Silverio Jr. Buensuceso  </t>
  </si>
  <si>
    <t>Donation to Silverio Sr. Buensuceso for his burial expenses</t>
  </si>
  <si>
    <t xml:space="preserve">Persabe Merchandising </t>
  </si>
  <si>
    <t>1% retention for 4 units UV sterilizing lamp for use of BCMH-Cash Donations for COVID-19 Regular trust</t>
  </si>
  <si>
    <t xml:space="preserve">Catherine C. Malang </t>
  </si>
  <si>
    <t>Donation to Isagani Malang for his medical needs QR: 031422001LGSF</t>
  </si>
  <si>
    <t xml:space="preserve">Marilyn D. Capito </t>
  </si>
  <si>
    <t>Donation to Erlinda Capito for her burial expenses QR: 031622004LGSF</t>
  </si>
  <si>
    <t xml:space="preserve">Julita S. Angeles </t>
  </si>
  <si>
    <t>Donation to the client for her medical needs QR: 031622005LGSF</t>
  </si>
  <si>
    <t xml:space="preserve">Melissa A. De Torres </t>
  </si>
  <si>
    <t>Donation to the client for her medical needs QR: 031622007LGSF</t>
  </si>
  <si>
    <t xml:space="preserve">Nehemias Y. Canare </t>
  </si>
  <si>
    <t>Donation to the client for his medical needs QR: 031622001LGSF</t>
  </si>
  <si>
    <t xml:space="preserve">Vanessa L. Tria </t>
  </si>
  <si>
    <t>Donation to Hayzel Lazarte for her hospital bill QR: 031522010LGSF</t>
  </si>
  <si>
    <t xml:space="preserve">Rosemarie S. Minta </t>
  </si>
  <si>
    <t>Donation to the client for her medical needs QR: 031522005LGSF</t>
  </si>
  <si>
    <t xml:space="preserve">Krisha Mae T. Inieto </t>
  </si>
  <si>
    <t>Donation to Edgardo Inieto for his medical needs QR: 031522004LGSF</t>
  </si>
  <si>
    <t xml:space="preserve">Isabel B. Dumlao </t>
  </si>
  <si>
    <t>Donation to Segundino Dumlao for his medical needs QR: 031622002LGSF</t>
  </si>
  <si>
    <t>Donation to Rodrigo Romero Jr. for hospital bill QR: 031522008LGSF</t>
  </si>
  <si>
    <t xml:space="preserve">Llyod Reyvenson R. Sayas </t>
  </si>
  <si>
    <t>Donation to Fiona Joyce Alisbo and Ace Zachary Sayas for thier hospital bills QR: 03152207LGSF</t>
  </si>
  <si>
    <t xml:space="preserve">Teresita M. Billones </t>
  </si>
  <si>
    <t>Donation to Edwin Billones for his burial expenses QR: 031622009LGSF</t>
  </si>
  <si>
    <t xml:space="preserve">Teresa J. Cruz </t>
  </si>
  <si>
    <t xml:space="preserve"> Donation to Romeo Cruz for his hospital bill QR: 031622012LGSF</t>
  </si>
  <si>
    <t xml:space="preserve">Maria Luisa M. Sastre </t>
  </si>
  <si>
    <t xml:space="preserve"> Donation to Teresita Ramirez for her medical needs QR: 031622011LGSF</t>
  </si>
  <si>
    <t xml:space="preserve">Rhean M. Belleza </t>
  </si>
  <si>
    <t xml:space="preserve"> Donation to Arlan Belleza for his hospital bill and doctor's professional fee QR: 031722001LGSF</t>
  </si>
  <si>
    <t xml:space="preserve">Myrna Platero </t>
  </si>
  <si>
    <t>Donation to Mark Rodriguez for his burial expenses QR: 031722002LGSF</t>
  </si>
  <si>
    <t>Donation to Prince Jacob Catalan for his medical needs QR: 031622008LGSF</t>
  </si>
  <si>
    <t>Donation to Abegail Maglaque and Matthew Abiel Maglaque  for their hospital and medical needs QR: 030422009LGSF</t>
  </si>
  <si>
    <t xml:space="preserve">Alicia C. Rodriguez </t>
  </si>
  <si>
    <t>Donation to Pacita Banay for her hospital bill QR: 031622010LGSF</t>
  </si>
  <si>
    <t>Payment of hospital bill of indigent patients of Bagac Community and Medicare Hospital (BCMH) charge to DOH fund Medical Assistance, Assistance to Indigent Patients Program for the period of March 2022</t>
  </si>
  <si>
    <t>Printing of Tarpaulin/Signages to be installed in five (5) Quarantine Control Points during Covid-19 Pandemic</t>
  </si>
  <si>
    <t>Payment of drinks for the Bataan Province COVID19 vaccination deployment program at Bataan Peoples Center</t>
  </si>
  <si>
    <t>Laboratory supplies for the use of Jose C. Payumo Jr Memorial Hospital</t>
  </si>
  <si>
    <t>To transfer the amount of tax for te set up of payable to Endure Medical inc, for the purchase of medicines for use of JCPMH</t>
  </si>
  <si>
    <t>Drugs and medicines for the use of Jose C Payumo Jr Memorial Hospital</t>
  </si>
  <si>
    <t>Soil ameliorant liquid root exudates for Rice production to be distributed within the province of Bataan</t>
  </si>
  <si>
    <t>16th PArtial payment of package training expenses for the provincial wide Brgy Disaster Risk Reduction Education &amp; emeregency medical first responder</t>
  </si>
  <si>
    <t>Fund TRANSFER TO GENERAL FUND THE BIR REMITTANCE UNDER TRUST FUND FOR THE MONTH OF MARCH 2022</t>
  </si>
  <si>
    <t>Philhealth Professional fee of private doctors for February  2022 JCPMH</t>
  </si>
  <si>
    <t>Recombinant Human Erythropoietin (Epoetin Alfa) for 1 Bataan Malasakit Dialysis Assistance (1 BMDA)</t>
  </si>
  <si>
    <t>Polyethersulfone Dialyzer Low Flux and High Flux H200  for 1 Bataan Malasakit Dialysis Assistance (1 BMDA)</t>
  </si>
  <si>
    <t>Payment of hospital bill of indigents of Jose Payumo Memorial Hospital charge to DOH-Fund Medical Assistance to Indigent Patients Program for the period of March 2022</t>
  </si>
  <si>
    <t xml:space="preserve">Sir John Percival Pantig </t>
  </si>
  <si>
    <t>Prizes for thw winners of "LIWANAG AT PAGASA: Mga Kwento ng Bataeno sa Gitna ng Pandemya" Short Film Contest 2022 of the Provincial Government of Bataan</t>
  </si>
  <si>
    <t xml:space="preserve">Juderick Poblete </t>
  </si>
  <si>
    <t xml:space="preserve">Lester Josiah Banal </t>
  </si>
  <si>
    <t xml:space="preserve">Michael Mateo </t>
  </si>
  <si>
    <t>Honorarium for the Judges of  "LIWANAG AT PAGASA: Mga Kwento ng Bataeno sa Gitna ng Pandemya" Short Film Contest 2022 of the Provincial Government of Bataan</t>
  </si>
  <si>
    <t xml:space="preserve">Mark Lorenz Flores Rey </t>
  </si>
  <si>
    <t xml:space="preserve">Alex Cabral Luartes </t>
  </si>
  <si>
    <t xml:space="preserve">Jennielyn Joyce Enriquez </t>
  </si>
  <si>
    <t xml:space="preserve">Gabriel Jessie Guevarra </t>
  </si>
  <si>
    <t xml:space="preserve">Jeyrhald Ryan Pruna </t>
  </si>
  <si>
    <t xml:space="preserve">Dexter Paul de Jesus </t>
  </si>
  <si>
    <t xml:space="preserve">Jayson Nieves Maximo </t>
  </si>
  <si>
    <t xml:space="preserve">Jhunren Delfinado Baluyot </t>
  </si>
  <si>
    <t xml:space="preserve">Five A. Construction </t>
  </si>
  <si>
    <t>Rehabilitation / Construction of Seawall, Brgy. Sabang, Morong Bataan</t>
  </si>
  <si>
    <t xml:space="preserve">GE-Channcel Enterprises </t>
  </si>
  <si>
    <t>Desktop and Printer for the expansion of DOST-III Regional Metrology Laboratory through the establishment of a Satellite Big Volume Calibration</t>
  </si>
  <si>
    <t>17th Partial payment of package training expenses for the provincial wide Brgy Disaster Risk Reduction Education &amp; emeregency medical first responder</t>
  </si>
  <si>
    <t>Payment of hospital bill of indigent patients of Bagac Community and Medicare Hospital (BCMH) charge to DOH fund Medical Assistance, Assistance to Indigent Patients Program for the period of April 2022</t>
  </si>
  <si>
    <t>18th PArtial payment of package training expenses for the provincial wide Brgy Disaster Risk Reduction Education &amp; emeregency medical first responder</t>
  </si>
  <si>
    <t>Donation to Lidio Ramos for his burial expenses</t>
  </si>
  <si>
    <t xml:space="preserve">Gileen C. Alfonso </t>
  </si>
  <si>
    <t>Donation to Jeffrey Ramos for his burial expenses</t>
  </si>
  <si>
    <t xml:space="preserve">Jacquiline A. Habagat </t>
  </si>
  <si>
    <t>Donation to Julie Joy Habagat Pasaraba for her hospital bill</t>
  </si>
  <si>
    <t>Donation to the client for her hospital bill and medical needs</t>
  </si>
  <si>
    <t xml:space="preserve">Hydee V. Mercado </t>
  </si>
  <si>
    <t>Donation to Carmelita Valentos for her medical needs</t>
  </si>
  <si>
    <t xml:space="preserve">Arabelle Q. Tolentino </t>
  </si>
  <si>
    <t>Donation to Christiana Jade Tolentino for her medical needs</t>
  </si>
  <si>
    <t>Donation to Ysabella Nathalia Magpoc for her medical needs</t>
  </si>
  <si>
    <t xml:space="preserve">Ludivico Jr. S. Paguio </t>
  </si>
  <si>
    <t>Donation to Evangeline Paguio for her hospital bill</t>
  </si>
  <si>
    <t xml:space="preserve">Arecel P. Nisay </t>
  </si>
  <si>
    <t>Donation to Emiel Akhira Wania for his hospital bill</t>
  </si>
  <si>
    <t xml:space="preserve">Shirly I. Garcia </t>
  </si>
  <si>
    <t xml:space="preserve">Maria Teresa A. Halili </t>
  </si>
  <si>
    <t>Donation to Marcelino Halili for his medical needs</t>
  </si>
  <si>
    <t>Donation to Francisco Calimag III  for his hospital bill</t>
  </si>
  <si>
    <t xml:space="preserve">Catherine D. Lonzaga </t>
  </si>
  <si>
    <t>Donation to Arnelo Dela Rosa Sr. for his burial expenses</t>
  </si>
  <si>
    <t xml:space="preserve">Justine Joy D. De Leon </t>
  </si>
  <si>
    <t>Donation to Elizabeth De Leon for her burial expenses</t>
  </si>
  <si>
    <t xml:space="preserve">Imelda T. Agtunong </t>
  </si>
  <si>
    <t>Donation to Sandy Agtunong for burial expenses</t>
  </si>
  <si>
    <t>Donation to Ricardo Ignacio for his hospital bill and medical needs</t>
  </si>
  <si>
    <t>General Fund-Transfer to General Fund the BIR remittance for April 2022</t>
  </si>
  <si>
    <t xml:space="preserve">Department of Health - Region III </t>
  </si>
  <si>
    <t>To refund the amount to the balance of fumd received by PGB from Dep't of HEalth Regiuon III for the implementation of hepatitis "B" Demonstration project of JCPMH</t>
  </si>
  <si>
    <t xml:space="preserve">Sherylou S. Manuel </t>
  </si>
  <si>
    <t>Donation to Lorena Manuel for her medical needs</t>
  </si>
  <si>
    <t>Donation to Melita Dela Fuente for her burial expenses</t>
  </si>
  <si>
    <t>Donation to Ernesto T. Valdez for his hospital bill QR: 032522001LGSF</t>
  </si>
  <si>
    <t xml:space="preserve">Michael Cornejo </t>
  </si>
  <si>
    <t>Donation to Ana Michelle Cornejo for her hospital bill</t>
  </si>
  <si>
    <t xml:space="preserve">John Carlo G. Senera </t>
  </si>
  <si>
    <t>Donation to Reycelyn Serena and Aishi Senera for their hospital bills QR: 032522006LGSF</t>
  </si>
  <si>
    <t>Donation to Jinky Enriquez for her hospital bill and medical needs QR: 032522007LGSF</t>
  </si>
  <si>
    <t xml:space="preserve">Desiree C. Magdato </t>
  </si>
  <si>
    <t>Donation to Lilia Calara for her medical needs QR: 032422007LGSF</t>
  </si>
  <si>
    <t>Donation to Corazon Trinidad for her medical needs QR: 032422001LGSF</t>
  </si>
  <si>
    <t xml:space="preserve">Margartia Q. Waje </t>
  </si>
  <si>
    <t>Donation to the client for her medical needs QR: 032522004LGSF</t>
  </si>
  <si>
    <t xml:space="preserve">Allyssa P. Manlapaz </t>
  </si>
  <si>
    <t>Donation to Akexander Manlapaz for his medical needs QR: 032522002LGSF</t>
  </si>
  <si>
    <t xml:space="preserve">Mylene G. Santos </t>
  </si>
  <si>
    <t>Donation to Perlita Griva for her medical needs QR: 032222002LGSF</t>
  </si>
  <si>
    <t xml:space="preserve">Marinella T. Broqueza </t>
  </si>
  <si>
    <t>Donation to Edna Broqueza for her burial expenses QR: 032422008LGSF</t>
  </si>
  <si>
    <t xml:space="preserve">Romalyn G. Villar </t>
  </si>
  <si>
    <t>Donation to Gerbert Villar for his hospital bill QR: 032322001LGSF</t>
  </si>
  <si>
    <t xml:space="preserve">Jocelyn B. Navarro </t>
  </si>
  <si>
    <t>Donation to Romeo Bantog for his hospital bill QR: 03242212LGSF</t>
  </si>
  <si>
    <t>Donation to Noli Ann Boniquit for her hospital bill QR: 032422006LGSF</t>
  </si>
  <si>
    <t xml:space="preserve">Helen P. Lagman </t>
  </si>
  <si>
    <t>Donation to Rodolfo Pantaleon for his hospital bill QR: 032422003LGSF</t>
  </si>
  <si>
    <t xml:space="preserve">Restie P. Navarro </t>
  </si>
  <si>
    <t>Donation to Jhiselle Allysa Navarro for her hospital bill QR: 032422011LGSF</t>
  </si>
  <si>
    <t xml:space="preserve">Derick G. Ocampo </t>
  </si>
  <si>
    <t>Donation to Shaimah R. Vadehuesa and Corson Debhlor Ocampo for their hodpital bills QR: 032422009LGSF</t>
  </si>
  <si>
    <t xml:space="preserve">Julia S. Robles </t>
  </si>
  <si>
    <t>Donation to the client for her medical needs QR: 032222001LGSF</t>
  </si>
  <si>
    <t xml:space="preserve">Evangeline F. Sequihod </t>
  </si>
  <si>
    <t>Donation Edgar Sequihod for his medical needs QR: 032422002LGSF</t>
  </si>
  <si>
    <t xml:space="preserve">Ruth F. Ruiz </t>
  </si>
  <si>
    <t>Donation to the client for her medical needs QR: 032422010LGSF</t>
  </si>
  <si>
    <t xml:space="preserve">Antonio Jr. C. Gatdula </t>
  </si>
  <si>
    <t>Donation to ANtonio Gatdula for his hospital bill and medical needs QR: 032422005LGSF</t>
  </si>
  <si>
    <t>Payment of Hospital Bill to Indigent patients of Mariveles District Hospital charge to DOH - Fund Medical Assistance Program for the period of February and March 2022</t>
  </si>
  <si>
    <t>To refund the amount pertatining to the balance of fund received by PGB from ATI-ITCPH-RTC-III for the implementation National Livestock Program swine multiplier</t>
  </si>
  <si>
    <t>Reimbursement od seedling trays in Pantingan, Pilar, Bataan</t>
  </si>
  <si>
    <t>Donation to Maricris/Zane Calix Jaring for their hospital bill QR: 040822002LGSF</t>
  </si>
  <si>
    <t xml:space="preserve">Jaime Jr. B. Ramos </t>
  </si>
  <si>
    <t>Donation to Eleonor Ramos for her hospital bill QR: 040622009LGSF</t>
  </si>
  <si>
    <t xml:space="preserve">Aimelyn T. Pabustan </t>
  </si>
  <si>
    <t>Donation to Yuseff Andre Jay Mendoza for his hospital bill QR: 040722003LGSF</t>
  </si>
  <si>
    <t xml:space="preserve">Emellie Y. Matito </t>
  </si>
  <si>
    <t>Donation to Miguel Matito for his burial expenses QR: 040622003LGSF</t>
  </si>
  <si>
    <t>Donation Wilson Mollasgo for his burial expenses QR: 040722004LGSF</t>
  </si>
  <si>
    <t xml:space="preserve">Jennifer B. Torres </t>
  </si>
  <si>
    <t>Donation to Bernardo Torres for his burial; expenses QR: 040722001LGSF</t>
  </si>
  <si>
    <t xml:space="preserve">Isabel B. Guila </t>
  </si>
  <si>
    <t>Donation to Eishelle Gwen Guila for her hospital bill QR: 032822001LGSF</t>
  </si>
  <si>
    <t xml:space="preserve">Leticia T. Perez </t>
  </si>
  <si>
    <t>Donation to the client for her hospital bill QR: 040622004LGSF</t>
  </si>
  <si>
    <t xml:space="preserve">Milagros A. Peralta </t>
  </si>
  <si>
    <t>Donation to Federico Aranas for his hospital bill QR: 041122001LGSF</t>
  </si>
  <si>
    <t xml:space="preserve">Evelyn T. Gloria </t>
  </si>
  <si>
    <t>Donation to Danilo Torres for his hospital bill QR: 041222001LGSF</t>
  </si>
  <si>
    <t xml:space="preserve">Mary Jane B. Pamintuan </t>
  </si>
  <si>
    <t>Donation to Xea Mariano for her hospital bill QR: 040722002LGSF</t>
  </si>
  <si>
    <t xml:space="preserve">Isolde Maria C. Santos </t>
  </si>
  <si>
    <t>Donation to Miguela Zenaida Cervantes for her medical needs QR: 032522003LGSF</t>
  </si>
  <si>
    <t xml:space="preserve">Ma. Luisa R. Manalo </t>
  </si>
  <si>
    <t>Donation to Catherine Diane Manalo for her medical needs QR: 032922001LGSF</t>
  </si>
  <si>
    <t xml:space="preserve">Jose C. Tuazon Jr. </t>
  </si>
  <si>
    <t>Donation to the client for his medical needs QR: 040622007LGSF</t>
  </si>
  <si>
    <t xml:space="preserve">Mercedes M. De Jesus </t>
  </si>
  <si>
    <t>Donation to the client for her medical needs QR: 040622002LGSF</t>
  </si>
  <si>
    <t xml:space="preserve">Jesus A. De Jesus </t>
  </si>
  <si>
    <t>Payment for the 1% Retention for the rehabilitation and improvement of Laon Vicinal Road Laon Abucay Bataan QR: 040622001LGSF</t>
  </si>
  <si>
    <t xml:space="preserve">Carlito N. Aberin </t>
  </si>
  <si>
    <t>Donation to the client for his mdical needs QR: 040622008LGSF</t>
  </si>
  <si>
    <t xml:space="preserve">Jefrey D. Tiqui </t>
  </si>
  <si>
    <t>Donation to the client for his medical needs QR: 040622006LGSF</t>
  </si>
  <si>
    <t xml:space="preserve">Barbara Jane P. Lacson </t>
  </si>
  <si>
    <t>Donation to the client for her medical needs QR: 040622010LGSF</t>
  </si>
  <si>
    <t>Supply and Equipment for the Handi-preneurship Project for Sining Kahoy Association of Bagac from DOLE Integrated Livelihood Program (Pangkabuhayan Program)</t>
  </si>
  <si>
    <t>Supply and materials for 1Bataan Handicraft Ecosystem (Bamboo Processing and Basket Weaving fro BAMAGSAKA Producers Cooperative)</t>
  </si>
  <si>
    <t>Emergency Purchase of Acrylic Barrier for the use of PHO Covid-19 Reporting Unit/OPCEN</t>
  </si>
  <si>
    <t>Donation to Jesusa Reyes for her hospital bill QR: 040622005LGSF</t>
  </si>
  <si>
    <t>To refund the amount pertaining to the balance of fund received by the province of Bataan from Dept of FInace Bureau of Treasury Region III for construction of slope protection Mabayo Morong Bataan</t>
  </si>
  <si>
    <t xml:space="preserve">Janet V. Bautista </t>
  </si>
  <si>
    <t>Donation to Rodolfo Valdez for his hospital bill QR: 040622011LGSF</t>
  </si>
  <si>
    <t xml:space="preserve">Mary Rose D. Umali </t>
  </si>
  <si>
    <t>Donation to the client for her hospital bill QR: 041322003LGSF</t>
  </si>
  <si>
    <t xml:space="preserve">Cristina I. Guinto </t>
  </si>
  <si>
    <t>Donation to Reynaldo Guinto for his hospital bill QR: 041822002LGSF</t>
  </si>
  <si>
    <t xml:space="preserve">Anne Maureen V. Signio </t>
  </si>
  <si>
    <t>Donation to Joan Signio for her hospital bill QR: 041922002LGSF</t>
  </si>
  <si>
    <t>Donation to the client for her medical needs QR: 041322005LGSF</t>
  </si>
  <si>
    <t>Donation to the client for his hospital bill QR: 041322004LGSF</t>
  </si>
  <si>
    <t xml:space="preserve">Angelito G. Oriel </t>
  </si>
  <si>
    <t>Donation to Llilibeth Oriel for her medical needs QR: 040822001LGSF</t>
  </si>
  <si>
    <t xml:space="preserve">Marivic D. Viesca </t>
  </si>
  <si>
    <t>Donation to Faustino Perez Jr for his medical needs QR: 041822001LGSF</t>
  </si>
  <si>
    <t xml:space="preserve">Ronaldo Macapagal </t>
  </si>
  <si>
    <t>Donation to Teresita Macapagal for her medical needs</t>
  </si>
  <si>
    <t xml:space="preserve">Julieta Gonzales </t>
  </si>
  <si>
    <t>Donation to Joice Red Gonzales for her medical needs</t>
  </si>
  <si>
    <t xml:space="preserve">Hinoki Global Concepts Inc. </t>
  </si>
  <si>
    <t>1% retention for different for procurements of the PGB</t>
  </si>
  <si>
    <t>Payment of hospital bill of indigent patients of Jose Payumo Memorial Hospital charge to DOH-Fund Medical Assistance Assistance to Indigent Patients Program for the period of April 2022</t>
  </si>
  <si>
    <t xml:space="preserve">Department of Labor and Employment Regional Office III (DOLE-RO III) </t>
  </si>
  <si>
    <t>To refund the amount pertaining to the balance of fund received by PGB from DOLE - RO III for the implementation of Kbuhayan Handicraft making for sining Kahoy Association of Bagac &amp; Livelihood formation project</t>
  </si>
  <si>
    <t xml:space="preserve">Mary Ann C. Nisay </t>
  </si>
  <si>
    <t>Donation to Arvin Nisay for his hospital bill QR: 042022001LGSF</t>
  </si>
  <si>
    <t xml:space="preserve">Ma. Theresa Graceila B. Zabala </t>
  </si>
  <si>
    <t>Donation to Lourdes Bernadette Carlos for her hospital bill QR: 051022001LGSF</t>
  </si>
  <si>
    <t xml:space="preserve">Raphael John A. Villazor </t>
  </si>
  <si>
    <t>Donation to Jessy Heart Villazor for her medical needs QR: 041922001LGSF</t>
  </si>
  <si>
    <t>Donation to Ma. Victoria Carlos for her medical needs QR: 051322001LGSF</t>
  </si>
  <si>
    <t>Donation to Clarence Morales for his hospital bill and medical needs QR: 051322004LGSF</t>
  </si>
  <si>
    <t xml:space="preserve">Jinky N. Buenaventura </t>
  </si>
  <si>
    <t>Donation to Natividad Navarro for her hospital bill QR: 051622006LGSF</t>
  </si>
  <si>
    <t xml:space="preserve">Charina A. Morales </t>
  </si>
  <si>
    <t>Donation to Conception Morales for her burial expenses QR: 051622010LGSF</t>
  </si>
  <si>
    <t xml:space="preserve">Maribel L. Maglaque </t>
  </si>
  <si>
    <t>Donation to Norma Maglaque for her medical needs QR: 051622002LGSF</t>
  </si>
  <si>
    <t xml:space="preserve">Jeferson B. Dinglasan </t>
  </si>
  <si>
    <t>Donation to Mingine Villanueva and Gianna Lexie Dinglasan for their hospital bills QR: 051622012LGSF</t>
  </si>
  <si>
    <t xml:space="preserve">Luz S. Callado </t>
  </si>
  <si>
    <t>Donation to client and Jerome Callado for their medical needs QR: 051622011LGSF</t>
  </si>
  <si>
    <t>Donation for the hospital bills covering the period May 10, 2022 QR: 051622007LGSF</t>
  </si>
  <si>
    <t xml:space="preserve">Annie Rose B. Abordaje </t>
  </si>
  <si>
    <t>Donation to client for her hospital bill QR: 051622009LGSF</t>
  </si>
  <si>
    <t xml:space="preserve">Marilene L. Arasula </t>
  </si>
  <si>
    <t>Donation to client for her hospital bill and medical needs QR: 051622013LGSF</t>
  </si>
  <si>
    <t>Donation to Eduviges Manalo for her hospital bill and medical needs QR: 051622003LGSF</t>
  </si>
  <si>
    <t xml:space="preserve">Almira L. Nolasco </t>
  </si>
  <si>
    <t>Donation to Christopher Nolasco for his hospital bill QR: 051622004LGSF</t>
  </si>
  <si>
    <t xml:space="preserve">Jennifer H. Gempis </t>
  </si>
  <si>
    <t>Donation to Andrea Denise Gempis for her medical needs QR: 051622005LGSF</t>
  </si>
  <si>
    <t xml:space="preserve">Milagros G. Sampang </t>
  </si>
  <si>
    <t>Donation to Marilou Valencia, Maria Amara Valencia and Maria Amira Valencia for their hospital bills QR: 051322006LGSF</t>
  </si>
  <si>
    <t>Donation to Paul Lucas Tuazon for his hospital bill QR: 051622001LGSF</t>
  </si>
  <si>
    <t xml:space="preserve">Angela M. Espiritu </t>
  </si>
  <si>
    <t>Donation to Soledad Malibiran for her burial expenses QR: 051322002LGSF</t>
  </si>
  <si>
    <t xml:space="preserve">Kim Christian A. Dionisio </t>
  </si>
  <si>
    <t>Donation to Rosalie Ratilla and Christine Mae Dionisio for their hospital bills QR: 051322003LGSF</t>
  </si>
  <si>
    <t>Donation for the hospital bill covering May 11, 2022</t>
  </si>
  <si>
    <t>Donation for the hospital bills covering the period May 10, 2022</t>
  </si>
  <si>
    <t xml:space="preserve">Anne Lynda P. Diego </t>
  </si>
  <si>
    <t>Donation to Carmencita Reyes for her hospital bill and professional fee QR: 051722002LGSF</t>
  </si>
  <si>
    <t>19th PArtial payment of package training expenses for the provincial wide Brgy Disaster Risk Reduction Education &amp; emeregency medical first responder</t>
  </si>
  <si>
    <t xml:space="preserve">Catalina I. Gomez </t>
  </si>
  <si>
    <t>Donation to Manuel Gomez for his mediocal needs QR: 052022007LGSF</t>
  </si>
  <si>
    <t xml:space="preserve">Melanie I. Eufemio </t>
  </si>
  <si>
    <t>Donation to Federico Inson for his burial expenses  QR: 051722007LGSF</t>
  </si>
  <si>
    <t xml:space="preserve">Menchie V. Magpoc </t>
  </si>
  <si>
    <t>Donation to Sherwin Bilan for his hospital bill QR: 051722015LGSF</t>
  </si>
  <si>
    <t xml:space="preserve">Erwin F. Banzon </t>
  </si>
  <si>
    <t>Donation to client for his medical needs QR: 051722001LGSF</t>
  </si>
  <si>
    <t xml:space="preserve">Maria Carmelita R. Hina </t>
  </si>
  <si>
    <t>Donation to client for her medical needs QR: 051722006LGSF</t>
  </si>
  <si>
    <t xml:space="preserve">Richard Kim R. Sanchez </t>
  </si>
  <si>
    <t>Donation to Rosemarie Sanchez for her medical needs QR: 051722005LGSF</t>
  </si>
  <si>
    <t xml:space="preserve">Fidel Jr. A. Signio </t>
  </si>
  <si>
    <t>Donation to Anthony Kevin Signio for his hospital bill QR: 051722012LGSF</t>
  </si>
  <si>
    <t xml:space="preserve">Roy D. De Leon </t>
  </si>
  <si>
    <t>Donation to Ricky de Leon for his hospital bill, profesional fee and medical needs QR: 051722008LGSF</t>
  </si>
  <si>
    <t xml:space="preserve">Regina Anne L. Inocencio </t>
  </si>
  <si>
    <t>Donation to Emiliana Inocencio for her hospital bill QR: 051722003LGSF</t>
  </si>
  <si>
    <t xml:space="preserve">John Christ Patrick N. Cruz </t>
  </si>
  <si>
    <t>Donation to Sonia Cruz for her hospital bill QR: 051722011LGSF</t>
  </si>
  <si>
    <t>Donation to Matilde Adriano for her burial expenses QR: 051722004LGSF</t>
  </si>
  <si>
    <t xml:space="preserve">Angelina L. Enriquez </t>
  </si>
  <si>
    <t>Donation to Erlinda Enriquez for his burial expenses QR: 051822005LGSF</t>
  </si>
  <si>
    <t xml:space="preserve">Maria Lourdes Z. Reyes </t>
  </si>
  <si>
    <t>Donation to Cecilia Zabala for her burial expenses QR: 051822002LGSF</t>
  </si>
  <si>
    <t xml:space="preserve">Euricar M. Anillo </t>
  </si>
  <si>
    <t>Donation to Alberto Magat for his burial expenses QR: 051822013LGSF</t>
  </si>
  <si>
    <t>Donation to Ellen Parungao for her burial expenses QR: 051822016LGSF</t>
  </si>
  <si>
    <t>Donation to Rodel Motol for his burial expenses QR: 051822003LGSF</t>
  </si>
  <si>
    <t xml:space="preserve">Jennifer G. Quintans </t>
  </si>
  <si>
    <t>Donation to Ernesto Gunio for his hospital bill QR: 051822014LGSF</t>
  </si>
  <si>
    <t>Donation to Patricia Dorathy Pantonilla for her hospital bill QR: 051822020LGSF</t>
  </si>
  <si>
    <t xml:space="preserve">Myrna A. Dela Paz </t>
  </si>
  <si>
    <t>Donation to Maria Merissa Zaragoza and Sean Carl Zaragoza for their hospital bills QR: 051922001LGSF</t>
  </si>
  <si>
    <t xml:space="preserve">Lirio G. Flores </t>
  </si>
  <si>
    <t>Donation to Ricardo Garcia for his hospital bill QR: 051822012LGSF</t>
  </si>
  <si>
    <t xml:space="preserve">Owel John P. Dela Cruz </t>
  </si>
  <si>
    <t>Donation to Ana Fatima Abad/Owel John Jr. Dela Cruz for their hospital bills QR: 051822004LGSF</t>
  </si>
  <si>
    <t xml:space="preserve">Hazel R. Navarro </t>
  </si>
  <si>
    <t>Donation to client and Ma. Georzelle Imperial for their hospital bills QR: 051822025LGSF</t>
  </si>
  <si>
    <t xml:space="preserve">Janice S. Dela Cruz </t>
  </si>
  <si>
    <t>Donation to Nabil Santos for his hospital bill QR: 051822021LGSF</t>
  </si>
  <si>
    <t xml:space="preserve">Anabel S. Demeterial </t>
  </si>
  <si>
    <t>Donation to client for her hospital bill and medical needs QR: 051822006LGSF</t>
  </si>
  <si>
    <t xml:space="preserve">Sonia O. Trinidad </t>
  </si>
  <si>
    <t>Donation to client for her medical needs QR: 051822009</t>
  </si>
  <si>
    <t xml:space="preserve">Jenalyn A. Reyes </t>
  </si>
  <si>
    <t>Donation to Jonathan Angeles for his medical needs QR: 051822001LGSF</t>
  </si>
  <si>
    <t xml:space="preserve">Ronald M. Nacional </t>
  </si>
  <si>
    <t>Donation to Melinda Nacional for her medical needs QR: 051822010LGSF</t>
  </si>
  <si>
    <t xml:space="preserve">Editha T. Canare </t>
  </si>
  <si>
    <t>Donation to Asuncion Guevarra for her medical needs QR: 051822022LGSF</t>
  </si>
  <si>
    <t xml:space="preserve">Joylen E. Gregorio </t>
  </si>
  <si>
    <t>Donation to Hershan Jay Felerino for his medical needs QR: 051822017LGSF</t>
  </si>
  <si>
    <t>Donation for the hospital bills the period May 11-12, 2022</t>
  </si>
  <si>
    <t>Donation for the hospital bills covering the period May 10-13, 2022</t>
  </si>
  <si>
    <t>BIR remittance for the month of May 2022</t>
  </si>
  <si>
    <t>Donation to Evelinda De Silva for her burial expenses QR: 051922011LGSF</t>
  </si>
  <si>
    <t xml:space="preserve">Marlon M. Kiuhni </t>
  </si>
  <si>
    <t>Donation to Kenneth Jr. Kiuhni for his burial expenses QR: 051922016LGSF</t>
  </si>
  <si>
    <t xml:space="preserve">Lorenzo R. Nisperos </t>
  </si>
  <si>
    <t>Donation to Buenaflora Nisperos for her hospital bills QR: 051922003LGSF</t>
  </si>
  <si>
    <t xml:space="preserve">Narcisa A. Ampo </t>
  </si>
  <si>
    <t>Donation to John Gerry Ampo for his hospital bills QR: 051922010LGSF</t>
  </si>
  <si>
    <t xml:space="preserve">May Belle V. Villanueva </t>
  </si>
  <si>
    <t>Donation to Mariel De Borja for her hospital bill QR: 051922005LGSF</t>
  </si>
  <si>
    <t>Donation to client for her medical needs QR: 051922007LGSF</t>
  </si>
  <si>
    <t>Donation to Pepito Durana for his medical needs QR: 051822015LGSF</t>
  </si>
  <si>
    <t xml:space="preserve">Arriane S. Asilo </t>
  </si>
  <si>
    <t>Donation to client for her medical needs QR: 051822008LGSF</t>
  </si>
  <si>
    <t>Donation to client for her medical needs QR: 051822019LGSF</t>
  </si>
  <si>
    <t>Donation to Daelyn Rose Enriquez for her medical needs QR: 051822018LGSF</t>
  </si>
  <si>
    <t xml:space="preserve">Lanie P. Laguatan </t>
  </si>
  <si>
    <t>Donation to client for her hospital bill QR: 051822023LGSF</t>
  </si>
  <si>
    <t xml:space="preserve">Kimberly Ross B. Bartolo </t>
  </si>
  <si>
    <t>Donation to Michael Bartolo for his medical needs QR: 051922008LGSF</t>
  </si>
  <si>
    <t xml:space="preserve">Danilo L. Tuazon </t>
  </si>
  <si>
    <t>Donation to Dyan Shiela Tuazon for her hospital bill QR: 051822011LGSF</t>
  </si>
  <si>
    <t xml:space="preserve">Juvy C. Mariano </t>
  </si>
  <si>
    <t>Donation to Jasmin Castillo for her hospital bill QR: 051822007LGSF</t>
  </si>
  <si>
    <t xml:space="preserve">Sentinel Plastics Manufacturing Corporation </t>
  </si>
  <si>
    <t>1% retention for crates to be used in implementation of the project entitled High Vallue Crops diversification &amp; modernization for the clustered small farmers</t>
  </si>
  <si>
    <t>Donation to Karen Santiago and Maxene Valencia for their professional fee QR: 052022002LGSF</t>
  </si>
  <si>
    <t xml:space="preserve">RC Del Carmen Funeral Services Inc. </t>
  </si>
  <si>
    <t>Donation to Rosalina Ramirez for her burial expenses</t>
  </si>
  <si>
    <t>Donation to Domingueta Escañela for her burial expenses QR: 052022006LGSF</t>
  </si>
  <si>
    <t xml:space="preserve">Elmar M. Salvador </t>
  </si>
  <si>
    <t>Donation to Ricky Salvador for his hospital bill QR: 051922015LGSF</t>
  </si>
  <si>
    <t xml:space="preserve">Jayson dela Peña de Guzman </t>
  </si>
  <si>
    <t>Donation to Rebbie De Guzman and Kye Nihan De Guzman for their hospital bills QR: 051922018LGSF</t>
  </si>
  <si>
    <t>Donation to Joynalyn Paguio for her hospital bill and medical needs QR: 052022009LGSF</t>
  </si>
  <si>
    <t xml:space="preserve">Normita M. Dela Rosa </t>
  </si>
  <si>
    <t>Donation to Justo Marcelo for his hospital bill QR: 051922012LGSF</t>
  </si>
  <si>
    <t xml:space="preserve">Teresita M. Velasquez </t>
  </si>
  <si>
    <t>Donation to Timoteo Velasquez for his medical needs QR: 051922004LGSF</t>
  </si>
  <si>
    <t xml:space="preserve">Agnes S. Capirig </t>
  </si>
  <si>
    <t>Donation to client for her medical needs QR: 051922002LGSF</t>
  </si>
  <si>
    <t xml:space="preserve">Myrna G. Coronel </t>
  </si>
  <si>
    <t>Donation to client for her medical needs QR: 0511922017LGSF</t>
  </si>
  <si>
    <t xml:space="preserve">Alejandro F. Reyes </t>
  </si>
  <si>
    <t>Donation to Paul Reyes for his medical needs QR: 052022005LGSF</t>
  </si>
  <si>
    <t xml:space="preserve">Kary Jane C. Reyes </t>
  </si>
  <si>
    <t>Donation to Khedine Calatong for his hospital bill QR: 051922014LGSF</t>
  </si>
  <si>
    <t xml:space="preserve">Sam Bernard V. Satana </t>
  </si>
  <si>
    <t>Donation to Juana Amelia Satana for her medical needs QR: 052022010LGSF</t>
  </si>
  <si>
    <t xml:space="preserve">Cherry Lyn M. Vargas </t>
  </si>
  <si>
    <t>Donation to Cherry Vargad for her medical needs QR: 052022001LGSF</t>
  </si>
  <si>
    <t>Donation to Joseph Dizon for his medical needs QR: 052022004LGSF</t>
  </si>
  <si>
    <t xml:space="preserve">Lilibeth C. Juat </t>
  </si>
  <si>
    <t>Donation to Loida Capuli for her burial expenses QR: 052322005LGSF</t>
  </si>
  <si>
    <t xml:space="preserve">Loreta R. Taasan </t>
  </si>
  <si>
    <t>Donation to Loreto Reyes for his burial expenses QR: 0523004LGSF</t>
  </si>
  <si>
    <t>Donation to Wilma Navera for her burial expenses QR: 052322013LGSF</t>
  </si>
  <si>
    <t xml:space="preserve">Rosalie F. Sarmiento </t>
  </si>
  <si>
    <t>Donation to Josefina Flores for her hospital bill QR: 052322009LGSF</t>
  </si>
  <si>
    <t>Donation to Felix Calaluan for his hospital bill QR: 052322003LGSF</t>
  </si>
  <si>
    <t xml:space="preserve">Rozel G. Cabana </t>
  </si>
  <si>
    <t>Donation to Princess Marykeith Miranda for her hospital bill QR: 052322008LGSF</t>
  </si>
  <si>
    <t xml:space="preserve">Charo D. Buensuceso </t>
  </si>
  <si>
    <t>Donation to Client and Yuna Fe Pajarillaga for tgheir hospital bills QR: 052322007LGSF</t>
  </si>
  <si>
    <t xml:space="preserve">Danilo P. Dela Cruz </t>
  </si>
  <si>
    <t>Donation to Melinda Dela Cruz for her hospital bill QR: 052322010LGSF</t>
  </si>
  <si>
    <t>Donation for his medical needs QR: 052022008LGSF</t>
  </si>
  <si>
    <t xml:space="preserve">Arnelie G. De Leon </t>
  </si>
  <si>
    <t>Donation to client for her medical needs QR: 052322014LGSF</t>
  </si>
  <si>
    <t xml:space="preserve">Nelia V. Calayag </t>
  </si>
  <si>
    <t>Donation to client for her medical needs QR: 052322017LGSF</t>
  </si>
  <si>
    <t>Donation to Jeffrey Ranulo for his medical needs QR: 052322012LGSF</t>
  </si>
  <si>
    <t xml:space="preserve">Juanalita B. Ugay </t>
  </si>
  <si>
    <t>Donation to Anna Liza Badanguio for her hospital bill QR: 052322011LGSF</t>
  </si>
  <si>
    <t>Donation for the hospital bills covering the period May 18, 2022</t>
  </si>
  <si>
    <t>Donation for the hospital bills covering MAY 17-19, 2022</t>
  </si>
  <si>
    <t xml:space="preserve">Jennette B. Luat </t>
  </si>
  <si>
    <t>Donation to Ma. Jaena Cayao for her hospital bill QR: 051922013LGSF</t>
  </si>
  <si>
    <t xml:space="preserve">Connie M. Giagone </t>
  </si>
  <si>
    <t>Donation to Meiko Franz Yvan Giagone for his medical needs QR: 051922019LGSF</t>
  </si>
  <si>
    <t xml:space="preserve">Rosita del Rosario Baldonado </t>
  </si>
  <si>
    <t>Donation to Romeo Baldonado for his hospital bill QR: 052322002LGSF</t>
  </si>
  <si>
    <t xml:space="preserve">John Paul S. dela Cruz </t>
  </si>
  <si>
    <t>Donation to Teody Dela Cruz for his burial expenses QR: 052422001LGSF</t>
  </si>
  <si>
    <t xml:space="preserve">Candelaria C. Reyes </t>
  </si>
  <si>
    <t>Donation to Armando Reyes for his burial expenses QR: 052422004LGSF</t>
  </si>
  <si>
    <t xml:space="preserve">Rosavel C. Layug </t>
  </si>
  <si>
    <t>Donation to Domingo Layug for his burial expenses QR: 052422018LGSF</t>
  </si>
  <si>
    <t>Donation to Edgardo Vasquez for his burial expenses QR: 052322016LGSF</t>
  </si>
  <si>
    <t xml:space="preserve">Bataeño Federation of Sr. Citizens of the Philippines Abucay Chapter, Inc. </t>
  </si>
  <si>
    <t>Donation to Renato Ariza for his burial expenses</t>
  </si>
  <si>
    <t xml:space="preserve">Roberto F. Macunat </t>
  </si>
  <si>
    <t>Donation to Rowena Macunat for her burial expenses QR: 052422002LGSF</t>
  </si>
  <si>
    <t xml:space="preserve">Candy Anne M. Mojica </t>
  </si>
  <si>
    <t>Donation to Reynaldo Montemayor for his hospital bill QR: 052422020LGSF</t>
  </si>
  <si>
    <t xml:space="preserve">Leizel E. Rivera </t>
  </si>
  <si>
    <t>Donation to Randy Rivera for his hospital bill and medical needs QR: 052422006LGSF</t>
  </si>
  <si>
    <t xml:space="preserve">Adelaida S. Pizzaro </t>
  </si>
  <si>
    <t>Donation to Ofelia Pizarro for her hospital bill QR: 052422003LGSF</t>
  </si>
  <si>
    <t>Donation to client for her hospital bill QR: 052422009LGSF</t>
  </si>
  <si>
    <t xml:space="preserve">Mikael S. de Guzman </t>
  </si>
  <si>
    <t>Donation to Jairryl Anne De Guzman and Yael Primo De Guzman for their hospital bills QR: 052422019LGSF</t>
  </si>
  <si>
    <t xml:space="preserve">Marisol S. Lallana </t>
  </si>
  <si>
    <t>Donation to Conrado Salazar for his hospital bill QR: 052422012LGSF</t>
  </si>
  <si>
    <t>Donation to Ronald David for his medical needs QR: 052422008LGSF</t>
  </si>
  <si>
    <t xml:space="preserve">Carmelita B. Martinez </t>
  </si>
  <si>
    <t>Donation to Cris Edward Beo for his medical needs QR: 052422017LGSF</t>
  </si>
  <si>
    <t xml:space="preserve">Jose M. Del Socorro Jr. </t>
  </si>
  <si>
    <t>Donation to Client for his medical needs QR: 052422007LGSF</t>
  </si>
  <si>
    <t>Donation to Leonila Tolentino for her medical needs QR: 052522001LGSF</t>
  </si>
  <si>
    <t>Donation to Mon Alvin Enriquez for his medical needs QR: 052422015LGSF</t>
  </si>
  <si>
    <t>Donation to Eleonor Ramos for her hospital bill QR: 052522007LGSF</t>
  </si>
  <si>
    <t xml:space="preserve">Maricel R. del Prado </t>
  </si>
  <si>
    <t>Donation to Ibarra Tolentino for his hospital bill QR: 052522008LGSF</t>
  </si>
  <si>
    <t xml:space="preserve">Charlito V. Cabubas </t>
  </si>
  <si>
    <t>Donation to Client for his medical needs QR: 052522011LGSF</t>
  </si>
  <si>
    <t xml:space="preserve">Floresa E. Yaba </t>
  </si>
  <si>
    <t>Donation to Joel Yaba for his medical needs QR: 052522005LGSF</t>
  </si>
  <si>
    <t xml:space="preserve">Joana Raye C. Trinidad </t>
  </si>
  <si>
    <t>Donation to Reynaldo Trinidad Jr for his hospital bill and medical needs QR: 053122011LGSF</t>
  </si>
  <si>
    <t>Donation for the hospital bills covering the period May 16-21, 2022</t>
  </si>
  <si>
    <t xml:space="preserve">Irene V. De Jesus </t>
  </si>
  <si>
    <t>Donation to Zenaida De Jesus for her medical needs QR: 052422005LGSF</t>
  </si>
  <si>
    <t xml:space="preserve">Angelena F. Visperas </t>
  </si>
  <si>
    <t>Donation to Pedro Visperas for his burial expenses QR: 052422010LGSF</t>
  </si>
  <si>
    <t xml:space="preserve">Elizabeth A. Caguiwa </t>
  </si>
  <si>
    <t>Donation to Vernon Louie Caguiwa for his hospital bill QR: 052422021LGSF</t>
  </si>
  <si>
    <t>Donation to Reynaldo Regala for his burial expenses QR: 052522004LGSF</t>
  </si>
  <si>
    <t>Donation to Russel Narciso for his medical needs QR: 052522010LGSF</t>
  </si>
  <si>
    <t>Donation to Joseph Baluyot for his burial expenses QR: 052522002LGSF</t>
  </si>
  <si>
    <t xml:space="preserve">Pablo B. Diwa </t>
  </si>
  <si>
    <t>Donation to Client for his medical needs QR: 052522006LGSF</t>
  </si>
  <si>
    <t xml:space="preserve">Cornelio C. Teodoro </t>
  </si>
  <si>
    <t>Donation to Norma Teodoro for her medical needs QR: 052422014LGSF</t>
  </si>
  <si>
    <t>Donation to Ligaya Fernandez for her burial expenses QR: 052322001LGSF</t>
  </si>
  <si>
    <t xml:space="preserve">Labspeak Safety Management Inc. </t>
  </si>
  <si>
    <t>Payment of training fee for Basic Occupational Safety and Health (BOSH) Seminar on May 23-27, 2022 for fifty (50) personnel of Provincial Government of Bataan (PGB)</t>
  </si>
  <si>
    <t>Donation to laptop, printer and projector to be used un the Office of the Provincial Agriculture</t>
  </si>
  <si>
    <t>To transfer to General Fund the amount received from Bureau of Treasury (BOT) Region III the relase of shares of Beneficiary LGU's imn Proceeds of Collections from Energy Resources collected in CY 2018</t>
  </si>
  <si>
    <t>Additional transfer to General Fund the BIR remittance for May 2022</t>
  </si>
  <si>
    <t xml:space="preserve">Bagac Community and Medical Hospital </t>
  </si>
  <si>
    <t>Payment of hospital bill of indigent patients of Bagac Community and Medicare Hospital (BCMH) charge to DOH Fund Medical Assistance, Assistance to Indigent Patients Program for the period of May 2022</t>
  </si>
  <si>
    <t>Donation for the hospital bills covering the period May 16-20, 2022</t>
  </si>
  <si>
    <t>Donation to Annaliza Roque for her burial expenses QR: 052622023LGSF</t>
  </si>
  <si>
    <t xml:space="preserve">Geraldine Lopez </t>
  </si>
  <si>
    <t>Donation to Roderick Lopez for his hospital bill QR: 052622020LGSF</t>
  </si>
  <si>
    <t xml:space="preserve">Angelo P. Hernando </t>
  </si>
  <si>
    <t>Donation to Mikee Santos for her hospital bill QR: 052622016LGSF</t>
  </si>
  <si>
    <t>Donation to Remigio Jr. Minta for his hospital bill and medical needs QR: 052622009LGSF</t>
  </si>
  <si>
    <t>Donation to Fernando Garcia for his hospital bill and medical needs QR: 052622022LGSF</t>
  </si>
  <si>
    <t xml:space="preserve">Rosario B. Soldevilla </t>
  </si>
  <si>
    <t>Donation to Abraham Soldevilla for his medical needs QR: 052622021LGSF</t>
  </si>
  <si>
    <t xml:space="preserve">Michelle R. Bacalando </t>
  </si>
  <si>
    <t>Donation to Nestor Ricamara for his burial expenses QR: 052722001LGSF</t>
  </si>
  <si>
    <t xml:space="preserve">Michelle S. Tamo </t>
  </si>
  <si>
    <t>Donation to Anthony Piadad for his hospital bill QR: 052622011LGSF</t>
  </si>
  <si>
    <t xml:space="preserve">Imelda B. Pelagio </t>
  </si>
  <si>
    <t>Donation to Leonardo Pelagio for his medical needs QR: 052722002LGSF</t>
  </si>
  <si>
    <t xml:space="preserve">Cecile T. Atienzo </t>
  </si>
  <si>
    <t>Donation to Roldan Atienzo for his medical needs QR: 052722005LGSF</t>
  </si>
  <si>
    <t xml:space="preserve">Janice de Leon Herrera </t>
  </si>
  <si>
    <t>Donation to Adelaida Visda for her burial expenses QR: 052522013LGSF</t>
  </si>
  <si>
    <t xml:space="preserve">Analyn G. Santos </t>
  </si>
  <si>
    <t>Donation to Antonio Gultian Jr. for his burial expenses QR: 052622003LGSF</t>
  </si>
  <si>
    <t xml:space="preserve">Allan Ramil B. Baldeo </t>
  </si>
  <si>
    <t>Donation to Jeana Baldeo for her hospital bill QR: 052622015LGSF</t>
  </si>
  <si>
    <t xml:space="preserve">Jean Rissa S. Tranate </t>
  </si>
  <si>
    <t>Donation to Roy Tranate for his hospital bill and professional fee QR: 052622010LGSF</t>
  </si>
  <si>
    <t xml:space="preserve">Ronalie I. Agustin </t>
  </si>
  <si>
    <t>Donation to Daisy Agustin for her hospital bill and medical needs QR: 052622012LGSF</t>
  </si>
  <si>
    <t>Donation to Donita Buenaflor for her hospital bill QR: 052622017LGSF</t>
  </si>
  <si>
    <t xml:space="preserve">Cirilo G. Poncio </t>
  </si>
  <si>
    <t>Donation to Digna Poncio for her medical needs QR: 052622006LGSF</t>
  </si>
  <si>
    <t xml:space="preserve">Romulus S. Mavotas </t>
  </si>
  <si>
    <t>Donation to Percilla Mavotas for her medical needs QR: 052622008LGSF</t>
  </si>
  <si>
    <t xml:space="preserve">Hazel M. Guevarra </t>
  </si>
  <si>
    <t>Donation to Edward Guevarra for his medical needs QR: 052622024LGSF</t>
  </si>
  <si>
    <t xml:space="preserve">Leonardo D. Balingit Jr. </t>
  </si>
  <si>
    <t>Donation to client for his medical needs QR: 052622004LGSF</t>
  </si>
  <si>
    <t xml:space="preserve">Hairon H. Del Mundo </t>
  </si>
  <si>
    <t>Donation to Roldan Del Mundo for his medical needs QR: 052522012LGSF</t>
  </si>
  <si>
    <t xml:space="preserve">Nerissa P. Ragasa </t>
  </si>
  <si>
    <t>Donation to Jordan Ragasa for his medical needs QR: 052622014LGSF</t>
  </si>
  <si>
    <t>Donation to Randolph De Guzman for his medical needs QR: 052622002LGSF</t>
  </si>
  <si>
    <t xml:space="preserve">Rechele B Givera </t>
  </si>
  <si>
    <t>Donation to Rose Marie Givera for her medical needs QR: 052622007LGSF</t>
  </si>
  <si>
    <t xml:space="preserve">Pilar G Escala </t>
  </si>
  <si>
    <t>Donation to Gilbert Escala for his medical needs QR: 052522014LGSF</t>
  </si>
  <si>
    <t>Donation to Efren Marquez for his medical needs QR: 052522009LGSF</t>
  </si>
  <si>
    <t xml:space="preserve">Mary Ann A. Rebultan </t>
  </si>
  <si>
    <t>Donation for Joseph Matawaran for his medical needs QR: 052622013LGSF</t>
  </si>
  <si>
    <t>Donation to client for his medical needs QR: 052622005LGSF</t>
  </si>
  <si>
    <t xml:space="preserve">Julieta Banting </t>
  </si>
  <si>
    <t>Donation to Irene Guevarra for her burial expenses</t>
  </si>
  <si>
    <t>Donation to Ferdinand Magtanong for his medical needs QR: 052722003LGSF</t>
  </si>
  <si>
    <t xml:space="preserve">Clarita R. Gonzales </t>
  </si>
  <si>
    <t>Donation to Benjamin Rueda Sr. for his burial expenses QR: 052722019LGSF</t>
  </si>
  <si>
    <t xml:space="preserve">Mark Earvin L. Estrella </t>
  </si>
  <si>
    <t>Donation to Alyanna Estrella for her hospital bill QR: 052722011LGSF</t>
  </si>
  <si>
    <t>Donation to Dan Lester Alonzo for his hospital bill QR: 052722012LGSF</t>
  </si>
  <si>
    <t xml:space="preserve">Zosima P. Sioco </t>
  </si>
  <si>
    <t>Donation to John Kyle Sioco for his hospital bill QR: 052722010LGSF</t>
  </si>
  <si>
    <t xml:space="preserve">Ermelita C. Guzon </t>
  </si>
  <si>
    <t>Donation to Menardo Guzon for his hospital bill and medical needs QR: 052722004LGSF</t>
  </si>
  <si>
    <t xml:space="preserve">Gilbert P. Angeles </t>
  </si>
  <si>
    <t>Donation to client for his hospital bill and medical needs QR: 052722007LGSF</t>
  </si>
  <si>
    <t xml:space="preserve">Luzviminda P. Dela Cruz </t>
  </si>
  <si>
    <t>Donation to Flora Dela Cruz for her hospital bill QR: 052722016LGSF</t>
  </si>
  <si>
    <t xml:space="preserve">Joseph Allan C. Gutierrez </t>
  </si>
  <si>
    <t>Donation to client for his medical needs QR: 052722020LGSF</t>
  </si>
  <si>
    <t xml:space="preserve">Aiza T. Mangalindan </t>
  </si>
  <si>
    <t>Donation to Bienvenido Mangalindan for his medical needs QR: 052722021LGSF</t>
  </si>
  <si>
    <t xml:space="preserve">Ruby Lynne B. Ciriaco </t>
  </si>
  <si>
    <t>Donation to Roberto Bugay for his medical needs QR: 052722013LGSF</t>
  </si>
  <si>
    <t xml:space="preserve">Elvira M. Atienza </t>
  </si>
  <si>
    <t>Donation to client for her medical needs QR: 052722022LGSF</t>
  </si>
  <si>
    <t xml:space="preserve">Micka Ella H. Reyes </t>
  </si>
  <si>
    <t>Donation to Edwin Reyes for his medical needs QR: 052722009LGSF</t>
  </si>
  <si>
    <t xml:space="preserve">Joy Marie A. Siazon </t>
  </si>
  <si>
    <t>Donation to client for her medical needs QR: 060222012LGSF</t>
  </si>
  <si>
    <t xml:space="preserve">Eriz Diannee I. Ancheta </t>
  </si>
  <si>
    <t>Donation to Marites Ancheta for her medical needs QR: 051922006LGSF</t>
  </si>
  <si>
    <t xml:space="preserve">Marcial Jr. B Quinacman </t>
  </si>
  <si>
    <t>Donation to client for his medical needs QR: 052722017LGSF</t>
  </si>
  <si>
    <t xml:space="preserve">Sandel A. Valeriano </t>
  </si>
  <si>
    <t>Donation to client for his medical needs QR: 052722006LGSF</t>
  </si>
  <si>
    <t xml:space="preserve">Ria R. Pascual </t>
  </si>
  <si>
    <t>Donation to client for her medical needs QR: 052722018LGSF</t>
  </si>
  <si>
    <t xml:space="preserve">Aileen N. Crisolo </t>
  </si>
  <si>
    <t>Donation to client for her medical needs QR: 060122024LGSF</t>
  </si>
  <si>
    <t xml:space="preserve">Jennifer B. De Jesus </t>
  </si>
  <si>
    <t>Donation to Amelyn Baun for her medical needs QR: 060222032LGSF</t>
  </si>
  <si>
    <t xml:space="preserve">Teresita B. Tajonera </t>
  </si>
  <si>
    <t>Donation to Alfredo Tajonera for his medical needs QR: 053022014LGSF</t>
  </si>
  <si>
    <t xml:space="preserve">Leonida M. Aganon </t>
  </si>
  <si>
    <t>Donation to Jeric Benz Aganon for his hospital bill QR: 053022022LGSF</t>
  </si>
  <si>
    <t xml:space="preserve">Jade Carlyn P. Hernandez </t>
  </si>
  <si>
    <t>Donation to Leonel Hernandez for his hospital bill QR: 053022013LGSF</t>
  </si>
  <si>
    <t xml:space="preserve">Edna de Guzman Tordera </t>
  </si>
  <si>
    <t>Donation to Flor De Guzman for her hospital bill and medical needs QR: 053022009LGSF</t>
  </si>
  <si>
    <t>Donation to Ronald Jr. Cornejo for his hospital bill QR: 053022015LGSF</t>
  </si>
  <si>
    <t xml:space="preserve">William E. Palermo </t>
  </si>
  <si>
    <t>Donation to Minnie Palermo for her hospital bill QR: 053022019LGSF</t>
  </si>
  <si>
    <t xml:space="preserve">Ernan B. Rivera </t>
  </si>
  <si>
    <t>Donation to Alma Rivera for her hospital bill QR: 053022023LGSF</t>
  </si>
  <si>
    <t xml:space="preserve">Jennifer A. Alfar </t>
  </si>
  <si>
    <t>Donation to Nestor Ryan Alfar for his hospital bill QR: 053022010LGSF</t>
  </si>
  <si>
    <t xml:space="preserve">Maria Cristina H. Palad </t>
  </si>
  <si>
    <t>Donation to Edgardo Hualda for his medical needs QR: 053022017LGSF</t>
  </si>
  <si>
    <t xml:space="preserve">Jayvie C. Dizon </t>
  </si>
  <si>
    <t>Donation to client for her medical needs QR: 053022011LGSF</t>
  </si>
  <si>
    <t xml:space="preserve">Elmer N. Dela Cruz </t>
  </si>
  <si>
    <t>Donation to Leonila Dela Cruz for her hospital bill and medical needs QR: 053122003LGSF</t>
  </si>
  <si>
    <t>Donation to Dominador De Leon for his medical needs QR: 052422024LGSF</t>
  </si>
  <si>
    <t xml:space="preserve">June P. Santos </t>
  </si>
  <si>
    <t>Donation to client for his medical needs QR: 052522031LGSF</t>
  </si>
  <si>
    <t xml:space="preserve">Erma V. Garcia </t>
  </si>
  <si>
    <t>Donation to Lito Venancio for his medical needs QR: 052422023LGSF</t>
  </si>
  <si>
    <t xml:space="preserve">Concepcion D. Sadsad </t>
  </si>
  <si>
    <t>Donation to Kim Philip Sadsad for his medical needs QR: 042722001LGSF</t>
  </si>
  <si>
    <t>Donation to Francisco Butangel for his medical needs QR: 052422022LGSF</t>
  </si>
  <si>
    <t>Donation to Rose Anne Tenorio for her medical needs QR: 052422025LGSF</t>
  </si>
  <si>
    <t xml:space="preserve">Marissa C. Borja </t>
  </si>
  <si>
    <t>Donation to Rodel Borja for his medical needs QR: 0531222002LGSF</t>
  </si>
  <si>
    <t xml:space="preserve">Merle F. Concepcion </t>
  </si>
  <si>
    <t>Donation to Rodolfo Concepcion for his medical needs QR: 052622025LGSF</t>
  </si>
  <si>
    <t>Donation to Jannah Patricia Monjardin for her medical needs QR: 052422016LGSF</t>
  </si>
  <si>
    <t>Donation for the hospital bills covering the period May 23-27, 2022</t>
  </si>
  <si>
    <t>Donation for the hospital bills covering the period May 24, 2022</t>
  </si>
  <si>
    <t xml:space="preserve">Thomas B. Lejarde </t>
  </si>
  <si>
    <t>Donation to client for his medical needs QR: 053122006LGSF</t>
  </si>
  <si>
    <t xml:space="preserve">Lunicio E. Manila </t>
  </si>
  <si>
    <t>Donation to client for his medical needs QR: 053122008LGSF</t>
  </si>
  <si>
    <t xml:space="preserve">Michael L Cacayan </t>
  </si>
  <si>
    <t>Donation to Ma. Renalyn Cacayan and Miara Aneeka Cacayan for their hospital bills QRL 053122010LGSF</t>
  </si>
  <si>
    <t xml:space="preserve">Marilou S. Tinao </t>
  </si>
  <si>
    <t>Donation to Rogelio Tinao for his burial expenses QR: 053122004LGSF</t>
  </si>
  <si>
    <t xml:space="preserve">Michael A. dela Cruz </t>
  </si>
  <si>
    <t>Donation to Amie Grace Dela Cruz for her medical needs QR: 053122001LGSF</t>
  </si>
  <si>
    <t>Donation to client for her medical needs QR: 053122007LGSF</t>
  </si>
  <si>
    <t xml:space="preserve">Merlita Y Morales </t>
  </si>
  <si>
    <t>Donation to client for her medical needs QR: 053022025LGDF</t>
  </si>
  <si>
    <t xml:space="preserve">Eloiza L De Rueda </t>
  </si>
  <si>
    <t>Donation to Aurellano Lazo for his medical needs QR: 053022012LGSF</t>
  </si>
  <si>
    <t xml:space="preserve">Eves John V. Aguilar </t>
  </si>
  <si>
    <t>Donation to Erin Margaux Aguilar for her medical needs QR: 053022016LGSF</t>
  </si>
  <si>
    <t xml:space="preserve">Riz R. Tiangco </t>
  </si>
  <si>
    <t>Donation to Vivian Tiangco for her medical needs QR: 053022020LGSF</t>
  </si>
  <si>
    <t xml:space="preserve">Rita V. Gamban </t>
  </si>
  <si>
    <t>Donation to Reynaldo Gamban for his medical needs QR: 053022004LGSF</t>
  </si>
  <si>
    <t xml:space="preserve">Gloria C. Navarro </t>
  </si>
  <si>
    <t>Donation to Virgilio Navarro for his medical needs QR: 053022002LGSF</t>
  </si>
  <si>
    <t>Donation to Aurelio Jaime for his burial expenses QR: 053022001LGSF</t>
  </si>
  <si>
    <t xml:space="preserve">Janine A. Morales </t>
  </si>
  <si>
    <t>Donation to Rufino Aquino Jr. for his medical needs QR: 053022021LGSF</t>
  </si>
  <si>
    <t xml:space="preserve">Marissa G. Dela Rosa </t>
  </si>
  <si>
    <t>Donation to Ursula Dela Rosa for her hospital bill QR: 053022007LGSF</t>
  </si>
  <si>
    <t>Donation to Ofelia Salazar for her hospital bill QR: 053022003LGSF</t>
  </si>
  <si>
    <t xml:space="preserve">Sarah Jane R. Dela Cruz </t>
  </si>
  <si>
    <t>Donation to Ernesto Jr. Dela Cruz for his hospital bill QR: 053022006LGSF</t>
  </si>
  <si>
    <t xml:space="preserve">Francianne Kate P. Del Mundo </t>
  </si>
  <si>
    <t>Donation to Kobe Martin Brillantes for his hospital bill and medical needs QR: 053022024LGSF</t>
  </si>
  <si>
    <t xml:space="preserve">Maria Cecilia G. De Leon </t>
  </si>
  <si>
    <t>Donation to client for her hospital bill QR: 053022028LGSF</t>
  </si>
  <si>
    <t xml:space="preserve">Gloria G. Dela Rosa </t>
  </si>
  <si>
    <t>Donation to Alejandro Dela Rosa for his burial expenses QR: 053022027LGSF</t>
  </si>
  <si>
    <t xml:space="preserve">Donnalyn H. Casumbal </t>
  </si>
  <si>
    <t>Donation to Juliana Norcio for her burial expenses QR: 060122019LGSF</t>
  </si>
  <si>
    <t xml:space="preserve">Susana A. Pineda </t>
  </si>
  <si>
    <t>Donation to client for her medical needs QR: 060122011LGSF</t>
  </si>
  <si>
    <t>Donation to Edgardo Dionela for his medical needs QR: 060122018LGSF</t>
  </si>
  <si>
    <t>Donation to Emelita Arraro for her medical needs QR: 060122014LGSF</t>
  </si>
  <si>
    <t xml:space="preserve">Jocelyn V. De Guzman </t>
  </si>
  <si>
    <t>Donation to Jenalyn De Guzman for her medical needs QR: 060122001LGSF</t>
  </si>
  <si>
    <t xml:space="preserve">Reggie John R. Gapasen </t>
  </si>
  <si>
    <t>Donation to Lorena Gapasen for her medical needs QR: 060122020LGSF</t>
  </si>
  <si>
    <t xml:space="preserve">Irish John G. Borromeo </t>
  </si>
  <si>
    <t>Donation to Luvien Keith Borromeo for her hospital bill QR: 052622019LGSF</t>
  </si>
  <si>
    <t xml:space="preserve">Salman S. Usman </t>
  </si>
  <si>
    <t>Donation to Amnah Usman and Wania Usman for their hospital bills QR: 060122003LGSF</t>
  </si>
  <si>
    <t xml:space="preserve">Marvin D. Mena </t>
  </si>
  <si>
    <t>Donation to Marita Mena for her burial expenses QR: 060122022LGSF</t>
  </si>
  <si>
    <t xml:space="preserve">Mariam A. Valencia </t>
  </si>
  <si>
    <t>Donation to Emma Valencia for her medical needs QR: 060122015LGSF</t>
  </si>
  <si>
    <t>Donation for the hospital bills covering the period May 23-25, 2022</t>
  </si>
  <si>
    <t>Purchase of Polyethersulfone High Flux H200 for 1Bataan Malasakit Dialysis Assistance (1BMDA)</t>
  </si>
  <si>
    <t>Drugs and medicines for the use of Jose C Payumo Jr Memorial Hospital for Covid-19 patients during COVID-19 Pandemic Response</t>
  </si>
  <si>
    <t xml:space="preserve">Michelle C. Nebreja </t>
  </si>
  <si>
    <t>Donation to Elvira Hernandez for her medical needs QR: 052422006DINLGSF</t>
  </si>
  <si>
    <t>Donation to Esperanza Mallari for her medical needs QR: 052422003DINLGSF</t>
  </si>
  <si>
    <t>Donation to Macgair Manaog  for his medical needs QR: 052422004DINLGSF</t>
  </si>
  <si>
    <t>Donation to client for her medical needs QR: 052422005DINLGSF</t>
  </si>
  <si>
    <t>Donation to client for her medical needs QR: 052422001DINLGSF</t>
  </si>
  <si>
    <t xml:space="preserve">Isabelita B. Macaraig </t>
  </si>
  <si>
    <t>Donation to Leo Macaraig for his medical needs QR: 060122005LGSF</t>
  </si>
  <si>
    <t xml:space="preserve">Ofelia P. Sosmeña </t>
  </si>
  <si>
    <t>Donation to client for her medical need QR: 060122004LGSF</t>
  </si>
  <si>
    <t xml:space="preserve">Milagros L. Bartolo </t>
  </si>
  <si>
    <t>Donation to client for her medical need QR: 060122026LGSF</t>
  </si>
  <si>
    <t xml:space="preserve">Anna May S. Salonga </t>
  </si>
  <si>
    <t>Donation to Erwin Ryan Salonga for his medical needs QR: 052422007DINLGSF</t>
  </si>
  <si>
    <t xml:space="preserve">Marissa B. Quiambao </t>
  </si>
  <si>
    <t>Donation to client for her medical needs QR: 052622001DINLGSF</t>
  </si>
  <si>
    <t>Donation to Roberto Gonzales for his hospital bill QR: 060122012LGSF</t>
  </si>
  <si>
    <t xml:space="preserve">Erlinda P. Roque </t>
  </si>
  <si>
    <t>Donation to Jose Roque for his burial expenses QR: 060122009LGSF</t>
  </si>
  <si>
    <t xml:space="preserve">Hermogenes C. Baldovi </t>
  </si>
  <si>
    <t>Donation to Susana Baldovi for her hospital bill QR: 060122010LGSF</t>
  </si>
  <si>
    <t xml:space="preserve">Crystal L. Bangayan </t>
  </si>
  <si>
    <t>Donation to Leonora Liwanag for her hospital bill QR: 053122015LGSF</t>
  </si>
  <si>
    <t xml:space="preserve">Rodelito D. Mendoza </t>
  </si>
  <si>
    <t>Donation to Yolanda Mendoza for her hospital bill QR: 053122025LGSF</t>
  </si>
  <si>
    <t xml:space="preserve">Nimfa A. Perpetua </t>
  </si>
  <si>
    <t>Donation to Presentacion Asuncion for her burial expenses QR: 053122017LGSF</t>
  </si>
  <si>
    <t xml:space="preserve">Ofelia A. Agbuya </t>
  </si>
  <si>
    <t>Donation to Emelita Maeda for her hospital bill, burial expenses and other expenses QR: 060122023LGSF</t>
  </si>
  <si>
    <t xml:space="preserve">Rutchie C. Rosco </t>
  </si>
  <si>
    <t>Donation to Dierchon Donguines for his medical needs QR: 060122016LGSF</t>
  </si>
  <si>
    <t xml:space="preserve">Jochelle A. Salting </t>
  </si>
  <si>
    <t>Donation to Michelle Ambrocio for her medical needs QR: 060122002LGSF</t>
  </si>
  <si>
    <t xml:space="preserve">Jonathan D. Javierto </t>
  </si>
  <si>
    <t>Donation to client for his medical needs QR: 060222033LGSF</t>
  </si>
  <si>
    <t>Donation to Eliza Manalo for her medical needs QR: 060122006LGSF</t>
  </si>
  <si>
    <t>Donation to Alma Acas for her medical needs QR: 060122017LGSF</t>
  </si>
  <si>
    <t>Donation to Samuel Lavilla Jr. for his hospital bill QR: 053122020LGSF</t>
  </si>
  <si>
    <t xml:space="preserve">Erly An M. Alfonso </t>
  </si>
  <si>
    <t>Donation to Glenda Mariano for her burial expenses QR: 053122026LGSF</t>
  </si>
  <si>
    <t>Donation to Mercedita Dela Cruz for her hospital bill and professional fee QR: 053122018LGSF</t>
  </si>
  <si>
    <t xml:space="preserve">Melinda F. Garcia </t>
  </si>
  <si>
    <t>Donation to Frinz Jarrred Garcia for his medical needs QR: 053122019LGSF</t>
  </si>
  <si>
    <t xml:space="preserve">Roberto Martina B. Llagas </t>
  </si>
  <si>
    <t>Donation to client for his medical needs QR: 053122027LGSF</t>
  </si>
  <si>
    <t xml:space="preserve">Lovilyn B. Abejar </t>
  </si>
  <si>
    <t>Donation to client and Brielle Lucas Abejar for their hospital bills QR: 053122028LGSF</t>
  </si>
  <si>
    <t xml:space="preserve">Liezel C. Cerbito </t>
  </si>
  <si>
    <t>Donation to Jim Carlo Cerbito for his medical needs QR: 053122024LGSF</t>
  </si>
  <si>
    <t xml:space="preserve">Jhone P. Mena </t>
  </si>
  <si>
    <t>Donation to Olivia Elisse Mena for her medical needs QR: 053122016LGSF</t>
  </si>
  <si>
    <t xml:space="preserve">Joven A. Mendiola </t>
  </si>
  <si>
    <t>Donation to Princess Dianne Mendiola and Athena Franz Mendiola for their hospital bills QR: 053122005LGSF</t>
  </si>
  <si>
    <t>Donation to Mary Ann Viray for her medical needs QR: 053122021LGSF</t>
  </si>
  <si>
    <t xml:space="preserve">Imelda G. Dale </t>
  </si>
  <si>
    <t>Donation to client for her medical needs QR: 053122013LGSF</t>
  </si>
  <si>
    <t xml:space="preserve">Noemi G. Mariano </t>
  </si>
  <si>
    <t>Donation to Melody Consunto,  Malia Lucille Consunto and Mia Lorraine Consulto for their hospital bills QR: 053122022LGSF</t>
  </si>
  <si>
    <t xml:space="preserve">Dave Aron J. Celindro </t>
  </si>
  <si>
    <t>Donation to client for his hospital bill QR: 053122012LGSF</t>
  </si>
  <si>
    <t xml:space="preserve">Vivian Joy M. Payos </t>
  </si>
  <si>
    <t>Donation to Jellal Marley Mujer for her medical needs QR: 053122014LGSF</t>
  </si>
  <si>
    <t xml:space="preserve">Angelie R. San Diego </t>
  </si>
  <si>
    <t>Donation to Evelyn Recibe for her medical nees QR: 052522003DINLGSF</t>
  </si>
  <si>
    <t>Donation to Angela Miranda for her medical needs QR: 060122021LGSF</t>
  </si>
  <si>
    <t>Donation to Adelina Belleza for her medical needs QR: 052722003DINLGSF</t>
  </si>
  <si>
    <t xml:space="preserve">Jimmy M. Garcia </t>
  </si>
  <si>
    <t>Donation to client for his medical needs QR: 052422002DINLGSF</t>
  </si>
  <si>
    <t>Donation to Benjo Ramos for his burial expenses QR: 060222015LGSF</t>
  </si>
  <si>
    <t>Donation to Lourdes Quijioc for her burial expenses QR: 060222029LGSF</t>
  </si>
  <si>
    <t xml:space="preserve">Kenneth Ivan L. Umandap </t>
  </si>
  <si>
    <t>Donation to Elysa Rose Umandap and Ivan Marcus Umandap for their hospital bills QR: 060222027LGSF</t>
  </si>
  <si>
    <t xml:space="preserve">Rhoda D. Magpantay </t>
  </si>
  <si>
    <t>Donation to Armel Magpantay for his hospital bill QR: 060222035LGSF</t>
  </si>
  <si>
    <t>Donation to Avery Chris Tejada for his hospital bill QR: 060222011LGSF</t>
  </si>
  <si>
    <t xml:space="preserve">Abigael A. Medina </t>
  </si>
  <si>
    <t>Donation to client for her hospital bill QR: 060222017LGSF</t>
  </si>
  <si>
    <t xml:space="preserve">Shirley M. Torres </t>
  </si>
  <si>
    <t>Donation to Pacita Torres for her hospital bill QR: 060222021LGSF</t>
  </si>
  <si>
    <t xml:space="preserve">Joven Mark L. Calixtro </t>
  </si>
  <si>
    <t>Donation to Ellen Calixtro for her medical needs QR: 060222037LGSF</t>
  </si>
  <si>
    <t xml:space="preserve">Catalina C. Dela Peña </t>
  </si>
  <si>
    <t>Donation to client for her medical needs QR: 060222024LGSF</t>
  </si>
  <si>
    <t xml:space="preserve">Rene A. Dimasihud </t>
  </si>
  <si>
    <t>Donation to Aida Dimasuhid for her medical needs QR: 052522001DINLGSF</t>
  </si>
  <si>
    <t>Donation to Glenn Legaspi for his medical needs QR: 060222020LGSF</t>
  </si>
  <si>
    <t xml:space="preserve">Elena C. Angeles </t>
  </si>
  <si>
    <t>Donation to Reynaldo Angeles for his medical needs QR: 060222006LGSF</t>
  </si>
  <si>
    <t xml:space="preserve">Remedios L. Roberts </t>
  </si>
  <si>
    <t>Donation to client for her medical needs QR: 060222003LGSF</t>
  </si>
  <si>
    <t xml:space="preserve">Edgardo C. Hallig </t>
  </si>
  <si>
    <t>Donation to client for his medical needs QR: 052522004DINLGSF</t>
  </si>
  <si>
    <t>Donation to client for his medical needs QR: 060222002LGSF</t>
  </si>
  <si>
    <t xml:space="preserve">Michael S. Dimacali </t>
  </si>
  <si>
    <t>Donation to client for his medical needs QR: 060222016LGSF</t>
  </si>
  <si>
    <t xml:space="preserve">Marites R. Versabal </t>
  </si>
  <si>
    <t>Donation to Rosita Reyes for her medical needs QR: 052722001DINLGSF</t>
  </si>
  <si>
    <t xml:space="preserve">Ian Jeff R. Simbulan </t>
  </si>
  <si>
    <t>Donation to Harry Simbulan for his medical needs QR: 052722002IDNLGSF</t>
  </si>
  <si>
    <t xml:space="preserve">Josephine N. Villanueva </t>
  </si>
  <si>
    <t>Donation to Rosita Navarro for her burial expenses QR: 060322018LGSF</t>
  </si>
  <si>
    <t>Payment of hospital bill of indigent patients of Jose Payumo Memorial Hospital charge to DOH-Fund Medical Assistance Assistance to Indigent Patients Program for the period of May 2022</t>
  </si>
  <si>
    <t>Donation to Richard Lopez for his medical needs QR: 060222014LGSF</t>
  </si>
  <si>
    <t xml:space="preserve">Robert A. Crisolo </t>
  </si>
  <si>
    <t>Donation to Melanie Crisolo for her medical needs QR: 060222010LGSF</t>
  </si>
  <si>
    <t xml:space="preserve">Reyna Gladys M. De Guzman </t>
  </si>
  <si>
    <t>Donation to Client and Zyn Taciana Domini De Guzman for their hospital bills QR: 060222034LGSF</t>
  </si>
  <si>
    <t xml:space="preserve">Princess D. Enriquez </t>
  </si>
  <si>
    <t>Donation to Princesita David for her medical needs QR: 060222036LGSF</t>
  </si>
  <si>
    <t>Donation to Jonroe Gatdula for his medical needs QR: 060222013LGSF</t>
  </si>
  <si>
    <t xml:space="preserve">Susan L. Avorque </t>
  </si>
  <si>
    <t>Donation to Armando Avorque for his medical needs QR: 060222026LGSF</t>
  </si>
  <si>
    <t>Donation to Jonnas Almazan for his hospital bill QR: 060222009LGSF</t>
  </si>
  <si>
    <t>Donation to Noel Garcia for his medical needs QR: 060322003LGSF</t>
  </si>
  <si>
    <t xml:space="preserve">Miko Gabriel R. Reyes </t>
  </si>
  <si>
    <t>Donation to Reia Mikaella Reyes for her hospital bill QR: 060322024LGSF</t>
  </si>
  <si>
    <t xml:space="preserve">Corazon C. Valerio </t>
  </si>
  <si>
    <t>Donation to Zavier Denniel Comia for his medical needs QR: 060222007LGSF</t>
  </si>
  <si>
    <t xml:space="preserve">Ramon A. Alonzo </t>
  </si>
  <si>
    <t>Donation to client for his medical needs QR: 060222008LGSF</t>
  </si>
  <si>
    <t xml:space="preserve">Norman A. Manuel </t>
  </si>
  <si>
    <t>Donation to Victor Manuel for his medical needs QR: 060222001LGSF</t>
  </si>
  <si>
    <t>Donation to Ediberto Trinidan for his hospital bill and medical needs QR: 060222004LGSF</t>
  </si>
  <si>
    <t xml:space="preserve">Rosalia de Guzman Gagui </t>
  </si>
  <si>
    <t>Donation to Rosalie Agustin for her burial expenses QR: 060222028LGSF</t>
  </si>
  <si>
    <t xml:space="preserve">Ron Elly P. Flores </t>
  </si>
  <si>
    <t>Donation to client for his medical needs QR: 060222031LGSF</t>
  </si>
  <si>
    <t xml:space="preserve">Paula S. Francisco </t>
  </si>
  <si>
    <t>Donation to Elena Francisco for her professional fee QR: 060222019LGSF</t>
  </si>
  <si>
    <t>Donation to Lourdes Colobong for her burial expenses QR: 060222023LGSF</t>
  </si>
  <si>
    <t>Donation to Luz Boar for her medical needs QR: 060322016LGSF</t>
  </si>
  <si>
    <t>Donation to Carloto Manalili for his medical needs QR: 060322021LGSF</t>
  </si>
  <si>
    <t xml:space="preserve">Estrella M. Robles </t>
  </si>
  <si>
    <t>Donation ro Esfelord De Leon for his hospital bill QR: 060322023LGSF</t>
  </si>
  <si>
    <t xml:space="preserve">Arrabelle B. Camamo </t>
  </si>
  <si>
    <t>Donation to Glaiza Camano for her medical needs QR: 052722008LGSF</t>
  </si>
  <si>
    <t xml:space="preserve">Jason John S. Ruiz </t>
  </si>
  <si>
    <t>Donation to Gleceria Ruiz for her hospiotal bill QR: 060322007LGSF</t>
  </si>
  <si>
    <t xml:space="preserve">Francis R. Ferrer </t>
  </si>
  <si>
    <t>Donation Francis Nichole Ferrer for her hospital bills QR: 060322030LGSF</t>
  </si>
  <si>
    <t xml:space="preserve">Mary Grace J. Mejica </t>
  </si>
  <si>
    <t>Donation to client for her medical needs QR: 060322011LGSF</t>
  </si>
  <si>
    <t xml:space="preserve">Monaliza M. Bernal </t>
  </si>
  <si>
    <t>Donation to Anthony Bernal for his hospital bill QR: 060222018LGSF</t>
  </si>
  <si>
    <t xml:space="preserve">Paul John D. Morales </t>
  </si>
  <si>
    <t>Donation to Mary Joyse Morales for her hospital bill QR: 060222025LGSF</t>
  </si>
  <si>
    <t>Donation to Lucila Reyes for her medical needs QR: 053122009LGSF</t>
  </si>
  <si>
    <t xml:space="preserve">Cathleen C. Liwanag </t>
  </si>
  <si>
    <t>Donation to client for her hospital bill QR: 053122023LGSF</t>
  </si>
  <si>
    <t xml:space="preserve">Marites R. Dy </t>
  </si>
  <si>
    <t>Donation to Teresita Ramos for her medical needs QR: 060222022LGSF</t>
  </si>
  <si>
    <t xml:space="preserve">Aida T. Rabe </t>
  </si>
  <si>
    <t>Donation to Remedios Torres for her medical needs QR: 052722004DINLGSF</t>
  </si>
  <si>
    <t xml:space="preserve">John Paul P. De Guzman </t>
  </si>
  <si>
    <t>Donation to Clara Nikka De Guzman and Amber Felicity De Guzman for their hospital bills QR: 060222005LGSF</t>
  </si>
  <si>
    <t>Donation to Christopher Rubiano for his medical needs QR: 060322035LGSF</t>
  </si>
  <si>
    <t xml:space="preserve">Jackielyn delos Reyes Fidel </t>
  </si>
  <si>
    <t>Donation to Eduardo Delos Reyes for his medical needs QR: 060222030LGSF</t>
  </si>
  <si>
    <t xml:space="preserve">Noel O. Torres </t>
  </si>
  <si>
    <t>Donation to Khatelyn Torres for her medical needs QR: 060322032LGSF</t>
  </si>
  <si>
    <t xml:space="preserve">Rodrigo M. Navarro </t>
  </si>
  <si>
    <t>Donation to client for his medical needs QR: 060622014LGSF</t>
  </si>
  <si>
    <t>Donation to Nelson Dionisio for his burial expenses</t>
  </si>
  <si>
    <t xml:space="preserve">Mark Raven V. Cruz </t>
  </si>
  <si>
    <t>Donation to Manolito Cruz for his hospital bill</t>
  </si>
  <si>
    <t xml:space="preserve">Marivel A. Fernandez </t>
  </si>
  <si>
    <t>Donation to Dante Fernandez Jr. for his medical needs</t>
  </si>
  <si>
    <t xml:space="preserve">Jenevy E. Castro </t>
  </si>
  <si>
    <t>Donation to Carmelita Castro for her medical needs</t>
  </si>
  <si>
    <t xml:space="preserve">Susana L. Cruz </t>
  </si>
  <si>
    <t xml:space="preserve">Jeanneth R. Esguerra </t>
  </si>
  <si>
    <t>Donation to Elvira Gamboa for her medical needs</t>
  </si>
  <si>
    <t xml:space="preserve">Kristine Joy B. Alviar </t>
  </si>
  <si>
    <t>Donation to Lara Kirsten Alviar for her medical needs</t>
  </si>
  <si>
    <t>Donation to Victoria Baluyot for her medical needs</t>
  </si>
  <si>
    <t xml:space="preserve">Rogelio G. Izon </t>
  </si>
  <si>
    <t>Donation to Elsa Izon for her hospital bill</t>
  </si>
  <si>
    <t xml:space="preserve">Cristina M. De Guzman </t>
  </si>
  <si>
    <t>Donation to Fe Manalo for her hospital bill</t>
  </si>
  <si>
    <t xml:space="preserve">Rodelo A. Cruz </t>
  </si>
  <si>
    <t>Donation to Erlinda Alarcon for her hospital bill</t>
  </si>
  <si>
    <t xml:space="preserve">Juanito C. Cometa </t>
  </si>
  <si>
    <t>Donation to Jemarie Cometa for her hospital bill</t>
  </si>
  <si>
    <t xml:space="preserve">Julieta S. Bautista </t>
  </si>
  <si>
    <t>Donation Niña Pereña for her hospital bill</t>
  </si>
  <si>
    <t>Donation to Rosalinda Mina for her hospital bill</t>
  </si>
  <si>
    <t>Donation to Marilou Talastas for her medical needs</t>
  </si>
  <si>
    <t xml:space="preserve">Melba L. De Leon </t>
  </si>
  <si>
    <t>Donation to Claire Caringal for her medical needs</t>
  </si>
  <si>
    <t xml:space="preserve">Reynaldo S. Jumio </t>
  </si>
  <si>
    <t xml:space="preserve">Luzviminda Gutierrez </t>
  </si>
  <si>
    <t>Donation to Cesar Gutierrez for his  medical needs</t>
  </si>
  <si>
    <t xml:space="preserve">Beverly De Vega Yambao </t>
  </si>
  <si>
    <t>Donation to Evangeline Yambao for her medical needs</t>
  </si>
  <si>
    <t xml:space="preserve">Angelica S. Guingab </t>
  </si>
  <si>
    <t>Donation to Lennon Montgomery Guingab for her medical needs</t>
  </si>
  <si>
    <t xml:space="preserve">Violeta D. Adloc </t>
  </si>
  <si>
    <t>Donation to Rolando Adloc for his medical needs</t>
  </si>
  <si>
    <t xml:space="preserve">Salvador T. Tanagon </t>
  </si>
  <si>
    <t xml:space="preserve">Zernan S. Sujeco </t>
  </si>
  <si>
    <t>Donation to Zyrhen Jastyn Sujeco for his medical needs</t>
  </si>
  <si>
    <t xml:space="preserve">Jomar B. Cruz </t>
  </si>
  <si>
    <t>Donation to Almira Cruz for her professional fee</t>
  </si>
  <si>
    <t xml:space="preserve">Sharon T. Reyes </t>
  </si>
  <si>
    <t>Donation to Yolanda Tigas for her hospital bill and medical needs</t>
  </si>
  <si>
    <t xml:space="preserve">Marie Theal Aiza E. Rillon </t>
  </si>
  <si>
    <t>Donation to Florentina Cruz for her hospital bill</t>
  </si>
  <si>
    <t xml:space="preserve">Ian Paolo M. Garcia </t>
  </si>
  <si>
    <t>Donation to Ma. Margarita Garcia and Paolo Stefan Garcia for their hospital bills</t>
  </si>
  <si>
    <t xml:space="preserve">Jester B. Yutiga </t>
  </si>
  <si>
    <t>Donation to Jello Yutiga for his hospital bill</t>
  </si>
  <si>
    <t>Donation to Vernon Louie Caguiwa for his hospital bill</t>
  </si>
  <si>
    <t>Donation to Zacarias Villaruz Jr. for his medical needs</t>
  </si>
  <si>
    <t>Donation to Joseph Pasion for his medical needs</t>
  </si>
  <si>
    <t xml:space="preserve">Raquel R. Rubia </t>
  </si>
  <si>
    <t xml:space="preserve">Patrick L. Tolosa </t>
  </si>
  <si>
    <t>Donation to Belinda Tolosa for her medical needs</t>
  </si>
  <si>
    <t xml:space="preserve">Bernardita S. Duterte </t>
  </si>
  <si>
    <t>Donation to Martin Duterte for his medical needs</t>
  </si>
  <si>
    <t xml:space="preserve">Connie M. Aniel </t>
  </si>
  <si>
    <t>Donation to Alvin Aigenman Aniel for his medical needs</t>
  </si>
  <si>
    <t>Donation to Amado Morales for his medical needs</t>
  </si>
  <si>
    <t xml:space="preserve">Orlando M. Baun </t>
  </si>
  <si>
    <t>Donation to Crisanta Baun for her burial expenses</t>
  </si>
  <si>
    <t xml:space="preserve">Teresita R. Gana </t>
  </si>
  <si>
    <t>Donation to Francisco Gaña for his burial expenses</t>
  </si>
  <si>
    <t xml:space="preserve">Janice D. Cabit </t>
  </si>
  <si>
    <t>Donation to Benita Samaniego for her medical needs</t>
  </si>
  <si>
    <t xml:space="preserve">Joe Vinsent D. Santiago </t>
  </si>
  <si>
    <t>Donation to John Levi Santiago for his hospital bill QR: 060322027LGSF</t>
  </si>
  <si>
    <t xml:space="preserve">Marie V. Lozano </t>
  </si>
  <si>
    <t>Donation to Noel Lozano for his medical needs QR: 060722014LGSF</t>
  </si>
  <si>
    <t>Donation to Lydia Paguio for her medical needs QR: 052522002DINLGSF</t>
  </si>
  <si>
    <t xml:space="preserve">Cheryl Lynn A. Hastreiter </t>
  </si>
  <si>
    <t>Donation to client for her medical needs QR: 060722012LGSF</t>
  </si>
  <si>
    <t xml:space="preserve">Dolores S. Escueta </t>
  </si>
  <si>
    <t>Donation to Bienvenido Escueta for his medical needs QR: 060722048LGSF</t>
  </si>
  <si>
    <t xml:space="preserve">Lovely Joy M. Mallari </t>
  </si>
  <si>
    <t>Donation to Rolando De Lara Jr. for his medical needs QR: 060622030LGSF</t>
  </si>
  <si>
    <t>Donation for the hospital bills covering the period May 31 - June 3, 2022</t>
  </si>
  <si>
    <t>Donation for the hospital bills covering the period May 30- June 3, 2022</t>
  </si>
  <si>
    <t>Donation to Nerissa Salonga for her burial expenses QR: 060722004LGSF</t>
  </si>
  <si>
    <t xml:space="preserve">Mary Grace P. Jose </t>
  </si>
  <si>
    <t>Donation to Roy Josr for his hospital bill QR: 060722001LGSF</t>
  </si>
  <si>
    <t xml:space="preserve">Sharon B. Redondiez </t>
  </si>
  <si>
    <t>Donation to Alicia Bautista for her hospital bill QR: 060722003LGSF</t>
  </si>
  <si>
    <t xml:space="preserve">Matilde A. Enopia </t>
  </si>
  <si>
    <t>Donation to Bernardino Enopia for his hospital bill QR: 060122013LGSF</t>
  </si>
  <si>
    <t xml:space="preserve">Eugene Kenneth T. Carandang </t>
  </si>
  <si>
    <t>Donation to client for his medical needs QR: 060622033LGSF</t>
  </si>
  <si>
    <t xml:space="preserve">Almar R. Cabral </t>
  </si>
  <si>
    <t>Donation to Aldwin Cabral for his hospital bill QR: 060722017LGSF</t>
  </si>
  <si>
    <t>Donation to Manuel Estacio for his medical needs QR: 060322029LGSF</t>
  </si>
  <si>
    <t xml:space="preserve">Office of the President of the Philippines </t>
  </si>
  <si>
    <t>To refund the amount pertaining to the balance of fund received by PGB from office of the president of the Philippines for the implementation of financial assistance to be used to cater &amp; address the immediate needs of the people</t>
  </si>
  <si>
    <t xml:space="preserve">Elenita M. Maiso </t>
  </si>
  <si>
    <t>Donation to Samuel Maiso for his hospital bill QR: 060322010LGSF</t>
  </si>
  <si>
    <t xml:space="preserve">Norberto C. Nicdao </t>
  </si>
  <si>
    <t>Donation to Alberto Nicdao for his burial expenses QR: 060622036LGSF</t>
  </si>
  <si>
    <t xml:space="preserve">Rossana A. Dela Cruz </t>
  </si>
  <si>
    <t>Donation to Chiqui Dela Cruz for her medical needs QR: 060622003LGSF</t>
  </si>
  <si>
    <t>20th PArtial payment of package training expenses for the provincial wide Brgy Disaster Risk Reduction Education &amp; emeregency medical first responder</t>
  </si>
  <si>
    <t xml:space="preserve">Edgardo A. Mina </t>
  </si>
  <si>
    <t>Donation to Angelina Mina for her burial expenses QR: 060622046LGSF</t>
  </si>
  <si>
    <t xml:space="preserve">Altatech Solutions, Inc. </t>
  </si>
  <si>
    <t>Payment for Bataan Visitors Information and travel assistance(VISITA) system an Application Deveopment</t>
  </si>
  <si>
    <t>Donation to Norma Tanciongco for her hospital bill QR: 060622027LGSF</t>
  </si>
  <si>
    <t>Donation to the client for her hospital bill and medical needs QR: 060922005LGSF</t>
  </si>
  <si>
    <t>Donation for the hospital bills covering the period June 2-3, 2022</t>
  </si>
  <si>
    <t xml:space="preserve">Teresita C. De Guzman </t>
  </si>
  <si>
    <t>Donation to the client for her hospital bill QR: 060722011LGSF</t>
  </si>
  <si>
    <t xml:space="preserve">Mariza N. Hernando </t>
  </si>
  <si>
    <t>Donation to Violeta Nava for her burial expenses QR: 060722042LGSF</t>
  </si>
  <si>
    <t>Donation to Priscilla Cabrera for her burial expenses QR: 061022001LGSF</t>
  </si>
  <si>
    <t xml:space="preserve">Lorie Lyn F. Leonsame </t>
  </si>
  <si>
    <t>Donation to Arsenio Francisco for his medical needs QR: 060922007LGSF</t>
  </si>
  <si>
    <t xml:space="preserve">Soledad L. Regulacion </t>
  </si>
  <si>
    <t>Donation to the client for hert medical needs QR: 061022003LGSF</t>
  </si>
  <si>
    <t xml:space="preserve">Walter G. Capili </t>
  </si>
  <si>
    <t>Donation to the client for his hospital bill QR: 061022004LGSF</t>
  </si>
  <si>
    <t xml:space="preserve">Carmela C. Suarez </t>
  </si>
  <si>
    <t>Donation to the client for her hospital bill QR: 061022005LGSF</t>
  </si>
  <si>
    <t>Donation to Carmencita Reyes for his hospital bill and medical expenses QR: 060922003LGSF</t>
  </si>
  <si>
    <t xml:space="preserve">Jenette N. Ricarpo </t>
  </si>
  <si>
    <t>Donation to Evangeline Ricarpo for her burial expenses QR: 061022007LGSF</t>
  </si>
  <si>
    <t>DONATION TO ASUNCION CASTILLO FOR HER BURIAL EXPENSES. QR: 060622038LGSF</t>
  </si>
  <si>
    <t xml:space="preserve">Edward T. Macalinao </t>
  </si>
  <si>
    <t>Donation to Joaquina Macalinao for her burial expenses QR: 060322014LKGSF</t>
  </si>
  <si>
    <t xml:space="preserve">Norlita P. Italia </t>
  </si>
  <si>
    <t>Donation to Eduardo Ponesta for his burial expenses QR: 060822002LGSF</t>
  </si>
  <si>
    <t xml:space="preserve">Catherine M. Calaguian </t>
  </si>
  <si>
    <t>Donation to Kurt Angel Melgar for his burial expenses QR: 060722040LGSF</t>
  </si>
  <si>
    <t xml:space="preserve">Ace C. Rubiano </t>
  </si>
  <si>
    <t>Donation to Joyce Ann/ Aaliyah Yve Rubiano for their hospital bills QR: 060622023LGSF</t>
  </si>
  <si>
    <t>Donation to Salvador Labasbas for his hospital bill QR: 060622021LGSF</t>
  </si>
  <si>
    <t>Donation to Maribeth Dizon for her hospital bill QR: 060722015LGSF</t>
  </si>
  <si>
    <t xml:space="preserve">Consolacion R. Baluyot </t>
  </si>
  <si>
    <t>Donation to the client for her hospital bill QR: 060622005LGSF</t>
  </si>
  <si>
    <t>Donation to Erhanna Nicole Banzon for her hospital bill QR: 060822001LGSF</t>
  </si>
  <si>
    <t xml:space="preserve">Albert L. Castro </t>
  </si>
  <si>
    <t>Donation to Arbie Castro for her hospital bill QR: 060322022LGSF</t>
  </si>
  <si>
    <t>Donation to Roberto Blanas for his hospital bill QR: 060322006LGSF</t>
  </si>
  <si>
    <t xml:space="preserve">Ronaldo C. Inocencio </t>
  </si>
  <si>
    <t>Donation to Cherish Miracle Inocencio for her hospital bill QR: 060322008LGSF</t>
  </si>
  <si>
    <t xml:space="preserve">Tomasa S. Gonzalo </t>
  </si>
  <si>
    <t>Donation to Arnold Orbital for his hospital bill and medical needs QR: 060722047LGSF</t>
  </si>
  <si>
    <t>Donation to Eduardo Ganacias for his medical needs QR: 060722036LGSF</t>
  </si>
  <si>
    <t xml:space="preserve">Belinda O. Taller </t>
  </si>
  <si>
    <t>Donation to Juancho Miguel Taller for his medical needs QR: 060622029LGSF</t>
  </si>
  <si>
    <t xml:space="preserve">Josephine E. Pesito </t>
  </si>
  <si>
    <t>Donation to Bienvenido Ramos Jr. for his medical needs QR: 060622012LGSF</t>
  </si>
  <si>
    <t xml:space="preserve">Marlene R. Catalan </t>
  </si>
  <si>
    <t>Donation to Victor Catalan for his medical needs QR: 060622043LGSF</t>
  </si>
  <si>
    <t>Donation to Ignacio Alegarbes for his medical needs QR: 060722037LGSF</t>
  </si>
  <si>
    <t>Donation to Princess Marykeith Miranda for her burial expenses QR: 060922006LGSF</t>
  </si>
  <si>
    <t>Donation to Alejandro Dela Rosa for his burial expenses QR: 061022017LGSF</t>
  </si>
  <si>
    <t>Donation to Felipe Calamba Jr. for his burial expenses QR: 060822003LGSF</t>
  </si>
  <si>
    <t xml:space="preserve">Jerry D. Cruz </t>
  </si>
  <si>
    <t>Donation to the client for his medical needs QR: 061022006LGSF</t>
  </si>
  <si>
    <t xml:space="preserve">Rizaldo F. Rico </t>
  </si>
  <si>
    <t>Donation to Maria Teresa Rocha for her medical needs QR: 060722002LGSF</t>
  </si>
  <si>
    <t>Donation to Carl Justine Manzan for his hospital bill QR: 061022018LGSF</t>
  </si>
  <si>
    <t xml:space="preserve">Criselda P. Mendoza </t>
  </si>
  <si>
    <t>Donation to Yohann Mendoza for her hospital bill QR: 061022021LGSF</t>
  </si>
  <si>
    <t xml:space="preserve">Ylea Lei D. Layug </t>
  </si>
  <si>
    <t>Donation to Gladys Layug for her hospital bill QR: 061022009LGSF</t>
  </si>
  <si>
    <t>Donation to Esfelord De Leon for his hospital bill QR: 061022011LGSF</t>
  </si>
  <si>
    <t xml:space="preserve">John Melvin R. Pajarin </t>
  </si>
  <si>
    <t>Donation to Yannie Lace Ubas and Jose Antonio Pajarin for their hospital bill QR: 061022012LGSF</t>
  </si>
  <si>
    <t xml:space="preserve">Reign Christa S. Bulseco </t>
  </si>
  <si>
    <t>Donation to Normita Bulseco for her hospital bill QR: 061022002LGSF</t>
  </si>
  <si>
    <t xml:space="preserve">Kathleen M. Bantugan </t>
  </si>
  <si>
    <t>Donation to Dennis Emmanuel Manansala for his hospital bill QR: 060922001LGSF</t>
  </si>
  <si>
    <t>Donation to Joven Veron Long for his hospital bill QR: 060922002LGSF</t>
  </si>
  <si>
    <t>Donation to jeric Benz Aganon for his hospital bill QR: 061322016LGSF</t>
  </si>
  <si>
    <t xml:space="preserve">Susana P. Medina </t>
  </si>
  <si>
    <t>Donation to Renato Medina for his burial expenses and hospital bill QR: 060922008LGSF</t>
  </si>
  <si>
    <t xml:space="preserve">Jerico C. Malibiran </t>
  </si>
  <si>
    <t>Donation to Rodolfo Jr. Malibiran for his burial expenses QR: 061322011LGSF</t>
  </si>
  <si>
    <t>Donation to Myrna De Ocampo for her hospital bill QR: 061322013LGSF</t>
  </si>
  <si>
    <t>Donation to Mark Alfred Labog for his hospital bill QR: 061322010LGSF</t>
  </si>
  <si>
    <t xml:space="preserve">Justine B. Azares </t>
  </si>
  <si>
    <t>Donation to Michaella Azares for her hospital bill QR: 061322012LGSF</t>
  </si>
  <si>
    <t xml:space="preserve">Christian V. Pizarro </t>
  </si>
  <si>
    <t>Donation to Maria Fe Luna for her hospital bill QR: 060922004LGSF</t>
  </si>
  <si>
    <t xml:space="preserve">R. Rhomielo T. Castillo </t>
  </si>
  <si>
    <t>Donation to Romeo Castillo for his hospital bill QR: 061022016LGSF</t>
  </si>
  <si>
    <t xml:space="preserve">Fanny H. Yambao </t>
  </si>
  <si>
    <t>Donation to the client for his medical needs QR: 061322005LGSF</t>
  </si>
  <si>
    <t xml:space="preserve">May B. Laluna </t>
  </si>
  <si>
    <t>Donation to Alexander Baclaan for his burial expenses QR: 061322017LGSF</t>
  </si>
  <si>
    <t xml:space="preserve">Necie M. Novera </t>
  </si>
  <si>
    <t>Donation to Joel Novera for his burial expenses QR: 061322015LGSF</t>
  </si>
  <si>
    <t xml:space="preserve">Maria Veronica T. Mendoza </t>
  </si>
  <si>
    <t>Donation to Alfredo Mendoza for his hospital bill QR: 061322014LGSF</t>
  </si>
  <si>
    <t xml:space="preserve">Alexander R. Madarang </t>
  </si>
  <si>
    <t>Donation to Leonardo Robles for his hospital bill and medical expenses QR: 061322004LGSF</t>
  </si>
  <si>
    <t xml:space="preserve">Dexter G. Caillo </t>
  </si>
  <si>
    <t>Donation to Maricar Caillo for her hospital bill and medical expenses QR: 061322007LGSF</t>
  </si>
  <si>
    <t xml:space="preserve">Agnes A. Mera </t>
  </si>
  <si>
    <t>Donation to the client for her hopital bill QR: 061322019LGSF</t>
  </si>
  <si>
    <t xml:space="preserve">Jeremie S. Isidro </t>
  </si>
  <si>
    <t>Donation to Romeo Isidro for his hospital bill QR: 061022008LGSF</t>
  </si>
  <si>
    <t xml:space="preserve">Delia D. Parungao </t>
  </si>
  <si>
    <t>Donation to John Darylle Canuela for her medical needs QR: 061322002LGSF</t>
  </si>
  <si>
    <t xml:space="preserve">Rizaldy B. Ongoco </t>
  </si>
  <si>
    <t>Donation to Jhimwel Ongoco for his medical needs QR: 061322003LGSF</t>
  </si>
  <si>
    <t xml:space="preserve">Josefina S. Ibarra </t>
  </si>
  <si>
    <t>Donation to the client for her medical needs QR: 061322009LGSF</t>
  </si>
  <si>
    <t xml:space="preserve">Amanda V. Santos </t>
  </si>
  <si>
    <t>Donation to Luis Santos for his medical needs QR: 061322008LGSF</t>
  </si>
  <si>
    <t>21st PArtial payment of package training expenses for the provincial wide Brgy Disaster Risk Reduction Education &amp; emeregency medical first responder</t>
  </si>
  <si>
    <t>Donation for the hospital bills covering the period May 30 - June 3, 2022</t>
  </si>
  <si>
    <t xml:space="preserve">Gregorio Jr. M. Cruz </t>
  </si>
  <si>
    <t>Donation to Gladys Cruz for her medical needs QR: 061522008LGSF</t>
  </si>
  <si>
    <t>Donation to Bren Joseph Samiano for his hospital bill QR: 061522010LGSF</t>
  </si>
  <si>
    <t>Donation to Reynaldo Magno for his medical needs QR: 061522007LGSF</t>
  </si>
  <si>
    <t>Donation to Joycee Celecio for her burial expenses QR: 061522005LGSF</t>
  </si>
  <si>
    <t xml:space="preserve">Adjutor D. Rayon </t>
  </si>
  <si>
    <t>Donation to Jennefer Rayon for her burial expenses QR: 061422016LGSF</t>
  </si>
  <si>
    <t>Donation to Felipe Rivera for his burial expenses QR: 061422009LGSF</t>
  </si>
  <si>
    <t xml:space="preserve">Lolita R. Abad </t>
  </si>
  <si>
    <t>Donation to Alvin Abad for his burial expenses QR: 061622005LGSF</t>
  </si>
  <si>
    <t xml:space="preserve">Relyn S. de Guzman </t>
  </si>
  <si>
    <t>Donation to Reynaldo Sanchez for his medical needs QR: 061622001LGSF</t>
  </si>
  <si>
    <t xml:space="preserve">Jhoy L. Tulio </t>
  </si>
  <si>
    <t>Donation to Michael Tulio for his medical needs QR: 061622002LGSF</t>
  </si>
  <si>
    <t xml:space="preserve">Adelaida S. Asparo </t>
  </si>
  <si>
    <t>Donation to the client for her medical needs QR: 061622003LGSF</t>
  </si>
  <si>
    <t xml:space="preserve">John Ray P. Matacot </t>
  </si>
  <si>
    <t xml:space="preserve">Annaliza B. Ramos </t>
  </si>
  <si>
    <t>Donation to Emman Vincent Ramos for his hospital bill QR: 061622006LGSF</t>
  </si>
  <si>
    <t>Donation to Alicia Tuazon for her medical needs QR: 061422010LGSF</t>
  </si>
  <si>
    <t xml:space="preserve">Carlito B. Carig </t>
  </si>
  <si>
    <t>Donation to Francisca Carig for her hospital bill QR: 061422006LGSF</t>
  </si>
  <si>
    <t xml:space="preserve">Simeona P. Leido </t>
  </si>
  <si>
    <t>Donation to Rechelle Torres for her hospital bill QR: 061422013LGSF</t>
  </si>
  <si>
    <t xml:space="preserve">Alaysa Marie A. Tolentino </t>
  </si>
  <si>
    <t>Donation to Dane Alexa Tolentino for her hospital bill QR: 061422014LGSF</t>
  </si>
  <si>
    <t>Donation to Oscar Salazar for his medical needs QR: 061422012LGSF</t>
  </si>
  <si>
    <t xml:space="preserve">Romeo B. Macalinao </t>
  </si>
  <si>
    <t>Donation to Flocerfida Macalinao for her medical needs QR: 061522001LGSF</t>
  </si>
  <si>
    <t>Donation to Raymond Yambao for his doctor's professional fee QR: 061522002LGSF</t>
  </si>
  <si>
    <t xml:space="preserve">Francheska N. Veloria </t>
  </si>
  <si>
    <t>Donation to Maria Susan Ongoco for her hospital bill and medical needs QR: 061522006LGSF</t>
  </si>
  <si>
    <t xml:space="preserve">Ricardo P. Alfonso </t>
  </si>
  <si>
    <t>Donation to the client for his medical needs QR: 061522009LGSF</t>
  </si>
  <si>
    <t xml:space="preserve">Digna A. Coronel </t>
  </si>
  <si>
    <t>DONATION TO LEA NULOD FOR HER BURIAL EXPENSES QR: 061422002LGSF</t>
  </si>
  <si>
    <t xml:space="preserve">Lancer D. Del Rosario </t>
  </si>
  <si>
    <t>Donation to Faustio Del Rosario for his hospital bill QR: 061422005LGSF</t>
  </si>
  <si>
    <t>Donation to Jinky Bustamante for her hospital bill QR: 061422004LGSF</t>
  </si>
  <si>
    <t>Modular Tent for the Provincial Evacuation Center</t>
  </si>
  <si>
    <t xml:space="preserve">Imelda B. Manalansan </t>
  </si>
  <si>
    <t>Donation to Jenny Manansala fro her hospital bill QR: 061422007LGSF</t>
  </si>
  <si>
    <t xml:space="preserve">Arsenio C. Dela Cruz </t>
  </si>
  <si>
    <t>Donation to Marieta Dela Cruz for her burial expenses QR: 061422011LGSF</t>
  </si>
  <si>
    <t xml:space="preserve">Leandro M. Magpoc </t>
  </si>
  <si>
    <t>Donation to Lolita Magpoc for her burial expenses QR: 062022002LGSF</t>
  </si>
  <si>
    <t xml:space="preserve">Soledad I. Morina </t>
  </si>
  <si>
    <t>Donation to Raymundo Izopn for his burial expenses QR: 062122003</t>
  </si>
  <si>
    <t xml:space="preserve">Leo R. Dela Rosa </t>
  </si>
  <si>
    <t>Donation to Elvira Rivera for her burial expenses QR: 062122004LGSF</t>
  </si>
  <si>
    <t>Donation to Emily Lopez for her medical needs QR: 062122001LGSF</t>
  </si>
  <si>
    <t xml:space="preserve">Jessa P. Dilan </t>
  </si>
  <si>
    <t>Donation to Jessa Dilan for her medical needs QR: 062122002LGSF</t>
  </si>
  <si>
    <t xml:space="preserve">Raymond T. Samonte </t>
  </si>
  <si>
    <t>Donation to Charlie Samonte for his hospital bill QR: 062022003LGSF</t>
  </si>
  <si>
    <t xml:space="preserve">Hazel M. Macaspac </t>
  </si>
  <si>
    <t>Donation to Hanz Jacob Macaspac for his medical needs QR: 062022001LGSF</t>
  </si>
  <si>
    <t>Donation to Librada Salandanan for her medical needs QR: 061622011LGSF</t>
  </si>
  <si>
    <t xml:space="preserve">Aliyah Gavine S. Hernandez </t>
  </si>
  <si>
    <t>Donation to Madonna Hernandez for her medical needs QR: 053022010LGSF</t>
  </si>
  <si>
    <t xml:space="preserve">Lianne Joyce P. Reyes </t>
  </si>
  <si>
    <t>Donation to Romeo Reyes for his burial expenses QR: 061622009LGSF</t>
  </si>
  <si>
    <t xml:space="preserve">Don Alfredo III V. Mendoza </t>
  </si>
  <si>
    <t>Donation to Ricardo II Mendoza for his burial expenses QR: 061722003LGSF</t>
  </si>
  <si>
    <t xml:space="preserve">Fernando Jr. D. De Leon </t>
  </si>
  <si>
    <t>Donation to Corazon De Leon for her hospital bill QR: 061622008LGSF</t>
  </si>
  <si>
    <t xml:space="preserve">Liz J. Nangitngitan </t>
  </si>
  <si>
    <t>Donation to Rosario Nangitngitan for her medical needs QR: 061722006LGSF</t>
  </si>
  <si>
    <t xml:space="preserve">Bienvenido Jr. D. Medina </t>
  </si>
  <si>
    <t>Donation to the client for his medical needs QR: 061722007LGSF</t>
  </si>
  <si>
    <t xml:space="preserve">Raquel G. Anulacion </t>
  </si>
  <si>
    <t>Donation to Czarinah Jennell Anulacion for her medical needs QR: 061722004LGSF</t>
  </si>
  <si>
    <t xml:space="preserve">Jeremiah C. Argaño </t>
  </si>
  <si>
    <t>Donation to the client for his medical needs QR: 061722001LGSF</t>
  </si>
  <si>
    <t xml:space="preserve">Arlene R. Calma </t>
  </si>
  <si>
    <t>Donation to Alfredo Calma for his hospital bill QR: 061722005LGSF</t>
  </si>
  <si>
    <t xml:space="preserve">Mae P. Reyes </t>
  </si>
  <si>
    <t>Donation to Ronnie Reyes for his burial expenses QR: 061722009LGSF</t>
  </si>
  <si>
    <t>Donation to Carolyn Tinao for her hospital bill QR: 061322006LGSF</t>
  </si>
  <si>
    <t xml:space="preserve">Leila C. Estioco </t>
  </si>
  <si>
    <t>DONATION TO JEREMIAH JOHNSON FOR HIS HOSPITAL BILL QR: 061622004LGSF</t>
  </si>
  <si>
    <t xml:space="preserve">Alma L. Hernando </t>
  </si>
  <si>
    <t>Donation to Narciso De Leon fpor his burial expenses QR: 061322001LGSF</t>
  </si>
  <si>
    <t xml:space="preserve">Nikostek Inc. </t>
  </si>
  <si>
    <t>1% retention for COVID-19 system suite for contact tracing center operartions center</t>
  </si>
  <si>
    <t>Assorted supplies for the Provincial Evacuation Center</t>
  </si>
  <si>
    <t>22nd PArtial payment of package training expenses for the provincial wide Brgy Disaster Risk Reduction Education &amp; emeregency medical first responder</t>
  </si>
  <si>
    <t>Donation to Philip Gonzales for his medical needs QR: 063022017LGSF</t>
  </si>
  <si>
    <t xml:space="preserve">Jayson S. Magadia </t>
  </si>
  <si>
    <t>Donation to Kimberly Magadia for her burial expenses QR: 062222004LGSF</t>
  </si>
  <si>
    <t xml:space="preserve">Ma. Catrina E. Dela Peña </t>
  </si>
  <si>
    <t>Donation to Poliocarpio Enriquez for his burial; expenses QR: 062222002LGSF</t>
  </si>
  <si>
    <t xml:space="preserve">Sharel H. Cabildo </t>
  </si>
  <si>
    <t>Donation to Gjohaenz Szkeiylrr Illustrisimo for her hospital bill QR: 062122005LGSF</t>
  </si>
  <si>
    <t xml:space="preserve">Paul Laurence D. Bautista </t>
  </si>
  <si>
    <t>Donstion to Paolo Louissa Bautista and Charmaige Bautista for their hospital bills QR: 062122006LGSF</t>
  </si>
  <si>
    <t xml:space="preserve">Rafaela M. Bañez </t>
  </si>
  <si>
    <t>Donation to Jellene Mauricio for his hospital bill QR: 062222005LGSF</t>
  </si>
  <si>
    <t>Donation to Mary Jane Escabillo for her hospital bill QR: 062122007LGSF</t>
  </si>
  <si>
    <t xml:space="preserve">Avegail V. Navales </t>
  </si>
  <si>
    <t>Donation to Evelyn Navales for doctor's professional fee and medical needs QR: 062222001LGSF</t>
  </si>
  <si>
    <t xml:space="preserve">Jun Ryan E. Planta </t>
  </si>
  <si>
    <t>Donation to Jassel Karen Mendoza for her medical needs QR: 062322023LGSF</t>
  </si>
  <si>
    <t>Subscription of Cloud Database Server Extension and Upgrade for Covid - 19 Management System</t>
  </si>
  <si>
    <t xml:space="preserve">Jennifer L. Mangaliman </t>
  </si>
  <si>
    <t>Donation to Abigael Mangaliman for her medical needs QR: 062322014LGSF</t>
  </si>
  <si>
    <t xml:space="preserve">Zenaida T. Pagatpatan </t>
  </si>
  <si>
    <t>Donation to Antonio Zaldy Montaces for his medical needs QR: 062922004LGSF</t>
  </si>
  <si>
    <t xml:space="preserve">Elisa R. Nicodemus </t>
  </si>
  <si>
    <t>Donation to Eiron John Castell for his medical needs QR: 062822008LGSF</t>
  </si>
  <si>
    <t>Donation to the client for her medical needs QR: 062322025LGSF</t>
  </si>
  <si>
    <t xml:space="preserve">Aldrine B. Benamir </t>
  </si>
  <si>
    <t>Donation to Joanna Cristina Rodrigo for her hospital bill QR: 062422011LGSF</t>
  </si>
  <si>
    <t xml:space="preserve">Juan C. Reyes </t>
  </si>
  <si>
    <t>Donation to the client for his medical needs QR: 062422012LGSF</t>
  </si>
  <si>
    <t xml:space="preserve">Teresita P. Macalinao </t>
  </si>
  <si>
    <t>Donation to Raymart Macalinao for his medical needs QR: 062422009LGSF</t>
  </si>
  <si>
    <t xml:space="preserve">Luzviminda C. De Guzman </t>
  </si>
  <si>
    <t>Donation to the client for her medical needs QR: 062422008LGSF</t>
  </si>
  <si>
    <t>Donation to Lexter Malimban for his medical needs QR: 062422006LGSF</t>
  </si>
  <si>
    <t xml:space="preserve">Dave Mark M. Pagala </t>
  </si>
  <si>
    <t>Donation to Marilyn Pagalan for her medical needs QR: 062722009LGSF</t>
  </si>
  <si>
    <t xml:space="preserve">Jennifer T. Cosme </t>
  </si>
  <si>
    <t>Donation to Patrice Ann Cosme for her hospital bill QR: 062722006LGSF</t>
  </si>
  <si>
    <t xml:space="preserve">Marife D. Maravilla </t>
  </si>
  <si>
    <t>Donation to Oliver Maravilla for his burial expenses QR: 062422010LGSF</t>
  </si>
  <si>
    <t>Donation to Calyx Jio Aranas for his burial expenses QR: 062722008LGSF</t>
  </si>
  <si>
    <t>Donation to Jerick Malanum for his burial expenses QR: 062722005LGSF</t>
  </si>
  <si>
    <t>Donation to Ashley Cae S. Quiroz for her Scoliosis Brace QR: 062922014LGSF</t>
  </si>
  <si>
    <t>Donation to Carmelita Valencia for her burial expenses QR: 062922001LGSF</t>
  </si>
  <si>
    <t>Donation to Diosdado Jimenez for his medical needs QR: 062422007LGSF</t>
  </si>
  <si>
    <t xml:space="preserve">Julius A. Dizon </t>
  </si>
  <si>
    <t>Donation to Donnabelle Navarro for her hospital bill and medical needs QR: 062422005LGSF</t>
  </si>
  <si>
    <t>Donation to Razzy Levin Regencia for his burial expenses QR: 062222006LGSF</t>
  </si>
  <si>
    <t xml:space="preserve">Salta Funeral Home </t>
  </si>
  <si>
    <t>Donation to Zenaida Enriquez for her burial expenses QR: 070422001LGSF</t>
  </si>
  <si>
    <t xml:space="preserve">Lucelita S. Cuenco </t>
  </si>
  <si>
    <t>Donation to Rodrigo Cuenco for burial expenses QR: 062322018LGSF</t>
  </si>
  <si>
    <t xml:space="preserve">Wilda R. Alcan </t>
  </si>
  <si>
    <t>Donation to Wilbert Alacan for his burial expenses QR: 062322015LGSF</t>
  </si>
  <si>
    <t xml:space="preserve">Lorne Loren H. Oncino </t>
  </si>
  <si>
    <t>Donation to Karen Joy Oncino for her burial expenses QR: 062322009LGSF</t>
  </si>
  <si>
    <t>Donation to Leonardo Pajarin for his burial expenses QR: 062422015LGSF</t>
  </si>
  <si>
    <t xml:space="preserve">Richard C. Soriano </t>
  </si>
  <si>
    <t>Donation to Lavinia Soriano for her hospital bill QR: 062322021LGSF</t>
  </si>
  <si>
    <t xml:space="preserve">Leonora P. Verano </t>
  </si>
  <si>
    <t>Donation to Regalado Verano for his medical needs QR: 062322006LGSF</t>
  </si>
  <si>
    <t xml:space="preserve">Vivian P. Canaria </t>
  </si>
  <si>
    <t>Donation to Vince Jeremy Canaria for his medical needs QR: 062322013LGSF</t>
  </si>
  <si>
    <t xml:space="preserve">Benjamin P. Andaya </t>
  </si>
  <si>
    <t>Donation to the client fore his medical needs QR: 062322008LGSF</t>
  </si>
  <si>
    <t xml:space="preserve">Jayson G. Landicho </t>
  </si>
  <si>
    <t>Donation to Aida Gutierrez for her medical needs QR: 062322012LGSF</t>
  </si>
  <si>
    <t>Donation to rhe client for his medical needs QR: 063022011LGSF</t>
  </si>
  <si>
    <t xml:space="preserve">Jhonna C. Cercado </t>
  </si>
  <si>
    <t>Donation to France Mateo Cercado for his hospital bill and medical needs QR: 062322005LGSF</t>
  </si>
  <si>
    <t xml:space="preserve">Mia Trina N. Gaynilo </t>
  </si>
  <si>
    <t>Donation to the client for her hospital bill QR: 062322022LGSF</t>
  </si>
  <si>
    <t>Donation to Candelaria Trinidad for her hospital bill QR: 062322017LGSF</t>
  </si>
  <si>
    <t xml:space="preserve">Eduardo E. Timbang </t>
  </si>
  <si>
    <t>Donation to the client for his hospital bill and medical needss QR: 062322010LGSF</t>
  </si>
  <si>
    <t>Donation to Keith Ctrus Dinglasan for his hospital bill QR: 062422016LGSF</t>
  </si>
  <si>
    <t xml:space="preserve">Norbelita M. Acuña </t>
  </si>
  <si>
    <t>Donation to Alfredo Marcelo for his medical needs QR: 062322003LGSF</t>
  </si>
  <si>
    <t>Donation to Isidro Gaid for his medical needs QR: 0623220002LGSF</t>
  </si>
  <si>
    <t xml:space="preserve">Ruby C. Valencia </t>
  </si>
  <si>
    <t>Donation to Reynaldo Cabali for his medical needs QR: 062322020LGSF</t>
  </si>
  <si>
    <t>Donation to Zacchaeus Meini Mangandi for his nedical needs QR: 062322019LGSF</t>
  </si>
  <si>
    <t xml:space="preserve">Raymark C. Bangcolita </t>
  </si>
  <si>
    <t>Donation to Hilario Bangcolita for his medical needs QR: 062322011LGSF</t>
  </si>
  <si>
    <t xml:space="preserve">Germilina A. Alonzo </t>
  </si>
  <si>
    <t>Donation to the client for her medical needs QR: 062322007LGSF</t>
  </si>
  <si>
    <t xml:space="preserve">Giovanni B. Guiban </t>
  </si>
  <si>
    <t>Donation to the client for his medical needs QR: 062722001LGSF</t>
  </si>
  <si>
    <t xml:space="preserve">Myra M. Bocauto </t>
  </si>
  <si>
    <t>Donation to Rochelle Bocauto for her medical needs QR: 062422013LGSF</t>
  </si>
  <si>
    <t xml:space="preserve">Rosemarie M. Punzalan </t>
  </si>
  <si>
    <t>Donation to Hernando Marzan for his medical needs QR: 062322016LGSF</t>
  </si>
  <si>
    <t xml:space="preserve">Regina R. Sta Ana </t>
  </si>
  <si>
    <t>Donation to Regulo Batalla Sta Anna for his burial expenses QR: 062922005LGSF</t>
  </si>
  <si>
    <t xml:space="preserve">Rona M. Vergara </t>
  </si>
  <si>
    <t>Donation to Alberto Vergara for his burial expenses QR: 062922015LGSF</t>
  </si>
  <si>
    <t xml:space="preserve">Merla A. Delos Reyes </t>
  </si>
  <si>
    <t>Donation to Alberto Añover for his burial expenses QR: 062922002LGSF</t>
  </si>
  <si>
    <t xml:space="preserve">Yolanda N. Gatdula </t>
  </si>
  <si>
    <t>Donation to Daniel Gatdula for his burial expenses QR: 062822010LGSF</t>
  </si>
  <si>
    <t xml:space="preserve">Aira Joie N. Gavino </t>
  </si>
  <si>
    <t>Donation to Jacinto Gavino Jr. for his burial expenses QR: 062822009LGSF</t>
  </si>
  <si>
    <t xml:space="preserve">Alicia M. Nisay </t>
  </si>
  <si>
    <t>Donation to Francisca Martin for her burial expenses QR: 063022008LGSF</t>
  </si>
  <si>
    <t>Donation to Rose Ann Rodriguez for her burial expenses QR: 062422003LGSF</t>
  </si>
  <si>
    <t xml:space="preserve">Milagros A. Gonzales </t>
  </si>
  <si>
    <t>Donation to Rolando Gonzales for his burial expenses QR: 063022006LGSF</t>
  </si>
  <si>
    <t>RAN  GATDULA - Donation to Dolores Gatdula for her burial expenses QR: 063022024LGSF</t>
  </si>
  <si>
    <t xml:space="preserve">Leonardo V R. Peralta </t>
  </si>
  <si>
    <t>Donation to Mary Ann Peralta for her hospital bill QR: 062922017LGSF</t>
  </si>
  <si>
    <t>Donation to Emelita Gose for her hospital bill QR: 062922007LGSF</t>
  </si>
  <si>
    <t xml:space="preserve">Louie R. Calingay </t>
  </si>
  <si>
    <t>Donation to Gina Calingay for her hospital bill QR: 062922006LGSF</t>
  </si>
  <si>
    <t>Donation to Renita Ramos for her hospital bill QR: 062822017LGSF</t>
  </si>
  <si>
    <t xml:space="preserve">Marty Joven M. Nicolas </t>
  </si>
  <si>
    <t>Donation to Joanna Nicolas for her hospital bill QR: 062822005LGSF</t>
  </si>
  <si>
    <t xml:space="preserve">Virgilio I. Bagtas </t>
  </si>
  <si>
    <t>Donation to Edwin Bagtas for his hospital bill QR: 062822015LGSF</t>
  </si>
  <si>
    <t xml:space="preserve">Violeta V. Baltazar </t>
  </si>
  <si>
    <t>Donation to Vince Nathan Sanchez for his hospital bill QR: 062822014LGSF</t>
  </si>
  <si>
    <t xml:space="preserve">Vince Edward R. Tiberio </t>
  </si>
  <si>
    <t>Donation to King Vincent Tiberio for his hospital bill QR: 062822012LGSF</t>
  </si>
  <si>
    <t xml:space="preserve">Mary Geline B. Glemao </t>
  </si>
  <si>
    <t>Donation to Federico Bautista Jr. for his hospital bill QR: 062722010LGSF</t>
  </si>
  <si>
    <t xml:space="preserve">Rodelia B. Baluyot </t>
  </si>
  <si>
    <t>Donation to Liza Baluyot for her hospital bill QR: 062822004LGSF</t>
  </si>
  <si>
    <t>Donation to Soliman Zulueta for his medical needs QR: 062422001LGSF</t>
  </si>
  <si>
    <t xml:space="preserve">Jasmin M. Maglonzo </t>
  </si>
  <si>
    <t>Donation to Maui M. Maglonzo for her Occupational Therapy  QR: 062822002LGSF</t>
  </si>
  <si>
    <t xml:space="preserve">Alex I. Tallorin </t>
  </si>
  <si>
    <t>Donation to Edna A. Tallorin for her medical needs QR: 062922008LGSF</t>
  </si>
  <si>
    <t xml:space="preserve">Juvielyn R. Torres </t>
  </si>
  <si>
    <t>Donation to Ann Romano Torres for her Radiation Therapy QR: 062922016LGSF</t>
  </si>
  <si>
    <t xml:space="preserve">Angelica C. Saldaña </t>
  </si>
  <si>
    <t>Donation to client for her Hearing Aid. QR: 062922010LGSF</t>
  </si>
  <si>
    <t xml:space="preserve">Rowena M. Ponce </t>
  </si>
  <si>
    <t>Donation to Eduardo D. Ponce for his medical needs QR: 062922013LGSF</t>
  </si>
  <si>
    <t xml:space="preserve">Eliseo S. Samañieto </t>
  </si>
  <si>
    <t>Donation to client for his medical needs QR: 062922011LGSF</t>
  </si>
  <si>
    <t>Donation to Marilou Barrun for her hospital bill and medical needs QR: 063022013LGSF</t>
  </si>
  <si>
    <t xml:space="preserve">Francia P. Butial </t>
  </si>
  <si>
    <t>Donation to the client for her medical needs QR: 063022015LGSF</t>
  </si>
  <si>
    <t xml:space="preserve">Jeffryl P. Peralta </t>
  </si>
  <si>
    <t>Donation to the client for his medical needs QR: 063022021LGSF</t>
  </si>
  <si>
    <t xml:space="preserve">Rosalie Costales </t>
  </si>
  <si>
    <t>Donation to Angelina L. Peña for her medical needs</t>
  </si>
  <si>
    <t xml:space="preserve">Lilibeth Salandanan </t>
  </si>
  <si>
    <t xml:space="preserve">Bernard Naguiat </t>
  </si>
  <si>
    <t>Donation to Melissa Naguiat for her medical needs</t>
  </si>
  <si>
    <t>John Levie Tajonera</t>
  </si>
  <si>
    <t>Onation to the client for his medical needs</t>
  </si>
  <si>
    <t>Rommel Ramos</t>
  </si>
  <si>
    <t>Donation to Analyn Ramos for her medical needs</t>
  </si>
  <si>
    <t>Nanette De Leon</t>
  </si>
  <si>
    <t xml:space="preserve">Donation to Shiela Mae Udtojan for her medical needs
</t>
  </si>
  <si>
    <t>Marites Literal</t>
  </si>
  <si>
    <t>Donation to Rosita Ramos for her hospital bill</t>
  </si>
  <si>
    <t>Dexter Dela Cruz</t>
  </si>
  <si>
    <t xml:space="preserve">Donation to Khaleb Denzell Dela Cruz for her hospital 
</t>
  </si>
  <si>
    <t>PerlitaDe Guzman</t>
  </si>
  <si>
    <t xml:space="preserve">Donation to Reynaldo De Guzman for his hospital bill
</t>
  </si>
  <si>
    <t>Lualhati Bautista</t>
  </si>
  <si>
    <t>Maria Stephanie Calara</t>
  </si>
  <si>
    <t>Donation to Ruperto Jr. Gaña for his medical needs</t>
  </si>
  <si>
    <t>Shella Ann Castillo</t>
  </si>
  <si>
    <t>Donation to Ace Jansen Castillo for her hospital bill</t>
  </si>
  <si>
    <t xml:space="preserve">Merla Delos Reyes </t>
  </si>
  <si>
    <t>Onation to client for her medical needs and laboratory.</t>
  </si>
  <si>
    <t>Leonardo Luzon</t>
  </si>
  <si>
    <t>Margie Joson</t>
  </si>
  <si>
    <t xml:space="preserve">Onation to Ronnie S. Joson for his medical needs
</t>
  </si>
  <si>
    <t>Noralie Junio</t>
  </si>
  <si>
    <t>Donation to Ediberto D. Turla for his chemotherapy</t>
  </si>
  <si>
    <t>Paulo Perez</t>
  </si>
  <si>
    <t xml:space="preserve">Donation to the client for his medical needs
</t>
  </si>
  <si>
    <t>Herna Sisante</t>
  </si>
  <si>
    <t>Donation to Edna Guarin for her hospital bill</t>
  </si>
  <si>
    <t>Rizalita Gomez</t>
  </si>
  <si>
    <t>Donation to Candido Gomez for his hospital bill</t>
  </si>
  <si>
    <t>Amor Hearera</t>
  </si>
  <si>
    <t>Donation to Noel Artuz for his hospital bill</t>
  </si>
  <si>
    <t>Marites Mangunon</t>
  </si>
  <si>
    <t>Donation to Maura Mangunon for her medical needs</t>
  </si>
  <si>
    <t>Milagros Cruz</t>
  </si>
  <si>
    <t>Onation to the client for her medical needs</t>
  </si>
  <si>
    <t>Ana Marie Gonzales</t>
  </si>
  <si>
    <t>Delio Mancha</t>
  </si>
  <si>
    <t>Marcia Diaño</t>
  </si>
  <si>
    <t>Donation to Gregorio Jr. Diaño for his medical needs</t>
  </si>
  <si>
    <t xml:space="preserve">Kyanne Kate Malibiran </t>
  </si>
  <si>
    <t>Donation to Alfredo Malibiran for his medical needs</t>
  </si>
  <si>
    <t>Jocelyn Reyes</t>
  </si>
  <si>
    <t>Donation to Karla Liza Izon for her medical needs</t>
  </si>
  <si>
    <t>Ernesto Baltazar</t>
  </si>
  <si>
    <t>Donation to Rosalinda Baltazar for her medical needs</t>
  </si>
  <si>
    <t>Philippine Public Safety and Order Support Group (PPSOSG)</t>
  </si>
  <si>
    <t xml:space="preserve">23rd PArtial payment of package training expenses for the provincial wide Brgy Disaster Risk Reduction Education &amp; emeregency medical first responder </t>
  </si>
  <si>
    <t>Frederick A. Dela Rosa</t>
  </si>
  <si>
    <t>Donation to Luisa Dela Rosa for her hospital bill</t>
  </si>
  <si>
    <t xml:space="preserve">Ricardo jr. L Peña </t>
  </si>
  <si>
    <t>Anna Marie N. Carpio</t>
  </si>
  <si>
    <t>Onation to Benjiene Ira Jr. David for his medical needs</t>
  </si>
  <si>
    <t>Jeslyn T. Suarez</t>
  </si>
  <si>
    <t>Donation to Johara Marie Torres for her medical needs</t>
  </si>
  <si>
    <t>Alicia S. Tiambeng</t>
  </si>
  <si>
    <t>Donation to Alfonso Tiambeng for his medical needs</t>
  </si>
  <si>
    <t>Rodrigo Jr. T. Mislang</t>
  </si>
  <si>
    <t>Donation to Shela Marie Mislang for her medical needs</t>
  </si>
  <si>
    <t xml:space="preserve">Bernadette M. Bautista </t>
  </si>
  <si>
    <t>Donation to Victoria Marcelo for her hospital bill and medical needs</t>
  </si>
  <si>
    <t>Ian S. Peñalosa</t>
  </si>
  <si>
    <t>Donation to Victor Peñalosa for his hospital bill and medical needs</t>
  </si>
  <si>
    <t>Jojo M. Magsino</t>
  </si>
  <si>
    <t>Imelda A. Foronda</t>
  </si>
  <si>
    <t>Donation to Sonia Labrador for her hospital bill and medical needs</t>
  </si>
  <si>
    <t>Winston l. Norte</t>
  </si>
  <si>
    <t>Donation to Rita Aileen Norte for her hospital bill and medical needs</t>
  </si>
  <si>
    <t>Melchor S. Catapang</t>
  </si>
  <si>
    <t>Donation to Wendell Catapang for his hospital bill</t>
  </si>
  <si>
    <t xml:space="preserve">Ana Liza B. Tungol </t>
  </si>
  <si>
    <t>Donation to Rodolfo Balbuena for his burial expenses</t>
  </si>
  <si>
    <t>Albert D. Pineda</t>
  </si>
  <si>
    <t>Marissa j. Decker</t>
  </si>
  <si>
    <t>Donation to Milagros Jara for her burial expenses</t>
  </si>
  <si>
    <t>Liwayway M. Apostol</t>
  </si>
  <si>
    <t>Donation to Joshua for his burial expenses</t>
  </si>
  <si>
    <t>Sarah P. Ronquillo</t>
  </si>
  <si>
    <t>Donation to Danilo Ronquillo for his burial expenses</t>
  </si>
  <si>
    <t>Saturina L. Guzman</t>
  </si>
  <si>
    <t>Donation to   Cipriano Leaban for his burial expenses</t>
  </si>
  <si>
    <t>Ashlie L. Javier</t>
  </si>
  <si>
    <t>Donation to Alberto Javier Jr. for his burial expenses</t>
  </si>
  <si>
    <t>Donation to Teodorico Manuel for his hospital bill and medical needs</t>
  </si>
  <si>
    <t>Wilfredo Jr. M. Enriquez</t>
  </si>
  <si>
    <t xml:space="preserve">Donation to Jaque Amadeus Enriquez for his hospital bill
</t>
  </si>
  <si>
    <t xml:space="preserve">Romyly I. Laureano </t>
  </si>
  <si>
    <t>Donation to Romy I. Laureno Jr. for his burial expenses</t>
  </si>
  <si>
    <t xml:space="preserve">Noel S. Faustino </t>
  </si>
  <si>
    <t>Donation to Precious Anne Padua for her doctor's professional fee</t>
  </si>
  <si>
    <t>Donation to Joseph Nalus for his hospital bill</t>
  </si>
  <si>
    <t xml:space="preserve">Merlyn A. Mina </t>
  </si>
  <si>
    <t xml:space="preserve">Joan R. Neral </t>
  </si>
  <si>
    <t>Donation to Joel Ramirez for his medical  needs</t>
  </si>
  <si>
    <t xml:space="preserve">Reynaldo S. Monta </t>
  </si>
  <si>
    <t>Donation to Rodrigo Monta for his hospital bill</t>
  </si>
  <si>
    <t>Donation to Nelvin Rodriguez for his hospital bill</t>
  </si>
  <si>
    <t xml:space="preserve">Jovy C. Salang </t>
  </si>
  <si>
    <t>Donation to Adela Salang for her hospital bill and doctor's professional fee</t>
  </si>
  <si>
    <t>Lovely Mae A. Santos</t>
  </si>
  <si>
    <t>Donation to Redentor Santos for his medical needs</t>
  </si>
  <si>
    <t xml:space="preserve">Zenaida C. Gadayan </t>
  </si>
  <si>
    <t>Donation to Roberto Gadayan for his medical needs</t>
  </si>
  <si>
    <t>Donation to the client for her medical needs</t>
  </si>
  <si>
    <t xml:space="preserve">Irene B. Sultan </t>
  </si>
  <si>
    <t xml:space="preserve">Nida A. Galvez </t>
  </si>
  <si>
    <t>Donation to Roberto Almario Jr. for his medical needs</t>
  </si>
  <si>
    <t xml:space="preserve">Rhea Ann D. Carillo </t>
  </si>
  <si>
    <t>Donation to Zedd Aldridge Carillo for his medical needs</t>
  </si>
  <si>
    <t>Payment of hospital bill of indigent patients of Bagac Community and Medicare Hospital (BCMH) charge to DOH Fund Medical Assistance, Assistance to Indigent Patients Program for the period of June 2022</t>
  </si>
  <si>
    <t xml:space="preserve">Joanne C. Gerio </t>
  </si>
  <si>
    <t>Donation to Joanne C. Gerio for her Educational Assistance</t>
  </si>
  <si>
    <t xml:space="preserve">Lilybeth E. Nuguid </t>
  </si>
  <si>
    <t>Donation to Danilo Nuguid for his burial expenses</t>
  </si>
  <si>
    <t xml:space="preserve">Lea Mariz C. Vengua </t>
  </si>
  <si>
    <t>Donation to Arlene Cruz for her hospital bill</t>
  </si>
  <si>
    <t>Donation to Jean Carla Bautista for her hospital bill</t>
  </si>
  <si>
    <t xml:space="preserve">Editha S. Tandoc </t>
  </si>
  <si>
    <t>Donation to Jonnadhet Tandoc for her hospital bill</t>
  </si>
  <si>
    <t>Donation to Gianna Amor Paraiso for her medical needs</t>
  </si>
  <si>
    <t xml:space="preserve">Gregorio A. Martin </t>
  </si>
  <si>
    <t>Donation to Jazz Isaah Martin for his medical  needs</t>
  </si>
  <si>
    <t xml:space="preserve">Alfredo D. Bonanza </t>
  </si>
  <si>
    <t>Donation to Cristina Bonanza for her medical needs</t>
  </si>
  <si>
    <t xml:space="preserve">Desiree C. Bondoc </t>
  </si>
  <si>
    <t xml:space="preserve">Myca Joy I. Castro </t>
  </si>
  <si>
    <t>Donation to Narin Castro for her medical needs</t>
  </si>
  <si>
    <t xml:space="preserve">Jane Carla P. De Belen  </t>
  </si>
  <si>
    <t>Donation to Jose Gabriel Lustiva for his hospital bill</t>
  </si>
  <si>
    <t xml:space="preserve">Genna Mae M. Santiago- Dela Cruz </t>
  </si>
  <si>
    <t>DELA CRUZ - Donation to Joaquin Trevo Dela Cruz for his hospital bill and doctor's professional fee</t>
  </si>
  <si>
    <t>Donation to Nilo Sañez for his hospital bill</t>
  </si>
  <si>
    <t>Donation to Violeta Briz for her hospital bill</t>
  </si>
  <si>
    <t>Donation to Raihana Sasmbitory for her hospital bill</t>
  </si>
  <si>
    <t xml:space="preserve">Kathleen Tayo </t>
  </si>
  <si>
    <t>Donation to Geraldo Tayo for his hospital bill and doctor's professional fee</t>
  </si>
  <si>
    <t xml:space="preserve">Annabelle Salenga </t>
  </si>
  <si>
    <t>Donation to Richard Salenga for his hospital bill</t>
  </si>
  <si>
    <t xml:space="preserve">Myra Buena </t>
  </si>
  <si>
    <t>Donation to Myrna Lingad for her hospital bill</t>
  </si>
  <si>
    <t xml:space="preserve">Rose Arias </t>
  </si>
  <si>
    <t>Donation to Jerome Arias for his hospital bill</t>
  </si>
  <si>
    <t xml:space="preserve">Ernesto Maghibon </t>
  </si>
  <si>
    <t>Donation to the client fro his hospital bill</t>
  </si>
  <si>
    <t xml:space="preserve">Aurora Velasquez </t>
  </si>
  <si>
    <t>Donation to Dolores Guila for her medical needs</t>
  </si>
  <si>
    <t xml:space="preserve">Sammy Dimla </t>
  </si>
  <si>
    <t>Donation to Aevery Mckqyavell Dimla for her burial expenses</t>
  </si>
  <si>
    <t xml:space="preserve">Jessame Reyes </t>
  </si>
  <si>
    <t>Donation to Julieta Montemayor for the burial expenses</t>
  </si>
  <si>
    <t xml:space="preserve">Luterio Flores </t>
  </si>
  <si>
    <t>Donation to Janeth Flores for her burial expenses</t>
  </si>
  <si>
    <t xml:space="preserve">Juanita Angeles </t>
  </si>
  <si>
    <t>Donation to  the client  ffor her hospital bill and medical needs</t>
  </si>
  <si>
    <t xml:space="preserve">Jocelyn Sangcal </t>
  </si>
  <si>
    <t>Donation to Amelita Santos for her hospital bill</t>
  </si>
  <si>
    <t xml:space="preserve">Romelie Quiroz </t>
  </si>
  <si>
    <t>Donation to Romulo Quiroz for his hospital bill</t>
  </si>
  <si>
    <t xml:space="preserve">Aldrin John Villaralbo </t>
  </si>
  <si>
    <t>Donation to Justin Villaralbo for his hospital bill</t>
  </si>
  <si>
    <t xml:space="preserve">Jennilyn S. Palo </t>
  </si>
  <si>
    <t>Donation to the client for her medical needs QR: 070722005LGSF</t>
  </si>
  <si>
    <t xml:space="preserve">Arcel C. Daplas </t>
  </si>
  <si>
    <t>Donation to Maricel Daplas for her hospital bill QR: 070722008LGSF</t>
  </si>
  <si>
    <t xml:space="preserve">Maan D. Gomez </t>
  </si>
  <si>
    <t>Donation to the client for her medical needs QR: 070722006LGSF</t>
  </si>
  <si>
    <t>Donation to Ian Ong for his medical needs QR: 070722002LGSF</t>
  </si>
  <si>
    <t xml:space="preserve">Raquel G. Aradanas </t>
  </si>
  <si>
    <t>Donation to George Aradanas for his medical needs QR: 070722003LGSF</t>
  </si>
  <si>
    <t xml:space="preserve">Lualhati D. Flores </t>
  </si>
  <si>
    <t>Donation to Lina Flores for her hospital bill QR: 070722014LGSF</t>
  </si>
  <si>
    <t xml:space="preserve">Bernard R. Bolando </t>
  </si>
  <si>
    <t>Donation to the client for his medical needs QR: 070822003LGSF</t>
  </si>
  <si>
    <t xml:space="preserve">Melinda D. Cruz </t>
  </si>
  <si>
    <t>Donation to Ruchel Ann Canare for her hospital bill QR: 070822002LGSF</t>
  </si>
  <si>
    <t xml:space="preserve">Reynaldo M. Relliza </t>
  </si>
  <si>
    <t>Donation to the client for his medical needs QR: 070422007LGSF</t>
  </si>
  <si>
    <t xml:space="preserve">Arlene C. Opinio </t>
  </si>
  <si>
    <t>Donation to Anastacio Caguntas for his burial expenses QR: 070422011LGSF</t>
  </si>
  <si>
    <t>Donation to Lolita Mateo for her medical needs QR: 070822008LGSF</t>
  </si>
  <si>
    <t>Donation to Avelina Sobejana for her hospital bill QR: 070822006LGSF</t>
  </si>
  <si>
    <t xml:space="preserve">Amelia P. Maliwat </t>
  </si>
  <si>
    <t>Donation to the client for her hospital bill and medical needs QR: 070722004LGSF</t>
  </si>
  <si>
    <t xml:space="preserve">Flordeliza M. Jimenez </t>
  </si>
  <si>
    <t>Donation Nelia Mercado for her medical needs QR: 070722009LGSF</t>
  </si>
  <si>
    <t xml:space="preserve">Meraldo F. Sarmiento Sr. </t>
  </si>
  <si>
    <t>Donation to the client for his medical needs QR: 070722001LGSF</t>
  </si>
  <si>
    <t xml:space="preserve">Marilyn A. Castro </t>
  </si>
  <si>
    <t>Donation to the client for her hospital bill QR: 070722012LGSF</t>
  </si>
  <si>
    <t xml:space="preserve">Celia C. Flores </t>
  </si>
  <si>
    <t>Donation to Amelia Floresd for her medical needs QR: 070722010LGSF</t>
  </si>
  <si>
    <t xml:space="preserve">Daisy M. Montibon </t>
  </si>
  <si>
    <t>Donation to Joel Montibon for his hospital bill QR: 070722013LGSF</t>
  </si>
  <si>
    <t xml:space="preserve">Susana C. Javier </t>
  </si>
  <si>
    <t>Donation to Jerico Javier fir his hospital bill QR: 070822005LGSF</t>
  </si>
  <si>
    <t xml:space="preserve">Jimvan B. Estrada </t>
  </si>
  <si>
    <t>Donation to Nora Estrada for her medical needs QR: 070722007LGSF</t>
  </si>
  <si>
    <t xml:space="preserve">Dennis M. Pizarro </t>
  </si>
  <si>
    <t>Donation to Fe Pizarro for her hospital bill QR: 071122003LGSF</t>
  </si>
  <si>
    <t xml:space="preserve">Gezabel D. Ramos </t>
  </si>
  <si>
    <t>Donation to Luisa De Guzman for her hospital bill QR: 071222007LGSF</t>
  </si>
  <si>
    <t>Donation to Jimmy Padua for his hospital bill QR: 071222019LGSF</t>
  </si>
  <si>
    <t>Donation to the client for her medical needs QR: 0711022002LGSF</t>
  </si>
  <si>
    <t xml:space="preserve">Rhialyn S. Olores </t>
  </si>
  <si>
    <t>Donation to Rolando Salenga for his medical needs QR: 071222006LGSF</t>
  </si>
  <si>
    <t xml:space="preserve">Lilian C. Sabado </t>
  </si>
  <si>
    <t>Donation to the client for her medical needs QR: 071222009LGSF</t>
  </si>
  <si>
    <t xml:space="preserve">Editha P. Interino </t>
  </si>
  <si>
    <t>Donation to the client for her medical needs QR: 071222016LGSF</t>
  </si>
  <si>
    <t xml:space="preserve">Leonora M. Manliguez </t>
  </si>
  <si>
    <t>Donation to the client for her medical needs QR: 071222017LGSF</t>
  </si>
  <si>
    <t xml:space="preserve">Maria Adelaida M. Nisay </t>
  </si>
  <si>
    <t>Donation to the client fro her medical needs QR: 071222018LGSF</t>
  </si>
  <si>
    <t xml:space="preserve">Michelle Campilla </t>
  </si>
  <si>
    <t>Donation to Manuel Campilla for his medical needs QR: 071222020LGSF</t>
  </si>
  <si>
    <t xml:space="preserve">Gabriel A. Payumo </t>
  </si>
  <si>
    <t>Donation to the client for his hospital bill QR: 071222005LGSF</t>
  </si>
  <si>
    <t xml:space="preserve">Eber F. Falcis </t>
  </si>
  <si>
    <t>Donation to Francis Elija Falcis for his hospital bill QR: 0711022001LGSF</t>
  </si>
  <si>
    <t xml:space="preserve">Rubina S. Domingo </t>
  </si>
  <si>
    <t>Donation to Christopher Domingo fro his medical needs QR: 071222011LGSF</t>
  </si>
  <si>
    <t xml:space="preserve">Robelyn M. Dumlao </t>
  </si>
  <si>
    <t>Donation to Honorio Dumlao for his medical needs QR: 071222013LGSF</t>
  </si>
  <si>
    <t>Donation to Librada Tripon for her medical needs QR: 07122014LGSF</t>
  </si>
  <si>
    <t xml:space="preserve">Reinalyn Y. Libanan </t>
  </si>
  <si>
    <t>Donation to Armando Libanan for his medical needs QR: 071222004LGSF</t>
  </si>
  <si>
    <t xml:space="preserve">Alma T. Suplito </t>
  </si>
  <si>
    <t>Donation to Jel Suplioto for his hospital bill QR: 071222008LGSF</t>
  </si>
  <si>
    <t xml:space="preserve">Jennie B. Mangubat </t>
  </si>
  <si>
    <t>Donation to Allan Mangubat for his medical needs QR: 071222001LGSF</t>
  </si>
  <si>
    <t xml:space="preserve">Nely A. Sarmiento </t>
  </si>
  <si>
    <t>Donatio  to the client fro her medical needs QR: 071222012LGSF</t>
  </si>
  <si>
    <t>Donation to Lioda Irog for her hospital bill QR: 071222021LGSF</t>
  </si>
  <si>
    <t xml:space="preserve">Aries D. Bugay </t>
  </si>
  <si>
    <t>Donation to Maries Bugay for her hospital bill QR: 071222024LGSF</t>
  </si>
  <si>
    <t xml:space="preserve">Abigail L. Junio </t>
  </si>
  <si>
    <t>Donation to the client for her medical needs QR: 071222025LGSF</t>
  </si>
  <si>
    <t>Donation to Rowena Conde fro her medical needs QR: 071222022LGSF</t>
  </si>
  <si>
    <t>Donation to Wilson Padua for his medical needs QR: 071222026LGSF</t>
  </si>
  <si>
    <t>Donation to Ricardo Rubiano for his hospital bill QR: 071222028LGSF</t>
  </si>
  <si>
    <t xml:space="preserve">Lorna C. Mendoza </t>
  </si>
  <si>
    <t>Donation to the client for her medical needs QR: 071222023LGSF</t>
  </si>
  <si>
    <t>1% retention for equipment for disaster preparedness</t>
  </si>
  <si>
    <t>1% retention for office supplies for use of PHO Covid 19 reporting unit.Opcen, DOH</t>
  </si>
  <si>
    <t xml:space="preserve">Reynoso Jr. G. Castillo </t>
  </si>
  <si>
    <t>Donation to Reynoso Castillo for his hospital bill QR: 071222027LGSF</t>
  </si>
  <si>
    <t>Donation to John Leanard Borja for his hospital bill QR: 070122002LGSF</t>
  </si>
  <si>
    <t xml:space="preserve">Emily D. Rivera </t>
  </si>
  <si>
    <t>Donation to Romana Rivera for his burial expenses QR: 071322022LGSF</t>
  </si>
  <si>
    <t xml:space="preserve">Gemina O. Salguero </t>
  </si>
  <si>
    <t>Donation to Roy Salguero for his burial expenses QR: 071322019LGSF</t>
  </si>
  <si>
    <t xml:space="preserve">Ivan Lendel C. Fabrea </t>
  </si>
  <si>
    <t>Donation to Aiko Gabriel Fabrea for his burial expenses QR: 071322017LGSF</t>
  </si>
  <si>
    <t>Donation to Paz Baltazar for her burial expenses</t>
  </si>
  <si>
    <t xml:space="preserve">Ledy S. Nipot Nipot </t>
  </si>
  <si>
    <t>Donation to the client for her hospital bill QR: 071322008LGSF</t>
  </si>
  <si>
    <t xml:space="preserve">Rhodora D. Leaño </t>
  </si>
  <si>
    <t>Donation to Raphael Louise Leaño for his hospital bill QR: 071322014LGSF</t>
  </si>
  <si>
    <t xml:space="preserve">Garry S. Tamayo </t>
  </si>
  <si>
    <t>Donation to the client for his medical needs QR: 071322018LGSF</t>
  </si>
  <si>
    <t xml:space="preserve">Amelia D. Joson </t>
  </si>
  <si>
    <t>Donation to the client for her medical needs QR: 071322011LGSF</t>
  </si>
  <si>
    <t xml:space="preserve">Josefina D. Datu </t>
  </si>
  <si>
    <t>Donation to Domingo Datu for his medical needs QR: 071322012LGSF</t>
  </si>
  <si>
    <t xml:space="preserve">Loida P. Del Mundo </t>
  </si>
  <si>
    <t>Donation to Karl Del Mundo for his medical needs QR: 071322020LGSF</t>
  </si>
  <si>
    <t>Donation to the client for her medical needs QR: 071322021LGSF</t>
  </si>
  <si>
    <t xml:space="preserve">Josefina S. Peña </t>
  </si>
  <si>
    <t>Donation to the client for her medical needs QR: 071322003LGSF</t>
  </si>
  <si>
    <t>Donation to Janarey Sahagun for her medical needs QR: 071322001LGSF</t>
  </si>
  <si>
    <t xml:space="preserve">Ma. Czarina B. Pablo </t>
  </si>
  <si>
    <t>Donation to Raul Barlaan for his medical needs QR: 071322007LGSF</t>
  </si>
  <si>
    <t xml:space="preserve">Shane M. Valdez </t>
  </si>
  <si>
    <t>Donation to Kristoff Valdez for his medical needs QR: 071322006LGSF</t>
  </si>
  <si>
    <t xml:space="preserve">Aldrich F. Banal </t>
  </si>
  <si>
    <t>Donation to the client for his medical needs QR: 071322015LGSF</t>
  </si>
  <si>
    <t xml:space="preserve">Reagan M. Pangilinan </t>
  </si>
  <si>
    <t>Donation to the client for his hospital bill QR: 071322005LGSF</t>
  </si>
  <si>
    <t xml:space="preserve">Eddy M. Aragon </t>
  </si>
  <si>
    <t>Donation to Zhia Anaya Aragon for her hospital bill QR: 071322009LGSF</t>
  </si>
  <si>
    <t xml:space="preserve">Ricardo T. Santos </t>
  </si>
  <si>
    <t>Donation to the client for his medical needs QR: 071322010LGSF</t>
  </si>
  <si>
    <t>Donation to the client for his medical needs QR: 071322004LGSF</t>
  </si>
  <si>
    <t>24th PArtial payment of package training expenses for the provincial wide Brgy Disaster Risk Reduction Education &amp; emeregency medical first responder</t>
  </si>
  <si>
    <t xml:space="preserve">Marlyn Operania </t>
  </si>
  <si>
    <t>Donation to the client for her medical needs QR: 071322016LGSF</t>
  </si>
  <si>
    <t>Payment of MAIP for the month of APRIL 2022</t>
  </si>
  <si>
    <t>Donation to Marilyn Eligan for her burial expenses QR: 071222029LGSF</t>
  </si>
  <si>
    <t>Donation to El Shiela Marie Padilla for her hospital bill QR: 071222010LGSF</t>
  </si>
  <si>
    <t>Donation to Caridad Blanco for his burial expenses QR: 071422005LGSF</t>
  </si>
  <si>
    <t xml:space="preserve">Maria Teresita Q. Quicho </t>
  </si>
  <si>
    <t>Donation to Marinela Quesada for her burial expenses QR: 071422004LGSF</t>
  </si>
  <si>
    <t xml:space="preserve">Nora R. Oliveros </t>
  </si>
  <si>
    <t>Donation to Rolando Roncal for his hospital bill QR: 071422018LGSF</t>
  </si>
  <si>
    <t>Donation to Eduardo Abadejos for his hospital bill QR: 071422002LGSF</t>
  </si>
  <si>
    <t xml:space="preserve">Luzviminda B. Magan </t>
  </si>
  <si>
    <t>Donation to Paul John Magan for his medical needs QR: 071422014LGSF</t>
  </si>
  <si>
    <t xml:space="preserve">Nomer D. Guila </t>
  </si>
  <si>
    <t>Donation to the client for his medical needs QR: 071422008LGSF</t>
  </si>
  <si>
    <t xml:space="preserve">Dona V. Figueroa </t>
  </si>
  <si>
    <t>Donation to Milagros Villafuente for her medical needs QR: 071422017LGSF</t>
  </si>
  <si>
    <t xml:space="preserve">Leonila B. Siasat </t>
  </si>
  <si>
    <t>Donation to the client for her medical needs QR: 071422001LGSF</t>
  </si>
  <si>
    <t xml:space="preserve">Teresa P. Yabes </t>
  </si>
  <si>
    <t>Donation to Arnulfo Clemente for his medical needs QR: 071422003LGSF</t>
  </si>
  <si>
    <t xml:space="preserve">Carmelita S. Gregorio </t>
  </si>
  <si>
    <t>Donation to the client for her medical needs QR: 071422006LGSF</t>
  </si>
  <si>
    <t xml:space="preserve">Kazeline T. Advincula </t>
  </si>
  <si>
    <t>Donation to Carylle Lucena for her medical needs QR: 071422026LGSF</t>
  </si>
  <si>
    <t xml:space="preserve">Jess Elizalde III P. Santos </t>
  </si>
  <si>
    <t>Donation to Roxel Pudol for her medical needs QR: 071422007LGSF</t>
  </si>
  <si>
    <t xml:space="preserve">Cindy S. Castro </t>
  </si>
  <si>
    <t>Donation to Rosalinda Castro for her hospital bill QR: 071222003LGSF</t>
  </si>
  <si>
    <t>Production of 2 AVPs (Pandemic response and Social Services) featuring responses and accomplishments of the provincial Government of Bataan for the year 2020 and 2021</t>
  </si>
  <si>
    <t>Mac Trading-Replacement of Gasoline Engine to Diesel Engine to be distributed to the 36 Small Scale Fishermen from Bagac and Morong</t>
  </si>
  <si>
    <t xml:space="preserve">Razmin V. Ativo </t>
  </si>
  <si>
    <t>Donation to Precilla Ativo for her burial expenses QR: 071522012LGSF</t>
  </si>
  <si>
    <t>Donation to Michael Tumagoy for his burial expenses QR: 071522009LGSF</t>
  </si>
  <si>
    <t xml:space="preserve">Eloiza L. De Rueda </t>
  </si>
  <si>
    <t>Donation to Aurellano Lazo for his burial expenses QR: 071522007LGSF</t>
  </si>
  <si>
    <t>Donation to Ernesto Abella for his burial expenses QR: 071522011LGSF</t>
  </si>
  <si>
    <t xml:space="preserve">Crystal Jane B. Quizon </t>
  </si>
  <si>
    <t>Donation to Alexander Quizon for his hospital bill QR: 071422013LGSF</t>
  </si>
  <si>
    <t xml:space="preserve">Rosamena M. Navales </t>
  </si>
  <si>
    <t>Donation to Alfredo Mina for his hospital bill QR: 071422025LGSF</t>
  </si>
  <si>
    <t>Donation to Janet Benitez for his medical needs QR: 071522001LGSF</t>
  </si>
  <si>
    <t xml:space="preserve">Celestina S. Valdez </t>
  </si>
  <si>
    <t>Donation to the client for her medical needs QR: 071422016LGSF</t>
  </si>
  <si>
    <t xml:space="preserve">Rona V. Carvajal </t>
  </si>
  <si>
    <t>Donation to Cristoto Villa for his medical needs QR: 071422012LGSF</t>
  </si>
  <si>
    <t xml:space="preserve">Gina M. Villafuerte </t>
  </si>
  <si>
    <t>Donation to the client for her medical needs QR: 071422020LGSF</t>
  </si>
  <si>
    <t xml:space="preserve">Gina N. Roque </t>
  </si>
  <si>
    <t>Donation to trhe client for her medical needs QR: 071422024LGSF</t>
  </si>
  <si>
    <t xml:space="preserve">Delfin C. Española </t>
  </si>
  <si>
    <t>Donation to Diosadao Española for his burial expenses QR: 071522008LGSF</t>
  </si>
  <si>
    <t xml:space="preserve">Raymond V. Mendoza </t>
  </si>
  <si>
    <t>Donation to Shiella Marie Mendoza for her hospital bill and doctors professional fee QR: 071522013LGSF</t>
  </si>
  <si>
    <t>Donation to Skyler Adriel Dela Rosa for his hospital bill QR: 071422010LGSF</t>
  </si>
  <si>
    <t>Donation to Karl Alexander Punsalan for his hospital bill QR: 071522004LGSF</t>
  </si>
  <si>
    <t xml:space="preserve">Irene P. Aranas </t>
  </si>
  <si>
    <t>Donation to Belinda Pillagara for her hospital bill QR: 071522010LGSF</t>
  </si>
  <si>
    <t xml:space="preserve">Cristeta S. Quintela </t>
  </si>
  <si>
    <t>Donation to Amelito San Jose for his hospital bill QR: 071422019LGSF</t>
  </si>
  <si>
    <t xml:space="preserve">Robert Allan B. Crisostomo </t>
  </si>
  <si>
    <t>Donation to the client for his hospital bill QR: 071422021LGSF</t>
  </si>
  <si>
    <t xml:space="preserve">Luzviminda B. Fernandez </t>
  </si>
  <si>
    <t>Donation to Efigenia Fernandez for his medical needs QR: 071522006LGSF</t>
  </si>
  <si>
    <t xml:space="preserve">Luz Jean M. Garcia </t>
  </si>
  <si>
    <t>Donation to Sebastian Rhett Garcia for his medical needs QR: 071522002LGSF</t>
  </si>
  <si>
    <t xml:space="preserve">Maybellyn Laxamana </t>
  </si>
  <si>
    <t>Donation to Atasha Maria Laxamana for her medical needs QR: 071422023LGSF</t>
  </si>
  <si>
    <t xml:space="preserve">Christine C. Cruz </t>
  </si>
  <si>
    <t>Donation to Elma Roperos for his medical needs QR: 071522005LGSF</t>
  </si>
  <si>
    <t xml:space="preserve">PGB - Jose C. Payumo Jr. Memorial Hospital - PF (JCPMH-PF) (0442-1076-96) </t>
  </si>
  <si>
    <t>To transfer to trust JCPMH-PF checking account no 0442-1076-96 LBP the amount of philhhealth  of Dra Galvan for the remittance April 1-June 30, 2022</t>
  </si>
  <si>
    <t xml:space="preserve">Lefort Medical Trading Corporation </t>
  </si>
  <si>
    <t>Orthopaedic implants for the use of Jose Payumo Jr. Memorial Hospital</t>
  </si>
  <si>
    <t xml:space="preserve">Melanie V. Lamsen </t>
  </si>
  <si>
    <t>Donation to Bienvinido M. Lamsen for his burial expenses QR: 071922011LGSF</t>
  </si>
  <si>
    <t>Donation to Donita J. Buenaflor for her burial expenses QR: 0718220028LGSF</t>
  </si>
  <si>
    <t xml:space="preserve">Katherine M. Jimenez </t>
  </si>
  <si>
    <t>Donation to Krislois J. Gara for his hospital bills QR: 071922005LGSF</t>
  </si>
  <si>
    <t>Donation to Felimon Q. Lazo Jr. for his hospital bill QR: 0718220031LGSF</t>
  </si>
  <si>
    <t xml:space="preserve">Susan D. Zabala </t>
  </si>
  <si>
    <t>Donation to the client for her medical needs QR: 0718220034LGSF</t>
  </si>
  <si>
    <t xml:space="preserve">Romell D. Pampo </t>
  </si>
  <si>
    <t>Donation to Melinda D. Pampo for her medical needs QR: 071922007LGSF</t>
  </si>
  <si>
    <t xml:space="preserve">Jesselyn S. Capili </t>
  </si>
  <si>
    <t>Donation to the client for her medical needs QR: 071922013LGSF</t>
  </si>
  <si>
    <t xml:space="preserve">Rolando L. Landicho </t>
  </si>
  <si>
    <t>Donation to client for his medical needs QR: 071922014LGSF</t>
  </si>
  <si>
    <t>Donation to Rolando G. Mascareñas for his medical needs QR: 071922016LGSF</t>
  </si>
  <si>
    <t xml:space="preserve">April B. Espinosa </t>
  </si>
  <si>
    <t>Donation to the client for her medical needs QR: 071922003LGSF</t>
  </si>
  <si>
    <t>Donation to Rosalina E. Fronda for her hospital bill QR: 0718220027LGSF</t>
  </si>
  <si>
    <t>Donation to Ludrigo R. Paguirigan for his hospital bill QR: 071822033LGSF</t>
  </si>
  <si>
    <t xml:space="preserve">Marya Rose C. Rueda </t>
  </si>
  <si>
    <t>Donation to Efren B. Rueda for his hospital bill QR: 0718220035LGSF</t>
  </si>
  <si>
    <t xml:space="preserve">Berlyn A. Vicente </t>
  </si>
  <si>
    <t>Donation to the client for her hospital bill and medical needs QR: 0718220025LGSF</t>
  </si>
  <si>
    <t>Donation to Stephanie M. Atabay for her medical needs QR: 071922018LGSF</t>
  </si>
  <si>
    <t xml:space="preserve">Eloisa F. San Jose </t>
  </si>
  <si>
    <t>Donation to the client for her medical needs QR: 071922002LGSF</t>
  </si>
  <si>
    <t xml:space="preserve">Maria Mercedes D. Handugan </t>
  </si>
  <si>
    <t>Donation to Perfecto C. Handugan for his medical needs QR: 071922004LGSF</t>
  </si>
  <si>
    <t xml:space="preserve">Marilou F. Garcia </t>
  </si>
  <si>
    <t>Donation to Angelito T. Garcia for his medical needs QR: 071922012LGSF</t>
  </si>
  <si>
    <t xml:space="preserve">Melba G. De Belen </t>
  </si>
  <si>
    <t>Donation to Luz G. Guinto for her medical needs QR: 071922010LGSF</t>
  </si>
  <si>
    <t xml:space="preserve">Aileen M. Sto. Domingo </t>
  </si>
  <si>
    <t>Donation to the client for her medical needs QR: 071922009LGSF</t>
  </si>
  <si>
    <t xml:space="preserve">Juley O. Plata </t>
  </si>
  <si>
    <t>Donation to Laila G. Tinagan for her medical needs QR: 071922008LGSF</t>
  </si>
  <si>
    <t xml:space="preserve">Kathrine P. Mendoza </t>
  </si>
  <si>
    <t>Donation to client for her medical needs QR: 071922015LGSF</t>
  </si>
  <si>
    <t xml:space="preserve">Fernan D. Rubiano </t>
  </si>
  <si>
    <t>Donation to Fermin B. Rubiano for his medical needs QR: 071922006LGSF</t>
  </si>
  <si>
    <t>Donation to Anselmo J. Sanchez Sr. for his medical needs QR: 0718220026LGSF</t>
  </si>
  <si>
    <t>Transfer to General Fund</t>
  </si>
  <si>
    <t xml:space="preserve">Ederlyn O. dela Peña </t>
  </si>
  <si>
    <t>Donation to Ederlyn O. Dela Peña for the Educational Assistance for her daughter Madelene O. Dela Peña</t>
  </si>
  <si>
    <t>Donation to Angelita T. Manzanares for her hospital bil QR: 0718220024LGSF</t>
  </si>
  <si>
    <t xml:space="preserve">Marianne L. Irenia </t>
  </si>
  <si>
    <t>Donation to Marilyn L. Matias for her hospital bill QR: 071822015LGSF</t>
  </si>
  <si>
    <t>Donation to Domingo D. Dela Cruz for his medical needs QR: 071822011LGSF</t>
  </si>
  <si>
    <t>Donation to Eugenia B. Flores for her medical expenses QR: 071822001LGSF</t>
  </si>
  <si>
    <t>Donation to client for his medical needs QR: 071822004LGSF</t>
  </si>
  <si>
    <t>Donation to client for her medical needs QR: 071822007LGSF</t>
  </si>
  <si>
    <t xml:space="preserve">Rosalinda L. Calixtro </t>
  </si>
  <si>
    <t>Donation to Rosalinda L. Calixtro for her medical expenses QR: 071822006</t>
  </si>
  <si>
    <t>Donation to client for her medical needs QR: 071822005LGSF</t>
  </si>
  <si>
    <t xml:space="preserve">Gemma D. Visto </t>
  </si>
  <si>
    <t>Donation to client for her medical needs QR: 071822003LGSF</t>
  </si>
  <si>
    <t>Donation to client for her medical needs QR: 071822009LGSF</t>
  </si>
  <si>
    <t xml:space="preserve">Cristina R. Rule </t>
  </si>
  <si>
    <t>Donation to client for her medical needs QR: 071822008LGSF</t>
  </si>
  <si>
    <t xml:space="preserve">Khim Aira Marie E. Reyes </t>
  </si>
  <si>
    <t>Donation to client for her medical needs QR: 071522015LGSF</t>
  </si>
  <si>
    <t xml:space="preserve">Nuclear C. Tuazon </t>
  </si>
  <si>
    <t>Donation to client for his medical needs QR: 072022008LGSF</t>
  </si>
  <si>
    <t xml:space="preserve">Jay-Ar C. Villanueva </t>
  </si>
  <si>
    <t>Donation to client for his medical needs QR: 072022012LGSF</t>
  </si>
  <si>
    <t xml:space="preserve">Melinda B. Deang </t>
  </si>
  <si>
    <t>Donation to Arra Ira B. Deang for her medical needs QR: 072022010LGSF</t>
  </si>
  <si>
    <t xml:space="preserve">Leonora D. Brosoto </t>
  </si>
  <si>
    <t>Donation to client for her medical needs QR: 0718220022LGSF</t>
  </si>
  <si>
    <t>Donation to Noly Ace N. Cruzada for his medical needs QR: 0718220018LGSF</t>
  </si>
  <si>
    <t xml:space="preserve">Emanuel Y. Colle </t>
  </si>
  <si>
    <t>Donation to client for his medical needs QR: 0718220016LGSF</t>
  </si>
  <si>
    <t xml:space="preserve">Lhaynard Elauria </t>
  </si>
  <si>
    <t>Donation to client for his medical needs QR: 0718220020LGSF</t>
  </si>
  <si>
    <t xml:space="preserve">Helen V. Rodriguez </t>
  </si>
  <si>
    <t>Donation to John Wesley V. Rodriguez</t>
  </si>
  <si>
    <t xml:space="preserve">Billy Jake O. Calleja </t>
  </si>
  <si>
    <t>Donation to Christine M. Calleja for her burial expenses QR: 072022011LGSF</t>
  </si>
  <si>
    <t xml:space="preserve">Darmalyn B. Caalam </t>
  </si>
  <si>
    <t>Donation to RJ C. NEmpas for his burial expenses QR: 072022007LGSF</t>
  </si>
  <si>
    <t xml:space="preserve">Darwin M. Lalican </t>
  </si>
  <si>
    <t>Donation to Rosita Lalican for her burial expenses QR: 0718220019LGSF</t>
  </si>
  <si>
    <t>Donation to Normita G. Fernandez for her hospital bill QR: 071522014LGSF</t>
  </si>
  <si>
    <t xml:space="preserve">Eloisa B. Oris </t>
  </si>
  <si>
    <t>Donation to Salvador E. Oris for his hospital bill QR: 0718220021LGSF</t>
  </si>
  <si>
    <t xml:space="preserve">Mayet T. Pascual </t>
  </si>
  <si>
    <t>Donation to Raea Mhayzley P. Dino for her hospital bill QR: 0715220126LGSF</t>
  </si>
  <si>
    <t xml:space="preserve">Alma T. Blanco </t>
  </si>
  <si>
    <t>Donation to Virginia D. Bkanco for her medical needs QR: 071822010LGSF</t>
  </si>
  <si>
    <t xml:space="preserve">Manuel C. Gamban </t>
  </si>
  <si>
    <t>Donation to Mannylito C. Gamban for his medical needs QR: 072022014LGSF</t>
  </si>
  <si>
    <t>Donation to Anjo Edaño for his medical needs QR: 072022003LGSF</t>
  </si>
  <si>
    <t>Donation to Aguinaldo R. Arceo for his medical expenses QR: 072022002LGSF</t>
  </si>
  <si>
    <t>Donation to Henry A. Tamayo for his medical expenses QR: 072022001LGSF</t>
  </si>
  <si>
    <t>Donation to Rochelle Faith P. Santiago for her medical expenses QR: 072022006LGSF</t>
  </si>
  <si>
    <t>Donation to Maria Virgie G. Raquipo for her medical expenses QR: 072022004LGSF</t>
  </si>
  <si>
    <t xml:space="preserve">Beatriz D. Yanson </t>
  </si>
  <si>
    <t>Donation to Samuel N. Yanson Jr. for his medical expenses QR: 071822002LGSF</t>
  </si>
  <si>
    <t xml:space="preserve">Yolanda S. Lequin </t>
  </si>
  <si>
    <t>Donation to Alberto P. Lequin Jr. for his medical expenses QR: 0718220017LGSF</t>
  </si>
  <si>
    <t>Donation to Vincent M. Aday for his medical expenses QR: 071822012LGSF</t>
  </si>
  <si>
    <t xml:space="preserve">Resita B. Bautista </t>
  </si>
  <si>
    <t>Donation to client for her medical expenses QR: 071822014LGSF</t>
  </si>
  <si>
    <t xml:space="preserve">Erlina L. Pagbilao </t>
  </si>
  <si>
    <t>Donation to Jirah P. Pangilinan for her medical expenses QR: 072022005LGSF</t>
  </si>
  <si>
    <t>Donation to client for her medical needs QR: 071822013LGSF</t>
  </si>
  <si>
    <t>Donation to Rosario D. Juco for her medical needs QR: 0721220016LGSF</t>
  </si>
  <si>
    <t xml:space="preserve">Cita M. Layug </t>
  </si>
  <si>
    <t>Donation to Romeo M. Ranchez for his burial expenses QR: 072222002LGSF</t>
  </si>
  <si>
    <t xml:space="preserve">Darwin T. Loreto </t>
  </si>
  <si>
    <t>Donation to Domingo O. Loreto for his burial expenses QR: 0721220013LGSF</t>
  </si>
  <si>
    <t xml:space="preserve">Ludivina A. Gipaya </t>
  </si>
  <si>
    <t>Donation to Imelda D. Agustin for he burial expenss QR: 072122022LGSF</t>
  </si>
  <si>
    <t>Donation to Client for her medical needs QR: 072222007LGSF</t>
  </si>
  <si>
    <t>Donation to Client for he rmedical needs QR: 072222003LGSF</t>
  </si>
  <si>
    <t xml:space="preserve">Josie Q. Nicdao </t>
  </si>
  <si>
    <t>Donation to Billy Joel Q. Fegidero for his medical needs QR: 072222004LGSF</t>
  </si>
  <si>
    <t xml:space="preserve">Cherrilyn D. Napirre </t>
  </si>
  <si>
    <t>Donation to Jared D. Napirre for his medical needs QR: 072122025LGSF</t>
  </si>
  <si>
    <t xml:space="preserve">Shajid D. Magpoc </t>
  </si>
  <si>
    <t>Donation to the client for his hospital bill QR: 072222001LGSF</t>
  </si>
  <si>
    <t xml:space="preserve">Jhuvilyn Joy Q. Imbat </t>
  </si>
  <si>
    <t>Donation to Federico S. Imbat Jr. for his medical expenses QR: 072122024LGSF</t>
  </si>
  <si>
    <t xml:space="preserve">Arnold D. Bondoc </t>
  </si>
  <si>
    <t>Donation to Rizza C. Gervacio for her hospital bill QR: 072622017LGSF</t>
  </si>
  <si>
    <t xml:space="preserve">Anges D. Solleza </t>
  </si>
  <si>
    <t>Donation to Rodel D. Solleza for his medical needs QR: 0721220004LGSF</t>
  </si>
  <si>
    <t>Donation to Lolita S. Solania for her medical needs QR: 0721220005LGSF</t>
  </si>
  <si>
    <t>Donation to the client for his medical needs QR: 0721220001LGSF</t>
  </si>
  <si>
    <t xml:space="preserve">Antonita M. Soriano </t>
  </si>
  <si>
    <t>Donation to the client for her medical needs QR: 0721220002LGSF</t>
  </si>
  <si>
    <t xml:space="preserve">Kristine Janine N. Nagsuban </t>
  </si>
  <si>
    <t>Donation to the client for her medical needs QR: 072022018LGSF</t>
  </si>
  <si>
    <t xml:space="preserve">Kimberly Jean N. Nagsuban </t>
  </si>
  <si>
    <t>Donation to Kenn Ethan Cassidy Mahor for his medical needs QR: 072022020LGSF</t>
  </si>
  <si>
    <t>Donation to the client for her medical needs QR: 072022019LGSF</t>
  </si>
  <si>
    <t xml:space="preserve">Jeanelyn P. Manaloto </t>
  </si>
  <si>
    <t>Donation Jose Manaloto for his medical needs QR: 072022021LGSF</t>
  </si>
  <si>
    <t xml:space="preserve">Erica Mae G. Magsino </t>
  </si>
  <si>
    <t>Donation to Jerry Magsino for his medical needs QR: 072022015LGSF</t>
  </si>
  <si>
    <t xml:space="preserve">Eillen M. Castro </t>
  </si>
  <si>
    <t>Donation to Shawn Castro for his medical needs QR: 072022016LGSF</t>
  </si>
  <si>
    <t xml:space="preserve">Susaneth L. Bugay </t>
  </si>
  <si>
    <t>Donation to Rahm Sebastian Bugay for his medical needs QR: 072022017LGSF</t>
  </si>
  <si>
    <t xml:space="preserve">Jonalyn B. Gueverra </t>
  </si>
  <si>
    <t>Donation to Buenafe Guevarra for her medical needs QR: 0721220007LGSF</t>
  </si>
  <si>
    <t xml:space="preserve">Josephine F. Santos </t>
  </si>
  <si>
    <t>Donation to client for her medical needs QR: 0718220032LGSF</t>
  </si>
  <si>
    <t xml:space="preserve">Maricar D. Elvambuena </t>
  </si>
  <si>
    <t>Donation to Rico R. Dela Torre for his medical needs QR: 0721220006LGSF</t>
  </si>
  <si>
    <t>Donation to the client for her medical needs QR: 0721220003LGSF</t>
  </si>
  <si>
    <t xml:space="preserve">Regina T. Carisma </t>
  </si>
  <si>
    <t>Donation to Jerico Leoj T. Carisma for his medical needs QR: 0721220008LGSF</t>
  </si>
  <si>
    <t xml:space="preserve">Mariese F. Nojadera </t>
  </si>
  <si>
    <t>Donation to Marichu D. Nojadera for her medical needs QR: 0721220019LGSF</t>
  </si>
  <si>
    <t xml:space="preserve">Ramira Ara B. Alcantara </t>
  </si>
  <si>
    <t>Donation to Melba R. Slcantara for her medical needs QR: 0721220011LGSF</t>
  </si>
  <si>
    <t xml:space="preserve">Ronaldo S. Albelda </t>
  </si>
  <si>
    <t>Donation to Janice Marie F. Albelda for her medical needs QR: 0721220012LGSF</t>
  </si>
  <si>
    <t xml:space="preserve">Nenita M. Abaldonado </t>
  </si>
  <si>
    <t>Donation to the client for her medical needs QR: 0721220014LGSF</t>
  </si>
  <si>
    <t xml:space="preserve">Estelita M. Timbang </t>
  </si>
  <si>
    <t>Donation to Bobby Jr. Timbang for his medical needs QR: 0721220010LGSF</t>
  </si>
  <si>
    <t xml:space="preserve">Jimmy E. De Leon </t>
  </si>
  <si>
    <t>Donation to the client for his medical needs QR: 0721220015LGSF</t>
  </si>
  <si>
    <t xml:space="preserve">Maricar D. Cosme </t>
  </si>
  <si>
    <t>Donation to Maria D. Dela Cruz for her hospital bill QR: 0721220020LGSF</t>
  </si>
  <si>
    <t xml:space="preserve">Robert B. Arceo </t>
  </si>
  <si>
    <t>Donation to Felisa B. Arceo for her medical needs QR: 0721220018LGSF</t>
  </si>
  <si>
    <t xml:space="preserve">Jan Shayne N. Clark </t>
  </si>
  <si>
    <t>Dontion to the client for her medical needs QR: 072622020LGSF</t>
  </si>
  <si>
    <t>Donation to Armando C. Magdalera for his medical needs QR: 072122023LGSF</t>
  </si>
  <si>
    <t>Donation to the client for her hospital bill and medical needs QR: 072222022LGSF</t>
  </si>
  <si>
    <t>Donation to the client for her medical needs QR: 072222013LGSF</t>
  </si>
  <si>
    <t>Donation to Nick Mendoza for his hospital bill QR: 072222009LGSF</t>
  </si>
  <si>
    <t>Donation to Raymund Malabanan for he hospital bill QR: 072222006LGSF</t>
  </si>
  <si>
    <t xml:space="preserve">Leonisa O. Yutiga </t>
  </si>
  <si>
    <t>Donation to the client for her medical needs QR: 07222015LGSF</t>
  </si>
  <si>
    <t xml:space="preserve">Jobelle D. Pulangco </t>
  </si>
  <si>
    <t>Donation to Rosalinda Pulangco for her hospital bill QR: 072222014LGSF</t>
  </si>
  <si>
    <t xml:space="preserve">Rubiejean G. Ibarra </t>
  </si>
  <si>
    <t>Donation to Honorata Gabriel for her medical needs QR: 072222011LGSF</t>
  </si>
  <si>
    <t xml:space="preserve">Michelle B. Sanchez </t>
  </si>
  <si>
    <t>Donation to Corazon Baluyot for her medical needs QR: 072222020LGSF</t>
  </si>
  <si>
    <t>Donation to Remedios Dela Cruz for her medical needs QR: 072222017LGSF</t>
  </si>
  <si>
    <t xml:space="preserve">Modesta F. Merza </t>
  </si>
  <si>
    <t>Donation to Melanio Merza for his medical needs QR: 072222012LGSF</t>
  </si>
  <si>
    <t xml:space="preserve">Maricel M. Cruz </t>
  </si>
  <si>
    <t>Donation to the client for her medical needs QR: 072222018LGSF</t>
  </si>
  <si>
    <t xml:space="preserve">Teresita R. Ordiales </t>
  </si>
  <si>
    <t>Donation to Generosa Rodriguez for her medical needs QR: 072222024LGSF</t>
  </si>
  <si>
    <t xml:space="preserve">Reysie M. Batol </t>
  </si>
  <si>
    <t>Donation to Erichreyn Batol for her medical needs QR: 072222021LGSF</t>
  </si>
  <si>
    <t xml:space="preserve">Liza I. Mahinay </t>
  </si>
  <si>
    <t>Donation to Rommel Mahinay for his medical needs QR: 072222019LGSF</t>
  </si>
  <si>
    <t xml:space="preserve">Jocelyn D. Roxas </t>
  </si>
  <si>
    <t>Donation to Joseph Roxas for his hospital bill QR: 072722009LGSF</t>
  </si>
  <si>
    <t xml:space="preserve">Evangeline C. Morales </t>
  </si>
  <si>
    <t>Donation to Romeo Cinco for his medical needs QR: 072522001LGSF</t>
  </si>
  <si>
    <t xml:space="preserve">Regina Grace Y. Enriquez </t>
  </si>
  <si>
    <t>Donation to Mikel Angelo Enriquez for his medical needs QR: 072522003LGSF</t>
  </si>
  <si>
    <t xml:space="preserve">Jackielyn D. Cunanan </t>
  </si>
  <si>
    <t>Donation to the client for her medical needs QR: 072522010LGSF</t>
  </si>
  <si>
    <t xml:space="preserve">Shirley R. Bantog </t>
  </si>
  <si>
    <t>Donation to the client for her medical needs QR: 072522007LGSF</t>
  </si>
  <si>
    <t xml:space="preserve">Ofelia R. Cortez </t>
  </si>
  <si>
    <t>QR: 072522008LGSF</t>
  </si>
  <si>
    <t>Donation to the client for her medical needs QR: 072522006LGSF</t>
  </si>
  <si>
    <t>Donation to the client for her medical needs QR: 072522009LGSF</t>
  </si>
  <si>
    <t xml:space="preserve">Rea H. Labrador </t>
  </si>
  <si>
    <t>Donation to Junar Labrador for his hospital bill QR: 072522012LGSF</t>
  </si>
  <si>
    <t xml:space="preserve">Rodalyn D. Agranum </t>
  </si>
  <si>
    <t>Donation to Danilo Agranum for his burial expenses QR: 072222005LGSF</t>
  </si>
  <si>
    <t>Donation to Dominador Maglonzo for his burial expenses QR: 072222008LGSF</t>
  </si>
  <si>
    <t xml:space="preserve">Florencio E. Mina Jr. </t>
  </si>
  <si>
    <t>Donation to Elisa Mina for her burial expenses</t>
  </si>
  <si>
    <t xml:space="preserve">Joy D. Matias </t>
  </si>
  <si>
    <t>Donation to Ramon Matias for his burial expenses QR: 072222016LGSF</t>
  </si>
  <si>
    <t>Donation to Angela Cruz for her burial expenses QR: 072222023LGSF</t>
  </si>
  <si>
    <t xml:space="preserve">Ariel M. Diaz </t>
  </si>
  <si>
    <t>Donation to Erlen Diaz for his buirial expenses QR: 072522011LGSF</t>
  </si>
  <si>
    <t>Donation to Ferdinand C. Magtanong for his burial expenses QR: 072622010LGSF</t>
  </si>
  <si>
    <t xml:space="preserve">Regine D. Manuel </t>
  </si>
  <si>
    <t>Donation to Normita D. Manuel for her burial expenses QR: 072522022LGSF</t>
  </si>
  <si>
    <t xml:space="preserve">Twinkle C. Viola </t>
  </si>
  <si>
    <t>Donation to Mark Ronald D. Atienza for his burial expenses QR: 072522027LGSF</t>
  </si>
  <si>
    <t xml:space="preserve">Charito C. Rubia </t>
  </si>
  <si>
    <t>Donation to Ricardo A. Cainoy Jr. for his hospital bill QR: 072622003LGSF</t>
  </si>
  <si>
    <t xml:space="preserve">Renell S. Flores </t>
  </si>
  <si>
    <t>Donation to Lyn S. Flores for her hospital bill QR: 072522021LGSF</t>
  </si>
  <si>
    <t xml:space="preserve">Josefina M. Cristobal </t>
  </si>
  <si>
    <t>Donation to Justin E. Cristobal for his hospital bill QR: 0721220017LGSF</t>
  </si>
  <si>
    <t xml:space="preserve">Joel M. Gabriel </t>
  </si>
  <si>
    <t>Donation to Shaira Son L. Gabriel for her hospital bill QR: 072122021LGSF</t>
  </si>
  <si>
    <t xml:space="preserve">Michelle G. Dionisio </t>
  </si>
  <si>
    <t>Donation to Marvin S. Villeza for her hospital bill QR: 072622016LGSF</t>
  </si>
  <si>
    <t>Donation to Danilo D. Villaflor Jr. for his medical needs QR: 072622005LGSF</t>
  </si>
  <si>
    <t xml:space="preserve">Arcely P. Dabu </t>
  </si>
  <si>
    <t>Donation to Rodolfo L. Sta. Cruz for his medical needs QR: 072622004LGSF</t>
  </si>
  <si>
    <t xml:space="preserve">Leonida A. Dela Peña </t>
  </si>
  <si>
    <t>Donation to Ernesto M. Dela Peña for his medical needs QR: 072622009LGSF</t>
  </si>
  <si>
    <t xml:space="preserve">Corazon D. Mendoza </t>
  </si>
  <si>
    <t>Donation to Regelio R. Mendoza for his medical needs QR: 072622008LGSF</t>
  </si>
  <si>
    <t xml:space="preserve">Patrick G. Senera </t>
  </si>
  <si>
    <t>Donation to the client for his medical needs QR: 072522025LGSF</t>
  </si>
  <si>
    <t xml:space="preserve">Johnny D. Pasamonte </t>
  </si>
  <si>
    <t>Donation to the client for his medical needs QR: 072522018LGSF</t>
  </si>
  <si>
    <t xml:space="preserve">Rheane Camille G. Lacson </t>
  </si>
  <si>
    <t>Donation to Jason A. Lacson for his medical needs QR: 072522015LGSF</t>
  </si>
  <si>
    <t xml:space="preserve">Alma B. Valerio </t>
  </si>
  <si>
    <t>Donation to Emeliano O. Baun for his medical needs QR: 072522030LGSF</t>
  </si>
  <si>
    <t xml:space="preserve">Nerissa C. Bantog </t>
  </si>
  <si>
    <t>Donation to Romeo C. Bantog for his medical needs QR: 072522013LGSF</t>
  </si>
  <si>
    <t xml:space="preserve">Agnes D. Solleza </t>
  </si>
  <si>
    <t>Donation to client for her medical expenses QR: 0718220023LGSF</t>
  </si>
  <si>
    <t xml:space="preserve">Azucena A. Talan </t>
  </si>
  <si>
    <t>Donation to Reynaldo Q. Talan for his hospital bills and medical needs QR: 072522014LGSF</t>
  </si>
  <si>
    <t>Donation to Raul C. Agustin for his hospital bill QR: 072622001LGSF</t>
  </si>
  <si>
    <t>Donation to Julieta N. Marcelo for her hospital bill QR: 072522029LGSF</t>
  </si>
  <si>
    <t xml:space="preserve">Haydee P. Ambat </t>
  </si>
  <si>
    <t>Donation to the client for her medical needs QR: 072522017LGSF</t>
  </si>
  <si>
    <t xml:space="preserve">Maria Aurora M. Sartiga </t>
  </si>
  <si>
    <t>Donation to the client for hr medical needs QR: 072522016LGSF</t>
  </si>
  <si>
    <t>Donation to Eleazar D. Morales for his medical needs QR: 072522019LGSF</t>
  </si>
  <si>
    <t xml:space="preserve">Melinda M. Ganzon </t>
  </si>
  <si>
    <t>Donation to Edward R. Ganzon for his medical needs QR: 072522031LGSF</t>
  </si>
  <si>
    <t>Donation to Maree V. Muli for her medical needs QR: 072522026LGSF</t>
  </si>
  <si>
    <t xml:space="preserve">Ruby R. Loyola </t>
  </si>
  <si>
    <t>Donation to Apollo B. Loyola for his medical needs QR: 072522034LGSF</t>
  </si>
  <si>
    <t xml:space="preserve">Ma. Alina G. Sta. Cruz </t>
  </si>
  <si>
    <t>Donation to Virgilio L. Sta Cruz for his medical needs QR: 072622002LGSF</t>
  </si>
  <si>
    <t xml:space="preserve">Joanalyn D. Diaz </t>
  </si>
  <si>
    <t>DONATION TO THE CLIENT FOR HER MEDICAL NEEDS QR: 072522005LGSF</t>
  </si>
  <si>
    <t xml:space="preserve">Arianne A. Gollayan </t>
  </si>
  <si>
    <t>Donation to Joel M. Gollayan for her hospital bills QR: 072522024LGSF</t>
  </si>
  <si>
    <t xml:space="preserve">Daniel Robert L. Daras </t>
  </si>
  <si>
    <t>Donation to Alen Malik Luka A. Daras for her hospital bill QR: 072622011LGSF</t>
  </si>
  <si>
    <t xml:space="preserve">Micaela L. Mercado </t>
  </si>
  <si>
    <t>Donation to Vincent Joe Vaquiz for her hospital bill QR: 072522028LGSF</t>
  </si>
  <si>
    <t xml:space="preserve">Lester L. Clamor </t>
  </si>
  <si>
    <t>Donation to Lean Ann B. Clamor for her hospital bill QR: 072522023LGSF</t>
  </si>
  <si>
    <t xml:space="preserve">Ruby Liza U. Quinto </t>
  </si>
  <si>
    <t>Donation to the client for her medical needs QR: 072522004LGSF</t>
  </si>
  <si>
    <t xml:space="preserve">Desiree J. Grava </t>
  </si>
  <si>
    <t>Donation to Jomalyn J. Grava for her hospital bill QR: 072622021LGSF</t>
  </si>
  <si>
    <t>Donation to the client for his hospital bill QR: 072822021LGSF</t>
  </si>
  <si>
    <t>Donation to Enrique E. Inocencio for his hospital bill QR: 072622033LGSF</t>
  </si>
  <si>
    <t xml:space="preserve">Bryan Santos </t>
  </si>
  <si>
    <t>Donation to Mary Ann Santos for her hospital bill QR: 072722028LGSF</t>
  </si>
  <si>
    <t xml:space="preserve">Lovely Grace A. Guinto </t>
  </si>
  <si>
    <t>Donation to Erlinda Argonza for her hospital bill QR: 072722027LGSF</t>
  </si>
  <si>
    <t>Donation to Lilia Flores for her hospital bill QR: 072822002LGSF</t>
  </si>
  <si>
    <t xml:space="preserve">Ramon C. Perez </t>
  </si>
  <si>
    <t>Donation to the client for his medical needs QR: 072622027LGSF</t>
  </si>
  <si>
    <t>Donation to Susana Catalan for her medical needs QR: 072822004LGSF</t>
  </si>
  <si>
    <t xml:space="preserve">Erika C. Fijer </t>
  </si>
  <si>
    <t>Donation to Gian Arkin Ezekiel C. Fijer for his medical needs QR: 072622022LGSF</t>
  </si>
  <si>
    <t>Donation to Rex M. Ocampo for his hospital bill QR: 072722004LGSF</t>
  </si>
  <si>
    <t xml:space="preserve">Aljed C. Palomares </t>
  </si>
  <si>
    <t>Donation to Melanie T. San Pedro for hr hospital bill QR: 072622025LGSF</t>
  </si>
  <si>
    <t xml:space="preserve">Virgilie D. De Leon </t>
  </si>
  <si>
    <t>Donation to Gabrielle D. De Leon for her hospital bill QR: 072722013LGSF</t>
  </si>
  <si>
    <t xml:space="preserve">Amalia V. Banzon </t>
  </si>
  <si>
    <t>Donation to Prince Yohann B. Sayas for his hospital bill QR: 072722025LGSF</t>
  </si>
  <si>
    <t>Donation to Laura G. Delos Santos for her hospital bill QR: 072722018LGSF</t>
  </si>
  <si>
    <t xml:space="preserve">Ailen E. Reyes </t>
  </si>
  <si>
    <t>Donation to Ronaldo M. Reyes for his medical needs QR: 072722002LGSF</t>
  </si>
  <si>
    <t xml:space="preserve">Irene S. Andalis </t>
  </si>
  <si>
    <t>Donation to Andy T. Andalis for his medical needs QR: 072722007LGSF</t>
  </si>
  <si>
    <t>Donation to Fedirico A. Capati Jr. for his medical needs QR: 072722005LGSF</t>
  </si>
  <si>
    <t xml:space="preserve">Maria Cecilia C. Magtanong </t>
  </si>
  <si>
    <t>Donation to the client for her medical needs QR: 072622014LGSF</t>
  </si>
  <si>
    <t xml:space="preserve">Lea E. Roxas </t>
  </si>
  <si>
    <t>Donation to Mercita Z. Timbang for her medical needs QR: 072522020LGSF</t>
  </si>
  <si>
    <t xml:space="preserve">Edwin U. Caparas </t>
  </si>
  <si>
    <t>Donation to the client for his medical needs QR: 072722024LGSF</t>
  </si>
  <si>
    <t xml:space="preserve">Evangeline D. Nohay </t>
  </si>
  <si>
    <t>Donation to Marcos P. Nohay for his medical needs QR: 072722021LGSF</t>
  </si>
  <si>
    <t xml:space="preserve">Maria Bernadette M. Gernalin </t>
  </si>
  <si>
    <t>Donation to Dominga J. Santos for her burial expenses QR: 072722003LGSF</t>
  </si>
  <si>
    <t xml:space="preserve">Regina P. Bajador </t>
  </si>
  <si>
    <t>Donation to Marcelino R. Prendol for his burial expenses QR: 072622035LGSF</t>
  </si>
  <si>
    <t xml:space="preserve">Arlyn G. Advincula </t>
  </si>
  <si>
    <t>Donation to Robert N. Advincula for her burial expenses QR: 072622019LGSF</t>
  </si>
  <si>
    <t>Donation to Arlyn Del Mundo for her burial expenses QR: 072722026LGSF</t>
  </si>
  <si>
    <t xml:space="preserve">Emce Marlyn P. Robles </t>
  </si>
  <si>
    <t>Donation to Angelyn P. Panlican for her hospital bill QR: 072722011LGSF</t>
  </si>
  <si>
    <t>Donation to Mer Dela Cruz for his hospital bill QR: 072722023LGSF</t>
  </si>
  <si>
    <t xml:space="preserve">Renan A. Gregorio </t>
  </si>
  <si>
    <t>Donation to Florante S. Gregorio for his hospital bill QR: 072622031LGSF</t>
  </si>
  <si>
    <t xml:space="preserve">Carmelita A. Rodulfo </t>
  </si>
  <si>
    <t>Donation to the client for her medical needs QR: 072722012LGSF</t>
  </si>
  <si>
    <t xml:space="preserve">Kycelyn C. Roxas </t>
  </si>
  <si>
    <t>Donation to Marilyn N. Cruz for her medical needs QR: 072722016LGSF</t>
  </si>
  <si>
    <t xml:space="preserve">Susana A. Evangelista </t>
  </si>
  <si>
    <t>Donation to Gloria Evangelista for her medical needs QR: 072722015LGSF</t>
  </si>
  <si>
    <t>Donation to Honorio S. Garcia for his medical needs QR: 072622026LGSF</t>
  </si>
  <si>
    <t xml:space="preserve">Sandy V. Marzan </t>
  </si>
  <si>
    <t>Donation to Renel V. Diada for his medical needs QR: 072622029LGSF</t>
  </si>
  <si>
    <t>Donation to Renel Boy Jr. Diada for his medical needs QR: 072622028LGSF</t>
  </si>
  <si>
    <t xml:space="preserve">Marianette B. Evangelista </t>
  </si>
  <si>
    <t>Donation to Erlinda N. Borlaza for her medical needs QR: 072722014LGSF</t>
  </si>
  <si>
    <t>Donation to Perlita B. Roman for her medical needs QR: 072622034LGSF</t>
  </si>
  <si>
    <t xml:space="preserve">Abbie Royce T. Timbang </t>
  </si>
  <si>
    <t>Donation to Albelardo C. Timbang Jr. for her burial expenses QR: 072722001LGSF</t>
  </si>
  <si>
    <t xml:space="preserve">Rolando F. Tuazon Jr. </t>
  </si>
  <si>
    <t>Donation the client for his medical needs QR: 072622024LGSF</t>
  </si>
  <si>
    <t xml:space="preserve">Abigael B. Samaniego </t>
  </si>
  <si>
    <t>Donation to Avree Denise Samaniego for her hospital bill QR: 072722029LGSF</t>
  </si>
  <si>
    <t xml:space="preserve">Ria T. Tallara </t>
  </si>
  <si>
    <t>Donation to Ricardo C. Tuazon Jr. for his burial expenses QR: 072722010LGSF</t>
  </si>
  <si>
    <t xml:space="preserve">Danilo G. Sacdalan </t>
  </si>
  <si>
    <t>Donation to Maria G. Sacdalan for her burial expenses QR: 072722008LGSF</t>
  </si>
  <si>
    <t xml:space="preserve">Carol N. Tugadi </t>
  </si>
  <si>
    <t>Donation to Mercedita R. Naguit for his burial expenses QR: 072722020LGSF</t>
  </si>
  <si>
    <t xml:space="preserve">Victor C. Manalo </t>
  </si>
  <si>
    <t>Donation to Carmelita C. Manalo fir her burial expenses QR: 072822013LGSF</t>
  </si>
  <si>
    <t xml:space="preserve">Dennis M. Cervera </t>
  </si>
  <si>
    <t>Donation to Arleno Cervera for his burial expenses QR: 072822001LGSF</t>
  </si>
  <si>
    <t xml:space="preserve">Marissa T. Banzon </t>
  </si>
  <si>
    <t>Donation to Reynaldo T. Banzon for his burial expenses QR: 072822006LGSF</t>
  </si>
  <si>
    <t xml:space="preserve">Michelle P. Zarraga </t>
  </si>
  <si>
    <t>Donation to Arturo O. Pascual for his burial expenses QR: 072822020LGSF</t>
  </si>
  <si>
    <t xml:space="preserve">Sonny Boy M. Silva </t>
  </si>
  <si>
    <t>Donation to Jasmin V. Silva for her hospital bill QR: 072822011LGSF</t>
  </si>
  <si>
    <t xml:space="preserve">Ellie S. Esguerra </t>
  </si>
  <si>
    <t>Donation to Reynaldo Esguerra for his hospital bill QR: 072722030LGSF</t>
  </si>
  <si>
    <t>Donation to Felicisima D. Nuguid for her hospital bill QR: 072822009LGSF</t>
  </si>
  <si>
    <t>Donation to Carlos D. Quicho for his medical needs QR: 072822016LGSF</t>
  </si>
  <si>
    <t xml:space="preserve">Marilyn D. Empas </t>
  </si>
  <si>
    <t>Donation to Lucia A. Empas for her medical needs QR: 072822010LGSF</t>
  </si>
  <si>
    <t xml:space="preserve">Rodrigo M. Atanacio </t>
  </si>
  <si>
    <t>Donation to the client for his medical needs QR: 072822008LGSF</t>
  </si>
  <si>
    <t xml:space="preserve">Kennedy S. Santos </t>
  </si>
  <si>
    <t>Donation to Jayson S. Santos for his medical needs QR: 072822007LGSF</t>
  </si>
  <si>
    <t xml:space="preserve">Reynan G. Santos </t>
  </si>
  <si>
    <t>Donation to Marcelo M. Santos for his hospital bill QR: 072822012LGSF</t>
  </si>
  <si>
    <t xml:space="preserve">Norilyn N. Visitacion </t>
  </si>
  <si>
    <t>Donation to Michael S. Visitacion for his hospital bill QR: 072822105LGSF</t>
  </si>
  <si>
    <t>Donation to Bernardita J. Diego for her hospital bill QR: 072622013LGSF</t>
  </si>
  <si>
    <t xml:space="preserve">Marcelo D. Carel </t>
  </si>
  <si>
    <t>Donation to Mel Kathlyn C. Basilio for her hospital bill QR: 072722017LGSF</t>
  </si>
  <si>
    <t xml:space="preserve">Michelle S. Trinidad </t>
  </si>
  <si>
    <t>Donation to Noli M. Trinidad for his medical needs QR: 072822014LGSF</t>
  </si>
  <si>
    <t xml:space="preserve">Richie M. Mendoza </t>
  </si>
  <si>
    <t>Donation to the client for her medical needs QR: 072822017LGSF</t>
  </si>
  <si>
    <t xml:space="preserve">Julia J. Agulto </t>
  </si>
  <si>
    <t>Donation to the client for her medical needs QR: 072822018LGSF</t>
  </si>
  <si>
    <t xml:space="preserve">Ramon C. Manalili </t>
  </si>
  <si>
    <t>Donation to the client for his medical needs QR: 072622018LGSF</t>
  </si>
  <si>
    <t>Donation to the client for her medical needs QR: 072622012LGSF</t>
  </si>
  <si>
    <t xml:space="preserve">Jerry May S. Quintero </t>
  </si>
  <si>
    <t>Donation to Bonifacio L. Quintero for his medical needs QR: 072622006LGSF</t>
  </si>
  <si>
    <t xml:space="preserve">Avelina Evelyn D. Cunanan </t>
  </si>
  <si>
    <t>Donation to David Lucas C. Escartin for his medical needs QR: 072622032LGSF</t>
  </si>
  <si>
    <t xml:space="preserve">Reynaldo M. Lintag </t>
  </si>
  <si>
    <t>Dontaion to Lucy M. Lintag for her medical needs QR: 072722022LGSF</t>
  </si>
  <si>
    <t>Donation to Bryan A. Connell for her medical needs QR: 072722019LGSF</t>
  </si>
  <si>
    <t xml:space="preserve">Rowena S. Soliven </t>
  </si>
  <si>
    <t>Donation to Rodolfo P. Santos for his burial expenses QR: 072922028LGSF</t>
  </si>
  <si>
    <t>Donation to Katherine Grace M. Senia for her hospital bill QR: 072922020LGSF</t>
  </si>
  <si>
    <t xml:space="preserve">Remedios M. Laxa </t>
  </si>
  <si>
    <t>Donation to the client for her medical needs QR: 072922041LGSF</t>
  </si>
  <si>
    <t>Donation to Nazario S. Felicitas for her medical needs QR: 080122006LGSF</t>
  </si>
  <si>
    <t xml:space="preserve">Jocelyn S. Italia </t>
  </si>
  <si>
    <t>Donation to the client for he medical needs QR: 072922032LGSF</t>
  </si>
  <si>
    <t xml:space="preserve">Virgilio C. Cabalic </t>
  </si>
  <si>
    <t>Donation to Sherly C. Cabalic for her medical needs QR: 080122004LGSF</t>
  </si>
  <si>
    <t xml:space="preserve">Raquel D. Flores </t>
  </si>
  <si>
    <t>Donation to Rebecca E. Dantes for her burial expenses QR: 072922038LGSF</t>
  </si>
  <si>
    <t xml:space="preserve">Ariel N. Tigas </t>
  </si>
  <si>
    <t>Donation to Cherrylyn T. Antonio for her hospital bill QR: 080122002LGSF</t>
  </si>
  <si>
    <t xml:space="preserve">Robinson D. Manuel </t>
  </si>
  <si>
    <t>Donation to Zenaida J. Manuel for her hospital bill QR: 072922019LGSF</t>
  </si>
  <si>
    <t xml:space="preserve">Ailene G. Rivera </t>
  </si>
  <si>
    <t>Donation to the client for her hospital bill QR: 072922022LGSF</t>
  </si>
  <si>
    <t xml:space="preserve">Virgilio V. Pinili </t>
  </si>
  <si>
    <t>Donation to Mark Pinili for his hospital bill QR: 072622015LGSF</t>
  </si>
  <si>
    <t xml:space="preserve">Ryan D. Tejada </t>
  </si>
  <si>
    <t>Donation to Almario T. Tejada for his hospital bill and medical needs QR: 072922017LGSF</t>
  </si>
  <si>
    <t>Donation to the client for his medical needs QR: 080122007LGSF</t>
  </si>
  <si>
    <t xml:space="preserve">Mariechell I. Lazarte </t>
  </si>
  <si>
    <t>Donation to Nene A. Isidro for her medical needs QR: 080122001LGSF</t>
  </si>
  <si>
    <t xml:space="preserve">Donelyn D. Diolazo </t>
  </si>
  <si>
    <t>Donation to Eduardo M. Domingo for his medical needs QR: 072922042LGSF</t>
  </si>
  <si>
    <t xml:space="preserve">Pacita C. Buenaceda </t>
  </si>
  <si>
    <t>Donation to Allan C. Buenaceda for his medical needs QR: 080122008LGSF</t>
  </si>
  <si>
    <t xml:space="preserve">Von Erick B. Carreon </t>
  </si>
  <si>
    <t>Donation to the client for his medical needs QR: 072922021LGSF</t>
  </si>
  <si>
    <t>Donation to Raul Apas for his burial expenses QR: 072922027LGSF</t>
  </si>
  <si>
    <t>Donation to Miriam Apas for her burial expenses QR: 072922026LGSF</t>
  </si>
  <si>
    <t xml:space="preserve">Sandy P. Dizon </t>
  </si>
  <si>
    <t>Donation to Sandy Marcus II Dizon for his hospital bill QR: 072822024LGSF</t>
  </si>
  <si>
    <t>Donation to Flordeliza Waje for her hospital bill QR: 072922004LGSF</t>
  </si>
  <si>
    <t>Donation to Dan Garcia for his hospital bill QR: 072922011LGSF</t>
  </si>
  <si>
    <t xml:space="preserve">Allene Vincent Buensuceso </t>
  </si>
  <si>
    <t>Donation to Charles Axzel Cruz for his hospital bill QR: 072822025LGSF</t>
  </si>
  <si>
    <t>Donation to Juanito Salandanan for his hospital bill QR: 072922015LGSF</t>
  </si>
  <si>
    <t xml:space="preserve">Maria Penny S. Medina </t>
  </si>
  <si>
    <t>Donation to the client for her medical needs QR: 072922003LGSF</t>
  </si>
  <si>
    <t xml:space="preserve">Michelle A. Liboon </t>
  </si>
  <si>
    <t>Donation to Sanny Car Liboon for his medical needs QR: 072922006LGSF</t>
  </si>
  <si>
    <t>Donation to the client for his medical needs QR: 072922010LGSF</t>
  </si>
  <si>
    <t xml:space="preserve">Maria Theresa P. De Jesus </t>
  </si>
  <si>
    <t>Donation to Danilo Pulos for his medical needs QR: 072922035LGSF</t>
  </si>
  <si>
    <t>Donation to Mary Grace Catitir for her medical needs QR: 072922002LGSF</t>
  </si>
  <si>
    <t>Donation to Cruseth Yvonne R. Muli for her Therapy QR: 07292045LGSF</t>
  </si>
  <si>
    <t xml:space="preserve">Sonny G. Descallar </t>
  </si>
  <si>
    <t>Donation to the client for his medical needs QR: 072822003LGSF</t>
  </si>
  <si>
    <t>Donation to the client for his medical needs QR: 080122011LGSF</t>
  </si>
  <si>
    <t xml:space="preserve">Francisco B. Pereña </t>
  </si>
  <si>
    <t>Donation to Emelita C. Pereña for her medical needs QR: 072622008LGSF</t>
  </si>
  <si>
    <t>Donation to the client for her medical needs QR: 072922031LGSF</t>
  </si>
  <si>
    <t>Donation to Pablito Reyes for his hospital bill QR: 072922037LGSF</t>
  </si>
  <si>
    <t xml:space="preserve">Eledia I. Olivera </t>
  </si>
  <si>
    <t>Donation to Rodolfo Inopia Jr. for his hospital bill QR: 072922014LGSF</t>
  </si>
  <si>
    <t xml:space="preserve">Ferdinand T. Rollan </t>
  </si>
  <si>
    <t>Donation to Luciana Rollan for her hospital bill QR: 072822023LGSF</t>
  </si>
  <si>
    <t xml:space="preserve">Violeta M. Mena </t>
  </si>
  <si>
    <t>Donation to Llian Hinaunt for her hospital bill QR: 072822027LGSF</t>
  </si>
  <si>
    <t xml:space="preserve">Jocelyn G. Gunio </t>
  </si>
  <si>
    <t>Donation to Arlyn Mae Gunio for her medical needs QR: 072922009LGSF</t>
  </si>
  <si>
    <t xml:space="preserve">Irene M. Patdo </t>
  </si>
  <si>
    <t>Donation to Fernando Manalansa for his burial expenses QR: 072922012LGSF</t>
  </si>
  <si>
    <t xml:space="preserve">Pedro A. Chavez </t>
  </si>
  <si>
    <t>Donation to the client for his medical needs QR: 072922005LGSF</t>
  </si>
  <si>
    <t>Donation to the client for his medical needs QR: 072922007LGSF</t>
  </si>
  <si>
    <t xml:space="preserve">Nenita B. San Agustin </t>
  </si>
  <si>
    <t>Donation to the client for her medical needs QR: 072922018LGSF</t>
  </si>
  <si>
    <t>Donation to Julie Ann Garcia for her hospital bill QR: 072922030LGSF</t>
  </si>
  <si>
    <t xml:space="preserve">Elizabeth B. Quiambao </t>
  </si>
  <si>
    <t>Donation to Carlos Quiambao Jr. for his medical needs QR: 072922039LGSF</t>
  </si>
  <si>
    <t>Donation to Roberto Ganzon for his medical needs QR: 072922034LGSF</t>
  </si>
  <si>
    <t>Donation to Wilfredo Macaspac for his hospital bill QR: 072922016LGSF</t>
  </si>
  <si>
    <t xml:space="preserve">Benigno Jr. S. Mendoza </t>
  </si>
  <si>
    <t>Donation to Arlene P. Mendoza for her hospital bill QR: 072822019LGSF</t>
  </si>
  <si>
    <t xml:space="preserve">Rafael S. Limcumpao </t>
  </si>
  <si>
    <t>Donation to Client for his medical expenses QR: 080122024LGSF</t>
  </si>
  <si>
    <t xml:space="preserve">Alfred B. Abaño </t>
  </si>
  <si>
    <t>Donation to Ernesto Abaño for his medical needs QR: 072922040LGSF</t>
  </si>
  <si>
    <t xml:space="preserve">Helen P. Gaño </t>
  </si>
  <si>
    <t>Donation to the client for her medical needs QR: 080122026LGSF</t>
  </si>
  <si>
    <t xml:space="preserve">Mary Jane R. Mendaros </t>
  </si>
  <si>
    <t>Donation to Julieta Mendaros for her medical needs QR: 080122014LGSF</t>
  </si>
  <si>
    <t xml:space="preserve">Anna Victoria S. Mauhay </t>
  </si>
  <si>
    <t>QR: 080122018LGSF</t>
  </si>
  <si>
    <t xml:space="preserve">Ma. Paulet B. Caceres </t>
  </si>
  <si>
    <t>Donation to Sabria Caceres for her medical needs QR: 072922036LGSF</t>
  </si>
  <si>
    <t>Donation to Domingo Punzalan for his hospital bill QR: 080122021LGSF</t>
  </si>
  <si>
    <t xml:space="preserve">Elenita N. Manuel </t>
  </si>
  <si>
    <t>Donation to Honorata Manuel for his medical needs QR: 080122022LGSF</t>
  </si>
  <si>
    <t xml:space="preserve">Carie L. Malibiran </t>
  </si>
  <si>
    <t>Donation to Remedios Leaño for her burial expenses QR: 080122031LGSF</t>
  </si>
  <si>
    <t>Donation to Renzo Reyes for his medical needs QR: 080122046LGSF</t>
  </si>
  <si>
    <t>Donation to Rizaldy Guese for his medical needs QR: 080122010LGSF</t>
  </si>
  <si>
    <t xml:space="preserve">Christopher M. Bangco </t>
  </si>
  <si>
    <t>Donation to Solita Bangco for her hospital bill QR: 080122051LGSF</t>
  </si>
  <si>
    <t xml:space="preserve">Nestor S. Leaño </t>
  </si>
  <si>
    <t>Donation to Consolacion Leaño for he medical needs QR: 080122030LGSF</t>
  </si>
  <si>
    <t xml:space="preserve">Jerome D. Dela Cruz </t>
  </si>
  <si>
    <t>Donation to Joy Constillo for her hospital bill QR: 080122048LGSF</t>
  </si>
  <si>
    <t>Donation to Yolanda Frias for her medical needs QR: 080122042LGSF</t>
  </si>
  <si>
    <t>Donation to the client for his medical needs QR: 080122032LGSF</t>
  </si>
  <si>
    <t xml:space="preserve">Joana Marie Roberta A. Ecleo </t>
  </si>
  <si>
    <t>Donation to Felicidad Arce for her medical needs QR: 080122036LGSF</t>
  </si>
  <si>
    <t xml:space="preserve">Pinky L. Ocampo </t>
  </si>
  <si>
    <t>Donation to Elvin Kent Ocampo for his hospital bill QR: 080122005LGSF</t>
  </si>
  <si>
    <t xml:space="preserve">Heinrich S. Vitug </t>
  </si>
  <si>
    <t>Donation to the client for his hospital bill QR: 080122019LGSF</t>
  </si>
  <si>
    <t xml:space="preserve">Wilma A. Aquino </t>
  </si>
  <si>
    <t>Donation to the client for her medical neeeds QR: 080122015LGSF</t>
  </si>
  <si>
    <t>Donation to Luisito Casuga for his medical needs QR: 080122025LGSF</t>
  </si>
  <si>
    <t xml:space="preserve">Rachelle Ann B. Garcia </t>
  </si>
  <si>
    <t>Donation to Vince Rafaelle Dela Fuente for his medical needs QR: 080122012LGSF</t>
  </si>
  <si>
    <t>Donation to Annaliza Moleño for her hospital bill QR: 080122003LGSF</t>
  </si>
  <si>
    <t xml:space="preserve">Violeta M. Llanda </t>
  </si>
  <si>
    <t>Donation to Victoriano Llanda for his hospital bill QR: 080122017LGSF</t>
  </si>
  <si>
    <t xml:space="preserve">Ronald G. Cura </t>
  </si>
  <si>
    <t>Donation to the client for his medical needs QR: 072922023LGSF</t>
  </si>
  <si>
    <t>Donation to Rizaldy Agustin for his hospital bill QR: 072922029LGSF</t>
  </si>
  <si>
    <t xml:space="preserve">May M. Delantar </t>
  </si>
  <si>
    <t>Donation to Esiley Delantar for his his hospital bill QR: 080122020LGSF</t>
  </si>
  <si>
    <t xml:space="preserve">Gina C. Samson </t>
  </si>
  <si>
    <t>Donation to Menandro Carel for his burial expenses QR: 080122013LGSF</t>
  </si>
  <si>
    <t xml:space="preserve">Rosenda B. Cabigting </t>
  </si>
  <si>
    <t>Donation to the client for her medical needs QR: 080122035LGSF</t>
  </si>
  <si>
    <t xml:space="preserve">Janine Perez Dela Cruz </t>
  </si>
  <si>
    <t>Donation to Riz Alsiel Dela Cruz for his hospital bill QR: 080122038LGSF</t>
  </si>
  <si>
    <t>Donation to Marvin Soriano for his hospital bill QR: 080122047LGSF</t>
  </si>
  <si>
    <t xml:space="preserve">Mary Ann M. Calma </t>
  </si>
  <si>
    <t>Donation to the client for her medical needs QR: 080122045LGSF</t>
  </si>
  <si>
    <t xml:space="preserve">Jennifer V. Pamintuan </t>
  </si>
  <si>
    <t>Donation to James Kurt Pamintuan for his hospital bill QR: 080122041LGSF</t>
  </si>
  <si>
    <t xml:space="preserve">Liza L. Delos Reyes </t>
  </si>
  <si>
    <t>Donation to Emilia Dela Cruz for her burial expenses QR: 080122033LGSF</t>
  </si>
  <si>
    <t>Donation to Elmer B. Bejo for his hospital bill QR: 080222010LGSF</t>
  </si>
  <si>
    <t xml:space="preserve">Ma. Kiara Ricci L. Gomez </t>
  </si>
  <si>
    <t>Donation to Jensen Gomez for his hospital bill QR: 072922033LGSF</t>
  </si>
  <si>
    <t xml:space="preserve">Yolando B. Villamil </t>
  </si>
  <si>
    <t>Donation to Cipriano B. Villamil Jr. for his hospital bill QR: 080222022LGSF</t>
  </si>
  <si>
    <t xml:space="preserve">Analyn G. Ringor </t>
  </si>
  <si>
    <t>Donation to Renato R. Ringor for his hospital bill QR: 080222023LGSF</t>
  </si>
  <si>
    <t xml:space="preserve">May Lyn H. David </t>
  </si>
  <si>
    <t>Donation to Maxxpien Zin H. David for her hospital bill QR: 080122055LGSF</t>
  </si>
  <si>
    <t xml:space="preserve">Emanuel Gil Lorenzo Mendoza </t>
  </si>
  <si>
    <t>Donation to Winnie S. Barata for her hospital bill QR: 080222002LGSF</t>
  </si>
  <si>
    <t xml:space="preserve">Eugenia D. Manuel </t>
  </si>
  <si>
    <t>Donation to JannaH Mae D. Manuel for her hospital bill QR: 080222005LGSF</t>
  </si>
  <si>
    <t xml:space="preserve">Marian B. de Leon </t>
  </si>
  <si>
    <t>Donation to Mary Ann B. De Leon for her hospital bill QR: 072922025LGSF</t>
  </si>
  <si>
    <t xml:space="preserve">May Linda D. Cerezo </t>
  </si>
  <si>
    <t>Donation to Ramric Daniel Cerezo for his hospital bill QR: 072822022LGSF</t>
  </si>
  <si>
    <t xml:space="preserve">Leopoldo B. Vida Jr. </t>
  </si>
  <si>
    <t>Donation to Dina A. Vida for her hospital bill QR: 080222011LGSF</t>
  </si>
  <si>
    <t xml:space="preserve">Jordan S. Malinao </t>
  </si>
  <si>
    <t>Donation to Kalyx Dominique L. Malinao for his hospital bill QR: 080222009LGSF</t>
  </si>
  <si>
    <t>Donation to Domingo Brioso for his medical needs QR: 072922008LGSF</t>
  </si>
  <si>
    <t>Polyethersulfone Dialyzer Low Flux and High Flux H200 for 1Bataan Malasakit Dialysis Assistance (1BMDA)</t>
  </si>
  <si>
    <t xml:space="preserve">Rosalinda S. Vidal </t>
  </si>
  <si>
    <t>Donation to Client for her medical needs QR: 080322024LGSF</t>
  </si>
  <si>
    <t xml:space="preserve">Melba C. Despues </t>
  </si>
  <si>
    <t>Donation to Francisca A. Caparaz for her burial expenses</t>
  </si>
  <si>
    <t xml:space="preserve">Erlina C. Sabalbarino </t>
  </si>
  <si>
    <t>Donation to Joseph S. Crisostomo for his burial expenses</t>
  </si>
  <si>
    <t>1% retention for medical supplies for use of PHO COVID-19 reporting unit</t>
  </si>
  <si>
    <t xml:space="preserve">Philippine Public Safety and Order Support Group (PPSOSG) Inc. </t>
  </si>
  <si>
    <t>25th PArtial payment of package training expenses for the provincial wide Brgy Disaster Risk Reduction Education &amp; emeregency medical first responder</t>
  </si>
  <si>
    <t xml:space="preserve">Marife G. Carlos </t>
  </si>
  <si>
    <t>Donation to Sarah Lie C. Torrevillas for her hospital bill QR: 080322010LGSF</t>
  </si>
  <si>
    <t xml:space="preserve">Domingo I. Corpuz </t>
  </si>
  <si>
    <t>Donation to Edna Corpuz for her hospital bill QR: 080322016LSGF</t>
  </si>
  <si>
    <t xml:space="preserve">Geraldine R. Eduarte </t>
  </si>
  <si>
    <t>Donation to Client for his medical needs QR: 080322038LGSF</t>
  </si>
  <si>
    <t xml:space="preserve">Juanito T. Lopega Jr. </t>
  </si>
  <si>
    <t>Donation to Client for his medical needs QR: 080322009LGSF</t>
  </si>
  <si>
    <t xml:space="preserve">Edna P. Caraig </t>
  </si>
  <si>
    <t>Donation to Client for he medical needs QR: 080322008LGSF</t>
  </si>
  <si>
    <t xml:space="preserve">Rita E. Veloria </t>
  </si>
  <si>
    <t>Donation to Client for her medical needs QR: 080322014LGSF</t>
  </si>
  <si>
    <t xml:space="preserve">Carol A. Torrejos </t>
  </si>
  <si>
    <t>Donation to Lourdes M. Arellano for her medical needs QR: 080322012LGSF</t>
  </si>
  <si>
    <t xml:space="preserve">Ramon O. Quitoro </t>
  </si>
  <si>
    <t>Donation to Client for his medical needs QR: 080322011LGSF</t>
  </si>
  <si>
    <t>Donation to Alexa Gabriel Alba for her burial expenses QR: 080222019LGSF</t>
  </si>
  <si>
    <t xml:space="preserve">Ofelia A. Pigao </t>
  </si>
  <si>
    <t>Donation to Juanito C. Baculo for his burial expenses QR: 080122028LGSf</t>
  </si>
  <si>
    <t xml:space="preserve">Liezl D. Alfonso </t>
  </si>
  <si>
    <t>Donation to Leticia P. Deldoc for her burial expenses QR: 080122037LGSF</t>
  </si>
  <si>
    <t xml:space="preserve">Eloisa M. Tubaña </t>
  </si>
  <si>
    <t>Donation to Angeles S. Medina for his burial expenses QR: 080122040LSGF</t>
  </si>
  <si>
    <t xml:space="preserve">Marilou M. Mendoza </t>
  </si>
  <si>
    <t>Donation to Herminio C. Mendoza for his burial expenses QR: 080222026LGSF</t>
  </si>
  <si>
    <t>Donation to Rommel De Guia Nuqui for his medical needs QR: 080222028LGSF</t>
  </si>
  <si>
    <t xml:space="preserve">Ginny A. Mendoza </t>
  </si>
  <si>
    <t>Donation to Fernando T. Austria for his medical needs QR: 080222017LGSF</t>
  </si>
  <si>
    <t>Donation to Marissa G. Aguada for her medical needs QR: 080222021LGSF</t>
  </si>
  <si>
    <t xml:space="preserve">Myrlan D. Reyes </t>
  </si>
  <si>
    <t>Donation to Myrna L. Domingo for her medical needs QR: 080222007LGSF</t>
  </si>
  <si>
    <t>Donation to Client for his medical needs QR: 080222008LGSF</t>
  </si>
  <si>
    <t>Donation to Anicia N. Sunglao for her medical needs QR: 080222027LGSF</t>
  </si>
  <si>
    <t>Donation to Client for her medical needs QR: 080222014LGSF</t>
  </si>
  <si>
    <t xml:space="preserve">Cielito P. Rodulfo </t>
  </si>
  <si>
    <t>Donation to the client for her medical needs QR: 080322018LGSF</t>
  </si>
  <si>
    <t xml:space="preserve">Perlita D. Cabanilla </t>
  </si>
  <si>
    <t>Donation to Grace Cabanilla for her medical needs QR: 080322020LGSF</t>
  </si>
  <si>
    <t xml:space="preserve">Michelle P. Atencio </t>
  </si>
  <si>
    <t>Donation to Raul Atencio for his medical needs QR: 080322022LGSF</t>
  </si>
  <si>
    <t>Donation to the client for her medical needs QR: 080322004LGSF</t>
  </si>
  <si>
    <t>Donation to the client for his medical needs QR: 080322005LGSF</t>
  </si>
  <si>
    <t xml:space="preserve">Joel D. Tolentino </t>
  </si>
  <si>
    <t>Donation to Rafael Tolentino for his medical needs QR: 080322001LGSF</t>
  </si>
  <si>
    <t>Donation to Samantha Pontillas for her medical needs QR: 080222032LGSF</t>
  </si>
  <si>
    <t>Donation to Client for her medical needs QR: 080122053LGSF</t>
  </si>
  <si>
    <t xml:space="preserve">Lorilyn C. Pascua </t>
  </si>
  <si>
    <t>Donation to Lolita S. Clemente for her medical needs QR: 080222003LGSF</t>
  </si>
  <si>
    <t xml:space="preserve">Joey C. Soriano </t>
  </si>
  <si>
    <t>Donation to Petronila C. Soriano for her medical needs QR: 080122043LGSF</t>
  </si>
  <si>
    <t>Donation to Edna B. Cruz for her medical needs QR: 080222001LGSF</t>
  </si>
  <si>
    <t xml:space="preserve">Vicenta D. Agustin </t>
  </si>
  <si>
    <t>Donation to Client for her medical needs QR: 080122027LSGF</t>
  </si>
  <si>
    <t xml:space="preserve">John Pereeno S. Molina </t>
  </si>
  <si>
    <t>Donation to the client for his medical needs QR: 080322003LGSF</t>
  </si>
  <si>
    <t xml:space="preserve">Aiko B. Ferraro </t>
  </si>
  <si>
    <t>Donation to Kim Dayson for his medical needs QR: 080222029LGSF</t>
  </si>
  <si>
    <t xml:space="preserve">Lorena R. Torres </t>
  </si>
  <si>
    <t>Donation to Miguel Ivan Torres for his medical needs QR: 080222031LGSF</t>
  </si>
  <si>
    <t xml:space="preserve">Rodolfo B. Tiongson </t>
  </si>
  <si>
    <t>Donation to Adelina Tiongson for her hospital bill and doctor's professional fee QR: 080222030LGSF</t>
  </si>
  <si>
    <t>Donation to Irma Sabino for her hospital bill QR: 080222034LGSF</t>
  </si>
  <si>
    <t>Donation to Connie Solarte and Jamie Solarte for their hospital bill QR: 080222016LGSF</t>
  </si>
  <si>
    <t xml:space="preserve">Arnie D. Vicente </t>
  </si>
  <si>
    <t>Donation to Howard Vicente for his hospital bill QR: 080322019LGSF</t>
  </si>
  <si>
    <t>Donation to Yola Marie G. Gamboa and Zeke Elio G. Gamboa for their hospital bill QR: 080322006LGSF</t>
  </si>
  <si>
    <t>Donation to Gjianne Maxxine Ortañez for her hospital bill QR: 080322002LGSF</t>
  </si>
  <si>
    <t xml:space="preserve">Rose Anne S. Escabosa </t>
  </si>
  <si>
    <t>Donation to Akira Naomi Almoradie for her medical needs QR: 080222033LGSF</t>
  </si>
  <si>
    <t xml:space="preserve">Rossana P. Wong </t>
  </si>
  <si>
    <t>Donation to Ramonchito P. Peñano for his hospital bill QR: 080222014LGSF</t>
  </si>
  <si>
    <t xml:space="preserve">Roque V. Banzon </t>
  </si>
  <si>
    <t>Donation to Thess Ann C. Banzon for her hospital bill QR: 080222013LGSF</t>
  </si>
  <si>
    <t xml:space="preserve">Kristine G. Perez </t>
  </si>
  <si>
    <t>Donation to Alona G. Javier for her hospital bill QR: 080122050LGSF</t>
  </si>
  <si>
    <t xml:space="preserve">Shirlyn A. Simulata </t>
  </si>
  <si>
    <t>Donation to Rosalina A. Simulata for their hospital bill QR: 080222020LGSF</t>
  </si>
  <si>
    <t>Donation to Rose Ann Reñosa Paule and Iain Mikelle R. Paule for their hospital bill QR: 080222018LGSF</t>
  </si>
  <si>
    <t>Donation to Augusto S. Baluyot for his hospital bill QR: 080122034LGSF</t>
  </si>
  <si>
    <t xml:space="preserve">Bernard M. Taguinod </t>
  </si>
  <si>
    <t>Donation to Edna Taguinod for her hospital bill QR: 080122023LGSF</t>
  </si>
  <si>
    <t>Donation to Marie Ann De Mesa and Keanna Marie Reyes for their hospital biil QR: 080122044LGSF</t>
  </si>
  <si>
    <t>Donation to Ma. Rebecca R. Jorge for her hospital bill QR: 080222024LGSF</t>
  </si>
  <si>
    <t>Payment of hospital bill of indigent patients of Bagac Community and Medicare Hospital (BCMH) charge to DOH Fund Medical Assistace, Assistance to Indigent Patients Program for the period of July 2022</t>
  </si>
  <si>
    <t xml:space="preserve">IPM Construction and Development Corporation </t>
  </si>
  <si>
    <t>Construction of Bataan Convention Center, Capitol Compound, Balanga City, Bataan</t>
  </si>
  <si>
    <t>Reimbursement of Honorarium re; Camp Coordination and Management Training on August 2-5, 2022 at 1Bataan Command Center (Training Center)</t>
  </si>
  <si>
    <t>Donation to NELSON T. SANCHEZ for his medical needs. QR: 080322013LGSF</t>
  </si>
  <si>
    <t xml:space="preserve">Ronnel H. Dilig </t>
  </si>
  <si>
    <t>Donation to Sheradel Lolong and Skyla L. Dilig for their hospital bill QR: 080222025LGSF</t>
  </si>
  <si>
    <t xml:space="preserve">Iris Matthew O. Cabulao </t>
  </si>
  <si>
    <t>Donation to the client for his hospital bill QR: 080222035LGSF</t>
  </si>
  <si>
    <t xml:space="preserve">Apple B. Triste </t>
  </si>
  <si>
    <t>Donation to Joel R. Triste for his medical needs QR: 080322032LGSF</t>
  </si>
  <si>
    <t xml:space="preserve">Oliver A. Paguio </t>
  </si>
  <si>
    <t>Donation to Angelita O. Garcia for her hospital bill QR: 080322027LGSF</t>
  </si>
  <si>
    <t xml:space="preserve">Jennelyn G. De Mesa </t>
  </si>
  <si>
    <t>Donation to Mark Yuhan D. Matawaran for his hospital bill QR: 080322017LGSF</t>
  </si>
  <si>
    <t>Donation to Fernando V. Flores for his hospital bill QR: 080322033LGSF</t>
  </si>
  <si>
    <t>Donation to Amelita P. Madera for her hospital bill QR: 080322036LGSF</t>
  </si>
  <si>
    <t xml:space="preserve">Marilou A. Rubiano </t>
  </si>
  <si>
    <t>Donation to Client for her medical needs QR: 080322037LGSF</t>
  </si>
  <si>
    <t xml:space="preserve">Cherry M. Sanchez </t>
  </si>
  <si>
    <t>Donation to Client for her medical needs QR: 080322034LGSF</t>
  </si>
  <si>
    <t xml:space="preserve">Liwayway A. Valle </t>
  </si>
  <si>
    <t>Donation to Aliwalas P. Apostol for her medical needs QR: 080322026LGSF</t>
  </si>
  <si>
    <t xml:space="preserve">Harvey S. Lapid </t>
  </si>
  <si>
    <t>Donation to Client fopr his medical needs QR: 080322035LGSF</t>
  </si>
  <si>
    <t xml:space="preserve">Fredierick A. Dela Rosa </t>
  </si>
  <si>
    <t>Donation to John Mathew D. Dela Rosa for his hospital bill QR: 080422007LGSF</t>
  </si>
  <si>
    <t xml:space="preserve">Rosario B. Oconer </t>
  </si>
  <si>
    <t>Donation to Lucila B. Oconer for her hospital bill QR: 080322021LGSF</t>
  </si>
  <si>
    <t xml:space="preserve">Paulo S. Diocson </t>
  </si>
  <si>
    <t>Donation to Client for his medical needs QR: 080322031LGSF</t>
  </si>
  <si>
    <t xml:space="preserve">Kristina M. Altares </t>
  </si>
  <si>
    <t>Donation to Thelma M. Altares for her hospital bill QR: 080322030LGSF</t>
  </si>
  <si>
    <t xml:space="preserve">Evangeline L. Glase </t>
  </si>
  <si>
    <t>Donation to Arthur G. Rivera for his medical needs and hospital bill QR: 080422012LGSF</t>
  </si>
  <si>
    <t xml:space="preserve">Bernandina M. Manalili </t>
  </si>
  <si>
    <t>Donation to Client for her medical needs QR: 080422011LGSF</t>
  </si>
  <si>
    <t xml:space="preserve">Rosario B. Paguio </t>
  </si>
  <si>
    <t>Donation to Client for her medical needs QR: 080422004LGSF</t>
  </si>
  <si>
    <t>Donation to Evangeline B. Gamayo for her medical needs QR: 080422008LGSF</t>
  </si>
  <si>
    <t xml:space="preserve">Juanito O. Cura </t>
  </si>
  <si>
    <t>Donation to Client for his medical needs QR: 080422002LGSF</t>
  </si>
  <si>
    <t xml:space="preserve">Angelica L. Arellano </t>
  </si>
  <si>
    <t>Donation to Jhiro Arellano for his medical needs QR: 080422003LGSF</t>
  </si>
  <si>
    <t>Donation to Eleonor G. Santiago for her burial expenses QR: 080422006LGSF</t>
  </si>
  <si>
    <t xml:space="preserve">Liezl D. Baluyot </t>
  </si>
  <si>
    <t>Donation to Luis V. Baluyot for his burial expenses QR: 080422026LGSF</t>
  </si>
  <si>
    <t xml:space="preserve">Jesus B. Almario </t>
  </si>
  <si>
    <t>Donation to Luzviminda R. Almario for her burial expenses QR: 080422015LGSF</t>
  </si>
  <si>
    <t xml:space="preserve">Bobby S. Bernaldo </t>
  </si>
  <si>
    <t>Donation to Fernando O. Bernaldo for his burial expenses QR: 080422030LSGF</t>
  </si>
  <si>
    <t xml:space="preserve">Dolores S. Bautista </t>
  </si>
  <si>
    <t>Donation to Fernando Jr. H. Bautista for his burial expenses QR: 080422019LGSF</t>
  </si>
  <si>
    <t xml:space="preserve">Richelle T. Mendoza </t>
  </si>
  <si>
    <t>Donation to Client for her hospital bill QR: 080422037LGSF</t>
  </si>
  <si>
    <t xml:space="preserve">Ma. Erholeen Rose S. Palomo </t>
  </si>
  <si>
    <t>Donation to Alaiza Coleen P. Salenga for her hospital bill QR: 080422025LGSF</t>
  </si>
  <si>
    <t xml:space="preserve">Luzviminda L. Zabala </t>
  </si>
  <si>
    <t>Donation to Marianne Z. Dela Cruz for her hospital bill QR: 080422021LGSF</t>
  </si>
  <si>
    <t xml:space="preserve">Lilibeth T. Puno </t>
  </si>
  <si>
    <t>Donation to Nero Bonn T. Puno for his medical needs QR: 080422032LGSF</t>
  </si>
  <si>
    <t xml:space="preserve">Elizabeth M. Evangelista </t>
  </si>
  <si>
    <t>Donation to Client for her medical needs QR: 080422040LGSF</t>
  </si>
  <si>
    <t>Donation to Client for her medical needs QR: 080422038LGSF</t>
  </si>
  <si>
    <t>Donation to Client for her medical needs QR: 080422013LSGF</t>
  </si>
  <si>
    <t xml:space="preserve">Joel M. De Jesus </t>
  </si>
  <si>
    <t>Donation to Client for his medical needs QR: 080422017LGSF</t>
  </si>
  <si>
    <t xml:space="preserve">Leonora C. Peralta </t>
  </si>
  <si>
    <t>Donation to Roel C. Peralta for his hospital bill QR: 080422034LGSF</t>
  </si>
  <si>
    <t xml:space="preserve">Arvin Jade D. Acosta </t>
  </si>
  <si>
    <t>Donation to Client for his hospital bill QR: 080422014LGSF</t>
  </si>
  <si>
    <t>Donation to Mari-Cris Gregorio Lazaro and Philipp Miguel Lazaro for their hospital bill QR: 080222004LGSF</t>
  </si>
  <si>
    <t xml:space="preserve">Aireen H. Garcia </t>
  </si>
  <si>
    <t>Donation to Rosario B. Herrera for his medical needs QR: 080422036LGSF</t>
  </si>
  <si>
    <t xml:space="preserve">Aldrin R. Gallardo </t>
  </si>
  <si>
    <t>Donation to Skyler Aiden M. Gallardo for his medical needs QR: 080422033LGSF</t>
  </si>
  <si>
    <t>Donation to Client for his medical needs QR: 080422031LGSF</t>
  </si>
  <si>
    <t xml:space="preserve">Easter Sundy J. Reyes </t>
  </si>
  <si>
    <t>Donation to Alvin Easter J. Reyes for her medical needs QR: 080422039LGSF</t>
  </si>
  <si>
    <t xml:space="preserve">Merna G. Maraya </t>
  </si>
  <si>
    <t>Donation to Client for her medical needs QR: 080422028LGSF</t>
  </si>
  <si>
    <t xml:space="preserve">Raechelle J. Manzano </t>
  </si>
  <si>
    <t>Donation to Roberto T. Manzano for his medical needs QR: 080422020LGSF</t>
  </si>
  <si>
    <t xml:space="preserve">Catherine P. Mañalac </t>
  </si>
  <si>
    <t>Donation to Elizabeth A. Palomo for her medical needs QR: 080422009LGSF</t>
  </si>
  <si>
    <t>Donation to Renato R. Montemayor for her medical needs QR: 080422023LGSF</t>
  </si>
  <si>
    <t xml:space="preserve">Isaac D. Tolentino </t>
  </si>
  <si>
    <t>Donation to Joanne Nerija R. Tolentino for her medical needs QR: 080322028LGSF</t>
  </si>
  <si>
    <t xml:space="preserve">Zenaida D. Baluyot </t>
  </si>
  <si>
    <t>Donation to Client for her medical needs QR: 080422024LGSF</t>
  </si>
  <si>
    <t xml:space="preserve">Franklin G. Credo </t>
  </si>
  <si>
    <t>Donation to client for his medical needs QR: 080122052LGSF</t>
  </si>
  <si>
    <t xml:space="preserve">Aldrin S. Bonaobra </t>
  </si>
  <si>
    <t>Donation to Emma S. Bonaobra for her hospital bill QR: 080522013LGSF</t>
  </si>
  <si>
    <t xml:space="preserve">Rosita B. Forbes </t>
  </si>
  <si>
    <t>Donation to Trisha Mae B. Forbes for her hospital bill QR: 080522018LGSF</t>
  </si>
  <si>
    <t xml:space="preserve">Chamin Carla I. Laggui </t>
  </si>
  <si>
    <t>Donation to Rosario O. Izon for her hospital bill QR: 080522024LGSF</t>
  </si>
  <si>
    <t xml:space="preserve">Estefany L. Estores </t>
  </si>
  <si>
    <t>Donation to Jenny L. Estores for her hospital bill QR: 080522006LGSF</t>
  </si>
  <si>
    <t xml:space="preserve">Ara T. Dela Peña </t>
  </si>
  <si>
    <t>Donation to Leb Aeriel T. Dela Peña vfor his hospital bill QR: 080522004LGSF</t>
  </si>
  <si>
    <t xml:space="preserve">Darlene Alnasan </t>
  </si>
  <si>
    <t>Donation to Kobe Francis A. Galapon for his medical needs QR: 080522015LGSF</t>
  </si>
  <si>
    <t>Donation to Ricardo D. Medina forhis medical needs QR: 080822005LGSF</t>
  </si>
  <si>
    <t xml:space="preserve">Camille R. Lazaga </t>
  </si>
  <si>
    <t>Donation to Alexis Gabriel R. Lazaga for her medical needs QR: 080522009LGSF</t>
  </si>
  <si>
    <t>Donation to Marcelo Z. San Diego for his medical needs QR: 080522023LGSF</t>
  </si>
  <si>
    <t>Donation to Elmer V. Ariem for his medical needs QR: 080522010LGSF</t>
  </si>
  <si>
    <t xml:space="preserve">Arthur D. Feliciano </t>
  </si>
  <si>
    <t>Donation to Client for his medical needs QR: 0805220003LGSF</t>
  </si>
  <si>
    <t xml:space="preserve">Josephine S. Puzon </t>
  </si>
  <si>
    <t>Donation to Roberto M. Puzon for his medical needs QR: 080322029LGSF</t>
  </si>
  <si>
    <t xml:space="preserve">Chazeilyn G. Labrador </t>
  </si>
  <si>
    <t>Donation to Client and Aziel Orlie G. Labrador for his hospital bill QR: 080422022LGSF</t>
  </si>
  <si>
    <t xml:space="preserve">Christine Joy T. Gatdula </t>
  </si>
  <si>
    <t>Donation to Efren L. Torres for his burial expenses QR: 080522005LGSF</t>
  </si>
  <si>
    <t xml:space="preserve">Marites T. Mangawang </t>
  </si>
  <si>
    <t>Donation to Gabriel T. Mangawamg for his hospital bill QR: 080422035LGSF</t>
  </si>
  <si>
    <t>Donation to Angel S. Baluyot for her hospital bill QR: 080522021LGSF</t>
  </si>
  <si>
    <t>Donation to Edward T. Rodriguez for his hospital bill QR: 080522007LGSF</t>
  </si>
  <si>
    <t xml:space="preserve">Judy D. Baul </t>
  </si>
  <si>
    <t>Donation to John Paul Joshua D. Baul for his hospital bill QR: 080522025LGSF</t>
  </si>
  <si>
    <t xml:space="preserve">Editha M. Acabado </t>
  </si>
  <si>
    <t>Donation to Adjiela A. Guiang and Alvie Nicole Pongos for thier hospital bill QR: 080422029LGSF</t>
  </si>
  <si>
    <t>Donation to Client for her medical needs QR: 080522014LGSF</t>
  </si>
  <si>
    <t>Donation to Emily M. Guzman for her medical needs QR: 080522016LGSF</t>
  </si>
  <si>
    <t xml:space="preserve">Angelica L. Sanchez </t>
  </si>
  <si>
    <t>Donation to Kent Ronie S. Retsrdo for his medical needs QR: 080522001LGSF</t>
  </si>
  <si>
    <t xml:space="preserve">Jose C. De Leon </t>
  </si>
  <si>
    <t>Donation to Valerie V. De Leon for her medical needs QR: 080522017LGSF</t>
  </si>
  <si>
    <t>Donation to Client for his medical needs QR: 080522020LGSF</t>
  </si>
  <si>
    <t>Donation to Liyanah Fernanda Nava for her medical needs QR: 080322023LSGF</t>
  </si>
  <si>
    <t xml:space="preserve">Vilma R. Reyes </t>
  </si>
  <si>
    <t>Donation to Fernando P. Reyes for his hospital bill QR: 072822001DINLGSF</t>
  </si>
  <si>
    <t xml:space="preserve">Lucila A. Dimafiles </t>
  </si>
  <si>
    <t>Donation to Client for his medical needs QR: 080522008LSGF</t>
  </si>
  <si>
    <t xml:space="preserve">Roneil A. Monte de Ramos </t>
  </si>
  <si>
    <t>Donation to Leonila D. Monte De Rmos for his medical needs QR: 072822005LGSF</t>
  </si>
  <si>
    <t xml:space="preserve">Ronnie D. Mendoza </t>
  </si>
  <si>
    <t xml:space="preserve"> QR: 080922018LGSF</t>
  </si>
  <si>
    <t xml:space="preserve">Josephine H. Jaime </t>
  </si>
  <si>
    <t xml:space="preserve"> QR: 080922006LGSF</t>
  </si>
  <si>
    <t xml:space="preserve"> QR: 080522027LGSF</t>
  </si>
  <si>
    <t xml:space="preserve">Priscilla H. Valentos </t>
  </si>
  <si>
    <t xml:space="preserve"> QR: 080522011LGSF</t>
  </si>
  <si>
    <t xml:space="preserve">Reina Lou M. Carreon </t>
  </si>
  <si>
    <t xml:space="preserve"> QR: 080922012LGSF</t>
  </si>
  <si>
    <t xml:space="preserve"> QR: 080922007LGSF</t>
  </si>
  <si>
    <t xml:space="preserve"> QR: 080322015LGSF</t>
  </si>
  <si>
    <t xml:space="preserve"> QR: 080922017LGSF</t>
  </si>
  <si>
    <t xml:space="preserve">Myrna S. Valencia </t>
  </si>
  <si>
    <t xml:space="preserve"> QR: 080922013LGSF</t>
  </si>
  <si>
    <t xml:space="preserve">Manuel T. Patuyo </t>
  </si>
  <si>
    <t xml:space="preserve"> QR: 080922015LGSF</t>
  </si>
  <si>
    <t xml:space="preserve">Rowena R. Dabu </t>
  </si>
  <si>
    <t xml:space="preserve"> QR: 080922016LGSF</t>
  </si>
  <si>
    <t xml:space="preserve"> QR: 080922010LGSF</t>
  </si>
  <si>
    <t xml:space="preserve"> QR: 080922008LGSF</t>
  </si>
  <si>
    <t xml:space="preserve">Perla V. Estioko </t>
  </si>
  <si>
    <t xml:space="preserve"> QR: 080922011LGSF</t>
  </si>
  <si>
    <t xml:space="preserve">Maridi P. Luna </t>
  </si>
  <si>
    <t>Donation to Modesto C. Luna for his medical needs QR: 080922003LGSF</t>
  </si>
  <si>
    <t>Donation to Dante D. Bartolay for his medical needs QR: 080422018LGSF</t>
  </si>
  <si>
    <t xml:space="preserve">Felixberto D. Molino </t>
  </si>
  <si>
    <t>Donation to Client for his medical needs QR: 080422001LGSF</t>
  </si>
  <si>
    <t xml:space="preserve">Lizadel A. de Vega </t>
  </si>
  <si>
    <t>Donation to Client for her medical needs QR: 081022026LGSF</t>
  </si>
  <si>
    <t xml:space="preserve">Mylene V. Estudillo </t>
  </si>
  <si>
    <t>Donation to Client for hr medical needs QR: 080522002LGSF</t>
  </si>
  <si>
    <t xml:space="preserve">Danica C. Paguio </t>
  </si>
  <si>
    <t>Donation to Marquisa C. Romero for her hospital bill QR: 080922001LGSF</t>
  </si>
  <si>
    <t xml:space="preserve">Joannah M. Capan </t>
  </si>
  <si>
    <t>Donation to Estrella C. Mendoza for her hospital bill QR: 080822013LGSF</t>
  </si>
  <si>
    <t xml:space="preserve">Regie E. Bugay </t>
  </si>
  <si>
    <t>Donation to Jasmin M. Bugay for her hospital bill QR: 080822006LGSF</t>
  </si>
  <si>
    <t>Donation to Policarpio R. Lingad for his hospital bill QR: 080822001LGSF</t>
  </si>
  <si>
    <t xml:space="preserve">Jennifer Joy B. Reyes </t>
  </si>
  <si>
    <t>Donation to Natividad B. Bulilan for her hospital bill QR: 080522026LGSF</t>
  </si>
  <si>
    <t xml:space="preserve">Reynaldo P. Gigante </t>
  </si>
  <si>
    <t>Donation to Emelinda D. Gigante for her medical needs QR: 080922004GLSF</t>
  </si>
  <si>
    <t>Donation to Jan Karen P. Manahan for her medical needs QR: 080922005LGSF</t>
  </si>
  <si>
    <t>Donation to Jose Amante A. Lintag for his medical needs QR: 080922002LGSF</t>
  </si>
  <si>
    <t xml:space="preserve">Elena L. Reyes </t>
  </si>
  <si>
    <t>Donation to Jc L. Reyes for his medical needs QR: 080822014LGSF</t>
  </si>
  <si>
    <t>Donation to Client for her medical needs QR: 080822017LGSF</t>
  </si>
  <si>
    <t xml:space="preserve">Joymee D. De Dios </t>
  </si>
  <si>
    <t>Donation to Gedrman D. De Dios III for his medical needs QR: 080822020LGSF</t>
  </si>
  <si>
    <t xml:space="preserve">Renzy Joyce E. Pangilinan </t>
  </si>
  <si>
    <t>Donation to Olivia Ysabelle P. Lozada for her medical needs QR: 080822012LGSF</t>
  </si>
  <si>
    <t xml:space="preserve">Luisito A. Diaz Jr. </t>
  </si>
  <si>
    <t>Donation to Maria Acuncion A. Gerella for her medical needs QR: 080822010LGSF</t>
  </si>
  <si>
    <t xml:space="preserve">Jovina D. Briones </t>
  </si>
  <si>
    <t>Donation to Achelle Joy D. Briones for her medical needs QR: 080822008LGSF</t>
  </si>
  <si>
    <t>Donation to Client for her medical needs QR: 080822004LGSF</t>
  </si>
  <si>
    <t>Donation to Client for her medical needs QR: 080822003LGSF</t>
  </si>
  <si>
    <t xml:space="preserve">Jocelyn B. Manalaotao </t>
  </si>
  <si>
    <t>Donation to Client for her medical needs QR: 080522028LGSf</t>
  </si>
  <si>
    <t>Donation to Lilia C. Calara for hermedical needs QR: 080522022LGSF</t>
  </si>
  <si>
    <t xml:space="preserve">Reta S. Consunji </t>
  </si>
  <si>
    <t>Donation to Xian Jacob S. Consunji fo rhis hospital bill QR: 081022028LGSF</t>
  </si>
  <si>
    <t>Donation to Jessie A. Dizon for his medical needs QR: 081022033LGSF</t>
  </si>
  <si>
    <t xml:space="preserve">Victorina A. Bonus </t>
  </si>
  <si>
    <t>Donation to Client for his medical needs QR: 081022032LGSF</t>
  </si>
  <si>
    <t>Donation to the client for his medical needs QR: 081022011LGSf</t>
  </si>
  <si>
    <t>Donation to the client for his medical needs QR: 081022018LSF</t>
  </si>
  <si>
    <t xml:space="preserve">Virginia S. Gabuyo </t>
  </si>
  <si>
    <t>Donation to the client for her medical needs QR: 081022006LGSF</t>
  </si>
  <si>
    <t>Donation to Jennilyn S. Foronda for her hospital bill QR: 080922024LGSF</t>
  </si>
  <si>
    <t>Donation to Rosita Buensuceso for her medical needs QR: 081022004LGSF</t>
  </si>
  <si>
    <t>Donation to Dominador Sinque for his medical needs QR: 081022015LGSF</t>
  </si>
  <si>
    <t>Donation to Emerech Mendoza for her medical needs</t>
  </si>
  <si>
    <t xml:space="preserve">Christopher D. Tagara </t>
  </si>
  <si>
    <t>Donation to Ryme J. Tagara for his medical needs QR: 081022029LGSF</t>
  </si>
  <si>
    <t>Donation to Elda T. Morales for her medical needs QR: 081022027LGSF</t>
  </si>
  <si>
    <t>Donation to Isagani R. Malang for his medical needs QR: 081022030LGSF</t>
  </si>
  <si>
    <t xml:space="preserve">Florinda D. Tolentino </t>
  </si>
  <si>
    <t>Donation to Client for her medical needs QR: 081022019LGSF</t>
  </si>
  <si>
    <t>Donation to Crisevel Punzalan for her medical needs QR: 081022012LGSF</t>
  </si>
  <si>
    <t xml:space="preserve">Hilyn C. Mijares </t>
  </si>
  <si>
    <t>Donation to Rodolfo D. Cabritt for his burial expenses QR: 080922027LGSF</t>
  </si>
  <si>
    <t>Donation to Jake M. Carlos for his medical needs QR: 081022009LGSF</t>
  </si>
  <si>
    <t>Donation to Susana S. Garcia for her medical needs QR: 081022010LGSF</t>
  </si>
  <si>
    <t>Donation to Arjay N. Montemayor for his medical needs QR: 081022002LGSF</t>
  </si>
  <si>
    <t xml:space="preserve">Mary Jane B. dela Fuente </t>
  </si>
  <si>
    <t>Donation to Vestor T. Dela Fuente for his medical needs QR: 080822018LGSF</t>
  </si>
  <si>
    <t xml:space="preserve">Violeta E. Isla </t>
  </si>
  <si>
    <t>Donation to Trecenio C. Isla for her medical needs QR: 081022031LGSF</t>
  </si>
  <si>
    <t xml:space="preserve">Enrico B. Garcia </t>
  </si>
  <si>
    <t>Donation to the client for his medical needs QR: 081022007LGSF</t>
  </si>
  <si>
    <t>Donation to Marydeth Atanacio for her burial expenses QR: 081022016LGSF</t>
  </si>
  <si>
    <t xml:space="preserve">Manolita G. Mena </t>
  </si>
  <si>
    <t>Donation to Jose S. Mena for his hospital bill QR: 080822002LGSF</t>
  </si>
  <si>
    <t xml:space="preserve">Zenaida M. Centinaje </t>
  </si>
  <si>
    <t>Donation to Rey M. Centinaje for his hospital bill QR: 080822016LGSF</t>
  </si>
  <si>
    <t xml:space="preserve">Blessie D. Yumol </t>
  </si>
  <si>
    <t>Donation to Rogelio F. Diwa for his hospital bill QR: 080822009LGSF</t>
  </si>
  <si>
    <t>Donation to Sheena Jaira Baluyot for her hospital bill QR: 080922009LGSF</t>
  </si>
  <si>
    <t xml:space="preserve">Desirre C. Torino </t>
  </si>
  <si>
    <t>Donation to Client for her medical needs QR: 080522019LGSF</t>
  </si>
  <si>
    <t>Donation to Client for his medical needs QR: 080922031LGSF</t>
  </si>
  <si>
    <t xml:space="preserve">Leon M. Caringal </t>
  </si>
  <si>
    <t>DONATION TO CLIENT FOR HIS MEDICAL NEEDS QR: 080822011LGSF</t>
  </si>
  <si>
    <t xml:space="preserve">Lea Marie D. Mendoza </t>
  </si>
  <si>
    <t>Donation to Conchita M. Bantugan for her hospital bill QR: 080922020LGSF</t>
  </si>
  <si>
    <t>Donation to Mae Gladys D. Anden for her hospital bill QR: 080922022LGSF</t>
  </si>
  <si>
    <t xml:space="preserve">Renald C. Benitez </t>
  </si>
  <si>
    <t>Donation to Athena Miracle M. Betinez for her hospital bill QR: 081022020LGSF</t>
  </si>
  <si>
    <t xml:space="preserve">Jayson T. Enriquez </t>
  </si>
  <si>
    <t>Donation to Ma. Rosario T. Rodriguez for her hospital bill QR: 080922030LGSF</t>
  </si>
  <si>
    <t xml:space="preserve">Harold Roy C. Lapid </t>
  </si>
  <si>
    <t>Donation to Wilfredo N. Lapid for his medical needs QR: 081022003LGSF</t>
  </si>
  <si>
    <t xml:space="preserve">Ramir I. Laminero </t>
  </si>
  <si>
    <t>Donation to Arnel M. Laminero for his medical needs QR: 080922021LGSF</t>
  </si>
  <si>
    <t xml:space="preserve">Evangeline G. Dado </t>
  </si>
  <si>
    <t>Donation to Mrcelina Dado for her medical needs QR: 080922014LGSF</t>
  </si>
  <si>
    <t xml:space="preserve">Rodalet T. Tandog </t>
  </si>
  <si>
    <t>Donation to Daniel F. Tandog for his hospital bill QR: 080922023LGSF</t>
  </si>
  <si>
    <t xml:space="preserve">Jeremias F. Abalos </t>
  </si>
  <si>
    <t>Donation to Juliana D. Abalos for her hospital bill QR: 081022008LGSF</t>
  </si>
  <si>
    <t>Donation to Reynaldo Buensuceso for her medical needs QR: 081022005LGSF</t>
  </si>
  <si>
    <t xml:space="preserve">Domie Lyn C. Pantaleon </t>
  </si>
  <si>
    <t>Donation to Ma. Vhristine Cruz for her medical needs QR: 081022014LGSF</t>
  </si>
  <si>
    <t xml:space="preserve">Janneth A. Guamos </t>
  </si>
  <si>
    <t>Donation to Consuelo A. Guamos for her burial expenses QR: 080922029LGSF</t>
  </si>
  <si>
    <t xml:space="preserve">Richard C. Zabala </t>
  </si>
  <si>
    <t>Donation to Zedric A. Zabala for his hospital bill QR: 080922025LGSF</t>
  </si>
  <si>
    <t>Donation to Client for his medical needs QR: 081222009LGSF</t>
  </si>
  <si>
    <t xml:space="preserve">Gina T. De Leon </t>
  </si>
  <si>
    <t>Donation to Victoria De Leon for her burial expenses QR: 081122005LGSF</t>
  </si>
  <si>
    <t>Donation to Maria Teresita Manaid for her burial expenses QR: 081022017LGSF</t>
  </si>
  <si>
    <t xml:space="preserve">Katrina T. Montemayor </t>
  </si>
  <si>
    <t>Donation to Errin Saint M. Mag-ibon for his burial expenses QR: 080822015LGSF</t>
  </si>
  <si>
    <t>Donation to Julia Gauran for her burial expenses QR: 081022034LGSF</t>
  </si>
  <si>
    <t xml:space="preserve">Ronnie A. Esmana </t>
  </si>
  <si>
    <t>Donation to Jesebel Esmana for her hospital bill QR: 081022022LGSF</t>
  </si>
  <si>
    <t xml:space="preserve">Jencelle Mae S. Cagampang </t>
  </si>
  <si>
    <t>Donation to Julieta Cagampang for her hospital bill QR: 081022039LGSF</t>
  </si>
  <si>
    <t>Donation to Adelaida Alarcon for her hospital bill QR: 081022023LGSF</t>
  </si>
  <si>
    <t xml:space="preserve">Alfredo E. Solomon Jr. </t>
  </si>
  <si>
    <t>Donation to Alberto Solomon for his medical needs QR: 081022035LGSF</t>
  </si>
  <si>
    <t xml:space="preserve">Rowena M. Violan </t>
  </si>
  <si>
    <t>Donation to the client for her medical needs QR: 081022036LGSF</t>
  </si>
  <si>
    <t xml:space="preserve">Marilou C. Caringal </t>
  </si>
  <si>
    <t>Donation to Bonifacio Caringal for his medical needs QR: 081022038LGSF</t>
  </si>
  <si>
    <t>Donation to the client for her medical needs QR: 081022037LGSF</t>
  </si>
  <si>
    <t>Donation to the client for her medical needs QR: 081122006GLSF</t>
  </si>
  <si>
    <t>Donation to Dolores Simbol for her medical needs QR: 081122002LGSF</t>
  </si>
  <si>
    <t xml:space="preserve">Jasmin G. Bustamante </t>
  </si>
  <si>
    <t>Donation to the client for her medical needs QR: 081122008LGSF</t>
  </si>
  <si>
    <t xml:space="preserve">Haydee L. Manahan </t>
  </si>
  <si>
    <t>Donation to the client for her medical needs QR: 081122004LGSF</t>
  </si>
  <si>
    <t xml:space="preserve">Rosario R. Cruz </t>
  </si>
  <si>
    <t>Donation to Armando Cruz for his medical needs QR: 081122003LGSF</t>
  </si>
  <si>
    <t>Donation to Ramon D. Policarpio for his medical needs QR: 081022001LGSF</t>
  </si>
  <si>
    <t xml:space="preserve">Philippine Public Safety &amp; Order Support Group (PPSOSG), Inc. </t>
  </si>
  <si>
    <t>26th PArtial payment of package training expenses for the provincial wide Brgy Disaster Risk Reduction Education &amp; emeregency medical first responder</t>
  </si>
  <si>
    <t>Voice/Minute Recorder for the use of PHO - Malaria Control Elimination Program</t>
  </si>
  <si>
    <t>General Fund-To transfer to General Fund the amount representing accumulated interesr earned out of LBP accounts under Trust Fund from second quarter of 2021 to second quarter of 2022</t>
  </si>
  <si>
    <t xml:space="preserve">Byran Esteban </t>
  </si>
  <si>
    <t>Donation to Maureen D. Esteban for her hospital bill</t>
  </si>
  <si>
    <t xml:space="preserve">Rachelle Rubiano </t>
  </si>
  <si>
    <t>Donation to Honey-Leene t. decena for her hospital bill</t>
  </si>
  <si>
    <t xml:space="preserve">Celeste Concepcion </t>
  </si>
  <si>
    <t>Donation to Purita B. Bercasio for her hospital bill</t>
  </si>
  <si>
    <t xml:space="preserve">Dorothy Gonzales </t>
  </si>
  <si>
    <t xml:space="preserve">Marlon Diczen Sabbun </t>
  </si>
  <si>
    <t xml:space="preserve">Sonny Atanacio </t>
  </si>
  <si>
    <t xml:space="preserve">Delia Bueta </t>
  </si>
  <si>
    <t>Donation to Elisha Candise B. Escartin for her medical needs</t>
  </si>
  <si>
    <t xml:space="preserve">Sonny Tejero </t>
  </si>
  <si>
    <t>Donation to Romeo A. Tejero for his medical needs</t>
  </si>
  <si>
    <t>Printing of tarpaulin to be used for Camp Coordination and Management Training on July 4-7, 2022 at 1Bataan Command Center (Training Center)</t>
  </si>
  <si>
    <t xml:space="preserve">Ryan S. De Leon </t>
  </si>
  <si>
    <t>Donation to Ryan S. De Leon for his Educational Assistance ( Dissertation</t>
  </si>
  <si>
    <t xml:space="preserve">Imelda D. Luna </t>
  </si>
  <si>
    <t>Donation to the client for her medical needs QR: 081122007LGSF</t>
  </si>
  <si>
    <t xml:space="preserve">Mary Jean S. De Leon </t>
  </si>
  <si>
    <t>Donation to Kimberly S. Bitong for her burial expenses QR: 081222040LGSF</t>
  </si>
  <si>
    <t xml:space="preserve">Carlo V. Solomon </t>
  </si>
  <si>
    <t>Donation to Conrado M. Solomon for his hospital bill QR: 081222020LGSF</t>
  </si>
  <si>
    <t xml:space="preserve">Cecilia V. Leola </t>
  </si>
  <si>
    <t>Donation to Bayani T. Leola for his hospital bill QR: 081222019LGSF</t>
  </si>
  <si>
    <t>Donation to Michelle R. Guillermo for her hospital bill QR: 081222026LGSF</t>
  </si>
  <si>
    <t>Donation to Client for his hospital bill QR: 081222014LGSF</t>
  </si>
  <si>
    <t xml:space="preserve">Bryan Jocell Ballesteros </t>
  </si>
  <si>
    <t>Donation to Alejandra M. Ballesteros for her hospital bill QR: 081222023LGSF</t>
  </si>
  <si>
    <t xml:space="preserve">Danica P. Toledo </t>
  </si>
  <si>
    <t>Donation to Danilo P. Puzon for his medical needs QR: 081222017LGSF</t>
  </si>
  <si>
    <t xml:space="preserve">Abigail G. Mariano </t>
  </si>
  <si>
    <t>Dionation to Elmer Jr. Mariano for his hospital bill QR: 081522011LGSF</t>
  </si>
  <si>
    <t>Donation to Karylle Pascual for her hospital bill QR: 081522004LGSF</t>
  </si>
  <si>
    <t>Donation to Charito Santos for her hospital bill QR: 081222042LGSF</t>
  </si>
  <si>
    <t xml:space="preserve">Evangeline L. Sequihod </t>
  </si>
  <si>
    <t>Donation to Edgare Sequihod for his medical needs QR: 081522009LGSF</t>
  </si>
  <si>
    <t xml:space="preserve">Rose N. Lopez </t>
  </si>
  <si>
    <t>Donation to Emerito V. Lopez for his medical needs QR: 081222022LGSF</t>
  </si>
  <si>
    <t xml:space="preserve">John Michael R. Nocedal </t>
  </si>
  <si>
    <t>Donation to Emilio L. Nocedal for his medical needs QR: 081222030LGSF</t>
  </si>
  <si>
    <t xml:space="preserve">Kayla Lou A. Reyes </t>
  </si>
  <si>
    <t>Donation to Crispin O. Reyes for his hospital bill QR: 081222039LGSF</t>
  </si>
  <si>
    <t xml:space="preserve">Rosario T. Cortez </t>
  </si>
  <si>
    <t>Donation to Client for her medical needs QR: 081222032LGSF</t>
  </si>
  <si>
    <t xml:space="preserve">Lydia O. Dela Rosa </t>
  </si>
  <si>
    <t>Donation to Client for her medical needs QR: 081222029LGSF</t>
  </si>
  <si>
    <t>Donation to Francisco B. Bautista for his hospital bill QR: 081222015LGSF</t>
  </si>
  <si>
    <t xml:space="preserve">May R. Lingad </t>
  </si>
  <si>
    <t>Donation to the client for her medical needs QR: 081522008LGSF</t>
  </si>
  <si>
    <t>Donation to the client for her medical needs QR: 081522005LGSF</t>
  </si>
  <si>
    <t xml:space="preserve">Anabel F. Ongoco </t>
  </si>
  <si>
    <t>Donation to Ma. Luisa Artieda for her medical needs QR: 081222043LGSF</t>
  </si>
  <si>
    <t xml:space="preserve">Josephine E. Lumauig </t>
  </si>
  <si>
    <t>Donation to Samuel E. Lumauig for her medical needs QR: 081122035GLSF</t>
  </si>
  <si>
    <t>Donation to Delfin M. Mangubat Jr. for his burial expenses QR: 081222033LGSF</t>
  </si>
  <si>
    <t xml:space="preserve">Rainhard G. de Guzman </t>
  </si>
  <si>
    <t>Donation to Raul C. De Guzman for his burial expenses QR: 081222010LSGF</t>
  </si>
  <si>
    <t xml:space="preserve">Alfredo D. Torres </t>
  </si>
  <si>
    <t>Donation to the client for his medical needs QR: 081222048LGSF</t>
  </si>
  <si>
    <t xml:space="preserve">Erwin R. Villanueva </t>
  </si>
  <si>
    <t>Donation to Erwin R. Villanueva for his Educational Assistance</t>
  </si>
  <si>
    <t>Donation to Romeo O. Castro for his burial expenses QR: 081222021LGSF</t>
  </si>
  <si>
    <t xml:space="preserve">Angelie D. Dela Torre </t>
  </si>
  <si>
    <t>Donation to Ellice E. Mamaradlo for her medical needs QR: 081222013LGSF</t>
  </si>
  <si>
    <t xml:space="preserve">Joycel B. Pabustan </t>
  </si>
  <si>
    <t>Donation to Ronaldo T. Pabustan for his hospital bill QR: 081122037LGSF</t>
  </si>
  <si>
    <t>Donation to Jeanette B. Mendoza for her burial expenses QR: 081222008LGSF</t>
  </si>
  <si>
    <t xml:space="preserve">Kenneth V. Macalinao </t>
  </si>
  <si>
    <t>Donation to Rodolfo E. Macalinao for his hospital bill QR: 081222007LGSF</t>
  </si>
  <si>
    <t xml:space="preserve">Joey Q. Manalaysay </t>
  </si>
  <si>
    <t>Donation to Narlene Manalaysay for her hospital bill QR: 081022040LGSF</t>
  </si>
  <si>
    <t xml:space="preserve">Teresita O. Reyes </t>
  </si>
  <si>
    <t>Donation to Jesus M. Reyes for her hospital bill QR: 081122038LGSF</t>
  </si>
  <si>
    <t xml:space="preserve">Rita Villarba </t>
  </si>
  <si>
    <t>Donation to Jennifer V. Kantonhos for her medical needs QR: 081222016LGSF</t>
  </si>
  <si>
    <t>Donation to Tita M. Milan for her medical needs QR: 081222018LGSF</t>
  </si>
  <si>
    <t xml:space="preserve">Raquel P. Belmonte </t>
  </si>
  <si>
    <t>Donation to Jed Kerby P. Belmonte for his medical needs QR: 081222011LGSF</t>
  </si>
  <si>
    <t xml:space="preserve">Provincial Government of Bataan - Trust Fund (UCPB ACCT) </t>
  </si>
  <si>
    <t>Trust Fund-To transfer the collections deposited in the Landbak of the Philippines Trust Fund Account for the NOCAP speed limit violation on Aug 5-26, 2022</t>
  </si>
  <si>
    <t xml:space="preserve">Walter O. Capili </t>
  </si>
  <si>
    <t>Donation to Client for his medical needs QR: 081122040LGSF</t>
  </si>
  <si>
    <t xml:space="preserve">Nelviann P. Mendoza </t>
  </si>
  <si>
    <t>Donation to Paulino S. Mendoza for her medical needs QR: 081222012LGSF</t>
  </si>
  <si>
    <t xml:space="preserve">Kester F. Cortez </t>
  </si>
  <si>
    <t>Donation to Benjamin M. Cortez Jr. for his medical needs QR: 081222001LGSF</t>
  </si>
  <si>
    <t>Donation to client for her medical needs QR: 081222002LGSF</t>
  </si>
  <si>
    <t xml:space="preserve">Jiji S. Acuña </t>
  </si>
  <si>
    <t>Donation to Corazon C. Solomon for her medical needs QR: 081222005LGSF</t>
  </si>
  <si>
    <t>Donation to Client for his medical needs QR: 081222003LGSF</t>
  </si>
  <si>
    <t xml:space="preserve">Leniza J. Doon </t>
  </si>
  <si>
    <t>Donation to Leviticus Linnaeus Doon for his medical needs QR: 080922026LGSF</t>
  </si>
  <si>
    <t xml:space="preserve">Ronelie N. Villanueva </t>
  </si>
  <si>
    <t>Donation to Reynaldo D. Villanueva for her burial expenses QR: 081222037LGSF</t>
  </si>
  <si>
    <t xml:space="preserve">Jocelyn A. Roque </t>
  </si>
  <si>
    <t>Donation to the client for her medical needs QR: 081522010LGSF</t>
  </si>
  <si>
    <t xml:space="preserve">Florife R. Donaire </t>
  </si>
  <si>
    <t>Donation to Eugenio Donaire for his medical needs QR: 081522013LGSF</t>
  </si>
  <si>
    <t xml:space="preserve">Jose M. Calma Sr. </t>
  </si>
  <si>
    <t>Donation to the client for his hospital bill QR: 081522043LGSF</t>
  </si>
  <si>
    <t xml:space="preserve">Angelica N. Jordan </t>
  </si>
  <si>
    <t>Donation to Ronaldo Norcio for his medical needs QR: 081522016LGSF</t>
  </si>
  <si>
    <t>Donation to Rasheed Rocha for his hospital bill QR: 081222045LGSF</t>
  </si>
  <si>
    <t>Donation to the client for her medical needs QR: 081222047LGSF</t>
  </si>
  <si>
    <t xml:space="preserve">Jenny G. Pascual </t>
  </si>
  <si>
    <t>Donation to Lorenzo Gloria for his burial expenses QR: 081522041LGSF</t>
  </si>
  <si>
    <t xml:space="preserve">Mary Jane L. Postrado </t>
  </si>
  <si>
    <t>Donation to Joven Postrado for his burial expenses QR: 081522014LGSF</t>
  </si>
  <si>
    <t xml:space="preserve">Ligaya S. Gaboca </t>
  </si>
  <si>
    <t>Donation to Jovita S. Gaboca for her medical needs QR: 081122022LGSF</t>
  </si>
  <si>
    <t>Donation to Rolando G. Haciñas for his medical needs QR: 081122034LGSF</t>
  </si>
  <si>
    <t>Donation to client for his medical needs QR: 081122009LGSF</t>
  </si>
  <si>
    <t xml:space="preserve">Jennifer R. Garde </t>
  </si>
  <si>
    <t>Donation to Carlos M. Garde for his medical needs QR: 081122021LGSF</t>
  </si>
  <si>
    <t>Donation to Client for her medical needs QR: 081222035LGSF</t>
  </si>
  <si>
    <t>Donation to Client for his medical needs QR: 081122024LGSF</t>
  </si>
  <si>
    <t xml:space="preserve">Rachelle T. Rubiano </t>
  </si>
  <si>
    <t>Donation to the client for her medical needs QR: 081122030LGSF</t>
  </si>
  <si>
    <t xml:space="preserve">Merlyn A. Mallari </t>
  </si>
  <si>
    <t>Donation to Alwen Mallari for his medical needs QR: 081222050LGSF</t>
  </si>
  <si>
    <t xml:space="preserve">Donell P. Carreon </t>
  </si>
  <si>
    <t xml:space="preserve">Noemi C. Untalan </t>
  </si>
  <si>
    <t>Donation to Christian Joshua C. Untalan for his medical needs</t>
  </si>
  <si>
    <t xml:space="preserve">Maria Fe I. Manansala </t>
  </si>
  <si>
    <t>Donation to Trinidad Israel for her hospital bill QR: 081522040LGSF</t>
  </si>
  <si>
    <t xml:space="preserve">Jamaica S. Malong </t>
  </si>
  <si>
    <t>Donation to Nash Jayvin Malong for his medical needs QR: 081522035LGSF</t>
  </si>
  <si>
    <t xml:space="preserve">Winena M. Villa </t>
  </si>
  <si>
    <t>Donation to Omar Manalansan for his medical needs QR: 081522026LGSF</t>
  </si>
  <si>
    <t>Donation to Client for his medical needs QR: 081522007LGSF</t>
  </si>
  <si>
    <t xml:space="preserve">Elisa Q. Tuazon </t>
  </si>
  <si>
    <t>Donation to Romeo Tuazon Jr. for his medical needs QR: 081522021GLSF</t>
  </si>
  <si>
    <t xml:space="preserve">Cynthia J. Del Mundo </t>
  </si>
  <si>
    <t>Donation to Fernando Del Mundo for his burial expenses</t>
  </si>
  <si>
    <t xml:space="preserve">Crisanto D. Dimaculangan </t>
  </si>
  <si>
    <t>Donation to Eugenia P. Dimaculangan for his hospital bill QR: 081222031LGSF</t>
  </si>
  <si>
    <t>Donation to Carmelita Manansala for her hospital bill QR: 081222041LGSF</t>
  </si>
  <si>
    <t xml:space="preserve">Marissa Mendoza </t>
  </si>
  <si>
    <t>Donation to Gilbert Mendoza for his hospital bill</t>
  </si>
  <si>
    <t xml:space="preserve">Valerie Pelayo </t>
  </si>
  <si>
    <t>Donation to Hans Timothy Ong for his hospital bill</t>
  </si>
  <si>
    <t xml:space="preserve">Jennifer Ancega </t>
  </si>
  <si>
    <t>Donation to Marissa Factis for her hospital bill</t>
  </si>
  <si>
    <t xml:space="preserve">Sarah Dungan </t>
  </si>
  <si>
    <t>Donation to Veronica Cruz for her hospital bill</t>
  </si>
  <si>
    <t xml:space="preserve">Jenelyn Calimbas </t>
  </si>
  <si>
    <t>Donation to Client for her hospital bill</t>
  </si>
  <si>
    <t xml:space="preserve">Emelita Sto. Domingo </t>
  </si>
  <si>
    <t>Donation to Melani S. Ligutom for her medical needs</t>
  </si>
  <si>
    <t xml:space="preserve">Caridad Banzon </t>
  </si>
  <si>
    <t>Donation to Emilanio S. Cernias Jr. for his medical needs</t>
  </si>
  <si>
    <t xml:space="preserve">Mary Joy Regala </t>
  </si>
  <si>
    <t>Donation to Ermenelda S. Guzman for her medical needs</t>
  </si>
  <si>
    <t xml:space="preserve">Fidela Waje </t>
  </si>
  <si>
    <t>Donation to Jessie P. Waje for his medical needs</t>
  </si>
  <si>
    <t xml:space="preserve">Maria Tess Leaño </t>
  </si>
  <si>
    <t>Donation to Florencia I. Leaño for her hospital bill</t>
  </si>
  <si>
    <t xml:space="preserve">Merla Pangcalinawan </t>
  </si>
  <si>
    <t>Donation to Danilo M. Pangcalinawan for his hospital bill</t>
  </si>
  <si>
    <t xml:space="preserve">Daniel Arellano </t>
  </si>
  <si>
    <t>Donation to Joylyn Natural for her hospital bill</t>
  </si>
  <si>
    <t xml:space="preserve">Felipe Mendoza </t>
  </si>
  <si>
    <t>Donation to Kevin Joseph V. Mendoza for his hospital bill</t>
  </si>
  <si>
    <t xml:space="preserve">Rogelio Tayo </t>
  </si>
  <si>
    <t>Donation to Soledad A. Tayo for her medical needs</t>
  </si>
  <si>
    <t xml:space="preserve">Romy R. Barcelona </t>
  </si>
  <si>
    <t>Donation to the client for his medical needs QR: 081122044LGSF</t>
  </si>
  <si>
    <t xml:space="preserve">Christina C. Tancio </t>
  </si>
  <si>
    <t>Donation to Adelmo S. Tancion III for his medical needs QR: 081122025LGSF</t>
  </si>
  <si>
    <t>Donation to George P. Ramos for his medical needs QR: 081122015LGSF</t>
  </si>
  <si>
    <t>Donation to Joel C. Solomon for his medical needs QR: 081122010LGSF</t>
  </si>
  <si>
    <t xml:space="preserve">Rowena V. Samson </t>
  </si>
  <si>
    <t>Donation to Rosario F. Valdez for her medical needs QR: 081122019LGSF</t>
  </si>
  <si>
    <t>Donation to Rodelia Duran for his medical needs QR: 081522033LGSF</t>
  </si>
  <si>
    <t>Donation to Lawrenz Legarda for his medical needs QR: 081522039LGSF</t>
  </si>
  <si>
    <t>Donation to client for her medical needs QR: 081522024LGSF</t>
  </si>
  <si>
    <t xml:space="preserve">Ravenace Baluyot </t>
  </si>
  <si>
    <t xml:space="preserve">Lolita S. Donal </t>
  </si>
  <si>
    <t>Donation to Client for her medical needs QR: 081522017LGSF</t>
  </si>
  <si>
    <t>Donation to client for his medical needs QR: 081522018LGSF</t>
  </si>
  <si>
    <t xml:space="preserve">Rizaldy S. Del Mundo </t>
  </si>
  <si>
    <t>Donation to client for his medical needs QR: 081522030LGSF</t>
  </si>
  <si>
    <t xml:space="preserve">Aljon S. Italia </t>
  </si>
  <si>
    <t>Donation to Client for his medical needs QR: 081522034LGSF</t>
  </si>
  <si>
    <t xml:space="preserve">Joysiel B. Fernandez </t>
  </si>
  <si>
    <t>Donation to client for her medical needs QR: 081522036LGSF</t>
  </si>
  <si>
    <t>Donation to Client for his medical needs QR: 081722018LGSF</t>
  </si>
  <si>
    <t xml:space="preserve">Adones S. Lintag </t>
  </si>
  <si>
    <t xml:space="preserve">Michelle Leaño </t>
  </si>
  <si>
    <t>Donation to Alexander Leaño for his burial expenses</t>
  </si>
  <si>
    <t>Office Supplies for the use of PHO - Malaria Control Elimination Program</t>
  </si>
  <si>
    <t xml:space="preserve">Department of Health Regional Office III </t>
  </si>
  <si>
    <t>To refund the amount pertaining to the balance of fund received by Provincial Government of Bataan from Department of Health Regional Office III (DOH-ROIII) fopr the implementation of 2017 Variable Tranche, 2017 Fixed Tranche and 2018 Malaria Control and Elimination Program in the Province of Bataan that was charged under Trust Fund</t>
  </si>
  <si>
    <t>Donation to AXL YUMOL for his medical needs.</t>
  </si>
  <si>
    <t>Donation to Luisa De Guzman for her burial expenses</t>
  </si>
  <si>
    <t xml:space="preserve">Joda A. Sarmiento </t>
  </si>
  <si>
    <t>Donation to Erlinda Avendaño for her hospital bill</t>
  </si>
  <si>
    <t xml:space="preserve">Angelica C. Arroyo </t>
  </si>
  <si>
    <t>Donation to Elise Martinne Arroyo for her hospital bill</t>
  </si>
  <si>
    <t>Donation to Lilian Adrados for her hospital bill</t>
  </si>
  <si>
    <t xml:space="preserve">Maru C. Tallara </t>
  </si>
  <si>
    <t>Donation to Bernadette Franco for her hospital bill</t>
  </si>
  <si>
    <t xml:space="preserve">Albert N. Alcantara </t>
  </si>
  <si>
    <t>Donation to Christine Joy Alcantara for her medical needs</t>
  </si>
  <si>
    <t xml:space="preserve">Ligaya P. De Guia </t>
  </si>
  <si>
    <t>Donation to Cayetano De Guia for his medical needs</t>
  </si>
  <si>
    <t xml:space="preserve">Cristeta C. Silvestre </t>
  </si>
  <si>
    <t xml:space="preserve">Armie Amor L. Solano </t>
  </si>
  <si>
    <t>Donation to Cathleen Jane Soriano for her medical needs</t>
  </si>
  <si>
    <t xml:space="preserve">Francisca V. Litrero </t>
  </si>
  <si>
    <t>Donation to Juan Bascugin for his medical needs</t>
  </si>
  <si>
    <t xml:space="preserve">Carlota N. Ibañez </t>
  </si>
  <si>
    <t xml:space="preserve">Ailyn G. Talisic </t>
  </si>
  <si>
    <t>Donation to Generalisemo Talisic for his medical needs</t>
  </si>
  <si>
    <t xml:space="preserve">Virnaliza A. Perez </t>
  </si>
  <si>
    <t>Donation to Joseph Jax Jason Perez for his hospital bill</t>
  </si>
  <si>
    <t xml:space="preserve">Angeluz D. Mandia </t>
  </si>
  <si>
    <t>Donation to Justin Acquilles Magtanong for his hospital bill</t>
  </si>
  <si>
    <t>Donation to Mirasol Cerdeña for her hospital bill</t>
  </si>
  <si>
    <t xml:space="preserve">May I. Montejo </t>
  </si>
  <si>
    <t>Donation to Ronaldo Montejo for his hospital bill</t>
  </si>
  <si>
    <t xml:space="preserve">Corazon L. Gervacio </t>
  </si>
  <si>
    <t>Donation to Rafael Gervacio for his hospital bill</t>
  </si>
  <si>
    <t xml:space="preserve">Jocelyn P. de Leon </t>
  </si>
  <si>
    <t>Donation to Romel De Leon for his hospital bill</t>
  </si>
  <si>
    <t xml:space="preserve">Aaron Jay O. Del Rosario </t>
  </si>
  <si>
    <t>Donation to Kayzia Anaia Del Rosario for her hospital bill</t>
  </si>
  <si>
    <t xml:space="preserve">Maribel M. Caragay </t>
  </si>
  <si>
    <t>Donation to Ferdinand Caragay for his medical needs</t>
  </si>
  <si>
    <t xml:space="preserve">Mario N. Dominguez Jr. </t>
  </si>
  <si>
    <t>Donation to Client for his medicla needs</t>
  </si>
  <si>
    <t xml:space="preserve">Jacklyn L. Martonito </t>
  </si>
  <si>
    <t>Donation to Jayson Martonito for his medical needs</t>
  </si>
  <si>
    <t xml:space="preserve">Rosemarie D. Sabal </t>
  </si>
  <si>
    <t>Donation to Mercedita De Lara for her medical needs</t>
  </si>
  <si>
    <t>Donation to Cedrick Bautista for his medical needs</t>
  </si>
  <si>
    <t xml:space="preserve">Joycelyn M. Capillar </t>
  </si>
  <si>
    <t xml:space="preserve">Ma. Cecilia O. Manuntag </t>
  </si>
  <si>
    <t>Donation to Ma. Crystalyn Manuntag for her hosbital bill</t>
  </si>
  <si>
    <t xml:space="preserve">Ricardo C. Madlangsakay </t>
  </si>
  <si>
    <t>Donation to Lourdes Madlangsakay for her burial expenses</t>
  </si>
  <si>
    <t>Supplies to be used for Camp Coordination and Management Training on July 4-7, 2022 at 1Bataan Command Center (Training Center)</t>
  </si>
  <si>
    <t>Hotel Accommodation RE: Camp Coordination and Management Training on July 19-22, 2022 at 1Bataan Command Center (Training Center)</t>
  </si>
  <si>
    <t xml:space="preserve">Tony M. Ferrer </t>
  </si>
  <si>
    <t>Donation to Eusebio S. Ferrer for his burial expenses</t>
  </si>
  <si>
    <t xml:space="preserve">Maria Jinky S. Salaria </t>
  </si>
  <si>
    <t>Donation to Sylvia S. Salaria for her hospital bill</t>
  </si>
  <si>
    <t xml:space="preserve">Gerlie C. Malabanan </t>
  </si>
  <si>
    <t>Donation to Narciso C. Malabanan for his hospital bill</t>
  </si>
  <si>
    <t xml:space="preserve">Corazon P. Mendoza </t>
  </si>
  <si>
    <t>Donation to Ofelia M. Benetua for his burial expenses</t>
  </si>
  <si>
    <t xml:space="preserve">Julie Ann B. Calimbas </t>
  </si>
  <si>
    <t>Donation to Mariuan Joyce B. Calimbas for her hospital bill</t>
  </si>
  <si>
    <t xml:space="preserve">Jazel Mae L. Salting </t>
  </si>
  <si>
    <t>Donation to Kevin Jr. S. Malanum forhis hospital bill</t>
  </si>
  <si>
    <t xml:space="preserve">Adeliza S. Lanzon </t>
  </si>
  <si>
    <t>Donation to Kurt Zander Lanzon for his hospital bill</t>
  </si>
  <si>
    <t>Donation to Angelina R. Siongco for her hospital bill</t>
  </si>
  <si>
    <t xml:space="preserve">Darwin B. Tang-o </t>
  </si>
  <si>
    <t>Donation to Dion Timothy O. Tang-o for his hospital bill</t>
  </si>
  <si>
    <t xml:space="preserve">Orlando C. Bautista </t>
  </si>
  <si>
    <t xml:space="preserve">Alma V. Tinao </t>
  </si>
  <si>
    <t>Donation to CLient for her medical needs</t>
  </si>
  <si>
    <t xml:space="preserve">Marites S. Castillo </t>
  </si>
  <si>
    <t>Donation to Damases R. Sanchez for his medical needs</t>
  </si>
  <si>
    <t xml:space="preserve">Maria Veronica S. Saulog </t>
  </si>
  <si>
    <t>Donation to Trisha Athena Italia for her medical needs</t>
  </si>
  <si>
    <t>Donation to Conchita V. Zulueta for her hospital bill</t>
  </si>
  <si>
    <t>Donation to Danilo Q. Torres for his hospital bill</t>
  </si>
  <si>
    <t xml:space="preserve">Joseline A. Santos </t>
  </si>
  <si>
    <t>Donation to Edgardo T. Santos for his medical needs</t>
  </si>
  <si>
    <t xml:space="preserve">Ma. Jesusa C. Barbero </t>
  </si>
  <si>
    <t xml:space="preserve">Medgina V. Victoriano </t>
  </si>
  <si>
    <t xml:space="preserve">Emily L. Gonzales </t>
  </si>
  <si>
    <t>Donation to Natividad Lumalo for her burial expenses</t>
  </si>
  <si>
    <t xml:space="preserve">Mary Jane P. Festijo </t>
  </si>
  <si>
    <t>Donation to Petra Bernal for her burial expenses</t>
  </si>
  <si>
    <t xml:space="preserve">Desirree L. Buldador </t>
  </si>
  <si>
    <t>Donation to Luz Buldador for her burial expenses</t>
  </si>
  <si>
    <t xml:space="preserve">Romell M. Fronda </t>
  </si>
  <si>
    <t>Donation to Ronel Fronda for his burial expenses</t>
  </si>
  <si>
    <t>Donation to Joan Sevilla for her burial expenses</t>
  </si>
  <si>
    <t xml:space="preserve">Analie N. Relloma </t>
  </si>
  <si>
    <t>Donation to Renato Nierva for his burial expenses</t>
  </si>
  <si>
    <t xml:space="preserve">Cristina Z. Borja </t>
  </si>
  <si>
    <t>Donation to Jose Zuniga for his hospital bill</t>
  </si>
  <si>
    <t xml:space="preserve">Gabriel Joshua M. Lopez </t>
  </si>
  <si>
    <t>Donation to Penelope Lopez for her hospital bill</t>
  </si>
  <si>
    <t xml:space="preserve">Merlyn D. Adanza </t>
  </si>
  <si>
    <t>Donation to Paterno Adanza for his hospital bill</t>
  </si>
  <si>
    <t xml:space="preserve">Jewel D. Nonay </t>
  </si>
  <si>
    <t>Donation to Franz Alistair Dizon for his medical needs</t>
  </si>
  <si>
    <t xml:space="preserve">Joy R. Prendol </t>
  </si>
  <si>
    <t>Donation to Sky Maglente for her medical needs</t>
  </si>
  <si>
    <t>Donation to Anita Tapang for her medical needs</t>
  </si>
  <si>
    <t xml:space="preserve">Richelle D. Diwa </t>
  </si>
  <si>
    <t>Donation to Jeffrey Mendoza for his medical needs</t>
  </si>
  <si>
    <t xml:space="preserve">Gemmalyn S. Guzman </t>
  </si>
  <si>
    <t>Donation to Eulogio Guzman for his hospital bill</t>
  </si>
  <si>
    <t xml:space="preserve">Jeric A. Estrella </t>
  </si>
  <si>
    <t>Donation to Jasmin Estrella for her hospital bill</t>
  </si>
  <si>
    <t xml:space="preserve">Joeven O. Gozon </t>
  </si>
  <si>
    <t>Donation to Client for his hospital bill</t>
  </si>
  <si>
    <t>Donation to Jimmy Malixi for his medical needs</t>
  </si>
  <si>
    <t xml:space="preserve">Eleanor D. Divinagracia </t>
  </si>
  <si>
    <t xml:space="preserve">Marta H. Salvador </t>
  </si>
  <si>
    <t xml:space="preserve">Micah R. Miranda </t>
  </si>
  <si>
    <t>Donation to Mark Soriano for his medical needs</t>
  </si>
  <si>
    <t xml:space="preserve">Resalyn P. Magpantay </t>
  </si>
  <si>
    <t>Donation to Marlen M. Canlapan for her medical needs</t>
  </si>
  <si>
    <t xml:space="preserve">Noriel Jr. A. Urriquia </t>
  </si>
  <si>
    <t>Donation to Noriel A. Urriquia for his medical needs</t>
  </si>
  <si>
    <t xml:space="preserve">Florenda M. Rodillas </t>
  </si>
  <si>
    <t xml:space="preserve">Jovilynn R. Dela Cruz </t>
  </si>
  <si>
    <t xml:space="preserve">Vilma A. Blanco </t>
  </si>
  <si>
    <t>Donation to Nelson D. Blanco for his medical needs</t>
  </si>
  <si>
    <t xml:space="preserve">Ma. Dolores S. Gatdula </t>
  </si>
  <si>
    <t>Donation to Goerge S. Gatdula for his medical neeeds</t>
  </si>
  <si>
    <t>Donation to Marieglo Damodes for her hospital bill</t>
  </si>
  <si>
    <t xml:space="preserve">Rommel M. Fronda </t>
  </si>
  <si>
    <t>Donation to Maria Sophia Fronda for her hospital bill</t>
  </si>
  <si>
    <t xml:space="preserve">Angelu M. Sarmiento </t>
  </si>
  <si>
    <t>Donation to client for her medical neeeds</t>
  </si>
  <si>
    <t xml:space="preserve">Sherrylad C. Castillo </t>
  </si>
  <si>
    <t>Donation to Renalyn C. Sabian for her medical needs</t>
  </si>
  <si>
    <t xml:space="preserve">R-Jay Manabat </t>
  </si>
  <si>
    <t>Donation to Mark Jael B. Manabat for his medical needs</t>
  </si>
  <si>
    <t xml:space="preserve">Federico Jr. L. Malibiran </t>
  </si>
  <si>
    <t>Donation to Charito A. Manlapaz for her hospital bill</t>
  </si>
  <si>
    <t xml:space="preserve">Eulalia C. Baluyot </t>
  </si>
  <si>
    <t>Donation to Ruperto Jr. C. Baluyot for his medical needs</t>
  </si>
  <si>
    <t xml:space="preserve">Rosemarie C. Madrid </t>
  </si>
  <si>
    <t>Donation to Mila M. Cruz for her hospital bill</t>
  </si>
  <si>
    <t xml:space="preserve">Realyn N. Diwa </t>
  </si>
  <si>
    <t>Donation to Zenaida G. Nicdao for her hospital bill</t>
  </si>
  <si>
    <t xml:space="preserve">Mark Joseph D. Balana </t>
  </si>
  <si>
    <t>Donation to Celestine Jade C. Balana for his hospital bill</t>
  </si>
  <si>
    <t xml:space="preserve">Inocencia C. Alba </t>
  </si>
  <si>
    <t>Donationto Client for her medical needs</t>
  </si>
  <si>
    <t xml:space="preserve">Rowie M. Aguilar </t>
  </si>
  <si>
    <t>Donation to Renato C. Aguilar for his medical needs</t>
  </si>
  <si>
    <t xml:space="preserve">Cristina D. Agranum </t>
  </si>
  <si>
    <t>Donation to Romeo M. Agranum for his medicine needs</t>
  </si>
  <si>
    <t>Donation to Allen C. Santos for his medical needs</t>
  </si>
  <si>
    <t>Donation to Rogelio E. Ebilane for his medical needs</t>
  </si>
  <si>
    <t xml:space="preserve">Noel T. Quintero </t>
  </si>
  <si>
    <t>Donation to Sophia Marielle C. Quintero for her medical needs</t>
  </si>
  <si>
    <t xml:space="preserve">Relly L. Dela Cruz </t>
  </si>
  <si>
    <t xml:space="preserve">Toni Rose G. Mariano </t>
  </si>
  <si>
    <t>Donation to Ethan Blake G. Mariano for his medical needs</t>
  </si>
  <si>
    <t xml:space="preserve">Corazon M. Calinisan </t>
  </si>
  <si>
    <t>Donation to LUZVIMINDA R.PANTALEON for her hospital bill.</t>
  </si>
  <si>
    <t xml:space="preserve">Shirly F. Palilio </t>
  </si>
  <si>
    <t>Donation to Juanito Palilio for his medical needs</t>
  </si>
  <si>
    <t xml:space="preserve">Cholita M. Cayabyab </t>
  </si>
  <si>
    <t>Donation to Efren M. Magpoc for his medical needs</t>
  </si>
  <si>
    <t xml:space="preserve">Luisito M. Dizon </t>
  </si>
  <si>
    <t xml:space="preserve">Kate D. Fernandez </t>
  </si>
  <si>
    <t>Donation to Kim Paguio for her hospital bill</t>
  </si>
  <si>
    <t xml:space="preserve">Arden P. Sevilla </t>
  </si>
  <si>
    <t>Donation to Rubie Ross Flores for her hospital bill</t>
  </si>
  <si>
    <t xml:space="preserve">Ronalyn A. Enriquez </t>
  </si>
  <si>
    <t>Donation to client for his hospital bill</t>
  </si>
  <si>
    <t xml:space="preserve">Teresita R. Molina </t>
  </si>
  <si>
    <t>Donation to Maria Theresa R. Ramirez for her burial expenses</t>
  </si>
  <si>
    <t xml:space="preserve">Russelle C. Pandiño </t>
  </si>
  <si>
    <t>Donation to Mercedita C. Pandiño for her medical needs</t>
  </si>
  <si>
    <t>Donation to Rosalinda D. Baculo for her hospital bill</t>
  </si>
  <si>
    <t>Donation to Regie Ricafort for his medical needs</t>
  </si>
  <si>
    <t xml:space="preserve">Helen M. Pajarin </t>
  </si>
  <si>
    <t>Donation to Mark Jim Javier for his medical needs</t>
  </si>
  <si>
    <t xml:space="preserve">Jennylyn P. Tranate </t>
  </si>
  <si>
    <t>Donation to Princess Jane P. Tranate for her medical needs</t>
  </si>
  <si>
    <t xml:space="preserve">Emmanuel A. Quisay </t>
  </si>
  <si>
    <t>Donation to Elliesha Penelope R. Quisay for her medical needs</t>
  </si>
  <si>
    <t>Donation to Leandro Villar for his hospital bill</t>
  </si>
  <si>
    <t>AM Snacks, Lunch &amp; PM Sanacks for trainers and participants (20 packs x 5 days x P300per packs) 30,000.00 Dinner for trainers (2packs x 4 mights x P150/packs) 1,200.00</t>
  </si>
  <si>
    <t>Donation to Jyhan Lukkas Abes for his medical needs</t>
  </si>
  <si>
    <t xml:space="preserve">Josephine L. Gueco </t>
  </si>
  <si>
    <t>Donation to Michael Christian L. GUECO FOR HIS MEDICAL NEEDS</t>
  </si>
  <si>
    <t xml:space="preserve">Jasmine S. Rivero </t>
  </si>
  <si>
    <t>Donation to Ernesto M. Sinongco for his hospital bill</t>
  </si>
  <si>
    <t>Payment of professional fee of private doctors for the period of July 01 to August 31, 2022</t>
  </si>
  <si>
    <t xml:space="preserve">Mary Ann B. Alonzo </t>
  </si>
  <si>
    <t>Donation to Rolando Quiroz for his burial expenses</t>
  </si>
  <si>
    <t>Donation to Benjamin Lucena for his medical needs</t>
  </si>
  <si>
    <t xml:space="preserve">Purificacion J. Arahan </t>
  </si>
  <si>
    <t xml:space="preserve">Joan A. Lucero </t>
  </si>
  <si>
    <t>Donation to Clint for her medical needs</t>
  </si>
  <si>
    <t xml:space="preserve">Renato A. Alcantara </t>
  </si>
  <si>
    <t xml:space="preserve">Lina T. Chua </t>
  </si>
  <si>
    <t xml:space="preserve">Cecilia H. Canare </t>
  </si>
  <si>
    <t xml:space="preserve">Romel L. Tapalgo Jr. </t>
  </si>
  <si>
    <t xml:space="preserve">Elmer T. Dela Rosa </t>
  </si>
  <si>
    <t xml:space="preserve">Gretchen L. Zamboanga </t>
  </si>
  <si>
    <t xml:space="preserve">Erwin John C. Tugade </t>
  </si>
  <si>
    <t xml:space="preserve">Venus Marie F. Tan </t>
  </si>
  <si>
    <t>Donation to Jiah Venice Arabella Tan for her medical needs</t>
  </si>
  <si>
    <t xml:space="preserve">Erlina M. Gomez </t>
  </si>
  <si>
    <t>Donation to Felix Gomez for his medical needs</t>
  </si>
  <si>
    <t>Donation to Pioquinto Frias for his medical needs</t>
  </si>
  <si>
    <t xml:space="preserve">Joseph L. Llorente </t>
  </si>
  <si>
    <t>Donation to Mark Joseph Llorente for his burial expenses</t>
  </si>
  <si>
    <t xml:space="preserve">Salvador C. Marantal Jr. </t>
  </si>
  <si>
    <t>Donation to Francia Marantal for her hospital bill</t>
  </si>
  <si>
    <t xml:space="preserve">Lucita S. Hostallero </t>
  </si>
  <si>
    <t>Donation to Jenny Rose Ricablanca for her hospital bill</t>
  </si>
  <si>
    <t xml:space="preserve">Nestor M. Gonzales </t>
  </si>
  <si>
    <t>Donation to Gloria Gonzales for her hospital bill</t>
  </si>
  <si>
    <t xml:space="preserve">Philippine Public Safety &amp; Order Support Group (PPSOSG) Inc. </t>
  </si>
  <si>
    <t>27th PArtial payment of package training expenses for the provincial wide Brgy Disaster Risk Reduction Education &amp; emeregency medical first responder</t>
  </si>
  <si>
    <t xml:space="preserve">Jocelyn S. Garcia </t>
  </si>
  <si>
    <t>Donation to Edgardo Garcia for his medical needs</t>
  </si>
  <si>
    <t xml:space="preserve">Labspeak Safety Management, Inc. </t>
  </si>
  <si>
    <t>Payment od training fee for Behavior-Based Safety Training on August 16-19, 2022 for fifty (50) personnel of the Provincial Government of Bataan (PGB).</t>
  </si>
  <si>
    <t xml:space="preserve">Regina C. Sta. Maria </t>
  </si>
  <si>
    <t>Donation to Romulo Capistrano for his burial expenses</t>
  </si>
  <si>
    <t>Donation to Edison Capulong for his burial expenses</t>
  </si>
  <si>
    <t xml:space="preserve">Aira R. Isoy </t>
  </si>
  <si>
    <t>Donation to Eleonor Ison for her hospital bill</t>
  </si>
  <si>
    <t xml:space="preserve">Romando C. Bandola Jr. </t>
  </si>
  <si>
    <t>Donation to Jan Jasmin Bandola and Jianna Mae for their hospital bill</t>
  </si>
  <si>
    <t xml:space="preserve">Sheila Mae F. Subong </t>
  </si>
  <si>
    <t>Donation to Isidro Subong for his hospital bill</t>
  </si>
  <si>
    <t xml:space="preserve">Gerianne Mae S. Morales </t>
  </si>
  <si>
    <t>Donation to Cherly Morales for her hospital bill</t>
  </si>
  <si>
    <t>Donation to Ray Cabacungan for his hospital bill</t>
  </si>
  <si>
    <t xml:space="preserve">Arjay A. Peñaflor </t>
  </si>
  <si>
    <t>Donation to Delia Peñaflor for his medical needs</t>
  </si>
  <si>
    <t xml:space="preserve">Francisca T. Urbano </t>
  </si>
  <si>
    <t>Donation to Ramir Urbano for his medical needs</t>
  </si>
  <si>
    <t xml:space="preserve">Regie P. Castro </t>
  </si>
  <si>
    <t>Donation to Julian Eli Castro for his medical needs</t>
  </si>
  <si>
    <t>Donation to Editha Catilogo for her medical needs</t>
  </si>
  <si>
    <t xml:space="preserve">Robelyn O. Sapiro </t>
  </si>
  <si>
    <t>Donation to Rosh Vania Sapico for her medical needs</t>
  </si>
  <si>
    <t xml:space="preserve">Minerva L. Dilig </t>
  </si>
  <si>
    <t>Donation to Milagring Dilig for her medical needs</t>
  </si>
  <si>
    <t xml:space="preserve">Kariza M. Saludo </t>
  </si>
  <si>
    <t xml:space="preserve">Melanie D. Francisco </t>
  </si>
  <si>
    <t>Donation to Zyd Ezykiel Francisco fpor his medical needs</t>
  </si>
  <si>
    <t>Donation to Rico De San Agustin for his medical needs</t>
  </si>
  <si>
    <t>Donation to Renato L. Antonio III for his burial</t>
  </si>
  <si>
    <t xml:space="preserve">Anthony B. Miranda </t>
  </si>
  <si>
    <t>Donation to Lolita B. Miranda for her burial expenses</t>
  </si>
  <si>
    <t xml:space="preserve">Rene Sr. M. Parcon </t>
  </si>
  <si>
    <t>Donation to Imelda Q. Parcon for her burial expenses</t>
  </si>
  <si>
    <t xml:space="preserve">Rachelle N. Maculanlan </t>
  </si>
  <si>
    <t>Donation to Slyssa Ellise Maculanlan for her hospital bill</t>
  </si>
  <si>
    <t xml:space="preserve">Armando D. Sabado Jr. </t>
  </si>
  <si>
    <t>Donation to Mc Angelica R. Sabado for her hospital bill</t>
  </si>
  <si>
    <t xml:space="preserve">Eleonor T. Remedio </t>
  </si>
  <si>
    <t xml:space="preserve">Omar V. Manalansan </t>
  </si>
  <si>
    <t>Donation to Ester V. Lucero for his medical needs</t>
  </si>
  <si>
    <t xml:space="preserve">Melinda D. Tolentino </t>
  </si>
  <si>
    <t>Donation to Jhan Chris T. Tolentino for his medical needs</t>
  </si>
  <si>
    <t>Donation to Jhomar M. Resurrection for his medical needs</t>
  </si>
  <si>
    <t>Donation to Sherwin William M. Manabat for his medical needs</t>
  </si>
  <si>
    <t xml:space="preserve">Jasmyne A. Mauhay </t>
  </si>
  <si>
    <t>Donation to John Derick Adraneda for his medical needs</t>
  </si>
  <si>
    <t xml:space="preserve">Rico N. Crespo </t>
  </si>
  <si>
    <t>Donation to Judylyn Crespo for her medical needs</t>
  </si>
  <si>
    <t xml:space="preserve">Jireh Stefani M. Buco </t>
  </si>
  <si>
    <t xml:space="preserve">Carmela Sophia N. Banzon </t>
  </si>
  <si>
    <t>Donation to Marites Banzon for her hospital bill</t>
  </si>
  <si>
    <t>Donation to Paolo Gañac for his hospital bill</t>
  </si>
  <si>
    <t>Donation to Valentino Isidro for his hospital bill</t>
  </si>
  <si>
    <t xml:space="preserve">John David A. Mendoza </t>
  </si>
  <si>
    <t>Donation to Esperanza Mendoza for her hospital bill</t>
  </si>
  <si>
    <t xml:space="preserve">Chester S. Tarrayo </t>
  </si>
  <si>
    <t>Donation to Lyzandra Erica Tarrayo &amp; Calix Leigh Tarrayo for their hospital bill</t>
  </si>
  <si>
    <t>Donation to Client and Jerome Callado for their medical needs</t>
  </si>
  <si>
    <t>Donation to Lucita Feliciano for her medical needs</t>
  </si>
  <si>
    <t>Donation to Teresita Mariano for her medical needs</t>
  </si>
  <si>
    <t>Donation to Alicia Mauricio for her medical needs</t>
  </si>
  <si>
    <t>Donation to Jerry Inlong for his medical needs</t>
  </si>
  <si>
    <t>Donation to Rosie Santiago for her hospital bill</t>
  </si>
  <si>
    <t xml:space="preserve">Christopher C. Lazarte </t>
  </si>
  <si>
    <t>Donation to Chris Matthew Lazarte for his hospital bill</t>
  </si>
  <si>
    <t>Donation to Rudante Flordeliz for his hospital bill</t>
  </si>
  <si>
    <t xml:space="preserve">Irish M. Sioson </t>
  </si>
  <si>
    <t>Donation to Paisley Chintana Dolon for her hospital bill</t>
  </si>
  <si>
    <t xml:space="preserve">Antonio Jr. J. Jimenez </t>
  </si>
  <si>
    <t>Donation to Dorina Jimenez for her hospital bill</t>
  </si>
  <si>
    <t xml:space="preserve">Rhuby Marie G. Berino </t>
  </si>
  <si>
    <t>Donation to Kaylyn Berino for her hospital bill</t>
  </si>
  <si>
    <t xml:space="preserve">Gladys G. Delos Reyes </t>
  </si>
  <si>
    <t>Donation to Diana Delos Reyes for her hospital bill</t>
  </si>
  <si>
    <t xml:space="preserve">Imelda S. Requiro </t>
  </si>
  <si>
    <t>Donation to Randy Requiro for his hospital bill</t>
  </si>
  <si>
    <t>Donation to Jerry Arenas for his hospital bill</t>
  </si>
  <si>
    <t xml:space="preserve">Jayzell M. Esplago </t>
  </si>
  <si>
    <t>Donation to Aljhun Chales Esplago for his hospital bill</t>
  </si>
  <si>
    <t xml:space="preserve">Rona Liza N. Guila </t>
  </si>
  <si>
    <t>Donation to Liza Guila for her medical needs</t>
  </si>
  <si>
    <t xml:space="preserve">Joseph L. Mandane </t>
  </si>
  <si>
    <t>Donation to Julio L. Mandane for his medical needs</t>
  </si>
  <si>
    <t xml:space="preserve">Luis M. de Jesus </t>
  </si>
  <si>
    <t xml:space="preserve">Alejandro S. Santiago Jr. </t>
  </si>
  <si>
    <t xml:space="preserve">Cornelia A. Ortiz </t>
  </si>
  <si>
    <t xml:space="preserve">Rosario D. Ocampo </t>
  </si>
  <si>
    <t>Donation to Angelito Ocampo for his hospital bill</t>
  </si>
  <si>
    <t xml:space="preserve">Hanna Marey Z. Estemar </t>
  </si>
  <si>
    <t>Donation to Jeremias Estemar for his medical needs</t>
  </si>
  <si>
    <t>Donation to Leonard Bong Gonzales for his medical needs</t>
  </si>
  <si>
    <t xml:space="preserve">Jacklyn L. Ramos </t>
  </si>
  <si>
    <t>Donation to Noel Jake Ramos for his medical needs</t>
  </si>
  <si>
    <t xml:space="preserve">Cipriano Juan III G. Consunji </t>
  </si>
  <si>
    <t>Donation to Concepcion Consunji for her hospital bill</t>
  </si>
  <si>
    <t>Donation to Rhoy Adrian Flores for his medical needs</t>
  </si>
  <si>
    <t xml:space="preserve">Christian S. Santos </t>
  </si>
  <si>
    <t>Donation to Jacqueline Cruz for her medical needs</t>
  </si>
  <si>
    <t xml:space="preserve">Evangeline D. Rebeta </t>
  </si>
  <si>
    <t>Donation to Edgar Rebeta for his medical needs</t>
  </si>
  <si>
    <t xml:space="preserve">Caryl P. Cosca </t>
  </si>
  <si>
    <t>Donation to Karlo Panganiban for his hospital bill</t>
  </si>
  <si>
    <t xml:space="preserve">Mark Jordan G. Balajadia </t>
  </si>
  <si>
    <t>Donation to Jeanniel Balajadia for her hospital bill</t>
  </si>
  <si>
    <t>Donation to Marieta Reyes for hr burial expenses</t>
  </si>
  <si>
    <t xml:space="preserve">Reina M. Carreon </t>
  </si>
  <si>
    <t>Donation to Aileen Gonzales for her burial expenses</t>
  </si>
  <si>
    <t xml:space="preserve">Allan D. Roque </t>
  </si>
  <si>
    <t>Donation to Carmelita Roque for her burial expenses</t>
  </si>
  <si>
    <t>Donation to Lalie Jane Despe for her hospital bill</t>
  </si>
  <si>
    <t>Donation to Leopoldo Navarro for his hospital bill</t>
  </si>
  <si>
    <t>Donation to Paterno Adanza for his burial expenses</t>
  </si>
  <si>
    <t xml:space="preserve">Clarisil A. Welch </t>
  </si>
  <si>
    <t>Donation to Silvestre Jr. Alajas for his burial expenses</t>
  </si>
  <si>
    <t xml:space="preserve">Irene T. Ignacio </t>
  </si>
  <si>
    <t>Donation to Ruben Tiam for his burial expenses</t>
  </si>
  <si>
    <t xml:space="preserve">Cornelia D. Bagtas </t>
  </si>
  <si>
    <t>Donation to Alfredo Bagtas for his burial expenses</t>
  </si>
  <si>
    <t xml:space="preserve">Eric S. De Guzman </t>
  </si>
  <si>
    <t>Donation to Charmaine Joice De Guzman for her hospital bill</t>
  </si>
  <si>
    <t xml:space="preserve">Virginia D. Larman </t>
  </si>
  <si>
    <t>Donation to Nita Belano for her hospital bill</t>
  </si>
  <si>
    <t xml:space="preserve">Evelyn T. Pedro </t>
  </si>
  <si>
    <t>Donation to Teodora Tinao for her hospital bill</t>
  </si>
  <si>
    <t xml:space="preserve">Melissa C. Velonta </t>
  </si>
  <si>
    <t>Donation to Naydita Cabali for her hospital bill</t>
  </si>
  <si>
    <t>Donation to Federico IV Muli for his medical needs</t>
  </si>
  <si>
    <t xml:space="preserve">Francis Joy A. Sacman </t>
  </si>
  <si>
    <t>Donation to the client for his hospital bill</t>
  </si>
  <si>
    <t xml:space="preserve">Erwin T. Broñola </t>
  </si>
  <si>
    <t>Donation to Eshyhara Broñola for her hospital bill</t>
  </si>
  <si>
    <t xml:space="preserve">Jerode B. Pinmiliw </t>
  </si>
  <si>
    <t>Donation to Rosita Bautista for her hospital bill</t>
  </si>
  <si>
    <t>Donation to Neil Lorenz Wee for his hospital bill</t>
  </si>
  <si>
    <t xml:space="preserve">Lourdes G. Reyes </t>
  </si>
  <si>
    <t>Donation to Mysthy Reyes for her hospital bill</t>
  </si>
  <si>
    <t xml:space="preserve">Mylene M. Punzalan </t>
  </si>
  <si>
    <t>Donation to Epitacio Michael Punzalan for his medical needs</t>
  </si>
  <si>
    <t xml:space="preserve">Evelyn M. Enriquez </t>
  </si>
  <si>
    <t>Donation to Daniel Enriquez for his medical needs</t>
  </si>
  <si>
    <t xml:space="preserve">Ervhie Gayle N. Trajano </t>
  </si>
  <si>
    <t>Donation to Maria Zabrina Trajano for her hospital bill</t>
  </si>
  <si>
    <t xml:space="preserve">Joycel D. Miguel </t>
  </si>
  <si>
    <t>Donation to Priscilla De Jesus for her burial expenses</t>
  </si>
  <si>
    <t>Donation to Nadjila Nava for her hospital bill</t>
  </si>
  <si>
    <t>Donation to Segundo S. Dumlao for his medical needs</t>
  </si>
  <si>
    <t xml:space="preserve">Gloria P. Jambaro </t>
  </si>
  <si>
    <t>Donation to Eddie Pantaleon for his medical needs</t>
  </si>
  <si>
    <t xml:space="preserve">Renato M. Broniola </t>
  </si>
  <si>
    <t xml:space="preserve">Elvin N. Rolle </t>
  </si>
  <si>
    <t xml:space="preserve">Grace P. Feliciano </t>
  </si>
  <si>
    <t>Donation to Gerardo Feliciano for his burial expenses</t>
  </si>
  <si>
    <t xml:space="preserve">Nelson D. Dela Fuente </t>
  </si>
  <si>
    <t>Donation to Melba Estrella for her burial expenses</t>
  </si>
  <si>
    <t xml:space="preserve">Aika Mae M. Manahan </t>
  </si>
  <si>
    <t>Donation to Romnick Manahan for his burial expenses</t>
  </si>
  <si>
    <t xml:space="preserve">Shiela Marie B. Solda </t>
  </si>
  <si>
    <t>Donation to Victoria Buenaventura for her hospital bill</t>
  </si>
  <si>
    <t xml:space="preserve">James Kenneth B. Malabanan </t>
  </si>
  <si>
    <t>Donation to Karen Malabanan for her hospital bill</t>
  </si>
  <si>
    <t xml:space="preserve">Elena S. Ladra </t>
  </si>
  <si>
    <t>Donation to Martiniano Ladra for his hospital bill</t>
  </si>
  <si>
    <t xml:space="preserve">Russel L. Rivera </t>
  </si>
  <si>
    <t>Donation to Rusly Andrei Rivera for his hospital bill</t>
  </si>
  <si>
    <t>Donation to Ariane Joy Sunga and Alas McLaren Sunga for their hospital bill</t>
  </si>
  <si>
    <t>Donation to Andrea Nicole Patdu for her hospital bill</t>
  </si>
  <si>
    <t>Payment of hospital bill of indigent patients of Bagac Community and Medicare Hospital (BCMH) charge to DOH Fund Medical Assistance, Assistance to Indigent Patients Program for the period of August 2022</t>
  </si>
  <si>
    <t>Payment of hospital bill of indigent patients of Jose Payumo Memorial Hospital charge to DOH-Fund Medical Assistance Assistance to Indigent Patients Program for the period of August 2022</t>
  </si>
  <si>
    <t>Payment of hospital bill of indigent patients of Jose Payumo Memorial Hospital charge to DOH-Fund Medical Assistance Assistance to Indigent Patients Program for the period of July 2022</t>
  </si>
  <si>
    <t>Payment of hospital bill of indigent patients of Jose Payumo Memorial Hospital charge to DOH-Fund Medical Assistance Assistance to Indigent Patients Program for the period of June 2022</t>
  </si>
  <si>
    <t xml:space="preserve">Henry A. Marina </t>
  </si>
  <si>
    <t>Donation to Josephine S. Marina and Hendryx Josh S. Marina for their hopital bill</t>
  </si>
  <si>
    <t xml:space="preserve">Lydia C. Magsael </t>
  </si>
  <si>
    <t>Donation to Jacklyn C. Magsael for her hospital bill</t>
  </si>
  <si>
    <t xml:space="preserve">Lynneth R. Coronel </t>
  </si>
  <si>
    <t>Donation to Arlyn M. Ritchie for her hospital bill</t>
  </si>
  <si>
    <t>Donation to Kate C. Lumbao and Sabrina Skye L. Padilla for their hospital bill</t>
  </si>
  <si>
    <t xml:space="preserve">Annelyn B. Gervacio </t>
  </si>
  <si>
    <t>Donation to Kyle Clifherd B. Gervacio for his hospital bill</t>
  </si>
  <si>
    <t xml:space="preserve">Arres M. Carbajosa </t>
  </si>
  <si>
    <t>Donation to Briendel B. Carbajosa for his hospital bill</t>
  </si>
  <si>
    <t>Donation to Roldan T. Atienzo for his medical needs</t>
  </si>
  <si>
    <t xml:space="preserve">Mariel G. Chavez </t>
  </si>
  <si>
    <t>Donation to Bonn Marley G. Chavez for his medical needs</t>
  </si>
  <si>
    <t xml:space="preserve">Austen Allen H. Trinidad </t>
  </si>
  <si>
    <t>Donation to Ma. Elyzza Coline H. Trinidad for her medical needs</t>
  </si>
  <si>
    <t xml:space="preserve">Danica Ann P. Angeles </t>
  </si>
  <si>
    <t>Donation to Rheyel D. Angeles for his medical needs</t>
  </si>
  <si>
    <t xml:space="preserve">Shanen G. Canare </t>
  </si>
  <si>
    <t>Donation to Helen G. Canare for her medical needs</t>
  </si>
  <si>
    <t xml:space="preserve">Cocodia M. Manalili </t>
  </si>
  <si>
    <t xml:space="preserve">Lanie P. Limos </t>
  </si>
  <si>
    <t xml:space="preserve">Evangeline B. Signio </t>
  </si>
  <si>
    <t xml:space="preserve">Leonila B. Buenaventura </t>
  </si>
  <si>
    <t>Donation to Romeo Buenaventura for his medical needs</t>
  </si>
  <si>
    <t xml:space="preserve">Mary Ann L. Soriano </t>
  </si>
  <si>
    <t>Donation to Angelica Campos for her medical needs</t>
  </si>
  <si>
    <t xml:space="preserve">Renato S. Tolentino, Jr. </t>
  </si>
  <si>
    <t xml:space="preserve">Jayson A. Miranda </t>
  </si>
  <si>
    <t xml:space="preserve">Leonardo G. Bugay </t>
  </si>
  <si>
    <t>Donation to Israel Bugay for his medical needs</t>
  </si>
  <si>
    <t>Donation to Aurea Lopez for her medical needs</t>
  </si>
  <si>
    <t xml:space="preserve">Julie Mae T. Marcelino </t>
  </si>
  <si>
    <t>Donation to Emma Marcelino for her medical needs</t>
  </si>
  <si>
    <t>Donation to Marilou Quiñon for her hospital bill</t>
  </si>
  <si>
    <t>Donation to Noli Banzon for his burial expenses</t>
  </si>
  <si>
    <t xml:space="preserve">Bernadette N. Labog </t>
  </si>
  <si>
    <t>Donation to Anicia Labog for her hospital bill</t>
  </si>
  <si>
    <t xml:space="preserve">Beatriz S. Alinsunurin </t>
  </si>
  <si>
    <t xml:space="preserve">Eduardo E. Madayag </t>
  </si>
  <si>
    <t>Donation to Perlita Madayag for her hospital bill</t>
  </si>
  <si>
    <t xml:space="preserve">Dindo V. Palad </t>
  </si>
  <si>
    <t>Donation to Leticia Pineda for her hospital bill</t>
  </si>
  <si>
    <t xml:space="preserve">Girlie G. Eala </t>
  </si>
  <si>
    <t>Donation to Beth Gatdula for her hospital bill</t>
  </si>
  <si>
    <t xml:space="preserve">Ernesto Jr. N. Mercado </t>
  </si>
  <si>
    <t xml:space="preserve">Maridaine V. de Mesa </t>
  </si>
  <si>
    <t>Donation to Marlene De Mesa for her hospital bill</t>
  </si>
  <si>
    <t xml:space="preserve">Ma. Lucia D. Domingo </t>
  </si>
  <si>
    <t>Donation to Jaime Domingo for his hospital bill</t>
  </si>
  <si>
    <t xml:space="preserve">Racquel M. Detablan </t>
  </si>
  <si>
    <t>Donation to Bernard Detablan for his hospital bill</t>
  </si>
  <si>
    <t xml:space="preserve">Charlotte B. Santos </t>
  </si>
  <si>
    <t>Donation to Alicia Santos for her hospital bill</t>
  </si>
  <si>
    <t xml:space="preserve">Clarissa C. Venegas </t>
  </si>
  <si>
    <t>Donation to Leonila Venegas for her hospital bill</t>
  </si>
  <si>
    <t>Donation to the clienmt for his hospital bill</t>
  </si>
  <si>
    <t xml:space="preserve">Roberto B. Febrero Jr. </t>
  </si>
  <si>
    <t>Donation to Normita Febrero for her hospital bill</t>
  </si>
  <si>
    <t>Donation to Bienvenida Luanzon for her medical needs</t>
  </si>
  <si>
    <t>Donation to Guadalupe Tongco for her medical needs</t>
  </si>
  <si>
    <t>Donation to Gloria Crisostomo for her medical needs</t>
  </si>
  <si>
    <t xml:space="preserve">Jerica Mae B. Medina </t>
  </si>
  <si>
    <t>Donation to Marilyn Bugay for her medical needs</t>
  </si>
  <si>
    <t xml:space="preserve">Leonardo B. Balingit Sr. </t>
  </si>
  <si>
    <t>Donation to Leonardo Balingit Jr. for his medical needs</t>
  </si>
  <si>
    <t xml:space="preserve">Roberto S. Mangayao </t>
  </si>
  <si>
    <t>Donation to Rodrigo Mangayao for his medical needs</t>
  </si>
  <si>
    <t xml:space="preserve">Maria May M. Garcia </t>
  </si>
  <si>
    <t>Donation to Patrocinio Marcelino for his medical needs</t>
  </si>
  <si>
    <t xml:space="preserve">Alfredo C. Abuda </t>
  </si>
  <si>
    <t>Donation to Jocelyn Abuda for her medical needs</t>
  </si>
  <si>
    <t xml:space="preserve">Judy G. Trelles </t>
  </si>
  <si>
    <t>Donation to Kyle Eunice Buan for her burial expenses</t>
  </si>
  <si>
    <t>Donation to Froilan Sumandal for his burial expenses</t>
  </si>
  <si>
    <t xml:space="preserve">Marissa A. Dominguez </t>
  </si>
  <si>
    <t>Donation to Marthy Dominguez for his burial expenses</t>
  </si>
  <si>
    <t xml:space="preserve">Jony G. David </t>
  </si>
  <si>
    <t>Donation to Krizell David for her hospital bill</t>
  </si>
  <si>
    <t xml:space="preserve">Archee C. Canoy </t>
  </si>
  <si>
    <t>Donation to Amanda Cruz for her hospital bill</t>
  </si>
  <si>
    <t>Donation to Danilo Mamaril for his hospital bill</t>
  </si>
  <si>
    <t>Donation to Guillermo Binauhan for his hospital bill</t>
  </si>
  <si>
    <t xml:space="preserve">Josephine G. Parapon </t>
  </si>
  <si>
    <t>Donation to Chriztta Paparon for her medical needs</t>
  </si>
  <si>
    <t xml:space="preserve">Haydee May M. Duran </t>
  </si>
  <si>
    <t>Donation to Melchor Duran Jr. for his medical needs</t>
  </si>
  <si>
    <t xml:space="preserve">Emerita U. Santos </t>
  </si>
  <si>
    <t>Donation to Gibb Santos for his medical needs</t>
  </si>
  <si>
    <t xml:space="preserve">Jocelyn J. Gutierrez </t>
  </si>
  <si>
    <t>Donation to Vivincia Judan for her medical needs</t>
  </si>
  <si>
    <t>Bernabe A. Mendoza</t>
  </si>
  <si>
    <t>Pilar Mae S. Bugay</t>
  </si>
  <si>
    <t>Jennifer C. Perez</t>
  </si>
  <si>
    <t>Merly H. Cantillo</t>
  </si>
  <si>
    <t>Donation to Loreta Samaniego for his medical needs</t>
  </si>
  <si>
    <t>Donation to Christian Adrian Dimarucut for his medical needs</t>
  </si>
  <si>
    <t xml:space="preserve">Alicia D. Reyes </t>
  </si>
  <si>
    <t xml:space="preserve">Angelita C. Iguico </t>
  </si>
  <si>
    <t>Donation to Bryan Iguico for his medical needs</t>
  </si>
  <si>
    <t xml:space="preserve">Grace I. Rodriguez </t>
  </si>
  <si>
    <t>Donation to Gcyrus Rodriguez for his medical needs</t>
  </si>
  <si>
    <t>Donation to the client for his hospital bill and medical needs</t>
  </si>
  <si>
    <t xml:space="preserve">Jennifer C. Mirania </t>
  </si>
  <si>
    <t xml:space="preserve">Jerome D. Paraiso </t>
  </si>
  <si>
    <t>Donation to Melissa Flores for her hospital bill</t>
  </si>
  <si>
    <t xml:space="preserve">Gerry P. Dizon </t>
  </si>
  <si>
    <t>Donation to Dion Czackary Dizon for his hospital bill</t>
  </si>
  <si>
    <t>Donation to Morena Francisco for her hospital bill</t>
  </si>
  <si>
    <t xml:space="preserve">Loraine P. Rivera </t>
  </si>
  <si>
    <t>Dopnation to the client for her medical needs</t>
  </si>
  <si>
    <t xml:space="preserve">Julita D. Agalud-od </t>
  </si>
  <si>
    <t>Donation to Karen Jane Agalud-od for her medical needs</t>
  </si>
  <si>
    <t>Donation to Brendo Yordan for his medical needs</t>
  </si>
  <si>
    <t xml:space="preserve">Rogelio Jr. M. Dayrit </t>
  </si>
  <si>
    <t>Donation to Alexis Kyle Dayrit for her medical needs</t>
  </si>
  <si>
    <t>Donation to Lorena Ramos for her medical needs</t>
  </si>
  <si>
    <t xml:space="preserve">Jelita C. Aranas </t>
  </si>
  <si>
    <t>Donation to Jose Aranas for his medical needs</t>
  </si>
  <si>
    <t>Donation to Rose Anne Tenorio for her medical needs</t>
  </si>
  <si>
    <t>Donation to Mary Rose Sevilla for her hospital bill</t>
  </si>
  <si>
    <t xml:space="preserve">Christine P. Enriquez </t>
  </si>
  <si>
    <t>Donation to Lourdes Enriquez for her burial expenses</t>
  </si>
  <si>
    <t>Donation to Zion Czydrick Dizon for his burial expenses</t>
  </si>
  <si>
    <t xml:space="preserve">Pablito A. Reyes </t>
  </si>
  <si>
    <t>Donation to Pablo Reyes for his burial expenses</t>
  </si>
  <si>
    <t>Donation to Lilian Muega for her hospital bill</t>
  </si>
  <si>
    <t xml:space="preserve">Ana Marie B. Morada </t>
  </si>
  <si>
    <t>Donation to Albert Patiam for his hospital bill</t>
  </si>
  <si>
    <t>Donation to Salome Sumandal for her hospital bill</t>
  </si>
  <si>
    <t xml:space="preserve">Gerald P. Tamondong </t>
  </si>
  <si>
    <t>Donation to Geralyn Tamondong for her hospital bill</t>
  </si>
  <si>
    <t xml:space="preserve">Judy Ann J. Limos </t>
  </si>
  <si>
    <t>Donation to Zian Maxwell Del Rosario for her hospital bill</t>
  </si>
  <si>
    <t>Donation to Cirilo Jr. Bautista for his medical needs</t>
  </si>
  <si>
    <t xml:space="preserve">Jigger V. Ventura </t>
  </si>
  <si>
    <t>Donation to Jovito Ventura for his burial expenses</t>
  </si>
  <si>
    <t xml:space="preserve">Carolina L. Valdez </t>
  </si>
  <si>
    <t>Donation to Josefina Dato for her burial expenses</t>
  </si>
  <si>
    <t xml:space="preserve">Michelle A. Mamayson </t>
  </si>
  <si>
    <t>Donation to Bernardito Alcaide for his hospital bill</t>
  </si>
  <si>
    <t>Donation to Agripina Ignacio for her medical needs</t>
  </si>
  <si>
    <t xml:space="preserve">Maritess E. Delos Reyes </t>
  </si>
  <si>
    <t>Donation to Danilo for his medical needs</t>
  </si>
  <si>
    <t xml:space="preserve">Fernando P. Llamzon Jr. </t>
  </si>
  <si>
    <t>Donation to Emilia Llamzon for her medical needs</t>
  </si>
  <si>
    <t xml:space="preserve">Marietta S. Bacani </t>
  </si>
  <si>
    <t>Donation to Robert Santos for his medical needs</t>
  </si>
  <si>
    <t>Donationto Ricardo Salenga for his burial expenses</t>
  </si>
  <si>
    <t xml:space="preserve">Nica D. Lopez </t>
  </si>
  <si>
    <t>Donation to Lourdes Ventura for her hospital bill</t>
  </si>
  <si>
    <t xml:space="preserve">Arlene F. Mañosca </t>
  </si>
  <si>
    <t>Donation to Virginia Fabi for her hospital bill</t>
  </si>
  <si>
    <t xml:space="preserve">Violeta Y. Esteron </t>
  </si>
  <si>
    <t>Donation to Vida Abulencia for her hospital bill</t>
  </si>
  <si>
    <t xml:space="preserve">Lolita G. Mercado </t>
  </si>
  <si>
    <t xml:space="preserve">Lualhati M. Tarape </t>
  </si>
  <si>
    <t>Donation to Flordeliza Rayos Del Sol for her hospital bill</t>
  </si>
  <si>
    <t xml:space="preserve">Jerry S. de Jesus </t>
  </si>
  <si>
    <t>Donation to Herminia De Jesus for her medical needs</t>
  </si>
  <si>
    <t xml:space="preserve">Elmer R. Manalaotao </t>
  </si>
  <si>
    <t>Donation to Menchu Tria for her medical needs</t>
  </si>
  <si>
    <t xml:space="preserve">Ariel C. Tubig </t>
  </si>
  <si>
    <t>Donation to Winefredo Garcia for his medical needs</t>
  </si>
  <si>
    <t>Donation to Eddanbel Velasco for his medical needs</t>
  </si>
  <si>
    <t xml:space="preserve">Kyle Richard C. Tamoro </t>
  </si>
  <si>
    <t>Donation to Yuri Adisson Gutierrez for his hospital bill</t>
  </si>
  <si>
    <t xml:space="preserve">Gemma A. Melgarejo </t>
  </si>
  <si>
    <t>Donation to Raygem Melgerejo for his medical needs</t>
  </si>
  <si>
    <t>Donation to Marjorie Ann C. Del Rosario for her hospital bill</t>
  </si>
  <si>
    <t xml:space="preserve">Luisa R. Baldeo </t>
  </si>
  <si>
    <t xml:space="preserve">Perla M. Santos </t>
  </si>
  <si>
    <t xml:space="preserve">Florante C. Condaya </t>
  </si>
  <si>
    <t xml:space="preserve">Gloria Q. Austria </t>
  </si>
  <si>
    <t>Donation to Alexander Austria for his medical needs</t>
  </si>
  <si>
    <t xml:space="preserve">Lucila M. Salazar </t>
  </si>
  <si>
    <t>Donation to Jose Salazar for his medical needs</t>
  </si>
  <si>
    <t xml:space="preserve">Rosario L. Tolentino </t>
  </si>
  <si>
    <t>Donation to Harry Tolentino for his medical needs</t>
  </si>
  <si>
    <t xml:space="preserve">Ma. Luisa D. Simbol </t>
  </si>
  <si>
    <t>Donation to Marciano Simbol for his medical needs</t>
  </si>
  <si>
    <t xml:space="preserve">Maricel D. Cabalquinto </t>
  </si>
  <si>
    <t>Donation to Febe Cabalquinto for her medical needs</t>
  </si>
  <si>
    <t xml:space="preserve">Mercedita A. Gaño </t>
  </si>
  <si>
    <t>Donation to Ricardo Gaño for his doctor's professional fee</t>
  </si>
  <si>
    <t xml:space="preserve">Kristoferson S. Telles </t>
  </si>
  <si>
    <t>Donation to Renchelle Telles for her hospital bill</t>
  </si>
  <si>
    <t xml:space="preserve">Alex S. Talaugon </t>
  </si>
  <si>
    <t>Donation to the client fpor his medical needs</t>
  </si>
  <si>
    <t xml:space="preserve">National commission for Culture and the Arts (NCAA) </t>
  </si>
  <si>
    <t>To refund the amount of pertatining to the fund received by PGB form NCCA</t>
  </si>
  <si>
    <t xml:space="preserve">Roxanne S. Del Socorro </t>
  </si>
  <si>
    <t>Donation to Jose M. Del Socorro for her medical needs</t>
  </si>
  <si>
    <t>Donation to Federico Cura for his medical needs</t>
  </si>
  <si>
    <t>Donation to Loreto B. Perez for his medical needs</t>
  </si>
  <si>
    <t xml:space="preserve">John Carlo A. Barrameda </t>
  </si>
  <si>
    <t>Donation to Mariella R. Barrameda for his hospital bill</t>
  </si>
  <si>
    <t xml:space="preserve">Jayson Crish L. Amper </t>
  </si>
  <si>
    <t>Donation to Clarisse L. Amper for her hospital bill</t>
  </si>
  <si>
    <t xml:space="preserve">Alvin S. Balaguer </t>
  </si>
  <si>
    <t>Donation to Marifi C. Ballaguer for her hospital bill</t>
  </si>
  <si>
    <t xml:space="preserve">Inah D. Velasco </t>
  </si>
  <si>
    <t>Donation to John Lester V. Camalo for his medical needs</t>
  </si>
  <si>
    <t xml:space="preserve">Rhea D. Zamora </t>
  </si>
  <si>
    <t>Donation to Ligaya S. Dela Rosa for her medical needs</t>
  </si>
  <si>
    <t xml:space="preserve">Leonida S. Navarro </t>
  </si>
  <si>
    <t>Donation to Catalina M. Santos for her medical needs</t>
  </si>
  <si>
    <t>Donation to Percilla S. Mavotas for his medical needs</t>
  </si>
  <si>
    <t xml:space="preserve">Lanie D. Ramos </t>
  </si>
  <si>
    <t>Donation to Rein Kyle D. Ramos for his medical needs</t>
  </si>
  <si>
    <t xml:space="preserve">Teresita O. Patdu </t>
  </si>
  <si>
    <t>Donation to Benigno Patdu for his medical needs</t>
  </si>
  <si>
    <t xml:space="preserve">Kristine Grace M. Initorio </t>
  </si>
  <si>
    <t>Donation to Carlito II B. INITORIO for his medical needs</t>
  </si>
  <si>
    <t xml:space="preserve">Eugenia P. Gonez </t>
  </si>
  <si>
    <t>Donation to Jesselyn G. Icban for her medical needs and hospital bill</t>
  </si>
  <si>
    <t>Donation to Reynaldo O. Pangilinan for his hospital bill</t>
  </si>
  <si>
    <t xml:space="preserve">Jason D. Pablo </t>
  </si>
  <si>
    <t>Donation to Salvador C. Pablo for his burial expenses</t>
  </si>
  <si>
    <t xml:space="preserve">Nerissa T. Martin </t>
  </si>
  <si>
    <t>Donation to Julie M. Taspi for her burial expenses</t>
  </si>
  <si>
    <t xml:space="preserve">Romel L. Valencia </t>
  </si>
  <si>
    <t>Donation to Eufronio L. Valencia for her burial expenses</t>
  </si>
  <si>
    <t>Donation to Joey Medina for his medical needs</t>
  </si>
  <si>
    <t xml:space="preserve">Teodorico Jr. S. Guzman </t>
  </si>
  <si>
    <t>Donation to Teoderico Guzman for his medical needs</t>
  </si>
  <si>
    <t xml:space="preserve">Elena Cristina B. David </t>
  </si>
  <si>
    <t>Donation to Eric David for his medical needs</t>
  </si>
  <si>
    <t xml:space="preserve">Jam F. Martinez </t>
  </si>
  <si>
    <t>Donation to Luzviminda Fernandez for her medical needs</t>
  </si>
  <si>
    <t>Donation to Randolph De Guzman for his medical needs</t>
  </si>
  <si>
    <t xml:space="preserve">Eva R. Samson </t>
  </si>
  <si>
    <t>Donation to Jovelle Menchate for her medical needs</t>
  </si>
  <si>
    <t xml:space="preserve">Nichole L. Pajal </t>
  </si>
  <si>
    <t>Donation to Carlos Calolot Jr. for his medical needs</t>
  </si>
  <si>
    <t xml:space="preserve">Erica Bea R. Rivera </t>
  </si>
  <si>
    <t>Donation to Sabrina Rivera for her medical needs</t>
  </si>
  <si>
    <t>Donation to Mary Ann Viray for her medical needs</t>
  </si>
  <si>
    <t>Donation to Eliza Manalo for her medical needs</t>
  </si>
  <si>
    <t xml:space="preserve">Jericho D. Matic </t>
  </si>
  <si>
    <t>Donation to Gloria Matic for her medical needs</t>
  </si>
  <si>
    <t xml:space="preserve">Myra Grace Pigtuan </t>
  </si>
  <si>
    <t>Donation to Princess Yurie Mercado for his hospital bill</t>
  </si>
  <si>
    <t xml:space="preserve">Roy Errol S. Manuel </t>
  </si>
  <si>
    <t>Donation to Erlinda Manuel for her hospital bill</t>
  </si>
  <si>
    <t>Donation to Jonalyn and Jaazaniah Ewarata for their hospital bill</t>
  </si>
  <si>
    <t xml:space="preserve">Jennifer C. Garcia </t>
  </si>
  <si>
    <t>Donation to Andrei Garcia for his hospital bill</t>
  </si>
  <si>
    <t xml:space="preserve">Jimmy P. Limbo </t>
  </si>
  <si>
    <t>Donation to Harold Limbo for his hospital bill</t>
  </si>
  <si>
    <t xml:space="preserve">Divina M. Valencia </t>
  </si>
  <si>
    <t>Donation to Rogelio Valencia for his burial expenses</t>
  </si>
  <si>
    <t>Donation to Arnel Layug for his burial expenses</t>
  </si>
  <si>
    <t>Donation to Normita Febrero for her burial expenses</t>
  </si>
  <si>
    <t xml:space="preserve">Jessica L. Tuazon </t>
  </si>
  <si>
    <t>Donation to Renato D. Tuazon for his medical needs</t>
  </si>
  <si>
    <t xml:space="preserve">Floriza D. Merced </t>
  </si>
  <si>
    <t xml:space="preserve">Clarita S. Martinez </t>
  </si>
  <si>
    <t xml:space="preserve">Dorothy P. Alvarez </t>
  </si>
  <si>
    <t>Donation to Kyrie Faith Alvarez for her medical needs</t>
  </si>
  <si>
    <t xml:space="preserve">William A. Surnit </t>
  </si>
  <si>
    <t>Donation to Dominador Surnit for his medical needs</t>
  </si>
  <si>
    <t xml:space="preserve">Jayvhy A. De Guzman </t>
  </si>
  <si>
    <t>Donation to Kawhi Vhryelle De Guzman for his medical needs</t>
  </si>
  <si>
    <t xml:space="preserve">Roselda C. Behas </t>
  </si>
  <si>
    <t>Donation to Charmina Rose Valeroso for her medical needs</t>
  </si>
  <si>
    <t>Donation to Philip Santos for his medical needs</t>
  </si>
  <si>
    <t xml:space="preserve">Marites S. Juan </t>
  </si>
  <si>
    <t>Donation to client for he medical needs</t>
  </si>
  <si>
    <t xml:space="preserve">Rannie M. Ramos </t>
  </si>
  <si>
    <t xml:space="preserve">Tessalonica C. Dela Rosa </t>
  </si>
  <si>
    <t>Donation to Orlando Cuevas for his burial expenses</t>
  </si>
  <si>
    <t xml:space="preserve">Victorino B. Mendoza </t>
  </si>
  <si>
    <t xml:space="preserve">Conie C. Custodio </t>
  </si>
  <si>
    <t>Donation to Joel Custudio for his hospital bill</t>
  </si>
  <si>
    <t xml:space="preserve">Petra C. Urbina </t>
  </si>
  <si>
    <t>Donation to Jaime Urbina for his medical needs</t>
  </si>
  <si>
    <t xml:space="preserve">Elvira T. Leyba </t>
  </si>
  <si>
    <t>Donation to Liean L. Gunio for her burial expenses</t>
  </si>
  <si>
    <t xml:space="preserve">Lyka Joy C. Custodio </t>
  </si>
  <si>
    <t xml:space="preserve">Noemi P. Gatdula </t>
  </si>
  <si>
    <t>Donation to Vince Patrick Gatdula for his medical needs</t>
  </si>
  <si>
    <t xml:space="preserve">Hazel P. Tecson </t>
  </si>
  <si>
    <t>Donation to Princess Ericka Tecson for her hospital bill</t>
  </si>
  <si>
    <t xml:space="preserve">Dominic F. Valentos </t>
  </si>
  <si>
    <t>Donation to Analyn Valentos &amp; Jiana Ysabelle Valentos for their hospital bill</t>
  </si>
  <si>
    <t>Donation to Consolacion Chantengco for her hospital bill</t>
  </si>
  <si>
    <t xml:space="preserve">Remedios Susana B. Valencia </t>
  </si>
  <si>
    <t>Donation to Nenita Baluyot for her hospital bill</t>
  </si>
  <si>
    <t xml:space="preserve">Cathertine B. Ramirez </t>
  </si>
  <si>
    <t>Donation to Charlie Besonia for his hospital bill</t>
  </si>
  <si>
    <t xml:space="preserve">Joseph de Mesa </t>
  </si>
  <si>
    <t>Donation to Christina Azares for her hospital bill</t>
  </si>
  <si>
    <t xml:space="preserve">Ray Mart B. Yambao </t>
  </si>
  <si>
    <t>Donation to Norberto Yambao for his hospital bill</t>
  </si>
  <si>
    <t xml:space="preserve">John Paulo C. Layug </t>
  </si>
  <si>
    <t>Donation to Editha Layug for her hospital bill</t>
  </si>
  <si>
    <t xml:space="preserve">Eunice B. Basco </t>
  </si>
  <si>
    <t>Donation to Yolanda Basco for her hospital bill</t>
  </si>
  <si>
    <t xml:space="preserve">Jimmy A. Martin </t>
  </si>
  <si>
    <t>Donation to Christopher James Martin for his hospital bill</t>
  </si>
  <si>
    <t xml:space="preserve">Carmelito S. Espinola </t>
  </si>
  <si>
    <t>Donation to Carmelita Espinola for her hospital bill</t>
  </si>
  <si>
    <t xml:space="preserve">Angelita S. Guanzon </t>
  </si>
  <si>
    <t>Donation to Roan Jhoy G. Custodio for her hospital bill</t>
  </si>
  <si>
    <t xml:space="preserve">Chiqui A. Aranas </t>
  </si>
  <si>
    <t>Donation to Llia Adrados for her burial expenses</t>
  </si>
  <si>
    <t xml:space="preserve">Estelito Y. Aboganda </t>
  </si>
  <si>
    <t>Donation to Darwin Aboganda for his burial expenses</t>
  </si>
  <si>
    <t xml:space="preserve">Josephine M. Marantal </t>
  </si>
  <si>
    <t>Donation to Enrique Mendoza for his burial expenses</t>
  </si>
  <si>
    <t>Donation to Virginia Fajardo for her burial expenses</t>
  </si>
  <si>
    <t>Donation to Isagani Fajardo for his burial expenses</t>
  </si>
  <si>
    <t xml:space="preserve">Marita G. Alfanta </t>
  </si>
  <si>
    <t>Donation to Leonardo Guila for his burial expenses</t>
  </si>
  <si>
    <t xml:space="preserve">Rosario D. Trajano </t>
  </si>
  <si>
    <t>Donation to Angel Mendoza for her hospital bill</t>
  </si>
  <si>
    <t xml:space="preserve">Jane P. Mimay </t>
  </si>
  <si>
    <t>Donation to Alex Jazz Mimay for his hospital bill</t>
  </si>
  <si>
    <t xml:space="preserve">Nancy D. Tanega </t>
  </si>
  <si>
    <t>Donation to Carlos Tanega for his medical needs</t>
  </si>
  <si>
    <t xml:space="preserve">Ma. Elena A. Ortiguerra </t>
  </si>
  <si>
    <t>Donation to Rizalde Ortiguerra for his burial expenses</t>
  </si>
  <si>
    <t>1% retention for supply &amp; materials for 1 BAtaan Handcraft industry ecosystem</t>
  </si>
  <si>
    <t xml:space="preserve">May Anne M. Vizco </t>
  </si>
  <si>
    <t>Donation to REY AN GAPASIN for her hospital bill.</t>
  </si>
  <si>
    <t xml:space="preserve">Mary Grace R. Martinez </t>
  </si>
  <si>
    <t>Donation to Pepito Palomo for his burial expenses</t>
  </si>
  <si>
    <t xml:space="preserve">Manulita M. Carpio </t>
  </si>
  <si>
    <t xml:space="preserve">Helen D. Cantor </t>
  </si>
  <si>
    <t>Donation to Raul Danque for his burial expenses</t>
  </si>
  <si>
    <t xml:space="preserve">Robert Labrador </t>
  </si>
  <si>
    <t>Donation to Emma Labrador for her burial expenses</t>
  </si>
  <si>
    <t xml:space="preserve">Jelly Arizala </t>
  </si>
  <si>
    <t>Donation to Vincent Nodalo for his burial expenses</t>
  </si>
  <si>
    <t>Donation to Rodrigo Ponciano for his burial expenses</t>
  </si>
  <si>
    <t>Donation to Fernando Delizo for his burial expenses</t>
  </si>
  <si>
    <t xml:space="preserve">Grace Ann S. Desnacido </t>
  </si>
  <si>
    <t>Donation to Sergio Salvador for his burial expenses</t>
  </si>
  <si>
    <t xml:space="preserve">Juana Sioson </t>
  </si>
  <si>
    <t xml:space="preserve">Norman Escaño </t>
  </si>
  <si>
    <t>Donation to Glenor Escaño for his burial expense</t>
  </si>
  <si>
    <t>Donation to Jerry Cañon for his burial expenses</t>
  </si>
  <si>
    <t>Donation to Rachel Regala for her burial expenses</t>
  </si>
  <si>
    <t xml:space="preserve">Alma Sabado </t>
  </si>
  <si>
    <t>Donation to Priscila V. Escalada for her burial expenses</t>
  </si>
  <si>
    <t xml:space="preserve">Miguel E. Sapuyot </t>
  </si>
  <si>
    <t xml:space="preserve">Elisa F. Solomon </t>
  </si>
  <si>
    <t xml:space="preserve">Arnelie G. de Leon </t>
  </si>
  <si>
    <t xml:space="preserve">Maria Victoria Carla A. Bataller </t>
  </si>
  <si>
    <t xml:space="preserve">Cedrin Lyka M. Magpoc </t>
  </si>
  <si>
    <t xml:space="preserve">Richard D. Poblete </t>
  </si>
  <si>
    <t>Donation to Evangeline Poblete for her hospital bill</t>
  </si>
  <si>
    <t xml:space="preserve">Melanie B. Valencia </t>
  </si>
  <si>
    <t>Donation to Renz Carl Vivar fo rhis hospital bill</t>
  </si>
  <si>
    <t>Donation to Aurora Siasat for her hospital bill</t>
  </si>
  <si>
    <t xml:space="preserve">Mary Jesha M. Dagza </t>
  </si>
  <si>
    <t>Donation to Maria Cecilia Monteza for her hospital bill</t>
  </si>
  <si>
    <t xml:space="preserve">Nestor Sevilla </t>
  </si>
  <si>
    <t>Donation to Sharon Velasco &amp; Jan Liam Albert Devilla for their hospital bill</t>
  </si>
  <si>
    <t>Donation to Wilfredo Guila for his hospital bill</t>
  </si>
  <si>
    <t xml:space="preserve">Romfer Dilig </t>
  </si>
  <si>
    <t>Donation to Iris Dilig for her hospital bill</t>
  </si>
  <si>
    <t xml:space="preserve">Angelito B. Austria </t>
  </si>
  <si>
    <t>Donation to Pamela &amp; Venice Angel Austria for their hospital bill</t>
  </si>
  <si>
    <t xml:space="preserve">Arturo Jr. B. Forbes </t>
  </si>
  <si>
    <t>Donation to Jannah Feliz Forbes for her hospital bill</t>
  </si>
  <si>
    <t>Cash advance for brgy nutrition scholars (BNS) allowance for Jan-Dec 2021</t>
  </si>
  <si>
    <t xml:space="preserve">Efren Bautista </t>
  </si>
  <si>
    <t>Donation to Rosario Bautista for her hospital bill</t>
  </si>
  <si>
    <t xml:space="preserve">Crispin Escudero </t>
  </si>
  <si>
    <t>Donation to Wilma Escudero for her hospital bill</t>
  </si>
  <si>
    <t xml:space="preserve">Maricel Ramos </t>
  </si>
  <si>
    <t>Donation to Chito Ramos for his medical needs</t>
  </si>
  <si>
    <t xml:space="preserve">Maria Elenita Romero </t>
  </si>
  <si>
    <t>Donation to Maria Concepcion Abrigo for her medical needs</t>
  </si>
  <si>
    <t xml:space="preserve">Edelito Matawaran </t>
  </si>
  <si>
    <t>Donation to Catalina Matawaran for her medical needs</t>
  </si>
  <si>
    <t xml:space="preserve">Audrey Nicole Sumandal </t>
  </si>
  <si>
    <t>Donation to Jonathan Sumandal for his medical need</t>
  </si>
  <si>
    <t xml:space="preserve">Mariza Zabal </t>
  </si>
  <si>
    <t>Donation to Mercedita Zabala for her medical needs</t>
  </si>
  <si>
    <t xml:space="preserve">Mennen Pantig </t>
  </si>
  <si>
    <t>Donation to Cirilo Jr. Obenieta for his burial expenses</t>
  </si>
  <si>
    <t xml:space="preserve">Maria Melinda Basilio </t>
  </si>
  <si>
    <t>Donation to Alvert John Basilio for his hospital bill</t>
  </si>
  <si>
    <t xml:space="preserve">Oliver Vergara </t>
  </si>
  <si>
    <t>Donation to Jean Rose Vergara for her hospital bill</t>
  </si>
  <si>
    <t xml:space="preserve">Mercedita Magpayo </t>
  </si>
  <si>
    <t>Donation to Rodolfo Adena for his burial expenses</t>
  </si>
  <si>
    <t xml:space="preserve">Egardo Camacho </t>
  </si>
  <si>
    <t>Donation to Edgardo Joker Camacho Jr. for his medical needs</t>
  </si>
  <si>
    <t xml:space="preserve">Ace Mark Garcia </t>
  </si>
  <si>
    <t xml:space="preserve">Love Ann E. Bantog </t>
  </si>
  <si>
    <t>Donation to Delia Elegido for her medical needs</t>
  </si>
  <si>
    <t xml:space="preserve">Susana N. Salas </t>
  </si>
  <si>
    <t>Donation to Bienveniao T. Salas for her medical needs\</t>
  </si>
  <si>
    <t xml:space="preserve">Josefina B. Dela Cruz </t>
  </si>
  <si>
    <t>Donation to Alejandro D. Dela Cruz for his medical needs</t>
  </si>
  <si>
    <t xml:space="preserve">Shesha C. Ramos </t>
  </si>
  <si>
    <t>Donation to John Ramos for his hospital bill</t>
  </si>
  <si>
    <t>Donation to Narciso Cruz for his hospital bill</t>
  </si>
  <si>
    <t>Donation to Hanz Lowell Caraan for his hospital bill</t>
  </si>
  <si>
    <t xml:space="preserve">Flordeliza S. Cariño </t>
  </si>
  <si>
    <t>Donation to Mercedes Felipe for her hospital bill</t>
  </si>
  <si>
    <t xml:space="preserve">Alaine M. Dizon </t>
  </si>
  <si>
    <t>Donation to Melanie Dizon for her hospital bill</t>
  </si>
  <si>
    <t xml:space="preserve">David John B. San Pedro </t>
  </si>
  <si>
    <t>Donation to Donato San Pedro for his hospital bill</t>
  </si>
  <si>
    <t xml:space="preserve">Shiela Marie P. Mendigoria </t>
  </si>
  <si>
    <t>Donation to Christian Jay Mendigoria for his medical needs</t>
  </si>
  <si>
    <t xml:space="preserve">Purita S. Baluyot </t>
  </si>
  <si>
    <t>Donation to Alfredo Baluyot for his medical needs</t>
  </si>
  <si>
    <t xml:space="preserve">Renalyn N. Matic </t>
  </si>
  <si>
    <t>Donation to Canita Negrete for her medical needs</t>
  </si>
  <si>
    <t xml:space="preserve">Trinidad M. Bigtas </t>
  </si>
  <si>
    <t>Donation to Jacquelyn May Bigtas for her medical needs</t>
  </si>
  <si>
    <t xml:space="preserve">Monica S. Sulangi </t>
  </si>
  <si>
    <t>Donation Ron Pedrick Sulangifor his medical needs</t>
  </si>
  <si>
    <t xml:space="preserve">Melinda P. Sarmiento </t>
  </si>
  <si>
    <t>Donation to Rodolfo Sarmiento for his medical needs</t>
  </si>
  <si>
    <t xml:space="preserve">Angelina B. Eliasis </t>
  </si>
  <si>
    <t>Donation to Nenita Nobe for her medical needs</t>
  </si>
  <si>
    <t>Donation to Dierhon Donguines for his medical needs</t>
  </si>
  <si>
    <t xml:space="preserve">Ma. Theresa T. Oconer </t>
  </si>
  <si>
    <t>Donation to Michelle Oconer for her hospital bill</t>
  </si>
  <si>
    <t xml:space="preserve">Sharmaine E. Tranate </t>
  </si>
  <si>
    <t>Donation to Carmelita Tranate for her hospital bill</t>
  </si>
  <si>
    <t xml:space="preserve">Cairnleigh M. Dizon </t>
  </si>
  <si>
    <t>Donation to Maria Teresa Dizon for her hospital bill</t>
  </si>
  <si>
    <t xml:space="preserve">Mike A. Tapaya </t>
  </si>
  <si>
    <t>Donation to Anamatea Tapaya for her hospital bill</t>
  </si>
  <si>
    <t xml:space="preserve">Jennifer A. Manalo </t>
  </si>
  <si>
    <t>Donation to Gio Atreus Lucas Manalo for his hospital bill</t>
  </si>
  <si>
    <t xml:space="preserve">Marvey B. De Mesa </t>
  </si>
  <si>
    <t>Donation to Eduardo De Mesa for his hospital bill</t>
  </si>
  <si>
    <t>Donation to Jimmy Padua for his burial expenses</t>
  </si>
  <si>
    <t xml:space="preserve">Alan Orville M. Raganas </t>
  </si>
  <si>
    <t>Donation to Jerises Thea Saluta for her hospital bill</t>
  </si>
  <si>
    <t>Donation to Leo John Paulo Levera for his hospital bill</t>
  </si>
  <si>
    <t>Donation to Carmen Lopez for her hospital bill</t>
  </si>
  <si>
    <t>Donation to Simeon Gapasin for his medical needs</t>
  </si>
  <si>
    <t xml:space="preserve">Liwayway R. Hapalla </t>
  </si>
  <si>
    <t>Donation to Charlene Hapalla for her medical needs</t>
  </si>
  <si>
    <t xml:space="preserve">Rodel B. De Chavez </t>
  </si>
  <si>
    <t>Donation to Myrna De Chavez for her medical needs</t>
  </si>
  <si>
    <t>Donation to Lorena Gapasen for her medical needs</t>
  </si>
  <si>
    <t xml:space="preserve">Ruffa R. Rodriguez </t>
  </si>
  <si>
    <t>Donation to Raymond Rodriguez for his medical needs</t>
  </si>
  <si>
    <t xml:space="preserve">Elizabeth D. Dio </t>
  </si>
  <si>
    <t>Donation to Jesmer Dio for his medical needs</t>
  </si>
  <si>
    <t xml:space="preserve">Myra C. Landicho </t>
  </si>
  <si>
    <t xml:space="preserve">Evangeline D. Baluyot </t>
  </si>
  <si>
    <t>Donation to Virginia Baluyot for her medical needs</t>
  </si>
  <si>
    <t xml:space="preserve">Catherine D. Zabala </t>
  </si>
  <si>
    <t>Donation to Elizabeth Villanueva for her medical needs</t>
  </si>
  <si>
    <t xml:space="preserve">Nenita R. Jarlego </t>
  </si>
  <si>
    <t>Donation to Jesus Jarlego for his medical needs</t>
  </si>
  <si>
    <t>Donation to Perlita Ganzon for her medical needs</t>
  </si>
  <si>
    <t xml:space="preserve">Lambs Agri Mechanicals </t>
  </si>
  <si>
    <t>1% retention for equipment for use of handi-preunership project phase 1</t>
  </si>
  <si>
    <t xml:space="preserve">Marissa R. Dizon </t>
  </si>
  <si>
    <t xml:space="preserve">Mhark Whiellard Son Z. Perez </t>
  </si>
  <si>
    <t>Donation to Joylyn P. Perez and Nyx Fryl Syvyn Perez for their hospital bill</t>
  </si>
  <si>
    <t xml:space="preserve">Julian Jay M. Bernaldo </t>
  </si>
  <si>
    <t>Donation to Ligaya Bernaldo for her medical needs</t>
  </si>
  <si>
    <t xml:space="preserve">Bernardo D. Vicente </t>
  </si>
  <si>
    <t>Donation to Cecilia Vicente for her hospital bill</t>
  </si>
  <si>
    <t xml:space="preserve">April D. Legaspi </t>
  </si>
  <si>
    <t>Donation to Ermeda P. Legaspi for her hospital bill</t>
  </si>
  <si>
    <t xml:space="preserve">Ronquillo I. Macalinao </t>
  </si>
  <si>
    <t>Donation to Ronn Christopher Macalinao for his hospital bill</t>
  </si>
  <si>
    <t xml:space="preserve">Ervic G. Mendoza </t>
  </si>
  <si>
    <t>Donation to Rosan Mendoza for her hospital bill</t>
  </si>
  <si>
    <t xml:space="preserve">April Joy M. Gatip </t>
  </si>
  <si>
    <t>Donation to Pedro Gatip for his hospital bill</t>
  </si>
  <si>
    <t xml:space="preserve">Jerald C. Pineda </t>
  </si>
  <si>
    <t>Donation to Jhames Rhobin Pineda for his hospital bill</t>
  </si>
  <si>
    <t>Donation to Generosa E. Gatdula for her hospital bill</t>
  </si>
  <si>
    <t>Donation to Alethea Sofia M. Santos for her hospital bill</t>
  </si>
  <si>
    <t>Donation to Arieson Chris L. Amper for his hospital bill</t>
  </si>
  <si>
    <t xml:space="preserve">Roselia F. Enriquez </t>
  </si>
  <si>
    <t>Donation to Jayuselle Enriquez for her hospital bill</t>
  </si>
  <si>
    <t xml:space="preserve">Michael C. Palad </t>
  </si>
  <si>
    <t>Donation to Regina Palad for her hospital bill</t>
  </si>
  <si>
    <t xml:space="preserve">Micah Andrea T. Laylo </t>
  </si>
  <si>
    <t>Donation to Zymhielle Queen Beltran for her hospital bill</t>
  </si>
  <si>
    <t xml:space="preserve">Jedidiah E. Bato </t>
  </si>
  <si>
    <t>Donation to Angelina Jolie Dalinoc &amp; Athena Cally Bato for their hospital bill</t>
  </si>
  <si>
    <t xml:space="preserve">Khristine O. Raya </t>
  </si>
  <si>
    <t>Donation to Jimmy Oraa for his hospital bill</t>
  </si>
  <si>
    <t>Donation to Noleen Mae Sumande for her hospital bill</t>
  </si>
  <si>
    <t xml:space="preserve">Shylah Mel S. Ferrer </t>
  </si>
  <si>
    <t>Donation to Melcy Ferrer for her hospital bill</t>
  </si>
  <si>
    <t xml:space="preserve">Riza B. Matic </t>
  </si>
  <si>
    <t>Donation to Domingo V. Barcelona Jr. for his hospital bill</t>
  </si>
  <si>
    <t>Donation to Ely E. Obra for her hospital bill</t>
  </si>
  <si>
    <t xml:space="preserve">Herminio S. Amigo </t>
  </si>
  <si>
    <t>Donation to Raquel G. Amigo for her hospital bill</t>
  </si>
  <si>
    <t xml:space="preserve">Hazel Karen P. Insigne </t>
  </si>
  <si>
    <t>Donation to Harold Ken Insigne for his hospital bill</t>
  </si>
  <si>
    <t xml:space="preserve">Nelia Plata </t>
  </si>
  <si>
    <t>Donation to Diomedes S. Plata for his medical needs</t>
  </si>
  <si>
    <t xml:space="preserve">Ma. Tesita Arellano </t>
  </si>
  <si>
    <t>Donation to Teresita G. Ramirez for his medical needs</t>
  </si>
  <si>
    <t xml:space="preserve">Anthony Maninang </t>
  </si>
  <si>
    <t>Donation to Bernadette B. Gatdula for her medical needs</t>
  </si>
  <si>
    <t xml:space="preserve">Rosemarie Reñosa </t>
  </si>
  <si>
    <t>Donation to Efmar U. Dela Cruz for his medical needs</t>
  </si>
  <si>
    <t xml:space="preserve">Jennielyn Brez </t>
  </si>
  <si>
    <t>Donation to Jhervy Iderson T. Brez for his hospital bill</t>
  </si>
  <si>
    <t xml:space="preserve">Gloria Paguio </t>
  </si>
  <si>
    <t>Donation to Enrique D. Paguio for his hospital bill</t>
  </si>
  <si>
    <t>Donation to Jhanna Marie S. Mercado for her hospital bill</t>
  </si>
  <si>
    <t xml:space="preserve">Mariah Janele Garcia </t>
  </si>
  <si>
    <t>Donation to Benni Theo A. Garcia for his hospital bill</t>
  </si>
  <si>
    <t xml:space="preserve">Shaira Joie Mariano </t>
  </si>
  <si>
    <t>Donation to Daisy T. Estiropo for her hospital bill</t>
  </si>
  <si>
    <t xml:space="preserve">Carl Daniel Dela Peña </t>
  </si>
  <si>
    <t>Donation to Leila R. Dela Peña for her hospital bill</t>
  </si>
  <si>
    <t xml:space="preserve">Gina Agulto </t>
  </si>
  <si>
    <t>Donation to Jonas Gabriel B. Agulto for his hospital bill</t>
  </si>
  <si>
    <t xml:space="preserve">Jeffry C. Dizon </t>
  </si>
  <si>
    <t>Donation to Dianne M. Dizon for her hospital bill</t>
  </si>
  <si>
    <t xml:space="preserve">Evelyn Q. Dela Peña </t>
  </si>
  <si>
    <t>Donation to Zenaida Quicho for her hospital bill</t>
  </si>
  <si>
    <t xml:space="preserve">Jomel Christian de Leon </t>
  </si>
  <si>
    <t>Donation to Giselle &amp; Christian Gaelle De Leon for their hospital bill</t>
  </si>
  <si>
    <t>Donation to Romeo M. Reyes Jr. for his hospital bill</t>
  </si>
  <si>
    <t>Donation to Esperanza P. Peralta for her burial expenses</t>
  </si>
  <si>
    <t xml:space="preserve">Rafael Jigs M. Rivera </t>
  </si>
  <si>
    <t>Donation to Julie A. Santos for her burial expenses</t>
  </si>
  <si>
    <t xml:space="preserve">Annalyn P. Franco </t>
  </si>
  <si>
    <t>Donation to Hengreg P. Franco for his hospital bill</t>
  </si>
  <si>
    <t xml:space="preserve">Cecilia D. De Guia </t>
  </si>
  <si>
    <t>Donation to Elsa D. Sanchez for her hospital bill</t>
  </si>
  <si>
    <t xml:space="preserve">May T. Siongco </t>
  </si>
  <si>
    <t>Donation to Dawin Macky T. Siongco for his hospital bill</t>
  </si>
  <si>
    <t xml:space="preserve">Cesar L. Sevilla </t>
  </si>
  <si>
    <t xml:space="preserve">Ronaldo S. Bugay </t>
  </si>
  <si>
    <t>Donation to Gina Pacumio &amp; Yesha Althea Bugay for their hospital bill</t>
  </si>
  <si>
    <t>Donation to Jaime Caraig for his burial expenses</t>
  </si>
  <si>
    <t xml:space="preserve">Gary C. Martinez </t>
  </si>
  <si>
    <t>Donation to Ryzen Gabriel Martinez for his hospital bill</t>
  </si>
  <si>
    <t>Donation to Jose Quezon for his medical needs</t>
  </si>
  <si>
    <t xml:space="preserve">Kyle Lawrence P. Martin </t>
  </si>
  <si>
    <t>Donation to Kynna Yvone Martin for her hospital bill</t>
  </si>
  <si>
    <t xml:space="preserve">Norberto E. Linsangan </t>
  </si>
  <si>
    <t>Donation to Eufemia E. De Guzman for her hospital bill</t>
  </si>
  <si>
    <t xml:space="preserve">Loida R. Guevara </t>
  </si>
  <si>
    <t>Dontaion to the client for her medical needs</t>
  </si>
  <si>
    <t>Donation to Bernard Eli T. Samson for his hospital bill</t>
  </si>
  <si>
    <t xml:space="preserve">Maria Honorina C. Alejandria </t>
  </si>
  <si>
    <t>Donation to Hernan Alejandra for his medical needs</t>
  </si>
  <si>
    <t xml:space="preserve">Rodindin E. Vergara </t>
  </si>
  <si>
    <t>Donation to Domingo B. Vergara for his hospital bill</t>
  </si>
  <si>
    <t xml:space="preserve">Mariano Jr. A. Navarro </t>
  </si>
  <si>
    <t xml:space="preserve">William Jr. P. Cruz </t>
  </si>
  <si>
    <t>Donation to William M. Cruz for his hospital bill</t>
  </si>
  <si>
    <t>Donation to Marita A. Zaraspe for her medical needs</t>
  </si>
  <si>
    <t xml:space="preserve">Andrea D. Villapando </t>
  </si>
  <si>
    <t>Donation to Angelina Daulat for her medical needs</t>
  </si>
  <si>
    <t xml:space="preserve">Jonna C. Andaya </t>
  </si>
  <si>
    <t>Donation to Jayvee Andaya for his medical needs</t>
  </si>
  <si>
    <t xml:space="preserve">Diasy M. Bimbing </t>
  </si>
  <si>
    <t>Donation to Efigenia Muñoz for her hospital bill</t>
  </si>
  <si>
    <t xml:space="preserve">Jacqueline A. Miranda </t>
  </si>
  <si>
    <t>Donation to Toribio Miranda Jr. for his medical needs</t>
  </si>
  <si>
    <t xml:space="preserve">Annabelita A. Talastas </t>
  </si>
  <si>
    <t>Donation to Corazon A. Atienza for her hospital bill</t>
  </si>
  <si>
    <t xml:space="preserve">Aldrei M. Angeles </t>
  </si>
  <si>
    <t>Donation to Arturo Jr. ANgeles for her burial expenses</t>
  </si>
  <si>
    <t xml:space="preserve">Juvy J. Crucillo </t>
  </si>
  <si>
    <t>Donation to Joel Jayme for his medical needs</t>
  </si>
  <si>
    <t xml:space="preserve">Rhoneel D. Chiuco </t>
  </si>
  <si>
    <t>Donation to Elena D. Chiuco for her hospital bill</t>
  </si>
  <si>
    <t xml:space="preserve">Jacquiline D. Gonzales </t>
  </si>
  <si>
    <t>Donation to Carolina De Guzman for her medical needs</t>
  </si>
  <si>
    <t xml:space="preserve">Annabelle E. Poblete </t>
  </si>
  <si>
    <t>Donation to Kyler Austin E. Poblete for his hospital bill</t>
  </si>
  <si>
    <t xml:space="preserve">Estela Manansala </t>
  </si>
  <si>
    <t>Donation to Roy Manansala for his medical needs</t>
  </si>
  <si>
    <t xml:space="preserve">Chona Bongco </t>
  </si>
  <si>
    <t>Donation to Angelo Saldi for his medical needs</t>
  </si>
  <si>
    <t xml:space="preserve">Camille Rivera </t>
  </si>
  <si>
    <t>Donation to Alegria P. Rivera for her hospital bill</t>
  </si>
  <si>
    <t xml:space="preserve">Alyanna David </t>
  </si>
  <si>
    <t>Donation to Alvin F. David for his burial expenses</t>
  </si>
  <si>
    <t>Donation to Princess Gloria &amp; Shanaiah Louise Gloria for their hospital bill</t>
  </si>
  <si>
    <t xml:space="preserve">Lalaine Balona </t>
  </si>
  <si>
    <t>Donation to Ferdinand S. Balona for his burial expenses</t>
  </si>
  <si>
    <t xml:space="preserve">Rossel Peralta </t>
  </si>
  <si>
    <t>Donation to Reysa Jane Jarical for her hospital bill</t>
  </si>
  <si>
    <t>Donation to Estrella Illustrisimo for her hospital bill</t>
  </si>
  <si>
    <t xml:space="preserve">Joey Palaypay </t>
  </si>
  <si>
    <t>Donation to Teresita Palaypay for her hospital bill</t>
  </si>
  <si>
    <t xml:space="preserve">Rogelio C. Guevara </t>
  </si>
  <si>
    <t>Donation to Ernesto Solania for his medical needs</t>
  </si>
  <si>
    <t>Donation to Ma. Nena T. Sisom for her burial expenses</t>
  </si>
  <si>
    <t xml:space="preserve">Rafael R. Tecson </t>
  </si>
  <si>
    <t>Donation to Eduardo Tecson for his hospital bill</t>
  </si>
  <si>
    <t>Donation to Salome R. Diaz for her hospital bill</t>
  </si>
  <si>
    <t xml:space="preserve">Cristine Joy M. Delos Santos </t>
  </si>
  <si>
    <t>Donation to Rosalie M. Delos Santos for her hospital bill</t>
  </si>
  <si>
    <t xml:space="preserve">Danica Ana D. Gomez </t>
  </si>
  <si>
    <t>Donation to Keean Dale D. Gomez for his hospital bill</t>
  </si>
  <si>
    <t>Donation to Neil Francis Capili for his medical needs</t>
  </si>
  <si>
    <t xml:space="preserve">Provincial Government of Bataan - Trust Fund </t>
  </si>
  <si>
    <t>Trust Fund (UCPB acct)-To transfer the over the counter collections deposited in LBP Trust Fund account in relation to thye NOCAP speed limit violation for Sept 2022</t>
  </si>
  <si>
    <t>Donation to Alfredo S. Miranda for his burial expenses</t>
  </si>
  <si>
    <t xml:space="preserve">Harlene D. Javier </t>
  </si>
  <si>
    <t>Donation to Renato T. Del Rosario for his burial expenses</t>
  </si>
  <si>
    <t xml:space="preserve">Jackie V. Lobaton </t>
  </si>
  <si>
    <t>Donation to Imelda M. Viray for her burial expenses</t>
  </si>
  <si>
    <t xml:space="preserve">Nerieza P. Italia </t>
  </si>
  <si>
    <t xml:space="preserve">Barbelyn D. Nonay </t>
  </si>
  <si>
    <t>Donation to Alexander H. Dumas for her hospital bill</t>
  </si>
  <si>
    <t>Donation to Maricar D. Castro &amp; Marcus Steeven D. Castro for their hospital bill</t>
  </si>
  <si>
    <t>Donation to Jinky S. Paguio for her hospital bill</t>
  </si>
  <si>
    <t xml:space="preserve">Rosabelle Z. Miguel </t>
  </si>
  <si>
    <t>Donation to Rodolfo M. Miguel for his hospital bill</t>
  </si>
  <si>
    <t>Donation to Kim Philip D. Sadsad for his medical needs</t>
  </si>
  <si>
    <t>Donation to Bienvenido B. Ramos Jr. for his medical needs</t>
  </si>
  <si>
    <t xml:space="preserve">Melanie D. Dadios </t>
  </si>
  <si>
    <t>Donation to Mary Rose A. Dadios for her medical needs</t>
  </si>
  <si>
    <t xml:space="preserve">Annabelle D. Jacoba </t>
  </si>
  <si>
    <t>Donation to Wilfredo D. Jacoba for his medical needs</t>
  </si>
  <si>
    <t>Donation to Kervin Kurt Suarez for his medical needs</t>
  </si>
  <si>
    <t xml:space="preserve">Renato J. Estinopo </t>
  </si>
  <si>
    <t>Donation to Martines E. Estinopo for her medical needs</t>
  </si>
  <si>
    <t xml:space="preserve">Jessabel A. De Jesus </t>
  </si>
  <si>
    <t>Donation to Jose A. De Jesus for his medical needs</t>
  </si>
  <si>
    <t xml:space="preserve">Susana P. Ellamil </t>
  </si>
  <si>
    <t>Donation to Lolita D. Pasamonte for her medical needs</t>
  </si>
  <si>
    <t xml:space="preserve">Catherine A. Castro </t>
  </si>
  <si>
    <t>Donation to Fhiel Ceejay C. Perrera for his medical needs</t>
  </si>
  <si>
    <t xml:space="preserve">Maribel E. Roque </t>
  </si>
  <si>
    <t>Donation to Bienvenido C. Roque Jr. for his medical needs</t>
  </si>
  <si>
    <t xml:space="preserve">Marivic S. Samonte </t>
  </si>
  <si>
    <t>Donation to Mariel S. Samonte for her medical needs</t>
  </si>
  <si>
    <t>Donation to Jonnie J. Muyon and Janine Emerald P. Muyon for their burial expenses</t>
  </si>
  <si>
    <t>Donation to Jennica Rose C. De Leon for her hospital bill</t>
  </si>
  <si>
    <t xml:space="preserve">Donna C. Capili </t>
  </si>
  <si>
    <t>Donation to April Lyn C. Capili for her medical needs</t>
  </si>
  <si>
    <t xml:space="preserve">Reslyn A. Paras </t>
  </si>
  <si>
    <t>Donation to Selfida A. Paras for her medical needs</t>
  </si>
  <si>
    <t xml:space="preserve">Catherine Diane R. Manalo </t>
  </si>
  <si>
    <t xml:space="preserve">Rod Abraham S. Izon </t>
  </si>
  <si>
    <t>Donation to Jean Alice Kae C. Santos and Rod Avery Isaac S. Izon for their hospital bill</t>
  </si>
  <si>
    <t xml:space="preserve">Fe C. Luartes </t>
  </si>
  <si>
    <t>Donation to Shella F. Luarte for her hospital bill</t>
  </si>
  <si>
    <t xml:space="preserve">Josephine L. Dimla </t>
  </si>
  <si>
    <t>Donation to Denise Eve L. Dimla for her hospital bill</t>
  </si>
  <si>
    <t xml:space="preserve">Liezel B. Morales </t>
  </si>
  <si>
    <t>Donation to Francine Althea B. Morales for her hospital bill</t>
  </si>
  <si>
    <t xml:space="preserve">Consolacion S. Campomanes </t>
  </si>
  <si>
    <t>Donation to Francess Camille C. Tolentino for her hospital bill</t>
  </si>
  <si>
    <t xml:space="preserve">Vanessa S. Guzman </t>
  </si>
  <si>
    <t>Donation to Reign S. Guzman for his medical needs</t>
  </si>
  <si>
    <t>Donation to Christopher M. De Lara for his medical needs</t>
  </si>
  <si>
    <t xml:space="preserve">Marieta Fernandez </t>
  </si>
  <si>
    <t>Donation to Antonio M. Fernandez Sr. for his burial expenses</t>
  </si>
  <si>
    <t>Donation to Isabel F. Daquiz for her burial expenses</t>
  </si>
  <si>
    <t xml:space="preserve">Noel Pascual </t>
  </si>
  <si>
    <t>Donation to Nora A. Pascual for her burial expenses</t>
  </si>
  <si>
    <t xml:space="preserve">Maricel dela Cruz </t>
  </si>
  <si>
    <t>Donation to Prince Angelo D. Toraliza for his burial expenses</t>
  </si>
  <si>
    <t xml:space="preserve">Alicia Tuazon </t>
  </si>
  <si>
    <t>Donation to Felicidad B. Belchez for her burial expenses</t>
  </si>
  <si>
    <t xml:space="preserve">Myrine Agudelo </t>
  </si>
  <si>
    <t>Donation to Merlinda G. Gallardo for her hospital bill</t>
  </si>
  <si>
    <t xml:space="preserve">Avelina Pinto </t>
  </si>
  <si>
    <t xml:space="preserve">Imelda Adraneda </t>
  </si>
  <si>
    <t>Donation Allen C. Adraneda for his medical needs</t>
  </si>
  <si>
    <t xml:space="preserve">Julyfel Sarmiento </t>
  </si>
  <si>
    <t>Donation to Irvin Yhazel S. Agustin for his medical needs</t>
  </si>
  <si>
    <t xml:space="preserve">Joan Sequitin </t>
  </si>
  <si>
    <t>Donation to Celso P. Sequitin for his medical needs</t>
  </si>
  <si>
    <t xml:space="preserve">Francis Marylin Alonzo </t>
  </si>
  <si>
    <t>Donation to Claro D. Alonzo for her hospital bill</t>
  </si>
  <si>
    <t xml:space="preserve">Metchelie Marteja </t>
  </si>
  <si>
    <t>Donation to Diana Me V. Marteja for her hospital bill</t>
  </si>
  <si>
    <t xml:space="preserve">Mary Rose Bautista </t>
  </si>
  <si>
    <t xml:space="preserve">Marie Cristine Guiling </t>
  </si>
  <si>
    <t>Donation to CHRISTIAN lEE G. Simbol for his hospital bill</t>
  </si>
  <si>
    <t xml:space="preserve">Arthur de Vera </t>
  </si>
  <si>
    <t xml:space="preserve">Merle Concepcion </t>
  </si>
  <si>
    <t>Donation to Rodolfo F. Conception for medical needs</t>
  </si>
  <si>
    <t xml:space="preserve">Virginia Ramos </t>
  </si>
  <si>
    <t>Donation to Jaysel R. Remorin for his medical needs</t>
  </si>
  <si>
    <t xml:space="preserve">Rosario dela Cruz </t>
  </si>
  <si>
    <t xml:space="preserve">Ma. Elaine Nohay </t>
  </si>
  <si>
    <t>DEonation to Client for her medical needs</t>
  </si>
  <si>
    <t xml:space="preserve">Veronica Returban </t>
  </si>
  <si>
    <t xml:space="preserve">Mark Anthony Pascual </t>
  </si>
  <si>
    <t>Donation to Kenneth G. Pascual for his medical needs</t>
  </si>
  <si>
    <t xml:space="preserve">Paola Kristene Belleza </t>
  </si>
  <si>
    <t xml:space="preserve">Clarisse Concesa Cuevas </t>
  </si>
  <si>
    <t>Donation to Dariuz Sebastian A. Cuevas for his medical needs</t>
  </si>
  <si>
    <t xml:space="preserve">Mary Ann Mercado </t>
  </si>
  <si>
    <t>Donation to Elryan Joseph M. Diwa for his medical needs</t>
  </si>
  <si>
    <t>Donation to Charles D. Diones for his medical needs</t>
  </si>
  <si>
    <t xml:space="preserve">Felisa Dionela </t>
  </si>
  <si>
    <t>Donation to Edgardo T. Dionela for his medical needs</t>
  </si>
  <si>
    <t xml:space="preserve">Rhodora Lacanilao </t>
  </si>
  <si>
    <t xml:space="preserve">Elena Montibon </t>
  </si>
  <si>
    <t>Donation to Jessie A. Montibon for his medical needs</t>
  </si>
  <si>
    <t xml:space="preserve">Lawrence de Lara </t>
  </si>
  <si>
    <t>Donation to Crisanto D. Hermina for his medical needs</t>
  </si>
  <si>
    <t xml:space="preserve">Carmelito Marin </t>
  </si>
  <si>
    <t>Donation to Liwanag T. Marin for her medical needs</t>
  </si>
  <si>
    <t xml:space="preserve">Dolly Jacobe </t>
  </si>
  <si>
    <t>Donation to Gregor H. Jacobe for his medical needs</t>
  </si>
  <si>
    <t>Donation to Brian J. Tuazon for her medical needs</t>
  </si>
  <si>
    <t xml:space="preserve">Loreta Gonzales </t>
  </si>
  <si>
    <t>Donation to Alexander P. Menta for his medical needs</t>
  </si>
  <si>
    <t xml:space="preserve">Marlyn Alosos </t>
  </si>
  <si>
    <t>Donation to Rolando M Mangaliman for his medical needs</t>
  </si>
  <si>
    <t xml:space="preserve">Melanie Cortez </t>
  </si>
  <si>
    <t xml:space="preserve">Julie Ibasco </t>
  </si>
  <si>
    <t xml:space="preserve">Lorena Boniquit </t>
  </si>
  <si>
    <t xml:space="preserve">Esmeralda de Ocampo </t>
  </si>
  <si>
    <t>Donation to Hermando A. De Ocampo for his hospital bill</t>
  </si>
  <si>
    <t xml:space="preserve">Ara Nisay </t>
  </si>
  <si>
    <t>Donation to Arturo E. Nisay for his hospital bill</t>
  </si>
  <si>
    <t>Donation to Lourdes S. Serrano for her medical needs</t>
  </si>
  <si>
    <t xml:space="preserve">Severino S. Licardos </t>
  </si>
  <si>
    <t>Donation to Mary Ann Licaros for her hospital bill</t>
  </si>
  <si>
    <t xml:space="preserve">Reymar D. Jarical </t>
  </si>
  <si>
    <t>Donation to Rheyanna Peralta for her hospital bill</t>
  </si>
  <si>
    <t>Donation to Editha R. Dela Peña for her hospital bill</t>
  </si>
  <si>
    <t xml:space="preserve">Ma. Vivian V. Capuli </t>
  </si>
  <si>
    <t>Donation to Orlando V. Bartolo for his burial expenses</t>
  </si>
  <si>
    <t xml:space="preserve">Regine Marie A. Ebueng </t>
  </si>
  <si>
    <t>Donation to Regine A. Ebueng for her burial expenses</t>
  </si>
  <si>
    <t xml:space="preserve">Edwin V. Biri </t>
  </si>
  <si>
    <t xml:space="preserve">Salvador III R. Torres </t>
  </si>
  <si>
    <t xml:space="preserve">Juneliza Z. Castillo </t>
  </si>
  <si>
    <t xml:space="preserve">Lhea B. Saldaña </t>
  </si>
  <si>
    <t xml:space="preserve">Estelita A. Sagay </t>
  </si>
  <si>
    <t xml:space="preserve">Jerby P. Vea </t>
  </si>
  <si>
    <t>Donation to Alfonso C. Vea for his medical needs</t>
  </si>
  <si>
    <t>Donation to Wilfredo M. Canimo for his medical needs</t>
  </si>
  <si>
    <t xml:space="preserve">Naome C. Sarmiento </t>
  </si>
  <si>
    <t>Donation to Emilianio O. Cura for her medical needs</t>
  </si>
  <si>
    <t>28th PArtial payment of package training expenses for the provincial wide Brgy Disaster Risk Reduction Education &amp; emeregency medical first responder</t>
  </si>
  <si>
    <t xml:space="preserve">Eden V. Galang </t>
  </si>
  <si>
    <t>Donation to Purita V. Cajilig for her burial expenses</t>
  </si>
  <si>
    <t xml:space="preserve">Adelia V. Medina </t>
  </si>
  <si>
    <t>Donation to Clarisse M. Bongco for her hospital bill</t>
  </si>
  <si>
    <t>Donation to Marilou L. Bundalian and Matt Jarette C. Bundalian for their hospital bill</t>
  </si>
  <si>
    <t>Donation to Miguel Harvie M. Batulayan for his hospital bill</t>
  </si>
  <si>
    <t xml:space="preserve">Isabella F. Abella </t>
  </si>
  <si>
    <t>Donation to Virgilio Bayani A. Abella for his hospital bill</t>
  </si>
  <si>
    <t>Donation to Jessy Heart A. Villazor for her hospital bill</t>
  </si>
  <si>
    <t>Donation to Librada S. Salandanan for her medical needs</t>
  </si>
  <si>
    <t>Donation to Aladin V. Banzon for his medical needs</t>
  </si>
  <si>
    <t xml:space="preserve">Virginia S. Mirania </t>
  </si>
  <si>
    <t>Donation to Ricardo V. Miranda for his medical needs</t>
  </si>
  <si>
    <t xml:space="preserve">Maria Jesusa C. Acosta </t>
  </si>
  <si>
    <t>Donation to Harold Prince C. Acosta for his medical needs</t>
  </si>
  <si>
    <t xml:space="preserve">Melvin Navarro </t>
  </si>
  <si>
    <t>Donation to Allen Jordan C. Navarro for his burial expenses</t>
  </si>
  <si>
    <t xml:space="preserve">Nikka Tanarte </t>
  </si>
  <si>
    <t>Donation to Jovelyn B. Manalili for her hospital bill</t>
  </si>
  <si>
    <t xml:space="preserve">Crisanto Ponte </t>
  </si>
  <si>
    <t>Donation to Rose Ahnn V. Tagle for her hospital bill</t>
  </si>
  <si>
    <t xml:space="preserve">Froilan Guevarra </t>
  </si>
  <si>
    <t>Donation to Mary Joy T. Guevarra for her hospital bill</t>
  </si>
  <si>
    <t xml:space="preserve">Lucia Limpin </t>
  </si>
  <si>
    <t>Donation to Marietta B. Gonzales for her hospital bill</t>
  </si>
  <si>
    <t xml:space="preserve">Carmelita Sumido </t>
  </si>
  <si>
    <t>Donation to Alexis S. Sumido for her hospital bill</t>
  </si>
  <si>
    <t>Donation to Elvira S. Dela Cruz for her hospital bill</t>
  </si>
  <si>
    <t xml:space="preserve">Jan David de Leon </t>
  </si>
  <si>
    <t>Donation to Joselito O. De Leon for his hospital bill</t>
  </si>
  <si>
    <t xml:space="preserve">Roselyn Acuan </t>
  </si>
  <si>
    <t>Donation to Rosario R. Singca for her hospital bill</t>
  </si>
  <si>
    <t xml:space="preserve">Aleja Domnique B. Dela Rosa </t>
  </si>
  <si>
    <t>Donation to Dominga D. Agapito for her hospital bill</t>
  </si>
  <si>
    <t xml:space="preserve">Mirram B. Jardin </t>
  </si>
  <si>
    <t>Donation to Carlito B. Bautista for his hospital bill</t>
  </si>
  <si>
    <t>Donation to Nora A. Medina for her hospital bill</t>
  </si>
  <si>
    <t xml:space="preserve">Merlyn D. Almario </t>
  </si>
  <si>
    <t xml:space="preserve">Rheane V. Sanchez </t>
  </si>
  <si>
    <t>Donation to Mark Brixter V. Sanchez for his medical needs</t>
  </si>
  <si>
    <t xml:space="preserve">Anna Liza Paje </t>
  </si>
  <si>
    <t>Donation to Marino S. Paje Jr. for his medical needs</t>
  </si>
  <si>
    <t xml:space="preserve">Ariel S. Lopez </t>
  </si>
  <si>
    <t>Donation to Rui Amarah L. Lopez for her medical needs</t>
  </si>
  <si>
    <t xml:space="preserve">Ace S. Mistica </t>
  </si>
  <si>
    <t>Donation to Merlita N. Gutierrez for her hospital bill</t>
  </si>
  <si>
    <t xml:space="preserve">Emily A. Espinoza </t>
  </si>
  <si>
    <t>Donation to Aira Shevel R. Bermudez for her hospital bill</t>
  </si>
  <si>
    <t xml:space="preserve">Vilma M. Crotez </t>
  </si>
  <si>
    <t xml:space="preserve">Jee-Anne A. Labios </t>
  </si>
  <si>
    <t>ANNE A. LABIOS - Donation to Kaye Addyson A. Labios for her medical needs</t>
  </si>
  <si>
    <t xml:space="preserve">Jonelyn D. Reyes </t>
  </si>
  <si>
    <t>Donation to Jinky D. Reyes for her hospital bill</t>
  </si>
  <si>
    <t xml:space="preserve">Christian Dave G. Javier </t>
  </si>
  <si>
    <t>Donation to Isaac Dave O. Javier for his medical needs</t>
  </si>
  <si>
    <t xml:space="preserve">Glysadel Regalado </t>
  </si>
  <si>
    <t>Donation to Gael R. Martinez for his burial expenses</t>
  </si>
  <si>
    <t xml:space="preserve">Juhn Bugarin </t>
  </si>
  <si>
    <t>Donation to Virgilio S. Bugarin for his burial expenses</t>
  </si>
  <si>
    <t xml:space="preserve">Saturnino Adriales </t>
  </si>
  <si>
    <t>Donation to Beatriz A. Adrianes for her burial expenses</t>
  </si>
  <si>
    <t xml:space="preserve">Shiela Zulueta </t>
  </si>
  <si>
    <t>Donation to Alfredo N. Dela Cruz for his burial expenses</t>
  </si>
  <si>
    <t xml:space="preserve">Rae Levin Flores </t>
  </si>
  <si>
    <t>Donation to Joyce Z. Flores and Raenja Z. Flores for their hospital bill</t>
  </si>
  <si>
    <t xml:space="preserve">Joycel Anillo </t>
  </si>
  <si>
    <t>Donation to Pepito S. Anillo for his hospital bill</t>
  </si>
  <si>
    <t xml:space="preserve">Emiliano Carpio </t>
  </si>
  <si>
    <t>Dontaion to Client for his medical needs</t>
  </si>
  <si>
    <t xml:space="preserve">Shirley Estolatan </t>
  </si>
  <si>
    <t>Donation to Michael S. Estolatan for his medical needs</t>
  </si>
  <si>
    <t xml:space="preserve">Nerisa Matawaran </t>
  </si>
  <si>
    <t>Donation to Rhyzah Mae M. Reyes for her hospital bill</t>
  </si>
  <si>
    <t xml:space="preserve">Edith fajardo </t>
  </si>
  <si>
    <t>Donation to Eduardo C. Paguio for his hospital bill</t>
  </si>
  <si>
    <t xml:space="preserve">Angel Rose Abello </t>
  </si>
  <si>
    <t>Donation to Domarie Rose M. Urmatan for her hospital bill</t>
  </si>
  <si>
    <t xml:space="preserve">Alfredo Mayoralgo </t>
  </si>
  <si>
    <t>Donation to Nona R. Mayoralgo for her hospital bill</t>
  </si>
  <si>
    <t xml:space="preserve">Mara Madilyn dominguez </t>
  </si>
  <si>
    <t>Donation to Kit Jydn Dominguez for his hospital bill</t>
  </si>
  <si>
    <t xml:space="preserve">May Banzon </t>
  </si>
  <si>
    <t>Donation to Mikael B. Nava for his hospital bill</t>
  </si>
  <si>
    <t xml:space="preserve">Coney Enriquez </t>
  </si>
  <si>
    <t>Donation to Mon Alvin O. Enriquez for medical needs</t>
  </si>
  <si>
    <t xml:space="preserve">Liza Bino </t>
  </si>
  <si>
    <t>Donation to Mylene D. Bruno for her medical needs</t>
  </si>
  <si>
    <t xml:space="preserve">Maria Luisa Florentino </t>
  </si>
  <si>
    <t>Donation to Efren M. Marquez for his medical needs</t>
  </si>
  <si>
    <t xml:space="preserve">Cindy Dela Cruz </t>
  </si>
  <si>
    <t>Donation to Carmelita S. Dela Cruz for her medical needs</t>
  </si>
  <si>
    <t xml:space="preserve">Adelaida Pineda  </t>
  </si>
  <si>
    <t>Donation to Jerry H. Pineda for his medical needs</t>
  </si>
  <si>
    <t xml:space="preserve">Elena Angeles </t>
  </si>
  <si>
    <t>Donation to Reynaldo C. Angeles for her medical needs</t>
  </si>
  <si>
    <t>Meals to be used for Camp Coordination and Management Training on July 4-7, 2022 at 1Bataan Command Center (Training Center)</t>
  </si>
  <si>
    <t>Donation to Vivian R. Tiangco for his medical needs</t>
  </si>
  <si>
    <t xml:space="preserve">Blank Sand Beach Resort </t>
  </si>
  <si>
    <t>Trainer's ccomodation for Skills Training on August 1-5, 2022 in Bagac, Bataan</t>
  </si>
  <si>
    <t xml:space="preserve">Cindy S. Santos </t>
  </si>
  <si>
    <t>Donation to Edgardo D. Santos for his medical needs</t>
  </si>
  <si>
    <t xml:space="preserve">Maribel A. Reyes </t>
  </si>
  <si>
    <t>Donation to John Paul A. Reyes for his medical needs</t>
  </si>
  <si>
    <t>Donation to Christopher S. Rubiano for his medical needs</t>
  </si>
  <si>
    <t xml:space="preserve">Alma G. Lagman </t>
  </si>
  <si>
    <t>Donation to Danilo P. Guanzon for his medical needs</t>
  </si>
  <si>
    <t xml:space="preserve">Lita D. Tria </t>
  </si>
  <si>
    <t>Donation to Client for hwer medical needs</t>
  </si>
  <si>
    <t xml:space="preserve">Angelina A. Romero </t>
  </si>
  <si>
    <t>Donation to Cesar R. Cañiza for his medical needs</t>
  </si>
  <si>
    <t xml:space="preserve">Mary Jane C. Abelgas </t>
  </si>
  <si>
    <t>Donation to John Marc C. Abelgas for his medical needs</t>
  </si>
  <si>
    <t xml:space="preserve">Adelaida P. Reyes </t>
  </si>
  <si>
    <t xml:space="preserve">Mariella G. Paguio </t>
  </si>
  <si>
    <t>Donation to Melody Paguio and Jiles Mellieah P. Obra for their hospital bill</t>
  </si>
  <si>
    <t xml:space="preserve">Raymond D. Vinzon </t>
  </si>
  <si>
    <t>Donation to Abegail Vinzon for her hospital bill</t>
  </si>
  <si>
    <t xml:space="preserve">Raul M. Santiago </t>
  </si>
  <si>
    <t xml:space="preserve">Jocelyn R. Sayas </t>
  </si>
  <si>
    <t>Donation to Jaime S. Sayas for his hospital bill</t>
  </si>
  <si>
    <t xml:space="preserve">Elizabeth G. Labrador </t>
  </si>
  <si>
    <t>Donation to Jezra G. Labrador for her hospital bill</t>
  </si>
  <si>
    <t>Donation to Jesus S. Agranum for his hospital bill</t>
  </si>
  <si>
    <t xml:space="preserve">Mary Ann C. Garcia </t>
  </si>
  <si>
    <t>Donation to Ireneo L. Cantero for his burial expenses</t>
  </si>
  <si>
    <t xml:space="preserve">Sherry Jane L. Matic </t>
  </si>
  <si>
    <t>Donation to Adoracion A. Matic for her burial expenses</t>
  </si>
  <si>
    <t xml:space="preserve">Lorna M. Guila </t>
  </si>
  <si>
    <t>Donation to Maxime Rae D. Guila for her hospital bill</t>
  </si>
  <si>
    <t>Donation to Milagros C. De Leon for her hospital bill</t>
  </si>
  <si>
    <t xml:space="preserve">Manilyn G. Española </t>
  </si>
  <si>
    <t>Donation to Marianne G. Visda and Luna Regina G. Visada for their hospital bill</t>
  </si>
  <si>
    <t>Donation to Shayne R. Sablan ang John Zaccheus R. Sablan for their hospital bill</t>
  </si>
  <si>
    <t xml:space="preserve">Armando S. Reyes </t>
  </si>
  <si>
    <t>Donation to Remigio M. Reyes for his hospital bill</t>
  </si>
  <si>
    <t xml:space="preserve">Agnes I. Conocido </t>
  </si>
  <si>
    <t>Donation to John Edgar I. Conicido for his hospital bill</t>
  </si>
  <si>
    <t xml:space="preserve">Glenn N. Velasco </t>
  </si>
  <si>
    <t>Donation to Soledad N. Velasco for her hospital bill</t>
  </si>
  <si>
    <t xml:space="preserve">Ysabel Dominique S. Labampa </t>
  </si>
  <si>
    <t>Donation to Renato C. Labampa for his hospital bill</t>
  </si>
  <si>
    <t xml:space="preserve">Joel C. Dela Cruz </t>
  </si>
  <si>
    <t>Donation to Celso C. Dela Cruz for his hospital bill</t>
  </si>
  <si>
    <t xml:space="preserve">Susan S. Alonzo </t>
  </si>
  <si>
    <t>Donation to Daniel Jr. S. Alonzo for his hospital bill</t>
  </si>
  <si>
    <t xml:space="preserve">Ma. Fe B. Almodal </t>
  </si>
  <si>
    <t>Donation to Rogie B. Almodal for her hospital bill</t>
  </si>
  <si>
    <t xml:space="preserve">Susana A. Ayana </t>
  </si>
  <si>
    <t>Donation to Milaña A. Lopez for her medical needs</t>
  </si>
  <si>
    <t xml:space="preserve">Evelyn B. Manzano </t>
  </si>
  <si>
    <t>Donation to Lam Zhen Lei P. Manzano for his medical needs</t>
  </si>
  <si>
    <t xml:space="preserve">Carmelita O. Pastelero </t>
  </si>
  <si>
    <t>Donation to Gilbert A. Pastelero for his medical needs</t>
  </si>
  <si>
    <t>Donation to Michelle P. Crisostomo for her medical needs</t>
  </si>
  <si>
    <t xml:space="preserve">Mercilinda C. Agaloos </t>
  </si>
  <si>
    <t>Donation to Rodolfo T. Agaloos for her medical needs</t>
  </si>
  <si>
    <t xml:space="preserve">Cecilia S. Flores </t>
  </si>
  <si>
    <t>Donatio to Danilo B. Flores for her medical needs</t>
  </si>
  <si>
    <t xml:space="preserve">Roger O. Tinao </t>
  </si>
  <si>
    <t>Donation to Rhodora T. Talastas for her medical needs</t>
  </si>
  <si>
    <t xml:space="preserve">Evangeline A. Nuñez </t>
  </si>
  <si>
    <t>Donation to Marilou A. Nuñez for her hospital bill</t>
  </si>
  <si>
    <t>Donation to Marilou M. Paguio for her hospital bill</t>
  </si>
  <si>
    <t xml:space="preserve">Alexander S. Flores </t>
  </si>
  <si>
    <t>Donation to Joycelyn D. Flores and Alexa Francine D. Flores for their hospital bill</t>
  </si>
  <si>
    <t xml:space="preserve">Zenaida P. Santos </t>
  </si>
  <si>
    <t>Donation to Zenaida V. De Jesus for her medical needs</t>
  </si>
  <si>
    <t xml:space="preserve">Ricelle L. Roman </t>
  </si>
  <si>
    <t>Donation to Clark Kent S. Roman for his medical needs</t>
  </si>
  <si>
    <t xml:space="preserve">Valerie T. Javier </t>
  </si>
  <si>
    <t>Donation to James Viktor T. Javier for his medical needs</t>
  </si>
  <si>
    <t xml:space="preserve">Jeanie L. Pablo </t>
  </si>
  <si>
    <t>Donation to Avelina L. Pablo for her medical needs</t>
  </si>
  <si>
    <t xml:space="preserve">Divina C. Manio </t>
  </si>
  <si>
    <t>Donation to Ricarte Manio for his medical needs</t>
  </si>
  <si>
    <t xml:space="preserve">Maricris E. Gaspar </t>
  </si>
  <si>
    <t>Donation to Christian Iver Gaspar for his medical needs</t>
  </si>
  <si>
    <t xml:space="preserve">Nancy D. Sabello </t>
  </si>
  <si>
    <t>Donation to Rodolfo P. Reynido for his hospital bill</t>
  </si>
  <si>
    <t xml:space="preserve">Oliver S. Oliganga </t>
  </si>
  <si>
    <t>Donation to Elena S. Oliganga for her hospital bill</t>
  </si>
  <si>
    <t xml:space="preserve">Ginafe L. Bunga </t>
  </si>
  <si>
    <t>Donation to Jose T. Bunag for his medical needs</t>
  </si>
  <si>
    <t xml:space="preserve">Elizabeth D. Sunga </t>
  </si>
  <si>
    <t>Donation to Alvin S. Singca for his medical needs</t>
  </si>
  <si>
    <t>Donation to Joseph Matawaran for his medical needs</t>
  </si>
  <si>
    <t xml:space="preserve">Ryan Chester G. Bantay </t>
  </si>
  <si>
    <t xml:space="preserve">Susan S. Dizon </t>
  </si>
  <si>
    <t>Donation to Raul G. Dizon for his medical needs</t>
  </si>
  <si>
    <t xml:space="preserve">Maria Feliza Gracia M. Paduada </t>
  </si>
  <si>
    <t>Donation to Gabriel M. Paduada for his medical needs</t>
  </si>
  <si>
    <t xml:space="preserve">Victorino M. Layug </t>
  </si>
  <si>
    <t xml:space="preserve">Rochelle Ruiz </t>
  </si>
  <si>
    <t>Donation to Cecilla D. Ruiz for her hospital bill</t>
  </si>
  <si>
    <t xml:space="preserve">Nancy Balbuena </t>
  </si>
  <si>
    <t>Donationto Paul Michael R. Balbuena for his hospital bill</t>
  </si>
  <si>
    <t xml:space="preserve">Mary Ann Ramos </t>
  </si>
  <si>
    <t>Donation to Blizaldo F. Ramos for her hospital bill</t>
  </si>
  <si>
    <t xml:space="preserve">Reynante Chabian </t>
  </si>
  <si>
    <t xml:space="preserve">Imelda Tualla </t>
  </si>
  <si>
    <t>Donation to Marcelo C. Magcalas for her medical needs</t>
  </si>
  <si>
    <t>Donation to Clarissa T. Pajares for her hospital bill</t>
  </si>
  <si>
    <t>Donation to Myrna P. Ariola for her hospital bill</t>
  </si>
  <si>
    <t xml:space="preserve">Lanie Gualberto </t>
  </si>
  <si>
    <t>Donation to Jamaica L. Gualberto for her medical needs</t>
  </si>
  <si>
    <t xml:space="preserve">Ronald Cura </t>
  </si>
  <si>
    <t>Donation to Jose A. Cura for his medical needs</t>
  </si>
  <si>
    <t xml:space="preserve">Rhea Patricio </t>
  </si>
  <si>
    <t>Donation to Delia V. Diwa for her medical needs</t>
  </si>
  <si>
    <t xml:space="preserve">Eveltn Marzano </t>
  </si>
  <si>
    <t xml:space="preserve">Jade Carlyn Hernandez </t>
  </si>
  <si>
    <t>Donation to Leonel M. Hernandez for his burial expenses</t>
  </si>
  <si>
    <t xml:space="preserve">Peter C. Corpuz </t>
  </si>
  <si>
    <t xml:space="preserve">Jennifer R. Ramirez </t>
  </si>
  <si>
    <t>Donation to Domingo J. Ramirez for his medical needs</t>
  </si>
  <si>
    <t xml:space="preserve">Rolando Jr. L. Ogahayon </t>
  </si>
  <si>
    <t>Donation to Jan Vier L. Ogahayon for his medical needs</t>
  </si>
  <si>
    <t xml:space="preserve">Jesu M. Pajarin </t>
  </si>
  <si>
    <t>Donation to Rodolfo D. Pajarin for his medical needs</t>
  </si>
  <si>
    <t xml:space="preserve">Elizabeth R. Abueva </t>
  </si>
  <si>
    <t xml:space="preserve">Evelyn B. Salonga </t>
  </si>
  <si>
    <t>Donation to Aldrin V. Salonga for his hospital bill</t>
  </si>
  <si>
    <t xml:space="preserve">Eva Y. Dela Cruz </t>
  </si>
  <si>
    <t xml:space="preserve">Liezel D. Manrique </t>
  </si>
  <si>
    <t>Donation to Luissa D. Manrique for his burial expenses</t>
  </si>
  <si>
    <t xml:space="preserve">Ryan D. Pastor </t>
  </si>
  <si>
    <t>Donation to Rodrigo R. Pastor for his hospital bill</t>
  </si>
  <si>
    <t xml:space="preserve">Alvin Rey C. Crisostomo </t>
  </si>
  <si>
    <t>Donation to Amelita C. Crisostomo for her burial expenses</t>
  </si>
  <si>
    <t xml:space="preserve">Angelou Nicole D. Arquero </t>
  </si>
  <si>
    <t>Donation to Janaya Rexie L. Perez for her hospital bill</t>
  </si>
  <si>
    <t xml:space="preserve">Analyn M. Reposala </t>
  </si>
  <si>
    <t>Donation to Belinda D. Mabalay for her medical needs</t>
  </si>
  <si>
    <t xml:space="preserve">Miriam G. De Jesus </t>
  </si>
  <si>
    <t xml:space="preserve">Susana R. Cortez </t>
  </si>
  <si>
    <t xml:space="preserve">Grace B. Layola </t>
  </si>
  <si>
    <t>Donation to Gloria H. Bugay for her hospital bill</t>
  </si>
  <si>
    <t xml:space="preserve">Dilano T. Rey Hipolito </t>
  </si>
  <si>
    <t>Donation to Virgilio C. Payongayong for his hospital bill</t>
  </si>
  <si>
    <t>Donation to Reynaldo A. Facundo for his medical needs</t>
  </si>
  <si>
    <t xml:space="preserve">Leonida B. Valencia </t>
  </si>
  <si>
    <t>Donation to Caroline B. Valencia for her burial expenses</t>
  </si>
  <si>
    <t xml:space="preserve">George F. Daza </t>
  </si>
  <si>
    <t>Donation to Guillermo D. Daza for his medical needs and hospital bill</t>
  </si>
  <si>
    <t xml:space="preserve">Mandy D. Magtanong </t>
  </si>
  <si>
    <t>Donation to Villamor C. Magtanong for his medical needs</t>
  </si>
  <si>
    <t xml:space="preserve">Evelyn C. Ortiz </t>
  </si>
  <si>
    <t xml:space="preserve">Jemelyn L. Morante </t>
  </si>
  <si>
    <t>Donation to Jose B. Lalican for his burial expenses</t>
  </si>
  <si>
    <t xml:space="preserve">Maria Fe B. Borja </t>
  </si>
  <si>
    <t>Donation to Jefferson B. Borja for his burial expenses</t>
  </si>
  <si>
    <t xml:space="preserve">Carl Daniel R. Dela Peña </t>
  </si>
  <si>
    <t>Donation to Leila R. Dela Peña for her burial expenses</t>
  </si>
  <si>
    <t xml:space="preserve">Normita S. Nicdao </t>
  </si>
  <si>
    <t>Donation to Aquilino S. Nicdao Jr. for his hospital bill</t>
  </si>
  <si>
    <t xml:space="preserve">Lolita C. Gonzales </t>
  </si>
  <si>
    <t>Donation to Bryan D. Gacayan for his hospital bill</t>
  </si>
  <si>
    <t xml:space="preserve">Christopher Ian J. De Jesus </t>
  </si>
  <si>
    <t>Donation to Christ Zeus C. De Jesus for his hospital bill</t>
  </si>
  <si>
    <t xml:space="preserve">Violeta D. Aldoc </t>
  </si>
  <si>
    <t>Donation to Rolando M. Aldoc for his medical needs</t>
  </si>
  <si>
    <t xml:space="preserve">Azineth K-Doll Villalobos </t>
  </si>
  <si>
    <t>Donation to Isis Adrienne Gayle Villalobos for her hospital bill</t>
  </si>
  <si>
    <t xml:space="preserve">Nerissa Urbina </t>
  </si>
  <si>
    <t>Donation to Esperanza Morales for her hospital bill</t>
  </si>
  <si>
    <t xml:space="preserve">Carmela Sampang </t>
  </si>
  <si>
    <t>Donation to Angelina Sampang for her hospital bill</t>
  </si>
  <si>
    <t xml:space="preserve">Marella Mossesgeld </t>
  </si>
  <si>
    <t>Donation to John Al Jerome Mossesgeld for his hospital bill and medical needs</t>
  </si>
  <si>
    <t xml:space="preserve">Raquel Baluyot </t>
  </si>
  <si>
    <t>Donation to Avelina Baluyot for her medical needs</t>
  </si>
  <si>
    <t xml:space="preserve">Charisse Mae Magat </t>
  </si>
  <si>
    <t>Donation to Khristnamurti Honrada Magat for his medical needs</t>
  </si>
  <si>
    <t>Donation to Ma. Liza Magat for her medical needs</t>
  </si>
  <si>
    <t xml:space="preserve">Glezzy Peran </t>
  </si>
  <si>
    <t>Donation to Josefina Canoza for her hospital bill</t>
  </si>
  <si>
    <t xml:space="preserve">Jerson Panesa </t>
  </si>
  <si>
    <t>Donation to Elvira Panesa for her hospital bill</t>
  </si>
  <si>
    <t xml:space="preserve">Melody Basi </t>
  </si>
  <si>
    <t>Donation to Eduardo Basi for his hospital bill</t>
  </si>
  <si>
    <t xml:space="preserve">Julie Ann de Vega </t>
  </si>
  <si>
    <t>Donation to Lucena Derla for her hospital bill</t>
  </si>
  <si>
    <t xml:space="preserve">Bernadette Vianzon </t>
  </si>
  <si>
    <t>Donation to Angel Vianzon for his medical needs</t>
  </si>
  <si>
    <t>Donation to Jayrus Gregorio for his medical needs</t>
  </si>
  <si>
    <t>Donation to Tobias Isaac E. Rillon for his medical needs</t>
  </si>
  <si>
    <t xml:space="preserve">Rona F. Medina </t>
  </si>
  <si>
    <t>Donation to Francheska Denise F. Medina for her medical needs</t>
  </si>
  <si>
    <t xml:space="preserve">Arvinelle P. Tañgi </t>
  </si>
  <si>
    <t>Donation to Lolita Tañgi for he medical needs</t>
  </si>
  <si>
    <t xml:space="preserve">Vilma C. Sto. Domingo </t>
  </si>
  <si>
    <t>Donation to Mary Ann Sto. Domingo for her medical needs</t>
  </si>
  <si>
    <t xml:space="preserve">Sherwin R. Quiroz </t>
  </si>
  <si>
    <t>Donation to Dylan Clyde Quiroz for his medical needs</t>
  </si>
  <si>
    <t xml:space="preserve">Mary Anne R. Sampang </t>
  </si>
  <si>
    <t>Donation to Baby Racca for her medical needs</t>
  </si>
  <si>
    <t xml:space="preserve">Elizabeth C. Dizon </t>
  </si>
  <si>
    <t>Donation to Flordeliza Dizon for her medical needs</t>
  </si>
  <si>
    <t xml:space="preserve">Victorina A. Villoria </t>
  </si>
  <si>
    <t xml:space="preserve">Yuditha C. Manio </t>
  </si>
  <si>
    <t xml:space="preserve">Joycel T. Baun </t>
  </si>
  <si>
    <t>Donation to Leopoldo Baun for his burial expenses</t>
  </si>
  <si>
    <t xml:space="preserve">Kid Edison P. Sabado </t>
  </si>
  <si>
    <t>Donation to Alfedo Sabado Jr. for his burial expenses</t>
  </si>
  <si>
    <t xml:space="preserve">Helen B. Sevilla </t>
  </si>
  <si>
    <t xml:space="preserve">Elfie S. Buensuceso </t>
  </si>
  <si>
    <t>Donation to Estrellita Sacdalan for her medical needs</t>
  </si>
  <si>
    <t xml:space="preserve">Conchita O. Alarcon </t>
  </si>
  <si>
    <t xml:space="preserve">Adoracion T. Perez </t>
  </si>
  <si>
    <t xml:space="preserve">Marjorie C. Dimaculangan </t>
  </si>
  <si>
    <t>Donation to Zach Kaizer Vigo forhis medical needs</t>
  </si>
  <si>
    <t xml:space="preserve">Mary Ann M. Quezon </t>
  </si>
  <si>
    <t>Donation to Mark Quezon for his medical needs</t>
  </si>
  <si>
    <t xml:space="preserve">Lester B. Sioco </t>
  </si>
  <si>
    <t xml:space="preserve">Merlita L. Bernales </t>
  </si>
  <si>
    <t xml:space="preserve">Ailyn C. Coronel </t>
  </si>
  <si>
    <t>Donation to Lino Coronel for his burial expenses</t>
  </si>
  <si>
    <t xml:space="preserve">Ramizes B. Fernandez </t>
  </si>
  <si>
    <t>Donation to Federico Fernandez for his burial expenses</t>
  </si>
  <si>
    <t xml:space="preserve">Maria Meliza D. Silvestre </t>
  </si>
  <si>
    <t>Donation to Jemiya Kyla O. Silvestre for her hospital bill</t>
  </si>
  <si>
    <t xml:space="preserve">Ma. Paz M. Solomon </t>
  </si>
  <si>
    <t xml:space="preserve">Melody Joy C. Flores </t>
  </si>
  <si>
    <t>Donation to Luisa Cruz for her hospital bill</t>
  </si>
  <si>
    <t xml:space="preserve">Loida A. Abrenica </t>
  </si>
  <si>
    <t>Donation to Federico Arligue for his burial expenses</t>
  </si>
  <si>
    <t xml:space="preserve">Kathleen Rose R. Viray </t>
  </si>
  <si>
    <t>Donation to Catalino Viray Jr. for his burial expenses</t>
  </si>
  <si>
    <t xml:space="preserve">Leoncio O. Rafael </t>
  </si>
  <si>
    <t xml:space="preserve">Eberlee P. Poncee </t>
  </si>
  <si>
    <t xml:space="preserve">Reynaldo C. Dionila </t>
  </si>
  <si>
    <t>Roberto N. Gonzales</t>
  </si>
  <si>
    <t>Donation to Philip N. Gonzales for his medical needs</t>
  </si>
  <si>
    <t>Vivian Cuaresma</t>
  </si>
  <si>
    <t>Donation to Nash Tyler C. Rodriguez for his medical needs</t>
  </si>
  <si>
    <t>Rowena Mariano</t>
  </si>
  <si>
    <t>Donation to Jiesel Kate Mariano for her hospital bill</t>
  </si>
  <si>
    <t>Riomil Conrad Santiago</t>
  </si>
  <si>
    <t>Donation to Rhoda Santiago for her hospital bill</t>
  </si>
  <si>
    <t>Joan Abrigo</t>
  </si>
  <si>
    <t>Donation to Myrna Ligon for her hospital bill</t>
  </si>
  <si>
    <t>Josephine Fajardo</t>
  </si>
  <si>
    <t>Donation to Rodolfo Fajardo for his hospital bill</t>
  </si>
  <si>
    <t>Edna Mallari</t>
  </si>
  <si>
    <t>Donation to Fermin Rodriquez for his hospital bill</t>
  </si>
  <si>
    <t>Jocelyn Castillo</t>
  </si>
  <si>
    <t>Donation to Danna Grace Castillo for her hospital bill</t>
  </si>
  <si>
    <t>Rosemarie Peñaflor</t>
  </si>
  <si>
    <t>Donation to George Peñaflor for his hospital bill</t>
  </si>
  <si>
    <t>Christine Joy Mendoza</t>
  </si>
  <si>
    <t>Donation to Chris Kenneth Mendoza for his hospital bill</t>
  </si>
  <si>
    <t>Niño Garrett Sacdalan</t>
  </si>
  <si>
    <t>Donation to Imelda Sacdalan for her hospital bill</t>
  </si>
  <si>
    <t>Paz Vivas</t>
  </si>
  <si>
    <t>Donation to Rovielyn Vicas for her hospital bill</t>
  </si>
  <si>
    <t>Mairene Rivera</t>
  </si>
  <si>
    <t>Donation to Ana Serrato for her hospital bill</t>
  </si>
  <si>
    <t>Carl Jayson Pantaleon</t>
  </si>
  <si>
    <t>Donation to Corazon D. Pantaleon and Cayen Jace D. Pantaleon for their hospital bill</t>
  </si>
  <si>
    <t>Joseph Sibug</t>
  </si>
  <si>
    <t>Donation to Jc S. Sibug for his hospital bill</t>
  </si>
  <si>
    <t>Reinz Jerriel Dela Cruz</t>
  </si>
  <si>
    <t>Donation to Jherenz Cyruz Dela Cruz for his hospital bill</t>
  </si>
  <si>
    <t>Emma Gatbonton</t>
  </si>
  <si>
    <t>Donation to Raul M. Castillo for his medical needs</t>
  </si>
  <si>
    <t>Emelita Serbon</t>
  </si>
  <si>
    <t>Marilou Ilano</t>
  </si>
  <si>
    <t>Donation to Edilito Ilano for his hospital bill</t>
  </si>
  <si>
    <t>Mica Particia Mañalac</t>
  </si>
  <si>
    <t>Donation to Jocelyn Mañalac for her hospital bill</t>
  </si>
  <si>
    <t>Kim Merly Sunga</t>
  </si>
  <si>
    <t>Donation to Angelita S. Nicodemus for her hospital bill</t>
  </si>
  <si>
    <t>Kenneth Brian Joe Perez</t>
  </si>
  <si>
    <t>Donation to Emalyn M. Cabuguin for her hospital bill</t>
  </si>
  <si>
    <t>Gemma Bagayan</t>
  </si>
  <si>
    <t>Donation to Maria Leonora V. Inocencio for her hospital bill</t>
  </si>
  <si>
    <t>Maricel Sibal</t>
  </si>
  <si>
    <t>Donation to Ethan S. Navarro for his hospital bill</t>
  </si>
  <si>
    <t>Christopher Tiangco Jr.</t>
  </si>
  <si>
    <t>Donation to Cyrus Liam J. Tiangco for his hospital bill</t>
  </si>
  <si>
    <t>Angeline Momo</t>
  </si>
  <si>
    <t>Norman Montibon</t>
  </si>
  <si>
    <t>Maoren Castro</t>
  </si>
  <si>
    <t>Donation to Florentino Jr. M. Castro forhis medical needs</t>
  </si>
  <si>
    <t>Desiree Bondoc</t>
  </si>
  <si>
    <t>Sharmaine Matawaran</t>
  </si>
  <si>
    <t>Donation to Gloria D. Matawaran for her medical needs</t>
  </si>
  <si>
    <t>Maria Lorena Lumabas</t>
  </si>
  <si>
    <t>Donation to Niel Allen P. Lumabas for her medical needs</t>
  </si>
  <si>
    <t>Annalie Villaruz</t>
  </si>
  <si>
    <t>Donation to Zacarias D. Villaruz Jr. for his medical needs</t>
  </si>
  <si>
    <t>Evelyn Garcia</t>
  </si>
  <si>
    <t>Endure Medical, Inc.</t>
  </si>
  <si>
    <t>Karen D. Encarnacion</t>
  </si>
  <si>
    <t>Donation to Marissa Ercarnacion for her burial expenses</t>
  </si>
  <si>
    <t>Pacita C. Buenaceda</t>
  </si>
  <si>
    <t>Donation to Kohbe Buenaceda for his burial expenses</t>
  </si>
  <si>
    <t>Neil S. Mendez</t>
  </si>
  <si>
    <t>Donation to Jennelyn Mendez for her burial expenses</t>
  </si>
  <si>
    <t>Donation to Marcos Jr. Tinao for his burial expenses</t>
  </si>
  <si>
    <t>Zaira T. Lopez</t>
  </si>
  <si>
    <t>Donation to Zaira Lopez for her hospital bill</t>
  </si>
  <si>
    <t>Teresita G. Velasquez</t>
  </si>
  <si>
    <t>Arturo V. Velasquez</t>
  </si>
  <si>
    <t>Brian R. De Mesa</t>
  </si>
  <si>
    <t>Edwin T. Noe</t>
  </si>
  <si>
    <t xml:space="preserve">Nerissa V. Gardose </t>
  </si>
  <si>
    <t xml:space="preserve">Francisco D. Lazarte </t>
  </si>
  <si>
    <t>Donation to Adoracion Paguia for her medical needs</t>
  </si>
  <si>
    <t xml:space="preserve">Ruena D. De Silva </t>
  </si>
  <si>
    <t>Donation to Dante De Silva for his hospital bill</t>
  </si>
  <si>
    <t>Donation to Rosalina Mendoza for her medical needs</t>
  </si>
  <si>
    <t xml:space="preserve">Cherry M. Iyo </t>
  </si>
  <si>
    <t>Donation to Joseph D. Mugar for his burial expenses</t>
  </si>
  <si>
    <t xml:space="preserve">Elvira M. Villegas </t>
  </si>
  <si>
    <t>Donation to Lourdes R. Mariano for his burial expenses</t>
  </si>
  <si>
    <t xml:space="preserve">Amalia D. Acosta </t>
  </si>
  <si>
    <t>Donation to Prudencio Dela Cruz for his burial expenses</t>
  </si>
  <si>
    <t xml:space="preserve">Rufina L. Acayan </t>
  </si>
  <si>
    <t xml:space="preserve">Rocky C. Preniano </t>
  </si>
  <si>
    <t xml:space="preserve">Belen A. Cabungcal </t>
  </si>
  <si>
    <t>Donation to NICK AIDEN C. GONZALES for his medical needs.</t>
  </si>
  <si>
    <t xml:space="preserve">Rosemarie M. Minta </t>
  </si>
  <si>
    <t>Donation to Thea Dizon for her medical needs</t>
  </si>
  <si>
    <t>Donation to Matheo Isaac Dizon fo her medical needs</t>
  </si>
  <si>
    <t>Alvin P. Benitez</t>
  </si>
  <si>
    <t>Nestor R. Pizarro</t>
  </si>
  <si>
    <t>Donation to Araceli R. Pizzaro for her hospital bill</t>
  </si>
  <si>
    <t>Winnie V. Sapallo</t>
  </si>
  <si>
    <t>DSonation to Ofelia S. Villegas for her medical needs</t>
  </si>
  <si>
    <t>Ronnie S. Escartin</t>
  </si>
  <si>
    <t>Donation to Ricardo S. Escartin for his burial expenses</t>
  </si>
  <si>
    <t>Rafael R. Tecson</t>
  </si>
  <si>
    <t>Donation to Eduardo A. Tecson for his burial expenses</t>
  </si>
  <si>
    <t>Julie L. Dela Cruz</t>
  </si>
  <si>
    <t>Donation to Leticia Lucio for her burial expenses</t>
  </si>
  <si>
    <t>Myrna F. Bucad</t>
  </si>
  <si>
    <t>Donation to Ferry Bucad for his burial expenses</t>
  </si>
  <si>
    <t>Sarah Jane M. Del Mundo</t>
  </si>
  <si>
    <t>Donation to Joyce Ann Mateo and Lourd Mykiell Casimiro for their hospital bill</t>
  </si>
  <si>
    <t>Celeste T. Siongco</t>
  </si>
  <si>
    <t>Donation to Jhea Lerraine Tuazon for her hospital bill</t>
  </si>
  <si>
    <t>Elizabeth R. Santiago</t>
  </si>
  <si>
    <t>Donation to Amparo Santiago for her medical needs</t>
  </si>
  <si>
    <t>Noemi V. De Guzman</t>
  </si>
  <si>
    <t>Aileen N. Crisolo</t>
  </si>
  <si>
    <t>Donation to Teresita Nuguid for her medical needs</t>
  </si>
  <si>
    <t>Marissa P. Yñeco</t>
  </si>
  <si>
    <t>Marie Joy P. De Leon</t>
  </si>
  <si>
    <t>Donation to Vicente Panganiban for his medical needs</t>
  </si>
  <si>
    <t>Luis Jr. B. Dela Cruz</t>
  </si>
  <si>
    <t>Donation to Myrna B. Dela Cruz fir his medical needs</t>
  </si>
  <si>
    <t>Regine Marie N. Adamos</t>
  </si>
  <si>
    <t>Donation to Rolando T. Narciso for his hospital bill</t>
  </si>
  <si>
    <t>Jacet D. De Guzman</t>
  </si>
  <si>
    <t>Donation to Arnel C. Dasig for his medical needs</t>
  </si>
  <si>
    <t>Alexander C. Gonzales</t>
  </si>
  <si>
    <t>Susana R. Manansala</t>
  </si>
  <si>
    <t>Donation to Romeo Reyes for his medical needs</t>
  </si>
  <si>
    <t>Elsa C. Espiritu</t>
  </si>
  <si>
    <t>Donation to Marilyn Carlos for her medical needs</t>
  </si>
  <si>
    <t>Allan D. Cordova</t>
  </si>
  <si>
    <t>Donation to Client for his nedical needs</t>
  </si>
  <si>
    <t>Myra Q. Bustamante</t>
  </si>
  <si>
    <t>Donation to Antonio R. Bustamante for his medical needs</t>
  </si>
  <si>
    <t>Maria Angelica S. Laguitan</t>
  </si>
  <si>
    <t>Donation to Julie S. Laguitan for her hospital bill</t>
  </si>
  <si>
    <t>Rosario C. Mena</t>
  </si>
  <si>
    <t>Donation to Josefina M. Mena for her hospital bill</t>
  </si>
  <si>
    <t>Mark Gil S. Saligumba</t>
  </si>
  <si>
    <t>Donation to Abril Kaleb Saligumba for his hospital bill</t>
  </si>
  <si>
    <t>Boyet R. Bautista</t>
  </si>
  <si>
    <t>Donation to Rozanne Lorraine Bautista and Reign Aeyla Flores for their hospital bill</t>
  </si>
  <si>
    <t xml:space="preserve">Angelina R. Dayrit </t>
  </si>
  <si>
    <t>Donation to Marilou Elcano for her hospital bill</t>
  </si>
  <si>
    <t xml:space="preserve">Aileen R. Diego </t>
  </si>
  <si>
    <t>Donation to Jekery Diego for his hospital bill</t>
  </si>
  <si>
    <t xml:space="preserve">Aireen Mae E. Alcarde </t>
  </si>
  <si>
    <t>Donation to Aprilyn Grace Alcarde for her hospital bill</t>
  </si>
  <si>
    <t xml:space="preserve">Jayson B. Manrique </t>
  </si>
  <si>
    <t>Donation to Luisa Manrique for her hospital bill</t>
  </si>
  <si>
    <t xml:space="preserve">Herlene R. Almamento </t>
  </si>
  <si>
    <t>Donation to Marcus Heyven Almamento for his medical needs</t>
  </si>
  <si>
    <t xml:space="preserve">John Christian S. Balagosa </t>
  </si>
  <si>
    <t>Donation to Maria Fatima Balagosa for her medical needs</t>
  </si>
  <si>
    <t xml:space="preserve">CLAY JEFFERSON E. PAJARIN </t>
  </si>
  <si>
    <t>Donation to Shirley E. Pajarin for her medical needs, hospital bill and professional fees</t>
  </si>
  <si>
    <t xml:space="preserve">ARRIANNE S. ASILO </t>
  </si>
  <si>
    <t xml:space="preserve">KATRIN V. HADJI CABIR </t>
  </si>
  <si>
    <t>Donation to Zavia V. Hadji Cabir for his medical needs</t>
  </si>
  <si>
    <t xml:space="preserve">YOLANDA O. TORMIS </t>
  </si>
  <si>
    <t>Donation to Richard O. Tormis for his medical needs</t>
  </si>
  <si>
    <t xml:space="preserve">MONA LIZA L. ESTALITA </t>
  </si>
  <si>
    <t>Donation to Zenaida D. Estalita for her medical needs</t>
  </si>
  <si>
    <t xml:space="preserve">PAOLO GIOVANNI S. PAMORADA </t>
  </si>
  <si>
    <t>Donation to Gianna Claire Pamorada for her hospital bill</t>
  </si>
  <si>
    <t xml:space="preserve">NEIL ANDREW S. DALANGIN </t>
  </si>
  <si>
    <t>Donation to Camille Dalangin and Aneica Czoe Dalangin for their hospital bill</t>
  </si>
  <si>
    <t xml:space="preserve">EMERSON T. CALAPINI </t>
  </si>
  <si>
    <t>Donation to Janet Saiyo for her hospital bill</t>
  </si>
  <si>
    <t xml:space="preserve">ARNELYN H. YANGA </t>
  </si>
  <si>
    <t>Donation to Arcel Y. Hwangbo for his hospital bill</t>
  </si>
  <si>
    <t xml:space="preserve">PAUL DEXTER C. PRINDIANA </t>
  </si>
  <si>
    <t>Donation to Apolinario B. Prindiana for his hospital bill</t>
  </si>
  <si>
    <t xml:space="preserve">JOANA M. CURUTAN </t>
  </si>
  <si>
    <t>Donation to Jun A. Moro for his burial expenses</t>
  </si>
  <si>
    <t xml:space="preserve">CATHERINE C. VILLANUEVA </t>
  </si>
  <si>
    <t>Donation to Nicolas B. Cabalang for his burial expenses</t>
  </si>
  <si>
    <t xml:space="preserve">TRACY JOHN HENRY M. REYES </t>
  </si>
  <si>
    <t>Donation to Kimberly Reyes for her hospital bill</t>
  </si>
  <si>
    <t xml:space="preserve">KRISTINE R. JUANTA </t>
  </si>
  <si>
    <t>Donation to Arman Fiel Juanta for his hospital bill</t>
  </si>
  <si>
    <t xml:space="preserve">WILSON JR. G. ATUAN </t>
  </si>
  <si>
    <t>Donation to Katrina Mae Atuan for her hospital bill</t>
  </si>
  <si>
    <t xml:space="preserve">ARLYN E. PASALUDOS </t>
  </si>
  <si>
    <t>Donation to Dennis Pasaludos for his medical needs</t>
  </si>
  <si>
    <t xml:space="preserve">JESS Q. GALO </t>
  </si>
  <si>
    <t>Donation to Cris Ann Caraig for her hospital bil</t>
  </si>
  <si>
    <t xml:space="preserve">PRINCES LIAN G. YU </t>
  </si>
  <si>
    <t>Donation to Juan Miguel Yu for his medical needs</t>
  </si>
  <si>
    <t xml:space="preserve">ERL ANDREW P. CALINGA </t>
  </si>
  <si>
    <t>Donation to Mikee Magtanong and Elioh Thiago M. Calinga for their hospital bill</t>
  </si>
  <si>
    <t xml:space="preserve">KATHLEEN ROSE R. VIRAY </t>
  </si>
  <si>
    <t>Donation to Catlino S. Viray Jr. for his hospital bill</t>
  </si>
  <si>
    <t xml:space="preserve">ROSEMARIE B. ABAD </t>
  </si>
  <si>
    <t>Donation to Ryeo B. Abad forhis hospital bill</t>
  </si>
  <si>
    <t xml:space="preserve">IRAH GRAZIELLE S. DE LEON </t>
  </si>
  <si>
    <t>Donation to Victor Jr. G. De Leon for his medical needs</t>
  </si>
  <si>
    <t xml:space="preserve">CRISRALYNNE I. QUIROZ </t>
  </si>
  <si>
    <t>Donation to Crespin M. Ecotan for his medical needs</t>
  </si>
  <si>
    <t xml:space="preserve">CORAZON S. AXALAN </t>
  </si>
  <si>
    <t>Donation to Pepito B. Durana for his medical needs</t>
  </si>
  <si>
    <t xml:space="preserve">GLENDA D. PEñAFIEL </t>
  </si>
  <si>
    <t>Donation to Rosalia Dacera for her hospital bill</t>
  </si>
  <si>
    <t xml:space="preserve">EDUARDO S. MONFORTE </t>
  </si>
  <si>
    <t>Donation to Merlita Monforte for her hospital bill</t>
  </si>
  <si>
    <t xml:space="preserve">Philippine Public Safety Office Support Group (PPSOSG) </t>
  </si>
  <si>
    <t>29th PArtial payment of package training expenses for the provincial wide Brgy Disaster Risk Reduction Education &amp; emeregency medical first responder</t>
  </si>
  <si>
    <t>Donation to Ernesto Solania for his burial expenses</t>
  </si>
  <si>
    <t>Payment of hospital bill of indigent patients of Jose Payumo Memorial Hospital charge to DOH-Fund Medical Assistance Assistance to Indigent Patients Program for the period of September 2022</t>
  </si>
  <si>
    <t xml:space="preserve">Josefina SM. Felipe </t>
  </si>
  <si>
    <t xml:space="preserve">Jayde G. Del Valle </t>
  </si>
  <si>
    <t>Donation to Millicent G. Del Valle and Pricea Demi G. Del Valle for their hospital bill</t>
  </si>
  <si>
    <t xml:space="preserve">Rossel F. Peralta </t>
  </si>
  <si>
    <t>Donation to Zhanara D. Bombita for her hospital bill</t>
  </si>
  <si>
    <t xml:space="preserve">Peter Andrew M. Edodoleon </t>
  </si>
  <si>
    <t>Donation to Jaymelyn B. Lansangan and Drew Zachary L. Edodoleon for their for her hospital bills</t>
  </si>
  <si>
    <t xml:space="preserve">Noel E. Peñaflor </t>
  </si>
  <si>
    <t xml:space="preserve">Jose S. Sumandal </t>
  </si>
  <si>
    <t xml:space="preserve">Yolanda O. Tormis </t>
  </si>
  <si>
    <t xml:space="preserve">Delia Zafra </t>
  </si>
  <si>
    <t>Donation to Franklin Zafra for his hospital bill</t>
  </si>
  <si>
    <t>1% retention of window type air conditioning unit for cold storage for vaccine at Bataan People's Center</t>
  </si>
  <si>
    <t>Donation to Deniza Daim Rivera for her medical needs</t>
  </si>
  <si>
    <t xml:space="preserve">Sheryl Guevarra </t>
  </si>
  <si>
    <t>Donation to Asuncion Guevarra for her medical needs</t>
  </si>
  <si>
    <t xml:space="preserve">Marivic Viesca </t>
  </si>
  <si>
    <t>Donation to Faustino Perez Jr for his medical needs</t>
  </si>
  <si>
    <t xml:space="preserve">Jocelyn Italia </t>
  </si>
  <si>
    <t>Donation to Alfredo Italia for his medical needs</t>
  </si>
  <si>
    <t xml:space="preserve">Alexis Mariano </t>
  </si>
  <si>
    <t xml:space="preserve">Christopher Quicho </t>
  </si>
  <si>
    <t>Donation to Joana Marie Quicho for her hospital bill</t>
  </si>
  <si>
    <t xml:space="preserve">Corazon Canaria </t>
  </si>
  <si>
    <t>Donation to Ma. Celina Canaria for her hospital bill</t>
  </si>
  <si>
    <t xml:space="preserve">Ernaida Del Rosario </t>
  </si>
  <si>
    <t>Donation to Ma. Antonette Del Rosario and Ma. Ritz Ysabela Magat for their hospital bill</t>
  </si>
  <si>
    <t xml:space="preserve">Marivic Osman </t>
  </si>
  <si>
    <t>Donation to Sherwin Osman for his burial expenses</t>
  </si>
  <si>
    <t>Donation to Maria Teresa Cascasan for he burial expenses</t>
  </si>
  <si>
    <t xml:space="preserve">Marlon Ladia </t>
  </si>
  <si>
    <t>Donation to Martiniano Ladra for his burial expenses</t>
  </si>
  <si>
    <t>19 Monitoring Activities by the Provincial Project Monitoring Committee (PPMC)</t>
  </si>
  <si>
    <t>Payment for the polyethersulfone High Flux H180 for 1Bataan Malasakit Dialysis Assistance (1MBDA)</t>
  </si>
  <si>
    <t>payment of Hospital Bill of indigent Patients of Mariveles District Hospital charge to DOH Fund medical Assitance Program for May 2022</t>
  </si>
  <si>
    <t>Paymenty of medical expenses for indigent patients under MAIP for the period February 1 to November 26, 2013</t>
  </si>
  <si>
    <t xml:space="preserve">Mary Grace Bonus </t>
  </si>
  <si>
    <t xml:space="preserve">Philippine Public Safety Office Support Group, Inc. (PPSOSG) </t>
  </si>
  <si>
    <t>30th PArtial payment of package training expenses for the provincial wide Brgy Disaster Risk Reduction Education &amp; emeregency medical first responder</t>
  </si>
  <si>
    <t xml:space="preserve">Emmanuel Jr. Gloria </t>
  </si>
  <si>
    <t>Donation to Kristine Joy Gloria and Kent Cyruz Gloria for their hospital bills</t>
  </si>
  <si>
    <t xml:space="preserve">Jeremiah Villafania </t>
  </si>
  <si>
    <t>Donation to Adelaida Villafania for her medical needs and doctor's professional fee</t>
  </si>
  <si>
    <t xml:space="preserve">Manuel S. Lim Jr. </t>
  </si>
  <si>
    <t>Reimbursement for the amount paid for the meals (lunch) served on September 21, 2022 for the Basic Occupational Safety and Health Training (SOI) for thirty three (33) personnel of the Provincial Government of Bataan (PGB) and The Bunker Tenants</t>
  </si>
  <si>
    <t>Donation to Hernan Ilaya for his medical needs</t>
  </si>
  <si>
    <t>Payment of Enhancement/Improvement of Emergency Operation Center (EOC) includes procurement of IT Equipment, Tools and Accessories</t>
  </si>
  <si>
    <t xml:space="preserve">Manuel Mangantulao </t>
  </si>
  <si>
    <t xml:space="preserve">Edjel Fabian </t>
  </si>
  <si>
    <t>Donation to Norie Ann and Nijel Caine Fabian for their hospital bills</t>
  </si>
  <si>
    <t>Paymenty of medical expenses for indigent patients under MAIP for the period of April to June 2022</t>
  </si>
  <si>
    <t>Donation to Al Jefferson Tuazon for his medical needs</t>
  </si>
  <si>
    <t xml:space="preserve">Cristina S. Sabino </t>
  </si>
  <si>
    <t>Donation to Rosario Sabino for her medical needs</t>
  </si>
  <si>
    <t xml:space="preserve">Virginia P. Dela CRuz </t>
  </si>
  <si>
    <t>Donation to Alfredo Gonzales for his burial expenses</t>
  </si>
  <si>
    <t xml:space="preserve">Julie A. Narag </t>
  </si>
  <si>
    <t>Donation to Antonio Ambrocio for his burial expenses</t>
  </si>
  <si>
    <t xml:space="preserve">Nikka Rose C. Patarata </t>
  </si>
  <si>
    <t xml:space="preserve">Diana Rose Sarmiento </t>
  </si>
  <si>
    <t xml:space="preserve">Marivic Hender </t>
  </si>
  <si>
    <t>Donation to Oscar Peralta for her hospital bill</t>
  </si>
  <si>
    <t>31st PArtial payment of package training expenses for the provincial wide Brgy Disaster Risk Reduction Education &amp; emeregency medical first responder</t>
  </si>
  <si>
    <t>Payment of Monthly subscription fee for the services of Internet Connection of PIO Covering Period 03/17 - 04/16</t>
  </si>
  <si>
    <t>Reimbursement of amount paid for the subscription of web hosting and domain for the implementation of online RPT Collection System</t>
  </si>
  <si>
    <t>Payment of Monthly subscription fee for the services of Internet Connection of Bulwagan Covering Period 03/17 - 04/16</t>
  </si>
  <si>
    <t>Payment of Monthly subscription fee for the services of Internet Connection of NBI Covering Period 03/17 - 04/16</t>
  </si>
  <si>
    <t xml:space="preserve">Fe D. Dela Cruz </t>
  </si>
  <si>
    <t xml:space="preserve">Aida S. Antonio </t>
  </si>
  <si>
    <t xml:space="preserve">Noel G. Jimenez </t>
  </si>
  <si>
    <t xml:space="preserve">Susana B. Dayrit </t>
  </si>
  <si>
    <t>Tax refund for CY 2004 &amp; 2014</t>
  </si>
  <si>
    <t>Payment of Blood Units for NBB Patients of JPMH for the period from November 1, 2021 to November 30, 2021</t>
  </si>
  <si>
    <t>Payment of blood service fee for the blood and blood products supplied in Orani District Hospital for December 2021</t>
  </si>
  <si>
    <t>Payment of fuel consumption for the period of March 28-April 3, 2022 (BCMH)</t>
  </si>
  <si>
    <t>LABANG - Payment for Allowance for the period of March 2022</t>
  </si>
  <si>
    <t>Payment of honorarium for the month of March 2022</t>
  </si>
  <si>
    <t>Payment of Honorarium for the month of March 2022</t>
  </si>
  <si>
    <t>Payment of BIZLOAD for barangay Captains as monitoring gathering and analysing Covid 19 related data in the province of Bataan Coveriong Period for the month of April 2022</t>
  </si>
  <si>
    <t>Reimbursement of Meals and snacks to be served for the continuation of ingress and preparation of BPML: Battle of Bataan Gallery on April 6-8, 2022</t>
  </si>
  <si>
    <t>Computer Ink for the use of Bagac Community and Medicare Hospital</t>
  </si>
  <si>
    <t xml:space="preserve">KServico Trade, Inc. </t>
  </si>
  <si>
    <t>Servico Trade Inc-Parts &amp; Labor for the 9000 km preventive maintenance Kawasaki Bigbike 650cc MV3728 of MBDA owned by the Provincial Government of Bataan</t>
  </si>
  <si>
    <t>Parts and Labor for 80,000 km PMS service check up and maintenance of the vehicle assigned to the office of the Governor Toyota Fortuner with conduction sticker A7V914</t>
  </si>
  <si>
    <t>Reimburseemmnt of National publication of invitation to submit comparative proposal for the management, operation, maintenance, and physical closure of the Sanitary Landfill Facility in Abucay, Bataan and development of FAB FOREST (Food, Overall - Health, Renewable Environment, Science &amp; Technology) FREEPORT ECOZONE</t>
  </si>
  <si>
    <t>Servico Trade Inc-Parts &amp; Labor for the 12,000 km preventive maintenance Kawasaki Bigbike 650cc MV3538 AND Replacement of other deffective parts of MBDA owned by the Provincial Government of Bataan</t>
  </si>
  <si>
    <t>Gen Pharmaceutical-Laboratory Supplies for various district Hospital and vaccination sites during COVID-19 Pandemic</t>
  </si>
  <si>
    <t>Electrolyte Analyzer for the use of Bagac Community and Medicare Hospital</t>
  </si>
  <si>
    <t>An's Enterprises-laboratory reagents for coagulation mach and electrolytes for the use of Jose C. Payumo Memorial Hospital, Dinalupihan, Bataan</t>
  </si>
  <si>
    <t xml:space="preserve">Ear Diagnostic, Inc. </t>
  </si>
  <si>
    <t>Otoacoustic Emission (OAE) Screener for the use of Orani District Hospital</t>
  </si>
  <si>
    <t>Special test reagents of laboratory for the use of JPMH</t>
  </si>
  <si>
    <t>Toner for Clearance Processing operation of NBI Bataan District Office located inside the 1Bataan Command Center, Doña, Orani, Bataan</t>
  </si>
  <si>
    <t xml:space="preserve">Carmelita P. Dar </t>
  </si>
  <si>
    <t>Payment of her 387.187 days Terminal Leave as Dental Aide with a Salary rate 15,818.00 per month in the Provincial Health Office</t>
  </si>
  <si>
    <t>Payment of Insurance of Six (6) Unit service vehicle owned by PGB</t>
  </si>
  <si>
    <t xml:space="preserve">Mart Allister C. Bautista </t>
  </si>
  <si>
    <t>Reimbursement of his training and travelling expenses for attending 13th National Convention of Philippine Association of Municipal Assessors (PAMAS), INC. Last April 5-8, 2022</t>
  </si>
  <si>
    <t xml:space="preserve">Albert C. Labrador </t>
  </si>
  <si>
    <t>Payment for artist's honorarium for BPML: Battle of Bataan Gallery</t>
  </si>
  <si>
    <t xml:space="preserve">James Conrad Q. Medina </t>
  </si>
  <si>
    <t>Payment for artist honorarium for BPML: Battle of Bataan Gallery</t>
  </si>
  <si>
    <t>Payment of fuel consumption for the period of December 20-26,2021 (TOURISM)</t>
  </si>
  <si>
    <t>Payment of fuel consumption for the period of March 28 - April 3, 2022 (MBDA)</t>
  </si>
  <si>
    <t>Payment of Monthly subscription fee for the services of Internet Connection of Malasakit dinalupihan Covering period 3/17 - 4/16, 2022</t>
  </si>
  <si>
    <t xml:space="preserve">Ryan Zaldy B. Abrera </t>
  </si>
  <si>
    <t>Payment of honorariumas trainer in the conduct of incident Command System Training on April 18-22, 2022</t>
  </si>
  <si>
    <t xml:space="preserve">SINSP. Arvin J. Catipon </t>
  </si>
  <si>
    <t xml:space="preserve">Romar Y. Magat </t>
  </si>
  <si>
    <t>Payment of fuel consumption for the period of March 28 - April 3, 2022 (COA)</t>
  </si>
  <si>
    <t xml:space="preserve">Jeffrey Lapid </t>
  </si>
  <si>
    <t xml:space="preserve">Aurora D. Dela Rosa </t>
  </si>
  <si>
    <t>Payment of honorarium as trainer in the conduct of incident Command System Training on April 18-22, 2022</t>
  </si>
  <si>
    <t>TECH MOBILE INNOVATION INC. - Payment of internet subcription plan for vehicle tracker of PEO for the period of April 2022</t>
  </si>
  <si>
    <t>Cash advance for their registration fee for the period of April 25-27, 2022</t>
  </si>
  <si>
    <t>Assorted marine products for the consumption of inmates of Bataan District Jail within the period of March 1-15, 2022</t>
  </si>
  <si>
    <t>Snacks &amp; Lunch to be served in the Extenion Officers meeting to be held on March 18, 2022 at Pantingan, Pilar, Bataan</t>
  </si>
  <si>
    <t>Snack &amp; Lunch to be served in the Fisheries &amp; Aquatic Resources Management Council meeting to be held on March 24, 2022 at BFAR Orion, Bataan</t>
  </si>
  <si>
    <t>Snacks &amp; Lunch to be served in the RIC &amp; 4H Municipal Coordinator's Meeting to be held on March 29, 2022 at 4th Floor Bunker Bldg. Capitol, Balanga City, Bataan</t>
  </si>
  <si>
    <t>PMS 100,000km and Repair the deffective parts of the vehicle assigned to the Office of the Governor namely our Toyota HiAce GL Grandia with Conduction Sticker A5N033</t>
  </si>
  <si>
    <t>Token to be used in Coordination Meeting with DHSUD Secretary and Heads on March 8, 2022</t>
  </si>
  <si>
    <t>Toner for the Clearance Processing of Mariveles Satellite Office Located inside the AFAB Building FAB, Mariveles, Bataan</t>
  </si>
  <si>
    <t xml:space="preserve">A.B.G Enterprises </t>
  </si>
  <si>
    <t>Emergency Purchase of Fire Extinguisher for the transfer of vaccination site from Bataan People Center (BPC) to Old Capitol Building (New PHO Bldg.)</t>
  </si>
  <si>
    <t>Assorted meat and processed food for the consumption of inmates of Bataan District Jail within the period of March 1-15, 2022</t>
  </si>
  <si>
    <t>Printer for the used of MBDA 1Bataan Command Center &amp; Tactical Operation Center</t>
  </si>
  <si>
    <t>Rental of Sound System for the Opening Ceremony for the Emergency Medical Fist Responders (EMFR) Practical Training on March 7, 2022 at Covered Court, 1Bataan Command Center, Orani, Bataan</t>
  </si>
  <si>
    <t>Payment of corona stand as a gesture of Respect, Condelences and Symphaty to be bereaved family of the deceased in the Province of Bataan for the month of March 2022</t>
  </si>
  <si>
    <t>DONATION FOR THE HOSPITAL BILLS AND MEDICAL NEEDS COVERING THE PERIOD MARCH 14-18, 2022</t>
  </si>
  <si>
    <t xml:space="preserve">Marilyn Magpoc </t>
  </si>
  <si>
    <t>DONATION TO CAROLINA MATIC FOR HER BURIAL EXPENSES</t>
  </si>
  <si>
    <t xml:space="preserve">Yolanda Dinglas </t>
  </si>
  <si>
    <t>DONATION TO REIN PRIMO DINGLAS FOR HIS BURIAL EXPENSES</t>
  </si>
  <si>
    <t xml:space="preserve">Robertson Novero </t>
  </si>
  <si>
    <t>DONATION TO CORAZON NOVERO FOR HER PROFESSIONAL FEE</t>
  </si>
  <si>
    <t xml:space="preserve">Jennifer Singian </t>
  </si>
  <si>
    <t>DONATION TO CRISTINA MANDILAG FOR HER HOSPITAL BILL</t>
  </si>
  <si>
    <t xml:space="preserve">Jennilyn Mesina </t>
  </si>
  <si>
    <t>DONATION TO FELICIDAD FUENTES FOR HER HOSPITAL BILL AND MEDICAL NEEDS</t>
  </si>
  <si>
    <t>DONATION TO JUANITA REYES FOR HER HOSPITAL BILL</t>
  </si>
  <si>
    <t>DONATION TO JHISELLE ALLYSA NAVARRO FOR HER HOSPITAL BILL</t>
  </si>
  <si>
    <t xml:space="preserve">Milagros Peralta </t>
  </si>
  <si>
    <t>DONATION TO FEDERICO ARANAS FOR HIS HOSPITAL BILL</t>
  </si>
  <si>
    <t xml:space="preserve">Arlene Angel </t>
  </si>
  <si>
    <t>DONATION TO DANN LEMUEL MANGUBAT FOR HIS HOSPITAL BILL AND PROFESSIONAL FEE</t>
  </si>
  <si>
    <t xml:space="preserve">Bango Puno </t>
  </si>
  <si>
    <t>DONATION TO ALICIA PUNO FOR HER MEDICAL NEEDS</t>
  </si>
  <si>
    <t xml:space="preserve">Analyn Sebastian </t>
  </si>
  <si>
    <t>DONATION TO VICENTE SEBASTIAN FOR HIS MEDICAL NEEDS</t>
  </si>
  <si>
    <t xml:space="preserve">Rhean Belleza </t>
  </si>
  <si>
    <t>DONATION TO ARLAN BELLEZA FOR HIS MEDICAL NEEDS</t>
  </si>
  <si>
    <t xml:space="preserve">Arnold Zulueta </t>
  </si>
  <si>
    <t xml:space="preserve">Rowena Violan </t>
  </si>
  <si>
    <t xml:space="preserve">Noel Galang </t>
  </si>
  <si>
    <t>DONATION TO APRIL ANDREA GALANG FOR HER MEDICAL NEEDS</t>
  </si>
  <si>
    <t xml:space="preserve">Aileen Avila </t>
  </si>
  <si>
    <t xml:space="preserve">Filipina Cruz </t>
  </si>
  <si>
    <t>DONATION TO CONRADO CRUZ FOR HIS BURIAL EXPENSES</t>
  </si>
  <si>
    <t>DONATION TO DANTE SR. PAGUIO FOR HIS BURIAL EXPENSES</t>
  </si>
  <si>
    <t xml:space="preserve">Marites Antonio </t>
  </si>
  <si>
    <t>DONATION TO AARON ANTONIO FOR HIS HOSPITAL BILL, PROFESSIONAL FEE, AND MEDICAL EXPENSES</t>
  </si>
  <si>
    <t xml:space="preserve">Susana Tibudan </t>
  </si>
  <si>
    <t>DONATION TO MARY JANE T. VENTURA FOR HER HOSPITAL BILL</t>
  </si>
  <si>
    <t>DONATION TO ANGELA MAE VALENUELA FOR HER HOSPITAL BILL</t>
  </si>
  <si>
    <t xml:space="preserve">Michael Yutuc </t>
  </si>
  <si>
    <t>DONATION TO ANTONIO YUTUC FOR HIS MEDICAL NEEDS</t>
  </si>
  <si>
    <t>Payment for the funeral services rendered under the Libreng Libing Program for the period March 5-30, 2022</t>
  </si>
  <si>
    <t>DONATION FOR THE HOSPITAL BILLS COVERING THE PERIOD MARCH 8-11, 2022</t>
  </si>
  <si>
    <t>DONATION FOR THE HOSPITAL BILLS COVERING THE PERIOD APRIL 18-22-2022</t>
  </si>
  <si>
    <t xml:space="preserve">Orion St. Michael Hpspital Inc. </t>
  </si>
  <si>
    <t>Donation for the hospitak bill covering the period March 14-15, 2022</t>
  </si>
  <si>
    <t xml:space="preserve">Edelyn Lim </t>
  </si>
  <si>
    <t xml:space="preserve">Ryan Dale Austria </t>
  </si>
  <si>
    <t>DONATION TO ELEONORE JOY AUSTRIA AND ELEON DALE AUSTRIA FOR THEIR HOSPITAL BILLS</t>
  </si>
  <si>
    <t>DONATION FOR THE HOSPITAL BILLS COVERING THE PERIOD APRIL 27-29, 2022</t>
  </si>
  <si>
    <t xml:space="preserve">Carlos Rodriguez </t>
  </si>
  <si>
    <t>DONATION TO ESTRELLA RODRIGUEZ FOR HER HOSPITAL BILL AND MEDICAL NEEDS</t>
  </si>
  <si>
    <t xml:space="preserve">Jacqueline Manalansan </t>
  </si>
  <si>
    <t xml:space="preserve">Lourdes Lim </t>
  </si>
  <si>
    <t xml:space="preserve">Aida Taylor </t>
  </si>
  <si>
    <t xml:space="preserve">James Paul de Silva </t>
  </si>
  <si>
    <t>DONATION TO MARY ANN DE SILVA FOR HER HOSPITAL BILL</t>
  </si>
  <si>
    <t>Tarpaulin for various activities and location of Bataan Day Commemoration 2022 from March 28 at April 9, 2022</t>
  </si>
  <si>
    <t>Board Paper &amp; Certificate Jacket for the National Arts Month Celebration</t>
  </si>
  <si>
    <t xml:space="preserve">Converge Information and Communications Technology Inc. </t>
  </si>
  <si>
    <t>Payment of internet subscription of ODH for the period of May 2022</t>
  </si>
  <si>
    <t>Payment of Mobile expenses for the period covered March 16 - April 15, 2022</t>
  </si>
  <si>
    <t>Payment of telephone and internet bill for the PHO for the period of May 6 to June 5, 2022</t>
  </si>
  <si>
    <t>Payment of monthly subscription fee on mobile unlimited call &amp; text postpaid plan for the month of March 13 - April 12, 2022</t>
  </si>
  <si>
    <t>Replenishment of emergency purchases of NBB Patients of JPMH for the period from May 1 - 4, 2022</t>
  </si>
  <si>
    <t>DONATION FOR THE HOSPITAL BILLS COVERING THE PERIOD APRIL 28-29, 2022</t>
  </si>
  <si>
    <t>Pack lunch for the Philippine Motorcycle Tourism on March 27, 2022</t>
  </si>
  <si>
    <t>Reimbursement For replacement of brake pads. rotor disc and repair of aricon of Nissan Ambulance OW-3902 for Jose C. Payumo Jr. Memorial Hospital, Dinalupihan, Bataan</t>
  </si>
  <si>
    <t>Payment of Participation fee for the repair of service vehicle 2018</t>
  </si>
  <si>
    <t xml:space="preserve">Ramgo International Corporation </t>
  </si>
  <si>
    <t>1% retention for vegetable seeds to be distributed to different farmers of different municipalities of Bataan</t>
  </si>
  <si>
    <t>Payment for the funeral services under the Libreng libing program for the period of February 9 and 11, 2022</t>
  </si>
  <si>
    <t>Commemorative Shirt for Veterans for the Araw ng Kagitingan from March 28 at April 9, 2022</t>
  </si>
  <si>
    <t>Printing of Tarpaulin to be used for Provincial Women's Month Celebration on March 11, 2022</t>
  </si>
  <si>
    <t>Token with courier for the National Arts Month Celebration</t>
  </si>
  <si>
    <t>Tokens for various activities of Bataan Day Commemoration 2022 from March 28 at April 9, 2022</t>
  </si>
  <si>
    <t>Parts and Labor for the replacement of axle bearing of Toyota Innova SKR-486 of PNP</t>
  </si>
  <si>
    <t>Parts and labor for 100,000 km preventive maintenance check-up of Toyota Hiace Commuter Van VQ9940 of SOCO owned by the Provincial Government of Bataan</t>
  </si>
  <si>
    <t>DONATION FOR THE HOSPITAL BILLS AND MEDICAL NEEDS COVERING THE PERIOD APRIL 11-13, 2022</t>
  </si>
  <si>
    <t>Payment of Water bill for Charlie Company, Balanga City for the month of March to April, 2022</t>
  </si>
  <si>
    <t>DONATION FOR THE HOSPITAL BILLS AND MEDICAL NEEDS COVERING THE PERIOD APRIL 4-8, 2022</t>
  </si>
  <si>
    <t>Replenishment of Miscellaneous Expensese of MDH used for COVID-19 for the period of January 9, 2022 - April 18, 2022</t>
  </si>
  <si>
    <t>Replenishment of cash advence for emergency purchases of JPMH from May 1 to 4, 2022</t>
  </si>
  <si>
    <t>Replenishment of Emergency Purchases of NBB Patients of JPMH for the period from May 5 - 9, 2022</t>
  </si>
  <si>
    <t>Payment of fuel consumption for the period of April 18-24, 2022 (PGO)</t>
  </si>
  <si>
    <t>Payment of fuel consumption for PGENRO, PVO, PIo, PPDo, PCEDO &amp; PDRRMO for April 11-17, 2022</t>
  </si>
  <si>
    <t>Payment of fuel consumption for the period of April 18-24, 2022 (MBDA)</t>
  </si>
  <si>
    <t>Payment of fuel consumption for PGENRO, PPDO, PCEDO, PDRRMO, BJMP-Female &amp; VET for April 4-10, 2022</t>
  </si>
  <si>
    <t>Repair of medical equipment for the use of Orani District Hospital</t>
  </si>
  <si>
    <t>Reimbursement for Lunch to be served in the Mango Stakeholders meeting to be held on May 6, 2022 at Orion, Bataan</t>
  </si>
  <si>
    <t>LPG-50kg for the consumption of inmates of Bataan District Jail within the period of April 1-15 2022</t>
  </si>
  <si>
    <t>Cash advance for preventive maintenance of Ford Everest COC-666, Nissan Navar F2X614, Nissan Navarra F2X 613 of PEO owned by PGB</t>
  </si>
  <si>
    <t xml:space="preserve">Barangay Treasurer - Tenejero, Orani, Bataan </t>
  </si>
  <si>
    <t>Subsidy to Barangay Tenejero Orani Bataan for their annual cultural activity on May 15, 2022</t>
  </si>
  <si>
    <t>Payment of funeral services under the Libreng Libing Program for the period of March 3,10,16,21,23 April 12,17 and 18, 2022</t>
  </si>
  <si>
    <t xml:space="preserve">Hans Nuklus Caesar R. Tallorin </t>
  </si>
  <si>
    <t>Donation to Bataan Classic Riders Club for their Outreach Program on March 26, 2022</t>
  </si>
  <si>
    <t>Payment of registration fee for 43rd Annual National Covention &amp; Webinar (ANCW) Transform: Embracing Possibilities Realizing Potentials Webinar on June 9-10, 2022</t>
  </si>
  <si>
    <t>Payment for mobile expenses for the Covered Period of April, 2022 0792238092</t>
  </si>
  <si>
    <t>Payment for mobile expenses for the Covered Period of April, 2022 0800283558</t>
  </si>
  <si>
    <t>Payment for mobile expenses for the Covered Period of April, 2022 0806416150</t>
  </si>
  <si>
    <t xml:space="preserve">Manuel N. Diaz </t>
  </si>
  <si>
    <t>Payment of his perdiem for the month of April, 2022</t>
  </si>
  <si>
    <t xml:space="preserve">Arsenio V. de Jesus </t>
  </si>
  <si>
    <t>Payment for their overtime pay for the period of April, 2022</t>
  </si>
  <si>
    <t xml:space="preserve">Joseph P. Banzon </t>
  </si>
  <si>
    <t>Payment of 50% monetization leave credit</t>
  </si>
  <si>
    <t xml:space="preserve">Xtian Paul D. Reyes </t>
  </si>
  <si>
    <t>DONATION TO PAULA KANE REYES FOR HER HOSPITAL BILL QR: 0329220014</t>
  </si>
  <si>
    <t>DONATION TO JESSY HEART VILLAZOR FOR HER MEDICAL NEEDS QR: 0419220009</t>
  </si>
  <si>
    <t xml:space="preserve">Sweet Macrine C. Sioson </t>
  </si>
  <si>
    <t>DONATION TO CLIENT FOR HER HOSPITAL BILL AND MEDICAL NEEDS QR: 0331220010</t>
  </si>
  <si>
    <t xml:space="preserve">Shirlyn S. Moralejo </t>
  </si>
  <si>
    <t>DONATION TO LLOYD MORALEJO FOR HIS BURIAL EXPENSES QR: 0324220020</t>
  </si>
  <si>
    <t xml:space="preserve">Amalia M. Perreras </t>
  </si>
  <si>
    <t>DONATION TO ARTEMIO MATUTINO FOR HIS BURIAL EXPENSES QR: 0411220019</t>
  </si>
  <si>
    <t xml:space="preserve">Jocelyn A. Ablang </t>
  </si>
  <si>
    <t>DONATION TO CLIENT FOR HER HOSPITAL BILL AND MEDICAL NEEDS QR: 0429220010</t>
  </si>
  <si>
    <t xml:space="preserve">Rebecca P. Balingit </t>
  </si>
  <si>
    <t>DONATION TO MODESTO JR. BALINGIT FOR HIS MEDICAL NEEDS QR: 0429220006</t>
  </si>
  <si>
    <t>DONATION TO CLIENT FOR HER MEDICAL NEEDS QR: 0429220005</t>
  </si>
  <si>
    <t xml:space="preserve">Concepcion V. Magtangob </t>
  </si>
  <si>
    <t>DONATION TO CHERYLL MAGTANGOB FOR HER MEDICAL NEEDS QR: 0429220009</t>
  </si>
  <si>
    <t>Payment of newspaper for the month of April 2022</t>
  </si>
  <si>
    <t xml:space="preserve">Rosette Ann J. Pusong </t>
  </si>
  <si>
    <t>DONATION TO LOLITA PUSONG FOR HER BURIAL EXPENSES QR: 0324220026</t>
  </si>
  <si>
    <t xml:space="preserve">Uldrich S. Estabillo </t>
  </si>
  <si>
    <t>DONATION TO PAULA MAE ESTABILLO AND DANPAUL LATAYAN FOR THEIR HOSPITAL BILLS QR: 0324220022</t>
  </si>
  <si>
    <t xml:space="preserve">Cherrylyn F. Tigas </t>
  </si>
  <si>
    <t>DONATION TO CLIENT FOR HER HOSPITAL BILL QR: 0324220006</t>
  </si>
  <si>
    <t xml:space="preserve">Merlita F. Zabala </t>
  </si>
  <si>
    <t>DONATION TO JAIREL MARIANO FOR HER HOSPITAL BILL QR: 0324220023</t>
  </si>
  <si>
    <t xml:space="preserve">Ma. Crisalez I. Santos </t>
  </si>
  <si>
    <t>DONATION TO CLIENT FOR HER HOSPITAL BILL QR: 0324220025</t>
  </si>
  <si>
    <t xml:space="preserve">Ramil M. Garcia </t>
  </si>
  <si>
    <t>DONATION TO GLEMILY GARCIA AND RAF GABRIEL GARCIA FOR THEIR HOSPITAL BILLS QR: 0324220024</t>
  </si>
  <si>
    <t xml:space="preserve">Lizette B. Vea </t>
  </si>
  <si>
    <t>DONATION TO FERNANDO BUSTAMANTE FOR HIS MEDICAL NEEDS QR: 0324220001</t>
  </si>
  <si>
    <t xml:space="preserve">Margie C. Sanchez </t>
  </si>
  <si>
    <t>DONATION TO CLIENT FOR HER HOSPITAL BILL QR: 0429220008</t>
  </si>
  <si>
    <t xml:space="preserve">Ma. Corazon B. Esguerra </t>
  </si>
  <si>
    <t>DONATION TO ROBERTSON ESGUERRA FOR HIS HOSPITAL BILL QR: 0429220004</t>
  </si>
  <si>
    <t xml:space="preserve">Marisa C. Canta </t>
  </si>
  <si>
    <t>Tanzi for grasscutting activities of Provincial Engineer's Office Maintenance Division (Bataan People''s Center ) during Covid-19 Pandemic QR: 0502220002</t>
  </si>
  <si>
    <t>DONATION FOR THE HOSPITAL BILLS COVERING THE PERIOD MARCH 14, 2022</t>
  </si>
  <si>
    <t>DONATION TO CLIENT FOR HER HOSPITAL BILL AND MEDICAL NEEDS QR: 0324220030</t>
  </si>
  <si>
    <t>DONATION TO REYNALDO SAN JUAN FOR HIS BURIAL EXPENSES QR: 0510220028</t>
  </si>
  <si>
    <t>DONATION TO DANTE SR. PAGUIO FOR HIS BURIAL EXPENSES QR: 0510220029</t>
  </si>
  <si>
    <t xml:space="preserve">Lenny E. Mera </t>
  </si>
  <si>
    <t>DONATION TO MARITES MERA FOR HER HOSPITAL BILL AND PROFESSIONAL FEE QR: 0510220023</t>
  </si>
  <si>
    <t xml:space="preserve">Jessilyn R. Maturan </t>
  </si>
  <si>
    <t>DONATION TO MARILYN MATURAN FOR HER HOSPITAL BILL QR: 0510220030</t>
  </si>
  <si>
    <t>DONATION TO CARMELITA LINTAG FOR HER HOSPITAL BILL QR: 0510220026</t>
  </si>
  <si>
    <t xml:space="preserve">Evangeline M. Camacho </t>
  </si>
  <si>
    <t>DONATION TO CLIENT FOE HER HOSPITAL BILL QR: 0510220035</t>
  </si>
  <si>
    <t xml:space="preserve">Regina de Leon Tiam </t>
  </si>
  <si>
    <t>DONATION TO RUBEN TIAM FOR HIS MEDICAL NEEDS QR: 0510220032</t>
  </si>
  <si>
    <t xml:space="preserve">Paulo A. Caguillo </t>
  </si>
  <si>
    <t>DONATION TO CLIENT FOR HIS MEDICAL NEEDS QR: 0510220003</t>
  </si>
  <si>
    <t xml:space="preserve">Marvin D. Gaffud </t>
  </si>
  <si>
    <t>DONATION TO JANNETTE LASIM FOR HER MEDICAL NEEDS QR: 0324220021</t>
  </si>
  <si>
    <t xml:space="preserve">Jomel T. Quevedo </t>
  </si>
  <si>
    <t>DONATION TO CLIENT FOR HIS MEDICAL NEEDS QR: 0510220031</t>
  </si>
  <si>
    <t xml:space="preserve">Filomena O. Nacino </t>
  </si>
  <si>
    <t>DONATION TO ARTURO DE GUZMAN FOR HIS BURIAL EXPENSES QR: 0510220009</t>
  </si>
  <si>
    <t>DONATION TO CARMELITA REñOSA FOR HER BURIAL EXPENSES QR: 0510220025</t>
  </si>
  <si>
    <t>DONATION TO RODRIGO CUENCO FOR HIS BURIAL EXPENSES QR: 0510220016</t>
  </si>
  <si>
    <t>DONATION TO WINNIE BELTRAN FOR HER BURIAL EXPENSES QR: 0510220020</t>
  </si>
  <si>
    <t>DONATION TO GREGORIO CAPILI FOR HIS BURIAL EXPENSES QR: 0510220021</t>
  </si>
  <si>
    <t xml:space="preserve">Marabine dela Cruz Fadino </t>
  </si>
  <si>
    <t>DONATION TO MANOLITO FADINO FOR HIS HOSPITAL BILL QR: 0510220010</t>
  </si>
  <si>
    <t xml:space="preserve">Teresita V. Reyes </t>
  </si>
  <si>
    <t>DONATION TO DANILI REYES FOR HIS HOSPITAL BILL QR: 0510220001</t>
  </si>
  <si>
    <t xml:space="preserve">Rosario V. Perello </t>
  </si>
  <si>
    <t>DONATION TO CLIENT FOR HIS HOSPITAL BILL QR: 0510220027</t>
  </si>
  <si>
    <t>DONATION TO IRENEO ARIBAS FOR HIS HOSPITAL BILL</t>
  </si>
  <si>
    <t>DONATION TO CECILIA ZABALA FOR HER HOSPITAL BILL QR: 0510220014</t>
  </si>
  <si>
    <t xml:space="preserve">Rowena R. Parbo </t>
  </si>
  <si>
    <t>DONATION TO RICARDO REYES FOR HIS HOSPITAL BILL AND PROFESSIONAL FEE QR: 0510220024</t>
  </si>
  <si>
    <t>DONATION TO AUREA LOPEZFOR HER MEDICAL NEEDS QR: 0510220013</t>
  </si>
  <si>
    <t>DONATION TO CLIENT FOR HIS MEDICAL NEEDS QR: 0510220022</t>
  </si>
  <si>
    <t xml:space="preserve">Floramae A. Estores </t>
  </si>
  <si>
    <t>DONATION TO RAMON ESTORES FOR HIS MEDICAL NEEDS QR: 0510220012</t>
  </si>
  <si>
    <t>DONATION TO GLORIA CRISOSTOMO FOR HER MEDICAL NEEDS QR: 0510220011</t>
  </si>
  <si>
    <t xml:space="preserve">Marilou T. Santos </t>
  </si>
  <si>
    <t>DONATION TO CLIENT FOR HER MEDICAL NEEDS QR: 0510220017</t>
  </si>
  <si>
    <t xml:space="preserve">Angelina M. Lozada </t>
  </si>
  <si>
    <t>DONATION TO CLIENT FOR HER MEDICAL NEEDS QR: 0510220019</t>
  </si>
  <si>
    <t xml:space="preserve">Sonny A. Santonia </t>
  </si>
  <si>
    <t>DONATION TO JEAN SANTONIA FOR HER HOSPITAL BILL AND MEDICAL NEEDS QR: 0510220002</t>
  </si>
  <si>
    <t xml:space="preserve">Marine A. Dominguez </t>
  </si>
  <si>
    <t>DONATION TO REGINA DOMINGUEZ FOR HER BURIAL EXPENSES QR: 0511220004</t>
  </si>
  <si>
    <t>DONATION TO JOEY BENOZA FOR HIS HOSPITAL BILL AND MEDICAL NEEDS QR: 0512220006</t>
  </si>
  <si>
    <t xml:space="preserve">Tomas S. Gonzalo </t>
  </si>
  <si>
    <t>DONATION TO ARNOLD ORBITA FOR HIS HOSPITAL BILL QR: 0512220007</t>
  </si>
  <si>
    <t xml:space="preserve">Joanna V. Parrera </t>
  </si>
  <si>
    <t>DONATION TO CLIENT FOR HER HOSPITAL BILL QR: 0512220004</t>
  </si>
  <si>
    <t>DONATION FOR THE HOSPITAL BILLS COVERING THE PERIOD MAY 2-6 , 2022</t>
  </si>
  <si>
    <t>DONATION FOR THE HOSPITAL BILLS COVERING THE PERIOD MAY 5, 2022</t>
  </si>
  <si>
    <t>DONATION TO MARIETA DELA CRUZ FOR HER BURIAL EXPENSES QR: 0510220045</t>
  </si>
  <si>
    <t xml:space="preserve">Nida P. Jedeliz </t>
  </si>
  <si>
    <t>DONATION TO CLIENT FOR HER HOSPITAL BILL QR: 0504220002DIN</t>
  </si>
  <si>
    <t xml:space="preserve">Arcee C. Mendoza </t>
  </si>
  <si>
    <t>DONATION TO THELMA MENDOZA FOR HER HOSPITAL BILL QR: 0510220038</t>
  </si>
  <si>
    <t xml:space="preserve">Maria Elena R. Cruz </t>
  </si>
  <si>
    <t>DONATION TO RENIPHER DE GUIA FOR HER HOSPITAL BILL QR: 0510220043</t>
  </si>
  <si>
    <t xml:space="preserve">Sherilyn V. Canlas </t>
  </si>
  <si>
    <t>DONATION TO CAROLINA VELAYO FOR HER HOSPITAL BILL QR: 0510220044</t>
  </si>
  <si>
    <t>DONATION TO CLARITA SAGUN FOR HER HOSPITAL BILL QR: 0510220048</t>
  </si>
  <si>
    <t xml:space="preserve">Kimberly P. Bangco </t>
  </si>
  <si>
    <t>DONATION TO CLIENT FOR HER HOSPITAL BILL QR: 0510220041</t>
  </si>
  <si>
    <t xml:space="preserve">Ednalyn P. de Guzman </t>
  </si>
  <si>
    <t>DONATION TO MELODY DE GUZMAN FOR HER MEDICAL NEEDS QR: 0504220001DIN</t>
  </si>
  <si>
    <t xml:space="preserve">Nelvy E. Bermudez </t>
  </si>
  <si>
    <t>DONATION TO EDGAR BERMUDEZ FOR HIS MEDICAL NEEDS QR: 0510220046</t>
  </si>
  <si>
    <t xml:space="preserve">May Ann V. Tagudin </t>
  </si>
  <si>
    <t>DONATION TO MIKE GABRIEL TAGUDIN FOR HIS MEDICAL NEEDS QR: 0510220034</t>
  </si>
  <si>
    <t>DONATION TO DELNA BASALO FOR HER MEDICAL NEEDS QR: 0510220033</t>
  </si>
  <si>
    <t>DONATION TO JAKE CARLOS FOR HIS MEDICAL NEEDS QR: 0510220042</t>
  </si>
  <si>
    <t>DONATION TO VIOLETA NAVA FOR HER BURIAL EXPENSES QR: 0510220008</t>
  </si>
  <si>
    <t>DONATION TO MONICA S. IZON FOR HER BURIAL EXPENSES QR: 0510220005</t>
  </si>
  <si>
    <t>DONATION TO RUBEN TORDERA FOR HIS HOSPITAL BILL AND MEDICAL NEEDS QR: 0510220047</t>
  </si>
  <si>
    <t xml:space="preserve">Windelio C. Ambat </t>
  </si>
  <si>
    <t>DONATION TO CLIENT FOR HIS HOSPITAL BILL QR: 0510220049</t>
  </si>
  <si>
    <t xml:space="preserve">Romalyn P. Malonzo </t>
  </si>
  <si>
    <t>DONATION TO MARIETTA MALONZO FOR HER HOSPITAL BILL QR: 0510220050</t>
  </si>
  <si>
    <t xml:space="preserve">Danica C. Almeria </t>
  </si>
  <si>
    <t>DONATION TO CLIENT AND GRANT ANTHONY ALMERIA FOR THEIR HOSPITAL BILLS AND PROFESSIONAL FEE QR: 0510220007</t>
  </si>
  <si>
    <t xml:space="preserve">Jay-Jay O. Millan </t>
  </si>
  <si>
    <t>JAY O MILLAN / MARIVELES BATAAN-DONATION TO REZIEL MILLAN FOR HER HOSPITAL BILL QR: 0510220040</t>
  </si>
  <si>
    <t xml:space="preserve">Joshua D. De Jesus </t>
  </si>
  <si>
    <t>DONATION TO CORINA SORIANO AND DAENERYS ANICA DE JESUS FOR THEIR HOSPITAL BILLS QR: 0510220039</t>
  </si>
  <si>
    <t>DONATION TO CATALINO VIRAY JR. FOR HIS HOSPITAL BILL QR: 0510220051</t>
  </si>
  <si>
    <t>DONATION TO CLIENT FOR HER MEDICAL NEEDS QR: 0510220036</t>
  </si>
  <si>
    <t xml:space="preserve">John Carlo G. Serena </t>
  </si>
  <si>
    <t>DONATION TO REYCELYN SENERA AND AISHI SACHI SENERA FOR THEIR HOSPITAL BILLS QR: 0324220004</t>
  </si>
  <si>
    <t xml:space="preserve">Jay A. Buco </t>
  </si>
  <si>
    <t>DONATION TO CLIENT FOR HIS MEDICAL NEEDS QR: 0429220011</t>
  </si>
  <si>
    <t>DONATION TO GLADYS LAYUG FOR HER PROFESSIONAL FEE QR: 0511220005</t>
  </si>
  <si>
    <t>DONATION TO DANILO GUINTO FOR HIS MEDICAL NEEDS QR: 0512220012</t>
  </si>
  <si>
    <t xml:space="preserve">Angelito P. Inocencio </t>
  </si>
  <si>
    <t>DONATION TO MA. CORAZON INOCENCIO FOR HER MEDICAL NEEDS QR: 0512220002</t>
  </si>
  <si>
    <t>DONATION TO NYMPHA BUCO FOR HER MEDICAL NEEDS QR: 0512220008</t>
  </si>
  <si>
    <t xml:space="preserve">Haidelisa C. Araña </t>
  </si>
  <si>
    <t>DONATION TO MERLINDA CHAVEZ FOR HER MEDICAL NEEDS QR: 0511220002</t>
  </si>
  <si>
    <t xml:space="preserve">Elisa D. Ramos </t>
  </si>
  <si>
    <t>DONATION TO ENESTO DELA CRUZ FOR HIS MEDICAL NEEDS QR: 0512220003</t>
  </si>
  <si>
    <t>Payment of internet subscription with account number 13544 for the period of May 1-31, 2022</t>
  </si>
  <si>
    <t>Replenishment of Incidental expenses and Daily Market purchase of BCMH from April 16-30, 2022</t>
  </si>
  <si>
    <t>Payment for the internet subscription of account number 656849940 for the period of March 17, 2022 to April 16,2022</t>
  </si>
  <si>
    <t>Payment of internet subscription of account number 656678917 for the period of March 17, 2022 to April 16, 2022</t>
  </si>
  <si>
    <t>Payment for the internet subscription of account number 656682647for the period of March 17, 2022 to April 16,2022</t>
  </si>
  <si>
    <t>PURPOSE COOPERATIVE - Payment of newspaper for the month of April 2022</t>
  </si>
  <si>
    <t xml:space="preserve">Aileen G. Burgos </t>
  </si>
  <si>
    <t>DONATION TO ANTONIO BURGOS FOR HIS BURIAL EXPENSES QR: 0510220018</t>
  </si>
  <si>
    <t>Petty cash fund replenishment May 11-17, 2022</t>
  </si>
  <si>
    <t>Registration fee to virtual 43rd Annual National Convention and Webinar (ANCW) on June 9-10, 2022</t>
  </si>
  <si>
    <t>Cash advance for honorarium re: Seminar on arts and crafts to child development workers/teachers on May 26 and 27, 2022</t>
  </si>
  <si>
    <t xml:space="preserve">Marialyn M. Flores </t>
  </si>
  <si>
    <t>DONATION TO ISABELO FLORES FOR HIS BURIAL EXPENSES QR: 0510220037</t>
  </si>
  <si>
    <t xml:space="preserve">Provincial Government of Bataan - Trust fund (UCPB Account No. 20207-000844-0) </t>
  </si>
  <si>
    <t>Transfer of amount collected via GCash for NoCap Speed Limit Violation</t>
  </si>
  <si>
    <t>Payment of electric bill of MDH for the month of June, 2022 (50774)</t>
  </si>
  <si>
    <t>Payment of electric bill of MDH for the month of June, 2022 (50666)</t>
  </si>
  <si>
    <t>Payment of Electric Bill of Provl Council for Welfare for the month of June, 2022</t>
  </si>
  <si>
    <t>Payment of Electric Bill of PGO- PSWDO for the month of June, 2022</t>
  </si>
  <si>
    <t>Payment of Electric Bill of CCTV for the month of June, 2022</t>
  </si>
  <si>
    <t>Payment of electric bill of Checkpoint Palihan and Balsik for the month of June, 2022</t>
  </si>
  <si>
    <t>Payment of electric bill of ODH, JPMH, BCMH, and Luminaire for the month of June, 2022</t>
  </si>
  <si>
    <t xml:space="preserve">Andrea Shane M. Torres </t>
  </si>
  <si>
    <t>Donation to Andrea Shane M. Torres and Company for Participating the Internal conference on energy, Aquatech and sustainability 2022 at South Korea from August 3-5, 2022</t>
  </si>
  <si>
    <t>Payment of monthly subscription Fee for the services of Internet Connection of Malasakit Mariveles Covering Period June 17 - July 16, 2022</t>
  </si>
  <si>
    <t>Payment of her maternity leave for the period of June 15 - September 27, 2022</t>
  </si>
  <si>
    <t>Cash advance to defray expenses of NLEX Lakbay Norte from August 4 to 6, 2022</t>
  </si>
  <si>
    <t>To payment for thirty pcs (30) Commercial checkbooks</t>
  </si>
  <si>
    <t>Payment of Internet Landline of JPMH for the period of July 21 - August 20, 2022</t>
  </si>
  <si>
    <t>Payment of monthly subscription plan for the period of July 18 - August 17, 2022</t>
  </si>
  <si>
    <t>Payment of telephone expenses (237-2414) for the period of July 18 - August 17, 2022</t>
  </si>
  <si>
    <t>Payment of PLDT Fiber Telphone Bills in the office of the Sangguniang Panlalawigan Office of (VG Garcia, Secretary Salazar and Boardmember Dominguez) for the period of July 18 - August 17, 2022</t>
  </si>
  <si>
    <t>Payment of electric bill of Establishment of Provincial Plant (Pilar) for the month of June, 2022</t>
  </si>
  <si>
    <t>Payment of electric bill of 1Bataan Malasakit Dialysis for the month of June, 2022</t>
  </si>
  <si>
    <t>Payment of electric bill of PICE CAPITOL SITE for the month of June, 2022</t>
  </si>
  <si>
    <t>Payment of electric bill of MBDA RELAY for the month of June, 2022</t>
  </si>
  <si>
    <t>Payment of Electric Bill of various offices, buildings and street lights owned by the PGB for the month of June, 2022</t>
  </si>
  <si>
    <t>DONATION TO MA. TEODORA PIZARRO FOR HER MEDICAL NEEDS QR: 0722220028</t>
  </si>
  <si>
    <t>Replenishment of Revolving Fund for payment of donation to indigent constituents from Province of Bataan (July 27-28)</t>
  </si>
  <si>
    <t xml:space="preserve">Feliciats V. Abrera </t>
  </si>
  <si>
    <t>Payment of internet bill for the period covering July 18, 2022 to August 17, 2022</t>
  </si>
  <si>
    <t>Payment of telepchone expenses landline of ODH for billing period July 21 - August 20, 2022</t>
  </si>
  <si>
    <t>Blinker and Siren for the used of MBDA Patrol Vehicle owned by Provincial Government of Bataan</t>
  </si>
  <si>
    <t xml:space="preserve">Melody F. Alcazar </t>
  </si>
  <si>
    <t>DONATION TO MARINA FERNANDEZ FOR HER BURIAL EXPENSES QR: 0722220017</t>
  </si>
  <si>
    <t xml:space="preserve">Reyson B. De Guzman </t>
  </si>
  <si>
    <t>DONATION TO MAYETTE DE GUZMAN FOR HER HOSPITAL BILL QR: 0722220020</t>
  </si>
  <si>
    <t xml:space="preserve">Pauliene A. Cura </t>
  </si>
  <si>
    <t>DONATION TO CHONA CURA FOR HER BURIAL EXPENSES QR: 0722220013</t>
  </si>
  <si>
    <t>DONATION TO NEIL JENSEN GOMEZ FOR HIS HOSPITAL BILL QR: 0722220009</t>
  </si>
  <si>
    <t xml:space="preserve">Ryan del Mundo Tejada </t>
  </si>
  <si>
    <t>DONATION TO ALMARIO TEJADA FOR HIS HOSPITAL BILL AND MEDICAL NEEDS QR: 0722220027</t>
  </si>
  <si>
    <t xml:space="preserve">Marry Grace D. Villano </t>
  </si>
  <si>
    <t>DONATION TO ALI ASHER VILLANO FOR HER HOSPITAL BILL QR: 0722220029</t>
  </si>
  <si>
    <t xml:space="preserve">Ria Tallara </t>
  </si>
  <si>
    <t>DONATION TO RICARDO JR. TUAZON FOR HIS BURIAL EXPENSES</t>
  </si>
  <si>
    <t xml:space="preserve">Reynaldo S. Guevarra </t>
  </si>
  <si>
    <t>DONATION TO CLIENT FOR HIS MEDICAL NEEDS QR: 0725220008</t>
  </si>
  <si>
    <t xml:space="preserve">Anastacia M. Bautista </t>
  </si>
  <si>
    <t>DONATION TO ANA JOIE BAUTISTA FOR HER HOSPITAL BILL QR: 0722220005</t>
  </si>
  <si>
    <t xml:space="preserve">Gallary S. Gallego </t>
  </si>
  <si>
    <t>DONATION TO ADLER YUGA FOR HIS MEDICAL NEEDS QR: 0722220001</t>
  </si>
  <si>
    <t xml:space="preserve">Ramon C. Rodriguez </t>
  </si>
  <si>
    <t>DONATION TO CLIENT FOR HIS MEDICAL NEEDS QR: 0722220008</t>
  </si>
  <si>
    <t>DONATION TO ROMEO CASTRO FOR HIS BURIAL EXPENSES QR: 0722220011</t>
  </si>
  <si>
    <t xml:space="preserve">Kim Elizabeth Y. Deveza </t>
  </si>
  <si>
    <t>DONATION TO CLIENT AND KAI JAIDEN MOLINA FOR THEIR HOSPITAL BILLS QR: 0722220026</t>
  </si>
  <si>
    <t xml:space="preserve">Jenielyn P. Arjona </t>
  </si>
  <si>
    <t>DONATION TO LUIS PAGUIO FOR HIS HOSPITAL BILL QR: 0722220012</t>
  </si>
  <si>
    <t>Reimbursement of re: Bataan Federation of Senior Citizens Asso. Of the phils. Transportation in their attendance to the regular meeting dated July 21, 2022</t>
  </si>
  <si>
    <t>REIMBURSEMENT RE: Transportation of Samahan Day Care Worker ng Bataan Allowance on their Attendance to the Regular Meeting dated July 20, 2022</t>
  </si>
  <si>
    <t>Fuel on different service vehicle used by BJMP-Female, SOCO, PDRRMO &amp; PGENRO June 27-July 3, 2022</t>
  </si>
  <si>
    <t>Reimbursement of the amount paid for LTO vehicle registration of five (5) service vehicles owned by the PGB</t>
  </si>
  <si>
    <t>Payment of fuel consumption for the period of July 11-17, 2022 (PGO)</t>
  </si>
  <si>
    <t>Drugs and medicines of ODH</t>
  </si>
  <si>
    <t>Drugs and medicines supplies of MDH</t>
  </si>
  <si>
    <t>Emergency Purchase of Drugs and Medicines Supplies for the use of Mariveles District Hospital</t>
  </si>
  <si>
    <t>Medical equipment for the use of Orani District Hospital</t>
  </si>
  <si>
    <t>Reimbursement of Preventive maintenance of PIO Service Vehicle - NISSAN URVAN 350 F2J 084 Parts and Labor</t>
  </si>
  <si>
    <t>Production of National Anthem AVP for the use of Provincial Government of Bataan</t>
  </si>
  <si>
    <t>Cash advance for transportation expenses, per diem and registration fees while atteding the refresher Training on Encoding, Review, and Analysis of the Statement of Receipts and Expentitures (SRE) Reports of LGUs in Region III on September 5 and 6, 2022</t>
  </si>
  <si>
    <t xml:space="preserve">Eloisa E. Manalo </t>
  </si>
  <si>
    <t>Petty cash fund replenishment Aug 15-26, 2022</t>
  </si>
  <si>
    <t>Payment of his first salary from July 1-31, 2022</t>
  </si>
  <si>
    <t>Payment of his first salary and RATA for the period of July 1 to August 31, 2022</t>
  </si>
  <si>
    <t>DONATION TO ANITA CASTILLO FOR HER BURIAL EXPENSES</t>
  </si>
  <si>
    <t>Payment for the funeral services under the Libreng Libing Program for the period June1-25, 2022</t>
  </si>
  <si>
    <t>Donation to their operational expenses re: Project Usig operations againts illegal drugs for the month of April - June 2022</t>
  </si>
  <si>
    <t>Donation to their operational expenses re: Project Usig operations againts illegal drugs for the month of March - MAy 2022</t>
  </si>
  <si>
    <t>Donation to their operational expenses re: Project Usig operations againts illegal drugs for the month of March 2022</t>
  </si>
  <si>
    <t>Donation to their operational expenses re: Project Usig operations againts illegal drugs for the month of March-MAy 2022</t>
  </si>
  <si>
    <t>Donation to their operational expenses re: Project Usig operations againts illegal drugs for the month of March &amp; April 2022</t>
  </si>
  <si>
    <t xml:space="preserve">Crizalde M. Conde </t>
  </si>
  <si>
    <t>Donation to their operational expenses re: Project Usig operations againts illegal drugs for the month of June, 2022</t>
  </si>
  <si>
    <t>Donation to their operational expenses re: Project Usig operations againts illegal drugs for the month of May &amp; June, 2022</t>
  </si>
  <si>
    <t>Donation to their operational expenses re: Project Usig operations againts illegal drugs for the month of April-June, 2022</t>
  </si>
  <si>
    <t xml:space="preserve">Michelle B. Gaviola </t>
  </si>
  <si>
    <t>Donation to their operational expenses re: Project Usig operations againts illegal drugs for the month of March &amp; June 2022</t>
  </si>
  <si>
    <t>Donation to their operational expenses re: Project Usig operations againts illegal drugs for the month of March - June 2022</t>
  </si>
  <si>
    <t>Payment of her 15 days Vacation Leave Monetization</t>
  </si>
  <si>
    <t>Reimbursement the amount paid for LTO registration of Six (6) service vehicles owned by PGB</t>
  </si>
  <si>
    <t xml:space="preserve">Jake Renzo B. Cui </t>
  </si>
  <si>
    <t>Replenishment of Revolving Fund for payment of donations of indigent constituents in the Province of Bataan (September 12-13, 2022)</t>
  </si>
  <si>
    <t>Reimbursement of Gasoline, oil and lubricants expenses of ODH from June 1-30, 2022</t>
  </si>
  <si>
    <t>Payment of Water Bill of JPMH, Dialysis for the month of August, 2022</t>
  </si>
  <si>
    <t xml:space="preserve">Czyra Anne Marielle M. Sulangi </t>
  </si>
  <si>
    <t>Reimbursement of gasoline expenses from August 15-22, 2022</t>
  </si>
  <si>
    <t>Payment of Diesel consumed by Passenger Van Isuzu SHP- 848 for the period of July 25-31,2022 (PGSO)</t>
  </si>
  <si>
    <t>Reimbursement for payment of Water Analysis of MDH</t>
  </si>
  <si>
    <t>Replenishment of Emergency Purchase of NBB patients of JPMH for the period from August 30 - September 4, 2022</t>
  </si>
  <si>
    <t>Payment of Water Bill of MDH for the month of July 2022</t>
  </si>
  <si>
    <t>Payment of fuel consumption for the period of July 18-24, 2022 (MDH)</t>
  </si>
  <si>
    <t>Payment of Newspaper for the month of August 2022</t>
  </si>
  <si>
    <t>Payment for the funeral services under the Libreng Libing Program for the period May 26, June 30, July 14-30, August 1-2, 2022</t>
  </si>
  <si>
    <t>Payment for the funeral services under the Libreng Libing Program for the period July 14-29, 2022</t>
  </si>
  <si>
    <t>Payment for the funeral services under the Libreng Libing Program for the period April 28, May5-23, June 4-28, 2022</t>
  </si>
  <si>
    <t>Payment for the funeral services under the Libreng Libing Program for the period June 8-24. July 6-30, 2022</t>
  </si>
  <si>
    <t>Payment of fuel consumption for the period of July 11-17, 2022 (MDH)</t>
  </si>
  <si>
    <t>Payment of fuel consumption for the period of July 25-31, 2022 (MDH)</t>
  </si>
  <si>
    <t>Payment for the funeral services under the Libreng Libing Program for the period July 7-29, 2022</t>
  </si>
  <si>
    <t>Replenishment for market purchase of MDH for the period of August 21-26, 2022</t>
  </si>
  <si>
    <t>Purpose Cooperative-Payment of newspaper for the month of August 2022</t>
  </si>
  <si>
    <t>Payment of Water Bill of MDH for the month of December and August 2022</t>
  </si>
  <si>
    <t xml:space="preserve">Bea Katrina D. Yandoc </t>
  </si>
  <si>
    <t>Donation to Bea Katrina D. Yandoc for attending the training and Seminar in the 2022 AAACU Summer Enrichment Program at Thailand From August 22 - September 2, 2022</t>
  </si>
  <si>
    <t>Payment for mobile expensesfor the covered period of July 1-31, 2022</t>
  </si>
  <si>
    <t>Various grocery items for the consumption of inmates of Bataan District Jail within the period of August 16-31, 2022</t>
  </si>
  <si>
    <t>Assorted marine products for the consumption of inmates of Bataan District Jail within the period of August 16-31, 2022</t>
  </si>
  <si>
    <t>Reimbursement of Parts and Labor for the replacement and repair of fixed glass swing door for the use of Mariveles District Hospital</t>
  </si>
  <si>
    <t>Assorted vegetables products for the consumption of inmates of Bataan District Jail within the period of August 16-31, 2022</t>
  </si>
  <si>
    <t>Assorted meat and processed food for the consumption of inmates of Bataan District Jail within the period of August 16-31, 2022</t>
  </si>
  <si>
    <t>Parts for replacement of brake pad, brake shoe, wheel cylinder assembly, brake master assembly, wiper blades, engine coolant and brake fluid for Toyota Innova with Plate No. SJA-817 used by the Provincial Treasurer's Office</t>
  </si>
  <si>
    <t>Voucher box for the use in the Office of the Provincial Accountant</t>
  </si>
  <si>
    <t>DONATION TO ARNEL LAYUG FOR HIS BURIAL EXPENSES</t>
  </si>
  <si>
    <t>White Board for the use of PHO</t>
  </si>
  <si>
    <t>Materials needed for fabrication of 10 pcs Buggy for the used of Motorpool, RBM and CGBM Division of PEO</t>
  </si>
  <si>
    <t>Replacement of valve cover gasket and horn assigned to the office of the governor Toyota Innova with plate number SHJ-962</t>
  </si>
  <si>
    <t>For calibration of injection pump and nozzle of Toyota Hilux SDN-707 for the use of PHO</t>
  </si>
  <si>
    <t xml:space="preserve">Mennen C. Pantig </t>
  </si>
  <si>
    <t>DONATION TO CIRILO JR. OBENIETA FOR HIS BURIAL EXPENSES</t>
  </si>
  <si>
    <t>DONATION TO EUFRONIO VALENCIA FOR HIS BURIAL EXPENSES</t>
  </si>
  <si>
    <t xml:space="preserve">Marife R. Ganate </t>
  </si>
  <si>
    <t>DONATION TO KRISTINE JUANATA FOR HER HOSPITAL BILL</t>
  </si>
  <si>
    <t>DONATION TO MICHELLE OCONER FOR HIS HOSPITAL BILL</t>
  </si>
  <si>
    <t xml:space="preserve">Francis Marilyn G. Alonzo </t>
  </si>
  <si>
    <t>DONATION TO CLARO ALONZO FOR HIS HOSPITAL BILL</t>
  </si>
  <si>
    <t xml:space="preserve">Oliver D. Vergara </t>
  </si>
  <si>
    <t>DONATION TO JEAN ROSE VERGARA AND JESIAH CHLOE VERGARA FOR THEIR HOSPITAL BILLS</t>
  </si>
  <si>
    <t>DONATION TO LIGAYA DELA ROSA FOR HER MEDICAL NEEDS</t>
  </si>
  <si>
    <t xml:space="preserve">Ria Rose R. Banzon </t>
  </si>
  <si>
    <t>DONATION TO DIOSALIM REYES FOR HER MEDICAL NEEDS</t>
  </si>
  <si>
    <t>DONATION TO ANGELITO OCAMPO FOR HIS MEDICAL NEEDS</t>
  </si>
  <si>
    <t>DONATION FOR THE HOSPITAL BILLS OF VARIOUS CLIENTS COVERING THE PERIOD AUGUST 22-27, 2022</t>
  </si>
  <si>
    <t xml:space="preserve">Kaye Criscel T. Diesta </t>
  </si>
  <si>
    <t>Reimbursement of gasoline, oil and lubricants expenses of ODH from May 1-31, 2022</t>
  </si>
  <si>
    <t>Payment of Internet Subscription and Telephone Subscription to PLDT for the period of Augusts 17 - September 16, 2022 (657777803)</t>
  </si>
  <si>
    <t xml:space="preserve">Robert D. Cayanan </t>
  </si>
  <si>
    <t>DONATION TO MARCIAL CAYANAN FOR HIS BURIAL EXPENSES</t>
  </si>
  <si>
    <t>DONATION TO RIZALDE ORTIGUERRA FOR HIS BURIAL EXPENSES</t>
  </si>
  <si>
    <t>DONATION TO KAREN MALABANAN FOR HER HOSPITAL BILL, PROFESSIONAL FEE AND MEDICAL NEEDS</t>
  </si>
  <si>
    <t>DONATION TO CLARISSE BONGCO FOR HER HOSPITAL BILL</t>
  </si>
  <si>
    <t>DONATION TO NENITA BALUYOT FOR HER HOSPITAL BILL</t>
  </si>
  <si>
    <t xml:space="preserve">Shaira Joie E. Mariano </t>
  </si>
  <si>
    <t>DONATION TO DAISY ESTINOPO FOR HER HOSPITAL BILL</t>
  </si>
  <si>
    <t xml:space="preserve">Carl Daniel R. dela Peña </t>
  </si>
  <si>
    <t>DONATION TO LEILA DELA PEñA FOR HER HOSPITAL BILL</t>
  </si>
  <si>
    <t xml:space="preserve">Mylene de Jesus Soriano </t>
  </si>
  <si>
    <t>DONATION TO CRISANTA SIBUG FOR HER MEDICAL NEEDS</t>
  </si>
  <si>
    <t>DONATION TO NORMA TEODORO FOR HER MEDICAL NEEDS</t>
  </si>
  <si>
    <t xml:space="preserve">Katrin V. Hadji Cabir </t>
  </si>
  <si>
    <t>DONATION TO ZAVIA HADJI CABIR FOR HER MEDICAL NEEDS</t>
  </si>
  <si>
    <t xml:space="preserve">Municipal Treasurer - Pilar, Bataan </t>
  </si>
  <si>
    <t>Subsidy to Municipality of Pilar Bataan of their annual cultural activity on October 12, 2022</t>
  </si>
  <si>
    <t>Reimbursement of gasoline expenses of JPMH for the period from August 23 -31, 2022</t>
  </si>
  <si>
    <t xml:space="preserve">Phoe G. Pangan, Jr. </t>
  </si>
  <si>
    <t>Donation to their operational expenses re: Project Usig operations againts illegal drugs for the month of March-June, 2022</t>
  </si>
  <si>
    <t xml:space="preserve">Roger R. Pecenio </t>
  </si>
  <si>
    <t>Donation to their operational expenses re: Project Usig operations againts illegal drugs for the month of June 16-30, 2022</t>
  </si>
  <si>
    <t xml:space="preserve">Herline San Antonio </t>
  </si>
  <si>
    <t>Donation to International Kingdom Leaders Bataan Chapter for attending the 37th International Kingdom Leaders Convention 2022 Dated September 1-30, 2022</t>
  </si>
  <si>
    <t>Payment for the funeral services rendered under the Libreng Libing Program for the period May 27, August 13, October, 16,26, Nov, 12-29, December 12-25, 2021, Jan. 5-24, 2022</t>
  </si>
  <si>
    <t>Payment for the funeral services rendered under the Libreng Libing Program for the period July 25, August 8-23, 2022</t>
  </si>
  <si>
    <t>Payment for the funeral services rendered under the Libreng Libing Program for the period August 1-27, 2022</t>
  </si>
  <si>
    <t>Payment for the funeral services rendered under the Libreng Libing Program for the period June 27, July 10-29, 2022</t>
  </si>
  <si>
    <t>Replacement of defective battery for Howo Mini Dumptruck White of PEO owned by the Provincial Government of Bataan</t>
  </si>
  <si>
    <t>Labor for the reface of flywheel of FB L-300 SHS-787 of PEO owned by the Provincial Government of Bataan</t>
  </si>
  <si>
    <t>To provide meals and snacks for the eight (8) VIP for the NAPOLCOM Annual Inspection and Management Audit CY 2022 on July 18-26, 2022</t>
  </si>
  <si>
    <t>Reimbursement of PM sncaks for the tourism stakholders coordination metting held at Bataan Tourism Center Sept 7, 2022PM Snacks for the attendees and secretariat of Tourism Stakeholders meeting at the AVR of Bataan Tourism Center on September 7, 2022</t>
  </si>
  <si>
    <t>Snacks for visitors of Governor Joet Garcia on August 1, 8, 15, 22 &amp; 29, 2022</t>
  </si>
  <si>
    <t>LUNCH TO 305TH READY RESERVE INFANTRY BATALLION (RRIBN) FOR THEIR COMMAND POST EXERCISES OR CPX ON JULY 23-24, 2022</t>
  </si>
  <si>
    <t>Reimbursement of meals and drinks for VIP Visitors from DOH, PDOHO, LGU for Mariveles District Hospital on August 1, 2022</t>
  </si>
  <si>
    <t>Payment of water bill for Palayan ng Bayan, Bagong Silang fo the month of July, 2022</t>
  </si>
  <si>
    <t>Payment of Globe Mobile unlimitted cal &amp; text post paid plan for the month July 13 to August 12, 2022</t>
  </si>
  <si>
    <t>Payment of Water Bill in 1Bataan Housing Showroom Mariveles for the month of September 2022</t>
  </si>
  <si>
    <t xml:space="preserve">Joy Naguiat </t>
  </si>
  <si>
    <t>DONATION TO NORMA NAGUIAT FOR HER BURIAL EXPENSES</t>
  </si>
  <si>
    <t xml:space="preserve">Fennylou Almario </t>
  </si>
  <si>
    <t>DONATION TO BONIFACIO ALMARIO FOR HIS HOSPITAL BILL</t>
  </si>
  <si>
    <t xml:space="preserve">Michael Matt Capalao </t>
  </si>
  <si>
    <t>DONATION TO MAYNARD JORN CAPALAO FOR HIS HOSPITAL BILL</t>
  </si>
  <si>
    <t xml:space="preserve">Jo Anne Princess Esperanza </t>
  </si>
  <si>
    <t>DONATION TO ROSEPHINE MANUEL FOR HER HOSPITAL BILL</t>
  </si>
  <si>
    <t xml:space="preserve">Rochelle Garcia </t>
  </si>
  <si>
    <t>DONATION TO SUSANA GARCIA FOR HER MEDICAL NEEDS</t>
  </si>
  <si>
    <t xml:space="preserve">Jennifer Roxas </t>
  </si>
  <si>
    <t>DONATION TO JOSELITO ROXAS FOR HIS MEDICAL NEEDS</t>
  </si>
  <si>
    <t xml:space="preserve">Rosaemarie Peñaflor </t>
  </si>
  <si>
    <t>DONATION TO GEORGE PEñAFLOR FOR HIS HOSPITAL BILL</t>
  </si>
  <si>
    <t xml:space="preserve">Marian Duhina </t>
  </si>
  <si>
    <t>DONATION TO GIN GERALDINE DUHINA FOR HER HOSPITAL BILL</t>
  </si>
  <si>
    <t xml:space="preserve">May Ann Cipriano </t>
  </si>
  <si>
    <t xml:space="preserve">Joan Abrigo </t>
  </si>
  <si>
    <t>DONATION TO MYRNA LIGON FOR HER HOSPITAL BILL AND MEDICAL NEEDS</t>
  </si>
  <si>
    <t xml:space="preserve">Roland Manlowe Palorma </t>
  </si>
  <si>
    <t>DONATION TO ROSEMAR BAUTISTA AND SOFIA CLAIRE PALORMA FOR THEIR HOSPITAL BILLS</t>
  </si>
  <si>
    <t>DONATION TO SHERWIN OSMAN FOR HIS BURIAL EXPENSES</t>
  </si>
  <si>
    <t xml:space="preserve">Bataan St. Joseph Hospital &amp; Medical Center Corp.  </t>
  </si>
  <si>
    <t>DONATION TO KIM PHILIP SADSAD FOR HIS MEDICAL NEEDS</t>
  </si>
  <si>
    <t xml:space="preserve">Penelco Inc. </t>
  </si>
  <si>
    <t>Payment of Electric Bill of PGSO Checkpoint Balsik, Hermosa for the month of September, 2022</t>
  </si>
  <si>
    <t>Payment of Electric Bill of CCTV for the month of September, 2022</t>
  </si>
  <si>
    <t>Payment of Electric Bill of PGSO Check point TUCOP &amp; Roosevelt, and BJMP for the month of September, 2022</t>
  </si>
  <si>
    <t>Payment of Electric bill of JPMH and MBDA RELAY for the month of September 2022</t>
  </si>
  <si>
    <t>Payment of Electric bill of various district hospital for the month of September, 2022</t>
  </si>
  <si>
    <t>Payment of water bill for Charlie Company, Balanga for the month of August - September, 2022</t>
  </si>
  <si>
    <t>Replenishment of cash advance to defray payment of Daily Market Purchase from Oct. 8-15, 2022</t>
  </si>
  <si>
    <t>Jose Colminero</t>
  </si>
  <si>
    <t xml:space="preserve">Maria Cristina Medalla </t>
  </si>
  <si>
    <t>DONATION TO RONEL MEDALLA FOR HIS MEDICAL NEEDS</t>
  </si>
  <si>
    <t>DONATION FOR THE HOSPITAL BILLS COVERING THE PERIOD OCTOBER 10-13,2022</t>
  </si>
  <si>
    <t>DONATION FOR THE HOSPITAL BILLS COVERING THE PERIOD OCTOBER 11-14,2022</t>
  </si>
  <si>
    <t xml:space="preserve">Jhon Michael Santos </t>
  </si>
  <si>
    <t>DONATION TO REGINE BAROLA AND ZEMAIRA BRIELLE SANTOS FOR THEIR HOSPITAL BILLS</t>
  </si>
  <si>
    <t xml:space="preserve">Laila Simon </t>
  </si>
  <si>
    <t>DONATION TO ARIS LINGAD FOR HIS MEDICAL NEEDS</t>
  </si>
  <si>
    <t>Replenishment of Revolving Fund for payment of donation to indigent constituents from Province of Bataan (October 21 &amp; 24)</t>
  </si>
  <si>
    <t xml:space="preserve">Registry of Deeds  </t>
  </si>
  <si>
    <t>Payment of IT Service fees of the annotation on the Certificate of Title in Subsequent Registration for the Warrant of Levy Issued by the Province dated June 15, 2022</t>
  </si>
  <si>
    <t xml:space="preserve">Registry of Deeds </t>
  </si>
  <si>
    <t>Payment of LRA fees of the annotation on the Certificate of Title in Subscquent Registration for the Warrant of Levy issued by the Province dated June 15, 2022</t>
  </si>
  <si>
    <t>Remittance of philhealth contribution of JO employees for OCt 2022</t>
  </si>
  <si>
    <t xml:space="preserve">Barangay Treasurer Reformista Limay </t>
  </si>
  <si>
    <t>REFORMISTA LIMAY BATAAN - Subsidy to Sangguniang Kabataan of Barangay reformista Limay Bataan for their singing contest on October 31, 2022</t>
  </si>
  <si>
    <t>Payment of Water bill for Tucop PGSO Checkpoint for the month of August and September 2022</t>
  </si>
  <si>
    <t xml:space="preserve">Dinalupihan Water District  </t>
  </si>
  <si>
    <t>Payment of Water bill for 1Bataan Malasakit Dialysis Center for the month of September 2022</t>
  </si>
  <si>
    <t>Donations to Judget Jose Marie A. Quimboy for his participation to the national convention on October 19 to 21, 2022</t>
  </si>
  <si>
    <t>Payment of fuel consumption for the period September 5-11, 2022 (PGSO) KOS-994</t>
  </si>
  <si>
    <t>Payment of fuel consumption for the period of September 12-18, 2022 (LEGAL A5T 753)</t>
  </si>
  <si>
    <t>Payment of fuel consumption for the period of October 3-9, 2022 (BCMH)</t>
  </si>
  <si>
    <t>Payment of fuel consumption for the period of September 26 - October 02, 2022 (LEGAL A5T-753)</t>
  </si>
  <si>
    <t xml:space="preserve">Globe Telecom Inc. </t>
  </si>
  <si>
    <t>Payment of Monthly Subscription fee on Mobile Unlimited Call &amp; Text Postpaid Plan (Globe to Globe) for the month of August 13, 2022 - September 12, 2022 and September 13 - October 12, 2022</t>
  </si>
  <si>
    <t>Payment of Electric Bill of establishment of provincial Plant and (pilar) Multi purpose center, Tilapya for the month of September, 2022</t>
  </si>
  <si>
    <t>Payment of Electric Bill of waiting shed terminal, MBDA Satelite Office, People CTR 3 for the month of September, 2022</t>
  </si>
  <si>
    <t>Payment of Electric bill of 1Bataan Malasakit Dialysis Center for the month of September 2022</t>
  </si>
  <si>
    <t>Payment of Electric Bill of various offices and establishments for the month of September, 2022</t>
  </si>
  <si>
    <t>Payment of Electric Bill in 1Bataan Housing Showroom Mariveles for the period of August 26 - September 25, 2022</t>
  </si>
  <si>
    <t xml:space="preserve">Marlone Teng </t>
  </si>
  <si>
    <t>Donation to the Bataan Shooters Club - Batas for the upcoming Provincial Director's Cup Level 2 PPSA Sanctioned Match at Mt. Samat Firing Range in Diwa, Pilar, Bataan on October 28-30, 2022</t>
  </si>
  <si>
    <t>Cash advance for PAYT OF VARIOUS OBLIGATION</t>
  </si>
  <si>
    <t xml:space="preserve">Maryel Gonzales </t>
  </si>
  <si>
    <t>DONATION TO ELMER ONGOCO FOR HIS HOSPITAL BILL</t>
  </si>
  <si>
    <t xml:space="preserve">Michelle Abesamis </t>
  </si>
  <si>
    <t>Replenishment for market purchase of MDH for the period of October 05-10, 2022</t>
  </si>
  <si>
    <t>Replenishment of cash advance for emergency purchases of JPMH from October 11 - 13, 2022</t>
  </si>
  <si>
    <t>Reimbursement of Medicines, Supplies, X-ray, &amp; Laboratory Expenses under the PhilHealth No Balance Billing (NBB) of indigent patients in ODH from September 21 - October 07, 2022</t>
  </si>
  <si>
    <t>Replenishment of Emergency Purchases of NBB Patients for the period from October 14 - 17, 2022</t>
  </si>
  <si>
    <t xml:space="preserve">Municipal Treasurer Pilar </t>
  </si>
  <si>
    <t>Payment of Water Bill for Fishery, Bagong Silang for the month of September, 2022</t>
  </si>
  <si>
    <t>Payment of Water Bill for Palayan ng Bayan, Bagong Silang for the month of September 2023</t>
  </si>
  <si>
    <t>Payment of water bill for Charlie Company, Balanga for the month of October 2022</t>
  </si>
  <si>
    <t xml:space="preserve">PLDT Inc.  </t>
  </si>
  <si>
    <t>Payment of internet bill for the period covering of October 18, 2022 to November 17, 2022</t>
  </si>
  <si>
    <t>Reimbursed payment of Water analysis for Physical &amp; Chemical test &amp; Microbiology of JPMH</t>
  </si>
  <si>
    <t>Additional cost for the replenishment of cash advance for the replenishment of cash advance for emergency purchases of JCPMH OCt 4-6, 2022</t>
  </si>
  <si>
    <t>Payment of Electric Bill of the following offices, Balanga City for the month of September 2022</t>
  </si>
  <si>
    <t>Payment of Electric bill of PGO-PSWDO for the month of September 2022</t>
  </si>
  <si>
    <t xml:space="preserve">Estrelita P. Dominguez </t>
  </si>
  <si>
    <t>UCPB General</t>
  </si>
  <si>
    <t xml:space="preserve">Anabeth L. Vitanzos </t>
  </si>
  <si>
    <t>Payment of 50% scholarhip grant of 1 Teacher (Gurong Iskolar)taking her Doctoral Education as part of of the Iskolar ng Bataan Programo of the Provincial Goverment of Bataan</t>
  </si>
  <si>
    <t xml:space="preserve">Marites M. Ravago </t>
  </si>
  <si>
    <t xml:space="preserve">Catheryn C. Panlaqui </t>
  </si>
  <si>
    <t xml:space="preserve">Donabel D. Dela Cruz </t>
  </si>
  <si>
    <t xml:space="preserve">Marlene G. Lulu </t>
  </si>
  <si>
    <t xml:space="preserve">Rowena V. Cabrera </t>
  </si>
  <si>
    <t xml:space="preserve">Rosario M. Garcia </t>
  </si>
  <si>
    <t>Payment of 50%of scholarship grant of 1 Student (Graduate Studies Iskolar) taking her Master Education as part of the Iskolar ng Bataan Program of the Provincial Government of Bataan</t>
  </si>
  <si>
    <t xml:space="preserve">Karen R. Claveria </t>
  </si>
  <si>
    <t>Payment of 50% scholarhip grant of 1 Teacher (Gurong Iskolar)taking her Masteral Education as part of of the Iskolar ng Bataan Programo of the Provincial Goverment of Bataan</t>
  </si>
  <si>
    <t xml:space="preserve">John Paul G. Manalaysay </t>
  </si>
  <si>
    <t>Payment of 50% scholarhip grant of 1 Teacher (Gurong Iskolar)taking his Masteral Education as part of of the Iskolar ng Bataan Programo of the Provincial Goverment of Bataan</t>
  </si>
  <si>
    <t xml:space="preserve">Michelle Lyne E. Buensuceso </t>
  </si>
  <si>
    <t xml:space="preserve">Lorena R. Tarrayo </t>
  </si>
  <si>
    <t xml:space="preserve">Regine Angela A. Tapang </t>
  </si>
  <si>
    <t xml:space="preserve">Gay S. Serrano </t>
  </si>
  <si>
    <t xml:space="preserve">Christina C. Jaime </t>
  </si>
  <si>
    <t xml:space="preserve">Michelle A. Macalintal </t>
  </si>
  <si>
    <t xml:space="preserve">Jan Adams D. Magtanong </t>
  </si>
  <si>
    <t>Payment of 50% scholarhip grant of 1 Teacher (Gurong Iskolar)taking hisDoctoral Education as part of of the Iskolar ng Bataan Programo of the Provincial Goverment of Bataan</t>
  </si>
  <si>
    <t xml:space="preserve">Eloisa T. San Juan </t>
  </si>
  <si>
    <t>Payment of Scholarship grant of 17 students if school year 2020-2021 of the Iskolar ng Bataan Program of the Provincial Government of Bataan</t>
  </si>
  <si>
    <t>Payment of Scholarship grant of 56 students if school year 2020-2021 of the Iskolar ng Bataan Program of the Provincial Government of Bataan</t>
  </si>
  <si>
    <t>Payment of Scholarship grant of 16 students if school year 2020-2021 of the Iskolar ng Bataan Program of the Provincial Government of Bataan</t>
  </si>
  <si>
    <t>CDCEC BATAAN,INC..- Payment of Scholarship grant of 12 students if school year 2020-2021 of the Iskolar ng Bataan Program of the Provincial Government of Bataan</t>
  </si>
  <si>
    <t>Payment of Scholarship grant of 23 students if school year 2020-2021 of the Iskolar ng Bataan Program of the Provincial Government of Bataan</t>
  </si>
  <si>
    <t>Payment of Scholarship grant of 20 students if school year 2020-2021 of the Iskolar ng Bataan Program of the Provincial Government of Bataan</t>
  </si>
  <si>
    <t>Payment of 50% scholarhip grant of 1 Teacher (Gurong Iskolar)taking her Doctoroal Education as part of of the Iskolar ng Bataan Programo of the Provincial Goverment of Bataan</t>
  </si>
  <si>
    <t xml:space="preserve">Jocel Mae T. Swin </t>
  </si>
  <si>
    <t xml:space="preserve">Kimberly M. Somo </t>
  </si>
  <si>
    <t xml:space="preserve">Mary Rose B. Ricafrente </t>
  </si>
  <si>
    <t>Payment of Scholarship grant of 18 Teachers (Gurong Iskolar) and 2 studentes (Graduate Studies) for 2nd trimester 2020-2021 and 1st trimester 2021-2022 of the Iskolar ng Bataan Programo of the Provincial Goverment of Bataan</t>
  </si>
  <si>
    <t xml:space="preserve">Melanie L. Habon </t>
  </si>
  <si>
    <t>Donation for educational assistance</t>
  </si>
  <si>
    <t xml:space="preserve">Frances Marie Ochoa </t>
  </si>
  <si>
    <t xml:space="preserve">May Faith D. Dela Cruz </t>
  </si>
  <si>
    <t xml:space="preserve">Marlon C. Holgado </t>
  </si>
  <si>
    <t xml:space="preserve">Isaac Gabriel C. Masa </t>
  </si>
  <si>
    <t xml:space="preserve">Jennylyn L. Navoa </t>
  </si>
  <si>
    <t>Payment of Scholarship Grant of 23 Teachers (Gurong Iskolar)for 3rd trimester 2020-2021 and 2 Student (Graduate Studies) 1st trimester 2020-2021 of the Iskolar ng Bataan Programo of the Provincial Goverment of Bataan</t>
  </si>
  <si>
    <t>Payment of Scholarship Grant of 44 Teachers (Gurong Iskolar)for first trimester 2020-2021 of the Iskolar ng Bataan Programo of the Provincial Goverment of Bataan</t>
  </si>
  <si>
    <t>Payment of Scholarship Grant of 61 Teachers (Gurong Iskolar)for first trimester 2020-2021 of the Iskolar ng Bataan Programo of the Provincial Goverment of Bataan</t>
  </si>
  <si>
    <t xml:space="preserve">Katlyn Kaye A. David </t>
  </si>
  <si>
    <t xml:space="preserve">Melody C. Mañalac </t>
  </si>
  <si>
    <t xml:space="preserve">Gerald B. Jaraba </t>
  </si>
  <si>
    <t>Donation for educational assistance for his son Lord Christian C. Jaraba</t>
  </si>
  <si>
    <t xml:space="preserve">Bingo B. Dela Cruz </t>
  </si>
  <si>
    <t>Payment of 50% of scholarship grant of 1 Teacher (Gurong Iskolar) taking his Masteral Education as part of the Iskolar ng Bataan Program of the Provincial Government of Bataan</t>
  </si>
  <si>
    <t xml:space="preserve">Maria Fe M. Ignacio </t>
  </si>
  <si>
    <t>Payment of 50% of scholarship grant of 1 Teacher (Gurong Iskolar) taking her Masteral Education as part of the Iskolar ng Bataan Program of the Provincial Government of Bataan</t>
  </si>
  <si>
    <t xml:space="preserve">Bea G. Suguitan </t>
  </si>
  <si>
    <t xml:space="preserve">Andrea Jessa D. Reyes </t>
  </si>
  <si>
    <t xml:space="preserve">Jeniel G. Reyes </t>
  </si>
  <si>
    <t>Payment of 50% of scholarship grant of 1 Teacher (Gurong Iskolar) taking her Doctoral Education as part of the Iskolar ng Bataan Program of the Provincial Government of Bataan</t>
  </si>
  <si>
    <t xml:space="preserve">Michael R. Firaza </t>
  </si>
  <si>
    <t xml:space="preserve">Natalie L. Rodriguez </t>
  </si>
  <si>
    <t xml:space="preserve">Rio Joy P. Salenga </t>
  </si>
  <si>
    <t xml:space="preserve">Marlon D. Pizarro </t>
  </si>
  <si>
    <t xml:space="preserve">Jaymie Olivarez Rayo </t>
  </si>
  <si>
    <t>Payment of fuel consumption for the period of February 28 to March 6, 2022 (PGSO)</t>
  </si>
  <si>
    <t xml:space="preserve">Farida M. Tranate </t>
  </si>
  <si>
    <t>Payment of her first salary as Social Welfare Aide for the month of March, 2022</t>
  </si>
  <si>
    <t xml:space="preserve">Sheradel S. David </t>
  </si>
  <si>
    <t xml:space="preserve">Gian Irish R. Baluyot </t>
  </si>
  <si>
    <t>Payment of her first salary as Social Welfare Assistant for the month of March, 2022</t>
  </si>
  <si>
    <t xml:space="preserve">Mercedita V. Aguylo </t>
  </si>
  <si>
    <t xml:space="preserve">Catherine May D. Caladiao </t>
  </si>
  <si>
    <t xml:space="preserve">Gabriel P. Valerio </t>
  </si>
  <si>
    <t>Payment of his first salary as Social Welfare Assistant for the month of March, 2022</t>
  </si>
  <si>
    <t xml:space="preserve">Maria Luisa O. Valencia </t>
  </si>
  <si>
    <t xml:space="preserve">Wiezel F. Santos </t>
  </si>
  <si>
    <t xml:space="preserve">Criselda Kamilla V. dela Cruz </t>
  </si>
  <si>
    <t xml:space="preserve">Maridaine V. De Mesa </t>
  </si>
  <si>
    <t>Payment of his first salary as Administrateive Aide IV for the month of March, 2022</t>
  </si>
  <si>
    <t>Payment of his first salary as Administrative Assistant I for the month March, 2022</t>
  </si>
  <si>
    <t xml:space="preserve">Ailen C. Sagun </t>
  </si>
  <si>
    <t>Payment of her salary differential as Administrative Officer V for the month of March 2022</t>
  </si>
  <si>
    <t>Payment of participation fee of ODH's Laboratory in National External Quality Assessment Scheme (NEQAS) in Clinical Chemistry of the National Reference Laboratory for CY 2022</t>
  </si>
  <si>
    <t>Remittance of Pag-ibig MPL &amp; calamity loan JO employees  March 2022</t>
  </si>
  <si>
    <t>Payment of her salary differential from Administrative Aide IV to Administrative Assistant II for the month of March, 2022</t>
  </si>
  <si>
    <t xml:space="preserve">Ernesto N. Labog Jr </t>
  </si>
  <si>
    <t>Payment of salary for the month of March 1-31, 2022</t>
  </si>
  <si>
    <t>Payment of his salary for the period March 1-31, 2022</t>
  </si>
  <si>
    <t>Payment of his first salary as Labor and Employment Officer I for the month of March, 2022</t>
  </si>
  <si>
    <t>Payment of his first salary as Aquacultural Technician II for the month of March, 2022</t>
  </si>
  <si>
    <t xml:space="preserve">Michael Coronel </t>
  </si>
  <si>
    <t>Payment of his first salary as Administrative Assistant VI at the rate of Php 27,608.00 for the period of March 1-31, 2022</t>
  </si>
  <si>
    <t xml:space="preserve">Roniel D. Gaynilo </t>
  </si>
  <si>
    <t>Payment of salary for the month of March, 2022</t>
  </si>
  <si>
    <t xml:space="preserve">Kathleen Rose L. Basilio </t>
  </si>
  <si>
    <t>Payment of her first salary as Project Development Officer II for the month of March, 2022</t>
  </si>
  <si>
    <t xml:space="preserve">Jemuelle S. Tanega </t>
  </si>
  <si>
    <t>Payment of his salary differential as Animal Keeper III for the month of March, 2022</t>
  </si>
  <si>
    <t>Payment of her first salary as Aquacultural Technician for the month of March, 2022</t>
  </si>
  <si>
    <t xml:space="preserve">Register of Deeds for Balanga, Bataan-for the account of PNB Trust Banking Group as Escrow Agent for Trust Account no. 1611447TA01 </t>
  </si>
  <si>
    <t>For the account of PNB Trust Banking Group as Escrow Agent for Trust Account No. 161144TA01 - Payment of IT services fees for the request of certified true copy of computerized title to be use in the issuance of Warrant of Levy</t>
  </si>
  <si>
    <t>Payment of LRA fees for the request of certified true copy of computerized title to be use in the issuance of Warrant of Levy</t>
  </si>
  <si>
    <t>Payment of his salary as Agricultural Technician II for the month March, 2022</t>
  </si>
  <si>
    <t>Reimbursement of gasoline, oil and lubricant expenses of ODH for the period of February 15-28,2022</t>
  </si>
  <si>
    <t>Reimbursement of gasoline, oil and lubricant expenses of ODH for the period of February 1-14,2022</t>
  </si>
  <si>
    <t>Parts and labor for the 40,000 km preventive maintenance Nissan Ambulance FOC164 of MBDA owned by the Provincial Government of Bataan</t>
  </si>
  <si>
    <t>Payment of PLAN 300 for employees assigned as monitoring gathering and analysing COVID 2019 related data in the Province of Bataan Covering Period for the month of Januray 2022</t>
  </si>
  <si>
    <t>Payment of fuel consumption for the period of December 27-31, 2021 (MDH)</t>
  </si>
  <si>
    <t>Reimbursement of Meals and Snacks to be served during the 3days ingress and preparation of BPML: Battle of Bataan Gallery on March 29-31,2022</t>
  </si>
  <si>
    <t>Payment of fuel consumption for the period of December 13-19, 2021 (BAGAC)</t>
  </si>
  <si>
    <t>Payment of fuel consumption for the period of December 20-26, 2021 (MDH)</t>
  </si>
  <si>
    <t>Payment of fuel consumption for the period of Dec 13-19,2021 (MDH)</t>
  </si>
  <si>
    <t>Payment of telephone bill of Jose C. Payumo Jr. Memorial Hospital for the period of February 21, 2022 to March 20, 2022</t>
  </si>
  <si>
    <t>Payment of PLDT Fiber for the month of March 21, 2022 to April 20,2022</t>
  </si>
  <si>
    <t>Payment of fuel consumption for the period of December 5-12, 2021 (PGSO)</t>
  </si>
  <si>
    <t>Payment of fuel consumption for the period of November 29- December 12, 2021 (COA)</t>
  </si>
  <si>
    <t>Payment of fuel consumption for the period of December 20-26, 2021 (COA)</t>
  </si>
  <si>
    <t>Payment of fuel consumption for the period of December 6-12, 2021 (BAGAC)</t>
  </si>
  <si>
    <t xml:space="preserve">Mayrose D. Lorenzo </t>
  </si>
  <si>
    <t>Payment of Allowance for the month of MARCH 2022</t>
  </si>
  <si>
    <t>Payment of Fidelity Bond of Provincial Enginner Enrico T. Yuzon for the year 2022-2023</t>
  </si>
  <si>
    <t>Payment of monthly internet subscription plan for the period of Mar 17 - Apr 16, 2022 for NBI-Mariveles Satellite office in FAB Building, mariveles, Bataan as part of the tripartite MOA among PGB. NBI &amp; FAB</t>
  </si>
  <si>
    <t>Payment of internet connection of BCMH for the billing period of March 30, 2022 to April 29, 2022</t>
  </si>
  <si>
    <t>Payment of monthly subscription plan for the period of March 18-April 17, 2022</t>
  </si>
  <si>
    <t>Fuel on different service vehicle used by PIO Dec 6-12, 2021</t>
  </si>
  <si>
    <t>Fuel on different service vehicle used by PDRRMO, PG-ENRO, PIO,PTO, VET, TOURISM Dec 13-19, 2021</t>
  </si>
  <si>
    <t>Payment of fuel on different service vehicle used by PNP &amp; PTO December 20-26, 2021</t>
  </si>
  <si>
    <t>Payment of fuel on different service vehicle used by PNP, PHO, &amp; BJMP November 29-December 5, 2021</t>
  </si>
  <si>
    <t>Payment of fuel on different service vehicle used by PNP, PHO, &amp; BJMP 9-December 13-19, 2021</t>
  </si>
  <si>
    <t>Payment of fuel consumption for the period of December 27, 2021- January 2, 2022 (LEGAL)</t>
  </si>
  <si>
    <t>Payment of fuel on different service vehicle used by VET, BJMP, OPA &amp; PTO for Dec 27-Jan 2, 2022</t>
  </si>
  <si>
    <t>Payment of fuel consumption for generator set for the period of December 27, 2021- January 2, 2022</t>
  </si>
  <si>
    <t>Payment of diesel consumption for the period of March 7-13, 2022 (PGSO)</t>
  </si>
  <si>
    <t>Payment of diesel consumption for the period of March 14-20, 2022 (PGSO)</t>
  </si>
  <si>
    <t>Payment of fuel consumption for February 18-22, 2022 (PGSO)</t>
  </si>
  <si>
    <t>Payment of fuel consumption for the period of Nov 29-Dec 5,2021 (MDH)</t>
  </si>
  <si>
    <t>Payment of fuel consumption for February 28,2022 (PGSO)</t>
  </si>
  <si>
    <t>Payment of fuel consumption for February 7-13, 2022 (PGSO)</t>
  </si>
  <si>
    <t>Fuel on different service vehicle used by Soco, PCEDO &amp; OPA Dec 13-19 2021</t>
  </si>
  <si>
    <t>Fuel on different service vehicle used by BJMP, PHO, PIO Dec 20-26, 2021</t>
  </si>
  <si>
    <t>Payment of fuel consumption on different service vehilce used by PIO, tourism &amp; Soco for the period of Nov 29-Dec 5, 2021</t>
  </si>
  <si>
    <t>Fuel on different service vehicle used by OPA, PCEDO, PDRRMO, PGENRO, PTO, VET Nov 29-Dec 5, 2021</t>
  </si>
  <si>
    <t>Payment of fuel consumption for the period of December 27- January 2, 2022</t>
  </si>
  <si>
    <t xml:space="preserve">Reynaldo S. Isidro </t>
  </si>
  <si>
    <t>TAx refund for 2001</t>
  </si>
  <si>
    <t xml:space="preserve">Mary Edwina R. Paguio </t>
  </si>
  <si>
    <t>TAx refund for 2014 &amp; 2018</t>
  </si>
  <si>
    <t xml:space="preserve">Jemer M. Rafael </t>
  </si>
  <si>
    <t>TAx refund for 2004</t>
  </si>
  <si>
    <t xml:space="preserve">Anita D. Ruiz </t>
  </si>
  <si>
    <t>TAx refund for 2014</t>
  </si>
  <si>
    <t xml:space="preserve">Aliw Z. Jose </t>
  </si>
  <si>
    <t xml:space="preserve">Felizardo D. Sevilla </t>
  </si>
  <si>
    <t>TAx refund for 2000</t>
  </si>
  <si>
    <t>Payment for his first Salary as Administrative Aide I for the month of March 2022</t>
  </si>
  <si>
    <t>Payment of waterbill of JPMH, Dialysis for the month of March 2022</t>
  </si>
  <si>
    <t>Payment of fuel consumption for the period of December 27- January 2, 2022 (COA)</t>
  </si>
  <si>
    <t>Payment of fuel consumption for the period of December 13-19, 2021 (COA)</t>
  </si>
  <si>
    <t>Payment of fuel consumption for the period of November 29 to December 5, 2021 (LEGAL)</t>
  </si>
  <si>
    <t>Payment of fuel consumption for the period of December 20-26, 2021</t>
  </si>
  <si>
    <t>Payment of fuel consumption on different service vehicle used by Provincial Engineer's Office for the period of December 13-19, 2021</t>
  </si>
  <si>
    <t>Fuel on different service vehicle used by Soco, VET, PG-ENro, PCEDO, PPDO, PDRRMO &amp; OPA Dec 20-26, 2021</t>
  </si>
  <si>
    <t>Fuel on different service vehicle used by PCEDO, PDRRMO, PGENRO, PHO, PIO,PNP, PPDO &amp; SOCO Dec 27-Jan 2, 2022</t>
  </si>
  <si>
    <t>Payment of fuel consumption for the period of November 29 - December 5, 2021</t>
  </si>
  <si>
    <t xml:space="preserve">Dominic B. Doplon </t>
  </si>
  <si>
    <t>To Payment of allowance for the month of March 2022</t>
  </si>
  <si>
    <t>Payment of fuel consumption on different service vehicle used by Provincial Engineer's Office for the period of December 6-12, 2021</t>
  </si>
  <si>
    <t>Snack for the unity Walk and Peace Covenant Signingh in parternership woth Religious Secors, DICT, PPRVV, NAMFREL on March 14, 2022 to be held on Plaza Mayor de Balanga-to-Balanga Cathedral</t>
  </si>
  <si>
    <t>Reimbursement of non accountable forms (Registry Card) for the use of Jose C. Payumo Jr. Memorial Hospital, Dinalupihan, Bataan</t>
  </si>
  <si>
    <t xml:space="preserve">Desiree S. Sevilla </t>
  </si>
  <si>
    <t>TAx refund for 1999</t>
  </si>
  <si>
    <t xml:space="preserve">Nelissa B. Cui </t>
  </si>
  <si>
    <t>TAx refund for 2001 &amp; 2003</t>
  </si>
  <si>
    <t>Reimbursement of gasoline expenses for the period from March 22, 2022- March 31, 2022</t>
  </si>
  <si>
    <t xml:space="preserve">Ma. Sorina Garcia </t>
  </si>
  <si>
    <t>TAx refund for 2020</t>
  </si>
  <si>
    <t xml:space="preserve">Mel Irish R. Panganiban </t>
  </si>
  <si>
    <t xml:space="preserve">Ma. Kristina Cassandra E. Canda-Dionisio </t>
  </si>
  <si>
    <t>DIONISIO - To Payment of her salary for the period of February 2022 to March 2022 as Medical Consultant with basic salary of 300.00 per hour</t>
  </si>
  <si>
    <t>To CA for payment of overtime pay for the month of March 2022</t>
  </si>
  <si>
    <t>Payment of telephone and internet bill for the Provincial Health Office for the period of April 6, 2022- May 5, 2022</t>
  </si>
  <si>
    <t>Payment of Security Services rendered by 78 Security Guards deployed at the Bataan General Hospital and Medical Center, City of Balanga Bataan for the period covered from Feb 1 - 28, 2022</t>
  </si>
  <si>
    <t>Additional cash advance to defray of Daily Market Purchases expenses of ODH for CY 2022</t>
  </si>
  <si>
    <t>Payment of Water bill for Palayan ng Bayan, Bagong Silang for the month of February 2022</t>
  </si>
  <si>
    <t>Payment of Water bill for Fishery, Bagong Silang for the month of February 2022</t>
  </si>
  <si>
    <t xml:space="preserve">Adam Andgeline S. Deang </t>
  </si>
  <si>
    <t>Payment of internet Subscription of ODH with Account No. 0020200386215 for the billing period of April 1-30, 2022</t>
  </si>
  <si>
    <t>Payment of his first salary as Construction and Maintenance Man for the month of March 2022</t>
  </si>
  <si>
    <t>Payment of insurance of one (1) unit service vehicle owned by PGB (IO 4423)</t>
  </si>
  <si>
    <t>Reimbursement for the amount paid for the expenses incurred for services (FILING FEE/PETITION/APPEAL and CERTIFICATE of EXEMPTION) for the month of March 2022</t>
  </si>
  <si>
    <t>To Reimburse his incurred in the payment of meals and other expenses during various meetings</t>
  </si>
  <si>
    <t>Replenishment of Emergency Purchasesof NBB Patients of JCPMH for the period of April 5-7, 2022</t>
  </si>
  <si>
    <t xml:space="preserve">Joselito S. De Guzman </t>
  </si>
  <si>
    <t xml:space="preserve">Rhodora D. Lacanilao </t>
  </si>
  <si>
    <t xml:space="preserve">Michael Angelo G. Baluyot </t>
  </si>
  <si>
    <t>Tax refund for CY 2019</t>
  </si>
  <si>
    <t xml:space="preserve">Raquel O. Limcumpao </t>
  </si>
  <si>
    <t xml:space="preserve">Wynne L. Gubuan </t>
  </si>
  <si>
    <t>Reimbursement of smart phone for the use of Bataan Tourism Park</t>
  </si>
  <si>
    <t>Reimbursement of Medicines, Supplies, X-ray &amp; Laboratory Expenses under the PhilHealth No Balance Billing (NBB) of indigent patients in Orani District Hospital from February 18-March 4, 2022</t>
  </si>
  <si>
    <t>Payment of Internet Subscription and Telephone Subscription to PLDT for the period of March 17- April 16, 2022 for the use of MDH</t>
  </si>
  <si>
    <t>Payment of airfare and accommodation for the Benchmarking of the members of the Provincial School Board of Bataan with Malay District, Aklan Division from March 10-12, 2022</t>
  </si>
  <si>
    <t>Payment of fuel consumption for the period of March 21-27, 2022 (MBDA)</t>
  </si>
  <si>
    <t>Payment of fuel consumption for the period of March 28-April 3, 2022 (pgo)</t>
  </si>
  <si>
    <t>Payment of diesel consumption for the period of February 21-27, 2022 (PGSO)</t>
  </si>
  <si>
    <t>Payment of diesel consumption for the period of March14-20, 2022 (PGSO)</t>
  </si>
  <si>
    <t>Payment of newspaper for the month of March 2022</t>
  </si>
  <si>
    <t>PURPOSE COOPERATIVE - Payment for the newspaper subscription for the month of March 2022</t>
  </si>
  <si>
    <t>Parts and Labor for 70,000 km preventinve maintenance check-up of Toyota FX A5U228 of PEO owned by the Provincial Government of Bataan</t>
  </si>
  <si>
    <t>Parts and Labor for the 140,000 km preventive maintenance check-up of 2018/Hilux 2.4L 4X2 G AT- P5-006 with CS no. A5B261 for the use of Mariveles District Hospital</t>
  </si>
  <si>
    <t>Token for National Dental Health Month Celebration on February 24, 2022</t>
  </si>
  <si>
    <t>Toner Kyocera 6329 for the use of Orani District Hospital</t>
  </si>
  <si>
    <t>Bottomless Ink to be used for the Canon Printer or Photocopying of Requirements for Patients and Clients in PGO-SAP and 1BMDA Office</t>
  </si>
  <si>
    <t>Snacks &amp; Lunch to be served in the Local Farmer Technician (LFT) 1st quarter meeting to be held on March 10, 2022 at Duale, Limay, Bataan</t>
  </si>
  <si>
    <t>Snacks and Lunch for National Dental Health Month Celebration on February 24, 2022</t>
  </si>
  <si>
    <t>Payment of fuel consumption for the period of March 21-27,2022, 2022 (LEGAL)</t>
  </si>
  <si>
    <t>Payment of fuel consumption for the period of March 14-20, 2022 (LEGAL)</t>
  </si>
  <si>
    <t>Payment for the fuel consumption for the period of March 21-27, 2022 (COA)</t>
  </si>
  <si>
    <t>Payment of fuel consumption for the period of March 14-20, 2022 (COA)</t>
  </si>
  <si>
    <t>Payment of blood service fee for the blood and blood products supplied in ODH for February 2022</t>
  </si>
  <si>
    <t>Payment of meals expenses served for Tourism Guard dated December 2 to 15, 2021</t>
  </si>
  <si>
    <t>Drugs &amp; medicines for use of PHO</t>
  </si>
  <si>
    <t xml:space="preserve">Oro Oygen Corporation </t>
  </si>
  <si>
    <t>Medical oxygen for use of JCPMH</t>
  </si>
  <si>
    <t>Medicines to be use of BCMH</t>
  </si>
  <si>
    <t>Payment of Room Accommodation and meals incurred by Visitors from MGB during E-coli Assessment ad Water Sampling in 1Bataan Relocation Site - Daang Pare Orion Batan</t>
  </si>
  <si>
    <t>Payment of Room Accomodation and Meals incurred by Visitors from Department of Human Settelements and Urban Development</t>
  </si>
  <si>
    <t>Payment of blood service fee for the blood and blood products supplied in Orani District Hospital for January 2022</t>
  </si>
  <si>
    <t>Payment of rental of sound system for various activities</t>
  </si>
  <si>
    <t>Ans Enterprises-1% retention for laboratory reagents for electrolyte for use of JCPMH</t>
  </si>
  <si>
    <t>1% retention for fabricated furniture &amp; fixtures for NBI Satelites Office in FAB, Mariveles</t>
  </si>
  <si>
    <t>Certificates to be used for the Celebration of Foundation Day on January 3, 2022- January 11, 2022</t>
  </si>
  <si>
    <t>Photocopier supplies for the use of Bagac Community and Medicare Hospital</t>
  </si>
  <si>
    <t>Tanzi for grasscutting activities of Provincial Engineer's Office Maintenance Division (Bataan People''s Center ) during Covid-19 Pandemic</t>
  </si>
  <si>
    <t>UPS for replacement to defective unit used in the Provincial Treasurer's Office</t>
  </si>
  <si>
    <t>Printer for the use of Provincial Legal Office</t>
  </si>
  <si>
    <t>Servico Trade Inc- Parts &amp; Labor for the 12,000 km preventive maintenance Kawasaki Bigbike 650cc MV3540 AND Replacement of other deffective parts of MBDA owned by the Provincial Government of Bataan</t>
  </si>
  <si>
    <t>Servico Trade Inc-Parts &amp; Labor for the 9000 km preventive maintenance &amp; Change of 2 pcs. tires Kawasaki Bigbike 650cc MV3726 of MBDA owned by the Provincial Government of Bataan</t>
  </si>
  <si>
    <t>P Payment for PARTS &amp; LABOR FOR THE REPAIR OF AIRCONDITIONING SYSTEM OF NISSAN URVAN AMBULANCE NV350 NAO-4147 FOR THE USED OF MDH</t>
  </si>
  <si>
    <t>4.5" x 15" Acrylic Plate with sticker overlay (Red Font) for the use of MBDA Service Vehicle (Front and Back)</t>
  </si>
  <si>
    <t>Parts and Labor for the replacement of four (4) pcs of tire 265/65 R17 of Toyota Hilux A6U273 of PEO owned by the Provincial Government of Bataan</t>
  </si>
  <si>
    <t>Bottomless Ink for the use of Provincial Engineer's Office</t>
  </si>
  <si>
    <t>Emergency Purchase of UTP Cable to be use for the transfer of Vaccination Site from Bataan People's Center (BPC) to Old Capitol Bldg. (New PHO Bldg.)</t>
  </si>
  <si>
    <t>Meals to be served during the 1st Quarter National Simultaneous Earthquake Drill on March 10, 2022</t>
  </si>
  <si>
    <t>Servico Trade Inc- Parts &amp; Labor for the 9,000 km preventive maintenance &amp; change of 2pcs Tires Kawasaki Bigbike 650 cc MV3725 of MBDA owned by the Provincial Government of Bataan</t>
  </si>
  <si>
    <t>Servico Trade Inc- Parts &amp; Labor for the 9000 km preventive maintenance Kawasaki Bigbike 650cc MV3723 of MBDA owned by the Provincial Government of Bataan</t>
  </si>
  <si>
    <t>Servico Trade Inc-Parts &amp; Labor for the 9000 km preventive maintenance Kawasaki Bigbike 650cc MV3721 of MBDA owned by the Provincial Government of Bataan</t>
  </si>
  <si>
    <t>Servico Trade Inc-Parts &amp; Labor for the 12,000 km preventive maintenance Kawasaki Bigbike 650cc MV3537 AND Replacement of other deffective parts of MBDA owned by the Provincial Government of Bataan</t>
  </si>
  <si>
    <t>Emergency Purchase of Sevoflurane for the use Orani District Hospital</t>
  </si>
  <si>
    <t>Printer for the use of PPDO</t>
  </si>
  <si>
    <t>Servico Trade Inc- Parts &amp; Labor for the 9000 km preventive maintenance &amp; Change of 2 pcs. tires Kawasaki Bigbike 650cc MV3724 of MBDA owned by the Provincial Government of Bataan</t>
  </si>
  <si>
    <t>Toner of Kyocera TK-479 (FS-6530MFP) for the use of Provincial Engineer's Office, 5/F Bunker Bld., Balanga City, Bataan</t>
  </si>
  <si>
    <t>Parts &amp; Labor for the replacement of alternator assy. w/ regulator Toyota FX P0Z559 of MBDA owned by the Provincial Government of Bataan</t>
  </si>
  <si>
    <t>Replacement of parts of copier Machine for the use of PGSO</t>
  </si>
  <si>
    <t>Sound System Rental for Launching Covid-19 Vaccination among 5-11 years old pediatric population on February 19, 2022</t>
  </si>
  <si>
    <t>Payment of meals and snacks incurred during various meetings</t>
  </si>
  <si>
    <t>Payment of Entrance Fee (Day Tour) incurred for various visitors (Dir. Annabelle Hufanda &amp; Co. and NEDA Regional Office 3)</t>
  </si>
  <si>
    <t>Payment of rental of sound system during various event in the office of the Governor Dated January 7 and February 2, 2022</t>
  </si>
  <si>
    <t xml:space="preserve">Oro Oxygen Corporartion </t>
  </si>
  <si>
    <t>Printing of Tarpaulin for Launching Covid-19 Vaccination among 5-11 year old pediatric population on February 19, 2022</t>
  </si>
  <si>
    <t>Office supplies for the use of PG-ENRO</t>
  </si>
  <si>
    <t>Toner of Kyocera 7119 to be used in the Provincial Accountant's Office</t>
  </si>
  <si>
    <t>Meals and Snacks to be served during the conduct of LDRRMO Meeting on March 2, 2022 at Orani Bataan</t>
  </si>
  <si>
    <t xml:space="preserve">Grand Peninsula Suites </t>
  </si>
  <si>
    <t>Payment of Room Accomodation incurred by Visitors from Department of Human Settelments and Urban Development</t>
  </si>
  <si>
    <t>Parts &amp; Labor for the replacement of Stab Link and Bushing of Toyota Hiace Ambulance P0M457 of MBDA owned by the Provincial Government of Bataan</t>
  </si>
  <si>
    <t>Office Supplies (Computer Supplies/ Accesories) to be used by Provincial Disaster Risk Reduction and Management Office</t>
  </si>
  <si>
    <t>Office supplies (Ink) for the use of PGSO</t>
  </si>
  <si>
    <t>Payment of meals incurred during Visit of Israeli Ambassador H.E. Ilan Fluss &amp; Co.</t>
  </si>
  <si>
    <t>Payment of meals incurred during Coordination Meeting with the Heads of Ayala for Real Estate Management</t>
  </si>
  <si>
    <t>An's Enterprises- hospital equipment of fpor the use of Orani District Hospital during Covid-19 Pandemic</t>
  </si>
  <si>
    <t>An's Enterprise-ECG Machine for the use of Bagac Community and Medicare Hospital</t>
  </si>
  <si>
    <t>Fuel on different service vehicle used by OPA, PCEDO, PDRRMO, PG-ENRO, PIO,PTO, VET, TOURISM Dec 6-12, 2021</t>
  </si>
  <si>
    <t>Servico Trade Inc- Parts &amp; Labor for the 9000 km preventive maintenance &amp; Change of 2 pcs. tires Kawasaki Bigbike 650cc MV3727 of MBDA owned by the Provincial Government of Bataan</t>
  </si>
  <si>
    <t xml:space="preserve">Jimmy M. David </t>
  </si>
  <si>
    <t>Payment of his 15 days monetized leave credits for CY-2022</t>
  </si>
  <si>
    <t>OCAMPO - Allowance for the month of March, 2022</t>
  </si>
  <si>
    <t>Reimbursement of cash advance for emergency purchases of Jose C. Payumo Jr. Memorial Hospital from March 29, 2022 to March 31, 2022</t>
  </si>
  <si>
    <t>Payment of meals incurred during various meetings (Launching of Balanga City Justice Zone and Visit of Governor Chiz Escudero of Sorsogon</t>
  </si>
  <si>
    <t>Replenishmnet of miscellaneous expenses of ODH Feb 6-March 24,2022</t>
  </si>
  <si>
    <t xml:space="preserve">Editha P. Residuo </t>
  </si>
  <si>
    <t>Payment of the 86.672 days Terminal Leave of Ms. Editha P Residuo</t>
  </si>
  <si>
    <t xml:space="preserve">Hiltrategic Inc. </t>
  </si>
  <si>
    <t>1% retention for additional set of notebook, pencil &amp; ballpen for elementary &amp; secondary H/S provincewide</t>
  </si>
  <si>
    <t>An's Enterprises-1% retention for different procurements of the PGB</t>
  </si>
  <si>
    <t>1% retention for animal &amp; zoological supplies to be used in various livestock program</t>
  </si>
  <si>
    <t>1% retention for medical supplies for use of MDH</t>
  </si>
  <si>
    <t>Guiua-Payment of allowance for the month of March 2022</t>
  </si>
  <si>
    <t>Payment for the subscription fee on mobile unlimited call &amp; text postpaid plan (Globe-to-Globe) for the period of January 27- March 26, 2022 for official use of PEO</t>
  </si>
  <si>
    <t>Payment of two pcs. commercial checkbooks</t>
  </si>
  <si>
    <t>Transfer to LBP General Fund</t>
  </si>
  <si>
    <t>Transfer to 0442-1046-38 for the amount collected from 1st and 2nd speed limit violations of Puyat Flouring Products, Inc. and MODAIR Manila Ltd., Inc.</t>
  </si>
  <si>
    <t>UCPB Nocap</t>
  </si>
  <si>
    <t>UCPB Trust</t>
  </si>
  <si>
    <t>TO TRANSFER THE TRANSPORTATION FEE AND COURIER FEE OF PUBLIC DOCUMENTS REIMURSED FROM THE GENERAL FUND-PETTY CASH</t>
  </si>
  <si>
    <t>#ERROR!</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</si>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</sst>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mm/dd/yyyy;@"/>
    <numFmt numFmtId="166" formatCode="m/d/yyyy;@"/>
  </numFmts>
  <fonts count="8" x14ac:knownFonts="1">
    <font>
      <sz val="10"/>
      <color rgb="FF000000"/>
      <name val="Arial"/>
      <scheme val="minor"/>
    </font>
    <font>
      <b/>
      <sz val="10"/>
      <color theme="1"/>
      <name val="Arial"/>
      <scheme val="minor"/>
    </font>
    <font>
      <b/>
      <sz val="14"/>
      <color theme="1"/>
      <name val="Arial"/>
      <scheme val="minor"/>
    </font>
    <font>
      <sz val="14"/>
      <color theme="1"/>
      <name val="Arial"/>
      <scheme val="minor"/>
    </font>
    <font>
      <sz val="11"/>
      <color rgb="FF000000"/>
      <name val="Calibri"/>
    </font>
    <font>
      <b/>
      <sz val="10"/>
      <color theme="1"/>
      <name val="Arial"/>
      <scheme val="minor"/>
    </font>
    <font>
      <b/>
      <sz val="14"/>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top" wrapText="1"/>
    </xf>
    <xf numFmtId="4" fontId="2" fillId="0" borderId="0" xfId="0" applyNumberFormat="1"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vertical="top" wrapText="1"/>
    </xf>
    <xf numFmtId="4" fontId="3" fillId="0" borderId="0" xfId="0" applyNumberFormat="1" applyFont="1" applyAlignment="1">
      <alignment vertical="top" wrapText="1"/>
    </xf>
    <xf numFmtId="0" fontId="2" fillId="0" borderId="0" xfId="0" applyFont="1" applyAlignment="1">
      <alignment horizontal="right" vertical="top" wrapText="1"/>
    </xf>
    <xf numFmtId="4" fontId="2" fillId="0" borderId="0" xfId="0" applyNumberFormat="1" applyFont="1" applyAlignment="1">
      <alignment horizontal="right" vertical="top" wrapText="1"/>
    </xf>
    <xf numFmtId="0" fontId="4" fillId="0" borderId="0" xfId="0" applyFont="1" applyAlignment="1">
      <alignment horizontal="right"/>
    </xf>
    <xf numFmtId="0" fontId="4" fillId="0" borderId="0" xfId="0" applyFont="1" applyAlignment="1">
      <alignment horizontal="left"/>
    </xf>
    <xf numFmtId="164" fontId="4" fillId="0" borderId="0" xfId="0" applyNumberFormat="1" applyFont="1" applyAlignment="1">
      <alignment horizontal="right"/>
    </xf>
    <xf numFmtId="14" fontId="4" fillId="0" borderId="0" xfId="0" applyNumberFormat="1" applyFont="1" applyAlignment="1">
      <alignment horizontal="right"/>
    </xf>
    <xf numFmtId="164" fontId="4" fillId="0" borderId="0" xfId="0" applyNumberFormat="1" applyFont="1" applyAlignment="1">
      <alignment horizontal="left"/>
    </xf>
    <xf numFmtId="0" fontId="4" fillId="0" borderId="0" xfId="0" applyFont="1" applyAlignment="1"/>
    <xf numFmtId="164" fontId="4" fillId="0" borderId="0" xfId="0" applyNumberFormat="1" applyFont="1" applyAlignment="1"/>
    <xf numFmtId="11" fontId="4" fillId="0" borderId="0" xfId="0" applyNumberFormat="1" applyFont="1" applyAlignment="1">
      <alignment horizontal="right"/>
    </xf>
    <xf numFmtId="0" fontId="4" fillId="0" borderId="0" xfId="0" applyFont="1" applyAlignment="1"/>
    <xf numFmtId="0" fontId="5" fillId="0" borderId="0" xfId="0" applyFont="1" applyAlignment="1">
      <alignment horizontal="center" vertical="top" wrapText="1"/>
    </xf>
    <xf numFmtId="165" fontId="2" fillId="0" borderId="0" xfId="0" applyNumberFormat="1" applyFont="1" applyAlignment="1">
      <alignment horizontal="center" vertical="top" wrapText="1"/>
    </xf>
    <xf numFmtId="165" fontId="3" fillId="0" borderId="0" xfId="0" applyNumberFormat="1" applyFont="1" applyAlignment="1">
      <alignment vertical="top" wrapText="1"/>
    </xf>
    <xf numFmtId="165" fontId="0" fillId="0" borderId="0" xfId="0" applyNumberFormat="1" applyFont="1" applyAlignment="1"/>
    <xf numFmtId="165" fontId="6" fillId="0" borderId="0" xfId="0" applyNumberFormat="1" applyFont="1" applyAlignment="1">
      <alignment horizontal="center" vertical="top" wrapText="1"/>
    </xf>
    <xf numFmtId="166" fontId="2" fillId="0" borderId="0" xfId="0" applyNumberFormat="1" applyFont="1" applyAlignment="1">
      <alignment horizontal="center" vertical="top" wrapText="1"/>
    </xf>
    <xf numFmtId="166" fontId="3" fillId="0" borderId="0" xfId="0" applyNumberFormat="1" applyFont="1" applyAlignment="1">
      <alignment vertical="top" wrapText="1"/>
    </xf>
    <xf numFmtId="166" fontId="0" fillId="0" borderId="0" xfId="0" applyNumberFormat="1" applyFont="1" applyAlignment="1"/>
    <xf numFmtId="166" fontId="7" fillId="0" borderId="0" xfId="0" applyNumberFormat="1" applyFont="1" applyAlignment="1"/>
    <xf numFmtId="166" fontId="6"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100"/>
  <sheetViews>
    <sheetView tabSelected="1" workbookViewId="0">
      <selection activeCell="E4" sqref="E4"/>
    </sheetView>
  </sheetViews>
  <sheetFormatPr defaultColWidth="12.5546875" defaultRowHeight="13.2" x14ac:dyDescent="0.25"/>
  <cols>
    <col min="1" max="1" width="16.33203125" customWidth="1"/>
    <col min="2" max="2" width="16.33203125" style="20" customWidth="1"/>
    <col min="3" max="3" width="37.44140625" customWidth="1"/>
    <col min="4" max="4" width="45.5546875" customWidth="1"/>
    <col min="5" max="6" width="19.33203125" customWidth="1"/>
    <col min="7" max="18" width="19.33203125" hidden="1" customWidth="1"/>
    <col min="19" max="19" width="16.33203125" style="20" customWidth="1"/>
  </cols>
  <sheetData>
    <row r="1" spans="1:19" ht="17.399999999999999" x14ac:dyDescent="0.25">
      <c r="A1" s="2" t="s">
        <v>20353</v>
      </c>
      <c r="B1" s="18" t="str">
        <f ca="1">IFERROR(__xludf.DUMMYFUNCTION("""COMPUTED_VALUE"""),"Date")</f>
        <v>Date</v>
      </c>
      <c r="C1" s="3" t="str">
        <f ca="1">IFERROR(__xludf.DUMMYFUNCTION("""COMPUTED_VALUE"""),"Payee")</f>
        <v>Payee</v>
      </c>
      <c r="D1" s="3" t="str">
        <f ca="1">IFERROR(__xludf.DUMMYFUNCTION("""COMPUTED_VALUE"""),"Particulars")</f>
        <v>Particulars</v>
      </c>
      <c r="E1" s="2" t="str">
        <f ca="1">IFERROR(__xludf.DUMMYFUNCTION("""COMPUTED_VALUE"""),"Amount")</f>
        <v>Amount</v>
      </c>
      <c r="F1" s="3" t="str">
        <f ca="1">IFERROR(__xludf.DUMMYFUNCTION("""COMPUTED_VALUE"""),"Fund")</f>
        <v>Fund</v>
      </c>
      <c r="G1" s="1"/>
      <c r="H1" s="1"/>
      <c r="I1" s="1"/>
      <c r="J1" s="1"/>
      <c r="K1" s="1"/>
      <c r="L1" s="1"/>
      <c r="M1" s="1"/>
      <c r="N1" s="1"/>
      <c r="O1" s="1"/>
      <c r="P1" s="1"/>
      <c r="Q1" s="1"/>
      <c r="R1" s="1"/>
      <c r="S1" s="21"/>
    </row>
    <row r="2" spans="1:19" ht="17.399999999999999" x14ac:dyDescent="0.25">
      <c r="A2" s="4">
        <f ca="1">IFERROR(__xludf.DUMMYFUNCTION("""COMPUTED_VALUE"""),79751644)</f>
        <v>79751644</v>
      </c>
      <c r="B2" s="19">
        <f ca="1">IFERROR(__xludf.DUMMYFUNCTION("""COMPUTED_VALUE"""),44721)</f>
        <v>44721</v>
      </c>
      <c r="C2" s="4" t="str">
        <f ca="1">IFERROR(__xludf.DUMMYFUNCTION("""COMPUTED_VALUE"""),"Aron's Sidecar Welding Shop ")</f>
        <v xml:space="preserve">Aron's Sidecar Welding Shop </v>
      </c>
      <c r="D2" s="4" t="str">
        <f ca="1">IFERROR(__xludf.DUMMYFUNCTION("""COMPUTED_VALUE"""),"Replacement of staled check")</f>
        <v>Replacement of staled check</v>
      </c>
      <c r="E2" s="5">
        <f ca="1">IFERROR(__xludf.DUMMYFUNCTION("""COMPUTED_VALUE"""),700)</f>
        <v>700</v>
      </c>
      <c r="F2" s="4" t="str">
        <f ca="1">IFERROR(__xludf.DUMMYFUNCTION("""COMPUTED_VALUE"""),"DBP General")</f>
        <v>DBP General</v>
      </c>
      <c r="G2" s="1"/>
      <c r="H2" s="1"/>
      <c r="I2" s="1"/>
      <c r="J2" s="1"/>
      <c r="K2" s="1"/>
      <c r="L2" s="1"/>
      <c r="M2" s="1"/>
      <c r="N2" s="1"/>
      <c r="O2" s="1"/>
      <c r="P2" s="1"/>
      <c r="Q2" s="1"/>
      <c r="R2" s="1"/>
      <c r="S2" s="19"/>
    </row>
    <row r="3" spans="1:19" ht="34.799999999999997" x14ac:dyDescent="0.25">
      <c r="A3" s="4">
        <f ca="1">IFERROR(__xludf.DUMMYFUNCTION("""COMPUTED_VALUE"""),79751936)</f>
        <v>79751936</v>
      </c>
      <c r="B3" s="19">
        <f ca="1">IFERROR(__xludf.DUMMYFUNCTION("""COMPUTED_VALUE"""),44729)</f>
        <v>44729</v>
      </c>
      <c r="C3" s="4" t="str">
        <f ca="1">IFERROR(__xludf.DUMMYFUNCTION("""COMPUTED_VALUE"""),"U-Bix Subic Bay Corporation ")</f>
        <v xml:space="preserve">U-Bix Subic Bay Corporation </v>
      </c>
      <c r="D3" s="4" t="str">
        <f ca="1">IFERROR(__xludf.DUMMYFUNCTION("""COMPUTED_VALUE"""),"Ink for the RISO Machine of PGO-Iskolar ng Bataan Office")</f>
        <v>Ink for the RISO Machine of PGO-Iskolar ng Bataan Office</v>
      </c>
      <c r="E3" s="5">
        <f ca="1">IFERROR(__xludf.DUMMYFUNCTION("""COMPUTED_VALUE"""),5328)</f>
        <v>5328</v>
      </c>
      <c r="F3" s="4" t="str">
        <f ca="1">IFERROR(__xludf.DUMMYFUNCTION("""COMPUTED_VALUE"""),"DBP General")</f>
        <v>DBP General</v>
      </c>
      <c r="G3" s="1"/>
      <c r="H3" s="1"/>
      <c r="I3" s="1"/>
      <c r="J3" s="1"/>
      <c r="K3" s="1"/>
      <c r="L3" s="1"/>
      <c r="M3" s="1"/>
      <c r="N3" s="1"/>
      <c r="O3" s="1"/>
      <c r="P3" s="1"/>
      <c r="Q3" s="1"/>
      <c r="R3" s="1"/>
      <c r="S3" s="19"/>
    </row>
    <row r="4" spans="1:19" ht="69.599999999999994" x14ac:dyDescent="0.25">
      <c r="A4" s="4">
        <f ca="1">IFERROR(__xludf.DUMMYFUNCTION("""COMPUTED_VALUE"""),79752084)</f>
        <v>79752084</v>
      </c>
      <c r="B4" s="19">
        <f ca="1">IFERROR(__xludf.DUMMYFUNCTION("""COMPUTED_VALUE"""),44735)</f>
        <v>44735</v>
      </c>
      <c r="C4" s="4" t="str">
        <f ca="1">IFERROR(__xludf.DUMMYFUNCTION("""COMPUTED_VALUE"""),"Conchita E. Arellano ")</f>
        <v xml:space="preserve">Conchita E. Arellano </v>
      </c>
      <c r="D4" s="4" t="str">
        <f ca="1">IFERROR(__xludf.DUMMYFUNCTION("""COMPUTED_VALUE"""),"Donation for and in behalf of the deceased Barangay Tanod Federico M. Arellano of Barangay Alangan, Limay, Bataan")</f>
        <v>Donation for and in behalf of the deceased Barangay Tanod Federico M. Arellano of Barangay Alangan, Limay, Bataan</v>
      </c>
      <c r="E4" s="5">
        <f ca="1">IFERROR(__xludf.DUMMYFUNCTION("""COMPUTED_VALUE"""),6000)</f>
        <v>6000</v>
      </c>
      <c r="F4" s="4" t="str">
        <f ca="1">IFERROR(__xludf.DUMMYFUNCTION("""COMPUTED_VALUE"""),"DBP General")</f>
        <v>DBP General</v>
      </c>
      <c r="G4" s="3"/>
      <c r="H4" s="3"/>
      <c r="I4" s="3"/>
      <c r="J4" s="3"/>
      <c r="K4" s="3"/>
      <c r="L4" s="3"/>
      <c r="M4" s="3"/>
      <c r="N4" s="3"/>
      <c r="O4" s="3"/>
      <c r="P4" s="3"/>
      <c r="Q4" s="3"/>
      <c r="R4" s="3"/>
      <c r="S4" s="19"/>
    </row>
    <row r="5" spans="1:19" ht="52.2" x14ac:dyDescent="0.25">
      <c r="A5" s="4">
        <f ca="1">IFERROR(__xludf.DUMMYFUNCTION("""COMPUTED_VALUE"""),82187075)</f>
        <v>82187075</v>
      </c>
      <c r="B5" s="19">
        <f ca="1">IFERROR(__xludf.DUMMYFUNCTION("""COMPUTED_VALUE"""),44742)</f>
        <v>44742</v>
      </c>
      <c r="C5" s="4" t="str">
        <f ca="1">IFERROR(__xludf.DUMMYFUNCTION("""COMPUTED_VALUE"""),"Buensuceso Art Trading ")</f>
        <v xml:space="preserve">Buensuceso Art Trading </v>
      </c>
      <c r="D5" s="4" t="str">
        <f ca="1">IFERROR(__xludf.DUMMYFUNCTION("""COMPUTED_VALUE"""),"1% retention for sculptural art &amp; other artworks for the bunker Capitol Building project")</f>
        <v>1% retention for sculptural art &amp; other artworks for the bunker Capitol Building project</v>
      </c>
      <c r="E5" s="5">
        <f ca="1">IFERROR(__xludf.DUMMYFUNCTION("""COMPUTED_VALUE"""),21952)</f>
        <v>21952</v>
      </c>
      <c r="F5" s="4" t="str">
        <f ca="1">IFERROR(__xludf.DUMMYFUNCTION("""COMPUTED_VALUE"""),"DBP General")</f>
        <v>DBP General</v>
      </c>
      <c r="G5" s="4"/>
      <c r="H5" s="4"/>
      <c r="I5" s="4"/>
      <c r="J5" s="4"/>
      <c r="K5" s="4"/>
      <c r="L5" s="4"/>
      <c r="M5" s="4"/>
      <c r="N5" s="4"/>
      <c r="O5" s="4"/>
      <c r="P5" s="4"/>
      <c r="Q5" s="4"/>
      <c r="R5" s="4"/>
      <c r="S5" s="19"/>
    </row>
    <row r="6" spans="1:19" ht="52.2" x14ac:dyDescent="0.25">
      <c r="A6" s="4">
        <f ca="1">IFERROR(__xludf.DUMMYFUNCTION("""COMPUTED_VALUE"""),82187149)</f>
        <v>82187149</v>
      </c>
      <c r="B6" s="19">
        <f ca="1">IFERROR(__xludf.DUMMYFUNCTION("""COMPUTED_VALUE"""),44742)</f>
        <v>44742</v>
      </c>
      <c r="C6" s="4" t="str">
        <f ca="1">IFERROR(__xludf.DUMMYFUNCTION("""COMPUTED_VALUE"""),"U-Bix Subic Bay Corporation ")</f>
        <v xml:space="preserve">U-Bix Subic Bay Corporation </v>
      </c>
      <c r="D6" s="4" t="str">
        <f ca="1">IFERROR(__xludf.DUMMYFUNCTION("""COMPUTED_VALUE"""),"Replacement of parts for the RISO Machine of PGO-Iskolar ng Bataan Office")</f>
        <v>Replacement of parts for the RISO Machine of PGO-Iskolar ng Bataan Office</v>
      </c>
      <c r="E6" s="5">
        <f ca="1">IFERROR(__xludf.DUMMYFUNCTION("""COMPUTED_VALUE"""),679)</f>
        <v>679</v>
      </c>
      <c r="F6" s="4" t="str">
        <f ca="1">IFERROR(__xludf.DUMMYFUNCTION("""COMPUTED_VALUE"""),"DBP General")</f>
        <v>DBP General</v>
      </c>
      <c r="G6" s="4"/>
      <c r="H6" s="4"/>
      <c r="I6" s="4"/>
      <c r="J6" s="4"/>
      <c r="K6" s="4"/>
      <c r="L6" s="4"/>
      <c r="M6" s="4"/>
      <c r="N6" s="4"/>
      <c r="O6" s="4"/>
      <c r="P6" s="4"/>
      <c r="Q6" s="4"/>
      <c r="R6" s="4"/>
      <c r="S6" s="19"/>
    </row>
    <row r="7" spans="1:19" ht="34.799999999999997" x14ac:dyDescent="0.25">
      <c r="A7" s="4">
        <f ca="1">IFERROR(__xludf.DUMMYFUNCTION("""COMPUTED_VALUE"""),82187469)</f>
        <v>82187469</v>
      </c>
      <c r="B7" s="19">
        <f ca="1">IFERROR(__xludf.DUMMYFUNCTION("""COMPUTED_VALUE"""),44754)</f>
        <v>44754</v>
      </c>
      <c r="C7" s="4" t="str">
        <f ca="1">IFERROR(__xludf.DUMMYFUNCTION("""COMPUTED_VALUE"""),"DDM Solution Enterprise ")</f>
        <v xml:space="preserve">DDM Solution Enterprise </v>
      </c>
      <c r="D7" s="4" t="str">
        <f ca="1">IFERROR(__xludf.DUMMYFUNCTION("""COMPUTED_VALUE"""),"1% retention for office supplies for use of MDH")</f>
        <v>1% retention for office supplies for use of MDH</v>
      </c>
      <c r="E7" s="5">
        <f ca="1">IFERROR(__xludf.DUMMYFUNCTION("""COMPUTED_VALUE"""),761.6)</f>
        <v>761.6</v>
      </c>
      <c r="F7" s="4" t="str">
        <f ca="1">IFERROR(__xludf.DUMMYFUNCTION("""COMPUTED_VALUE"""),"DBP General")</f>
        <v>DBP General</v>
      </c>
      <c r="G7" s="4"/>
      <c r="H7" s="4"/>
      <c r="I7" s="4"/>
      <c r="J7" s="4"/>
      <c r="K7" s="4"/>
      <c r="L7" s="4"/>
      <c r="M7" s="4"/>
      <c r="N7" s="4"/>
      <c r="O7" s="4"/>
      <c r="P7" s="4"/>
      <c r="Q7" s="4"/>
      <c r="R7" s="4"/>
      <c r="S7" s="19"/>
    </row>
    <row r="8" spans="1:19" ht="17.399999999999999" x14ac:dyDescent="0.25">
      <c r="A8" s="4">
        <f ca="1">IFERROR(__xludf.DUMMYFUNCTION("""COMPUTED_VALUE"""),82187709)</f>
        <v>82187709</v>
      </c>
      <c r="B8" s="19">
        <f ca="1">IFERROR(__xludf.DUMMYFUNCTION("""COMPUTED_VALUE"""),44757)</f>
        <v>44757</v>
      </c>
      <c r="C8" s="4" t="str">
        <f ca="1">IFERROR(__xludf.DUMMYFUNCTION("""COMPUTED_VALUE"""),"Joseph Noel C. Longboan")</f>
        <v>Joseph Noel C. Longboan</v>
      </c>
      <c r="D8" s="4" t="str">
        <f ca="1">IFERROR(__xludf.DUMMYFUNCTION("""COMPUTED_VALUE"""),"Allowance for the month of June, 2022")</f>
        <v>Allowance for the month of June, 2022</v>
      </c>
      <c r="E8" s="5">
        <f ca="1">IFERROR(__xludf.DUMMYFUNCTION("""COMPUTED_VALUE"""),10000)</f>
        <v>10000</v>
      </c>
      <c r="F8" s="4" t="str">
        <f ca="1">IFERROR(__xludf.DUMMYFUNCTION("""COMPUTED_VALUE"""),"DBP General")</f>
        <v>DBP General</v>
      </c>
      <c r="G8" s="4"/>
      <c r="H8" s="4"/>
      <c r="I8" s="4"/>
      <c r="J8" s="4"/>
      <c r="K8" s="4"/>
      <c r="L8" s="4"/>
      <c r="M8" s="4"/>
      <c r="N8" s="4"/>
      <c r="O8" s="4"/>
      <c r="P8" s="4"/>
      <c r="Q8" s="4"/>
      <c r="R8" s="4"/>
      <c r="S8" s="19"/>
    </row>
    <row r="9" spans="1:19" ht="52.2" x14ac:dyDescent="0.25">
      <c r="A9" s="4">
        <f ca="1">IFERROR(__xludf.DUMMYFUNCTION("""COMPUTED_VALUE"""),82187900)</f>
        <v>82187900</v>
      </c>
      <c r="B9" s="19">
        <f ca="1">IFERROR(__xludf.DUMMYFUNCTION("""COMPUTED_VALUE"""),44763)</f>
        <v>44763</v>
      </c>
      <c r="C9" s="4" t="str">
        <f ca="1">IFERROR(__xludf.DUMMYFUNCTION("""COMPUTED_VALUE"""),"St. Joseph Agrimarketing Corp. ")</f>
        <v xml:space="preserve">St. Joseph Agrimarketing Corp. </v>
      </c>
      <c r="D9" s="4" t="str">
        <f ca="1">IFERROR(__xludf.DUMMYFUNCTION("""COMPUTED_VALUE"""),"1% retention for macinery &amp; equipment for the provision of post- harvest machinery &amp; equipment")</f>
        <v>1% retention for macinery &amp; equipment for the provision of post- harvest machinery &amp; equipment</v>
      </c>
      <c r="E9" s="5">
        <f ca="1">IFERROR(__xludf.DUMMYFUNCTION("""COMPUTED_VALUE"""),12720)</f>
        <v>12720</v>
      </c>
      <c r="F9" s="4" t="str">
        <f ca="1">IFERROR(__xludf.DUMMYFUNCTION("""COMPUTED_VALUE"""),"DBP General")</f>
        <v>DBP General</v>
      </c>
      <c r="G9" s="4"/>
      <c r="H9" s="4"/>
      <c r="I9" s="4"/>
      <c r="J9" s="4"/>
      <c r="K9" s="4"/>
      <c r="L9" s="4"/>
      <c r="M9" s="4"/>
      <c r="N9" s="4"/>
      <c r="O9" s="4"/>
      <c r="P9" s="4"/>
      <c r="Q9" s="4"/>
      <c r="R9" s="4"/>
      <c r="S9" s="19"/>
    </row>
    <row r="10" spans="1:19" ht="52.2" x14ac:dyDescent="0.25">
      <c r="A10" s="4">
        <f ca="1">IFERROR(__xludf.DUMMYFUNCTION("""COMPUTED_VALUE"""),82188442)</f>
        <v>82188442</v>
      </c>
      <c r="B10" s="19">
        <f ca="1">IFERROR(__xludf.DUMMYFUNCTION("""COMPUTED_VALUE"""),44825)</f>
        <v>44825</v>
      </c>
      <c r="C10" s="4" t="str">
        <f ca="1">IFERROR(__xludf.DUMMYFUNCTION("""COMPUTED_VALUE"""),"National Printing Office ")</f>
        <v xml:space="preserve">National Printing Office </v>
      </c>
      <c r="D10" s="4" t="str">
        <f ca="1">IFERROR(__xludf.DUMMYFUNCTION("""COMPUTED_VALUE"""),"Printing of Personalized Accountable Forms to be used in the Provincial Treasurer's Office")</f>
        <v>Printing of Personalized Accountable Forms to be used in the Provincial Treasurer's Office</v>
      </c>
      <c r="E10" s="5">
        <f ca="1">IFERROR(__xludf.DUMMYFUNCTION("""COMPUTED_VALUE"""),819000)</f>
        <v>819000</v>
      </c>
      <c r="F10" s="4" t="str">
        <f ca="1">IFERROR(__xludf.DUMMYFUNCTION("""COMPUTED_VALUE"""),"DBP General")</f>
        <v>DBP General</v>
      </c>
      <c r="G10" s="4"/>
      <c r="H10" s="4"/>
      <c r="I10" s="4"/>
      <c r="J10" s="4"/>
      <c r="K10" s="4"/>
      <c r="L10" s="4"/>
      <c r="M10" s="4"/>
      <c r="N10" s="4"/>
      <c r="O10" s="4"/>
      <c r="P10" s="4"/>
      <c r="Q10" s="4"/>
      <c r="R10" s="4"/>
      <c r="S10" s="19"/>
    </row>
    <row r="11" spans="1:19" ht="52.2" x14ac:dyDescent="0.25">
      <c r="A11" s="4">
        <f ca="1">IFERROR(__xludf.DUMMYFUNCTION("""COMPUTED_VALUE"""),82188452)</f>
        <v>82188452</v>
      </c>
      <c r="B11" s="19">
        <f ca="1">IFERROR(__xludf.DUMMYFUNCTION("""COMPUTED_VALUE"""),44840)</f>
        <v>44840</v>
      </c>
      <c r="C11" s="4" t="str">
        <f ca="1">IFERROR(__xludf.DUMMYFUNCTION("""COMPUTED_VALUE"""),"Rolando Jr. C. Optana ")</f>
        <v xml:space="preserve">Rolando Jr. C. Optana </v>
      </c>
      <c r="D11" s="4" t="str">
        <f ca="1">IFERROR(__xludf.DUMMYFUNCTION("""COMPUTED_VALUE"""),"DONATION TO CLIENT FOR PURCHASE OF BASIC NECESSITIES")</f>
        <v>DONATION TO CLIENT FOR PURCHASE OF BASIC NECESSITIES</v>
      </c>
      <c r="E11" s="5">
        <f ca="1">IFERROR(__xludf.DUMMYFUNCTION("""COMPUTED_VALUE"""),10000)</f>
        <v>10000</v>
      </c>
      <c r="F11" s="4" t="str">
        <f ca="1">IFERROR(__xludf.DUMMYFUNCTION("""COMPUTED_VALUE"""),"DBP General")</f>
        <v>DBP General</v>
      </c>
      <c r="G11" s="4"/>
      <c r="H11" s="4"/>
      <c r="I11" s="4"/>
      <c r="J11" s="4"/>
      <c r="K11" s="4"/>
      <c r="L11" s="4"/>
      <c r="M11" s="4"/>
      <c r="N11" s="4"/>
      <c r="O11" s="4"/>
      <c r="P11" s="4"/>
      <c r="Q11" s="4"/>
      <c r="R11" s="4"/>
      <c r="S11" s="19"/>
    </row>
    <row r="12" spans="1:19" ht="52.2" x14ac:dyDescent="0.25">
      <c r="A12" s="4">
        <f ca="1">IFERROR(__xludf.DUMMYFUNCTION("""COMPUTED_VALUE"""),82188460)</f>
        <v>82188460</v>
      </c>
      <c r="B12" s="19">
        <f ca="1">IFERROR(__xludf.DUMMYFUNCTION("""COMPUTED_VALUE"""),44840)</f>
        <v>44840</v>
      </c>
      <c r="C12" s="4" t="str">
        <f ca="1">IFERROR(__xludf.DUMMYFUNCTION("""COMPUTED_VALUE"""),"John M. Felipe ")</f>
        <v xml:space="preserve">John M. Felipe </v>
      </c>
      <c r="D12" s="4" t="str">
        <f ca="1">IFERROR(__xludf.DUMMYFUNCTION("""COMPUTED_VALUE"""),"DONATION TO CLIENT FOR PURCHASE OF BASIC NECESSITIES")</f>
        <v>DONATION TO CLIENT FOR PURCHASE OF BASIC NECESSITIES</v>
      </c>
      <c r="E12" s="5">
        <f ca="1">IFERROR(__xludf.DUMMYFUNCTION("""COMPUTED_VALUE"""),10000)</f>
        <v>10000</v>
      </c>
      <c r="F12" s="4" t="str">
        <f ca="1">IFERROR(__xludf.DUMMYFUNCTION("""COMPUTED_VALUE"""),"DBP General")</f>
        <v>DBP General</v>
      </c>
      <c r="G12" s="4"/>
      <c r="H12" s="4"/>
      <c r="I12" s="4"/>
      <c r="J12" s="4"/>
      <c r="K12" s="4"/>
      <c r="L12" s="4"/>
      <c r="M12" s="4"/>
      <c r="N12" s="4"/>
      <c r="O12" s="4"/>
      <c r="P12" s="4"/>
      <c r="Q12" s="4"/>
      <c r="R12" s="4"/>
      <c r="S12" s="19"/>
    </row>
    <row r="13" spans="1:19" ht="52.2" x14ac:dyDescent="0.25">
      <c r="A13" s="4">
        <f ca="1">IFERROR(__xludf.DUMMYFUNCTION("""COMPUTED_VALUE"""),82188462)</f>
        <v>82188462</v>
      </c>
      <c r="B13" s="19">
        <f ca="1">IFERROR(__xludf.DUMMYFUNCTION("""COMPUTED_VALUE"""),44840)</f>
        <v>44840</v>
      </c>
      <c r="C13" s="4" t="str">
        <f ca="1">IFERROR(__xludf.DUMMYFUNCTION("""COMPUTED_VALUE"""),"Cristalyn Mahinay ")</f>
        <v xml:space="preserve">Cristalyn Mahinay </v>
      </c>
      <c r="D13" s="4" t="str">
        <f ca="1">IFERROR(__xludf.DUMMYFUNCTION("""COMPUTED_VALUE"""),"DONATION TO CLIENT FOR PURCHASE OF BASIC NECESSITIES")</f>
        <v>DONATION TO CLIENT FOR PURCHASE OF BASIC NECESSITIES</v>
      </c>
      <c r="E13" s="5">
        <f ca="1">IFERROR(__xludf.DUMMYFUNCTION("""COMPUTED_VALUE"""),10000)</f>
        <v>10000</v>
      </c>
      <c r="F13" s="4" t="str">
        <f ca="1">IFERROR(__xludf.DUMMYFUNCTION("""COMPUTED_VALUE"""),"DBP General")</f>
        <v>DBP General</v>
      </c>
      <c r="G13" s="4"/>
      <c r="H13" s="4"/>
      <c r="I13" s="4"/>
      <c r="J13" s="4"/>
      <c r="K13" s="4"/>
      <c r="L13" s="4"/>
      <c r="M13" s="4"/>
      <c r="N13" s="4"/>
      <c r="O13" s="4"/>
      <c r="P13" s="4"/>
      <c r="Q13" s="4"/>
      <c r="R13" s="4"/>
      <c r="S13" s="19"/>
    </row>
    <row r="14" spans="1:19" ht="52.2" x14ac:dyDescent="0.25">
      <c r="A14" s="4">
        <f ca="1">IFERROR(__xludf.DUMMYFUNCTION("""COMPUTED_VALUE"""),82188536)</f>
        <v>82188536</v>
      </c>
      <c r="B14" s="19">
        <f ca="1">IFERROR(__xludf.DUMMYFUNCTION("""COMPUTED_VALUE"""),44845)</f>
        <v>44845</v>
      </c>
      <c r="C14" s="4" t="str">
        <f ca="1">IFERROR(__xludf.DUMMYFUNCTION("""COMPUTED_VALUE"""),"Emilia dela Rosa ")</f>
        <v xml:space="preserve">Emilia dela Rosa </v>
      </c>
      <c r="D14" s="4" t="str">
        <f ca="1">IFERROR(__xludf.DUMMYFUNCTION("""COMPUTED_VALUE"""),"Payment of honorarium of Municipal Treasurers for the month of September 2022")</f>
        <v>Payment of honorarium of Municipal Treasurers for the month of September 2022</v>
      </c>
      <c r="E14" s="5">
        <f ca="1">IFERROR(__xludf.DUMMYFUNCTION("""COMPUTED_VALUE"""),20313.3)</f>
        <v>20313.3</v>
      </c>
      <c r="F14" s="4" t="str">
        <f ca="1">IFERROR(__xludf.DUMMYFUNCTION("""COMPUTED_VALUE"""),"DBP General")</f>
        <v>DBP General</v>
      </c>
      <c r="G14" s="4"/>
      <c r="H14" s="4"/>
      <c r="I14" s="4"/>
      <c r="J14" s="4"/>
      <c r="K14" s="4"/>
      <c r="L14" s="4"/>
      <c r="M14" s="4"/>
      <c r="N14" s="4"/>
      <c r="O14" s="4"/>
      <c r="P14" s="4"/>
      <c r="Q14" s="4"/>
      <c r="R14" s="4"/>
      <c r="S14" s="19"/>
    </row>
    <row r="15" spans="1:19" ht="52.2" x14ac:dyDescent="0.25">
      <c r="A15" s="4">
        <f ca="1">IFERROR(__xludf.DUMMYFUNCTION("""COMPUTED_VALUE"""),82188558)</f>
        <v>82188558</v>
      </c>
      <c r="B15" s="19">
        <f ca="1">IFERROR(__xludf.DUMMYFUNCTION("""COMPUTED_VALUE"""),44847)</f>
        <v>44847</v>
      </c>
      <c r="C15" s="4" t="str">
        <f ca="1">IFERROR(__xludf.DUMMYFUNCTION("""COMPUTED_VALUE"""),"Jose Enrique S. Garcia III ")</f>
        <v xml:space="preserve">Jose Enrique S. Garcia III </v>
      </c>
      <c r="D15" s="4" t="str">
        <f ca="1">IFERROR(__xludf.DUMMYFUNCTION("""COMPUTED_VALUE"""),"Cash advance for confidential expenses for the period October 12 to November 11, 2022")</f>
        <v>Cash advance for confidential expenses for the period October 12 to November 11, 2022</v>
      </c>
      <c r="E15" s="5">
        <f ca="1">IFERROR(__xludf.DUMMYFUNCTION("""COMPUTED_VALUE"""),8000000)</f>
        <v>8000000</v>
      </c>
      <c r="F15" s="4" t="str">
        <f ca="1">IFERROR(__xludf.DUMMYFUNCTION("""COMPUTED_VALUE"""),"DBP General")</f>
        <v>DBP General</v>
      </c>
      <c r="G15" s="4"/>
      <c r="H15" s="4"/>
      <c r="I15" s="4"/>
      <c r="J15" s="4"/>
      <c r="K15" s="4"/>
      <c r="L15" s="4"/>
      <c r="M15" s="4"/>
      <c r="N15" s="4"/>
      <c r="O15" s="4"/>
      <c r="P15" s="4"/>
      <c r="Q15" s="4"/>
      <c r="R15" s="4"/>
      <c r="S15" s="19"/>
    </row>
    <row r="16" spans="1:19" ht="104.4" x14ac:dyDescent="0.25">
      <c r="A16" s="4">
        <f ca="1">IFERROR(__xludf.DUMMYFUNCTION("""COMPUTED_VALUE"""),82188648)</f>
        <v>82188648</v>
      </c>
      <c r="B16" s="19">
        <f ca="1">IFERROR(__xludf.DUMMYFUNCTION("""COMPUTED_VALUE"""),44848)</f>
        <v>44848</v>
      </c>
      <c r="C16" s="4" t="str">
        <f ca="1">IFERROR(__xludf.DUMMYFUNCTION("""COMPUTED_VALUE"""),"Reginald Villasol ")</f>
        <v xml:space="preserve">Reginald Villasol </v>
      </c>
      <c r="D16" s="4" t="str">
        <f ca="1">IFERROR(__xludf.DUMMYFUNCTION("""COMPUTED_VALUE"""),"Payment of honorarium to Reginald D. Villasol as resource speaker during the Restricted Land Mobile Radiotelephone Operator Seminar in PEO Motorpool Bay on September 16, 2022")</f>
        <v>Payment of honorarium to Reginald D. Villasol as resource speaker during the Restricted Land Mobile Radiotelephone Operator Seminar in PEO Motorpool Bay on September 16, 2022</v>
      </c>
      <c r="E16" s="5">
        <f ca="1">IFERROR(__xludf.DUMMYFUNCTION("""COMPUTED_VALUE"""),1794)</f>
        <v>1794</v>
      </c>
      <c r="F16" s="4" t="str">
        <f ca="1">IFERROR(__xludf.DUMMYFUNCTION("""COMPUTED_VALUE"""),"DBP General")</f>
        <v>DBP General</v>
      </c>
      <c r="G16" s="4"/>
      <c r="H16" s="4"/>
      <c r="I16" s="4"/>
      <c r="J16" s="4"/>
      <c r="K16" s="4"/>
      <c r="L16" s="4"/>
      <c r="M16" s="4"/>
      <c r="N16" s="4"/>
      <c r="O16" s="4"/>
      <c r="P16" s="4"/>
      <c r="Q16" s="4"/>
      <c r="R16" s="4"/>
      <c r="S16" s="19"/>
    </row>
    <row r="17" spans="1:19" ht="17.399999999999999" x14ac:dyDescent="0.25">
      <c r="A17" s="4">
        <f ca="1">IFERROR(__xludf.DUMMYFUNCTION("""COMPUTED_VALUE"""),82188743)</f>
        <v>82188743</v>
      </c>
      <c r="B17" s="19">
        <f ca="1">IFERROR(__xludf.DUMMYFUNCTION("""COMPUTED_VALUE"""),44852)</f>
        <v>44852</v>
      </c>
      <c r="C17" s="4" t="str">
        <f ca="1">IFERROR(__xludf.DUMMYFUNCTION("""COMPUTED_VALUE"""),"Judita M. Tungol ")</f>
        <v xml:space="preserve">Judita M. Tungol </v>
      </c>
      <c r="D17" s="4" t="str">
        <f ca="1">IFERROR(__xludf.DUMMYFUNCTION("""COMPUTED_VALUE"""),"Allowance for the month of September")</f>
        <v>Allowance for the month of September</v>
      </c>
      <c r="E17" s="5">
        <f ca="1">IFERROR(__xludf.DUMMYFUNCTION("""COMPUTED_VALUE"""),10000)</f>
        <v>10000</v>
      </c>
      <c r="F17" s="4" t="str">
        <f ca="1">IFERROR(__xludf.DUMMYFUNCTION("""COMPUTED_VALUE"""),"DBP General")</f>
        <v>DBP General</v>
      </c>
      <c r="G17" s="4"/>
      <c r="H17" s="4"/>
      <c r="I17" s="4"/>
      <c r="J17" s="4"/>
      <c r="K17" s="4"/>
      <c r="L17" s="4"/>
      <c r="M17" s="4"/>
      <c r="N17" s="4"/>
      <c r="O17" s="4"/>
      <c r="P17" s="4"/>
      <c r="Q17" s="4"/>
      <c r="R17" s="4"/>
      <c r="S17" s="19"/>
    </row>
    <row r="18" spans="1:19" ht="52.2" x14ac:dyDescent="0.25">
      <c r="A18" s="4">
        <f ca="1">IFERROR(__xludf.DUMMYFUNCTION("""COMPUTED_VALUE"""),82188748)</f>
        <v>82188748</v>
      </c>
      <c r="B18" s="19">
        <f ca="1">IFERROR(__xludf.DUMMYFUNCTION("""COMPUTED_VALUE"""),44852)</f>
        <v>44852</v>
      </c>
      <c r="C18" s="4" t="str">
        <f ca="1">IFERROR(__xludf.DUMMYFUNCTION("""COMPUTED_VALUE"""),"Barangay Treasurer - Wawa Pilar Bataan ")</f>
        <v xml:space="preserve">Barangay Treasurer - Wawa Pilar Bataan </v>
      </c>
      <c r="D18" s="4" t="str">
        <f ca="1">IFERROR(__xludf.DUMMYFUNCTION("""COMPUTED_VALUE"""),"Subsidy to Barangay Bagumbayan Pilar Bataan for their annual cultural activity on October 12, 2022")</f>
        <v>Subsidy to Barangay Bagumbayan Pilar Bataan for their annual cultural activity on October 12, 2022</v>
      </c>
      <c r="E18" s="5">
        <f ca="1">IFERROR(__xludf.DUMMYFUNCTION("""COMPUTED_VALUE"""),20000)</f>
        <v>20000</v>
      </c>
      <c r="F18" s="4" t="str">
        <f ca="1">IFERROR(__xludf.DUMMYFUNCTION("""COMPUTED_VALUE"""),"DBP General")</f>
        <v>DBP General</v>
      </c>
      <c r="G18" s="4"/>
      <c r="H18" s="4"/>
      <c r="I18" s="4"/>
      <c r="J18" s="4"/>
      <c r="K18" s="4"/>
      <c r="L18" s="4"/>
      <c r="M18" s="4"/>
      <c r="N18" s="4"/>
      <c r="O18" s="4"/>
      <c r="P18" s="4"/>
      <c r="Q18" s="4"/>
      <c r="R18" s="4"/>
      <c r="S18" s="19"/>
    </row>
    <row r="19" spans="1:19" ht="52.2" x14ac:dyDescent="0.25">
      <c r="A19" s="4">
        <f ca="1">IFERROR(__xludf.DUMMYFUNCTION("""COMPUTED_VALUE"""),82188753)</f>
        <v>82188753</v>
      </c>
      <c r="B19" s="19">
        <f ca="1">IFERROR(__xludf.DUMMYFUNCTION("""COMPUTED_VALUE"""),44852)</f>
        <v>44852</v>
      </c>
      <c r="C19" s="4" t="str">
        <f ca="1">IFERROR(__xludf.DUMMYFUNCTION("""COMPUTED_VALUE"""),"Barangay Treasurer - Wakas North Pilar Bataan ")</f>
        <v xml:space="preserve">Barangay Treasurer - Wakas North Pilar Bataan </v>
      </c>
      <c r="D19" s="4" t="str">
        <f ca="1">IFERROR(__xludf.DUMMYFUNCTION("""COMPUTED_VALUE"""),"Subsidy to Barangay Wakas North Pilar Bataan for their Annual Cultural Activity on October 12, 2022")</f>
        <v>Subsidy to Barangay Wakas North Pilar Bataan for their Annual Cultural Activity on October 12, 2022</v>
      </c>
      <c r="E19" s="5">
        <f ca="1">IFERROR(__xludf.DUMMYFUNCTION("""COMPUTED_VALUE"""),20000)</f>
        <v>20000</v>
      </c>
      <c r="F19" s="4" t="str">
        <f ca="1">IFERROR(__xludf.DUMMYFUNCTION("""COMPUTED_VALUE"""),"DBP General")</f>
        <v>DBP General</v>
      </c>
      <c r="G19" s="4"/>
      <c r="H19" s="4"/>
      <c r="I19" s="4"/>
      <c r="J19" s="4"/>
      <c r="K19" s="4"/>
      <c r="L19" s="4"/>
      <c r="M19" s="4"/>
      <c r="N19" s="4"/>
      <c r="O19" s="4"/>
      <c r="P19" s="4"/>
      <c r="Q19" s="4"/>
      <c r="R19" s="4"/>
      <c r="S19" s="19"/>
    </row>
    <row r="20" spans="1:19" ht="52.2" x14ac:dyDescent="0.25">
      <c r="A20" s="4">
        <f ca="1">IFERROR(__xludf.DUMMYFUNCTION("""COMPUTED_VALUE"""),82188766)</f>
        <v>82188766</v>
      </c>
      <c r="B20" s="19">
        <f ca="1">IFERROR(__xludf.DUMMYFUNCTION("""COMPUTED_VALUE"""),44852)</f>
        <v>44852</v>
      </c>
      <c r="C20" s="4" t="str">
        <f ca="1">IFERROR(__xludf.DUMMYFUNCTION("""COMPUTED_VALUE"""),"Barangay Treasurer - Mt. View Mariveles Bataan ")</f>
        <v xml:space="preserve">Barangay Treasurer - Mt. View Mariveles Bataan </v>
      </c>
      <c r="D20" s="4" t="str">
        <f ca="1">IFERROR(__xludf.DUMMYFUNCTION("""COMPUTED_VALUE"""),"Subsidy to Barangay Mt. View Mariveles Bataan for their annual cultural activity on October 19, 2022")</f>
        <v>Subsidy to Barangay Mt. View Mariveles Bataan for their annual cultural activity on October 19, 2022</v>
      </c>
      <c r="E20" s="5">
        <f ca="1">IFERROR(__xludf.DUMMYFUNCTION("""COMPUTED_VALUE"""),3000)</f>
        <v>3000</v>
      </c>
      <c r="F20" s="4" t="str">
        <f ca="1">IFERROR(__xludf.DUMMYFUNCTION("""COMPUTED_VALUE"""),"DBP General")</f>
        <v>DBP General</v>
      </c>
      <c r="G20" s="4"/>
      <c r="H20" s="4"/>
      <c r="I20" s="4"/>
      <c r="J20" s="4"/>
      <c r="K20" s="4"/>
      <c r="L20" s="4"/>
      <c r="M20" s="4"/>
      <c r="N20" s="4"/>
      <c r="O20" s="4"/>
      <c r="P20" s="4"/>
      <c r="Q20" s="4"/>
      <c r="R20" s="4"/>
      <c r="S20" s="19"/>
    </row>
    <row r="21" spans="1:19" ht="69.599999999999994" x14ac:dyDescent="0.25">
      <c r="A21" s="4">
        <f ca="1">IFERROR(__xludf.DUMMYFUNCTION("""COMPUTED_VALUE"""),82188809)</f>
        <v>82188809</v>
      </c>
      <c r="B21" s="19">
        <f ca="1">IFERROR(__xludf.DUMMYFUNCTION("""COMPUTED_VALUE"""),44853)</f>
        <v>44853</v>
      </c>
      <c r="C21" s="4" t="str">
        <f ca="1">IFERROR(__xludf.DUMMYFUNCTION("""COMPUTED_VALUE"""),"Real-Tech Mobile Innovation Inc.")</f>
        <v>Real-Tech Mobile Innovation Inc.</v>
      </c>
      <c r="D21" s="4" t="str">
        <f ca="1">IFERROR(__xludf.DUMMYFUNCTION("""COMPUTED_VALUE"""),"TECH MOBILE INNOVATION INC. - Payment of internet subscription plan for vehicle tracker of PEO for the period of October 1-31, 2022")</f>
        <v>TECH MOBILE INNOVATION INC. - Payment of internet subscription plan for vehicle tracker of PEO for the period of October 1-31, 2022</v>
      </c>
      <c r="E21" s="5">
        <f ca="1">IFERROR(__xludf.DUMMYFUNCTION("""COMPUTED_VALUE"""),23467.5)</f>
        <v>23467.5</v>
      </c>
      <c r="F21" s="4" t="str">
        <f ca="1">IFERROR(__xludf.DUMMYFUNCTION("""COMPUTED_VALUE"""),"DBP General")</f>
        <v>DBP General</v>
      </c>
      <c r="G21" s="4"/>
      <c r="H21" s="4"/>
      <c r="I21" s="4"/>
      <c r="J21" s="4"/>
      <c r="K21" s="4"/>
      <c r="L21" s="4"/>
      <c r="M21" s="4"/>
      <c r="N21" s="4"/>
      <c r="O21" s="4"/>
      <c r="P21" s="4"/>
      <c r="Q21" s="4"/>
      <c r="R21" s="4"/>
      <c r="S21" s="19"/>
    </row>
    <row r="22" spans="1:19" ht="52.2" x14ac:dyDescent="0.25">
      <c r="A22" s="4">
        <f ca="1">IFERROR(__xludf.DUMMYFUNCTION("""COMPUTED_VALUE"""),82188952)</f>
        <v>82188952</v>
      </c>
      <c r="B22" s="19">
        <f ca="1">IFERROR(__xludf.DUMMYFUNCTION("""COMPUTED_VALUE"""),44855)</f>
        <v>44855</v>
      </c>
      <c r="C22" s="4" t="str">
        <f ca="1">IFERROR(__xludf.DUMMYFUNCTION("""COMPUTED_VALUE"""),"Catherine Delda ")</f>
        <v xml:space="preserve">Catherine Delda </v>
      </c>
      <c r="D22" s="4" t="str">
        <f ca="1">IFERROR(__xludf.DUMMYFUNCTION("""COMPUTED_VALUE"""),"Donation of her presentation onsite for the 9th international scholars conference on October 25-26, 2022")</f>
        <v>Donation of her presentation onsite for the 9th international scholars conference on October 25-26, 2022</v>
      </c>
      <c r="E22" s="5">
        <f ca="1">IFERROR(__xludf.DUMMYFUNCTION("""COMPUTED_VALUE"""),10000)</f>
        <v>10000</v>
      </c>
      <c r="F22" s="4" t="str">
        <f ca="1">IFERROR(__xludf.DUMMYFUNCTION("""COMPUTED_VALUE"""),"DBP General")</f>
        <v>DBP General</v>
      </c>
      <c r="G22" s="4"/>
      <c r="H22" s="4"/>
      <c r="I22" s="4"/>
      <c r="J22" s="4"/>
      <c r="K22" s="4"/>
      <c r="L22" s="4"/>
      <c r="M22" s="4"/>
      <c r="N22" s="4"/>
      <c r="O22" s="4"/>
      <c r="P22" s="4"/>
      <c r="Q22" s="4"/>
      <c r="R22" s="4"/>
      <c r="S22" s="19"/>
    </row>
    <row r="23" spans="1:19" ht="87" x14ac:dyDescent="0.25">
      <c r="A23" s="4">
        <f ca="1">IFERROR(__xludf.DUMMYFUNCTION("""COMPUTED_VALUE"""),82188990)</f>
        <v>82188990</v>
      </c>
      <c r="B23" s="19">
        <f ca="1">IFERROR(__xludf.DUMMYFUNCTION("""COMPUTED_VALUE"""),44858)</f>
        <v>44858</v>
      </c>
      <c r="C23" s="4" t="str">
        <f ca="1">IFERROR(__xludf.DUMMYFUNCTION("""COMPUTED_VALUE"""),"Barangay Treasurer Talisay Balanga City ")</f>
        <v xml:space="preserve">Barangay Treasurer Talisay Balanga City </v>
      </c>
      <c r="D23" s="4" t="str">
        <f ca="1">IFERROR(__xludf.DUMMYFUNCTION("""COMPUTED_VALUE"""),"Subsidy to Barangay TALISAY BALANGA CITY BATAAN for the foods and other expenses of their Brgy. Tanods during their annual cultural activity on November 1, 2022")</f>
        <v>Subsidy to Barangay TALISAY BALANGA CITY BATAAN for the foods and other expenses of their Brgy. Tanods during their annual cultural activity on November 1, 2022</v>
      </c>
      <c r="E23" s="5">
        <f ca="1">IFERROR(__xludf.DUMMYFUNCTION("""COMPUTED_VALUE"""),5000)</f>
        <v>5000</v>
      </c>
      <c r="F23" s="4" t="str">
        <f ca="1">IFERROR(__xludf.DUMMYFUNCTION("""COMPUTED_VALUE"""),"DBP General")</f>
        <v>DBP General</v>
      </c>
      <c r="G23" s="4"/>
      <c r="H23" s="4"/>
      <c r="I23" s="4"/>
      <c r="J23" s="4"/>
      <c r="K23" s="4"/>
      <c r="L23" s="4"/>
      <c r="M23" s="4"/>
      <c r="N23" s="4"/>
      <c r="O23" s="4"/>
      <c r="P23" s="4"/>
      <c r="Q23" s="4"/>
      <c r="R23" s="4"/>
      <c r="S23" s="19"/>
    </row>
    <row r="24" spans="1:19" ht="104.4" x14ac:dyDescent="0.25">
      <c r="A24" s="4">
        <f ca="1">IFERROR(__xludf.DUMMYFUNCTION("""COMPUTED_VALUE"""),82188992)</f>
        <v>82188992</v>
      </c>
      <c r="B24" s="19">
        <f ca="1">IFERROR(__xludf.DUMMYFUNCTION("""COMPUTED_VALUE"""),44858)</f>
        <v>44858</v>
      </c>
      <c r="C24" s="4" t="str">
        <f ca="1">IFERROR(__xludf.DUMMYFUNCTION("""COMPUTED_VALUE"""),"Barangay Treasurer Doña Francisca Balanga City ")</f>
        <v xml:space="preserve">Barangay Treasurer Doña Francisca Balanga City </v>
      </c>
      <c r="D24" s="4" t="str">
        <f ca="1">IFERROR(__xludf.DUMMYFUNCTION("""COMPUTED_VALUE"""),"Subsidy to Barangay DOñA FRANCISCA BALANGA CITY BATAAN for the foods and other expenses of their Brgy. Tanods during their annual cultural activity on November 1, 2022")</f>
        <v>Subsidy to Barangay DOñA FRANCISCA BALANGA CITY BATAAN for the foods and other expenses of their Brgy. Tanods during their annual cultural activity on November 1, 2022</v>
      </c>
      <c r="E24" s="5">
        <f ca="1">IFERROR(__xludf.DUMMYFUNCTION("""COMPUTED_VALUE"""),5000)</f>
        <v>5000</v>
      </c>
      <c r="F24" s="4" t="str">
        <f ca="1">IFERROR(__xludf.DUMMYFUNCTION("""COMPUTED_VALUE"""),"DBP General")</f>
        <v>DBP General</v>
      </c>
      <c r="G24" s="4"/>
      <c r="H24" s="4"/>
      <c r="I24" s="4"/>
      <c r="J24" s="4"/>
      <c r="K24" s="4"/>
      <c r="L24" s="4"/>
      <c r="M24" s="4"/>
      <c r="N24" s="4"/>
      <c r="O24" s="4"/>
      <c r="P24" s="4"/>
      <c r="Q24" s="4"/>
      <c r="R24" s="4"/>
      <c r="S24" s="19"/>
    </row>
    <row r="25" spans="1:19" ht="52.2" x14ac:dyDescent="0.25">
      <c r="A25" s="4">
        <f ca="1">IFERROR(__xludf.DUMMYFUNCTION("""COMPUTED_VALUE"""),82189081)</f>
        <v>82189081</v>
      </c>
      <c r="B25" s="19">
        <f ca="1">IFERROR(__xludf.DUMMYFUNCTION("""COMPUTED_VALUE"""),44858)</f>
        <v>44858</v>
      </c>
      <c r="C25" s="4" t="str">
        <f ca="1">IFERROR(__xludf.DUMMYFUNCTION("""COMPUTED_VALUE"""),"Roxan Zabala ")</f>
        <v xml:space="preserve">Roxan Zabala </v>
      </c>
      <c r="D25" s="4" t="str">
        <f ca="1">IFERROR(__xludf.DUMMYFUNCTION("""COMPUTED_VALUE"""),"Tax refund for CY 1999 on behalf of Mr Gene Oliver Zabala, husband of the claimnant Mrs Roxan Zabala")</f>
        <v>Tax refund for CY 1999 on behalf of Mr Gene Oliver Zabala, husband of the claimnant Mrs Roxan Zabala</v>
      </c>
      <c r="E25" s="5">
        <f ca="1">IFERROR(__xludf.DUMMYFUNCTION("""COMPUTED_VALUE"""),764.94)</f>
        <v>764.94</v>
      </c>
      <c r="F25" s="4" t="str">
        <f ca="1">IFERROR(__xludf.DUMMYFUNCTION("""COMPUTED_VALUE"""),"DBP General")</f>
        <v>DBP General</v>
      </c>
      <c r="G25" s="4"/>
      <c r="H25" s="4"/>
      <c r="I25" s="4"/>
      <c r="J25" s="4"/>
      <c r="K25" s="4"/>
      <c r="L25" s="4"/>
      <c r="M25" s="4"/>
      <c r="N25" s="4"/>
      <c r="O25" s="4"/>
      <c r="P25" s="4"/>
      <c r="Q25" s="4"/>
      <c r="R25" s="4"/>
      <c r="S25" s="19"/>
    </row>
    <row r="26" spans="1:19" ht="17.399999999999999" x14ac:dyDescent="0.25">
      <c r="A26" s="4">
        <f ca="1">IFERROR(__xludf.DUMMYFUNCTION("""COMPUTED_VALUE"""),82189083)</f>
        <v>82189083</v>
      </c>
      <c r="B26" s="19">
        <f ca="1">IFERROR(__xludf.DUMMYFUNCTION("""COMPUTED_VALUE"""),44858)</f>
        <v>44858</v>
      </c>
      <c r="C26" s="4" t="str">
        <f ca="1">IFERROR(__xludf.DUMMYFUNCTION("""COMPUTED_VALUE"""),"Laarni Remedios Macaspac ")</f>
        <v xml:space="preserve">Laarni Remedios Macaspac </v>
      </c>
      <c r="D26" s="4" t="str">
        <f ca="1">IFERROR(__xludf.DUMMYFUNCTION("""COMPUTED_VALUE"""),"Tax refund for CY 2003")</f>
        <v>Tax refund for CY 2003</v>
      </c>
      <c r="E26" s="5">
        <f ca="1">IFERROR(__xludf.DUMMYFUNCTION("""COMPUTED_VALUE"""),1177.76)</f>
        <v>1177.76</v>
      </c>
      <c r="F26" s="4" t="str">
        <f ca="1">IFERROR(__xludf.DUMMYFUNCTION("""COMPUTED_VALUE"""),"DBP General")</f>
        <v>DBP General</v>
      </c>
      <c r="G26" s="4"/>
      <c r="H26" s="4"/>
      <c r="I26" s="4"/>
      <c r="J26" s="4"/>
      <c r="K26" s="4"/>
      <c r="L26" s="4"/>
      <c r="M26" s="4"/>
      <c r="N26" s="4"/>
      <c r="O26" s="4"/>
      <c r="P26" s="4"/>
      <c r="Q26" s="4"/>
      <c r="R26" s="4"/>
      <c r="S26" s="19"/>
    </row>
    <row r="27" spans="1:19" ht="69.599999999999994" x14ac:dyDescent="0.25">
      <c r="A27" s="4">
        <f ca="1">IFERROR(__xludf.DUMMYFUNCTION("""COMPUTED_VALUE"""),82189117)</f>
        <v>82189117</v>
      </c>
      <c r="B27" s="19">
        <f ca="1">IFERROR(__xludf.DUMMYFUNCTION("""COMPUTED_VALUE"""),44859)</f>
        <v>44859</v>
      </c>
      <c r="C27" s="4" t="str">
        <f ca="1">IFERROR(__xludf.DUMMYFUNCTION("""COMPUTED_VALUE"""),"GE-Channel Enterprises ")</f>
        <v xml:space="preserve">GE-Channel Enterprises </v>
      </c>
      <c r="D27" s="4" t="str">
        <f ca="1">IFERROR(__xludf.DUMMYFUNCTION("""COMPUTED_VALUE"""),"Replacement of internal hard drive of information and communication equipment for the use of Provincial Assessor's Office")</f>
        <v>Replacement of internal hard drive of information and communication equipment for the use of Provincial Assessor's Office</v>
      </c>
      <c r="E27" s="5">
        <f ca="1">IFERROR(__xludf.DUMMYFUNCTION("""COMPUTED_VALUE"""),2366.07)</f>
        <v>2366.0700000000002</v>
      </c>
      <c r="F27" s="4" t="str">
        <f ca="1">IFERROR(__xludf.DUMMYFUNCTION("""COMPUTED_VALUE"""),"DBP General")</f>
        <v>DBP General</v>
      </c>
      <c r="G27" s="4"/>
      <c r="H27" s="4"/>
      <c r="I27" s="4"/>
      <c r="J27" s="4"/>
      <c r="K27" s="4"/>
      <c r="L27" s="4"/>
      <c r="M27" s="4"/>
      <c r="N27" s="4"/>
      <c r="O27" s="4"/>
      <c r="P27" s="4"/>
      <c r="Q27" s="4"/>
      <c r="R27" s="4"/>
      <c r="S27" s="19"/>
    </row>
    <row r="28" spans="1:19" ht="69.599999999999994" x14ac:dyDescent="0.25">
      <c r="A28" s="4">
        <f ca="1">IFERROR(__xludf.DUMMYFUNCTION("""COMPUTED_VALUE"""),82189125)</f>
        <v>82189125</v>
      </c>
      <c r="B28" s="19">
        <f ca="1">IFERROR(__xludf.DUMMYFUNCTION("""COMPUTED_VALUE"""),44859)</f>
        <v>44859</v>
      </c>
      <c r="C28" s="4" t="str">
        <f ca="1">IFERROR(__xludf.DUMMYFUNCTION("""COMPUTED_VALUE"""),"Barangay Treasurer - Sacrifice Valley, Hermosa ")</f>
        <v xml:space="preserve">Barangay Treasurer - Sacrifice Valley, Hermosa </v>
      </c>
      <c r="D28" s="4" t="str">
        <f ca="1">IFERROR(__xludf.DUMMYFUNCTION("""COMPUTED_VALUE"""),"Subsidy to SACRIFICE VALLEY HERMOSA BATAAN for their annual cultural activity on October 22 to 23, 2022")</f>
        <v>Subsidy to SACRIFICE VALLEY HERMOSA BATAAN for their annual cultural activity on October 22 to 23, 2022</v>
      </c>
      <c r="E28" s="5">
        <f ca="1">IFERROR(__xludf.DUMMYFUNCTION("""COMPUTED_VALUE"""),20000)</f>
        <v>20000</v>
      </c>
      <c r="F28" s="4" t="str">
        <f ca="1">IFERROR(__xludf.DUMMYFUNCTION("""COMPUTED_VALUE"""),"DBP General")</f>
        <v>DBP General</v>
      </c>
      <c r="G28" s="4"/>
      <c r="H28" s="4"/>
      <c r="I28" s="4"/>
      <c r="J28" s="4"/>
      <c r="K28" s="4"/>
      <c r="L28" s="4"/>
      <c r="M28" s="4"/>
      <c r="N28" s="4"/>
      <c r="O28" s="4"/>
      <c r="P28" s="4"/>
      <c r="Q28" s="4"/>
      <c r="R28" s="4"/>
      <c r="S28" s="19"/>
    </row>
    <row r="29" spans="1:19" ht="69.599999999999994" x14ac:dyDescent="0.25">
      <c r="A29" s="4">
        <f ca="1">IFERROR(__xludf.DUMMYFUNCTION("""COMPUTED_VALUE"""),82189127)</f>
        <v>82189127</v>
      </c>
      <c r="B29" s="19">
        <f ca="1">IFERROR(__xludf.DUMMYFUNCTION("""COMPUTED_VALUE"""),44859)</f>
        <v>44859</v>
      </c>
      <c r="C29" s="4" t="str">
        <f ca="1">IFERROR(__xludf.DUMMYFUNCTION("""COMPUTED_VALUE"""),"Converge Information and Communications Technology Solutions, Inc. ")</f>
        <v xml:space="preserve">Converge Information and Communications Technology Solutions, Inc. </v>
      </c>
      <c r="D29" s="4" t="str">
        <f ca="1">IFERROR(__xludf.DUMMYFUNCTION("""COMPUTED_VALUE"""),"Payment of Monthly subscription fee for the services of Internet Connection of PGO Office covering period of May - Sept. 2022")</f>
        <v>Payment of Monthly subscription fee for the services of Internet Connection of PGO Office covering period of May - Sept. 2022</v>
      </c>
      <c r="E29" s="5">
        <f ca="1">IFERROR(__xludf.DUMMYFUNCTION("""COMPUTED_VALUE"""),18431.35)</f>
        <v>18431.349999999999</v>
      </c>
      <c r="F29" s="4" t="str">
        <f ca="1">IFERROR(__xludf.DUMMYFUNCTION("""COMPUTED_VALUE"""),"DBP General")</f>
        <v>DBP General</v>
      </c>
      <c r="G29" s="4"/>
      <c r="H29" s="4"/>
      <c r="I29" s="4"/>
      <c r="J29" s="4"/>
      <c r="K29" s="4"/>
      <c r="L29" s="4"/>
      <c r="M29" s="4"/>
      <c r="N29" s="4"/>
      <c r="O29" s="4"/>
      <c r="P29" s="4"/>
      <c r="Q29" s="4"/>
      <c r="R29" s="4"/>
      <c r="S29" s="19"/>
    </row>
    <row r="30" spans="1:19" ht="17.399999999999999" x14ac:dyDescent="0.25">
      <c r="A30" s="4">
        <f ca="1">IFERROR(__xludf.DUMMYFUNCTION("""COMPUTED_VALUE"""),82189131)</f>
        <v>82189131</v>
      </c>
      <c r="B30" s="19">
        <f ca="1">IFERROR(__xludf.DUMMYFUNCTION("""COMPUTED_VALUE"""),44859)</f>
        <v>44859</v>
      </c>
      <c r="C30" s="4" t="str">
        <f ca="1">IFERROR(__xludf.DUMMYFUNCTION("""COMPUTED_VALUE"""),"Karen Camille Dilig ")</f>
        <v xml:space="preserve">Karen Camille Dilig </v>
      </c>
      <c r="D30" s="4" t="str">
        <f ca="1">IFERROR(__xludf.DUMMYFUNCTION("""COMPUTED_VALUE"""),"Tax refund for CY 2018")</f>
        <v>Tax refund for CY 2018</v>
      </c>
      <c r="E30" s="5">
        <f ca="1">IFERROR(__xludf.DUMMYFUNCTION("""COMPUTED_VALUE"""),2122.91)</f>
        <v>2122.91</v>
      </c>
      <c r="F30" s="4" t="str">
        <f ca="1">IFERROR(__xludf.DUMMYFUNCTION("""COMPUTED_VALUE"""),"DBP General")</f>
        <v>DBP General</v>
      </c>
      <c r="G30" s="4"/>
      <c r="H30" s="4"/>
      <c r="I30" s="4"/>
      <c r="J30" s="4"/>
      <c r="K30" s="4"/>
      <c r="L30" s="4"/>
      <c r="M30" s="4"/>
      <c r="N30" s="4"/>
      <c r="O30" s="4"/>
      <c r="P30" s="4"/>
      <c r="Q30" s="4"/>
      <c r="R30" s="4"/>
      <c r="S30" s="19"/>
    </row>
    <row r="31" spans="1:19" ht="69.599999999999994" x14ac:dyDescent="0.25">
      <c r="A31" s="4">
        <f ca="1">IFERROR(__xludf.DUMMYFUNCTION("""COMPUTED_VALUE"""),82189176)</f>
        <v>82189176</v>
      </c>
      <c r="B31" s="19">
        <f ca="1">IFERROR(__xludf.DUMMYFUNCTION("""COMPUTED_VALUE"""),44867)</f>
        <v>44867</v>
      </c>
      <c r="C31" s="4" t="str">
        <f ca="1">IFERROR(__xludf.DUMMYFUNCTION("""COMPUTED_VALUE"""),"Municipal Treasurer - Samal, Bataan ")</f>
        <v xml:space="preserve">Municipal Treasurer - Samal, Bataan </v>
      </c>
      <c r="D31" s="4" t="str">
        <f ca="1">IFERROR(__xludf.DUMMYFUNCTION("""COMPUTED_VALUE"""),"Subsidy to Municipality of SAMAL BATAAN for their Samal Trade Fair &amp; Musical Festival 2022 on October 25 - 29, 2022")</f>
        <v>Subsidy to Municipality of SAMAL BATAAN for their Samal Trade Fair &amp; Musical Festival 2022 on October 25 - 29, 2022</v>
      </c>
      <c r="E31" s="5">
        <f ca="1">IFERROR(__xludf.DUMMYFUNCTION("""COMPUTED_VALUE"""),100000)</f>
        <v>100000</v>
      </c>
      <c r="F31" s="4" t="str">
        <f ca="1">IFERROR(__xludf.DUMMYFUNCTION("""COMPUTED_VALUE"""),"DBP General")</f>
        <v>DBP General</v>
      </c>
      <c r="G31" s="4"/>
      <c r="H31" s="4"/>
      <c r="I31" s="4"/>
      <c r="J31" s="4"/>
      <c r="K31" s="4"/>
      <c r="L31" s="4"/>
      <c r="M31" s="4"/>
      <c r="N31" s="4"/>
      <c r="O31" s="4"/>
      <c r="P31" s="4"/>
      <c r="Q31" s="4"/>
      <c r="R31" s="4"/>
      <c r="S31" s="19"/>
    </row>
    <row r="32" spans="1:19" ht="34.799999999999997" x14ac:dyDescent="0.25">
      <c r="A32" s="4">
        <f ca="1">IFERROR(__xludf.DUMMYFUNCTION("""COMPUTED_VALUE"""),2041722)</f>
        <v>2041722</v>
      </c>
      <c r="B32" s="19">
        <f ca="1">IFERROR(__xludf.DUMMYFUNCTION("""COMPUTED_VALUE"""),44715)</f>
        <v>44715</v>
      </c>
      <c r="C32" s="4" t="str">
        <f ca="1">IFERROR(__xludf.DUMMYFUNCTION("""COMPUTED_VALUE"""),"Design 360ñ Engineering Services ")</f>
        <v xml:space="preserve">Design 360ñ Engineering Services </v>
      </c>
      <c r="D32" s="4" t="str">
        <f ca="1">IFERROR(__xludf.DUMMYFUNCTION("""COMPUTED_VALUE"""),"1% retention for different procurements of the PGB")</f>
        <v>1% retention for different procurements of the PGB</v>
      </c>
      <c r="E32" s="5">
        <f ca="1">IFERROR(__xludf.DUMMYFUNCTION("""COMPUTED_VALUE"""),2132.5)</f>
        <v>2132.5</v>
      </c>
      <c r="F32" s="4" t="str">
        <f ca="1">IFERROR(__xludf.DUMMYFUNCTION("""COMPUTED_VALUE"""),"LBP General")</f>
        <v>LBP General</v>
      </c>
      <c r="G32" s="4"/>
      <c r="H32" s="4"/>
      <c r="I32" s="4"/>
      <c r="J32" s="4"/>
      <c r="K32" s="4"/>
      <c r="L32" s="4"/>
      <c r="M32" s="4"/>
      <c r="N32" s="4"/>
      <c r="O32" s="4"/>
      <c r="P32" s="4"/>
      <c r="Q32" s="4"/>
      <c r="R32" s="4"/>
      <c r="S32" s="19"/>
    </row>
    <row r="33" spans="1:19" ht="34.799999999999997" x14ac:dyDescent="0.25">
      <c r="A33" s="4">
        <f ca="1">IFERROR(__xludf.DUMMYFUNCTION("""COMPUTED_VALUE"""),2041973)</f>
        <v>2041973</v>
      </c>
      <c r="B33" s="19">
        <f ca="1">IFERROR(__xludf.DUMMYFUNCTION("""COMPUTED_VALUE"""),44742)</f>
        <v>44742</v>
      </c>
      <c r="C33" s="4" t="str">
        <f ca="1">IFERROR(__xludf.DUMMYFUNCTION("""COMPUTED_VALUE"""),"Best Choice Enterprises ")</f>
        <v xml:space="preserve">Best Choice Enterprises </v>
      </c>
      <c r="D33" s="4" t="str">
        <f ca="1">IFERROR(__xludf.DUMMYFUNCTION("""COMPUTED_VALUE"""),"Office supplies for use in the Provincial Treasurer's Offic")</f>
        <v>Office supplies for use in the Provincial Treasurer's Offic</v>
      </c>
      <c r="E33" s="5">
        <f ca="1">IFERROR(__xludf.DUMMYFUNCTION("""COMPUTED_VALUE"""),23603.93)</f>
        <v>23603.93</v>
      </c>
      <c r="F33" s="4" t="str">
        <f ca="1">IFERROR(__xludf.DUMMYFUNCTION("""COMPUTED_VALUE"""),"LBP General")</f>
        <v>LBP General</v>
      </c>
      <c r="G33" s="4"/>
      <c r="H33" s="4"/>
      <c r="I33" s="4"/>
      <c r="J33" s="4"/>
      <c r="K33" s="4"/>
      <c r="L33" s="4"/>
      <c r="M33" s="4"/>
      <c r="N33" s="4"/>
      <c r="O33" s="4"/>
      <c r="P33" s="4"/>
      <c r="Q33" s="4"/>
      <c r="R33" s="4"/>
      <c r="S33" s="19"/>
    </row>
    <row r="34" spans="1:19" ht="87" x14ac:dyDescent="0.25">
      <c r="A34" s="4">
        <f ca="1">IFERROR(__xludf.DUMMYFUNCTION("""COMPUTED_VALUE"""),2042084)</f>
        <v>2042084</v>
      </c>
      <c r="B34" s="19">
        <f ca="1">IFERROR(__xludf.DUMMYFUNCTION("""COMPUTED_VALUE"""),44776)</f>
        <v>44776</v>
      </c>
      <c r="C34" s="4" t="str">
        <f ca="1">IFERROR(__xludf.DUMMYFUNCTION("""COMPUTED_VALUE"""),"Rainbowgeo Scientific Corp. ")</f>
        <v xml:space="preserve">Rainbowgeo Scientific Corp. </v>
      </c>
      <c r="D34" s="4" t="str">
        <f ca="1">IFERROR(__xludf.DUMMYFUNCTION("""COMPUTED_VALUE"""),"Calibration and replacement of keypad panel of TOPCON GTS-229 Total Station with serial number: UP4472 used by Provincial Engineer's Office Survey Team")</f>
        <v>Calibration and replacement of keypad panel of TOPCON GTS-229 Total Station with serial number: UP4472 used by Provincial Engineer's Office Survey Team</v>
      </c>
      <c r="E34" s="5">
        <f ca="1">IFERROR(__xludf.DUMMYFUNCTION("""COMPUTED_VALUE"""),9375)</f>
        <v>9375</v>
      </c>
      <c r="F34" s="4" t="str">
        <f ca="1">IFERROR(__xludf.DUMMYFUNCTION("""COMPUTED_VALUE"""),"LBP General")</f>
        <v>LBP General</v>
      </c>
      <c r="G34" s="4"/>
      <c r="H34" s="4"/>
      <c r="I34" s="4"/>
      <c r="J34" s="4"/>
      <c r="K34" s="4"/>
      <c r="L34" s="4"/>
      <c r="M34" s="4"/>
      <c r="N34" s="4"/>
      <c r="O34" s="4"/>
      <c r="P34" s="4"/>
      <c r="Q34" s="4"/>
      <c r="R34" s="4"/>
      <c r="S34" s="19"/>
    </row>
    <row r="35" spans="1:19" ht="34.799999999999997" x14ac:dyDescent="0.25">
      <c r="A35" s="4">
        <f ca="1">IFERROR(__xludf.DUMMYFUNCTION("""COMPUTED_VALUE"""),2042207)</f>
        <v>2042207</v>
      </c>
      <c r="B35" s="19">
        <f ca="1">IFERROR(__xludf.DUMMYFUNCTION("""COMPUTED_VALUE"""),44781)</f>
        <v>44781</v>
      </c>
      <c r="C35" s="4" t="str">
        <f ca="1">IFERROR(__xludf.DUMMYFUNCTION("""COMPUTED_VALUE"""),"Agustin Jr. Carlos M. ")</f>
        <v xml:space="preserve">Agustin Jr. Carlos M. </v>
      </c>
      <c r="D35" s="4" t="str">
        <f ca="1">IFERROR(__xludf.DUMMYFUNCTION("""COMPUTED_VALUE"""),"Refund of philhealth contribution for July 2022")</f>
        <v>Refund of philhealth contribution for July 2022</v>
      </c>
      <c r="E35" s="5">
        <f ca="1">IFERROR(__xludf.DUMMYFUNCTION("""COMPUTED_VALUE"""),400)</f>
        <v>400</v>
      </c>
      <c r="F35" s="4" t="str">
        <f ca="1">IFERROR(__xludf.DUMMYFUNCTION("""COMPUTED_VALUE"""),"LBP General")</f>
        <v>LBP General</v>
      </c>
      <c r="G35" s="4"/>
      <c r="H35" s="4"/>
      <c r="I35" s="4"/>
      <c r="J35" s="4"/>
      <c r="K35" s="4"/>
      <c r="L35" s="4"/>
      <c r="M35" s="4"/>
      <c r="N35" s="4"/>
      <c r="O35" s="4"/>
      <c r="P35" s="4"/>
      <c r="Q35" s="4"/>
      <c r="R35" s="4"/>
      <c r="S35" s="19"/>
    </row>
    <row r="36" spans="1:19" ht="52.2" x14ac:dyDescent="0.25">
      <c r="A36" s="4">
        <f ca="1">IFERROR(__xludf.DUMMYFUNCTION("""COMPUTED_VALUE"""),2042411)</f>
        <v>2042411</v>
      </c>
      <c r="B36" s="19">
        <f ca="1">IFERROR(__xludf.DUMMYFUNCTION("""COMPUTED_VALUE"""),44782)</f>
        <v>44782</v>
      </c>
      <c r="C36" s="4" t="str">
        <f ca="1">IFERROR(__xludf.DUMMYFUNCTION("""COMPUTED_VALUE"""),"Province of Abra ")</f>
        <v xml:space="preserve">Province of Abra </v>
      </c>
      <c r="D36" s="4" t="str">
        <f ca="1">IFERROR(__xludf.DUMMYFUNCTION("""COMPUTED_VALUE"""),"Subsidy to Province of Abra for the assistance to the victims of the recent earthquake in the province")</f>
        <v>Subsidy to Province of Abra for the assistance to the victims of the recent earthquake in the province</v>
      </c>
      <c r="E36" s="5">
        <f ca="1">IFERROR(__xludf.DUMMYFUNCTION("""COMPUTED_VALUE"""),100000)</f>
        <v>100000</v>
      </c>
      <c r="F36" s="4" t="str">
        <f ca="1">IFERROR(__xludf.DUMMYFUNCTION("""COMPUTED_VALUE"""),"LBP General")</f>
        <v>LBP General</v>
      </c>
      <c r="G36" s="4"/>
      <c r="H36" s="4"/>
      <c r="I36" s="4"/>
      <c r="J36" s="4"/>
      <c r="K36" s="4"/>
      <c r="L36" s="4"/>
      <c r="M36" s="4"/>
      <c r="N36" s="4"/>
      <c r="O36" s="4"/>
      <c r="P36" s="4"/>
      <c r="Q36" s="4"/>
      <c r="R36" s="4"/>
      <c r="S36" s="19"/>
    </row>
    <row r="37" spans="1:19" ht="34.799999999999997" x14ac:dyDescent="0.25">
      <c r="A37" s="4">
        <f ca="1">IFERROR(__xludf.DUMMYFUNCTION("""COMPUTED_VALUE"""),2042511)</f>
        <v>2042511</v>
      </c>
      <c r="B37" s="19">
        <f ca="1">IFERROR(__xludf.DUMMYFUNCTION("""COMPUTED_VALUE"""),44784)</f>
        <v>44784</v>
      </c>
      <c r="C37" s="4" t="str">
        <f ca="1">IFERROR(__xludf.DUMMYFUNCTION("""COMPUTED_VALUE"""),"J.F. Capistrano Consumer Goods Trading ")</f>
        <v xml:space="preserve">J.F. Capistrano Consumer Goods Trading </v>
      </c>
      <c r="D37" s="4" t="str">
        <f ca="1">IFERROR(__xludf.DUMMYFUNCTION("""COMPUTED_VALUE"""),"1% retention for different procurements of the PGB")</f>
        <v>1% retention for different procurements of the PGB</v>
      </c>
      <c r="E37" s="5">
        <f ca="1">IFERROR(__xludf.DUMMYFUNCTION("""COMPUTED_VALUE"""),23800)</f>
        <v>23800</v>
      </c>
      <c r="F37" s="4" t="str">
        <f ca="1">IFERROR(__xludf.DUMMYFUNCTION("""COMPUTED_VALUE"""),"LBP General")</f>
        <v>LBP General</v>
      </c>
      <c r="G37" s="4"/>
      <c r="H37" s="4"/>
      <c r="I37" s="4"/>
      <c r="J37" s="4"/>
      <c r="K37" s="4"/>
      <c r="L37" s="4"/>
      <c r="M37" s="4"/>
      <c r="N37" s="4"/>
      <c r="O37" s="4"/>
      <c r="P37" s="4"/>
      <c r="Q37" s="4"/>
      <c r="R37" s="4"/>
      <c r="S37" s="19"/>
    </row>
    <row r="38" spans="1:19" ht="52.2" x14ac:dyDescent="0.25">
      <c r="A38" s="4">
        <f ca="1">IFERROR(__xludf.DUMMYFUNCTION("""COMPUTED_VALUE"""),2042677)</f>
        <v>2042677</v>
      </c>
      <c r="B38" s="19">
        <f ca="1">IFERROR(__xludf.DUMMYFUNCTION("""COMPUTED_VALUE"""),44789)</f>
        <v>44789</v>
      </c>
      <c r="C38" s="4" t="str">
        <f ca="1">IFERROR(__xludf.DUMMYFUNCTION("""COMPUTED_VALUE"""),"Barangay Treasurer - Tuyo, Balanga City, Bataan ")</f>
        <v xml:space="preserve">Barangay Treasurer - Tuyo, Balanga City, Bataan </v>
      </c>
      <c r="D38" s="4" t="str">
        <f ca="1">IFERROR(__xludf.DUMMYFUNCTION("""COMPUTED_VALUE"""),"Subsidy to Barangay Tuyo Balanga City Bataan for their Annual Cultural Activity on August 16, 2022")</f>
        <v>Subsidy to Barangay Tuyo Balanga City Bataan for their Annual Cultural Activity on August 16, 2022</v>
      </c>
      <c r="E38" s="5">
        <f ca="1">IFERROR(__xludf.DUMMYFUNCTION("""COMPUTED_VALUE"""),20000)</f>
        <v>20000</v>
      </c>
      <c r="F38" s="4" t="str">
        <f ca="1">IFERROR(__xludf.DUMMYFUNCTION("""COMPUTED_VALUE"""),"LBP General")</f>
        <v>LBP General</v>
      </c>
      <c r="G38" s="4"/>
      <c r="H38" s="4"/>
      <c r="I38" s="4"/>
      <c r="J38" s="4"/>
      <c r="K38" s="4"/>
      <c r="L38" s="4"/>
      <c r="M38" s="4"/>
      <c r="N38" s="4"/>
      <c r="O38" s="4"/>
      <c r="P38" s="4"/>
      <c r="Q38" s="4"/>
      <c r="R38" s="4"/>
      <c r="S38" s="19"/>
    </row>
    <row r="39" spans="1:19" ht="52.2" x14ac:dyDescent="0.25">
      <c r="A39" s="4">
        <f ca="1">IFERROR(__xludf.DUMMYFUNCTION("""COMPUTED_VALUE"""),2042752)</f>
        <v>2042752</v>
      </c>
      <c r="B39" s="19">
        <f ca="1">IFERROR(__xludf.DUMMYFUNCTION("""COMPUTED_VALUE"""),44790)</f>
        <v>44790</v>
      </c>
      <c r="C39" s="4" t="str">
        <f ca="1">IFERROR(__xludf.DUMMYFUNCTION("""COMPUTED_VALUE"""),"Japi Printzone Corporation ")</f>
        <v xml:space="preserve">Japi Printzone Corporation </v>
      </c>
      <c r="D39" s="4" t="str">
        <f ca="1">IFERROR(__xludf.DUMMYFUNCTION("""COMPUTED_VALUE"""),"1% retention for printing of 1Bataan Newsletter Issue 6 Vol 2 for use of PGB")</f>
        <v>1% retention for printing of 1Bataan Newsletter Issue 6 Vol 2 for use of PGB</v>
      </c>
      <c r="E39" s="5">
        <f ca="1">IFERROR(__xludf.DUMMYFUNCTION("""COMPUTED_VALUE"""),670)</f>
        <v>670</v>
      </c>
      <c r="F39" s="4" t="str">
        <f ca="1">IFERROR(__xludf.DUMMYFUNCTION("""COMPUTED_VALUE"""),"LBP General")</f>
        <v>LBP General</v>
      </c>
      <c r="G39" s="4"/>
      <c r="H39" s="4"/>
      <c r="I39" s="4"/>
      <c r="J39" s="4"/>
      <c r="K39" s="4"/>
      <c r="L39" s="4"/>
      <c r="M39" s="4"/>
      <c r="N39" s="4"/>
      <c r="O39" s="4"/>
      <c r="P39" s="4"/>
      <c r="Q39" s="4"/>
      <c r="R39" s="4"/>
      <c r="S39" s="19"/>
    </row>
    <row r="40" spans="1:19" ht="34.799999999999997" x14ac:dyDescent="0.25">
      <c r="A40" s="4">
        <f ca="1">IFERROR(__xludf.DUMMYFUNCTION("""COMPUTED_VALUE"""),2042755)</f>
        <v>2042755</v>
      </c>
      <c r="B40" s="19">
        <f ca="1">IFERROR(__xludf.DUMMYFUNCTION("""COMPUTED_VALUE"""),44790)</f>
        <v>44790</v>
      </c>
      <c r="C40" s="4" t="str">
        <f ca="1">IFERROR(__xludf.DUMMYFUNCTION("""COMPUTED_VALUE"""),"Servo I.T. Solutions ")</f>
        <v xml:space="preserve">Servo I.T. Solutions </v>
      </c>
      <c r="D40" s="4" t="str">
        <f ca="1">IFERROR(__xludf.DUMMYFUNCTION("""COMPUTED_VALUE"""),"1% retention for different procurements of the PGB")</f>
        <v>1% retention for different procurements of the PGB</v>
      </c>
      <c r="E40" s="5">
        <f ca="1">IFERROR(__xludf.DUMMYFUNCTION("""COMPUTED_VALUE"""),825.72)</f>
        <v>825.72</v>
      </c>
      <c r="F40" s="4" t="str">
        <f ca="1">IFERROR(__xludf.DUMMYFUNCTION("""COMPUTED_VALUE"""),"LBP General")</f>
        <v>LBP General</v>
      </c>
      <c r="G40" s="4"/>
      <c r="H40" s="4"/>
      <c r="I40" s="4"/>
      <c r="J40" s="4"/>
      <c r="K40" s="4"/>
      <c r="L40" s="4"/>
      <c r="M40" s="4"/>
      <c r="N40" s="4"/>
      <c r="O40" s="4"/>
      <c r="P40" s="4"/>
      <c r="Q40" s="4"/>
      <c r="R40" s="4"/>
      <c r="S40" s="19"/>
    </row>
    <row r="41" spans="1:19" ht="34.799999999999997" x14ac:dyDescent="0.25">
      <c r="A41" s="4">
        <f ca="1">IFERROR(__xludf.DUMMYFUNCTION("""COMPUTED_VALUE"""),2043055)</f>
        <v>2043055</v>
      </c>
      <c r="B41" s="19">
        <f ca="1">IFERROR(__xludf.DUMMYFUNCTION("""COMPUTED_VALUE"""),44811)</f>
        <v>44811</v>
      </c>
      <c r="C41" s="4" t="str">
        <f ca="1">IFERROR(__xludf.DUMMYFUNCTION("""COMPUTED_VALUE"""),"Noriel B. Delacion ")</f>
        <v xml:space="preserve">Noriel B. Delacion </v>
      </c>
      <c r="D41" s="4" t="str">
        <f ca="1">IFERROR(__xludf.DUMMYFUNCTION("""COMPUTED_VALUE"""),"Payment of his stepcrement for the month of August 1-31, 2022")</f>
        <v>Payment of his stepcrement for the month of August 1-31, 2022</v>
      </c>
      <c r="E41" s="5">
        <f ca="1">IFERROR(__xludf.DUMMYFUNCTION("""COMPUTED_VALUE"""),416.78)</f>
        <v>416.78</v>
      </c>
      <c r="F41" s="4" t="str">
        <f ca="1">IFERROR(__xludf.DUMMYFUNCTION("""COMPUTED_VALUE"""),"LBP General")</f>
        <v>LBP General</v>
      </c>
      <c r="G41" s="4"/>
      <c r="H41" s="4"/>
      <c r="I41" s="4"/>
      <c r="J41" s="4"/>
      <c r="K41" s="4"/>
      <c r="L41" s="4"/>
      <c r="M41" s="4"/>
      <c r="N41" s="4"/>
      <c r="O41" s="4"/>
      <c r="P41" s="4"/>
      <c r="Q41" s="4"/>
      <c r="R41" s="4"/>
      <c r="S41" s="19"/>
    </row>
    <row r="42" spans="1:19" ht="34.799999999999997" x14ac:dyDescent="0.25">
      <c r="A42" s="4">
        <f ca="1">IFERROR(__xludf.DUMMYFUNCTION("""COMPUTED_VALUE"""),2092373)</f>
        <v>2092373</v>
      </c>
      <c r="B42" s="19">
        <f ca="1">IFERROR(__xludf.DUMMYFUNCTION("""COMPUTED_VALUE"""),44824)</f>
        <v>44824</v>
      </c>
      <c r="C42" s="4" t="str">
        <f ca="1">IFERROR(__xludf.DUMMYFUNCTION("""COMPUTED_VALUE"""),"Raio Resto Services ")</f>
        <v xml:space="preserve">Raio Resto Services </v>
      </c>
      <c r="D42" s="4" t="str">
        <f ca="1">IFERROR(__xludf.DUMMYFUNCTION("""COMPUTED_VALUE"""),"Meals incurred during various meetings")</f>
        <v>Meals incurred during various meetings</v>
      </c>
      <c r="E42" s="5">
        <f ca="1">IFERROR(__xludf.DUMMYFUNCTION("""COMPUTED_VALUE"""),10600)</f>
        <v>10600</v>
      </c>
      <c r="F42" s="4" t="str">
        <f ca="1">IFERROR(__xludf.DUMMYFUNCTION("""COMPUTED_VALUE"""),"LBP General")</f>
        <v>LBP General</v>
      </c>
      <c r="G42" s="4"/>
      <c r="H42" s="4"/>
      <c r="I42" s="4"/>
      <c r="J42" s="4"/>
      <c r="K42" s="4"/>
      <c r="L42" s="4"/>
      <c r="M42" s="4"/>
      <c r="N42" s="4"/>
      <c r="O42" s="4"/>
      <c r="P42" s="4"/>
      <c r="Q42" s="4"/>
      <c r="R42" s="4"/>
      <c r="S42" s="19"/>
    </row>
    <row r="43" spans="1:19" ht="52.2" x14ac:dyDescent="0.25">
      <c r="A43" s="4">
        <f ca="1">IFERROR(__xludf.DUMMYFUNCTION("""COMPUTED_VALUE"""),2092557)</f>
        <v>2092557</v>
      </c>
      <c r="B43" s="19">
        <f ca="1">IFERROR(__xludf.DUMMYFUNCTION("""COMPUTED_VALUE"""),44827)</f>
        <v>44827</v>
      </c>
      <c r="C43" s="4" t="str">
        <f ca="1">IFERROR(__xludf.DUMMYFUNCTION("""COMPUTED_VALUE"""),"Raio Resto Services ")</f>
        <v xml:space="preserve">Raio Resto Services </v>
      </c>
      <c r="D43" s="4" t="str">
        <f ca="1">IFERROR(__xludf.DUMMYFUNCTION("""COMPUTED_VALUE"""),"Snacks incurred during meeting with foreign investors re: Proposed steel Mill project last Sept 1, 2022")</f>
        <v>Snacks incurred during meeting with foreign investors re: Proposed steel Mill project last Sept 1, 2022</v>
      </c>
      <c r="E43" s="5">
        <f ca="1">IFERROR(__xludf.DUMMYFUNCTION("""COMPUTED_VALUE"""),9464.28)</f>
        <v>9464.2800000000007</v>
      </c>
      <c r="F43" s="4" t="str">
        <f ca="1">IFERROR(__xludf.DUMMYFUNCTION("""COMPUTED_VALUE"""),"LBP General")</f>
        <v>LBP General</v>
      </c>
      <c r="G43" s="4"/>
      <c r="H43" s="4"/>
      <c r="I43" s="4"/>
      <c r="J43" s="4"/>
      <c r="K43" s="4"/>
      <c r="L43" s="4"/>
      <c r="M43" s="4"/>
      <c r="N43" s="4"/>
      <c r="O43" s="4"/>
      <c r="P43" s="4"/>
      <c r="Q43" s="4"/>
      <c r="R43" s="4"/>
      <c r="S43" s="19"/>
    </row>
    <row r="44" spans="1:19" ht="69.599999999999994" x14ac:dyDescent="0.25">
      <c r="A44" s="4">
        <f ca="1">IFERROR(__xludf.DUMMYFUNCTION("""COMPUTED_VALUE"""),2092613)</f>
        <v>2092613</v>
      </c>
      <c r="B44" s="19">
        <f ca="1">IFERROR(__xludf.DUMMYFUNCTION("""COMPUTED_VALUE"""),44831)</f>
        <v>44831</v>
      </c>
      <c r="C44" s="4" t="str">
        <f ca="1">IFERROR(__xludf.DUMMYFUNCTION("""COMPUTED_VALUE"""),"Teressa dela Junta ")</f>
        <v xml:space="preserve">Teressa dela Junta </v>
      </c>
      <c r="D44" s="4" t="str">
        <f ca="1">IFERROR(__xludf.DUMMYFUNCTION("""COMPUTED_VALUE"""),"Payment for the stipend of apprentice of bahay-wika and Master-Apprentice Language Learning Program for the Month of August, 2022")</f>
        <v>Payment for the stipend of apprentice of bahay-wika and Master-Apprentice Language Learning Program for the Month of August, 2022</v>
      </c>
      <c r="E44" s="5">
        <f ca="1">IFERROR(__xludf.DUMMYFUNCTION("""COMPUTED_VALUE"""),1920)</f>
        <v>1920</v>
      </c>
      <c r="F44" s="4" t="str">
        <f ca="1">IFERROR(__xludf.DUMMYFUNCTION("""COMPUTED_VALUE"""),"LBP General")</f>
        <v>LBP General</v>
      </c>
      <c r="G44" s="4"/>
      <c r="H44" s="4"/>
      <c r="I44" s="4"/>
      <c r="J44" s="4"/>
      <c r="K44" s="4"/>
      <c r="L44" s="4"/>
      <c r="M44" s="4"/>
      <c r="N44" s="4"/>
      <c r="O44" s="4"/>
      <c r="P44" s="4"/>
      <c r="Q44" s="4"/>
      <c r="R44" s="4"/>
      <c r="S44" s="19"/>
    </row>
    <row r="45" spans="1:19" ht="69.599999999999994" x14ac:dyDescent="0.25">
      <c r="A45" s="4">
        <f ca="1">IFERROR(__xludf.DUMMYFUNCTION("""COMPUTED_VALUE"""),2092614)</f>
        <v>2092614</v>
      </c>
      <c r="B45" s="19">
        <f ca="1">IFERROR(__xludf.DUMMYFUNCTION("""COMPUTED_VALUE"""),44831)</f>
        <v>44831</v>
      </c>
      <c r="C45" s="4" t="str">
        <f ca="1">IFERROR(__xludf.DUMMYFUNCTION("""COMPUTED_VALUE"""),"Ellen Atienza ")</f>
        <v xml:space="preserve">Ellen Atienza </v>
      </c>
      <c r="D45" s="4" t="str">
        <f ca="1">IFERROR(__xludf.DUMMYFUNCTION("""COMPUTED_VALUE"""),"Payment for the stipend of apprentice of bahay-wika and Master-Apprentice Language Learning Program for the Month of August, 2022")</f>
        <v>Payment for the stipend of apprentice of bahay-wika and Master-Apprentice Language Learning Program for the Month of August, 2022</v>
      </c>
      <c r="E45" s="5">
        <f ca="1">IFERROR(__xludf.DUMMYFUNCTION("""COMPUTED_VALUE"""),1920)</f>
        <v>1920</v>
      </c>
      <c r="F45" s="4" t="str">
        <f ca="1">IFERROR(__xludf.DUMMYFUNCTION("""COMPUTED_VALUE"""),"LBP General")</f>
        <v>LBP General</v>
      </c>
      <c r="G45" s="4"/>
      <c r="H45" s="4"/>
      <c r="I45" s="4"/>
      <c r="J45" s="4"/>
      <c r="K45" s="4"/>
      <c r="L45" s="4"/>
      <c r="M45" s="4"/>
      <c r="N45" s="4"/>
      <c r="O45" s="4"/>
      <c r="P45" s="4"/>
      <c r="Q45" s="4"/>
      <c r="R45" s="4"/>
      <c r="S45" s="19"/>
    </row>
    <row r="46" spans="1:19" ht="69.599999999999994" x14ac:dyDescent="0.25">
      <c r="A46" s="4">
        <f ca="1">IFERROR(__xludf.DUMMYFUNCTION("""COMPUTED_VALUE"""),2092615)</f>
        <v>2092615</v>
      </c>
      <c r="B46" s="19">
        <f ca="1">IFERROR(__xludf.DUMMYFUNCTION("""COMPUTED_VALUE"""),44831)</f>
        <v>44831</v>
      </c>
      <c r="C46" s="4" t="str">
        <f ca="1">IFERROR(__xludf.DUMMYFUNCTION("""COMPUTED_VALUE"""),"Maribeth Bugay ")</f>
        <v xml:space="preserve">Maribeth Bugay </v>
      </c>
      <c r="D46" s="4" t="str">
        <f ca="1">IFERROR(__xludf.DUMMYFUNCTION("""COMPUTED_VALUE"""),"Payment for the stipend of apprentice of bahay-wika and Master-Apprentice Language Learning Program for the Month of August, 2022")</f>
        <v>Payment for the stipend of apprentice of bahay-wika and Master-Apprentice Language Learning Program for the Month of August, 2022</v>
      </c>
      <c r="E46" s="5">
        <f ca="1">IFERROR(__xludf.DUMMYFUNCTION("""COMPUTED_VALUE"""),1840)</f>
        <v>1840</v>
      </c>
      <c r="F46" s="4" t="str">
        <f ca="1">IFERROR(__xludf.DUMMYFUNCTION("""COMPUTED_VALUE"""),"LBP General")</f>
        <v>LBP General</v>
      </c>
      <c r="G46" s="4"/>
      <c r="H46" s="4"/>
      <c r="I46" s="4"/>
      <c r="J46" s="4"/>
      <c r="K46" s="4"/>
      <c r="L46" s="4"/>
      <c r="M46" s="4"/>
      <c r="N46" s="4"/>
      <c r="O46" s="4"/>
      <c r="P46" s="4"/>
      <c r="Q46" s="4"/>
      <c r="R46" s="4"/>
      <c r="S46" s="19"/>
    </row>
    <row r="47" spans="1:19" ht="69.599999999999994" x14ac:dyDescent="0.25">
      <c r="A47" s="4">
        <f ca="1">IFERROR(__xludf.DUMMYFUNCTION("""COMPUTED_VALUE"""),2092616)</f>
        <v>2092616</v>
      </c>
      <c r="B47" s="19">
        <f ca="1">IFERROR(__xludf.DUMMYFUNCTION("""COMPUTED_VALUE"""),44831)</f>
        <v>44831</v>
      </c>
      <c r="C47" s="4" t="str">
        <f ca="1">IFERROR(__xludf.DUMMYFUNCTION("""COMPUTED_VALUE"""),"Abner Maaño ")</f>
        <v xml:space="preserve">Abner Maaño </v>
      </c>
      <c r="D47" s="4" t="str">
        <f ca="1">IFERROR(__xludf.DUMMYFUNCTION("""COMPUTED_VALUE"""),"Payment for the stipend of apprentice of bahay-wika and Master-Apprentice Language Learning Program for the Month of August, 2022")</f>
        <v>Payment for the stipend of apprentice of bahay-wika and Master-Apprentice Language Learning Program for the Month of August, 2022</v>
      </c>
      <c r="E47" s="5">
        <f ca="1">IFERROR(__xludf.DUMMYFUNCTION("""COMPUTED_VALUE"""),1920)</f>
        <v>1920</v>
      </c>
      <c r="F47" s="4" t="str">
        <f ca="1">IFERROR(__xludf.DUMMYFUNCTION("""COMPUTED_VALUE"""),"LBP General")</f>
        <v>LBP General</v>
      </c>
      <c r="G47" s="4"/>
      <c r="H47" s="4"/>
      <c r="I47" s="4"/>
      <c r="J47" s="4"/>
      <c r="K47" s="4"/>
      <c r="L47" s="4"/>
      <c r="M47" s="4"/>
      <c r="N47" s="4"/>
      <c r="O47" s="4"/>
      <c r="P47" s="4"/>
      <c r="Q47" s="4"/>
      <c r="R47" s="4"/>
      <c r="S47" s="19"/>
    </row>
    <row r="48" spans="1:19" ht="69.599999999999994" x14ac:dyDescent="0.25">
      <c r="A48" s="4">
        <f ca="1">IFERROR(__xludf.DUMMYFUNCTION("""COMPUTED_VALUE"""),2092617)</f>
        <v>2092617</v>
      </c>
      <c r="B48" s="19">
        <f ca="1">IFERROR(__xludf.DUMMYFUNCTION("""COMPUTED_VALUE"""),44831)</f>
        <v>44831</v>
      </c>
      <c r="C48" s="4" t="str">
        <f ca="1">IFERROR(__xludf.DUMMYFUNCTION("""COMPUTED_VALUE"""),"Jerson Reyes ")</f>
        <v xml:space="preserve">Jerson Reyes </v>
      </c>
      <c r="D48" s="4" t="str">
        <f ca="1">IFERROR(__xludf.DUMMYFUNCTION("""COMPUTED_VALUE"""),"Payment for the stipend of apprentice of bahay-wika and Master-Apprentice Language Learning Program for the Month of August, 2022")</f>
        <v>Payment for the stipend of apprentice of bahay-wika and Master-Apprentice Language Learning Program for the Month of August, 2022</v>
      </c>
      <c r="E48" s="5">
        <f ca="1">IFERROR(__xludf.DUMMYFUNCTION("""COMPUTED_VALUE"""),1920)</f>
        <v>1920</v>
      </c>
      <c r="F48" s="4" t="str">
        <f ca="1">IFERROR(__xludf.DUMMYFUNCTION("""COMPUTED_VALUE"""),"LBP General")</f>
        <v>LBP General</v>
      </c>
      <c r="G48" s="4"/>
      <c r="H48" s="4"/>
      <c r="I48" s="4"/>
      <c r="J48" s="4"/>
      <c r="K48" s="4"/>
      <c r="L48" s="4"/>
      <c r="M48" s="4"/>
      <c r="N48" s="4"/>
      <c r="O48" s="4"/>
      <c r="P48" s="4"/>
      <c r="Q48" s="4"/>
      <c r="R48" s="4"/>
      <c r="S48" s="19"/>
    </row>
    <row r="49" spans="1:19" ht="52.2" x14ac:dyDescent="0.25">
      <c r="A49" s="4">
        <f ca="1">IFERROR(__xludf.DUMMYFUNCTION("""COMPUTED_VALUE"""),2092692)</f>
        <v>2092692</v>
      </c>
      <c r="B49" s="19">
        <f ca="1">IFERROR(__xludf.DUMMYFUNCTION("""COMPUTED_VALUE"""),44832)</f>
        <v>44832</v>
      </c>
      <c r="C49" s="4" t="str">
        <f ca="1">IFERROR(__xludf.DUMMYFUNCTION("""COMPUTED_VALUE"""),"ACM Catering Services ")</f>
        <v xml:space="preserve">ACM Catering Services </v>
      </c>
      <c r="D49" s="4" t="str">
        <f ca="1">IFERROR(__xludf.DUMMYFUNCTION("""COMPUTED_VALUE"""),"Snacks for the meeting with Talisay River Provincial Task Force and Talisay River LGU on June 21, 2022")</f>
        <v>Snacks for the meeting with Talisay River Provincial Task Force and Talisay River LGU on June 21, 2022</v>
      </c>
      <c r="E49" s="5">
        <f ca="1">IFERROR(__xludf.DUMMYFUNCTION("""COMPUTED_VALUE"""),2940)</f>
        <v>2940</v>
      </c>
      <c r="F49" s="4" t="str">
        <f ca="1">IFERROR(__xludf.DUMMYFUNCTION("""COMPUTED_VALUE"""),"LBP General")</f>
        <v>LBP General</v>
      </c>
      <c r="G49" s="4"/>
      <c r="H49" s="4"/>
      <c r="I49" s="4"/>
      <c r="J49" s="4"/>
      <c r="K49" s="4"/>
      <c r="L49" s="4"/>
      <c r="M49" s="4"/>
      <c r="N49" s="4"/>
      <c r="O49" s="4"/>
      <c r="P49" s="4"/>
      <c r="Q49" s="4"/>
      <c r="R49" s="4"/>
      <c r="S49" s="19"/>
    </row>
    <row r="50" spans="1:19" ht="52.2" x14ac:dyDescent="0.25">
      <c r="A50" s="4">
        <f ca="1">IFERROR(__xludf.DUMMYFUNCTION("""COMPUTED_VALUE"""),2092701)</f>
        <v>2092701</v>
      </c>
      <c r="B50" s="19">
        <f ca="1">IFERROR(__xludf.DUMMYFUNCTION("""COMPUTED_VALUE"""),44832)</f>
        <v>44832</v>
      </c>
      <c r="C50" s="4" t="str">
        <f ca="1">IFERROR(__xludf.DUMMYFUNCTION("""COMPUTED_VALUE"""),"Fuel Plus Trading ")</f>
        <v xml:space="preserve">Fuel Plus Trading </v>
      </c>
      <c r="D50" s="4" t="str">
        <f ca="1">IFERROR(__xludf.DUMMYFUNCTION("""COMPUTED_VALUE"""),"Payment of fuel consumption for the period of September 5-11, 2022 (LEGAL)")</f>
        <v>Payment of fuel consumption for the period of September 5-11, 2022 (LEGAL)</v>
      </c>
      <c r="E50" s="5">
        <f ca="1">IFERROR(__xludf.DUMMYFUNCTION("""COMPUTED_VALUE"""),3019.48)</f>
        <v>3019.48</v>
      </c>
      <c r="F50" s="4" t="str">
        <f ca="1">IFERROR(__xludf.DUMMYFUNCTION("""COMPUTED_VALUE"""),"LBP General")</f>
        <v>LBP General</v>
      </c>
      <c r="G50" s="4"/>
      <c r="H50" s="4"/>
      <c r="I50" s="4"/>
      <c r="J50" s="4"/>
      <c r="K50" s="4"/>
      <c r="L50" s="4"/>
      <c r="M50" s="4"/>
      <c r="N50" s="4"/>
      <c r="O50" s="4"/>
      <c r="P50" s="4"/>
      <c r="Q50" s="4"/>
      <c r="R50" s="4"/>
      <c r="S50" s="19"/>
    </row>
    <row r="51" spans="1:19" ht="52.2" x14ac:dyDescent="0.25">
      <c r="A51" s="4">
        <f ca="1">IFERROR(__xludf.DUMMYFUNCTION("""COMPUTED_VALUE"""),2092707)</f>
        <v>2092707</v>
      </c>
      <c r="B51" s="19">
        <f ca="1">IFERROR(__xludf.DUMMYFUNCTION("""COMPUTED_VALUE"""),44832)</f>
        <v>44832</v>
      </c>
      <c r="C51" s="4" t="str">
        <f ca="1">IFERROR(__xludf.DUMMYFUNCTION("""COMPUTED_VALUE"""),"PEMSEA ")</f>
        <v xml:space="preserve">PEMSEA </v>
      </c>
      <c r="D51" s="4" t="str">
        <f ca="1">IFERROR(__xludf.DUMMYFUNCTION("""COMPUTED_VALUE"""),"Payment for PNLG Membership Fee 2022 (PEMSEA Network of Local Governments)")</f>
        <v>Payment for PNLG Membership Fee 2022 (PEMSEA Network of Local Governments)</v>
      </c>
      <c r="E51" s="5">
        <f ca="1">IFERROR(__xludf.DUMMYFUNCTION("""COMPUTED_VALUE"""),28681.5)</f>
        <v>28681.5</v>
      </c>
      <c r="F51" s="4" t="str">
        <f ca="1">IFERROR(__xludf.DUMMYFUNCTION("""COMPUTED_VALUE"""),"LBP General")</f>
        <v>LBP General</v>
      </c>
      <c r="G51" s="4"/>
      <c r="H51" s="4"/>
      <c r="I51" s="4"/>
      <c r="J51" s="4"/>
      <c r="K51" s="4"/>
      <c r="L51" s="4"/>
      <c r="M51" s="4"/>
      <c r="N51" s="4"/>
      <c r="O51" s="4"/>
      <c r="P51" s="4"/>
      <c r="Q51" s="4"/>
      <c r="R51" s="4"/>
      <c r="S51" s="19"/>
    </row>
    <row r="52" spans="1:19" ht="34.799999999999997" x14ac:dyDescent="0.25">
      <c r="A52" s="4">
        <f ca="1">IFERROR(__xludf.DUMMYFUNCTION("""COMPUTED_VALUE"""),2092731)</f>
        <v>2092731</v>
      </c>
      <c r="B52" s="19">
        <f ca="1">IFERROR(__xludf.DUMMYFUNCTION("""COMPUTED_VALUE"""),44832)</f>
        <v>44832</v>
      </c>
      <c r="C52" s="4" t="str">
        <f ca="1">IFERROR(__xludf.DUMMYFUNCTION("""COMPUTED_VALUE"""),"AFAB Power ")</f>
        <v xml:space="preserve">AFAB Power </v>
      </c>
      <c r="D52" s="4" t="str">
        <f ca="1">IFERROR(__xludf.DUMMYFUNCTION("""COMPUTED_VALUE"""),"Payment of Electric bill of MDH for the month of July-August, 2022")</f>
        <v>Payment of Electric bill of MDH for the month of July-August, 2022</v>
      </c>
      <c r="E52" s="5">
        <f ca="1">IFERROR(__xludf.DUMMYFUNCTION("""COMPUTED_VALUE"""),266558.64)</f>
        <v>266558.64</v>
      </c>
      <c r="F52" s="4" t="str">
        <f ca="1">IFERROR(__xludf.DUMMYFUNCTION("""COMPUTED_VALUE"""),"LBP General")</f>
        <v>LBP General</v>
      </c>
      <c r="G52" s="4"/>
      <c r="H52" s="4"/>
      <c r="I52" s="4"/>
      <c r="J52" s="4"/>
      <c r="K52" s="4"/>
      <c r="L52" s="4"/>
      <c r="M52" s="4"/>
      <c r="N52" s="4"/>
      <c r="O52" s="4"/>
      <c r="P52" s="4"/>
      <c r="Q52" s="4"/>
      <c r="R52" s="4"/>
      <c r="S52" s="19"/>
    </row>
    <row r="53" spans="1:19" ht="34.799999999999997" x14ac:dyDescent="0.25">
      <c r="A53" s="4">
        <f ca="1">IFERROR(__xludf.DUMMYFUNCTION("""COMPUTED_VALUE"""),2092787)</f>
        <v>2092787</v>
      </c>
      <c r="B53" s="19">
        <f ca="1">IFERROR(__xludf.DUMMYFUNCTION("""COMPUTED_VALUE"""),44838)</f>
        <v>44838</v>
      </c>
      <c r="C53" s="4" t="str">
        <f ca="1">IFERROR(__xludf.DUMMYFUNCTION("""COMPUTED_VALUE"""),"Noel Recinto Villanueva ")</f>
        <v xml:space="preserve">Noel Recinto Villanueva </v>
      </c>
      <c r="D53" s="4" t="str">
        <f ca="1">IFERROR(__xludf.DUMMYFUNCTION("""COMPUTED_VALUE"""),"Donation for his educational assistance")</f>
        <v>Donation for his educational assistance</v>
      </c>
      <c r="E53" s="5">
        <f ca="1">IFERROR(__xludf.DUMMYFUNCTION("""COMPUTED_VALUE"""),20000)</f>
        <v>20000</v>
      </c>
      <c r="F53" s="4" t="str">
        <f ca="1">IFERROR(__xludf.DUMMYFUNCTION("""COMPUTED_VALUE"""),"LBP General")</f>
        <v>LBP General</v>
      </c>
      <c r="G53" s="4"/>
      <c r="H53" s="4"/>
      <c r="I53" s="4"/>
      <c r="J53" s="4"/>
      <c r="K53" s="4"/>
      <c r="L53" s="4"/>
      <c r="M53" s="4"/>
      <c r="N53" s="4"/>
      <c r="O53" s="4"/>
      <c r="P53" s="4"/>
      <c r="Q53" s="4"/>
      <c r="R53" s="4"/>
      <c r="S53" s="19"/>
    </row>
    <row r="54" spans="1:19" ht="104.4" x14ac:dyDescent="0.25">
      <c r="A54" s="4">
        <f ca="1">IFERROR(__xludf.DUMMYFUNCTION("""COMPUTED_VALUE"""),2092064)</f>
        <v>2092064</v>
      </c>
      <c r="B54" s="19">
        <f ca="1">IFERROR(__xludf.DUMMYFUNCTION("""COMPUTED_VALUE"""),44862)</f>
        <v>44862</v>
      </c>
      <c r="C54" s="4" t="str">
        <f ca="1">IFERROR(__xludf.DUMMYFUNCTION("""COMPUTED_VALUE"""),"PLDT Inc. ")</f>
        <v xml:space="preserve">PLDT Inc. </v>
      </c>
      <c r="D54" s="4" t="str">
        <f ca="1">IFERROR(__xludf.DUMMYFUNCTION("""COMPUTED_VALUE"""),"Payment of PLDT Fiber Telephone Bills in the office of the SP Office of (Vice Governor Garcia, Secretary Salazar and Board Member Dominguez) for the period of October 18 - November 17, 2022")</f>
        <v>Payment of PLDT Fiber Telephone Bills in the office of the SP Office of (Vice Governor Garcia, Secretary Salazar and Board Member Dominguez) for the period of October 18 - November 17, 2022</v>
      </c>
      <c r="E54" s="5">
        <f ca="1">IFERROR(__xludf.DUMMYFUNCTION("""COMPUTED_VALUE"""),6729.75)</f>
        <v>6729.75</v>
      </c>
      <c r="F54" s="4" t="str">
        <f ca="1">IFERROR(__xludf.DUMMYFUNCTION("""COMPUTED_VALUE"""),"LBP General")</f>
        <v>LBP General</v>
      </c>
      <c r="G54" s="4"/>
      <c r="H54" s="4"/>
      <c r="I54" s="4"/>
      <c r="J54" s="4"/>
      <c r="K54" s="4"/>
      <c r="L54" s="4"/>
      <c r="M54" s="4"/>
      <c r="N54" s="4"/>
      <c r="O54" s="4"/>
      <c r="P54" s="4"/>
      <c r="Q54" s="4"/>
      <c r="R54" s="4"/>
      <c r="S54" s="19"/>
    </row>
    <row r="55" spans="1:19" ht="87" x14ac:dyDescent="0.25">
      <c r="A55" s="4">
        <f ca="1">IFERROR(__xludf.DUMMYFUNCTION("""COMPUTED_VALUE"""),2092925)</f>
        <v>2092925</v>
      </c>
      <c r="B55" s="19">
        <f ca="1">IFERROR(__xludf.DUMMYFUNCTION("""COMPUTED_VALUE"""),44862)</f>
        <v>44862</v>
      </c>
      <c r="C55" s="4" t="str">
        <f ca="1">IFERROR(__xludf.DUMMYFUNCTION("""COMPUTED_VALUE"""),"Barangay Treasurer - Laon, Abucay ")</f>
        <v xml:space="preserve">Barangay Treasurer - Laon, Abucay </v>
      </c>
      <c r="D55" s="4" t="str">
        <f ca="1">IFERROR(__xludf.DUMMYFUNCTION("""COMPUTED_VALUE"""),"Subsidy to Barangay Laon Abucay Bataan for the foods and other expenses of their Barangay Tanods during their annual cultural activity on November 1, 2022")</f>
        <v>Subsidy to Barangay Laon Abucay Bataan for the foods and other expenses of their Barangay Tanods during their annual cultural activity on November 1, 2022</v>
      </c>
      <c r="E55" s="5">
        <f ca="1">IFERROR(__xludf.DUMMYFUNCTION("""COMPUTED_VALUE"""),5000)</f>
        <v>5000</v>
      </c>
      <c r="F55" s="4" t="str">
        <f ca="1">IFERROR(__xludf.DUMMYFUNCTION("""COMPUTED_VALUE"""),"LBP General")</f>
        <v>LBP General</v>
      </c>
      <c r="G55" s="4"/>
      <c r="H55" s="4"/>
      <c r="I55" s="4"/>
      <c r="J55" s="4"/>
      <c r="K55" s="4"/>
      <c r="L55" s="4"/>
      <c r="M55" s="4"/>
      <c r="N55" s="4"/>
      <c r="O55" s="4"/>
      <c r="P55" s="4"/>
      <c r="Q55" s="4"/>
      <c r="R55" s="4"/>
      <c r="S55" s="19"/>
    </row>
    <row r="56" spans="1:19" ht="52.2" x14ac:dyDescent="0.25">
      <c r="A56" s="4">
        <f ca="1">IFERROR(__xludf.DUMMYFUNCTION("""COMPUTED_VALUE"""),2093004)</f>
        <v>2093004</v>
      </c>
      <c r="B56" s="19">
        <f ca="1">IFERROR(__xludf.DUMMYFUNCTION("""COMPUTED_VALUE"""),44868)</f>
        <v>44868</v>
      </c>
      <c r="C56" s="4" t="str">
        <f ca="1">IFERROR(__xludf.DUMMYFUNCTION("""COMPUTED_VALUE"""),"K and A2 Paint and Body Works ")</f>
        <v xml:space="preserve">K and A2 Paint and Body Works </v>
      </c>
      <c r="D56" s="4" t="str">
        <f ca="1">IFERROR(__xludf.DUMMYFUNCTION("""COMPUTED_VALUE"""),"Payment of participation fee for the repair of 2017 Ford Everest trend with Conduction Sticker no. IO8295")</f>
        <v>Payment of participation fee for the repair of 2017 Ford Everest trend with Conduction Sticker no. IO8295</v>
      </c>
      <c r="E56" s="5">
        <f ca="1">IFERROR(__xludf.DUMMYFUNCTION("""COMPUTED_VALUE"""),11966.71)</f>
        <v>11966.71</v>
      </c>
      <c r="F56" s="4" t="str">
        <f ca="1">IFERROR(__xludf.DUMMYFUNCTION("""COMPUTED_VALUE"""),"LBP General")</f>
        <v>LBP General</v>
      </c>
      <c r="G56" s="4"/>
      <c r="H56" s="4"/>
      <c r="I56" s="4"/>
      <c r="J56" s="4"/>
      <c r="K56" s="4"/>
      <c r="L56" s="4"/>
      <c r="M56" s="4"/>
      <c r="N56" s="4"/>
      <c r="O56" s="4"/>
      <c r="P56" s="4"/>
      <c r="Q56" s="4"/>
      <c r="R56" s="4"/>
      <c r="S56" s="19"/>
    </row>
    <row r="57" spans="1:19" ht="34.799999999999997" x14ac:dyDescent="0.25">
      <c r="A57" s="4">
        <f ca="1">IFERROR(__xludf.DUMMYFUNCTION("""COMPUTED_VALUE"""),2093028)</f>
        <v>2093028</v>
      </c>
      <c r="B57" s="19">
        <f ca="1">IFERROR(__xludf.DUMMYFUNCTION("""COMPUTED_VALUE"""),44868)</f>
        <v>44868</v>
      </c>
      <c r="C57" s="4" t="str">
        <f ca="1">IFERROR(__xludf.DUMMYFUNCTION("""COMPUTED_VALUE"""),"Holylife Funeral Services ")</f>
        <v xml:space="preserve">Holylife Funeral Services </v>
      </c>
      <c r="D57" s="4" t="str">
        <f ca="1">IFERROR(__xludf.DUMMYFUNCTION("""COMPUTED_VALUE"""),"Payment for funeral services rendered on September 2,5 and 10, 2022")</f>
        <v>Payment for funeral services rendered on September 2,5 and 10, 2022</v>
      </c>
      <c r="E57" s="5">
        <f ca="1">IFERROR(__xludf.DUMMYFUNCTION("""COMPUTED_VALUE"""),27160)</f>
        <v>27160</v>
      </c>
      <c r="F57" s="4" t="str">
        <f ca="1">IFERROR(__xludf.DUMMYFUNCTION("""COMPUTED_VALUE"""),"LBP General")</f>
        <v>LBP General</v>
      </c>
      <c r="G57" s="4"/>
      <c r="H57" s="4"/>
      <c r="I57" s="4"/>
      <c r="J57" s="4"/>
      <c r="K57" s="4"/>
      <c r="L57" s="4"/>
      <c r="M57" s="4"/>
      <c r="N57" s="4"/>
      <c r="O57" s="4"/>
      <c r="P57" s="4"/>
      <c r="Q57" s="4"/>
      <c r="R57" s="4"/>
      <c r="S57" s="19"/>
    </row>
    <row r="58" spans="1:19" ht="69.599999999999994" x14ac:dyDescent="0.25">
      <c r="A58" s="4">
        <f ca="1">IFERROR(__xludf.DUMMYFUNCTION("""COMPUTED_VALUE"""),2093036)</f>
        <v>2093036</v>
      </c>
      <c r="B58" s="19">
        <f ca="1">IFERROR(__xludf.DUMMYFUNCTION("""COMPUTED_VALUE"""),44868)</f>
        <v>44868</v>
      </c>
      <c r="C58" s="4" t="str">
        <f ca="1">IFERROR(__xludf.DUMMYFUNCTION("""COMPUTED_VALUE"""),"Zabala Funeral Services ")</f>
        <v xml:space="preserve">Zabala Funeral Services </v>
      </c>
      <c r="D58" s="4" t="str">
        <f ca="1">IFERROR(__xludf.DUMMYFUNCTION("""COMPUTED_VALUE"""),"Payment for the funeral services rendered under the Libreng Libing Program for the period August 2-30, 2022")</f>
        <v>Payment for the funeral services rendered under the Libreng Libing Program for the period August 2-30, 2022</v>
      </c>
      <c r="E58" s="5">
        <f ca="1">IFERROR(__xludf.DUMMYFUNCTION("""COMPUTED_VALUE"""),48500)</f>
        <v>48500</v>
      </c>
      <c r="F58" s="4" t="str">
        <f ca="1">IFERROR(__xludf.DUMMYFUNCTION("""COMPUTED_VALUE"""),"LBP General")</f>
        <v>LBP General</v>
      </c>
      <c r="G58" s="4"/>
      <c r="H58" s="4"/>
      <c r="I58" s="4"/>
      <c r="J58" s="4"/>
      <c r="K58" s="4"/>
      <c r="L58" s="4"/>
      <c r="M58" s="4"/>
      <c r="N58" s="4"/>
      <c r="O58" s="4"/>
      <c r="P58" s="4"/>
      <c r="Q58" s="4"/>
      <c r="R58" s="4"/>
      <c r="S58" s="19"/>
    </row>
    <row r="59" spans="1:19" ht="52.2" x14ac:dyDescent="0.25">
      <c r="A59" s="4">
        <f ca="1">IFERROR(__xludf.DUMMYFUNCTION("""COMPUTED_VALUE"""),2093038)</f>
        <v>2093038</v>
      </c>
      <c r="B59" s="19">
        <f ca="1">IFERROR(__xludf.DUMMYFUNCTION("""COMPUTED_VALUE"""),44868)</f>
        <v>44868</v>
      </c>
      <c r="C59" s="4" t="str">
        <f ca="1">IFERROR(__xludf.DUMMYFUNCTION("""COMPUTED_VALUE"""),"Salvador Funeral Services ")</f>
        <v xml:space="preserve">Salvador Funeral Services </v>
      </c>
      <c r="D59" s="4" t="str">
        <f ca="1">IFERROR(__xludf.DUMMYFUNCTION("""COMPUTED_VALUE"""),"Payment for funeral services rendered on July 11, 27, 29, August 6,8,23 and 29, 2022")</f>
        <v>Payment for funeral services rendered on July 11, 27, 29, August 6,8,23 and 29, 2022</v>
      </c>
      <c r="E59" s="5">
        <f ca="1">IFERROR(__xludf.DUMMYFUNCTION("""COMPUTED_VALUE"""),65960)</f>
        <v>65960</v>
      </c>
      <c r="F59" s="4" t="str">
        <f ca="1">IFERROR(__xludf.DUMMYFUNCTION("""COMPUTED_VALUE"""),"LBP General")</f>
        <v>LBP General</v>
      </c>
      <c r="G59" s="4"/>
      <c r="H59" s="4"/>
      <c r="I59" s="4"/>
      <c r="J59" s="4"/>
      <c r="K59" s="4"/>
      <c r="L59" s="4"/>
      <c r="M59" s="4"/>
      <c r="N59" s="4"/>
      <c r="O59" s="4"/>
      <c r="P59" s="4"/>
      <c r="Q59" s="4"/>
      <c r="R59" s="4"/>
      <c r="S59" s="19"/>
    </row>
    <row r="60" spans="1:19" ht="34.799999999999997" x14ac:dyDescent="0.25">
      <c r="A60" s="4">
        <f ca="1">IFERROR(__xludf.DUMMYFUNCTION("""COMPUTED_VALUE"""),2093052)</f>
        <v>2093052</v>
      </c>
      <c r="B60" s="19">
        <f ca="1">IFERROR(__xludf.DUMMYFUNCTION("""COMPUTED_VALUE"""),44869)</f>
        <v>44869</v>
      </c>
      <c r="C60" s="4" t="str">
        <f ca="1">IFERROR(__xludf.DUMMYFUNCTION("""COMPUTED_VALUE"""),"Federal Pharmaceutical, Inc. ")</f>
        <v xml:space="preserve">Federal Pharmaceutical, Inc. </v>
      </c>
      <c r="D60" s="4" t="str">
        <f ca="1">IFERROR(__xludf.DUMMYFUNCTION("""COMPUTED_VALUE"""),"Flu Vaccine to help boost the immune system of PVO personnel")</f>
        <v>Flu Vaccine to help boost the immune system of PVO personnel</v>
      </c>
      <c r="E60" s="5">
        <f ca="1">IFERROR(__xludf.DUMMYFUNCTION("""COMPUTED_VALUE"""),45031.07)</f>
        <v>45031.07</v>
      </c>
      <c r="F60" s="4" t="str">
        <f ca="1">IFERROR(__xludf.DUMMYFUNCTION("""COMPUTED_VALUE"""),"LBP General")</f>
        <v>LBP General</v>
      </c>
      <c r="G60" s="4"/>
      <c r="H60" s="4"/>
      <c r="I60" s="4"/>
      <c r="J60" s="4"/>
      <c r="K60" s="4"/>
      <c r="L60" s="4"/>
      <c r="M60" s="4"/>
      <c r="N60" s="4"/>
      <c r="O60" s="4"/>
      <c r="P60" s="4"/>
      <c r="Q60" s="4"/>
      <c r="R60" s="4"/>
      <c r="S60" s="19"/>
    </row>
    <row r="61" spans="1:19" ht="52.2" x14ac:dyDescent="0.25">
      <c r="A61" s="4">
        <f ca="1">IFERROR(__xludf.DUMMYFUNCTION("""COMPUTED_VALUE"""),2093071)</f>
        <v>2093071</v>
      </c>
      <c r="B61" s="19">
        <f ca="1">IFERROR(__xludf.DUMMYFUNCTION("""COMPUTED_VALUE"""),44869)</f>
        <v>44869</v>
      </c>
      <c r="C61" s="4" t="str">
        <f ca="1">IFERROR(__xludf.DUMMYFUNCTION("""COMPUTED_VALUE"""),"BMI Trading ")</f>
        <v xml:space="preserve">BMI Trading </v>
      </c>
      <c r="D61" s="4" t="str">
        <f ca="1">IFERROR(__xludf.DUMMYFUNCTION("""COMPUTED_VALUE"""),"ICT Equipment for Photo and Video Coverages of the Provincial Information Office")</f>
        <v>ICT Equipment for Photo and Video Coverages of the Provincial Information Office</v>
      </c>
      <c r="E61" s="5">
        <f ca="1">IFERROR(__xludf.DUMMYFUNCTION("""COMPUTED_VALUE"""),421392.85)</f>
        <v>421392.85</v>
      </c>
      <c r="F61" s="4" t="str">
        <f ca="1">IFERROR(__xludf.DUMMYFUNCTION("""COMPUTED_VALUE"""),"LBP General")</f>
        <v>LBP General</v>
      </c>
      <c r="G61" s="4"/>
      <c r="H61" s="4"/>
      <c r="I61" s="4"/>
      <c r="J61" s="4"/>
      <c r="K61" s="4"/>
      <c r="L61" s="4"/>
      <c r="M61" s="4"/>
      <c r="N61" s="4"/>
      <c r="O61" s="4"/>
      <c r="P61" s="4"/>
      <c r="Q61" s="4"/>
      <c r="R61" s="4"/>
      <c r="S61" s="19"/>
    </row>
    <row r="62" spans="1:19" ht="52.2" x14ac:dyDescent="0.25">
      <c r="A62" s="4">
        <f ca="1">IFERROR(__xludf.DUMMYFUNCTION("""COMPUTED_VALUE"""),2093087)</f>
        <v>2093087</v>
      </c>
      <c r="B62" s="19">
        <f ca="1">IFERROR(__xludf.DUMMYFUNCTION("""COMPUTED_VALUE"""),44869)</f>
        <v>44869</v>
      </c>
      <c r="C62" s="4" t="str">
        <f ca="1">IFERROR(__xludf.DUMMYFUNCTION("""COMPUTED_VALUE"""),"Genesis Transport Services, Inc. ")</f>
        <v xml:space="preserve">Genesis Transport Services, Inc. </v>
      </c>
      <c r="D62" s="4" t="str">
        <f ca="1">IFERROR(__xludf.DUMMYFUNCTION("""COMPUTED_VALUE"""),"Bus Rental for the mock tour of Bataan Cultural Community Tour Guiding Seminar on August 19 to 25, 2022")</f>
        <v>Bus Rental for the mock tour of Bataan Cultural Community Tour Guiding Seminar on August 19 to 25, 2022</v>
      </c>
      <c r="E62" s="5">
        <f ca="1">IFERROR(__xludf.DUMMYFUNCTION("""COMPUTED_VALUE"""),18760)</f>
        <v>18760</v>
      </c>
      <c r="F62" s="4" t="str">
        <f ca="1">IFERROR(__xludf.DUMMYFUNCTION("""COMPUTED_VALUE"""),"LBP General")</f>
        <v>LBP General</v>
      </c>
      <c r="G62" s="4"/>
      <c r="H62" s="4"/>
      <c r="I62" s="4"/>
      <c r="J62" s="4"/>
      <c r="K62" s="4"/>
      <c r="L62" s="4"/>
      <c r="M62" s="4"/>
      <c r="N62" s="4"/>
      <c r="O62" s="4"/>
      <c r="P62" s="4"/>
      <c r="Q62" s="4"/>
      <c r="R62" s="4"/>
      <c r="S62" s="19"/>
    </row>
    <row r="63" spans="1:19" ht="69.599999999999994" x14ac:dyDescent="0.25">
      <c r="A63" s="4">
        <f ca="1">IFERROR(__xludf.DUMMYFUNCTION("""COMPUTED_VALUE"""),2093090)</f>
        <v>2093090</v>
      </c>
      <c r="B63" s="19">
        <f ca="1">IFERROR(__xludf.DUMMYFUNCTION("""COMPUTED_VALUE"""),44869)</f>
        <v>44869</v>
      </c>
      <c r="C63" s="4" t="str">
        <f ca="1">IFERROR(__xludf.DUMMYFUNCTION("""COMPUTED_VALUE"""),"Frederick Agricultural Products Distribution ")</f>
        <v xml:space="preserve">Frederick Agricultural Products Distribution </v>
      </c>
      <c r="D63" s="4" t="str">
        <f ca="1">IFERROR(__xludf.DUMMYFUNCTION("""COMPUTED_VALUE"""),"Assorted vegetables products for the consumption of inmates of Bataan District Jail within the period of September 16-30, 2022")</f>
        <v>Assorted vegetables products for the consumption of inmates of Bataan District Jail within the period of September 16-30, 2022</v>
      </c>
      <c r="E63" s="5">
        <f ca="1">IFERROR(__xludf.DUMMYFUNCTION("""COMPUTED_VALUE"""),110160.82)</f>
        <v>110160.82</v>
      </c>
      <c r="F63" s="4" t="str">
        <f ca="1">IFERROR(__xludf.DUMMYFUNCTION("""COMPUTED_VALUE"""),"LBP General")</f>
        <v>LBP General</v>
      </c>
      <c r="G63" s="4"/>
      <c r="H63" s="4"/>
      <c r="I63" s="4"/>
      <c r="J63" s="4"/>
      <c r="K63" s="4"/>
      <c r="L63" s="4"/>
      <c r="M63" s="4"/>
      <c r="N63" s="4"/>
      <c r="O63" s="4"/>
      <c r="P63" s="4"/>
      <c r="Q63" s="4"/>
      <c r="R63" s="4"/>
      <c r="S63" s="19"/>
    </row>
    <row r="64" spans="1:19" ht="69.599999999999994" x14ac:dyDescent="0.25">
      <c r="A64" s="4">
        <f ca="1">IFERROR(__xludf.DUMMYFUNCTION("""COMPUTED_VALUE"""),2093092)</f>
        <v>2093092</v>
      </c>
      <c r="B64" s="19">
        <f ca="1">IFERROR(__xludf.DUMMYFUNCTION("""COMPUTED_VALUE"""),44869)</f>
        <v>44869</v>
      </c>
      <c r="C64" s="4" t="str">
        <f ca="1">IFERROR(__xludf.DUMMYFUNCTION("""COMPUTED_VALUE"""),"Frederick Agricultural Products Distribution ")</f>
        <v xml:space="preserve">Frederick Agricultural Products Distribution </v>
      </c>
      <c r="D64" s="4" t="str">
        <f ca="1">IFERROR(__xludf.DUMMYFUNCTION("""COMPUTED_VALUE"""),"Assorted vegetables products for the consumption of inmates of Bataan District Jail within the period of September 1-15, 2022")</f>
        <v>Assorted vegetables products for the consumption of inmates of Bataan District Jail within the period of September 1-15, 2022</v>
      </c>
      <c r="E64" s="5">
        <f ca="1">IFERROR(__xludf.DUMMYFUNCTION("""COMPUTED_VALUE"""),126488.6)</f>
        <v>126488.6</v>
      </c>
      <c r="F64" s="4" t="str">
        <f ca="1">IFERROR(__xludf.DUMMYFUNCTION("""COMPUTED_VALUE"""),"LBP General")</f>
        <v>LBP General</v>
      </c>
      <c r="G64" s="4"/>
      <c r="H64" s="4"/>
      <c r="I64" s="4"/>
      <c r="J64" s="4"/>
      <c r="K64" s="4"/>
      <c r="L64" s="4"/>
      <c r="M64" s="4"/>
      <c r="N64" s="4"/>
      <c r="O64" s="4"/>
      <c r="P64" s="4"/>
      <c r="Q64" s="4"/>
      <c r="R64" s="4"/>
      <c r="S64" s="19"/>
    </row>
    <row r="65" spans="1:19" ht="69.599999999999994" x14ac:dyDescent="0.25">
      <c r="A65" s="4">
        <f ca="1">IFERROR(__xludf.DUMMYFUNCTION("""COMPUTED_VALUE"""),2093105)</f>
        <v>2093105</v>
      </c>
      <c r="B65" s="19">
        <f ca="1">IFERROR(__xludf.DUMMYFUNCTION("""COMPUTED_VALUE"""),44869)</f>
        <v>44869</v>
      </c>
      <c r="C65" s="4" t="str">
        <f ca="1">IFERROR(__xludf.DUMMYFUNCTION("""COMPUTED_VALUE"""),"MCT Auto Shop ")</f>
        <v xml:space="preserve">MCT Auto Shop </v>
      </c>
      <c r="D65" s="4" t="str">
        <f ca="1">IFERROR(__xludf.DUMMYFUNCTION("""COMPUTED_VALUE"""),"Parts and labor for the repair of alternator assembly of Toyota Innova SHJ-973 of PEO owned by the Provincial Government of Bataan")</f>
        <v>Parts and labor for the repair of alternator assembly of Toyota Innova SHJ-973 of PEO owned by the Provincial Government of Bataan</v>
      </c>
      <c r="E65" s="5">
        <f ca="1">IFERROR(__xludf.DUMMYFUNCTION("""COMPUTED_VALUE"""),5820)</f>
        <v>5820</v>
      </c>
      <c r="F65" s="4" t="str">
        <f ca="1">IFERROR(__xludf.DUMMYFUNCTION("""COMPUTED_VALUE"""),"LBP General")</f>
        <v>LBP General</v>
      </c>
      <c r="G65" s="4"/>
      <c r="H65" s="4"/>
      <c r="I65" s="4"/>
      <c r="J65" s="4"/>
      <c r="K65" s="4"/>
      <c r="L65" s="4"/>
      <c r="M65" s="4"/>
      <c r="N65" s="4"/>
      <c r="O65" s="4"/>
      <c r="P65" s="4"/>
      <c r="Q65" s="4"/>
      <c r="R65" s="4"/>
      <c r="S65" s="19"/>
    </row>
    <row r="66" spans="1:19" ht="52.2" x14ac:dyDescent="0.25">
      <c r="A66" s="4">
        <f ca="1">IFERROR(__xludf.DUMMYFUNCTION("""COMPUTED_VALUE"""),2093109)</f>
        <v>2093109</v>
      </c>
      <c r="B66" s="19">
        <f ca="1">IFERROR(__xludf.DUMMYFUNCTION("""COMPUTED_VALUE"""),44869)</f>
        <v>44869</v>
      </c>
      <c r="C66" s="4" t="str">
        <f ca="1">IFERROR(__xludf.DUMMYFUNCTION("""COMPUTED_VALUE"""),"BMI Trading ")</f>
        <v xml:space="preserve">BMI Trading </v>
      </c>
      <c r="D66" s="4" t="str">
        <f ca="1">IFERROR(__xludf.DUMMYFUNCTION("""COMPUTED_VALUE"""),"Materials for the repair and maintenance of perimeter lights and spotlights at Capitol Compound")</f>
        <v>Materials for the repair and maintenance of perimeter lights and spotlights at Capitol Compound</v>
      </c>
      <c r="E66" s="5">
        <f ca="1">IFERROR(__xludf.DUMMYFUNCTION("""COMPUTED_VALUE"""),82409.46)</f>
        <v>82409.460000000006</v>
      </c>
      <c r="F66" s="4" t="str">
        <f ca="1">IFERROR(__xludf.DUMMYFUNCTION("""COMPUTED_VALUE"""),"LBP General")</f>
        <v>LBP General</v>
      </c>
      <c r="G66" s="4"/>
      <c r="H66" s="4"/>
      <c r="I66" s="4"/>
      <c r="J66" s="4"/>
      <c r="K66" s="4"/>
      <c r="L66" s="4"/>
      <c r="M66" s="4"/>
      <c r="N66" s="4"/>
      <c r="O66" s="4"/>
      <c r="P66" s="4"/>
      <c r="Q66" s="4"/>
      <c r="R66" s="4"/>
      <c r="S66" s="19"/>
    </row>
    <row r="67" spans="1:19" ht="52.2" x14ac:dyDescent="0.25">
      <c r="A67" s="4">
        <f ca="1">IFERROR(__xludf.DUMMYFUNCTION("""COMPUTED_VALUE"""),2093110)</f>
        <v>2093110</v>
      </c>
      <c r="B67" s="19">
        <f ca="1">IFERROR(__xludf.DUMMYFUNCTION("""COMPUTED_VALUE"""),44869)</f>
        <v>44869</v>
      </c>
      <c r="C67" s="4" t="str">
        <f ca="1">IFERROR(__xludf.DUMMYFUNCTION("""COMPUTED_VALUE"""),"BMI Trading ")</f>
        <v xml:space="preserve">BMI Trading </v>
      </c>
      <c r="D67" s="4" t="str">
        <f ca="1">IFERROR(__xludf.DUMMYFUNCTION("""COMPUTED_VALUE"""),"Materials for the roads and bridges safety traffic devices for on site road maintenance routinary work")</f>
        <v>Materials for the roads and bridges safety traffic devices for on site road maintenance routinary work</v>
      </c>
      <c r="E67" s="5">
        <f ca="1">IFERROR(__xludf.DUMMYFUNCTION("""COMPUTED_VALUE"""),87087.85)</f>
        <v>87087.85</v>
      </c>
      <c r="F67" s="4" t="str">
        <f ca="1">IFERROR(__xludf.DUMMYFUNCTION("""COMPUTED_VALUE"""),"LBP General")</f>
        <v>LBP General</v>
      </c>
      <c r="G67" s="4"/>
      <c r="H67" s="4"/>
      <c r="I67" s="4"/>
      <c r="J67" s="4"/>
      <c r="K67" s="4"/>
      <c r="L67" s="4"/>
      <c r="M67" s="4"/>
      <c r="N67" s="4"/>
      <c r="O67" s="4"/>
      <c r="P67" s="4"/>
      <c r="Q67" s="4"/>
      <c r="R67" s="4"/>
      <c r="S67" s="19"/>
    </row>
    <row r="68" spans="1:19" ht="69.599999999999994" x14ac:dyDescent="0.25">
      <c r="A68" s="4">
        <f ca="1">IFERROR(__xludf.DUMMYFUNCTION("""COMPUTED_VALUE"""),2093111)</f>
        <v>2093111</v>
      </c>
      <c r="B68" s="19">
        <f ca="1">IFERROR(__xludf.DUMMYFUNCTION("""COMPUTED_VALUE"""),44869)</f>
        <v>44869</v>
      </c>
      <c r="C68" s="4" t="str">
        <f ca="1">IFERROR(__xludf.DUMMYFUNCTION("""COMPUTED_VALUE"""),"BMI Trading ")</f>
        <v xml:space="preserve">BMI Trading </v>
      </c>
      <c r="D68" s="4" t="str">
        <f ca="1">IFERROR(__xludf.DUMMYFUNCTION("""COMPUTED_VALUE"""),"Various grocery items for the consumption of inmates of Bataan District Jail within the period of September 16-30, 2022")</f>
        <v>Various grocery items for the consumption of inmates of Bataan District Jail within the period of September 16-30, 2022</v>
      </c>
      <c r="E68" s="5">
        <f ca="1">IFERROR(__xludf.DUMMYFUNCTION("""COMPUTED_VALUE"""),17559.09)</f>
        <v>17559.09</v>
      </c>
      <c r="F68" s="4" t="str">
        <f ca="1">IFERROR(__xludf.DUMMYFUNCTION("""COMPUTED_VALUE"""),"LBP General")</f>
        <v>LBP General</v>
      </c>
      <c r="G68" s="4"/>
      <c r="H68" s="4"/>
      <c r="I68" s="4"/>
      <c r="J68" s="4"/>
      <c r="K68" s="4"/>
      <c r="L68" s="4"/>
      <c r="M68" s="4"/>
      <c r="N68" s="4"/>
      <c r="O68" s="4"/>
      <c r="P68" s="4"/>
      <c r="Q68" s="4"/>
      <c r="R68" s="4"/>
      <c r="S68" s="19"/>
    </row>
    <row r="69" spans="1:19" ht="69.599999999999994" x14ac:dyDescent="0.25">
      <c r="A69" s="4">
        <f ca="1">IFERROR(__xludf.DUMMYFUNCTION("""COMPUTED_VALUE"""),2093136)</f>
        <v>2093136</v>
      </c>
      <c r="B69" s="19">
        <f ca="1">IFERROR(__xludf.DUMMYFUNCTION("""COMPUTED_VALUE"""),44869)</f>
        <v>44869</v>
      </c>
      <c r="C69" s="4" t="str">
        <f ca="1">IFERROR(__xludf.DUMMYFUNCTION("""COMPUTED_VALUE"""),"Techmart Corporation ")</f>
        <v xml:space="preserve">Techmart Corporation </v>
      </c>
      <c r="D69" s="4" t="str">
        <f ca="1">IFERROR(__xludf.DUMMYFUNCTION("""COMPUTED_VALUE"""),"Implementation of Performance Management and Monitoring Services (IT-BPO Services) of the Office of Strategy Management")</f>
        <v>Implementation of Performance Management and Monitoring Services (IT-BPO Services) of the Office of Strategy Management</v>
      </c>
      <c r="E69" s="5">
        <f ca="1">IFERROR(__xludf.DUMMYFUNCTION("""COMPUTED_VALUE"""),281250)</f>
        <v>281250</v>
      </c>
      <c r="F69" s="4" t="str">
        <f ca="1">IFERROR(__xludf.DUMMYFUNCTION("""COMPUTED_VALUE"""),"LBP General")</f>
        <v>LBP General</v>
      </c>
      <c r="G69" s="4"/>
      <c r="H69" s="4"/>
      <c r="I69" s="4"/>
      <c r="J69" s="4"/>
      <c r="K69" s="4"/>
      <c r="L69" s="4"/>
      <c r="M69" s="4"/>
      <c r="N69" s="4"/>
      <c r="O69" s="4"/>
      <c r="P69" s="4"/>
      <c r="Q69" s="4"/>
      <c r="R69" s="4"/>
      <c r="S69" s="19"/>
    </row>
    <row r="70" spans="1:19" ht="69.599999999999994" x14ac:dyDescent="0.25">
      <c r="A70" s="4">
        <f ca="1">IFERROR(__xludf.DUMMYFUNCTION("""COMPUTED_VALUE"""),2093166)</f>
        <v>2093166</v>
      </c>
      <c r="B70" s="19">
        <f ca="1">IFERROR(__xludf.DUMMYFUNCTION("""COMPUTED_VALUE"""),44869)</f>
        <v>44869</v>
      </c>
      <c r="C70" s="4" t="str">
        <f ca="1">IFERROR(__xludf.DUMMYFUNCTION("""COMPUTED_VALUE"""),"MCT Auto Shop ")</f>
        <v xml:space="preserve">MCT Auto Shop </v>
      </c>
      <c r="D70" s="4" t="str">
        <f ca="1">IFERROR(__xludf.DUMMYFUNCTION("""COMPUTED_VALUE"""),"Replacement of transmission parts and starter assembly of Mitsubishi FB L-300 SHS-787 of PEO owned by the Provincial Government of Bataan")</f>
        <v>Replacement of transmission parts and starter assembly of Mitsubishi FB L-300 SHS-787 of PEO owned by the Provincial Government of Bataan</v>
      </c>
      <c r="E70" s="5">
        <f ca="1">IFERROR(__xludf.DUMMYFUNCTION("""COMPUTED_VALUE"""),2156)</f>
        <v>2156</v>
      </c>
      <c r="F70" s="4" t="str">
        <f ca="1">IFERROR(__xludf.DUMMYFUNCTION("""COMPUTED_VALUE"""),"LBP General")</f>
        <v>LBP General</v>
      </c>
      <c r="G70" s="4"/>
      <c r="H70" s="4"/>
      <c r="I70" s="4"/>
      <c r="J70" s="4"/>
      <c r="K70" s="4"/>
      <c r="L70" s="4"/>
      <c r="M70" s="4"/>
      <c r="N70" s="4"/>
      <c r="O70" s="4"/>
      <c r="P70" s="4"/>
      <c r="Q70" s="4"/>
      <c r="R70" s="4"/>
      <c r="S70" s="19"/>
    </row>
    <row r="71" spans="1:19" ht="34.799999999999997" x14ac:dyDescent="0.25">
      <c r="A71" s="4">
        <f ca="1">IFERROR(__xludf.DUMMYFUNCTION("""COMPUTED_VALUE"""),2093168)</f>
        <v>2093168</v>
      </c>
      <c r="B71" s="19">
        <f ca="1">IFERROR(__xludf.DUMMYFUNCTION("""COMPUTED_VALUE"""),44869)</f>
        <v>44869</v>
      </c>
      <c r="C71" s="4" t="str">
        <f ca="1">IFERROR(__xludf.DUMMYFUNCTION("""COMPUTED_VALUE"""),"Lhanz CJ Trading and Computer Center, Inc. ")</f>
        <v xml:space="preserve">Lhanz CJ Trading and Computer Center, Inc. </v>
      </c>
      <c r="D71" s="4" t="str">
        <f ca="1">IFERROR(__xludf.DUMMYFUNCTION("""COMPUTED_VALUE"""),"1% retention for different procurements of the PGB")</f>
        <v>1% retention for different procurements of the PGB</v>
      </c>
      <c r="E71" s="5">
        <f ca="1">IFERROR(__xludf.DUMMYFUNCTION("""COMPUTED_VALUE"""),7194.9)</f>
        <v>7194.9</v>
      </c>
      <c r="F71" s="4" t="str">
        <f ca="1">IFERROR(__xludf.DUMMYFUNCTION("""COMPUTED_VALUE"""),"LBP General")</f>
        <v>LBP General</v>
      </c>
      <c r="G71" s="4"/>
      <c r="H71" s="4"/>
      <c r="I71" s="4"/>
      <c r="J71" s="4"/>
      <c r="K71" s="4"/>
      <c r="L71" s="4"/>
      <c r="M71" s="4"/>
      <c r="N71" s="4"/>
      <c r="O71" s="4"/>
      <c r="P71" s="4"/>
      <c r="Q71" s="4"/>
      <c r="R71" s="4"/>
      <c r="S71" s="19"/>
    </row>
    <row r="72" spans="1:19" ht="34.799999999999997" x14ac:dyDescent="0.25">
      <c r="A72" s="4">
        <f ca="1">IFERROR(__xludf.DUMMYFUNCTION("""COMPUTED_VALUE"""),2093170)</f>
        <v>2093170</v>
      </c>
      <c r="B72" s="19">
        <f ca="1">IFERROR(__xludf.DUMMYFUNCTION("""COMPUTED_VALUE"""),44869)</f>
        <v>44869</v>
      </c>
      <c r="C72" s="4" t="str">
        <f ca="1">IFERROR(__xludf.DUMMYFUNCTION("""COMPUTED_VALUE"""),"Patient Care Corporation ")</f>
        <v xml:space="preserve">Patient Care Corporation </v>
      </c>
      <c r="D72" s="4" t="str">
        <f ca="1">IFERROR(__xludf.DUMMYFUNCTION("""COMPUTED_VALUE"""),"1% retention for x-ray supplies for use of ODH")</f>
        <v>1% retention for x-ray supplies for use of ODH</v>
      </c>
      <c r="E72" s="5">
        <f ca="1">IFERROR(__xludf.DUMMYFUNCTION("""COMPUTED_VALUE"""),992)</f>
        <v>992</v>
      </c>
      <c r="F72" s="4" t="str">
        <f ca="1">IFERROR(__xludf.DUMMYFUNCTION("""COMPUTED_VALUE"""),"LBP General")</f>
        <v>LBP General</v>
      </c>
      <c r="G72" s="4"/>
      <c r="H72" s="4"/>
      <c r="I72" s="4"/>
      <c r="J72" s="4"/>
      <c r="K72" s="4"/>
      <c r="L72" s="4"/>
      <c r="M72" s="4"/>
      <c r="N72" s="4"/>
      <c r="O72" s="4"/>
      <c r="P72" s="4"/>
      <c r="Q72" s="4"/>
      <c r="R72" s="4"/>
      <c r="S72" s="19"/>
    </row>
    <row r="73" spans="1:19" ht="34.799999999999997" x14ac:dyDescent="0.25">
      <c r="A73" s="4">
        <f ca="1">IFERROR(__xludf.DUMMYFUNCTION("""COMPUTED_VALUE"""),2093175)</f>
        <v>2093175</v>
      </c>
      <c r="B73" s="19">
        <f ca="1">IFERROR(__xludf.DUMMYFUNCTION("""COMPUTED_VALUE"""),44869)</f>
        <v>44869</v>
      </c>
      <c r="C73" s="4" t="str">
        <f ca="1">IFERROR(__xludf.DUMMYFUNCTION("""COMPUTED_VALUE"""),"AlloyMTD, Bataan Inc. ")</f>
        <v xml:space="preserve">AlloyMTD, Bataan Inc. </v>
      </c>
      <c r="D73" s="4" t="str">
        <f ca="1">IFERROR(__xludf.DUMMYFUNCTION("""COMPUTED_VALUE"""),"Payment of Electrical Consumption for the period of September, 2022")</f>
        <v>Payment of Electrical Consumption for the period of September, 2022</v>
      </c>
      <c r="E73" s="5">
        <f ca="1">IFERROR(__xludf.DUMMYFUNCTION("""COMPUTED_VALUE"""),1994590.31)</f>
        <v>1994590.31</v>
      </c>
      <c r="F73" s="4" t="str">
        <f ca="1">IFERROR(__xludf.DUMMYFUNCTION("""COMPUTED_VALUE"""),"LBP General")</f>
        <v>LBP General</v>
      </c>
      <c r="G73" s="4"/>
      <c r="H73" s="4"/>
      <c r="I73" s="4"/>
      <c r="J73" s="4"/>
      <c r="K73" s="4"/>
      <c r="L73" s="4"/>
      <c r="M73" s="4"/>
      <c r="N73" s="4"/>
      <c r="O73" s="4"/>
      <c r="P73" s="4"/>
      <c r="Q73" s="4"/>
      <c r="R73" s="4"/>
      <c r="S73" s="19"/>
    </row>
    <row r="74" spans="1:19" ht="52.2" x14ac:dyDescent="0.25">
      <c r="A74" s="4">
        <f ca="1">IFERROR(__xludf.DUMMYFUNCTION("""COMPUTED_VALUE"""),2093176)</f>
        <v>2093176</v>
      </c>
      <c r="B74" s="19">
        <f ca="1">IFERROR(__xludf.DUMMYFUNCTION("""COMPUTED_VALUE"""),44869)</f>
        <v>44869</v>
      </c>
      <c r="C74" s="4" t="str">
        <f ca="1">IFERROR(__xludf.DUMMYFUNCTION("""COMPUTED_VALUE"""),"AlloyMTD, Bataan Inc. ")</f>
        <v xml:space="preserve">AlloyMTD, Bataan Inc. </v>
      </c>
      <c r="D74" s="4" t="str">
        <f ca="1">IFERROR(__xludf.DUMMYFUNCTION("""COMPUTED_VALUE"""),"Payment of Operation and Maintenance Fee for the month of September , 2022")</f>
        <v>Payment of Operation and Maintenance Fee for the month of September , 2022</v>
      </c>
      <c r="E74" s="5">
        <f ca="1">IFERROR(__xludf.DUMMYFUNCTION("""COMPUTED_VALUE"""),1689805.96)</f>
        <v>1689805.96</v>
      </c>
      <c r="F74" s="4" t="str">
        <f ca="1">IFERROR(__xludf.DUMMYFUNCTION("""COMPUTED_VALUE"""),"LBP General")</f>
        <v>LBP General</v>
      </c>
      <c r="G74" s="4"/>
      <c r="H74" s="4"/>
      <c r="I74" s="4"/>
      <c r="J74" s="4"/>
      <c r="K74" s="4"/>
      <c r="L74" s="4"/>
      <c r="M74" s="4"/>
      <c r="N74" s="4"/>
      <c r="O74" s="4"/>
      <c r="P74" s="4"/>
      <c r="Q74" s="4"/>
      <c r="R74" s="4"/>
      <c r="S74" s="19"/>
    </row>
    <row r="75" spans="1:19" ht="52.2" x14ac:dyDescent="0.25">
      <c r="A75" s="4">
        <f ca="1">IFERROR(__xludf.DUMMYFUNCTION("""COMPUTED_VALUE"""),2093209)</f>
        <v>2093209</v>
      </c>
      <c r="B75" s="19">
        <f ca="1">IFERROR(__xludf.DUMMYFUNCTION("""COMPUTED_VALUE"""),44869)</f>
        <v>44869</v>
      </c>
      <c r="C75" s="4" t="str">
        <f ca="1">IFERROR(__xludf.DUMMYFUNCTION("""COMPUTED_VALUE"""),"Raio Resto Services ")</f>
        <v xml:space="preserve">Raio Resto Services </v>
      </c>
      <c r="D75" s="4" t="str">
        <f ca="1">IFERROR(__xludf.DUMMYFUNCTION("""COMPUTED_VALUE"""),"Meals provided to the Trainors of Bataan Basketball Referees (Preparation of 1st Governors Cup)")</f>
        <v>Meals provided to the Trainors of Bataan Basketball Referees (Preparation of 1st Governors Cup)</v>
      </c>
      <c r="E75" s="5">
        <f ca="1">IFERROR(__xludf.DUMMYFUNCTION("""COMPUTED_VALUE"""),2013.05)</f>
        <v>2013.05</v>
      </c>
      <c r="F75" s="4" t="str">
        <f ca="1">IFERROR(__xludf.DUMMYFUNCTION("""COMPUTED_VALUE"""),"LBP General")</f>
        <v>LBP General</v>
      </c>
      <c r="G75" s="4"/>
      <c r="H75" s="4"/>
      <c r="I75" s="4"/>
      <c r="J75" s="4"/>
      <c r="K75" s="4"/>
      <c r="L75" s="4"/>
      <c r="M75" s="4"/>
      <c r="N75" s="4"/>
      <c r="O75" s="4"/>
      <c r="P75" s="4"/>
      <c r="Q75" s="4"/>
      <c r="R75" s="4"/>
      <c r="S75" s="19"/>
    </row>
    <row r="76" spans="1:19" ht="87" x14ac:dyDescent="0.25">
      <c r="A76" s="4">
        <f ca="1">IFERROR(__xludf.DUMMYFUNCTION("""COMPUTED_VALUE"""),2093225)</f>
        <v>2093225</v>
      </c>
      <c r="B76" s="19">
        <f ca="1">IFERROR(__xludf.DUMMYFUNCTION("""COMPUTED_VALUE"""),44869)</f>
        <v>44869</v>
      </c>
      <c r="C76" s="4" t="str">
        <f ca="1">IFERROR(__xludf.DUMMYFUNCTION("""COMPUTED_VALUE"""),"Eden Javier ")</f>
        <v xml:space="preserve">Eden Javier </v>
      </c>
      <c r="D76" s="4" t="str">
        <f ca="1">IFERROR(__xludf.DUMMYFUNCTION("""COMPUTED_VALUE"""),"Payment of 50% Scholarship grant of 1 Teacher (Gurong Iskolar) taking her Masteral Education as part of the Iskolar ng Bataan Program of the Provincial Government of Bataan")</f>
        <v>Payment of 50% Scholarship grant of 1 Teacher (Gurong Iskolar) taking her Masteral Education as part of the Iskolar ng Bataan Program of the Provincial Government of Bataan</v>
      </c>
      <c r="E76" s="5">
        <f ca="1">IFERROR(__xludf.DUMMYFUNCTION("""COMPUTED_VALUE"""),11000)</f>
        <v>11000</v>
      </c>
      <c r="F76" s="4" t="str">
        <f ca="1">IFERROR(__xludf.DUMMYFUNCTION("""COMPUTED_VALUE"""),"LBP General")</f>
        <v>LBP General</v>
      </c>
      <c r="G76" s="4"/>
      <c r="H76" s="4"/>
      <c r="I76" s="4"/>
      <c r="J76" s="4"/>
      <c r="K76" s="4"/>
      <c r="L76" s="4"/>
      <c r="M76" s="4"/>
      <c r="N76" s="4"/>
      <c r="O76" s="4"/>
      <c r="P76" s="4"/>
      <c r="Q76" s="4"/>
      <c r="R76" s="4"/>
      <c r="S76" s="19"/>
    </row>
    <row r="77" spans="1:19" ht="69.599999999999994" x14ac:dyDescent="0.25">
      <c r="A77" s="4">
        <f ca="1">IFERROR(__xludf.DUMMYFUNCTION("""COMPUTED_VALUE"""),2093227)</f>
        <v>2093227</v>
      </c>
      <c r="B77" s="19">
        <f ca="1">IFERROR(__xludf.DUMMYFUNCTION("""COMPUTED_VALUE"""),44869)</f>
        <v>44869</v>
      </c>
      <c r="C77" s="4" t="str">
        <f ca="1">IFERROR(__xludf.DUMMYFUNCTION("""COMPUTED_VALUE"""),"Barangay Treasurer - Pandatung, Hermosa ")</f>
        <v xml:space="preserve">Barangay Treasurer - Pandatung, Hermosa </v>
      </c>
      <c r="D77" s="4" t="str">
        <f ca="1">IFERROR(__xludf.DUMMYFUNCTION("""COMPUTED_VALUE"""),"Pandatung Hermosa Bataan - Subsidy to Barangay Pandatung Hermosa Bataan for their Annual Cultural Activity on December 8, 2022")</f>
        <v>Pandatung Hermosa Bataan - Subsidy to Barangay Pandatung Hermosa Bataan for their Annual Cultural Activity on December 8, 2022</v>
      </c>
      <c r="E77" s="5">
        <f ca="1">IFERROR(__xludf.DUMMYFUNCTION("""COMPUTED_VALUE"""),20000)</f>
        <v>20000</v>
      </c>
      <c r="F77" s="4" t="str">
        <f ca="1">IFERROR(__xludf.DUMMYFUNCTION("""COMPUTED_VALUE"""),"LBP General")</f>
        <v>LBP General</v>
      </c>
      <c r="G77" s="4"/>
      <c r="H77" s="4"/>
      <c r="I77" s="4"/>
      <c r="J77" s="4"/>
      <c r="K77" s="4"/>
      <c r="L77" s="4"/>
      <c r="M77" s="4"/>
      <c r="N77" s="4"/>
      <c r="O77" s="4"/>
      <c r="P77" s="4"/>
      <c r="Q77" s="4"/>
      <c r="R77" s="4"/>
      <c r="S77" s="19"/>
    </row>
    <row r="78" spans="1:19" ht="69.599999999999994" x14ac:dyDescent="0.25">
      <c r="A78" s="4">
        <f ca="1">IFERROR(__xludf.DUMMYFUNCTION("""COMPUTED_VALUE"""),2093239)</f>
        <v>2093239</v>
      </c>
      <c r="B78" s="19">
        <f ca="1">IFERROR(__xludf.DUMMYFUNCTION("""COMPUTED_VALUE"""),44869)</f>
        <v>44869</v>
      </c>
      <c r="C78" s="4" t="str">
        <f ca="1">IFERROR(__xludf.DUMMYFUNCTION("""COMPUTED_VALUE"""),"Bluepepper Catering ")</f>
        <v xml:space="preserve">Bluepepper Catering </v>
      </c>
      <c r="D78" s="4" t="str">
        <f ca="1">IFERROR(__xludf.DUMMYFUNCTION("""COMPUTED_VALUE"""),"Meals to be served during the visit of Ambassador Huang of China at The Bunker Building, Capitol. Compound, Balanga City, Bataan on April 18,2022")</f>
        <v>Meals to be served during the visit of Ambassador Huang of China at The Bunker Building, Capitol. Compound, Balanga City, Bataan on April 18,2022</v>
      </c>
      <c r="E78" s="5">
        <f ca="1">IFERROR(__xludf.DUMMYFUNCTION("""COMPUTED_VALUE"""),34986)</f>
        <v>34986</v>
      </c>
      <c r="F78" s="4" t="str">
        <f ca="1">IFERROR(__xludf.DUMMYFUNCTION("""COMPUTED_VALUE"""),"LBP General")</f>
        <v>LBP General</v>
      </c>
      <c r="G78" s="4"/>
      <c r="H78" s="4"/>
      <c r="I78" s="4"/>
      <c r="J78" s="4"/>
      <c r="K78" s="4"/>
      <c r="L78" s="4"/>
      <c r="M78" s="4"/>
      <c r="N78" s="4"/>
      <c r="O78" s="4"/>
      <c r="P78" s="4"/>
      <c r="Q78" s="4"/>
      <c r="R78" s="4"/>
      <c r="S78" s="19"/>
    </row>
    <row r="79" spans="1:19" ht="87" x14ac:dyDescent="0.25">
      <c r="A79" s="4">
        <f ca="1">IFERROR(__xludf.DUMMYFUNCTION("""COMPUTED_VALUE"""),2093242)</f>
        <v>2093242</v>
      </c>
      <c r="B79" s="19">
        <f ca="1">IFERROR(__xludf.DUMMYFUNCTION("""COMPUTED_VALUE"""),44869)</f>
        <v>44869</v>
      </c>
      <c r="C79" s="4" t="str">
        <f ca="1">IFERROR(__xludf.DUMMYFUNCTION("""COMPUTED_VALUE"""),"Wangtseng Export Enterprises ")</f>
        <v xml:space="preserve">Wangtseng Export Enterprises </v>
      </c>
      <c r="D79" s="4" t="str">
        <f ca="1">IFERROR(__xludf.DUMMYFUNCTION("""COMPUTED_VALUE"""),"Printing of Plaque to be used during the conduct of National Disaster Resilence Month (NDRM) on July 1, 2022, July 4-8, 2022, July 18, 2022 and July 29, 2022")</f>
        <v>Printing of Plaque to be used during the conduct of National Disaster Resilence Month (NDRM) on July 1, 2022, July 4-8, 2022, July 18, 2022 and July 29, 2022</v>
      </c>
      <c r="E79" s="5">
        <f ca="1">IFERROR(__xludf.DUMMYFUNCTION("""COMPUTED_VALUE"""),11319.28)</f>
        <v>11319.28</v>
      </c>
      <c r="F79" s="4" t="str">
        <f ca="1">IFERROR(__xludf.DUMMYFUNCTION("""COMPUTED_VALUE"""),"LBP General")</f>
        <v>LBP General</v>
      </c>
      <c r="G79" s="4"/>
      <c r="H79" s="4"/>
      <c r="I79" s="4"/>
      <c r="J79" s="4"/>
      <c r="K79" s="4"/>
      <c r="L79" s="4"/>
      <c r="M79" s="4"/>
      <c r="N79" s="4"/>
      <c r="O79" s="4"/>
      <c r="P79" s="4"/>
      <c r="Q79" s="4"/>
      <c r="R79" s="4"/>
      <c r="S79" s="19"/>
    </row>
    <row r="80" spans="1:19" ht="87" x14ac:dyDescent="0.25">
      <c r="A80" s="4">
        <f ca="1">IFERROR(__xludf.DUMMYFUNCTION("""COMPUTED_VALUE"""),2093248)</f>
        <v>2093248</v>
      </c>
      <c r="B80" s="19">
        <f ca="1">IFERROR(__xludf.DUMMYFUNCTION("""COMPUTED_VALUE"""),44869)</f>
        <v>44869</v>
      </c>
      <c r="C80" s="4" t="str">
        <f ca="1">IFERROR(__xludf.DUMMYFUNCTION("""COMPUTED_VALUE"""),"Enriquez Catering Services ")</f>
        <v xml:space="preserve">Enriquez Catering Services </v>
      </c>
      <c r="D80" s="4" t="str">
        <f ca="1">IFERROR(__xludf.DUMMYFUNCTION("""COMPUTED_VALUE"""),"Meals &amp; Snacks in conducting program on its 3rd yr founding anniversary of JCPJMH Dialysis Unit on September 30, 2022 to held at Bulwagan ng Bayan, Dinalupihan, Bataan")</f>
        <v>Meals &amp; Snacks in conducting program on its 3rd yr founding anniversary of JCPJMH Dialysis Unit on September 30, 2022 to held at Bulwagan ng Bayan, Dinalupihan, Bataan</v>
      </c>
      <c r="E80" s="5">
        <f ca="1">IFERROR(__xludf.DUMMYFUNCTION("""COMPUTED_VALUE"""),33075)</f>
        <v>33075</v>
      </c>
      <c r="F80" s="4" t="str">
        <f ca="1">IFERROR(__xludf.DUMMYFUNCTION("""COMPUTED_VALUE"""),"LBP General")</f>
        <v>LBP General</v>
      </c>
      <c r="G80" s="4"/>
      <c r="H80" s="4"/>
      <c r="I80" s="4"/>
      <c r="J80" s="4"/>
      <c r="K80" s="4"/>
      <c r="L80" s="4"/>
      <c r="M80" s="4"/>
      <c r="N80" s="4"/>
      <c r="O80" s="4"/>
      <c r="P80" s="4"/>
      <c r="Q80" s="4"/>
      <c r="R80" s="4"/>
      <c r="S80" s="19"/>
    </row>
    <row r="81" spans="1:19" ht="87" x14ac:dyDescent="0.25">
      <c r="A81" s="4">
        <f ca="1">IFERROR(__xludf.DUMMYFUNCTION("""COMPUTED_VALUE"""),2093266)</f>
        <v>2093266</v>
      </c>
      <c r="B81" s="19">
        <f ca="1">IFERROR(__xludf.DUMMYFUNCTION("""COMPUTED_VALUE"""),44873)</f>
        <v>44873</v>
      </c>
      <c r="C81" s="4" t="str">
        <f ca="1">IFERROR(__xludf.DUMMYFUNCTION("""COMPUTED_VALUE"""),"Heureux Catering Services ")</f>
        <v xml:space="preserve">Heureux Catering Services </v>
      </c>
      <c r="D81" s="4" t="str">
        <f ca="1">IFERROR(__xludf.DUMMYFUNCTION("""COMPUTED_VALUE"""),"- Meals for Awarding of P5,000 Cash for the Board / Bar Examinees of the Iskolar ng Bataan Program of the Provincial Government of Bataan on September 16, 2022")</f>
        <v>- Meals for Awarding of P5,000 Cash for the Board / Bar Examinees of the Iskolar ng Bataan Program of the Provincial Government of Bataan on September 16, 2022</v>
      </c>
      <c r="E81" s="5">
        <f ca="1">IFERROR(__xludf.DUMMYFUNCTION("""COMPUTED_VALUE"""),7098.22)</f>
        <v>7098.22</v>
      </c>
      <c r="F81" s="4" t="str">
        <f ca="1">IFERROR(__xludf.DUMMYFUNCTION("""COMPUTED_VALUE"""),"LBP General")</f>
        <v>LBP General</v>
      </c>
      <c r="G81" s="4"/>
      <c r="H81" s="4"/>
      <c r="I81" s="4"/>
      <c r="J81" s="4"/>
      <c r="K81" s="4"/>
      <c r="L81" s="4"/>
      <c r="M81" s="4"/>
      <c r="N81" s="4"/>
      <c r="O81" s="4"/>
      <c r="P81" s="4"/>
      <c r="Q81" s="4"/>
      <c r="R81" s="4"/>
      <c r="S81" s="19"/>
    </row>
    <row r="82" spans="1:19" ht="87" x14ac:dyDescent="0.25">
      <c r="A82" s="4">
        <f ca="1">IFERROR(__xludf.DUMMYFUNCTION("""COMPUTED_VALUE"""),2093307)</f>
        <v>2093307</v>
      </c>
      <c r="B82" s="19">
        <f ca="1">IFERROR(__xludf.DUMMYFUNCTION("""COMPUTED_VALUE"""),44874)</f>
        <v>44874</v>
      </c>
      <c r="C82" s="4" t="str">
        <f ca="1">IFERROR(__xludf.DUMMYFUNCTION("""COMPUTED_VALUE"""),"GSIS ")</f>
        <v xml:space="preserve">GSIS </v>
      </c>
      <c r="D82" s="4" t="str">
        <f ca="1">IFERROR(__xludf.DUMMYFUNCTION("""COMPUTED_VALUE"""),"Payment of fire insurance, 1. One Storey Bldg. Known and Occupied as BCMH, 2. Training Institute. BLDG. - Sunrise Compound, Brgy. Dona Orani, Bataan")</f>
        <v>Payment of fire insurance, 1. One Storey Bldg. Known and Occupied as BCMH, 2. Training Institute. BLDG. - Sunrise Compound, Brgy. Dona Orani, Bataan</v>
      </c>
      <c r="E82" s="5">
        <f ca="1">IFERROR(__xludf.DUMMYFUNCTION("""COMPUTED_VALUE"""),99804.11)</f>
        <v>99804.11</v>
      </c>
      <c r="F82" s="4" t="str">
        <f ca="1">IFERROR(__xludf.DUMMYFUNCTION("""COMPUTED_VALUE"""),"LBP General")</f>
        <v>LBP General</v>
      </c>
      <c r="G82" s="4"/>
      <c r="H82" s="4"/>
      <c r="I82" s="4"/>
      <c r="J82" s="4"/>
      <c r="K82" s="4"/>
      <c r="L82" s="4"/>
      <c r="M82" s="4"/>
      <c r="N82" s="4"/>
      <c r="O82" s="4"/>
      <c r="P82" s="4"/>
      <c r="Q82" s="4"/>
      <c r="R82" s="4"/>
      <c r="S82" s="19"/>
    </row>
    <row r="83" spans="1:19" ht="34.799999999999997" x14ac:dyDescent="0.25">
      <c r="A83" s="4">
        <f ca="1">IFERROR(__xludf.DUMMYFUNCTION("""COMPUTED_VALUE"""),2093309)</f>
        <v>2093309</v>
      </c>
      <c r="B83" s="19">
        <f ca="1">IFERROR(__xludf.DUMMYFUNCTION("""COMPUTED_VALUE"""),44874)</f>
        <v>44874</v>
      </c>
      <c r="C83" s="4" t="str">
        <f ca="1">IFERROR(__xludf.DUMMYFUNCTION("""COMPUTED_VALUE"""),"Rowena Marie M. Soriano ")</f>
        <v xml:space="preserve">Rowena Marie M. Soriano </v>
      </c>
      <c r="D83" s="4" t="str">
        <f ca="1">IFERROR(__xludf.DUMMYFUNCTION("""COMPUTED_VALUE"""),"Payment for salary from October 24-31, 2022")</f>
        <v>Payment for salary from October 24-31, 2022</v>
      </c>
      <c r="E83" s="5">
        <f ca="1">IFERROR(__xludf.DUMMYFUNCTION("""COMPUTED_VALUE"""),7840.07)</f>
        <v>7840.07</v>
      </c>
      <c r="F83" s="4" t="str">
        <f ca="1">IFERROR(__xludf.DUMMYFUNCTION("""COMPUTED_VALUE"""),"LBP General")</f>
        <v>LBP General</v>
      </c>
      <c r="G83" s="4"/>
      <c r="H83" s="4"/>
      <c r="I83" s="4"/>
      <c r="J83" s="4"/>
      <c r="K83" s="4"/>
      <c r="L83" s="4"/>
      <c r="M83" s="4"/>
      <c r="N83" s="4"/>
      <c r="O83" s="4"/>
      <c r="P83" s="4"/>
      <c r="Q83" s="4"/>
      <c r="R83" s="4"/>
      <c r="S83" s="19"/>
    </row>
    <row r="84" spans="1:19" ht="17.399999999999999" x14ac:dyDescent="0.25">
      <c r="A84" s="4">
        <f ca="1">IFERROR(__xludf.DUMMYFUNCTION("""COMPUTED_VALUE"""),2093311)</f>
        <v>2093311</v>
      </c>
      <c r="B84" s="19">
        <f ca="1">IFERROR(__xludf.DUMMYFUNCTION("""COMPUTED_VALUE"""),44874)</f>
        <v>44874</v>
      </c>
      <c r="C84" s="4" t="str">
        <f ca="1">IFERROR(__xludf.DUMMYFUNCTION("""COMPUTED_VALUE"""),"National Food Authority ")</f>
        <v xml:space="preserve">National Food Authority </v>
      </c>
      <c r="D84" s="4" t="str">
        <f ca="1">IFERROR(__xludf.DUMMYFUNCTION("""COMPUTED_VALUE"""),"Rice-50Kgs for stock piling purposes")</f>
        <v>Rice-50Kgs for stock piling purposes</v>
      </c>
      <c r="E84" s="5">
        <f ca="1">IFERROR(__xludf.DUMMYFUNCTION("""COMPUTED_VALUE"""),1500000)</f>
        <v>1500000</v>
      </c>
      <c r="F84" s="4" t="str">
        <f ca="1">IFERROR(__xludf.DUMMYFUNCTION("""COMPUTED_VALUE"""),"LBP General")</f>
        <v>LBP General</v>
      </c>
      <c r="G84" s="4"/>
      <c r="H84" s="4"/>
      <c r="I84" s="4"/>
      <c r="J84" s="4"/>
      <c r="K84" s="4"/>
      <c r="L84" s="4"/>
      <c r="M84" s="4"/>
      <c r="N84" s="4"/>
      <c r="O84" s="4"/>
      <c r="P84" s="4"/>
      <c r="Q84" s="4"/>
      <c r="R84" s="4"/>
      <c r="S84" s="19"/>
    </row>
    <row r="85" spans="1:19" ht="34.799999999999997" x14ac:dyDescent="0.25">
      <c r="A85" s="4">
        <f ca="1">IFERROR(__xludf.DUMMYFUNCTION("""COMPUTED_VALUE"""),2093317)</f>
        <v>2093317</v>
      </c>
      <c r="B85" s="19">
        <f ca="1">IFERROR(__xludf.DUMMYFUNCTION("""COMPUTED_VALUE"""),44874)</f>
        <v>44874</v>
      </c>
      <c r="C85" s="4" t="str">
        <f ca="1">IFERROR(__xludf.DUMMYFUNCTION("""COMPUTED_VALUE"""),"Oscar M. Lasam ")</f>
        <v xml:space="preserve">Oscar M. Lasam </v>
      </c>
      <c r="D85" s="4" t="str">
        <f ca="1">IFERROR(__xludf.DUMMYFUNCTION("""COMPUTED_VALUE"""),"Payment of allowance for the month of October 2022")</f>
        <v>Payment of allowance for the month of October 2022</v>
      </c>
      <c r="E85" s="5">
        <f ca="1">IFERROR(__xludf.DUMMYFUNCTION("""COMPUTED_VALUE"""),15000)</f>
        <v>15000</v>
      </c>
      <c r="F85" s="4" t="str">
        <f ca="1">IFERROR(__xludf.DUMMYFUNCTION("""COMPUTED_VALUE"""),"LBP General")</f>
        <v>LBP General</v>
      </c>
      <c r="G85" s="4"/>
      <c r="H85" s="4"/>
      <c r="I85" s="4"/>
      <c r="J85" s="4"/>
      <c r="K85" s="4"/>
      <c r="L85" s="4"/>
      <c r="M85" s="4"/>
      <c r="N85" s="4"/>
      <c r="O85" s="4"/>
      <c r="P85" s="4"/>
      <c r="Q85" s="4"/>
      <c r="R85" s="4"/>
      <c r="S85" s="19"/>
    </row>
    <row r="86" spans="1:19" ht="34.799999999999997" x14ac:dyDescent="0.25">
      <c r="A86" s="4">
        <f ca="1">IFERROR(__xludf.DUMMYFUNCTION("""COMPUTED_VALUE"""),2093318)</f>
        <v>2093318</v>
      </c>
      <c r="B86" s="19">
        <f ca="1">IFERROR(__xludf.DUMMYFUNCTION("""COMPUTED_VALUE"""),44874)</f>
        <v>44874</v>
      </c>
      <c r="C86" s="4" t="str">
        <f ca="1">IFERROR(__xludf.DUMMYFUNCTION("""COMPUTED_VALUE"""),"Arceli C. Punay ")</f>
        <v xml:space="preserve">Arceli C. Punay </v>
      </c>
      <c r="D86" s="4" t="str">
        <f ca="1">IFERROR(__xludf.DUMMYFUNCTION("""COMPUTED_VALUE"""),"Payment of allowance for the month of October 2022")</f>
        <v>Payment of allowance for the month of October 2022</v>
      </c>
      <c r="E86" s="5">
        <f ca="1">IFERROR(__xludf.DUMMYFUNCTION("""COMPUTED_VALUE"""),10000)</f>
        <v>10000</v>
      </c>
      <c r="F86" s="4" t="str">
        <f ca="1">IFERROR(__xludf.DUMMYFUNCTION("""COMPUTED_VALUE"""),"LBP General")</f>
        <v>LBP General</v>
      </c>
      <c r="G86" s="4"/>
      <c r="H86" s="4"/>
      <c r="I86" s="4"/>
      <c r="J86" s="4"/>
      <c r="K86" s="4"/>
      <c r="L86" s="4"/>
      <c r="M86" s="4"/>
      <c r="N86" s="4"/>
      <c r="O86" s="4"/>
      <c r="P86" s="4"/>
      <c r="Q86" s="4"/>
      <c r="R86" s="4"/>
      <c r="S86" s="19"/>
    </row>
    <row r="87" spans="1:19" ht="34.799999999999997" x14ac:dyDescent="0.25">
      <c r="A87" s="4">
        <f ca="1">IFERROR(__xludf.DUMMYFUNCTION("""COMPUTED_VALUE"""),2093319)</f>
        <v>2093319</v>
      </c>
      <c r="B87" s="19">
        <f ca="1">IFERROR(__xludf.DUMMYFUNCTION("""COMPUTED_VALUE"""),44874)</f>
        <v>44874</v>
      </c>
      <c r="C87" s="4" t="str">
        <f ca="1">IFERROR(__xludf.DUMMYFUNCTION("""COMPUTED_VALUE"""),"Geraldine L. Buenaventura ")</f>
        <v xml:space="preserve">Geraldine L. Buenaventura </v>
      </c>
      <c r="D87" s="4" t="str">
        <f ca="1">IFERROR(__xludf.DUMMYFUNCTION("""COMPUTED_VALUE"""),"Payment of allowance for the month of October 2022")</f>
        <v>Payment of allowance for the month of October 2022</v>
      </c>
      <c r="E87" s="5">
        <f ca="1">IFERROR(__xludf.DUMMYFUNCTION("""COMPUTED_VALUE"""),10000)</f>
        <v>10000</v>
      </c>
      <c r="F87" s="4" t="str">
        <f ca="1">IFERROR(__xludf.DUMMYFUNCTION("""COMPUTED_VALUE"""),"LBP General")</f>
        <v>LBP General</v>
      </c>
      <c r="G87" s="4"/>
      <c r="H87" s="4"/>
      <c r="I87" s="4"/>
      <c r="J87" s="4"/>
      <c r="K87" s="4"/>
      <c r="L87" s="4"/>
      <c r="M87" s="4"/>
      <c r="N87" s="4"/>
      <c r="O87" s="4"/>
      <c r="P87" s="4"/>
      <c r="Q87" s="4"/>
      <c r="R87" s="4"/>
      <c r="S87" s="19"/>
    </row>
    <row r="88" spans="1:19" ht="34.799999999999997" x14ac:dyDescent="0.25">
      <c r="A88" s="4">
        <f ca="1">IFERROR(__xludf.DUMMYFUNCTION("""COMPUTED_VALUE"""),2093320)</f>
        <v>2093320</v>
      </c>
      <c r="B88" s="19">
        <f ca="1">IFERROR(__xludf.DUMMYFUNCTION("""COMPUTED_VALUE"""),44874)</f>
        <v>44874</v>
      </c>
      <c r="C88" s="4" t="str">
        <f ca="1">IFERROR(__xludf.DUMMYFUNCTION("""COMPUTED_VALUE"""),"Dorina S. Castro-Baltazar ")</f>
        <v xml:space="preserve">Dorina S. Castro-Baltazar </v>
      </c>
      <c r="D88" s="4" t="str">
        <f ca="1">IFERROR(__xludf.DUMMYFUNCTION("""COMPUTED_VALUE"""),"Payment of allowance for the month of October 2022")</f>
        <v>Payment of allowance for the month of October 2022</v>
      </c>
      <c r="E88" s="5">
        <f ca="1">IFERROR(__xludf.DUMMYFUNCTION("""COMPUTED_VALUE"""),20000)</f>
        <v>20000</v>
      </c>
      <c r="F88" s="4" t="str">
        <f ca="1">IFERROR(__xludf.DUMMYFUNCTION("""COMPUTED_VALUE"""),"LBP General")</f>
        <v>LBP General</v>
      </c>
      <c r="G88" s="4"/>
      <c r="H88" s="4"/>
      <c r="I88" s="4"/>
      <c r="J88" s="4"/>
      <c r="K88" s="4"/>
      <c r="L88" s="4"/>
      <c r="M88" s="4"/>
      <c r="N88" s="4"/>
      <c r="O88" s="4"/>
      <c r="P88" s="4"/>
      <c r="Q88" s="4"/>
      <c r="R88" s="4"/>
      <c r="S88" s="19"/>
    </row>
    <row r="89" spans="1:19" ht="34.799999999999997" x14ac:dyDescent="0.25">
      <c r="A89" s="4">
        <f ca="1">IFERROR(__xludf.DUMMYFUNCTION("""COMPUTED_VALUE"""),2093321)</f>
        <v>2093321</v>
      </c>
      <c r="B89" s="19">
        <f ca="1">IFERROR(__xludf.DUMMYFUNCTION("""COMPUTED_VALUE"""),44874)</f>
        <v>44874</v>
      </c>
      <c r="C89" s="4" t="str">
        <f ca="1">IFERROR(__xludf.DUMMYFUNCTION("""COMPUTED_VALUE"""),"Kristine Joy B. Paguio ")</f>
        <v xml:space="preserve">Kristine Joy B. Paguio </v>
      </c>
      <c r="D89" s="4" t="str">
        <f ca="1">IFERROR(__xludf.DUMMYFUNCTION("""COMPUTED_VALUE"""),"Payment of allowance for the month of October 2022")</f>
        <v>Payment of allowance for the month of October 2022</v>
      </c>
      <c r="E89" s="5">
        <f ca="1">IFERROR(__xludf.DUMMYFUNCTION("""COMPUTED_VALUE"""),10000)</f>
        <v>10000</v>
      </c>
      <c r="F89" s="4" t="str">
        <f ca="1">IFERROR(__xludf.DUMMYFUNCTION("""COMPUTED_VALUE"""),"LBP General")</f>
        <v>LBP General</v>
      </c>
      <c r="G89" s="4"/>
      <c r="H89" s="4"/>
      <c r="I89" s="4"/>
      <c r="J89" s="4"/>
      <c r="K89" s="4"/>
      <c r="L89" s="4"/>
      <c r="M89" s="4"/>
      <c r="N89" s="4"/>
      <c r="O89" s="4"/>
      <c r="P89" s="4"/>
      <c r="Q89" s="4"/>
      <c r="R89" s="4"/>
      <c r="S89" s="19"/>
    </row>
    <row r="90" spans="1:19" ht="34.799999999999997" x14ac:dyDescent="0.25">
      <c r="A90" s="4">
        <f ca="1">IFERROR(__xludf.DUMMYFUNCTION("""COMPUTED_VALUE"""),2093322)</f>
        <v>2093322</v>
      </c>
      <c r="B90" s="19">
        <f ca="1">IFERROR(__xludf.DUMMYFUNCTION("""COMPUTED_VALUE"""),44874)</f>
        <v>44874</v>
      </c>
      <c r="C90" s="4" t="str">
        <f ca="1">IFERROR(__xludf.DUMMYFUNCTION("""COMPUTED_VALUE"""),"Rodel Patrick V. Bairan ")</f>
        <v xml:space="preserve">Rodel Patrick V. Bairan </v>
      </c>
      <c r="D90" s="4" t="str">
        <f ca="1">IFERROR(__xludf.DUMMYFUNCTION("""COMPUTED_VALUE"""),"Payment of allowance for the month of October 2022")</f>
        <v>Payment of allowance for the month of October 2022</v>
      </c>
      <c r="E90" s="5">
        <f ca="1">IFERROR(__xludf.DUMMYFUNCTION("""COMPUTED_VALUE"""),3000)</f>
        <v>3000</v>
      </c>
      <c r="F90" s="4" t="str">
        <f ca="1">IFERROR(__xludf.DUMMYFUNCTION("""COMPUTED_VALUE"""),"LBP General")</f>
        <v>LBP General</v>
      </c>
      <c r="G90" s="4"/>
      <c r="H90" s="4"/>
      <c r="I90" s="4"/>
      <c r="J90" s="4"/>
      <c r="K90" s="4"/>
      <c r="L90" s="4"/>
      <c r="M90" s="4"/>
      <c r="N90" s="4"/>
      <c r="O90" s="4"/>
      <c r="P90" s="4"/>
      <c r="Q90" s="4"/>
      <c r="R90" s="4"/>
      <c r="S90" s="19"/>
    </row>
    <row r="91" spans="1:19" ht="34.799999999999997" x14ac:dyDescent="0.25">
      <c r="A91" s="4">
        <f ca="1">IFERROR(__xludf.DUMMYFUNCTION("""COMPUTED_VALUE"""),2093332)</f>
        <v>2093332</v>
      </c>
      <c r="B91" s="19">
        <f ca="1">IFERROR(__xludf.DUMMYFUNCTION("""COMPUTED_VALUE"""),44874)</f>
        <v>44874</v>
      </c>
      <c r="C91" s="4" t="str">
        <f ca="1">IFERROR(__xludf.DUMMYFUNCTION("""COMPUTED_VALUE"""),"Johnnel S. Soriano ")</f>
        <v xml:space="preserve">Johnnel S. Soriano </v>
      </c>
      <c r="D91" s="4" t="str">
        <f ca="1">IFERROR(__xludf.DUMMYFUNCTION("""COMPUTED_VALUE"""),"Payment of allowance for the month of October 2022")</f>
        <v>Payment of allowance for the month of October 2022</v>
      </c>
      <c r="E91" s="5">
        <f ca="1">IFERROR(__xludf.DUMMYFUNCTION("""COMPUTED_VALUE"""),5000)</f>
        <v>5000</v>
      </c>
      <c r="F91" s="4" t="str">
        <f ca="1">IFERROR(__xludf.DUMMYFUNCTION("""COMPUTED_VALUE"""),"LBP General")</f>
        <v>LBP General</v>
      </c>
      <c r="G91" s="4"/>
      <c r="H91" s="4"/>
      <c r="I91" s="4"/>
      <c r="J91" s="4"/>
      <c r="K91" s="4"/>
      <c r="L91" s="4"/>
      <c r="M91" s="4"/>
      <c r="N91" s="4"/>
      <c r="O91" s="4"/>
      <c r="P91" s="4"/>
      <c r="Q91" s="4"/>
      <c r="R91" s="4"/>
      <c r="S91" s="19"/>
    </row>
    <row r="92" spans="1:19" ht="34.799999999999997" x14ac:dyDescent="0.25">
      <c r="A92" s="4">
        <f ca="1">IFERROR(__xludf.DUMMYFUNCTION("""COMPUTED_VALUE"""),2093333)</f>
        <v>2093333</v>
      </c>
      <c r="B92" s="19">
        <f ca="1">IFERROR(__xludf.DUMMYFUNCTION("""COMPUTED_VALUE"""),44874)</f>
        <v>44874</v>
      </c>
      <c r="C92" s="4" t="str">
        <f ca="1">IFERROR(__xludf.DUMMYFUNCTION("""COMPUTED_VALUE"""),"Romulo S. Mandocdoc Jr. ")</f>
        <v xml:space="preserve">Romulo S. Mandocdoc Jr. </v>
      </c>
      <c r="D92" s="4" t="str">
        <f ca="1">IFERROR(__xludf.DUMMYFUNCTION("""COMPUTED_VALUE"""),"Allowance for the month of October 2022")</f>
        <v>Allowance for the month of October 2022</v>
      </c>
      <c r="E92" s="5">
        <f ca="1">IFERROR(__xludf.DUMMYFUNCTION("""COMPUTED_VALUE"""),10000)</f>
        <v>10000</v>
      </c>
      <c r="F92" s="4" t="str">
        <f ca="1">IFERROR(__xludf.DUMMYFUNCTION("""COMPUTED_VALUE"""),"LBP General")</f>
        <v>LBP General</v>
      </c>
      <c r="G92" s="4"/>
      <c r="H92" s="4"/>
      <c r="I92" s="4"/>
      <c r="J92" s="4"/>
      <c r="K92" s="4"/>
      <c r="L92" s="4"/>
      <c r="M92" s="4"/>
      <c r="N92" s="4"/>
      <c r="O92" s="4"/>
      <c r="P92" s="4"/>
      <c r="Q92" s="4"/>
      <c r="R92" s="4"/>
      <c r="S92" s="19"/>
    </row>
    <row r="93" spans="1:19" ht="17.399999999999999" x14ac:dyDescent="0.25">
      <c r="A93" s="4">
        <f ca="1">IFERROR(__xludf.DUMMYFUNCTION("""COMPUTED_VALUE"""),2093343)</f>
        <v>2093343</v>
      </c>
      <c r="B93" s="19">
        <f ca="1">IFERROR(__xludf.DUMMYFUNCTION("""COMPUTED_VALUE"""),44874)</f>
        <v>44874</v>
      </c>
      <c r="C93" s="4" t="str">
        <f ca="1">IFERROR(__xludf.DUMMYFUNCTION("""COMPUTED_VALUE"""),"Bureau of Treasury ")</f>
        <v xml:space="preserve">Bureau of Treasury </v>
      </c>
      <c r="D93" s="4" t="str">
        <f ca="1">IFERROR(__xludf.DUMMYFUNCTION("""COMPUTED_VALUE"""),"Payment of fidelity bond premium")</f>
        <v>Payment of fidelity bond premium</v>
      </c>
      <c r="E93" s="5">
        <f ca="1">IFERROR(__xludf.DUMMYFUNCTION("""COMPUTED_VALUE"""),22500)</f>
        <v>22500</v>
      </c>
      <c r="F93" s="4" t="str">
        <f ca="1">IFERROR(__xludf.DUMMYFUNCTION("""COMPUTED_VALUE"""),"LBP General")</f>
        <v>LBP General</v>
      </c>
      <c r="G93" s="4"/>
      <c r="H93" s="4"/>
      <c r="I93" s="4"/>
      <c r="J93" s="4"/>
      <c r="K93" s="4"/>
      <c r="L93" s="4"/>
      <c r="M93" s="4"/>
      <c r="N93" s="4"/>
      <c r="O93" s="4"/>
      <c r="P93" s="4"/>
      <c r="Q93" s="4"/>
      <c r="R93" s="4"/>
      <c r="S93" s="19"/>
    </row>
    <row r="94" spans="1:19" ht="34.799999999999997" x14ac:dyDescent="0.25">
      <c r="A94" s="4">
        <f ca="1">IFERROR(__xludf.DUMMYFUNCTION("""COMPUTED_VALUE"""),2093349)</f>
        <v>2093349</v>
      </c>
      <c r="B94" s="19">
        <f ca="1">IFERROR(__xludf.DUMMYFUNCTION("""COMPUTED_VALUE"""),44874)</f>
        <v>44874</v>
      </c>
      <c r="C94" s="4" t="str">
        <f ca="1">IFERROR(__xludf.DUMMYFUNCTION("""COMPUTED_VALUE"""),"Bethsaida D. Ongoco ")</f>
        <v xml:space="preserve">Bethsaida D. Ongoco </v>
      </c>
      <c r="D94" s="4" t="str">
        <f ca="1">IFERROR(__xludf.DUMMYFUNCTION("""COMPUTED_VALUE"""),"Payment of her RIC Allowance for the month of October 2022")</f>
        <v>Payment of her RIC Allowance for the month of October 2022</v>
      </c>
      <c r="E94" s="5">
        <f ca="1">IFERROR(__xludf.DUMMYFUNCTION("""COMPUTED_VALUE"""),3000)</f>
        <v>3000</v>
      </c>
      <c r="F94" s="4" t="str">
        <f ca="1">IFERROR(__xludf.DUMMYFUNCTION("""COMPUTED_VALUE"""),"LBP General")</f>
        <v>LBP General</v>
      </c>
      <c r="G94" s="4"/>
      <c r="H94" s="4"/>
      <c r="I94" s="4"/>
      <c r="J94" s="4"/>
      <c r="K94" s="4"/>
      <c r="L94" s="4"/>
      <c r="M94" s="4"/>
      <c r="N94" s="4"/>
      <c r="O94" s="4"/>
      <c r="P94" s="4"/>
      <c r="Q94" s="4"/>
      <c r="R94" s="4"/>
      <c r="S94" s="19"/>
    </row>
    <row r="95" spans="1:19" ht="34.799999999999997" x14ac:dyDescent="0.25">
      <c r="A95" s="4">
        <f ca="1">IFERROR(__xludf.DUMMYFUNCTION("""COMPUTED_VALUE"""),2093350)</f>
        <v>2093350</v>
      </c>
      <c r="B95" s="19">
        <f ca="1">IFERROR(__xludf.DUMMYFUNCTION("""COMPUTED_VALUE"""),44874)</f>
        <v>44874</v>
      </c>
      <c r="C95" s="4" t="str">
        <f ca="1">IFERROR(__xludf.DUMMYFUNCTION("""COMPUTED_VALUE"""),"Karen Suello ")</f>
        <v xml:space="preserve">Karen Suello </v>
      </c>
      <c r="D95" s="4" t="str">
        <f ca="1">IFERROR(__xludf.DUMMYFUNCTION("""COMPUTED_VALUE"""),"Payment of her RIC Allowance for the month of September 2022")</f>
        <v>Payment of her RIC Allowance for the month of September 2022</v>
      </c>
      <c r="E95" s="5">
        <f ca="1">IFERROR(__xludf.DUMMYFUNCTION("""COMPUTED_VALUE"""),3000)</f>
        <v>3000</v>
      </c>
      <c r="F95" s="4" t="str">
        <f ca="1">IFERROR(__xludf.DUMMYFUNCTION("""COMPUTED_VALUE"""),"LBP General")</f>
        <v>LBP General</v>
      </c>
      <c r="G95" s="4"/>
      <c r="H95" s="4"/>
      <c r="I95" s="4"/>
      <c r="J95" s="4"/>
      <c r="K95" s="4"/>
      <c r="L95" s="4"/>
      <c r="M95" s="4"/>
      <c r="N95" s="4"/>
      <c r="O95" s="4"/>
      <c r="P95" s="4"/>
      <c r="Q95" s="4"/>
      <c r="R95" s="4"/>
      <c r="S95" s="19"/>
    </row>
    <row r="96" spans="1:19" ht="34.799999999999997" x14ac:dyDescent="0.25">
      <c r="A96" s="4">
        <f ca="1">IFERROR(__xludf.DUMMYFUNCTION("""COMPUTED_VALUE"""),2093351)</f>
        <v>2093351</v>
      </c>
      <c r="B96" s="19">
        <f ca="1">IFERROR(__xludf.DUMMYFUNCTION("""COMPUTED_VALUE"""),44874)</f>
        <v>44874</v>
      </c>
      <c r="C96" s="4" t="str">
        <f ca="1">IFERROR(__xludf.DUMMYFUNCTION("""COMPUTED_VALUE"""),"Marlene D. Guinto ")</f>
        <v xml:space="preserve">Marlene D. Guinto </v>
      </c>
      <c r="D96" s="4" t="str">
        <f ca="1">IFERROR(__xludf.DUMMYFUNCTION("""COMPUTED_VALUE"""),"Payment of her RIC Allowance for the month of September 2022")</f>
        <v>Payment of her RIC Allowance for the month of September 2022</v>
      </c>
      <c r="E96" s="5">
        <f ca="1">IFERROR(__xludf.DUMMYFUNCTION("""COMPUTED_VALUE"""),3000)</f>
        <v>3000</v>
      </c>
      <c r="F96" s="4" t="str">
        <f ca="1">IFERROR(__xludf.DUMMYFUNCTION("""COMPUTED_VALUE"""),"LBP General")</f>
        <v>LBP General</v>
      </c>
      <c r="G96" s="4"/>
      <c r="H96" s="4"/>
      <c r="I96" s="4"/>
      <c r="J96" s="4"/>
      <c r="K96" s="4"/>
      <c r="L96" s="4"/>
      <c r="M96" s="4"/>
      <c r="N96" s="4"/>
      <c r="O96" s="4"/>
      <c r="P96" s="4"/>
      <c r="Q96" s="4"/>
      <c r="R96" s="4"/>
      <c r="S96" s="19"/>
    </row>
    <row r="97" spans="1:19" ht="34.799999999999997" x14ac:dyDescent="0.25">
      <c r="A97" s="4">
        <f ca="1">IFERROR(__xludf.DUMMYFUNCTION("""COMPUTED_VALUE"""),2093352)</f>
        <v>2093352</v>
      </c>
      <c r="B97" s="19">
        <f ca="1">IFERROR(__xludf.DUMMYFUNCTION("""COMPUTED_VALUE"""),44874)</f>
        <v>44874</v>
      </c>
      <c r="C97" s="4" t="str">
        <f ca="1">IFERROR(__xludf.DUMMYFUNCTION("""COMPUTED_VALUE"""),"Enriquetta Bantugan ")</f>
        <v xml:space="preserve">Enriquetta Bantugan </v>
      </c>
      <c r="D97" s="4" t="str">
        <f ca="1">IFERROR(__xludf.DUMMYFUNCTION("""COMPUTED_VALUE"""),"Payment of her RIC Allowance for the month of September 2022")</f>
        <v>Payment of her RIC Allowance for the month of September 2022</v>
      </c>
      <c r="E97" s="5">
        <f ca="1">IFERROR(__xludf.DUMMYFUNCTION("""COMPUTED_VALUE"""),3000)</f>
        <v>3000</v>
      </c>
      <c r="F97" s="4" t="str">
        <f ca="1">IFERROR(__xludf.DUMMYFUNCTION("""COMPUTED_VALUE"""),"LBP General")</f>
        <v>LBP General</v>
      </c>
      <c r="G97" s="4"/>
      <c r="H97" s="4"/>
      <c r="I97" s="4"/>
      <c r="J97" s="4"/>
      <c r="K97" s="4"/>
      <c r="L97" s="4"/>
      <c r="M97" s="4"/>
      <c r="N97" s="4"/>
      <c r="O97" s="4"/>
      <c r="P97" s="4"/>
      <c r="Q97" s="4"/>
      <c r="R97" s="4"/>
      <c r="S97" s="19"/>
    </row>
    <row r="98" spans="1:19" ht="34.799999999999997" x14ac:dyDescent="0.25">
      <c r="A98" s="4">
        <f ca="1">IFERROR(__xludf.DUMMYFUNCTION("""COMPUTED_VALUE"""),2093353)</f>
        <v>2093353</v>
      </c>
      <c r="B98" s="19">
        <f ca="1">IFERROR(__xludf.DUMMYFUNCTION("""COMPUTED_VALUE"""),44874)</f>
        <v>44874</v>
      </c>
      <c r="C98" s="4" t="str">
        <f ca="1">IFERROR(__xludf.DUMMYFUNCTION("""COMPUTED_VALUE"""),"Abigail B. Estrella ")</f>
        <v xml:space="preserve">Abigail B. Estrella </v>
      </c>
      <c r="D98" s="4" t="str">
        <f ca="1">IFERROR(__xludf.DUMMYFUNCTION("""COMPUTED_VALUE"""),"Payment of her RIC Allowance for the month of September 2022")</f>
        <v>Payment of her RIC Allowance for the month of September 2022</v>
      </c>
      <c r="E98" s="5">
        <f ca="1">IFERROR(__xludf.DUMMYFUNCTION("""COMPUTED_VALUE"""),3000)</f>
        <v>3000</v>
      </c>
      <c r="F98" s="4" t="str">
        <f ca="1">IFERROR(__xludf.DUMMYFUNCTION("""COMPUTED_VALUE"""),"LBP General")</f>
        <v>LBP General</v>
      </c>
      <c r="G98" s="4"/>
      <c r="H98" s="4"/>
      <c r="I98" s="4"/>
      <c r="J98" s="4"/>
      <c r="K98" s="4"/>
      <c r="L98" s="4"/>
      <c r="M98" s="4"/>
      <c r="N98" s="4"/>
      <c r="O98" s="4"/>
      <c r="P98" s="4"/>
      <c r="Q98" s="4"/>
      <c r="R98" s="4"/>
      <c r="S98" s="19"/>
    </row>
    <row r="99" spans="1:19" ht="34.799999999999997" x14ac:dyDescent="0.25">
      <c r="A99" s="4">
        <f ca="1">IFERROR(__xludf.DUMMYFUNCTION("""COMPUTED_VALUE"""),2093354)</f>
        <v>2093354</v>
      </c>
      <c r="B99" s="19">
        <f ca="1">IFERROR(__xludf.DUMMYFUNCTION("""COMPUTED_VALUE"""),44874)</f>
        <v>44874</v>
      </c>
      <c r="C99" s="4" t="str">
        <f ca="1">IFERROR(__xludf.DUMMYFUNCTION("""COMPUTED_VALUE"""),"Aida del Rosario ")</f>
        <v xml:space="preserve">Aida del Rosario </v>
      </c>
      <c r="D99" s="4" t="str">
        <f ca="1">IFERROR(__xludf.DUMMYFUNCTION("""COMPUTED_VALUE"""),"Payment of her RIC Allowance for the month of September 2022")</f>
        <v>Payment of her RIC Allowance for the month of September 2022</v>
      </c>
      <c r="E99" s="5">
        <f ca="1">IFERROR(__xludf.DUMMYFUNCTION("""COMPUTED_VALUE"""),3000)</f>
        <v>3000</v>
      </c>
      <c r="F99" s="4" t="str">
        <f ca="1">IFERROR(__xludf.DUMMYFUNCTION("""COMPUTED_VALUE"""),"LBP General")</f>
        <v>LBP General</v>
      </c>
      <c r="G99" s="4"/>
      <c r="H99" s="4"/>
      <c r="I99" s="4"/>
      <c r="J99" s="4"/>
      <c r="K99" s="4"/>
      <c r="L99" s="4"/>
      <c r="M99" s="4"/>
      <c r="N99" s="4"/>
      <c r="O99" s="4"/>
      <c r="P99" s="4"/>
      <c r="Q99" s="4"/>
      <c r="R99" s="4"/>
      <c r="S99" s="19"/>
    </row>
    <row r="100" spans="1:19" ht="52.2" x14ac:dyDescent="0.25">
      <c r="A100" s="4">
        <f ca="1">IFERROR(__xludf.DUMMYFUNCTION("""COMPUTED_VALUE"""),2093380)</f>
        <v>2093380</v>
      </c>
      <c r="B100" s="19">
        <f ca="1">IFERROR(__xludf.DUMMYFUNCTION("""COMPUTED_VALUE"""),44874)</f>
        <v>44874</v>
      </c>
      <c r="C100" s="4" t="str">
        <f ca="1">IFERROR(__xludf.DUMMYFUNCTION("""COMPUTED_VALUE"""),"Rosalinda Atienza ")</f>
        <v xml:space="preserve">Rosalinda Atienza </v>
      </c>
      <c r="D100" s="4" t="str">
        <f ca="1">IFERROR(__xludf.DUMMYFUNCTION("""COMPUTED_VALUE"""),"Payment of honorarium of Municipal Treasurers for the month of October 2022")</f>
        <v>Payment of honorarium of Municipal Treasurers for the month of October 2022</v>
      </c>
      <c r="E100" s="5">
        <f ca="1">IFERROR(__xludf.DUMMYFUNCTION("""COMPUTED_VALUE"""),19517)</f>
        <v>19517</v>
      </c>
      <c r="F100" s="4" t="str">
        <f ca="1">IFERROR(__xludf.DUMMYFUNCTION("""COMPUTED_VALUE"""),"LBP General")</f>
        <v>LBP General</v>
      </c>
      <c r="G100" s="4"/>
      <c r="H100" s="4"/>
      <c r="I100" s="4"/>
      <c r="J100" s="4"/>
      <c r="K100" s="4"/>
      <c r="L100" s="4"/>
      <c r="M100" s="4"/>
      <c r="N100" s="4"/>
      <c r="O100" s="4"/>
      <c r="P100" s="4"/>
      <c r="Q100" s="4"/>
      <c r="R100" s="4"/>
      <c r="S100" s="19"/>
    </row>
    <row r="101" spans="1:19" ht="52.2" x14ac:dyDescent="0.25">
      <c r="A101" s="4">
        <f ca="1">IFERROR(__xludf.DUMMYFUNCTION("""COMPUTED_VALUE"""),2093384)</f>
        <v>2093384</v>
      </c>
      <c r="B101" s="19">
        <f ca="1">IFERROR(__xludf.DUMMYFUNCTION("""COMPUTED_VALUE"""),44874)</f>
        <v>44874</v>
      </c>
      <c r="C101" s="4" t="str">
        <f ca="1">IFERROR(__xludf.DUMMYFUNCTION("""COMPUTED_VALUE"""),"Erwin Villapando ")</f>
        <v xml:space="preserve">Erwin Villapando </v>
      </c>
      <c r="D101" s="4" t="str">
        <f ca="1">IFERROR(__xludf.DUMMYFUNCTION("""COMPUTED_VALUE"""),"Payment of honorarium of Municipal Treasurers for the month of October 2022")</f>
        <v>Payment of honorarium of Municipal Treasurers for the month of October 2022</v>
      </c>
      <c r="E101" s="5">
        <f ca="1">IFERROR(__xludf.DUMMYFUNCTION("""COMPUTED_VALUE"""),25821.47)</f>
        <v>25821.47</v>
      </c>
      <c r="F101" s="4" t="str">
        <f ca="1">IFERROR(__xludf.DUMMYFUNCTION("""COMPUTED_VALUE"""),"LBP General")</f>
        <v>LBP General</v>
      </c>
      <c r="G101" s="4"/>
      <c r="H101" s="4"/>
      <c r="I101" s="4"/>
      <c r="J101" s="4"/>
      <c r="K101" s="4"/>
      <c r="L101" s="4"/>
      <c r="M101" s="4"/>
      <c r="N101" s="4"/>
      <c r="O101" s="4"/>
      <c r="P101" s="4"/>
      <c r="Q101" s="4"/>
      <c r="R101" s="4"/>
      <c r="S101" s="19"/>
    </row>
    <row r="102" spans="1:19" ht="52.2" x14ac:dyDescent="0.25">
      <c r="A102" s="4">
        <f ca="1">IFERROR(__xludf.DUMMYFUNCTION("""COMPUTED_VALUE"""),2093385)</f>
        <v>2093385</v>
      </c>
      <c r="B102" s="19">
        <f ca="1">IFERROR(__xludf.DUMMYFUNCTION("""COMPUTED_VALUE"""),44874)</f>
        <v>44874</v>
      </c>
      <c r="C102" s="4" t="str">
        <f ca="1">IFERROR(__xludf.DUMMYFUNCTION("""COMPUTED_VALUE"""),"Melba San Juan ")</f>
        <v xml:space="preserve">Melba San Juan </v>
      </c>
      <c r="D102" s="4" t="str">
        <f ca="1">IFERROR(__xludf.DUMMYFUNCTION("""COMPUTED_VALUE"""),"Payment of honorarium of Municipal Treasurers for the month of October 2022")</f>
        <v>Payment of honorarium of Municipal Treasurers for the month of October 2022</v>
      </c>
      <c r="E102" s="5">
        <f ca="1">IFERROR(__xludf.DUMMYFUNCTION("""COMPUTED_VALUE"""),26514.47)</f>
        <v>26514.47</v>
      </c>
      <c r="F102" s="4" t="str">
        <f ca="1">IFERROR(__xludf.DUMMYFUNCTION("""COMPUTED_VALUE"""),"LBP General")</f>
        <v>LBP General</v>
      </c>
      <c r="G102" s="4"/>
      <c r="H102" s="4"/>
      <c r="I102" s="4"/>
      <c r="J102" s="4"/>
      <c r="K102" s="4"/>
      <c r="L102" s="4"/>
      <c r="M102" s="4"/>
      <c r="N102" s="4"/>
      <c r="O102" s="4"/>
      <c r="P102" s="4"/>
      <c r="Q102" s="4"/>
      <c r="R102" s="4"/>
      <c r="S102" s="19"/>
    </row>
    <row r="103" spans="1:19" ht="52.2" x14ac:dyDescent="0.25">
      <c r="A103" s="4">
        <f ca="1">IFERROR(__xludf.DUMMYFUNCTION("""COMPUTED_VALUE"""),2093386)</f>
        <v>2093386</v>
      </c>
      <c r="B103" s="19">
        <f ca="1">IFERROR(__xludf.DUMMYFUNCTION("""COMPUTED_VALUE"""),44874)</f>
        <v>44874</v>
      </c>
      <c r="C103" s="4" t="str">
        <f ca="1">IFERROR(__xludf.DUMMYFUNCTION("""COMPUTED_VALUE"""),"Vivan Q. Benamir ")</f>
        <v xml:space="preserve">Vivan Q. Benamir </v>
      </c>
      <c r="D103" s="4" t="str">
        <f ca="1">IFERROR(__xludf.DUMMYFUNCTION("""COMPUTED_VALUE"""),"Payment of honorarium of Municipal Treasurers for the month of October 2022")</f>
        <v>Payment of honorarium of Municipal Treasurers for the month of October 2022</v>
      </c>
      <c r="E103" s="5">
        <f ca="1">IFERROR(__xludf.DUMMYFUNCTION("""COMPUTED_VALUE"""),12232)</f>
        <v>12232</v>
      </c>
      <c r="F103" s="4" t="str">
        <f ca="1">IFERROR(__xludf.DUMMYFUNCTION("""COMPUTED_VALUE"""),"LBP General")</f>
        <v>LBP General</v>
      </c>
      <c r="G103" s="4"/>
      <c r="H103" s="4"/>
      <c r="I103" s="4"/>
      <c r="J103" s="4"/>
      <c r="K103" s="4"/>
      <c r="L103" s="4"/>
      <c r="M103" s="4"/>
      <c r="N103" s="4"/>
      <c r="O103" s="4"/>
      <c r="P103" s="4"/>
      <c r="Q103" s="4"/>
      <c r="R103" s="4"/>
      <c r="S103" s="19"/>
    </row>
    <row r="104" spans="1:19" ht="34.799999999999997" x14ac:dyDescent="0.25">
      <c r="A104" s="4">
        <f ca="1">IFERROR(__xludf.DUMMYFUNCTION("""COMPUTED_VALUE"""),2093410)</f>
        <v>2093410</v>
      </c>
      <c r="B104" s="19">
        <f ca="1">IFERROR(__xludf.DUMMYFUNCTION("""COMPUTED_VALUE"""),44875)</f>
        <v>44875</v>
      </c>
      <c r="C104" s="4" t="str">
        <f ca="1">IFERROR(__xludf.DUMMYFUNCTION("""COMPUTED_VALUE"""),"Dominador C. Masangkay ")</f>
        <v xml:space="preserve">Dominador C. Masangkay </v>
      </c>
      <c r="D104" s="4" t="str">
        <f ca="1">IFERROR(__xludf.DUMMYFUNCTION("""COMPUTED_VALUE"""),"Payment of allowance for the month of October 2022")</f>
        <v>Payment of allowance for the month of October 2022</v>
      </c>
      <c r="E104" s="5">
        <f ca="1">IFERROR(__xludf.DUMMYFUNCTION("""COMPUTED_VALUE"""),5000)</f>
        <v>5000</v>
      </c>
      <c r="F104" s="4" t="str">
        <f ca="1">IFERROR(__xludf.DUMMYFUNCTION("""COMPUTED_VALUE"""),"LBP General")</f>
        <v>LBP General</v>
      </c>
      <c r="G104" s="4"/>
      <c r="H104" s="4"/>
      <c r="I104" s="4"/>
      <c r="J104" s="4"/>
      <c r="K104" s="4"/>
      <c r="L104" s="4"/>
      <c r="M104" s="4"/>
      <c r="N104" s="4"/>
      <c r="O104" s="4"/>
      <c r="P104" s="4"/>
      <c r="Q104" s="4"/>
      <c r="R104" s="4"/>
      <c r="S104" s="19"/>
    </row>
    <row r="105" spans="1:19" ht="34.799999999999997" x14ac:dyDescent="0.25">
      <c r="A105" s="4">
        <f ca="1">IFERROR(__xludf.DUMMYFUNCTION("""COMPUTED_VALUE"""),2093419)</f>
        <v>2093419</v>
      </c>
      <c r="B105" s="19">
        <f ca="1">IFERROR(__xludf.DUMMYFUNCTION("""COMPUTED_VALUE"""),44875)</f>
        <v>44875</v>
      </c>
      <c r="C105" s="4" t="str">
        <f ca="1">IFERROR(__xludf.DUMMYFUNCTION("""COMPUTED_VALUE"""),"Jeanalyn O. Bantugan ")</f>
        <v xml:space="preserve">Jeanalyn O. Bantugan </v>
      </c>
      <c r="D105" s="4" t="str">
        <f ca="1">IFERROR(__xludf.DUMMYFUNCTION("""COMPUTED_VALUE"""),"Payment of her RIC Allowance for the month of September 2022")</f>
        <v>Payment of her RIC Allowance for the month of September 2022</v>
      </c>
      <c r="E105" s="5">
        <f ca="1">IFERROR(__xludf.DUMMYFUNCTION("""COMPUTED_VALUE"""),3000)</f>
        <v>3000</v>
      </c>
      <c r="F105" s="4" t="str">
        <f ca="1">IFERROR(__xludf.DUMMYFUNCTION("""COMPUTED_VALUE"""),"LBP General")</f>
        <v>LBP General</v>
      </c>
      <c r="G105" s="4"/>
      <c r="H105" s="4"/>
      <c r="I105" s="4"/>
      <c r="J105" s="4"/>
      <c r="K105" s="4"/>
      <c r="L105" s="4"/>
      <c r="M105" s="4"/>
      <c r="N105" s="4"/>
      <c r="O105" s="4"/>
      <c r="P105" s="4"/>
      <c r="Q105" s="4"/>
      <c r="R105" s="4"/>
      <c r="S105" s="19"/>
    </row>
    <row r="106" spans="1:19" ht="34.799999999999997" x14ac:dyDescent="0.25">
      <c r="A106" s="4">
        <f ca="1">IFERROR(__xludf.DUMMYFUNCTION("""COMPUTED_VALUE"""),2093453)</f>
        <v>2093453</v>
      </c>
      <c r="B106" s="19">
        <f ca="1">IFERROR(__xludf.DUMMYFUNCTION("""COMPUTED_VALUE"""),44875)</f>
        <v>44875</v>
      </c>
      <c r="C106" s="4" t="str">
        <f ca="1">IFERROR(__xludf.DUMMYFUNCTION("""COMPUTED_VALUE"""),"Patient Care Corporation ")</f>
        <v xml:space="preserve">Patient Care Corporation </v>
      </c>
      <c r="D106" s="4" t="str">
        <f ca="1">IFERROR(__xludf.DUMMYFUNCTION("""COMPUTED_VALUE"""),"Payment of Flat Panel Detector for the use of BCMH")</f>
        <v>Payment of Flat Panel Detector for the use of BCMH</v>
      </c>
      <c r="E106" s="5">
        <f ca="1">IFERROR(__xludf.DUMMYFUNCTION("""COMPUTED_VALUE"""),1873928.57)</f>
        <v>1873928.57</v>
      </c>
      <c r="F106" s="4" t="str">
        <f ca="1">IFERROR(__xludf.DUMMYFUNCTION("""COMPUTED_VALUE"""),"LBP General")</f>
        <v>LBP General</v>
      </c>
      <c r="G106" s="4"/>
      <c r="H106" s="4"/>
      <c r="I106" s="4"/>
      <c r="J106" s="4"/>
      <c r="K106" s="4"/>
      <c r="L106" s="4"/>
      <c r="M106" s="4"/>
      <c r="N106" s="4"/>
      <c r="O106" s="4"/>
      <c r="P106" s="4"/>
      <c r="Q106" s="4"/>
      <c r="R106" s="4"/>
      <c r="S106" s="19"/>
    </row>
    <row r="107" spans="1:19" ht="52.2" x14ac:dyDescent="0.25">
      <c r="A107" s="4">
        <f ca="1">IFERROR(__xludf.DUMMYFUNCTION("""COMPUTED_VALUE"""),2093454)</f>
        <v>2093454</v>
      </c>
      <c r="B107" s="19">
        <f ca="1">IFERROR(__xludf.DUMMYFUNCTION("""COMPUTED_VALUE"""),44875)</f>
        <v>44875</v>
      </c>
      <c r="C107" s="4" t="str">
        <f ca="1">IFERROR(__xludf.DUMMYFUNCTION("""COMPUTED_VALUE"""),"PLDT Inc. ")</f>
        <v xml:space="preserve">PLDT Inc. </v>
      </c>
      <c r="D107" s="4" t="str">
        <f ca="1">IFERROR(__xludf.DUMMYFUNCTION("""COMPUTED_VALUE"""),"Payment of telephone bill for the period of September 21, 2022 to October 20, 2022")</f>
        <v>Payment of telephone bill for the period of September 21, 2022 to October 20, 2022</v>
      </c>
      <c r="E107" s="5">
        <f ca="1">IFERROR(__xludf.DUMMYFUNCTION("""COMPUTED_VALUE"""),891.33)</f>
        <v>891.33</v>
      </c>
      <c r="F107" s="4" t="str">
        <f ca="1">IFERROR(__xludf.DUMMYFUNCTION("""COMPUTED_VALUE"""),"LBP General")</f>
        <v>LBP General</v>
      </c>
      <c r="G107" s="4"/>
      <c r="H107" s="4"/>
      <c r="I107" s="4"/>
      <c r="J107" s="4"/>
      <c r="K107" s="4"/>
      <c r="L107" s="4"/>
      <c r="M107" s="4"/>
      <c r="N107" s="4"/>
      <c r="O107" s="4"/>
      <c r="P107" s="4"/>
      <c r="Q107" s="4"/>
      <c r="R107" s="4"/>
      <c r="S107" s="19"/>
    </row>
    <row r="108" spans="1:19" ht="34.799999999999997" x14ac:dyDescent="0.25">
      <c r="A108" s="4">
        <f ca="1">IFERROR(__xludf.DUMMYFUNCTION("""COMPUTED_VALUE"""),2093455)</f>
        <v>2093455</v>
      </c>
      <c r="B108" s="19">
        <f ca="1">IFERROR(__xludf.DUMMYFUNCTION("""COMPUTED_VALUE"""),44875)</f>
        <v>44875</v>
      </c>
      <c r="C108" s="4" t="str">
        <f ca="1">IFERROR(__xludf.DUMMYFUNCTION("""COMPUTED_VALUE"""),"Anabelle Claravall ")</f>
        <v xml:space="preserve">Anabelle Claravall </v>
      </c>
      <c r="D108" s="4" t="str">
        <f ca="1">IFERROR(__xludf.DUMMYFUNCTION("""COMPUTED_VALUE"""),"Allowance for the month of October 2022")</f>
        <v>Allowance for the month of October 2022</v>
      </c>
      <c r="E108" s="5">
        <f ca="1">IFERROR(__xludf.DUMMYFUNCTION("""COMPUTED_VALUE"""),6000)</f>
        <v>6000</v>
      </c>
      <c r="F108" s="4" t="str">
        <f ca="1">IFERROR(__xludf.DUMMYFUNCTION("""COMPUTED_VALUE"""),"LBP General")</f>
        <v>LBP General</v>
      </c>
      <c r="G108" s="4"/>
      <c r="H108" s="4"/>
      <c r="I108" s="4"/>
      <c r="J108" s="4"/>
      <c r="K108" s="4"/>
      <c r="L108" s="4"/>
      <c r="M108" s="4"/>
      <c r="N108" s="4"/>
      <c r="O108" s="4"/>
      <c r="P108" s="4"/>
      <c r="Q108" s="4"/>
      <c r="R108" s="4"/>
      <c r="S108" s="19"/>
    </row>
    <row r="109" spans="1:19" ht="34.799999999999997" x14ac:dyDescent="0.25">
      <c r="A109" s="4">
        <f ca="1">IFERROR(__xludf.DUMMYFUNCTION("""COMPUTED_VALUE"""),2093456)</f>
        <v>2093456</v>
      </c>
      <c r="B109" s="19">
        <f ca="1">IFERROR(__xludf.DUMMYFUNCTION("""COMPUTED_VALUE"""),44875)</f>
        <v>44875</v>
      </c>
      <c r="C109" s="4" t="str">
        <f ca="1">IFERROR(__xludf.DUMMYFUNCTION("""COMPUTED_VALUE"""),"Jose Colminero ")</f>
        <v xml:space="preserve">Jose Colminero </v>
      </c>
      <c r="D109" s="4" t="str">
        <f ca="1">IFERROR(__xludf.DUMMYFUNCTION("""COMPUTED_VALUE"""),"Allowance for the month of October 2022")</f>
        <v>Allowance for the month of October 2022</v>
      </c>
      <c r="E109" s="5">
        <f ca="1">IFERROR(__xludf.DUMMYFUNCTION("""COMPUTED_VALUE"""),5000)</f>
        <v>5000</v>
      </c>
      <c r="F109" s="4" t="str">
        <f ca="1">IFERROR(__xludf.DUMMYFUNCTION("""COMPUTED_VALUE"""),"LBP General")</f>
        <v>LBP General</v>
      </c>
      <c r="G109" s="4"/>
      <c r="H109" s="4"/>
      <c r="I109" s="4"/>
      <c r="J109" s="4"/>
      <c r="K109" s="4"/>
      <c r="L109" s="4"/>
      <c r="M109" s="4"/>
      <c r="N109" s="4"/>
      <c r="O109" s="4"/>
      <c r="P109" s="4"/>
      <c r="Q109" s="4"/>
      <c r="R109" s="4"/>
      <c r="S109" s="19"/>
    </row>
    <row r="110" spans="1:19" ht="34.799999999999997" x14ac:dyDescent="0.25">
      <c r="A110" s="4">
        <f ca="1">IFERROR(__xludf.DUMMYFUNCTION("""COMPUTED_VALUE"""),2093457)</f>
        <v>2093457</v>
      </c>
      <c r="B110" s="19">
        <f ca="1">IFERROR(__xludf.DUMMYFUNCTION("""COMPUTED_VALUE"""),44875)</f>
        <v>44875</v>
      </c>
      <c r="C110" s="4" t="str">
        <f ca="1">IFERROR(__xludf.DUMMYFUNCTION("""COMPUTED_VALUE"""),"Imelda Santiago ")</f>
        <v xml:space="preserve">Imelda Santiago </v>
      </c>
      <c r="D110" s="4" t="str">
        <f ca="1">IFERROR(__xludf.DUMMYFUNCTION("""COMPUTED_VALUE"""),"Allowance for the month of October 2022")</f>
        <v>Allowance for the month of October 2022</v>
      </c>
      <c r="E110" s="5">
        <f ca="1">IFERROR(__xludf.DUMMYFUNCTION("""COMPUTED_VALUE"""),6000)</f>
        <v>6000</v>
      </c>
      <c r="F110" s="4" t="str">
        <f ca="1">IFERROR(__xludf.DUMMYFUNCTION("""COMPUTED_VALUE"""),"LBP General")</f>
        <v>LBP General</v>
      </c>
      <c r="G110" s="4"/>
      <c r="H110" s="4"/>
      <c r="I110" s="4"/>
      <c r="J110" s="4"/>
      <c r="K110" s="4"/>
      <c r="L110" s="4"/>
      <c r="M110" s="4"/>
      <c r="N110" s="4"/>
      <c r="O110" s="4"/>
      <c r="P110" s="4"/>
      <c r="Q110" s="4"/>
      <c r="R110" s="4"/>
      <c r="S110" s="19"/>
    </row>
    <row r="111" spans="1:19" ht="34.799999999999997" x14ac:dyDescent="0.25">
      <c r="A111" s="4">
        <f ca="1">IFERROR(__xludf.DUMMYFUNCTION("""COMPUTED_VALUE"""),2093458)</f>
        <v>2093458</v>
      </c>
      <c r="B111" s="19">
        <f ca="1">IFERROR(__xludf.DUMMYFUNCTION("""COMPUTED_VALUE"""),44875)</f>
        <v>44875</v>
      </c>
      <c r="C111" s="4" t="str">
        <f ca="1">IFERROR(__xludf.DUMMYFUNCTION("""COMPUTED_VALUE"""),"Alfredo Manasan ")</f>
        <v xml:space="preserve">Alfredo Manasan </v>
      </c>
      <c r="D111" s="4" t="str">
        <f ca="1">IFERROR(__xludf.DUMMYFUNCTION("""COMPUTED_VALUE"""),"Allowance for the month of October 2022")</f>
        <v>Allowance for the month of October 2022</v>
      </c>
      <c r="E111" s="5">
        <f ca="1">IFERROR(__xludf.DUMMYFUNCTION("""COMPUTED_VALUE"""),6000)</f>
        <v>6000</v>
      </c>
      <c r="F111" s="4" t="str">
        <f ca="1">IFERROR(__xludf.DUMMYFUNCTION("""COMPUTED_VALUE"""),"LBP General")</f>
        <v>LBP General</v>
      </c>
      <c r="G111" s="4"/>
      <c r="H111" s="4"/>
      <c r="I111" s="4"/>
      <c r="J111" s="4"/>
      <c r="K111" s="4"/>
      <c r="L111" s="4"/>
      <c r="M111" s="4"/>
      <c r="N111" s="4"/>
      <c r="O111" s="4"/>
      <c r="P111" s="4"/>
      <c r="Q111" s="4"/>
      <c r="R111" s="4"/>
      <c r="S111" s="19"/>
    </row>
    <row r="112" spans="1:19" ht="17.399999999999999" x14ac:dyDescent="0.25">
      <c r="A112" s="4">
        <f ca="1">IFERROR(__xludf.DUMMYFUNCTION("""COMPUTED_VALUE"""),2093459)</f>
        <v>2093459</v>
      </c>
      <c r="B112" s="19">
        <f ca="1">IFERROR(__xludf.DUMMYFUNCTION("""COMPUTED_VALUE"""),44875)</f>
        <v>44875</v>
      </c>
      <c r="C112" s="4" t="str">
        <f ca="1">IFERROR(__xludf.DUMMYFUNCTION("""COMPUTED_VALUE"""),"Marian Diwa ")</f>
        <v xml:space="preserve">Marian Diwa </v>
      </c>
      <c r="D112" s="4" t="str">
        <f ca="1">IFERROR(__xludf.DUMMYFUNCTION("""COMPUTED_VALUE"""),"Allowance for the month of October")</f>
        <v>Allowance for the month of October</v>
      </c>
      <c r="E112" s="5">
        <f ca="1">IFERROR(__xludf.DUMMYFUNCTION("""COMPUTED_VALUE"""),6000)</f>
        <v>6000</v>
      </c>
      <c r="F112" s="4" t="str">
        <f ca="1">IFERROR(__xludf.DUMMYFUNCTION("""COMPUTED_VALUE"""),"LBP General")</f>
        <v>LBP General</v>
      </c>
      <c r="G112" s="4"/>
      <c r="H112" s="4"/>
      <c r="I112" s="4"/>
      <c r="J112" s="4"/>
      <c r="K112" s="4"/>
      <c r="L112" s="4"/>
      <c r="M112" s="4"/>
      <c r="N112" s="4"/>
      <c r="O112" s="4"/>
      <c r="P112" s="4"/>
      <c r="Q112" s="4"/>
      <c r="R112" s="4"/>
      <c r="S112" s="19"/>
    </row>
    <row r="113" spans="1:19" ht="17.399999999999999" x14ac:dyDescent="0.25">
      <c r="A113" s="4">
        <f ca="1">IFERROR(__xludf.DUMMYFUNCTION("""COMPUTED_VALUE"""),2093460)</f>
        <v>2093460</v>
      </c>
      <c r="B113" s="19">
        <f ca="1">IFERROR(__xludf.DUMMYFUNCTION("""COMPUTED_VALUE"""),44875)</f>
        <v>44875</v>
      </c>
      <c r="C113" s="4" t="str">
        <f ca="1">IFERROR(__xludf.DUMMYFUNCTION("""COMPUTED_VALUE"""),"Judita Tungol ")</f>
        <v xml:space="preserve">Judita Tungol </v>
      </c>
      <c r="D113" s="4" t="str">
        <f ca="1">IFERROR(__xludf.DUMMYFUNCTION("""COMPUTED_VALUE"""),"Allowance for the month of October")</f>
        <v>Allowance for the month of October</v>
      </c>
      <c r="E113" s="5">
        <f ca="1">IFERROR(__xludf.DUMMYFUNCTION("""COMPUTED_VALUE"""),10000)</f>
        <v>10000</v>
      </c>
      <c r="F113" s="4" t="str">
        <f ca="1">IFERROR(__xludf.DUMMYFUNCTION("""COMPUTED_VALUE"""),"LBP General")</f>
        <v>LBP General</v>
      </c>
      <c r="G113" s="4"/>
      <c r="H113" s="4"/>
      <c r="I113" s="4"/>
      <c r="J113" s="4"/>
      <c r="K113" s="4"/>
      <c r="L113" s="4"/>
      <c r="M113" s="4"/>
      <c r="N113" s="4"/>
      <c r="O113" s="4"/>
      <c r="P113" s="4"/>
      <c r="Q113" s="4"/>
      <c r="R113" s="4"/>
      <c r="S113" s="19"/>
    </row>
    <row r="114" spans="1:19" ht="34.799999999999997" x14ac:dyDescent="0.25">
      <c r="A114" s="4">
        <f ca="1">IFERROR(__xludf.DUMMYFUNCTION("""COMPUTED_VALUE"""),2093485)</f>
        <v>2093485</v>
      </c>
      <c r="B114" s="19">
        <f ca="1">IFERROR(__xludf.DUMMYFUNCTION("""COMPUTED_VALUE"""),44875)</f>
        <v>44875</v>
      </c>
      <c r="C114" s="4" t="str">
        <f ca="1">IFERROR(__xludf.DUMMYFUNCTION("""COMPUTED_VALUE"""),"Ma. Teresa Pagtalunan-Mauleon ")</f>
        <v xml:space="preserve">Ma. Teresa Pagtalunan-Mauleon </v>
      </c>
      <c r="D114" s="4" t="str">
        <f ca="1">IFERROR(__xludf.DUMMYFUNCTION("""COMPUTED_VALUE"""),"Payment of allowance for the month of October 2022")</f>
        <v>Payment of allowance for the month of October 2022</v>
      </c>
      <c r="E114" s="5">
        <f ca="1">IFERROR(__xludf.DUMMYFUNCTION("""COMPUTED_VALUE"""),20000)</f>
        <v>20000</v>
      </c>
      <c r="F114" s="4" t="str">
        <f ca="1">IFERROR(__xludf.DUMMYFUNCTION("""COMPUTED_VALUE"""),"LBP General")</f>
        <v>LBP General</v>
      </c>
      <c r="G114" s="4"/>
      <c r="H114" s="4"/>
      <c r="I114" s="4"/>
      <c r="J114" s="4"/>
      <c r="K114" s="4"/>
      <c r="L114" s="4"/>
      <c r="M114" s="4"/>
      <c r="N114" s="4"/>
      <c r="O114" s="4"/>
      <c r="P114" s="4"/>
      <c r="Q114" s="4"/>
      <c r="R114" s="4"/>
      <c r="S114" s="19"/>
    </row>
    <row r="115" spans="1:19" ht="34.799999999999997" x14ac:dyDescent="0.25">
      <c r="A115" s="4">
        <f ca="1">IFERROR(__xludf.DUMMYFUNCTION("""COMPUTED_VALUE"""),2093486)</f>
        <v>2093486</v>
      </c>
      <c r="B115" s="19">
        <f ca="1">IFERROR(__xludf.DUMMYFUNCTION("""COMPUTED_VALUE"""),44875)</f>
        <v>44875</v>
      </c>
      <c r="C115" s="4" t="str">
        <f ca="1">IFERROR(__xludf.DUMMYFUNCTION("""COMPUTED_VALUE"""),"Charina P. Pascua ")</f>
        <v xml:space="preserve">Charina P. Pascua </v>
      </c>
      <c r="D115" s="4" t="str">
        <f ca="1">IFERROR(__xludf.DUMMYFUNCTION("""COMPUTED_VALUE"""),"Payment of allowance for the month of October 2022")</f>
        <v>Payment of allowance for the month of October 2022</v>
      </c>
      <c r="E115" s="5">
        <f ca="1">IFERROR(__xludf.DUMMYFUNCTION("""COMPUTED_VALUE"""),10000)</f>
        <v>10000</v>
      </c>
      <c r="F115" s="4" t="str">
        <f ca="1">IFERROR(__xludf.DUMMYFUNCTION("""COMPUTED_VALUE"""),"LBP General")</f>
        <v>LBP General</v>
      </c>
      <c r="G115" s="4"/>
      <c r="H115" s="4"/>
      <c r="I115" s="4"/>
      <c r="J115" s="4"/>
      <c r="K115" s="4"/>
      <c r="L115" s="4"/>
      <c r="M115" s="4"/>
      <c r="N115" s="4"/>
      <c r="O115" s="4"/>
      <c r="P115" s="4"/>
      <c r="Q115" s="4"/>
      <c r="R115" s="4"/>
      <c r="S115" s="19"/>
    </row>
    <row r="116" spans="1:19" ht="34.799999999999997" x14ac:dyDescent="0.25">
      <c r="A116" s="4">
        <f ca="1">IFERROR(__xludf.DUMMYFUNCTION("""COMPUTED_VALUE"""),2093487)</f>
        <v>2093487</v>
      </c>
      <c r="B116" s="19">
        <f ca="1">IFERROR(__xludf.DUMMYFUNCTION("""COMPUTED_VALUE"""),44875)</f>
        <v>44875</v>
      </c>
      <c r="C116" s="4" t="str">
        <f ca="1">IFERROR(__xludf.DUMMYFUNCTION("""COMPUTED_VALUE"""),"Suzette C. Sebastian ")</f>
        <v xml:space="preserve">Suzette C. Sebastian </v>
      </c>
      <c r="D116" s="4" t="str">
        <f ca="1">IFERROR(__xludf.DUMMYFUNCTION("""COMPUTED_VALUE"""),"Payment of allowance for the month of October 2022")</f>
        <v>Payment of allowance for the month of October 2022</v>
      </c>
      <c r="E116" s="5">
        <f ca="1">IFERROR(__xludf.DUMMYFUNCTION("""COMPUTED_VALUE"""),5000)</f>
        <v>5000</v>
      </c>
      <c r="F116" s="4" t="str">
        <f ca="1">IFERROR(__xludf.DUMMYFUNCTION("""COMPUTED_VALUE"""),"LBP General")</f>
        <v>LBP General</v>
      </c>
      <c r="G116" s="4"/>
      <c r="H116" s="4"/>
      <c r="I116" s="4"/>
      <c r="J116" s="4"/>
      <c r="K116" s="4"/>
      <c r="L116" s="4"/>
      <c r="M116" s="4"/>
      <c r="N116" s="4"/>
      <c r="O116" s="4"/>
      <c r="P116" s="4"/>
      <c r="Q116" s="4"/>
      <c r="R116" s="4"/>
      <c r="S116" s="19"/>
    </row>
    <row r="117" spans="1:19" ht="34.799999999999997" x14ac:dyDescent="0.25">
      <c r="A117" s="4">
        <f ca="1">IFERROR(__xludf.DUMMYFUNCTION("""COMPUTED_VALUE"""),2093488)</f>
        <v>2093488</v>
      </c>
      <c r="B117" s="19">
        <f ca="1">IFERROR(__xludf.DUMMYFUNCTION("""COMPUTED_VALUE"""),44875)</f>
        <v>44875</v>
      </c>
      <c r="C117" s="4" t="str">
        <f ca="1">IFERROR(__xludf.DUMMYFUNCTION("""COMPUTED_VALUE"""),"Wimbek Ferekus S. Tajonera ")</f>
        <v xml:space="preserve">Wimbek Ferekus S. Tajonera </v>
      </c>
      <c r="D117" s="4" t="str">
        <f ca="1">IFERROR(__xludf.DUMMYFUNCTION("""COMPUTED_VALUE"""),"Payment of allowance for the month of October 2022")</f>
        <v>Payment of allowance for the month of October 2022</v>
      </c>
      <c r="E117" s="5">
        <f ca="1">IFERROR(__xludf.DUMMYFUNCTION("""COMPUTED_VALUE"""),5000)</f>
        <v>5000</v>
      </c>
      <c r="F117" s="4" t="str">
        <f ca="1">IFERROR(__xludf.DUMMYFUNCTION("""COMPUTED_VALUE"""),"LBP General")</f>
        <v>LBP General</v>
      </c>
      <c r="G117" s="4"/>
      <c r="H117" s="4"/>
      <c r="I117" s="4"/>
      <c r="J117" s="4"/>
      <c r="K117" s="4"/>
      <c r="L117" s="4"/>
      <c r="M117" s="4"/>
      <c r="N117" s="4"/>
      <c r="O117" s="4"/>
      <c r="P117" s="4"/>
      <c r="Q117" s="4"/>
      <c r="R117" s="4"/>
      <c r="S117" s="19"/>
    </row>
    <row r="118" spans="1:19" ht="34.799999999999997" x14ac:dyDescent="0.25">
      <c r="A118" s="4">
        <f ca="1">IFERROR(__xludf.DUMMYFUNCTION("""COMPUTED_VALUE"""),2093489)</f>
        <v>2093489</v>
      </c>
      <c r="B118" s="19">
        <f ca="1">IFERROR(__xludf.DUMMYFUNCTION("""COMPUTED_VALUE"""),44875)</f>
        <v>44875</v>
      </c>
      <c r="C118" s="4" t="str">
        <f ca="1">IFERROR(__xludf.DUMMYFUNCTION("""COMPUTED_VALUE"""),"Keith S. Marcelo ")</f>
        <v xml:space="preserve">Keith S. Marcelo </v>
      </c>
      <c r="D118" s="4" t="str">
        <f ca="1">IFERROR(__xludf.DUMMYFUNCTION("""COMPUTED_VALUE"""),"Payment of allowance for the month of October 2022")</f>
        <v>Payment of allowance for the month of October 2022</v>
      </c>
      <c r="E118" s="5">
        <f ca="1">IFERROR(__xludf.DUMMYFUNCTION("""COMPUTED_VALUE"""),3000)</f>
        <v>3000</v>
      </c>
      <c r="F118" s="4" t="str">
        <f ca="1">IFERROR(__xludf.DUMMYFUNCTION("""COMPUTED_VALUE"""),"LBP General")</f>
        <v>LBP General</v>
      </c>
      <c r="G118" s="4"/>
      <c r="H118" s="4"/>
      <c r="I118" s="4"/>
      <c r="J118" s="4"/>
      <c r="K118" s="4"/>
      <c r="L118" s="4"/>
      <c r="M118" s="4"/>
      <c r="N118" s="4"/>
      <c r="O118" s="4"/>
      <c r="P118" s="4"/>
      <c r="Q118" s="4"/>
      <c r="R118" s="4"/>
      <c r="S118" s="19"/>
    </row>
    <row r="119" spans="1:19" ht="34.799999999999997" x14ac:dyDescent="0.25">
      <c r="A119" s="4">
        <f ca="1">IFERROR(__xludf.DUMMYFUNCTION("""COMPUTED_VALUE"""),2093490)</f>
        <v>2093490</v>
      </c>
      <c r="B119" s="19">
        <f ca="1">IFERROR(__xludf.DUMMYFUNCTION("""COMPUTED_VALUE"""),44875)</f>
        <v>44875</v>
      </c>
      <c r="C119" s="4" t="str">
        <f ca="1">IFERROR(__xludf.DUMMYFUNCTION("""COMPUTED_VALUE"""),"Damaso P. Asuncion Jr. ")</f>
        <v xml:space="preserve">Damaso P. Asuncion Jr. </v>
      </c>
      <c r="D119" s="4" t="str">
        <f ca="1">IFERROR(__xludf.DUMMYFUNCTION("""COMPUTED_VALUE"""),"Payment of allowance for the month of October 2022")</f>
        <v>Payment of allowance for the month of October 2022</v>
      </c>
      <c r="E119" s="5">
        <f ca="1">IFERROR(__xludf.DUMMYFUNCTION("""COMPUTED_VALUE"""),15000)</f>
        <v>15000</v>
      </c>
      <c r="F119" s="4" t="str">
        <f ca="1">IFERROR(__xludf.DUMMYFUNCTION("""COMPUTED_VALUE"""),"LBP General")</f>
        <v>LBP General</v>
      </c>
      <c r="G119" s="4"/>
      <c r="H119" s="4"/>
      <c r="I119" s="4"/>
      <c r="J119" s="4"/>
      <c r="K119" s="4"/>
      <c r="L119" s="4"/>
      <c r="M119" s="4"/>
      <c r="N119" s="4"/>
      <c r="O119" s="4"/>
      <c r="P119" s="4"/>
      <c r="Q119" s="4"/>
      <c r="R119" s="4"/>
      <c r="S119" s="19"/>
    </row>
    <row r="120" spans="1:19" ht="34.799999999999997" x14ac:dyDescent="0.25">
      <c r="A120" s="4">
        <f ca="1">IFERROR(__xludf.DUMMYFUNCTION("""COMPUTED_VALUE"""),2093491)</f>
        <v>2093491</v>
      </c>
      <c r="B120" s="19">
        <f ca="1">IFERROR(__xludf.DUMMYFUNCTION("""COMPUTED_VALUE"""),44875)</f>
        <v>44875</v>
      </c>
      <c r="C120" s="4" t="str">
        <f ca="1">IFERROR(__xludf.DUMMYFUNCTION("""COMPUTED_VALUE"""),"Maricar Paloma dela Cruz-Buban ")</f>
        <v xml:space="preserve">Maricar Paloma dela Cruz-Buban </v>
      </c>
      <c r="D120" s="4" t="str">
        <f ca="1">IFERROR(__xludf.DUMMYFUNCTION("""COMPUTED_VALUE"""),"Payment of allowance for the month of October 2022")</f>
        <v>Payment of allowance for the month of October 2022</v>
      </c>
      <c r="E120" s="5">
        <f ca="1">IFERROR(__xludf.DUMMYFUNCTION("""COMPUTED_VALUE"""),15000)</f>
        <v>15000</v>
      </c>
      <c r="F120" s="4" t="str">
        <f ca="1">IFERROR(__xludf.DUMMYFUNCTION("""COMPUTED_VALUE"""),"LBP General")</f>
        <v>LBP General</v>
      </c>
      <c r="G120" s="4"/>
      <c r="H120" s="4"/>
      <c r="I120" s="4"/>
      <c r="J120" s="4"/>
      <c r="K120" s="4"/>
      <c r="L120" s="4"/>
      <c r="M120" s="4"/>
      <c r="N120" s="4"/>
      <c r="O120" s="4"/>
      <c r="P120" s="4"/>
      <c r="Q120" s="4"/>
      <c r="R120" s="4"/>
      <c r="S120" s="19"/>
    </row>
    <row r="121" spans="1:19" ht="34.799999999999997" x14ac:dyDescent="0.25">
      <c r="A121" s="4">
        <f ca="1">IFERROR(__xludf.DUMMYFUNCTION("""COMPUTED_VALUE"""),2093493)</f>
        <v>2093493</v>
      </c>
      <c r="B121" s="19">
        <f ca="1">IFERROR(__xludf.DUMMYFUNCTION("""COMPUTED_VALUE"""),44875)</f>
        <v>44875</v>
      </c>
      <c r="C121" s="4" t="str">
        <f ca="1">IFERROR(__xludf.DUMMYFUNCTION("""COMPUTED_VALUE"""),"Leticia Nicolas ")</f>
        <v xml:space="preserve">Leticia Nicolas </v>
      </c>
      <c r="D121" s="4" t="str">
        <f ca="1">IFERROR(__xludf.DUMMYFUNCTION("""COMPUTED_VALUE"""),"Payment of allowance for the month of October 2022")</f>
        <v>Payment of allowance for the month of October 2022</v>
      </c>
      <c r="E121" s="5">
        <f ca="1">IFERROR(__xludf.DUMMYFUNCTION("""COMPUTED_VALUE"""),15000)</f>
        <v>15000</v>
      </c>
      <c r="F121" s="4" t="str">
        <f ca="1">IFERROR(__xludf.DUMMYFUNCTION("""COMPUTED_VALUE"""),"LBP General")</f>
        <v>LBP General</v>
      </c>
      <c r="G121" s="4"/>
      <c r="H121" s="4"/>
      <c r="I121" s="4"/>
      <c r="J121" s="4"/>
      <c r="K121" s="4"/>
      <c r="L121" s="4"/>
      <c r="M121" s="4"/>
      <c r="N121" s="4"/>
      <c r="O121" s="4"/>
      <c r="P121" s="4"/>
      <c r="Q121" s="4"/>
      <c r="R121" s="4"/>
      <c r="S121" s="19"/>
    </row>
    <row r="122" spans="1:19" ht="34.799999999999997" x14ac:dyDescent="0.25">
      <c r="A122" s="4">
        <f ca="1">IFERROR(__xludf.DUMMYFUNCTION("""COMPUTED_VALUE"""),2093494)</f>
        <v>2093494</v>
      </c>
      <c r="B122" s="19">
        <f ca="1">IFERROR(__xludf.DUMMYFUNCTION("""COMPUTED_VALUE"""),44875)</f>
        <v>44875</v>
      </c>
      <c r="C122" s="4" t="str">
        <f ca="1">IFERROR(__xludf.DUMMYFUNCTION("""COMPUTED_VALUE"""),"Juliet Sangalang-Salria ")</f>
        <v xml:space="preserve">Juliet Sangalang-Salria </v>
      </c>
      <c r="D122" s="4" t="str">
        <f ca="1">IFERROR(__xludf.DUMMYFUNCTION("""COMPUTED_VALUE"""),"Payment of allowance for the month of October 2022")</f>
        <v>Payment of allowance for the month of October 2022</v>
      </c>
      <c r="E122" s="5">
        <f ca="1">IFERROR(__xludf.DUMMYFUNCTION("""COMPUTED_VALUE"""),15000)</f>
        <v>15000</v>
      </c>
      <c r="F122" s="4" t="str">
        <f ca="1">IFERROR(__xludf.DUMMYFUNCTION("""COMPUTED_VALUE"""),"LBP General")</f>
        <v>LBP General</v>
      </c>
      <c r="G122" s="4"/>
      <c r="H122" s="4"/>
      <c r="I122" s="4"/>
      <c r="J122" s="4"/>
      <c r="K122" s="4"/>
      <c r="L122" s="4"/>
      <c r="M122" s="4"/>
      <c r="N122" s="4"/>
      <c r="O122" s="4"/>
      <c r="P122" s="4"/>
      <c r="Q122" s="4"/>
      <c r="R122" s="4"/>
      <c r="S122" s="19"/>
    </row>
    <row r="123" spans="1:19" ht="34.799999999999997" x14ac:dyDescent="0.25">
      <c r="A123" s="4">
        <f ca="1">IFERROR(__xludf.DUMMYFUNCTION("""COMPUTED_VALUE"""),2093496)</f>
        <v>2093496</v>
      </c>
      <c r="B123" s="19">
        <f ca="1">IFERROR(__xludf.DUMMYFUNCTION("""COMPUTED_VALUE"""),44875)</f>
        <v>44875</v>
      </c>
      <c r="C123" s="4" t="str">
        <f ca="1">IFERROR(__xludf.DUMMYFUNCTION("""COMPUTED_VALUE"""),"Rolando TUngol ")</f>
        <v xml:space="preserve">Rolando TUngol </v>
      </c>
      <c r="D123" s="4" t="str">
        <f ca="1">IFERROR(__xludf.DUMMYFUNCTION("""COMPUTED_VALUE"""),"Payment of allowance for the month of October 2022")</f>
        <v>Payment of allowance for the month of October 2022</v>
      </c>
      <c r="E123" s="5">
        <f ca="1">IFERROR(__xludf.DUMMYFUNCTION("""COMPUTED_VALUE"""),15000)</f>
        <v>15000</v>
      </c>
      <c r="F123" s="4" t="str">
        <f ca="1">IFERROR(__xludf.DUMMYFUNCTION("""COMPUTED_VALUE"""),"LBP General")</f>
        <v>LBP General</v>
      </c>
      <c r="G123" s="4"/>
      <c r="H123" s="4"/>
      <c r="I123" s="4"/>
      <c r="J123" s="4"/>
      <c r="K123" s="4"/>
      <c r="L123" s="4"/>
      <c r="M123" s="4"/>
      <c r="N123" s="4"/>
      <c r="O123" s="4"/>
      <c r="P123" s="4"/>
      <c r="Q123" s="4"/>
      <c r="R123" s="4"/>
      <c r="S123" s="19"/>
    </row>
    <row r="124" spans="1:19" ht="34.799999999999997" x14ac:dyDescent="0.25">
      <c r="A124" s="4">
        <f ca="1">IFERROR(__xludf.DUMMYFUNCTION("""COMPUTED_VALUE"""),2093497)</f>
        <v>2093497</v>
      </c>
      <c r="B124" s="19">
        <f ca="1">IFERROR(__xludf.DUMMYFUNCTION("""COMPUTED_VALUE"""),44875)</f>
        <v>44875</v>
      </c>
      <c r="C124" s="4" t="str">
        <f ca="1">IFERROR(__xludf.DUMMYFUNCTION("""COMPUTED_VALUE"""),"Philip M. Cruz ")</f>
        <v xml:space="preserve">Philip M. Cruz </v>
      </c>
      <c r="D124" s="4" t="str">
        <f ca="1">IFERROR(__xludf.DUMMYFUNCTION("""COMPUTED_VALUE"""),"Payment of allowance for the month of October 2022")</f>
        <v>Payment of allowance for the month of October 2022</v>
      </c>
      <c r="E124" s="5">
        <f ca="1">IFERROR(__xludf.DUMMYFUNCTION("""COMPUTED_VALUE"""),15000)</f>
        <v>15000</v>
      </c>
      <c r="F124" s="4" t="str">
        <f ca="1">IFERROR(__xludf.DUMMYFUNCTION("""COMPUTED_VALUE"""),"LBP General")</f>
        <v>LBP General</v>
      </c>
      <c r="G124" s="4"/>
      <c r="H124" s="4"/>
      <c r="I124" s="4"/>
      <c r="J124" s="4"/>
      <c r="K124" s="4"/>
      <c r="L124" s="4"/>
      <c r="M124" s="4"/>
      <c r="N124" s="4"/>
      <c r="O124" s="4"/>
      <c r="P124" s="4"/>
      <c r="Q124" s="4"/>
      <c r="R124" s="4"/>
      <c r="S124" s="19"/>
    </row>
    <row r="125" spans="1:19" ht="52.2" x14ac:dyDescent="0.25">
      <c r="A125" s="4">
        <f ca="1">IFERROR(__xludf.DUMMYFUNCTION("""COMPUTED_VALUE"""),2093511)</f>
        <v>2093511</v>
      </c>
      <c r="B125" s="19">
        <f ca="1">IFERROR(__xludf.DUMMYFUNCTION("""COMPUTED_VALUE"""),44875)</f>
        <v>44875</v>
      </c>
      <c r="C125" s="4" t="str">
        <f ca="1">IFERROR(__xludf.DUMMYFUNCTION("""COMPUTED_VALUE"""),"Dinalupihan Water District ")</f>
        <v xml:space="preserve">Dinalupihan Water District </v>
      </c>
      <c r="D125" s="4" t="str">
        <f ca="1">IFERROR(__xludf.DUMMYFUNCTION("""COMPUTED_VALUE"""),"Payment of Water bill of Dialysis Building for the period of October, 2022")</f>
        <v>Payment of Water bill of Dialysis Building for the period of October, 2022</v>
      </c>
      <c r="E125" s="5">
        <f ca="1">IFERROR(__xludf.DUMMYFUNCTION("""COMPUTED_VALUE"""),2690.78)</f>
        <v>2690.78</v>
      </c>
      <c r="F125" s="4" t="str">
        <f ca="1">IFERROR(__xludf.DUMMYFUNCTION("""COMPUTED_VALUE"""),"LBP General")</f>
        <v>LBP General</v>
      </c>
      <c r="G125" s="4"/>
      <c r="H125" s="4"/>
      <c r="I125" s="4"/>
      <c r="J125" s="4"/>
      <c r="K125" s="4"/>
      <c r="L125" s="4"/>
      <c r="M125" s="4"/>
      <c r="N125" s="4"/>
      <c r="O125" s="4"/>
      <c r="P125" s="4"/>
      <c r="Q125" s="4"/>
      <c r="R125" s="4"/>
      <c r="S125" s="19"/>
    </row>
    <row r="126" spans="1:19" ht="52.2" x14ac:dyDescent="0.25">
      <c r="A126" s="4">
        <f ca="1">IFERROR(__xludf.DUMMYFUNCTION("""COMPUTED_VALUE"""),2093512)</f>
        <v>2093512</v>
      </c>
      <c r="B126" s="19">
        <f ca="1">IFERROR(__xludf.DUMMYFUNCTION("""COMPUTED_VALUE"""),44875)</f>
        <v>44875</v>
      </c>
      <c r="C126" s="4" t="str">
        <f ca="1">IFERROR(__xludf.DUMMYFUNCTION("""COMPUTED_VALUE"""),"Innove Communications, Inc. ")</f>
        <v xml:space="preserve">Innove Communications, Inc. </v>
      </c>
      <c r="D126" s="4" t="str">
        <f ca="1">IFERROR(__xludf.DUMMYFUNCTION("""COMPUTED_VALUE"""),"Monthly subscription fee on ASDN Pri Service September 27 - October 26, 2022")</f>
        <v>Monthly subscription fee on ASDN Pri Service September 27 - October 26, 2022</v>
      </c>
      <c r="E126" s="5">
        <f ca="1">IFERROR(__xludf.DUMMYFUNCTION("""COMPUTED_VALUE"""),33676.33)</f>
        <v>33676.33</v>
      </c>
      <c r="F126" s="4" t="str">
        <f ca="1">IFERROR(__xludf.DUMMYFUNCTION("""COMPUTED_VALUE"""),"LBP General")</f>
        <v>LBP General</v>
      </c>
      <c r="G126" s="4"/>
      <c r="H126" s="4"/>
      <c r="I126" s="4"/>
      <c r="J126" s="4"/>
      <c r="K126" s="4"/>
      <c r="L126" s="4"/>
      <c r="M126" s="4"/>
      <c r="N126" s="4"/>
      <c r="O126" s="4"/>
      <c r="P126" s="4"/>
      <c r="Q126" s="4"/>
      <c r="R126" s="4"/>
      <c r="S126" s="19"/>
    </row>
    <row r="127" spans="1:19" ht="34.799999999999997" x14ac:dyDescent="0.25">
      <c r="A127" s="4">
        <f ca="1">IFERROR(__xludf.DUMMYFUNCTION("""COMPUTED_VALUE"""),2093514)</f>
        <v>2093514</v>
      </c>
      <c r="B127" s="19">
        <f ca="1">IFERROR(__xludf.DUMMYFUNCTION("""COMPUTED_VALUE"""),44875)</f>
        <v>44875</v>
      </c>
      <c r="C127" s="4" t="str">
        <f ca="1">IFERROR(__xludf.DUMMYFUNCTION("""COMPUTED_VALUE"""),"JCINSP Manolet L. Datan, MPA ")</f>
        <v xml:space="preserve">JCINSP Manolet L. Datan, MPA </v>
      </c>
      <c r="D127" s="4" t="str">
        <f ca="1">IFERROR(__xludf.DUMMYFUNCTION("""COMPUTED_VALUE"""),"Allowance for the month of September &amp; October 2022")</f>
        <v>Allowance for the month of September &amp; October 2022</v>
      </c>
      <c r="E127" s="5">
        <f ca="1">IFERROR(__xludf.DUMMYFUNCTION("""COMPUTED_VALUE"""),22428)</f>
        <v>22428</v>
      </c>
      <c r="F127" s="4" t="str">
        <f ca="1">IFERROR(__xludf.DUMMYFUNCTION("""COMPUTED_VALUE"""),"LBP General")</f>
        <v>LBP General</v>
      </c>
      <c r="G127" s="4"/>
      <c r="H127" s="4"/>
      <c r="I127" s="4"/>
      <c r="J127" s="4"/>
      <c r="K127" s="4"/>
      <c r="L127" s="4"/>
      <c r="M127" s="4"/>
      <c r="N127" s="4"/>
      <c r="O127" s="4"/>
      <c r="P127" s="4"/>
      <c r="Q127" s="4"/>
      <c r="R127" s="4"/>
      <c r="S127" s="19"/>
    </row>
    <row r="128" spans="1:19" ht="52.2" x14ac:dyDescent="0.25">
      <c r="A128" s="4">
        <f ca="1">IFERROR(__xludf.DUMMYFUNCTION("""COMPUTED_VALUE"""),2093515)</f>
        <v>2093515</v>
      </c>
      <c r="B128" s="19">
        <f ca="1">IFERROR(__xludf.DUMMYFUNCTION("""COMPUTED_VALUE"""),44875)</f>
        <v>44875</v>
      </c>
      <c r="C128" s="4" t="str">
        <f ca="1">IFERROR(__xludf.DUMMYFUNCTION("""COMPUTED_VALUE"""),"Aline M. Viacrusis, RN. ")</f>
        <v xml:space="preserve">Aline M. Viacrusis, RN. </v>
      </c>
      <c r="D128" s="4" t="str">
        <f ca="1">IFERROR(__xludf.DUMMYFUNCTION("""COMPUTED_VALUE"""),"Payment of Hazard Pay and subsistence allowance for the month of October 2022")</f>
        <v>Payment of Hazard Pay and subsistence allowance for the month of October 2022</v>
      </c>
      <c r="E128" s="5">
        <f ca="1">IFERROR(__xludf.DUMMYFUNCTION("""COMPUTED_VALUE"""),11291.5)</f>
        <v>11291.5</v>
      </c>
      <c r="F128" s="4" t="str">
        <f ca="1">IFERROR(__xludf.DUMMYFUNCTION("""COMPUTED_VALUE"""),"LBP General")</f>
        <v>LBP General</v>
      </c>
      <c r="G128" s="4"/>
      <c r="H128" s="4"/>
      <c r="I128" s="4"/>
      <c r="J128" s="4"/>
      <c r="K128" s="4"/>
      <c r="L128" s="4"/>
      <c r="M128" s="4"/>
      <c r="N128" s="4"/>
      <c r="O128" s="4"/>
      <c r="P128" s="4"/>
      <c r="Q128" s="4"/>
      <c r="R128" s="4"/>
      <c r="S128" s="19"/>
    </row>
    <row r="129" spans="1:19" ht="34.799999999999997" x14ac:dyDescent="0.25">
      <c r="A129" s="4">
        <f ca="1">IFERROR(__xludf.DUMMYFUNCTION("""COMPUTED_VALUE"""),2093516)</f>
        <v>2093516</v>
      </c>
      <c r="B129" s="19">
        <f ca="1">IFERROR(__xludf.DUMMYFUNCTION("""COMPUTED_VALUE"""),44875)</f>
        <v>44875</v>
      </c>
      <c r="C129" s="4" t="str">
        <f ca="1">IFERROR(__xludf.DUMMYFUNCTION("""COMPUTED_VALUE"""),"Jonie Rose Trading ")</f>
        <v xml:space="preserve">Jonie Rose Trading </v>
      </c>
      <c r="D129" s="4" t="str">
        <f ca="1">IFERROR(__xludf.DUMMYFUNCTION("""COMPUTED_VALUE"""),"Office supplies for use in the Provincial Treasurer's Office")</f>
        <v>Office supplies for use in the Provincial Treasurer's Office</v>
      </c>
      <c r="E129" s="5">
        <f ca="1">IFERROR(__xludf.DUMMYFUNCTION("""COMPUTED_VALUE"""),37351.74)</f>
        <v>37351.74</v>
      </c>
      <c r="F129" s="4" t="str">
        <f ca="1">IFERROR(__xludf.DUMMYFUNCTION("""COMPUTED_VALUE"""),"LBP General")</f>
        <v>LBP General</v>
      </c>
      <c r="G129" s="4"/>
      <c r="H129" s="4"/>
      <c r="I129" s="4"/>
      <c r="J129" s="4"/>
      <c r="K129" s="4"/>
      <c r="L129" s="4"/>
      <c r="M129" s="4"/>
      <c r="N129" s="4"/>
      <c r="O129" s="4"/>
      <c r="P129" s="4"/>
      <c r="Q129" s="4"/>
      <c r="R129" s="4"/>
      <c r="S129" s="19"/>
    </row>
    <row r="130" spans="1:19" ht="52.2" x14ac:dyDescent="0.25">
      <c r="A130" s="4">
        <f ca="1">IFERROR(__xludf.DUMMYFUNCTION("""COMPUTED_VALUE"""),2093518)</f>
        <v>2093518</v>
      </c>
      <c r="B130" s="19">
        <f ca="1">IFERROR(__xludf.DUMMYFUNCTION("""COMPUTED_VALUE"""),44875)</f>
        <v>44875</v>
      </c>
      <c r="C130" s="4" t="str">
        <f ca="1">IFERROR(__xludf.DUMMYFUNCTION("""COMPUTED_VALUE"""),"St. Joseph Cable TV System ")</f>
        <v xml:space="preserve">St. Joseph Cable TV System </v>
      </c>
      <c r="D130" s="4" t="str">
        <f ca="1">IFERROR(__xludf.DUMMYFUNCTION("""COMPUTED_VALUE"""),"Payment of internet connection of BCMH for the billing period of September 30 to October 29, 2022")</f>
        <v>Payment of internet connection of BCMH for the billing period of September 30 to October 29, 2022</v>
      </c>
      <c r="E130" s="5">
        <f ca="1">IFERROR(__xludf.DUMMYFUNCTION("""COMPUTED_VALUE"""),2343.75)</f>
        <v>2343.75</v>
      </c>
      <c r="F130" s="4" t="str">
        <f ca="1">IFERROR(__xludf.DUMMYFUNCTION("""COMPUTED_VALUE"""),"LBP General")</f>
        <v>LBP General</v>
      </c>
      <c r="G130" s="4"/>
      <c r="H130" s="4"/>
      <c r="I130" s="4"/>
      <c r="J130" s="4"/>
      <c r="K130" s="4"/>
      <c r="L130" s="4"/>
      <c r="M130" s="4"/>
      <c r="N130" s="4"/>
      <c r="O130" s="4"/>
      <c r="P130" s="4"/>
      <c r="Q130" s="4"/>
      <c r="R130" s="4"/>
      <c r="S130" s="19"/>
    </row>
    <row r="131" spans="1:19" ht="69.599999999999994" x14ac:dyDescent="0.25">
      <c r="A131" s="4">
        <f ca="1">IFERROR(__xludf.DUMMYFUNCTION("""COMPUTED_VALUE"""),2093519)</f>
        <v>2093519</v>
      </c>
      <c r="B131" s="19">
        <f ca="1">IFERROR(__xludf.DUMMYFUNCTION("""COMPUTED_VALUE"""),44875)</f>
        <v>44875</v>
      </c>
      <c r="C131" s="4" t="str">
        <f ca="1">IFERROR(__xludf.DUMMYFUNCTION("""COMPUTED_VALUE"""),"Converge Information and Communications Technology Solutions, Inc. ")</f>
        <v xml:space="preserve">Converge Information and Communications Technology Solutions, Inc. </v>
      </c>
      <c r="D131" s="4" t="str">
        <f ca="1">IFERROR(__xludf.DUMMYFUNCTION("""COMPUTED_VALUE"""),"Monthly subscription fee of Metro Ethernet Service for the use of CCTV Cameras of MBDA for the month of November 1-30, 2022")</f>
        <v>Monthly subscription fee of Metro Ethernet Service for the use of CCTV Cameras of MBDA for the month of November 1-30, 2022</v>
      </c>
      <c r="E131" s="5">
        <f ca="1">IFERROR(__xludf.DUMMYFUNCTION("""COMPUTED_VALUE"""),71741.25)</f>
        <v>71741.25</v>
      </c>
      <c r="F131" s="4" t="str">
        <f ca="1">IFERROR(__xludf.DUMMYFUNCTION("""COMPUTED_VALUE"""),"LBP General")</f>
        <v>LBP General</v>
      </c>
      <c r="G131" s="4"/>
      <c r="H131" s="4"/>
      <c r="I131" s="4"/>
      <c r="J131" s="4"/>
      <c r="K131" s="4"/>
      <c r="L131" s="4"/>
      <c r="M131" s="4"/>
      <c r="N131" s="4"/>
      <c r="O131" s="4"/>
      <c r="P131" s="4"/>
      <c r="Q131" s="4"/>
      <c r="R131" s="4"/>
      <c r="S131" s="19"/>
    </row>
    <row r="132" spans="1:19" ht="69.599999999999994" x14ac:dyDescent="0.25">
      <c r="A132" s="4">
        <f ca="1">IFERROR(__xludf.DUMMYFUNCTION("""COMPUTED_VALUE"""),2093520)</f>
        <v>2093520</v>
      </c>
      <c r="B132" s="19">
        <f ca="1">IFERROR(__xludf.DUMMYFUNCTION("""COMPUTED_VALUE"""),44875)</f>
        <v>44875</v>
      </c>
      <c r="C132" s="4" t="str">
        <f ca="1">IFERROR(__xludf.DUMMYFUNCTION("""COMPUTED_VALUE"""),"Converge Information and Communications Technology Solutions, Inc. ")</f>
        <v xml:space="preserve">Converge Information and Communications Technology Solutions, Inc. </v>
      </c>
      <c r="D132" s="4" t="str">
        <f ca="1">IFERROR(__xludf.DUMMYFUNCTION("""COMPUTED_VALUE"""),"Payment of Internet Bill of 1Bataan Command Center Account Number 0030300182942 for the month of November 2022")</f>
        <v>Payment of Internet Bill of 1Bataan Command Center Account Number 0030300182942 for the month of November 2022</v>
      </c>
      <c r="E132" s="5">
        <f ca="1">IFERROR(__xludf.DUMMYFUNCTION("""COMPUTED_VALUE"""),75000)</f>
        <v>75000</v>
      </c>
      <c r="F132" s="4" t="str">
        <f ca="1">IFERROR(__xludf.DUMMYFUNCTION("""COMPUTED_VALUE"""),"LBP General")</f>
        <v>LBP General</v>
      </c>
      <c r="G132" s="4"/>
      <c r="H132" s="4"/>
      <c r="I132" s="4"/>
      <c r="J132" s="4"/>
      <c r="K132" s="4"/>
      <c r="L132" s="4"/>
      <c r="M132" s="4"/>
      <c r="N132" s="4"/>
      <c r="O132" s="4"/>
      <c r="P132" s="4"/>
      <c r="Q132" s="4"/>
      <c r="R132" s="4"/>
      <c r="S132" s="19"/>
    </row>
    <row r="133" spans="1:19" ht="52.2" x14ac:dyDescent="0.25">
      <c r="A133" s="4">
        <f ca="1">IFERROR(__xludf.DUMMYFUNCTION("""COMPUTED_VALUE"""),2093521)</f>
        <v>2093521</v>
      </c>
      <c r="B133" s="19">
        <f ca="1">IFERROR(__xludf.DUMMYFUNCTION("""COMPUTED_VALUE"""),44875)</f>
        <v>44875</v>
      </c>
      <c r="C133" s="4" t="str">
        <f ca="1">IFERROR(__xludf.DUMMYFUNCTION("""COMPUTED_VALUE"""),"Mary Grace Vuiya ")</f>
        <v xml:space="preserve">Mary Grace Vuiya </v>
      </c>
      <c r="D133" s="4" t="str">
        <f ca="1">IFERROR(__xludf.DUMMYFUNCTION("""COMPUTED_VALUE"""),"Payment of allowance of the Comelec Field Officers for the month of September 2022")</f>
        <v>Payment of allowance of the Comelec Field Officers for the month of September 2022</v>
      </c>
      <c r="E133" s="5">
        <f ca="1">IFERROR(__xludf.DUMMYFUNCTION("""COMPUTED_VALUE"""),3000)</f>
        <v>3000</v>
      </c>
      <c r="F133" s="4" t="str">
        <f ca="1">IFERROR(__xludf.DUMMYFUNCTION("""COMPUTED_VALUE"""),"LBP General")</f>
        <v>LBP General</v>
      </c>
      <c r="G133" s="4"/>
      <c r="H133" s="4"/>
      <c r="I133" s="4"/>
      <c r="J133" s="4"/>
      <c r="K133" s="4"/>
      <c r="L133" s="4"/>
      <c r="M133" s="4"/>
      <c r="N133" s="4"/>
      <c r="O133" s="4"/>
      <c r="P133" s="4"/>
      <c r="Q133" s="4"/>
      <c r="R133" s="4"/>
      <c r="S133" s="19"/>
    </row>
    <row r="134" spans="1:19" ht="52.2" x14ac:dyDescent="0.25">
      <c r="A134" s="4">
        <f ca="1">IFERROR(__xludf.DUMMYFUNCTION("""COMPUTED_VALUE"""),2093522)</f>
        <v>2093522</v>
      </c>
      <c r="B134" s="19">
        <f ca="1">IFERROR(__xludf.DUMMYFUNCTION("""COMPUTED_VALUE"""),44875)</f>
        <v>44875</v>
      </c>
      <c r="C134" s="4" t="str">
        <f ca="1">IFERROR(__xludf.DUMMYFUNCTION("""COMPUTED_VALUE"""),"Melanio Sibayan ")</f>
        <v xml:space="preserve">Melanio Sibayan </v>
      </c>
      <c r="D134" s="4" t="str">
        <f ca="1">IFERROR(__xludf.DUMMYFUNCTION("""COMPUTED_VALUE"""),"Payment of allowance of the Comelec Field Officers for the month of September 2022")</f>
        <v>Payment of allowance of the Comelec Field Officers for the month of September 2022</v>
      </c>
      <c r="E134" s="5">
        <f ca="1">IFERROR(__xludf.DUMMYFUNCTION("""COMPUTED_VALUE"""),3000)</f>
        <v>3000</v>
      </c>
      <c r="F134" s="4" t="str">
        <f ca="1">IFERROR(__xludf.DUMMYFUNCTION("""COMPUTED_VALUE"""),"LBP General")</f>
        <v>LBP General</v>
      </c>
      <c r="G134" s="4"/>
      <c r="H134" s="4"/>
      <c r="I134" s="4"/>
      <c r="J134" s="4"/>
      <c r="K134" s="4"/>
      <c r="L134" s="4"/>
      <c r="M134" s="4"/>
      <c r="N134" s="4"/>
      <c r="O134" s="4"/>
      <c r="P134" s="4"/>
      <c r="Q134" s="4"/>
      <c r="R134" s="4"/>
      <c r="S134" s="19"/>
    </row>
    <row r="135" spans="1:19" ht="52.2" x14ac:dyDescent="0.25">
      <c r="A135" s="4">
        <f ca="1">IFERROR(__xludf.DUMMYFUNCTION("""COMPUTED_VALUE"""),2093523)</f>
        <v>2093523</v>
      </c>
      <c r="B135" s="19">
        <f ca="1">IFERROR(__xludf.DUMMYFUNCTION("""COMPUTED_VALUE"""),44875)</f>
        <v>44875</v>
      </c>
      <c r="C135" s="4" t="str">
        <f ca="1">IFERROR(__xludf.DUMMYFUNCTION("""COMPUTED_VALUE"""),"Armi Ronquillo ")</f>
        <v xml:space="preserve">Armi Ronquillo </v>
      </c>
      <c r="D135" s="4" t="str">
        <f ca="1">IFERROR(__xludf.DUMMYFUNCTION("""COMPUTED_VALUE"""),"Payment of allowance of the Comelec Field Officers for the month of September 2022")</f>
        <v>Payment of allowance of the Comelec Field Officers for the month of September 2022</v>
      </c>
      <c r="E135" s="5">
        <f ca="1">IFERROR(__xludf.DUMMYFUNCTION("""COMPUTED_VALUE"""),3000)</f>
        <v>3000</v>
      </c>
      <c r="F135" s="4" t="str">
        <f ca="1">IFERROR(__xludf.DUMMYFUNCTION("""COMPUTED_VALUE"""),"LBP General")</f>
        <v>LBP General</v>
      </c>
      <c r="G135" s="4"/>
      <c r="H135" s="4"/>
      <c r="I135" s="4"/>
      <c r="J135" s="4"/>
      <c r="K135" s="4"/>
      <c r="L135" s="4"/>
      <c r="M135" s="4"/>
      <c r="N135" s="4"/>
      <c r="O135" s="4"/>
      <c r="P135" s="4"/>
      <c r="Q135" s="4"/>
      <c r="R135" s="4"/>
      <c r="S135" s="19"/>
    </row>
    <row r="136" spans="1:19" ht="52.2" x14ac:dyDescent="0.25">
      <c r="A136" s="4">
        <f ca="1">IFERROR(__xludf.DUMMYFUNCTION("""COMPUTED_VALUE"""),2093524)</f>
        <v>2093524</v>
      </c>
      <c r="B136" s="19">
        <f ca="1">IFERROR(__xludf.DUMMYFUNCTION("""COMPUTED_VALUE"""),44875)</f>
        <v>44875</v>
      </c>
      <c r="C136" s="4" t="str">
        <f ca="1">IFERROR(__xludf.DUMMYFUNCTION("""COMPUTED_VALUE"""),"Hilda Rodrigo ")</f>
        <v xml:space="preserve">Hilda Rodrigo </v>
      </c>
      <c r="D136" s="4" t="str">
        <f ca="1">IFERROR(__xludf.DUMMYFUNCTION("""COMPUTED_VALUE"""),"Payment of allowance of the Comelec Field Officers for the month of September 2022")</f>
        <v>Payment of allowance of the Comelec Field Officers for the month of September 2022</v>
      </c>
      <c r="E136" s="5">
        <f ca="1">IFERROR(__xludf.DUMMYFUNCTION("""COMPUTED_VALUE"""),3000)</f>
        <v>3000</v>
      </c>
      <c r="F136" s="4" t="str">
        <f ca="1">IFERROR(__xludf.DUMMYFUNCTION("""COMPUTED_VALUE"""),"LBP General")</f>
        <v>LBP General</v>
      </c>
      <c r="G136" s="4"/>
      <c r="H136" s="4"/>
      <c r="I136" s="4"/>
      <c r="J136" s="4"/>
      <c r="K136" s="4"/>
      <c r="L136" s="4"/>
      <c r="M136" s="4"/>
      <c r="N136" s="4"/>
      <c r="O136" s="4"/>
      <c r="P136" s="4"/>
      <c r="Q136" s="4"/>
      <c r="R136" s="4"/>
      <c r="S136" s="19"/>
    </row>
    <row r="137" spans="1:19" ht="52.2" x14ac:dyDescent="0.25">
      <c r="A137" s="4">
        <f ca="1">IFERROR(__xludf.DUMMYFUNCTION("""COMPUTED_VALUE"""),2093525)</f>
        <v>2093525</v>
      </c>
      <c r="B137" s="19">
        <f ca="1">IFERROR(__xludf.DUMMYFUNCTION("""COMPUTED_VALUE"""),44875)</f>
        <v>44875</v>
      </c>
      <c r="C137" s="4" t="str">
        <f ca="1">IFERROR(__xludf.DUMMYFUNCTION("""COMPUTED_VALUE"""),"Cristeto Manuel ")</f>
        <v xml:space="preserve">Cristeto Manuel </v>
      </c>
      <c r="D137" s="4" t="str">
        <f ca="1">IFERROR(__xludf.DUMMYFUNCTION("""COMPUTED_VALUE"""),"Payment of allowance of the Comelec Field Officers for the month of September 2022")</f>
        <v>Payment of allowance of the Comelec Field Officers for the month of September 2022</v>
      </c>
      <c r="E137" s="5">
        <f ca="1">IFERROR(__xludf.DUMMYFUNCTION("""COMPUTED_VALUE"""),3000)</f>
        <v>3000</v>
      </c>
      <c r="F137" s="4" t="str">
        <f ca="1">IFERROR(__xludf.DUMMYFUNCTION("""COMPUTED_VALUE"""),"LBP General")</f>
        <v>LBP General</v>
      </c>
      <c r="G137" s="4"/>
      <c r="H137" s="4"/>
      <c r="I137" s="4"/>
      <c r="J137" s="4"/>
      <c r="K137" s="4"/>
      <c r="L137" s="4"/>
      <c r="M137" s="4"/>
      <c r="N137" s="4"/>
      <c r="O137" s="4"/>
      <c r="P137" s="4"/>
      <c r="Q137" s="4"/>
      <c r="R137" s="4"/>
      <c r="S137" s="19"/>
    </row>
    <row r="138" spans="1:19" ht="52.2" x14ac:dyDescent="0.25">
      <c r="A138" s="4">
        <f ca="1">IFERROR(__xludf.DUMMYFUNCTION("""COMPUTED_VALUE"""),2093526)</f>
        <v>2093526</v>
      </c>
      <c r="B138" s="19">
        <f ca="1">IFERROR(__xludf.DUMMYFUNCTION("""COMPUTED_VALUE"""),44875)</f>
        <v>44875</v>
      </c>
      <c r="C138" s="4" t="str">
        <f ca="1">IFERROR(__xludf.DUMMYFUNCTION("""COMPUTED_VALUE"""),"Jenny Manalo ")</f>
        <v xml:space="preserve">Jenny Manalo </v>
      </c>
      <c r="D138" s="4" t="str">
        <f ca="1">IFERROR(__xludf.DUMMYFUNCTION("""COMPUTED_VALUE"""),"Payment of allowance of the Comelec Field Officers for the month of September 2022")</f>
        <v>Payment of allowance of the Comelec Field Officers for the month of September 2022</v>
      </c>
      <c r="E138" s="5">
        <f ca="1">IFERROR(__xludf.DUMMYFUNCTION("""COMPUTED_VALUE"""),3000)</f>
        <v>3000</v>
      </c>
      <c r="F138" s="4" t="str">
        <f ca="1">IFERROR(__xludf.DUMMYFUNCTION("""COMPUTED_VALUE"""),"LBP General")</f>
        <v>LBP General</v>
      </c>
      <c r="G138" s="4"/>
      <c r="H138" s="4"/>
      <c r="I138" s="4"/>
      <c r="J138" s="4"/>
      <c r="K138" s="4"/>
      <c r="L138" s="4"/>
      <c r="M138" s="4"/>
      <c r="N138" s="4"/>
      <c r="O138" s="4"/>
      <c r="P138" s="4"/>
      <c r="Q138" s="4"/>
      <c r="R138" s="4"/>
      <c r="S138" s="19"/>
    </row>
    <row r="139" spans="1:19" ht="52.2" x14ac:dyDescent="0.25">
      <c r="A139" s="4">
        <f ca="1">IFERROR(__xludf.DUMMYFUNCTION("""COMPUTED_VALUE"""),2093527)</f>
        <v>2093527</v>
      </c>
      <c r="B139" s="19">
        <f ca="1">IFERROR(__xludf.DUMMYFUNCTION("""COMPUTED_VALUE"""),44875)</f>
        <v>44875</v>
      </c>
      <c r="C139" s="4" t="str">
        <f ca="1">IFERROR(__xludf.DUMMYFUNCTION("""COMPUTED_VALUE"""),"Rossana Cruz ")</f>
        <v xml:space="preserve">Rossana Cruz </v>
      </c>
      <c r="D139" s="4" t="str">
        <f ca="1">IFERROR(__xludf.DUMMYFUNCTION("""COMPUTED_VALUE"""),"Payment of allowance of the Comelec Field Officers for the month of September 2022")</f>
        <v>Payment of allowance of the Comelec Field Officers for the month of September 2022</v>
      </c>
      <c r="E139" s="5">
        <f ca="1">IFERROR(__xludf.DUMMYFUNCTION("""COMPUTED_VALUE"""),3000)</f>
        <v>3000</v>
      </c>
      <c r="F139" s="4" t="str">
        <f ca="1">IFERROR(__xludf.DUMMYFUNCTION("""COMPUTED_VALUE"""),"LBP General")</f>
        <v>LBP General</v>
      </c>
      <c r="G139" s="4"/>
      <c r="H139" s="4"/>
      <c r="I139" s="4"/>
      <c r="J139" s="4"/>
      <c r="K139" s="4"/>
      <c r="L139" s="4"/>
      <c r="M139" s="4"/>
      <c r="N139" s="4"/>
      <c r="O139" s="4"/>
      <c r="P139" s="4"/>
      <c r="Q139" s="4"/>
      <c r="R139" s="4"/>
      <c r="S139" s="19"/>
    </row>
    <row r="140" spans="1:19" ht="52.2" x14ac:dyDescent="0.25">
      <c r="A140" s="4">
        <f ca="1">IFERROR(__xludf.DUMMYFUNCTION("""COMPUTED_VALUE"""),2093528)</f>
        <v>2093528</v>
      </c>
      <c r="B140" s="19">
        <f ca="1">IFERROR(__xludf.DUMMYFUNCTION("""COMPUTED_VALUE"""),44875)</f>
        <v>44875</v>
      </c>
      <c r="C140" s="4" t="str">
        <f ca="1">IFERROR(__xludf.DUMMYFUNCTION("""COMPUTED_VALUE"""),"Iris Flores ")</f>
        <v xml:space="preserve">Iris Flores </v>
      </c>
      <c r="D140" s="4" t="str">
        <f ca="1">IFERROR(__xludf.DUMMYFUNCTION("""COMPUTED_VALUE"""),"Payment of allowance of the Comelec Field Officers for the month of September 2022")</f>
        <v>Payment of allowance of the Comelec Field Officers for the month of September 2022</v>
      </c>
      <c r="E140" s="5">
        <f ca="1">IFERROR(__xludf.DUMMYFUNCTION("""COMPUTED_VALUE"""),3000)</f>
        <v>3000</v>
      </c>
      <c r="F140" s="4" t="str">
        <f ca="1">IFERROR(__xludf.DUMMYFUNCTION("""COMPUTED_VALUE"""),"LBP General")</f>
        <v>LBP General</v>
      </c>
      <c r="G140" s="4"/>
      <c r="H140" s="4"/>
      <c r="I140" s="4"/>
      <c r="J140" s="4"/>
      <c r="K140" s="4"/>
      <c r="L140" s="4"/>
      <c r="M140" s="4"/>
      <c r="N140" s="4"/>
      <c r="O140" s="4"/>
      <c r="P140" s="4"/>
      <c r="Q140" s="4"/>
      <c r="R140" s="4"/>
      <c r="S140" s="19"/>
    </row>
    <row r="141" spans="1:19" ht="52.2" x14ac:dyDescent="0.25">
      <c r="A141" s="4">
        <f ca="1">IFERROR(__xludf.DUMMYFUNCTION("""COMPUTED_VALUE"""),2093529)</f>
        <v>2093529</v>
      </c>
      <c r="B141" s="19">
        <f ca="1">IFERROR(__xludf.DUMMYFUNCTION("""COMPUTED_VALUE"""),44875)</f>
        <v>44875</v>
      </c>
      <c r="C141" s="4" t="str">
        <f ca="1">IFERROR(__xludf.DUMMYFUNCTION("""COMPUTED_VALUE"""),"Joy Eleazar Caro ")</f>
        <v xml:space="preserve">Joy Eleazar Caro </v>
      </c>
      <c r="D141" s="4" t="str">
        <f ca="1">IFERROR(__xludf.DUMMYFUNCTION("""COMPUTED_VALUE"""),"Payment of allowance of the Comelec Field Officers for the month of September 2022")</f>
        <v>Payment of allowance of the Comelec Field Officers for the month of September 2022</v>
      </c>
      <c r="E141" s="5">
        <f ca="1">IFERROR(__xludf.DUMMYFUNCTION("""COMPUTED_VALUE"""),3000)</f>
        <v>3000</v>
      </c>
      <c r="F141" s="4" t="str">
        <f ca="1">IFERROR(__xludf.DUMMYFUNCTION("""COMPUTED_VALUE"""),"LBP General")</f>
        <v>LBP General</v>
      </c>
      <c r="G141" s="4"/>
      <c r="H141" s="4"/>
      <c r="I141" s="4"/>
      <c r="J141" s="4"/>
      <c r="K141" s="4"/>
      <c r="L141" s="4"/>
      <c r="M141" s="4"/>
      <c r="N141" s="4"/>
      <c r="O141" s="4"/>
      <c r="P141" s="4"/>
      <c r="Q141" s="4"/>
      <c r="R141" s="4"/>
      <c r="S141" s="19"/>
    </row>
    <row r="142" spans="1:19" ht="52.2" x14ac:dyDescent="0.25">
      <c r="A142" s="4">
        <f ca="1">IFERROR(__xludf.DUMMYFUNCTION("""COMPUTED_VALUE"""),2093530)</f>
        <v>2093530</v>
      </c>
      <c r="B142" s="19">
        <f ca="1">IFERROR(__xludf.DUMMYFUNCTION("""COMPUTED_VALUE"""),44875)</f>
        <v>44875</v>
      </c>
      <c r="C142" s="4" t="str">
        <f ca="1">IFERROR(__xludf.DUMMYFUNCTION("""COMPUTED_VALUE"""),"Arsenia Bondoc ")</f>
        <v xml:space="preserve">Arsenia Bondoc </v>
      </c>
      <c r="D142" s="4" t="str">
        <f ca="1">IFERROR(__xludf.DUMMYFUNCTION("""COMPUTED_VALUE"""),"Payment of allowance of the Comelec Field Officers for the month of September 2022")</f>
        <v>Payment of allowance of the Comelec Field Officers for the month of September 2022</v>
      </c>
      <c r="E142" s="5">
        <f ca="1">IFERROR(__xludf.DUMMYFUNCTION("""COMPUTED_VALUE"""),3000)</f>
        <v>3000</v>
      </c>
      <c r="F142" s="4" t="str">
        <f ca="1">IFERROR(__xludf.DUMMYFUNCTION("""COMPUTED_VALUE"""),"LBP General")</f>
        <v>LBP General</v>
      </c>
      <c r="G142" s="4"/>
      <c r="H142" s="4"/>
      <c r="I142" s="4"/>
      <c r="J142" s="4"/>
      <c r="K142" s="4"/>
      <c r="L142" s="4"/>
      <c r="M142" s="4"/>
      <c r="N142" s="4"/>
      <c r="O142" s="4"/>
      <c r="P142" s="4"/>
      <c r="Q142" s="4"/>
      <c r="R142" s="4"/>
      <c r="S142" s="19"/>
    </row>
    <row r="143" spans="1:19" ht="52.2" x14ac:dyDescent="0.25">
      <c r="A143" s="4">
        <f ca="1">IFERROR(__xludf.DUMMYFUNCTION("""COMPUTED_VALUE"""),2093531)</f>
        <v>2093531</v>
      </c>
      <c r="B143" s="19">
        <f ca="1">IFERROR(__xludf.DUMMYFUNCTION("""COMPUTED_VALUE"""),44875)</f>
        <v>44875</v>
      </c>
      <c r="C143" s="4" t="str">
        <f ca="1">IFERROR(__xludf.DUMMYFUNCTION("""COMPUTED_VALUE"""),"Maribeth Baltazar ")</f>
        <v xml:space="preserve">Maribeth Baltazar </v>
      </c>
      <c r="D143" s="4" t="str">
        <f ca="1">IFERROR(__xludf.DUMMYFUNCTION("""COMPUTED_VALUE"""),"Payment of allowance of the Comelec Field Officers for the month of September 2022")</f>
        <v>Payment of allowance of the Comelec Field Officers for the month of September 2022</v>
      </c>
      <c r="E143" s="5">
        <f ca="1">IFERROR(__xludf.DUMMYFUNCTION("""COMPUTED_VALUE"""),3000)</f>
        <v>3000</v>
      </c>
      <c r="F143" s="4" t="str">
        <f ca="1">IFERROR(__xludf.DUMMYFUNCTION("""COMPUTED_VALUE"""),"LBP General")</f>
        <v>LBP General</v>
      </c>
      <c r="G143" s="4"/>
      <c r="H143" s="4"/>
      <c r="I143" s="4"/>
      <c r="J143" s="4"/>
      <c r="K143" s="4"/>
      <c r="L143" s="4"/>
      <c r="M143" s="4"/>
      <c r="N143" s="4"/>
      <c r="O143" s="4"/>
      <c r="P143" s="4"/>
      <c r="Q143" s="4"/>
      <c r="R143" s="4"/>
      <c r="S143" s="19"/>
    </row>
    <row r="144" spans="1:19" ht="52.2" x14ac:dyDescent="0.25">
      <c r="A144" s="4">
        <f ca="1">IFERROR(__xludf.DUMMYFUNCTION("""COMPUTED_VALUE"""),2093532)</f>
        <v>2093532</v>
      </c>
      <c r="B144" s="19">
        <f ca="1">IFERROR(__xludf.DUMMYFUNCTION("""COMPUTED_VALUE"""),44875)</f>
        <v>44875</v>
      </c>
      <c r="C144" s="4" t="str">
        <f ca="1">IFERROR(__xludf.DUMMYFUNCTION("""COMPUTED_VALUE"""),"Maribeth Abadecio ")</f>
        <v xml:space="preserve">Maribeth Abadecio </v>
      </c>
      <c r="D144" s="4" t="str">
        <f ca="1">IFERROR(__xludf.DUMMYFUNCTION("""COMPUTED_VALUE"""),"Payment of allowance of the Comelec Field Officers for the month of September 2022")</f>
        <v>Payment of allowance of the Comelec Field Officers for the month of September 2022</v>
      </c>
      <c r="E144" s="5">
        <f ca="1">IFERROR(__xludf.DUMMYFUNCTION("""COMPUTED_VALUE"""),3000)</f>
        <v>3000</v>
      </c>
      <c r="F144" s="4" t="str">
        <f ca="1">IFERROR(__xludf.DUMMYFUNCTION("""COMPUTED_VALUE"""),"LBP General")</f>
        <v>LBP General</v>
      </c>
      <c r="G144" s="4"/>
      <c r="H144" s="4"/>
      <c r="I144" s="4"/>
      <c r="J144" s="4"/>
      <c r="K144" s="4"/>
      <c r="L144" s="4"/>
      <c r="M144" s="4"/>
      <c r="N144" s="4"/>
      <c r="O144" s="4"/>
      <c r="P144" s="4"/>
      <c r="Q144" s="4"/>
      <c r="R144" s="4"/>
      <c r="S144" s="19"/>
    </row>
    <row r="145" spans="1:19" ht="52.2" x14ac:dyDescent="0.25">
      <c r="A145" s="4">
        <f ca="1">IFERROR(__xludf.DUMMYFUNCTION("""COMPUTED_VALUE"""),2093533)</f>
        <v>2093533</v>
      </c>
      <c r="B145" s="19">
        <f ca="1">IFERROR(__xludf.DUMMYFUNCTION("""COMPUTED_VALUE"""),44875)</f>
        <v>44875</v>
      </c>
      <c r="C145" s="4" t="str">
        <f ca="1">IFERROR(__xludf.DUMMYFUNCTION("""COMPUTED_VALUE"""),"Chris Ian Silva ")</f>
        <v xml:space="preserve">Chris Ian Silva </v>
      </c>
      <c r="D145" s="4" t="str">
        <f ca="1">IFERROR(__xludf.DUMMYFUNCTION("""COMPUTED_VALUE"""),"Payment of allowance of the Comelec Field Officers for the month of September 2022")</f>
        <v>Payment of allowance of the Comelec Field Officers for the month of September 2022</v>
      </c>
      <c r="E145" s="5">
        <f ca="1">IFERROR(__xludf.DUMMYFUNCTION("""COMPUTED_VALUE"""),10000)</f>
        <v>10000</v>
      </c>
      <c r="F145" s="4" t="str">
        <f ca="1">IFERROR(__xludf.DUMMYFUNCTION("""COMPUTED_VALUE"""),"LBP General")</f>
        <v>LBP General</v>
      </c>
      <c r="G145" s="4"/>
      <c r="H145" s="4"/>
      <c r="I145" s="4"/>
      <c r="J145" s="4"/>
      <c r="K145" s="4"/>
      <c r="L145" s="4"/>
      <c r="M145" s="4"/>
      <c r="N145" s="4"/>
      <c r="O145" s="4"/>
      <c r="P145" s="4"/>
      <c r="Q145" s="4"/>
      <c r="R145" s="4"/>
      <c r="S145" s="19"/>
    </row>
    <row r="146" spans="1:19" ht="52.2" x14ac:dyDescent="0.25">
      <c r="A146" s="4">
        <f ca="1">IFERROR(__xludf.DUMMYFUNCTION("""COMPUTED_VALUE"""),2093534)</f>
        <v>2093534</v>
      </c>
      <c r="B146" s="19">
        <f ca="1">IFERROR(__xludf.DUMMYFUNCTION("""COMPUTED_VALUE"""),44875)</f>
        <v>44875</v>
      </c>
      <c r="C146" s="4" t="str">
        <f ca="1">IFERROR(__xludf.DUMMYFUNCTION("""COMPUTED_VALUE"""),"GSIS ")</f>
        <v xml:space="preserve">GSIS </v>
      </c>
      <c r="D146" s="4" t="str">
        <f ca="1">IFERROR(__xludf.DUMMYFUNCTION("""COMPUTED_VALUE"""),"Payment of telephone bill for the period of September 21, 2022 to October 20, 2022")</f>
        <v>Payment of telephone bill for the period of September 21, 2022 to October 20, 2022</v>
      </c>
      <c r="E146" s="5">
        <f ca="1">IFERROR(__xludf.DUMMYFUNCTION("""COMPUTED_VALUE"""),152442.87)</f>
        <v>152442.87</v>
      </c>
      <c r="F146" s="4" t="str">
        <f ca="1">IFERROR(__xludf.DUMMYFUNCTION("""COMPUTED_VALUE"""),"LBP General")</f>
        <v>LBP General</v>
      </c>
      <c r="G146" s="4"/>
      <c r="H146" s="4"/>
      <c r="I146" s="4"/>
      <c r="J146" s="4"/>
      <c r="K146" s="4"/>
      <c r="L146" s="4"/>
      <c r="M146" s="4"/>
      <c r="N146" s="4"/>
      <c r="O146" s="4"/>
      <c r="P146" s="4"/>
      <c r="Q146" s="4"/>
      <c r="R146" s="4"/>
      <c r="S146" s="19"/>
    </row>
    <row r="147" spans="1:19" ht="87" x14ac:dyDescent="0.25">
      <c r="A147" s="4">
        <f ca="1">IFERROR(__xludf.DUMMYFUNCTION("""COMPUTED_VALUE"""),2093535)</f>
        <v>2093535</v>
      </c>
      <c r="B147" s="19">
        <f ca="1">IFERROR(__xludf.DUMMYFUNCTION("""COMPUTED_VALUE"""),44875)</f>
        <v>44875</v>
      </c>
      <c r="C147" s="4" t="str">
        <f ca="1">IFERROR(__xludf.DUMMYFUNCTION("""COMPUTED_VALUE"""),"PLDT Inc. ")</f>
        <v xml:space="preserve">PLDT Inc. </v>
      </c>
      <c r="D147" s="4" t="str">
        <f ca="1">IFERROR(__xludf.DUMMYFUNCTION("""COMPUTED_VALUE"""),"Payment of monthly internet subscription plan for the period of Oct. 17, 2022 - Nov. 16, 2022 for NBI-Mariveles Satellite in FAB, Mariveles Bataan")</f>
        <v>Payment of monthly internet subscription plan for the period of Oct. 17, 2022 - Nov. 16, 2022 for NBI-Mariveles Satellite in FAB, Mariveles Bataan</v>
      </c>
      <c r="E147" s="5">
        <f ca="1">IFERROR(__xludf.DUMMYFUNCTION("""COMPUTED_VALUE"""),12890.62)</f>
        <v>12890.62</v>
      </c>
      <c r="F147" s="4" t="str">
        <f ca="1">IFERROR(__xludf.DUMMYFUNCTION("""COMPUTED_VALUE"""),"LBP General")</f>
        <v>LBP General</v>
      </c>
      <c r="G147" s="4"/>
      <c r="H147" s="4"/>
      <c r="I147" s="4"/>
      <c r="J147" s="4"/>
      <c r="K147" s="4"/>
      <c r="L147" s="4"/>
      <c r="M147" s="4"/>
      <c r="N147" s="4"/>
      <c r="O147" s="4"/>
      <c r="P147" s="4"/>
      <c r="Q147" s="4"/>
      <c r="R147" s="4"/>
      <c r="S147" s="19"/>
    </row>
    <row r="148" spans="1:19" ht="87" x14ac:dyDescent="0.25">
      <c r="A148" s="4">
        <f ca="1">IFERROR(__xludf.DUMMYFUNCTION("""COMPUTED_VALUE"""),2092082)</f>
        <v>2092082</v>
      </c>
      <c r="B148" s="19">
        <f ca="1">IFERROR(__xludf.DUMMYFUNCTION("""COMPUTED_VALUE"""),44876)</f>
        <v>44876</v>
      </c>
      <c r="C148" s="4" t="str">
        <f ca="1">IFERROR(__xludf.DUMMYFUNCTION("""COMPUTED_VALUE"""),"Jovy Z. Banzon ")</f>
        <v xml:space="preserve">Jovy Z. Banzon </v>
      </c>
      <c r="D148" s="4" t="str">
        <f ca="1">IFERROR(__xludf.DUMMYFUNCTION("""COMPUTED_VALUE"""),"Advance payment of Registration Fee and Per diem attending PCL Synchronized Regional Election for Luzon Cluster on November 25-26, 2022")</f>
        <v>Advance payment of Registration Fee and Per diem attending PCL Synchronized Regional Election for Luzon Cluster on November 25-26, 2022</v>
      </c>
      <c r="E148" s="5">
        <f ca="1">IFERROR(__xludf.DUMMYFUNCTION("""COMPUTED_VALUE"""),10600)</f>
        <v>10600</v>
      </c>
      <c r="F148" s="4" t="str">
        <f ca="1">IFERROR(__xludf.DUMMYFUNCTION("""COMPUTED_VALUE"""),"LBP General")</f>
        <v>LBP General</v>
      </c>
      <c r="G148" s="4"/>
      <c r="H148" s="4"/>
      <c r="I148" s="4"/>
      <c r="J148" s="4"/>
      <c r="K148" s="4"/>
      <c r="L148" s="4"/>
      <c r="M148" s="4"/>
      <c r="N148" s="4"/>
      <c r="O148" s="4"/>
      <c r="P148" s="4"/>
      <c r="Q148" s="4"/>
      <c r="R148" s="4"/>
      <c r="S148" s="19"/>
    </row>
    <row r="149" spans="1:19" ht="174" x14ac:dyDescent="0.25">
      <c r="A149" s="4">
        <f ca="1">IFERROR(__xludf.DUMMYFUNCTION("""COMPUTED_VALUE"""),2093538)</f>
        <v>2093538</v>
      </c>
      <c r="B149" s="19">
        <f ca="1">IFERROR(__xludf.DUMMYFUNCTION("""COMPUTED_VALUE"""),44876)</f>
        <v>44876</v>
      </c>
      <c r="C149" s="4" t="str">
        <f ca="1">IFERROR(__xludf.DUMMYFUNCTION("""COMPUTED_VALUE"""),"GSIS ")</f>
        <v xml:space="preserve">GSIS </v>
      </c>
      <c r="D149" s="4" t="str">
        <f ca="1">IFERROR(__xludf.DUMMYFUNCTION("""COMPUTED_VALUE"""),"Payment of fire insurance covering the ff: 1. Brgy. Hall Bldg. - Baluy I, Pilar, Bataan, 2. Tennis Court - Dona Maria, Tenejero, COB, 3. MRF Bldg. - Brgy. Silahis, Orani, Bataan, 4. Brgy. Hall Bldg. - Brgy. Pantalan Bago, Orani, Bataan, 5. Permiter Fence "&amp;"&amp; Installation of Lightning System - JPMH, San Ramon, Dinalupihan, Bataan")</f>
        <v>Payment of fire insurance covering the ff: 1. Brgy. Hall Bldg. - Baluy I, Pilar, Bataan, 2. Tennis Court - Dona Maria, Tenejero, COB, 3. MRF Bldg. - Brgy. Silahis, Orani, Bataan, 4. Brgy. Hall Bldg. - Brgy. Pantalan Bago, Orani, Bataan, 5. Permiter Fence &amp; Installation of Lightning System - JPMH, San Ramon, Dinalupihan, Bataan</v>
      </c>
      <c r="E149" s="5">
        <f ca="1">IFERROR(__xludf.DUMMYFUNCTION("""COMPUTED_VALUE"""),152172)</f>
        <v>152172</v>
      </c>
      <c r="F149" s="4" t="str">
        <f ca="1">IFERROR(__xludf.DUMMYFUNCTION("""COMPUTED_VALUE"""),"LBP General")</f>
        <v>LBP General</v>
      </c>
      <c r="G149" s="4"/>
      <c r="H149" s="4"/>
      <c r="I149" s="4"/>
      <c r="J149" s="4"/>
      <c r="K149" s="4"/>
      <c r="L149" s="4"/>
      <c r="M149" s="4"/>
      <c r="N149" s="4"/>
      <c r="O149" s="4"/>
      <c r="P149" s="4"/>
      <c r="Q149" s="4"/>
      <c r="R149" s="4"/>
      <c r="S149" s="19"/>
    </row>
    <row r="150" spans="1:19" ht="87" x14ac:dyDescent="0.25">
      <c r="A150" s="4">
        <f ca="1">IFERROR(__xludf.DUMMYFUNCTION("""COMPUTED_VALUE"""),2093551)</f>
        <v>2093551</v>
      </c>
      <c r="B150" s="19">
        <f ca="1">IFERROR(__xludf.DUMMYFUNCTION("""COMPUTED_VALUE"""),44876)</f>
        <v>44876</v>
      </c>
      <c r="C150" s="4" t="str">
        <f ca="1">IFERROR(__xludf.DUMMYFUNCTION("""COMPUTED_VALUE"""),"JMD Diamond Construction Services ")</f>
        <v xml:space="preserve">JMD Diamond Construction Services </v>
      </c>
      <c r="D150" s="4" t="str">
        <f ca="1">IFERROR(__xludf.DUMMYFUNCTION("""COMPUTED_VALUE"""),"100% FULL PAYMENT OF LABOR AND MATERIALS FOR THE CONSTRUCTION OF DRAINAGE SYSTEM, BRGY.STA. ELENA ORION,BATAAN")</f>
        <v>100% FULL PAYMENT OF LABOR AND MATERIALS FOR THE CONSTRUCTION OF DRAINAGE SYSTEM, BRGY.STA. ELENA ORION,BATAAN</v>
      </c>
      <c r="E150" s="5">
        <f ca="1">IFERROR(__xludf.DUMMYFUNCTION("""COMPUTED_VALUE"""),1822164.8)</f>
        <v>1822164.8</v>
      </c>
      <c r="F150" s="4" t="str">
        <f ca="1">IFERROR(__xludf.DUMMYFUNCTION("""COMPUTED_VALUE"""),"LBP General")</f>
        <v>LBP General</v>
      </c>
      <c r="G150" s="4"/>
      <c r="H150" s="4"/>
      <c r="I150" s="4"/>
      <c r="J150" s="4"/>
      <c r="K150" s="4"/>
      <c r="L150" s="4"/>
      <c r="M150" s="4"/>
      <c r="N150" s="4"/>
      <c r="O150" s="4"/>
      <c r="P150" s="4"/>
      <c r="Q150" s="4"/>
      <c r="R150" s="4"/>
      <c r="S150" s="19"/>
    </row>
    <row r="151" spans="1:19" ht="34.799999999999997" x14ac:dyDescent="0.25">
      <c r="A151" s="4">
        <f ca="1">IFERROR(__xludf.DUMMYFUNCTION("""COMPUTED_VALUE"""),2093553)</f>
        <v>2093553</v>
      </c>
      <c r="B151" s="19">
        <f ca="1">IFERROR(__xludf.DUMMYFUNCTION("""COMPUTED_VALUE"""),44876)</f>
        <v>44876</v>
      </c>
      <c r="C151" s="4" t="str">
        <f ca="1">IFERROR(__xludf.DUMMYFUNCTION("""COMPUTED_VALUE"""),"Abuntoy Glassware ")</f>
        <v xml:space="preserve">Abuntoy Glassware </v>
      </c>
      <c r="D151" s="4" t="str">
        <f ca="1">IFERROR(__xludf.DUMMYFUNCTION("""COMPUTED_VALUE"""),"Used sack for Coastal Clean-up Activity on September 17, 2022")</f>
        <v>Used sack for Coastal Clean-up Activity on September 17, 2022</v>
      </c>
      <c r="E151" s="5">
        <f ca="1">IFERROR(__xludf.DUMMYFUNCTION("""COMPUTED_VALUE"""),38220)</f>
        <v>38220</v>
      </c>
      <c r="F151" s="4" t="str">
        <f ca="1">IFERROR(__xludf.DUMMYFUNCTION("""COMPUTED_VALUE"""),"LBP General")</f>
        <v>LBP General</v>
      </c>
      <c r="G151" s="4"/>
      <c r="H151" s="4"/>
      <c r="I151" s="4"/>
      <c r="J151" s="4"/>
      <c r="K151" s="4"/>
      <c r="L151" s="4"/>
      <c r="M151" s="4"/>
      <c r="N151" s="4"/>
      <c r="O151" s="4"/>
      <c r="P151" s="4"/>
      <c r="Q151" s="4"/>
      <c r="R151" s="4"/>
      <c r="S151" s="19"/>
    </row>
    <row r="152" spans="1:19" ht="52.2" x14ac:dyDescent="0.25">
      <c r="A152" s="4">
        <f ca="1">IFERROR(__xludf.DUMMYFUNCTION("""COMPUTED_VALUE"""),2093554)</f>
        <v>2093554</v>
      </c>
      <c r="B152" s="19">
        <f ca="1">IFERROR(__xludf.DUMMYFUNCTION("""COMPUTED_VALUE"""),44876)</f>
        <v>44876</v>
      </c>
      <c r="C152" s="4" t="str">
        <f ca="1">IFERROR(__xludf.DUMMYFUNCTION("""COMPUTED_VALUE"""),"Christopher Leonzon ")</f>
        <v xml:space="preserve">Christopher Leonzon </v>
      </c>
      <c r="D152" s="4" t="str">
        <f ca="1">IFERROR(__xludf.DUMMYFUNCTION("""COMPUTED_VALUE"""),"Payment of Representation Allowance for the months of October and November 2022")</f>
        <v>Payment of Representation Allowance for the months of October and November 2022</v>
      </c>
      <c r="E152" s="5">
        <f ca="1">IFERROR(__xludf.DUMMYFUNCTION("""COMPUTED_VALUE"""),17000)</f>
        <v>17000</v>
      </c>
      <c r="F152" s="4" t="str">
        <f ca="1">IFERROR(__xludf.DUMMYFUNCTION("""COMPUTED_VALUE"""),"LBP General")</f>
        <v>LBP General</v>
      </c>
      <c r="G152" s="4"/>
      <c r="H152" s="4"/>
      <c r="I152" s="4"/>
      <c r="J152" s="4"/>
      <c r="K152" s="4"/>
      <c r="L152" s="4"/>
      <c r="M152" s="4"/>
      <c r="N152" s="4"/>
      <c r="O152" s="4"/>
      <c r="P152" s="4"/>
      <c r="Q152" s="4"/>
      <c r="R152" s="4"/>
      <c r="S152" s="19"/>
    </row>
    <row r="153" spans="1:19" ht="52.2" x14ac:dyDescent="0.25">
      <c r="A153" s="4">
        <f ca="1">IFERROR(__xludf.DUMMYFUNCTION("""COMPUTED_VALUE"""),2093562)</f>
        <v>2093562</v>
      </c>
      <c r="B153" s="19">
        <f ca="1">IFERROR(__xludf.DUMMYFUNCTION("""COMPUTED_VALUE"""),44876)</f>
        <v>44876</v>
      </c>
      <c r="C153" s="4" t="str">
        <f ca="1">IFERROR(__xludf.DUMMYFUNCTION("""COMPUTED_VALUE"""),"Rosalie P. Manubay, MD. ")</f>
        <v xml:space="preserve">Rosalie P. Manubay, MD. </v>
      </c>
      <c r="D153" s="4" t="str">
        <f ca="1">IFERROR(__xludf.DUMMYFUNCTION("""COMPUTED_VALUE"""),"Reimbursement of gasoline, oil and lubricants expenses of ODH from August 1 - 15, 2022")</f>
        <v>Reimbursement of gasoline, oil and lubricants expenses of ODH from August 1 - 15, 2022</v>
      </c>
      <c r="E153" s="5">
        <f ca="1">IFERROR(__xludf.DUMMYFUNCTION("""COMPUTED_VALUE"""),10000)</f>
        <v>10000</v>
      </c>
      <c r="F153" s="4" t="str">
        <f ca="1">IFERROR(__xludf.DUMMYFUNCTION("""COMPUTED_VALUE"""),"LBP General")</f>
        <v>LBP General</v>
      </c>
      <c r="G153" s="4"/>
      <c r="H153" s="4"/>
      <c r="I153" s="4"/>
      <c r="J153" s="4"/>
      <c r="K153" s="4"/>
      <c r="L153" s="4"/>
      <c r="M153" s="4"/>
      <c r="N153" s="4"/>
      <c r="O153" s="4"/>
      <c r="P153" s="4"/>
      <c r="Q153" s="4"/>
      <c r="R153" s="4"/>
      <c r="S153" s="19"/>
    </row>
    <row r="154" spans="1:19" ht="87" x14ac:dyDescent="0.25">
      <c r="A154" s="4">
        <f ca="1">IFERROR(__xludf.DUMMYFUNCTION("""COMPUTED_VALUE"""),2093563)</f>
        <v>2093563</v>
      </c>
      <c r="B154" s="19">
        <f ca="1">IFERROR(__xludf.DUMMYFUNCTION("""COMPUTED_VALUE"""),44876)</f>
        <v>44876</v>
      </c>
      <c r="C154" s="4" t="str">
        <f ca="1">IFERROR(__xludf.DUMMYFUNCTION("""COMPUTED_VALUE"""),"Rosalie P. Manubay, MD. ")</f>
        <v xml:space="preserve">Rosalie P. Manubay, MD. </v>
      </c>
      <c r="D154" s="4" t="str">
        <f ca="1">IFERROR(__xludf.DUMMYFUNCTION("""COMPUTED_VALUE"""),"Replenishment of Medicines, Supplies, X-ray &amp; Laboratory Expenses under the Philhealth No Balance Billing (NBB) of Indigent patients in ODH from October 10-15, 2022")</f>
        <v>Replenishment of Medicines, Supplies, X-ray &amp; Laboratory Expenses under the Philhealth No Balance Billing (NBB) of Indigent patients in ODH from October 10-15, 2022</v>
      </c>
      <c r="E154" s="5">
        <f ca="1">IFERROR(__xludf.DUMMYFUNCTION("""COMPUTED_VALUE"""),32154)</f>
        <v>32154</v>
      </c>
      <c r="F154" s="4" t="str">
        <f ca="1">IFERROR(__xludf.DUMMYFUNCTION("""COMPUTED_VALUE"""),"LBP General")</f>
        <v>LBP General</v>
      </c>
      <c r="G154" s="4"/>
      <c r="H154" s="4"/>
      <c r="I154" s="4"/>
      <c r="J154" s="4"/>
      <c r="K154" s="4"/>
      <c r="L154" s="4"/>
      <c r="M154" s="4"/>
      <c r="N154" s="4"/>
      <c r="O154" s="4"/>
      <c r="P154" s="4"/>
      <c r="Q154" s="4"/>
      <c r="R154" s="4"/>
      <c r="S154" s="19"/>
    </row>
    <row r="155" spans="1:19" ht="52.2" x14ac:dyDescent="0.25">
      <c r="A155" s="4">
        <f ca="1">IFERROR(__xludf.DUMMYFUNCTION("""COMPUTED_VALUE"""),2093564)</f>
        <v>2093564</v>
      </c>
      <c r="B155" s="19">
        <f ca="1">IFERROR(__xludf.DUMMYFUNCTION("""COMPUTED_VALUE"""),44876)</f>
        <v>44876</v>
      </c>
      <c r="C155" s="4" t="str">
        <f ca="1">IFERROR(__xludf.DUMMYFUNCTION("""COMPUTED_VALUE"""),"Rosalie P. Manubay, MD. ")</f>
        <v xml:space="preserve">Rosalie P. Manubay, MD. </v>
      </c>
      <c r="D155" s="4" t="str">
        <f ca="1">IFERROR(__xludf.DUMMYFUNCTION("""COMPUTED_VALUE"""),"Reimbursement of gasoline, oil and lubricants expenses of ODH from August 16 - 31, 2022")</f>
        <v>Reimbursement of gasoline, oil and lubricants expenses of ODH from August 16 - 31, 2022</v>
      </c>
      <c r="E155" s="5">
        <f ca="1">IFERROR(__xludf.DUMMYFUNCTION("""COMPUTED_VALUE"""),16000)</f>
        <v>16000</v>
      </c>
      <c r="F155" s="4" t="str">
        <f ca="1">IFERROR(__xludf.DUMMYFUNCTION("""COMPUTED_VALUE"""),"LBP General")</f>
        <v>LBP General</v>
      </c>
      <c r="G155" s="4"/>
      <c r="H155" s="4"/>
      <c r="I155" s="4"/>
      <c r="J155" s="4"/>
      <c r="K155" s="4"/>
      <c r="L155" s="4"/>
      <c r="M155" s="4"/>
      <c r="N155" s="4"/>
      <c r="O155" s="4"/>
      <c r="P155" s="4"/>
      <c r="Q155" s="4"/>
      <c r="R155" s="4"/>
      <c r="S155" s="19"/>
    </row>
    <row r="156" spans="1:19" ht="34.799999999999997" x14ac:dyDescent="0.25">
      <c r="A156" s="4">
        <f ca="1">IFERROR(__xludf.DUMMYFUNCTION("""COMPUTED_VALUE"""),2093569)</f>
        <v>2093569</v>
      </c>
      <c r="B156" s="19">
        <f ca="1">IFERROR(__xludf.DUMMYFUNCTION("""COMPUTED_VALUE"""),44876)</f>
        <v>44876</v>
      </c>
      <c r="C156" s="4" t="str">
        <f ca="1">IFERROR(__xludf.DUMMYFUNCTION("""COMPUTED_VALUE"""),"Cynthia M. Tolentino ")</f>
        <v xml:space="preserve">Cynthia M. Tolentino </v>
      </c>
      <c r="D156" s="4" t="str">
        <f ca="1">IFERROR(__xludf.DUMMYFUNCTION("""COMPUTED_VALUE"""),"Replenishment for market purchases for the period of October 21 - 31, 2022")</f>
        <v>Replenishment for market purchases for the period of October 21 - 31, 2022</v>
      </c>
      <c r="E156" s="5">
        <f ca="1">IFERROR(__xludf.DUMMYFUNCTION("""COMPUTED_VALUE"""),86583)</f>
        <v>86583</v>
      </c>
      <c r="F156" s="4" t="str">
        <f ca="1">IFERROR(__xludf.DUMMYFUNCTION("""COMPUTED_VALUE"""),"LBP General")</f>
        <v>LBP General</v>
      </c>
      <c r="G156" s="4"/>
      <c r="H156" s="4"/>
      <c r="I156" s="4"/>
      <c r="J156" s="4"/>
      <c r="K156" s="4"/>
      <c r="L156" s="4"/>
      <c r="M156" s="4"/>
      <c r="N156" s="4"/>
      <c r="O156" s="4"/>
      <c r="P156" s="4"/>
      <c r="Q156" s="4"/>
      <c r="R156" s="4"/>
      <c r="S156" s="19"/>
    </row>
    <row r="157" spans="1:19" ht="17.399999999999999" x14ac:dyDescent="0.25">
      <c r="A157" s="4">
        <f ca="1">IFERROR(__xludf.DUMMYFUNCTION("""COMPUTED_VALUE"""),2093570)</f>
        <v>2093570</v>
      </c>
      <c r="B157" s="19">
        <f ca="1">IFERROR(__xludf.DUMMYFUNCTION("""COMPUTED_VALUE"""),44876)</f>
        <v>44876</v>
      </c>
      <c r="C157" s="4" t="str">
        <f ca="1">IFERROR(__xludf.DUMMYFUNCTION("""COMPUTED_VALUE"""),"PLDT Inc. ")</f>
        <v xml:space="preserve">PLDT Inc. </v>
      </c>
      <c r="D157" s="4" t="str">
        <f ca="1">IFERROR(__xludf.DUMMYFUNCTION("""COMPUTED_VALUE"""),"Payment of internet bill for the PHO")</f>
        <v>Payment of internet bill for the PHO</v>
      </c>
      <c r="E157" s="5">
        <f ca="1">IFERROR(__xludf.DUMMYFUNCTION("""COMPUTED_VALUE"""),3043.78)</f>
        <v>3043.78</v>
      </c>
      <c r="F157" s="4" t="str">
        <f ca="1">IFERROR(__xludf.DUMMYFUNCTION("""COMPUTED_VALUE"""),"LBP General")</f>
        <v>LBP General</v>
      </c>
      <c r="G157" s="4"/>
      <c r="H157" s="4"/>
      <c r="I157" s="4"/>
      <c r="J157" s="4"/>
      <c r="K157" s="4"/>
      <c r="L157" s="4"/>
      <c r="M157" s="4"/>
      <c r="N157" s="4"/>
      <c r="O157" s="4"/>
      <c r="P157" s="4"/>
      <c r="Q157" s="4"/>
      <c r="R157" s="4"/>
      <c r="S157" s="19"/>
    </row>
    <row r="158" spans="1:19" ht="69.599999999999994" x14ac:dyDescent="0.25">
      <c r="A158" s="4">
        <f ca="1">IFERROR(__xludf.DUMMYFUNCTION("""COMPUTED_VALUE"""),2092083)</f>
        <v>2092083</v>
      </c>
      <c r="B158" s="19">
        <f ca="1">IFERROR(__xludf.DUMMYFUNCTION("""COMPUTED_VALUE"""),44879)</f>
        <v>44879</v>
      </c>
      <c r="C158" s="4" t="str">
        <f ca="1">IFERROR(__xludf.DUMMYFUNCTION("""COMPUTED_VALUE"""),"Angelito M. Sunga ")</f>
        <v xml:space="preserve">Angelito M. Sunga </v>
      </c>
      <c r="D158" s="4" t="str">
        <f ca="1">IFERROR(__xludf.DUMMYFUNCTION("""COMPUTED_VALUE"""),"Reimbursement of the amount paid for fuel consumption of the government vehicle Ford Everest IO 4973 for the month of October 2022")</f>
        <v>Reimbursement of the amount paid for fuel consumption of the government vehicle Ford Everest IO 4973 for the month of October 2022</v>
      </c>
      <c r="E158" s="5">
        <f ca="1">IFERROR(__xludf.DUMMYFUNCTION("""COMPUTED_VALUE"""),20000)</f>
        <v>20000</v>
      </c>
      <c r="F158" s="4" t="str">
        <f ca="1">IFERROR(__xludf.DUMMYFUNCTION("""COMPUTED_VALUE"""),"LBP General")</f>
        <v>LBP General</v>
      </c>
      <c r="G158" s="4"/>
      <c r="H158" s="4"/>
      <c r="I158" s="4"/>
      <c r="J158" s="4"/>
      <c r="K158" s="4"/>
      <c r="L158" s="4"/>
      <c r="M158" s="4"/>
      <c r="N158" s="4"/>
      <c r="O158" s="4"/>
      <c r="P158" s="4"/>
      <c r="Q158" s="4"/>
      <c r="R158" s="4"/>
      <c r="S158" s="19"/>
    </row>
    <row r="159" spans="1:19" ht="69.599999999999994" x14ac:dyDescent="0.25">
      <c r="A159" s="4">
        <f ca="1">IFERROR(__xludf.DUMMYFUNCTION("""COMPUTED_VALUE"""),2092084)</f>
        <v>2092084</v>
      </c>
      <c r="B159" s="19">
        <f ca="1">IFERROR(__xludf.DUMMYFUNCTION("""COMPUTED_VALUE"""),44879)</f>
        <v>44879</v>
      </c>
      <c r="C159" s="4" t="str">
        <f ca="1">IFERROR(__xludf.DUMMYFUNCTION("""COMPUTED_VALUE"""),"Doroteo M. Austria ")</f>
        <v xml:space="preserve">Doroteo M. Austria </v>
      </c>
      <c r="D159" s="4" t="str">
        <f ca="1">IFERROR(__xludf.DUMMYFUNCTION("""COMPUTED_VALUE"""),"Reimbursement of the amount paid for fuel consumption of the government vehicle Ford Everest IP 0801 for the month of October, 2022")</f>
        <v>Reimbursement of the amount paid for fuel consumption of the government vehicle Ford Everest IP 0801 for the month of October, 2022</v>
      </c>
      <c r="E159" s="5">
        <f ca="1">IFERROR(__xludf.DUMMYFUNCTION("""COMPUTED_VALUE"""),20000)</f>
        <v>20000</v>
      </c>
      <c r="F159" s="4" t="str">
        <f ca="1">IFERROR(__xludf.DUMMYFUNCTION("""COMPUTED_VALUE"""),"LBP General")</f>
        <v>LBP General</v>
      </c>
      <c r="G159" s="4"/>
      <c r="H159" s="4"/>
      <c r="I159" s="4"/>
      <c r="J159" s="4"/>
      <c r="K159" s="4"/>
      <c r="L159" s="4"/>
      <c r="M159" s="4"/>
      <c r="N159" s="4"/>
      <c r="O159" s="4"/>
      <c r="P159" s="4"/>
      <c r="Q159" s="4"/>
      <c r="R159" s="4"/>
      <c r="S159" s="19"/>
    </row>
    <row r="160" spans="1:19" ht="69.599999999999994" x14ac:dyDescent="0.25">
      <c r="A160" s="4">
        <f ca="1">IFERROR(__xludf.DUMMYFUNCTION("""COMPUTED_VALUE"""),2092085)</f>
        <v>2092085</v>
      </c>
      <c r="B160" s="19">
        <f ca="1">IFERROR(__xludf.DUMMYFUNCTION("""COMPUTED_VALUE"""),44879)</f>
        <v>44879</v>
      </c>
      <c r="C160" s="4" t="str">
        <f ca="1">IFERROR(__xludf.DUMMYFUNCTION("""COMPUTED_VALUE"""),"Benjamin C. Serrano Jr. ")</f>
        <v xml:space="preserve">Benjamin C. Serrano Jr. </v>
      </c>
      <c r="D160" s="4" t="str">
        <f ca="1">IFERROR(__xludf.DUMMYFUNCTION("""COMPUTED_VALUE"""),"Reimbursement of the amount paid for fuel consumption of government vehicle Ford Everest IP 0816 for the month of October, 2022")</f>
        <v>Reimbursement of the amount paid for fuel consumption of government vehicle Ford Everest IP 0816 for the month of October, 2022</v>
      </c>
      <c r="E160" s="5">
        <f ca="1">IFERROR(__xludf.DUMMYFUNCTION("""COMPUTED_VALUE"""),20000)</f>
        <v>20000</v>
      </c>
      <c r="F160" s="4" t="str">
        <f ca="1">IFERROR(__xludf.DUMMYFUNCTION("""COMPUTED_VALUE"""),"LBP General")</f>
        <v>LBP General</v>
      </c>
      <c r="G160" s="4"/>
      <c r="H160" s="4"/>
      <c r="I160" s="4"/>
      <c r="J160" s="4"/>
      <c r="K160" s="4"/>
      <c r="L160" s="4"/>
      <c r="M160" s="4"/>
      <c r="N160" s="4"/>
      <c r="O160" s="4"/>
      <c r="P160" s="4"/>
      <c r="Q160" s="4"/>
      <c r="R160" s="4"/>
      <c r="S160" s="19"/>
    </row>
    <row r="161" spans="1:19" ht="69.599999999999994" x14ac:dyDescent="0.25">
      <c r="A161" s="4">
        <f ca="1">IFERROR(__xludf.DUMMYFUNCTION("""COMPUTED_VALUE"""),2092086)</f>
        <v>2092086</v>
      </c>
      <c r="B161" s="19">
        <f ca="1">IFERROR(__xludf.DUMMYFUNCTION("""COMPUTED_VALUE"""),44879)</f>
        <v>44879</v>
      </c>
      <c r="C161" s="4" t="str">
        <f ca="1">IFERROR(__xludf.DUMMYFUNCTION("""COMPUTED_VALUE"""),"Jorge S. Estanislao ")</f>
        <v xml:space="preserve">Jorge S. Estanislao </v>
      </c>
      <c r="D161" s="4" t="str">
        <f ca="1">IFERROR(__xludf.DUMMYFUNCTION("""COMPUTED_VALUE"""),"Reimbursement of the amount paid for fuel consumption of Gov't vehicle Ford Everest IO 9547 for the month of October 2022")</f>
        <v>Reimbursement of the amount paid for fuel consumption of Gov't vehicle Ford Everest IO 9547 for the month of October 2022</v>
      </c>
      <c r="E161" s="5">
        <f ca="1">IFERROR(__xludf.DUMMYFUNCTION("""COMPUTED_VALUE"""),20000)</f>
        <v>20000</v>
      </c>
      <c r="F161" s="4" t="str">
        <f ca="1">IFERROR(__xludf.DUMMYFUNCTION("""COMPUTED_VALUE"""),"LBP General")</f>
        <v>LBP General</v>
      </c>
      <c r="G161" s="4"/>
      <c r="H161" s="4"/>
      <c r="I161" s="4"/>
      <c r="J161" s="4"/>
      <c r="K161" s="4"/>
      <c r="L161" s="4"/>
      <c r="M161" s="4"/>
      <c r="N161" s="4"/>
      <c r="O161" s="4"/>
      <c r="P161" s="4"/>
      <c r="Q161" s="4"/>
      <c r="R161" s="4"/>
      <c r="S161" s="19"/>
    </row>
    <row r="162" spans="1:19" ht="69.599999999999994" x14ac:dyDescent="0.25">
      <c r="A162" s="4">
        <f ca="1">IFERROR(__xludf.DUMMYFUNCTION("""COMPUTED_VALUE"""),2092087)</f>
        <v>2092087</v>
      </c>
      <c r="B162" s="19">
        <f ca="1">IFERROR(__xludf.DUMMYFUNCTION("""COMPUTED_VALUE"""),44879)</f>
        <v>44879</v>
      </c>
      <c r="C162" s="4" t="str">
        <f ca="1">IFERROR(__xludf.DUMMYFUNCTION("""COMPUTED_VALUE"""),"Manuel N. Beltran ")</f>
        <v xml:space="preserve">Manuel N. Beltran </v>
      </c>
      <c r="D162" s="4" t="str">
        <f ca="1">IFERROR(__xludf.DUMMYFUNCTION("""COMPUTED_VALUE"""),"Reimbursment of the amount paid for fuel consumption of the Government vehicle Ford Everest IO 4423 for the month of October, 2022")</f>
        <v>Reimbursment of the amount paid for fuel consumption of the Government vehicle Ford Everest IO 4423 for the month of October, 2022</v>
      </c>
      <c r="E162" s="5">
        <f ca="1">IFERROR(__xludf.DUMMYFUNCTION("""COMPUTED_VALUE"""),20000)</f>
        <v>20000</v>
      </c>
      <c r="F162" s="4" t="str">
        <f ca="1">IFERROR(__xludf.DUMMYFUNCTION("""COMPUTED_VALUE"""),"LBP General")</f>
        <v>LBP General</v>
      </c>
      <c r="G162" s="4"/>
      <c r="H162" s="4"/>
      <c r="I162" s="4"/>
      <c r="J162" s="4"/>
      <c r="K162" s="4"/>
      <c r="L162" s="4"/>
      <c r="M162" s="4"/>
      <c r="N162" s="4"/>
      <c r="O162" s="4"/>
      <c r="P162" s="4"/>
      <c r="Q162" s="4"/>
      <c r="R162" s="4"/>
      <c r="S162" s="19"/>
    </row>
    <row r="163" spans="1:19" ht="69.599999999999994" x14ac:dyDescent="0.25">
      <c r="A163" s="4">
        <f ca="1">IFERROR(__xludf.DUMMYFUNCTION("""COMPUTED_VALUE"""),2093572)</f>
        <v>2093572</v>
      </c>
      <c r="B163" s="19">
        <f ca="1">IFERROR(__xludf.DUMMYFUNCTION("""COMPUTED_VALUE"""),44879)</f>
        <v>44879</v>
      </c>
      <c r="C163" s="4" t="str">
        <f ca="1">IFERROR(__xludf.DUMMYFUNCTION("""COMPUTED_VALUE"""),"Regine P. Mendoza ")</f>
        <v xml:space="preserve">Regine P. Mendoza </v>
      </c>
      <c r="D163" s="4" t="str">
        <f ca="1">IFERROR(__xludf.DUMMYFUNCTION("""COMPUTED_VALUE"""),"Replenishment of Revolving Fund for payment of donation to indigent constituents from Province of Bataan (November 09-10)")</f>
        <v>Replenishment of Revolving Fund for payment of donation to indigent constituents from Province of Bataan (November 09-10)</v>
      </c>
      <c r="E163" s="5">
        <f ca="1">IFERROR(__xludf.DUMMYFUNCTION("""COMPUTED_VALUE"""),323900)</f>
        <v>323900</v>
      </c>
      <c r="F163" s="4" t="str">
        <f ca="1">IFERROR(__xludf.DUMMYFUNCTION("""COMPUTED_VALUE"""),"LBP General")</f>
        <v>LBP General</v>
      </c>
      <c r="G163" s="4"/>
      <c r="H163" s="4"/>
      <c r="I163" s="4"/>
      <c r="J163" s="4"/>
      <c r="K163" s="4"/>
      <c r="L163" s="4"/>
      <c r="M163" s="4"/>
      <c r="N163" s="4"/>
      <c r="O163" s="4"/>
      <c r="P163" s="4"/>
      <c r="Q163" s="4"/>
      <c r="R163" s="4"/>
      <c r="S163" s="19"/>
    </row>
    <row r="164" spans="1:19" ht="34.799999999999997" x14ac:dyDescent="0.25">
      <c r="A164" s="4">
        <f ca="1">IFERROR(__xludf.DUMMYFUNCTION("""COMPUTED_VALUE"""),2093573)</f>
        <v>2093573</v>
      </c>
      <c r="B164" s="19">
        <f ca="1">IFERROR(__xludf.DUMMYFUNCTION("""COMPUTED_VALUE"""),44879)</f>
        <v>44879</v>
      </c>
      <c r="C164" s="4" t="str">
        <f ca="1">IFERROR(__xludf.DUMMYFUNCTION("""COMPUTED_VALUE"""),"Loida T. Ocampo ")</f>
        <v xml:space="preserve">Loida T. Ocampo </v>
      </c>
      <c r="D164" s="4" t="str">
        <f ca="1">IFERROR(__xludf.DUMMYFUNCTION("""COMPUTED_VALUE"""),"Allowance for the month of October 2022")</f>
        <v>Allowance for the month of October 2022</v>
      </c>
      <c r="E164" s="5">
        <f ca="1">IFERROR(__xludf.DUMMYFUNCTION("""COMPUTED_VALUE"""),6000)</f>
        <v>6000</v>
      </c>
      <c r="F164" s="4" t="str">
        <f ca="1">IFERROR(__xludf.DUMMYFUNCTION("""COMPUTED_VALUE"""),"LBP General")</f>
        <v>LBP General</v>
      </c>
      <c r="G164" s="4"/>
      <c r="H164" s="4"/>
      <c r="I164" s="4"/>
      <c r="J164" s="4"/>
      <c r="K164" s="4"/>
      <c r="L164" s="4"/>
      <c r="M164" s="4"/>
      <c r="N164" s="4"/>
      <c r="O164" s="4"/>
      <c r="P164" s="4"/>
      <c r="Q164" s="4"/>
      <c r="R164" s="4"/>
      <c r="S164" s="19"/>
    </row>
    <row r="165" spans="1:19" ht="52.2" x14ac:dyDescent="0.25">
      <c r="A165" s="4">
        <f ca="1">IFERROR(__xludf.DUMMYFUNCTION("""COMPUTED_VALUE"""),2093574)</f>
        <v>2093574</v>
      </c>
      <c r="B165" s="19">
        <f ca="1">IFERROR(__xludf.DUMMYFUNCTION("""COMPUTED_VALUE"""),44879)</f>
        <v>44879</v>
      </c>
      <c r="C165" s="4" t="str">
        <f ca="1">IFERROR(__xludf.DUMMYFUNCTION("""COMPUTED_VALUE"""),"Peninsula Electric Cooperative, Inc. ")</f>
        <v xml:space="preserve">Peninsula Electric Cooperative, Inc. </v>
      </c>
      <c r="D165" s="4" t="str">
        <f ca="1">IFERROR(__xludf.DUMMYFUNCTION("""COMPUTED_VALUE"""),"Payment of Electric Bill of waiting shed terminal, MBDA Satelite Office, People CTR 3 for the month of October 2022")</f>
        <v>Payment of Electric Bill of waiting shed terminal, MBDA Satelite Office, People CTR 3 for the month of October 2022</v>
      </c>
      <c r="E165" s="5">
        <f ca="1">IFERROR(__xludf.DUMMYFUNCTION("""COMPUTED_VALUE"""),384196.62)</f>
        <v>384196.62</v>
      </c>
      <c r="F165" s="4" t="str">
        <f ca="1">IFERROR(__xludf.DUMMYFUNCTION("""COMPUTED_VALUE"""),"LBP General")</f>
        <v>LBP General</v>
      </c>
      <c r="G165" s="4"/>
      <c r="H165" s="4"/>
      <c r="I165" s="4"/>
      <c r="J165" s="4"/>
      <c r="K165" s="4"/>
      <c r="L165" s="4"/>
      <c r="M165" s="4"/>
      <c r="N165" s="4"/>
      <c r="O165" s="4"/>
      <c r="P165" s="4"/>
      <c r="Q165" s="4"/>
      <c r="R165" s="4"/>
      <c r="S165" s="19"/>
    </row>
    <row r="166" spans="1:19" ht="69.599999999999994" x14ac:dyDescent="0.25">
      <c r="A166" s="4">
        <f ca="1">IFERROR(__xludf.DUMMYFUNCTION("""COMPUTED_VALUE"""),2093575)</f>
        <v>2093575</v>
      </c>
      <c r="B166" s="19">
        <f ca="1">IFERROR(__xludf.DUMMYFUNCTION("""COMPUTED_VALUE"""),44879)</f>
        <v>44879</v>
      </c>
      <c r="C166" s="4" t="str">
        <f ca="1">IFERROR(__xludf.DUMMYFUNCTION("""COMPUTED_VALUE"""),"Peninsula Electric Cooperative, Inc. ")</f>
        <v xml:space="preserve">Peninsula Electric Cooperative, Inc. </v>
      </c>
      <c r="D166" s="4" t="str">
        <f ca="1">IFERROR(__xludf.DUMMYFUNCTION("""COMPUTED_VALUE"""),"Payment of Electric bill of PGSO Checkpoint Brgy. Tucop and Roosevelt, Dinalupihan and BJMP Orani for the month of October 2022")</f>
        <v>Payment of Electric bill of PGSO Checkpoint Brgy. Tucop and Roosevelt, Dinalupihan and BJMP Orani for the month of October 2022</v>
      </c>
      <c r="E166" s="5">
        <f ca="1">IFERROR(__xludf.DUMMYFUNCTION("""COMPUTED_VALUE"""),697601.62)</f>
        <v>697601.62</v>
      </c>
      <c r="F166" s="4" t="str">
        <f ca="1">IFERROR(__xludf.DUMMYFUNCTION("""COMPUTED_VALUE"""),"LBP General")</f>
        <v>LBP General</v>
      </c>
      <c r="G166" s="4"/>
      <c r="H166" s="4"/>
      <c r="I166" s="4"/>
      <c r="J166" s="4"/>
      <c r="K166" s="4"/>
      <c r="L166" s="4"/>
      <c r="M166" s="4"/>
      <c r="N166" s="4"/>
      <c r="O166" s="4"/>
      <c r="P166" s="4"/>
      <c r="Q166" s="4"/>
      <c r="R166" s="4"/>
      <c r="S166" s="19"/>
    </row>
    <row r="167" spans="1:19" ht="69.599999999999994" x14ac:dyDescent="0.25">
      <c r="A167" s="4">
        <f ca="1">IFERROR(__xludf.DUMMYFUNCTION("""COMPUTED_VALUE"""),2093576)</f>
        <v>2093576</v>
      </c>
      <c r="B167" s="19">
        <f ca="1">IFERROR(__xludf.DUMMYFUNCTION("""COMPUTED_VALUE"""),44879)</f>
        <v>44879</v>
      </c>
      <c r="C167" s="4" t="str">
        <f ca="1">IFERROR(__xludf.DUMMYFUNCTION("""COMPUTED_VALUE"""),"Peninsula Electric Cooperative, Inc. ")</f>
        <v xml:space="preserve">Peninsula Electric Cooperative, Inc. </v>
      </c>
      <c r="D167" s="4" t="str">
        <f ca="1">IFERROR(__xludf.DUMMYFUNCTION("""COMPUTED_VALUE"""),"Payment of Electric bill of Bataan Christian Youth, Provincial Council for Welfare and PGSO-Pswdo for the month of October 2022")</f>
        <v>Payment of Electric bill of Bataan Christian Youth, Provincial Council for Welfare and PGSO-Pswdo for the month of October 2022</v>
      </c>
      <c r="E167" s="5">
        <f ca="1">IFERROR(__xludf.DUMMYFUNCTION("""COMPUTED_VALUE"""),102222.22)</f>
        <v>102222.22</v>
      </c>
      <c r="F167" s="4" t="str">
        <f ca="1">IFERROR(__xludf.DUMMYFUNCTION("""COMPUTED_VALUE"""),"LBP General")</f>
        <v>LBP General</v>
      </c>
      <c r="G167" s="4"/>
      <c r="H167" s="4"/>
      <c r="I167" s="4"/>
      <c r="J167" s="4"/>
      <c r="K167" s="4"/>
      <c r="L167" s="4"/>
      <c r="M167" s="4"/>
      <c r="N167" s="4"/>
      <c r="O167" s="4"/>
      <c r="P167" s="4"/>
      <c r="Q167" s="4"/>
      <c r="R167" s="4"/>
      <c r="S167" s="19"/>
    </row>
    <row r="168" spans="1:19" ht="69.599999999999994" x14ac:dyDescent="0.25">
      <c r="A168" s="4">
        <f ca="1">IFERROR(__xludf.DUMMYFUNCTION("""COMPUTED_VALUE"""),3429713)</f>
        <v>3429713</v>
      </c>
      <c r="B168" s="19">
        <f ca="1">IFERROR(__xludf.DUMMYFUNCTION("""COMPUTED_VALUE"""),44774)</f>
        <v>44774</v>
      </c>
      <c r="C168" s="4" t="str">
        <f ca="1">IFERROR(__xludf.DUMMYFUNCTION("""COMPUTED_VALUE"""),"Greensun Automotive Enterprises, Inc. ")</f>
        <v xml:space="preserve">Greensun Automotive Enterprises, Inc. </v>
      </c>
      <c r="D168" s="4" t="str">
        <f ca="1">IFERROR(__xludf.DUMMYFUNCTION("""COMPUTED_VALUE"""),"Payment of Participation fee for the repair of service vehicle 2020 Nissan Navarra with conduction sticker number F2X613")</f>
        <v>Payment of Participation fee for the repair of service vehicle 2020 Nissan Navarra with conduction sticker number F2X613</v>
      </c>
      <c r="E168" s="5">
        <f ca="1">IFERROR(__xludf.DUMMYFUNCTION("""COMPUTED_VALUE"""),5412.25)</f>
        <v>5412.25</v>
      </c>
      <c r="F168" s="4" t="str">
        <f ca="1">IFERROR(__xludf.DUMMYFUNCTION("""COMPUTED_VALUE"""),"PVB General")</f>
        <v>PVB General</v>
      </c>
      <c r="G168" s="4"/>
      <c r="H168" s="4"/>
      <c r="I168" s="4"/>
      <c r="J168" s="4"/>
      <c r="K168" s="4"/>
      <c r="L168" s="4"/>
      <c r="M168" s="4"/>
      <c r="N168" s="4"/>
      <c r="O168" s="4"/>
      <c r="P168" s="4"/>
      <c r="Q168" s="4"/>
      <c r="R168" s="4"/>
      <c r="S168" s="19"/>
    </row>
    <row r="169" spans="1:19" ht="69.599999999999994" x14ac:dyDescent="0.25">
      <c r="A169" s="4">
        <f ca="1">IFERROR(__xludf.DUMMYFUNCTION("""COMPUTED_VALUE"""),3429862)</f>
        <v>3429862</v>
      </c>
      <c r="B169" s="19">
        <f ca="1">IFERROR(__xludf.DUMMYFUNCTION("""COMPUTED_VALUE"""),44820)</f>
        <v>44820</v>
      </c>
      <c r="C169" s="4" t="str">
        <f ca="1">IFERROR(__xludf.DUMMYFUNCTION("""COMPUTED_VALUE"""),"Jeffrey S. Onde ")</f>
        <v xml:space="preserve">Jeffrey S. Onde </v>
      </c>
      <c r="D169" s="4" t="str">
        <f ca="1">IFERROR(__xludf.DUMMYFUNCTION("""COMPUTED_VALUE"""),"Donation to their operational expenses re: Project Usig operations againts illegal drugs for the month of March, April &amp; June 2022")</f>
        <v>Donation to their operational expenses re: Project Usig operations againts illegal drugs for the month of March, April &amp; June 2022</v>
      </c>
      <c r="E169" s="5">
        <f ca="1">IFERROR(__xludf.DUMMYFUNCTION("""COMPUTED_VALUE"""),75000)</f>
        <v>75000</v>
      </c>
      <c r="F169" s="4" t="str">
        <f ca="1">IFERROR(__xludf.DUMMYFUNCTION("""COMPUTED_VALUE"""),"PVB General")</f>
        <v>PVB General</v>
      </c>
      <c r="G169" s="4"/>
      <c r="H169" s="4"/>
      <c r="I169" s="4"/>
      <c r="J169" s="4"/>
      <c r="K169" s="4"/>
      <c r="L169" s="4"/>
      <c r="M169" s="4"/>
      <c r="N169" s="4"/>
      <c r="O169" s="4"/>
      <c r="P169" s="4"/>
      <c r="Q169" s="4"/>
      <c r="R169" s="4"/>
      <c r="S169" s="19"/>
    </row>
    <row r="170" spans="1:19" ht="52.2" x14ac:dyDescent="0.25">
      <c r="A170" s="4">
        <f ca="1">IFERROR(__xludf.DUMMYFUNCTION("""COMPUTED_VALUE"""),3429881)</f>
        <v>3429881</v>
      </c>
      <c r="B170" s="19">
        <f ca="1">IFERROR(__xludf.DUMMYFUNCTION("""COMPUTED_VALUE"""),44820)</f>
        <v>44820</v>
      </c>
      <c r="C170" s="4" t="str">
        <f ca="1">IFERROR(__xludf.DUMMYFUNCTION("""COMPUTED_VALUE"""),"Real-Tech Mobile Innovation Inc. ")</f>
        <v xml:space="preserve">Real-Tech Mobile Innovation Inc. </v>
      </c>
      <c r="D170" s="4" t="str">
        <f ca="1">IFERROR(__xludf.DUMMYFUNCTION("""COMPUTED_VALUE"""),"Payment of internet subscription plan for vehicle tracker of PEO September 1-30, 2022")</f>
        <v>Payment of internet subscription plan for vehicle tracker of PEO September 1-30, 2022</v>
      </c>
      <c r="E170" s="5">
        <f ca="1">IFERROR(__xludf.DUMMYFUNCTION("""COMPUTED_VALUE"""),23467.5)</f>
        <v>23467.5</v>
      </c>
      <c r="F170" s="4" t="str">
        <f ca="1">IFERROR(__xludf.DUMMYFUNCTION("""COMPUTED_VALUE"""),"PVB General")</f>
        <v>PVB General</v>
      </c>
      <c r="G170" s="4"/>
      <c r="H170" s="4"/>
      <c r="I170" s="4"/>
      <c r="J170" s="4"/>
      <c r="K170" s="4"/>
      <c r="L170" s="4"/>
      <c r="M170" s="4"/>
      <c r="N170" s="4"/>
      <c r="O170" s="4"/>
      <c r="P170" s="4"/>
      <c r="Q170" s="4"/>
      <c r="R170" s="4"/>
      <c r="S170" s="19"/>
    </row>
    <row r="171" spans="1:19" ht="34.799999999999997" x14ac:dyDescent="0.25">
      <c r="A171" s="4">
        <f ca="1">IFERROR(__xludf.DUMMYFUNCTION("""COMPUTED_VALUE"""),3677330)</f>
        <v>3677330</v>
      </c>
      <c r="B171" s="19">
        <f ca="1">IFERROR(__xludf.DUMMYFUNCTION("""COMPUTED_VALUE"""),44861)</f>
        <v>44861</v>
      </c>
      <c r="C171" s="4" t="str">
        <f ca="1">IFERROR(__xludf.DUMMYFUNCTION("""COMPUTED_VALUE"""),"Barangay Treasurer San Simon Dinalupihan ")</f>
        <v xml:space="preserve">Barangay Treasurer San Simon Dinalupihan </v>
      </c>
      <c r="D171" s="4"/>
      <c r="E171" s="5">
        <f ca="1">IFERROR(__xludf.DUMMYFUNCTION("""COMPUTED_VALUE"""),20000)</f>
        <v>20000</v>
      </c>
      <c r="F171" s="4" t="str">
        <f ca="1">IFERROR(__xludf.DUMMYFUNCTION("""COMPUTED_VALUE"""),"PVB General")</f>
        <v>PVB General</v>
      </c>
      <c r="G171" s="4"/>
      <c r="H171" s="4"/>
      <c r="I171" s="4"/>
      <c r="J171" s="4"/>
      <c r="K171" s="4"/>
      <c r="L171" s="4"/>
      <c r="M171" s="4"/>
      <c r="N171" s="4"/>
      <c r="O171" s="4"/>
      <c r="P171" s="4"/>
      <c r="Q171" s="4"/>
      <c r="R171" s="4"/>
      <c r="S171" s="19"/>
    </row>
    <row r="172" spans="1:19" ht="52.2" x14ac:dyDescent="0.25">
      <c r="A172" s="4">
        <f ca="1">IFERROR(__xludf.DUMMYFUNCTION("""COMPUTED_VALUE"""),3677351)</f>
        <v>3677351</v>
      </c>
      <c r="B172" s="19">
        <f ca="1">IFERROR(__xludf.DUMMYFUNCTION("""COMPUTED_VALUE"""),44861)</f>
        <v>44861</v>
      </c>
      <c r="C172" s="4" t="str">
        <f ca="1">IFERROR(__xludf.DUMMYFUNCTION("""COMPUTED_VALUE"""),"K and A2 Paint and Body Works ")</f>
        <v xml:space="preserve">K and A2 Paint and Body Works </v>
      </c>
      <c r="D172" s="4" t="str">
        <f ca="1">IFERROR(__xludf.DUMMYFUNCTION("""COMPUTED_VALUE"""),"Payment of Participation Fee for the repairof service vehicle w/ c.s. no. POZ302")</f>
        <v>Payment of Participation Fee for the repairof service vehicle w/ c.s. no. POZ302</v>
      </c>
      <c r="E172" s="5">
        <f ca="1">IFERROR(__xludf.DUMMYFUNCTION("""COMPUTED_VALUE"""),11992.12)</f>
        <v>11992.12</v>
      </c>
      <c r="F172" s="4" t="str">
        <f ca="1">IFERROR(__xludf.DUMMYFUNCTION("""COMPUTED_VALUE"""),"PVB General")</f>
        <v>PVB General</v>
      </c>
      <c r="G172" s="4"/>
      <c r="H172" s="4"/>
      <c r="I172" s="4"/>
      <c r="J172" s="4"/>
      <c r="K172" s="4"/>
      <c r="L172" s="4"/>
      <c r="M172" s="4"/>
      <c r="N172" s="4"/>
      <c r="O172" s="4"/>
      <c r="P172" s="4"/>
      <c r="Q172" s="4"/>
      <c r="R172" s="4"/>
      <c r="S172" s="19"/>
    </row>
    <row r="173" spans="1:19" ht="17.399999999999999" x14ac:dyDescent="0.25">
      <c r="A173" s="4"/>
      <c r="B173" s="19"/>
      <c r="C173" s="4"/>
      <c r="D173" s="6"/>
      <c r="E173" s="7"/>
      <c r="F173" s="4"/>
      <c r="G173" s="4"/>
      <c r="H173" s="4"/>
      <c r="I173" s="4"/>
      <c r="J173" s="4"/>
      <c r="K173" s="4"/>
      <c r="L173" s="4"/>
      <c r="M173" s="4"/>
      <c r="N173" s="4"/>
      <c r="O173" s="4"/>
      <c r="P173" s="4"/>
      <c r="Q173" s="4"/>
      <c r="R173" s="4"/>
      <c r="S173" s="19"/>
    </row>
    <row r="174" spans="1:19" ht="17.399999999999999" x14ac:dyDescent="0.25">
      <c r="A174" s="4"/>
      <c r="B174" s="19"/>
      <c r="C174" s="4"/>
      <c r="D174" s="4"/>
      <c r="E174" s="5"/>
      <c r="F174" s="4"/>
      <c r="G174" s="4"/>
      <c r="H174" s="4"/>
      <c r="I174" s="4"/>
      <c r="J174" s="4"/>
      <c r="K174" s="4"/>
      <c r="L174" s="4"/>
      <c r="M174" s="4"/>
      <c r="N174" s="4"/>
      <c r="O174" s="4"/>
      <c r="P174" s="4"/>
      <c r="Q174" s="4"/>
      <c r="R174" s="4"/>
      <c r="S174" s="19"/>
    </row>
    <row r="175" spans="1:19" ht="17.399999999999999" x14ac:dyDescent="0.25">
      <c r="A175" s="4"/>
      <c r="B175" s="19"/>
      <c r="C175" s="4"/>
      <c r="D175" s="4"/>
      <c r="E175" s="5"/>
      <c r="F175" s="4"/>
      <c r="G175" s="4"/>
      <c r="H175" s="4"/>
      <c r="I175" s="4"/>
      <c r="J175" s="4"/>
      <c r="K175" s="4"/>
      <c r="L175" s="4"/>
      <c r="M175" s="4"/>
      <c r="N175" s="4"/>
      <c r="O175" s="4"/>
      <c r="P175" s="4"/>
      <c r="Q175" s="4"/>
      <c r="R175" s="4"/>
      <c r="S175" s="19"/>
    </row>
    <row r="176" spans="1:19" ht="17.399999999999999" x14ac:dyDescent="0.25">
      <c r="A176" s="4"/>
      <c r="B176" s="19"/>
      <c r="C176" s="4"/>
      <c r="D176" s="4"/>
      <c r="E176" s="5"/>
      <c r="F176" s="4"/>
      <c r="G176" s="4"/>
      <c r="H176" s="4"/>
      <c r="I176" s="4"/>
      <c r="J176" s="4"/>
      <c r="K176" s="4"/>
      <c r="L176" s="4"/>
      <c r="M176" s="4"/>
      <c r="N176" s="4"/>
      <c r="O176" s="4"/>
      <c r="P176" s="4"/>
      <c r="Q176" s="4"/>
      <c r="R176" s="4"/>
      <c r="S176" s="19"/>
    </row>
    <row r="177" spans="1:19" ht="17.399999999999999" x14ac:dyDescent="0.25">
      <c r="A177" s="4"/>
      <c r="B177" s="19"/>
      <c r="C177" s="4"/>
      <c r="D177" s="4"/>
      <c r="E177" s="5"/>
      <c r="F177" s="4"/>
      <c r="G177" s="4"/>
      <c r="H177" s="4"/>
      <c r="I177" s="4"/>
      <c r="J177" s="4"/>
      <c r="K177" s="4"/>
      <c r="L177" s="4"/>
      <c r="M177" s="4"/>
      <c r="N177" s="4"/>
      <c r="O177" s="4"/>
      <c r="P177" s="4"/>
      <c r="Q177" s="4"/>
      <c r="R177" s="4"/>
      <c r="S177" s="19"/>
    </row>
    <row r="178" spans="1:19" ht="17.399999999999999" x14ac:dyDescent="0.25">
      <c r="A178" s="4"/>
      <c r="B178" s="19"/>
      <c r="C178" s="4"/>
      <c r="D178" s="4"/>
      <c r="E178" s="5"/>
      <c r="F178" s="4"/>
      <c r="G178" s="4"/>
      <c r="H178" s="4"/>
      <c r="I178" s="4"/>
      <c r="J178" s="4"/>
      <c r="K178" s="4"/>
      <c r="L178" s="4"/>
      <c r="M178" s="4"/>
      <c r="N178" s="4"/>
      <c r="O178" s="4"/>
      <c r="P178" s="4"/>
      <c r="Q178" s="4"/>
      <c r="R178" s="4"/>
      <c r="S178" s="19"/>
    </row>
    <row r="179" spans="1:19" ht="17.399999999999999" x14ac:dyDescent="0.25">
      <c r="A179" s="4"/>
      <c r="B179" s="19"/>
      <c r="C179" s="4"/>
      <c r="D179" s="4"/>
      <c r="E179" s="5"/>
      <c r="F179" s="4"/>
      <c r="G179" s="4"/>
      <c r="H179" s="4"/>
      <c r="I179" s="4"/>
      <c r="J179" s="4"/>
      <c r="K179" s="4"/>
      <c r="L179" s="4"/>
      <c r="M179" s="4"/>
      <c r="N179" s="4"/>
      <c r="O179" s="4"/>
      <c r="P179" s="4"/>
      <c r="Q179" s="4"/>
      <c r="R179" s="4"/>
      <c r="S179" s="19"/>
    </row>
    <row r="180" spans="1:19" ht="17.399999999999999" x14ac:dyDescent="0.25">
      <c r="A180" s="4"/>
      <c r="B180" s="19"/>
      <c r="C180" s="4"/>
      <c r="D180" s="4"/>
      <c r="E180" s="5"/>
      <c r="F180" s="4"/>
      <c r="G180" s="4"/>
      <c r="H180" s="4"/>
      <c r="I180" s="4"/>
      <c r="J180" s="4"/>
      <c r="K180" s="4"/>
      <c r="L180" s="4"/>
      <c r="M180" s="4"/>
      <c r="N180" s="4"/>
      <c r="O180" s="4"/>
      <c r="P180" s="4"/>
      <c r="Q180" s="4"/>
      <c r="R180" s="4"/>
      <c r="S180" s="19"/>
    </row>
    <row r="181" spans="1:19" ht="17.399999999999999" x14ac:dyDescent="0.25">
      <c r="A181" s="4"/>
      <c r="B181" s="19"/>
      <c r="C181" s="4"/>
      <c r="D181" s="4"/>
      <c r="E181" s="5"/>
      <c r="F181" s="4"/>
      <c r="G181" s="4"/>
      <c r="H181" s="4"/>
      <c r="I181" s="4"/>
      <c r="J181" s="4"/>
      <c r="K181" s="4"/>
      <c r="L181" s="4"/>
      <c r="M181" s="4"/>
      <c r="N181" s="4"/>
      <c r="O181" s="4"/>
      <c r="P181" s="4"/>
      <c r="Q181" s="4"/>
      <c r="R181" s="4"/>
      <c r="S181" s="19"/>
    </row>
    <row r="182" spans="1:19" ht="17.399999999999999" x14ac:dyDescent="0.25">
      <c r="A182" s="4"/>
      <c r="B182" s="19"/>
      <c r="C182" s="4"/>
      <c r="D182" s="4"/>
      <c r="E182" s="5"/>
      <c r="F182" s="4"/>
      <c r="G182" s="4"/>
      <c r="H182" s="4"/>
      <c r="I182" s="4"/>
      <c r="J182" s="4"/>
      <c r="K182" s="4"/>
      <c r="L182" s="4"/>
      <c r="M182" s="4"/>
      <c r="N182" s="4"/>
      <c r="O182" s="4"/>
      <c r="P182" s="4"/>
      <c r="Q182" s="4"/>
      <c r="R182" s="4"/>
      <c r="S182" s="19"/>
    </row>
    <row r="183" spans="1:19" ht="17.399999999999999" x14ac:dyDescent="0.25">
      <c r="A183" s="4"/>
      <c r="B183" s="19"/>
      <c r="C183" s="4"/>
      <c r="D183" s="4"/>
      <c r="E183" s="5"/>
      <c r="F183" s="4"/>
      <c r="G183" s="4"/>
      <c r="H183" s="4"/>
      <c r="I183" s="4"/>
      <c r="J183" s="4"/>
      <c r="K183" s="4"/>
      <c r="L183" s="4"/>
      <c r="M183" s="4"/>
      <c r="N183" s="4"/>
      <c r="O183" s="4"/>
      <c r="P183" s="4"/>
      <c r="Q183" s="4"/>
      <c r="R183" s="4"/>
      <c r="S183" s="19"/>
    </row>
    <row r="184" spans="1:19" ht="17.399999999999999" x14ac:dyDescent="0.25">
      <c r="A184" s="4"/>
      <c r="B184" s="19"/>
      <c r="C184" s="4"/>
      <c r="D184" s="4"/>
      <c r="E184" s="5"/>
      <c r="F184" s="4"/>
      <c r="G184" s="4"/>
      <c r="H184" s="4"/>
      <c r="I184" s="4"/>
      <c r="J184" s="4"/>
      <c r="K184" s="4"/>
      <c r="L184" s="4"/>
      <c r="M184" s="4"/>
      <c r="N184" s="4"/>
      <c r="O184" s="4"/>
      <c r="P184" s="4"/>
      <c r="Q184" s="4"/>
      <c r="R184" s="4"/>
      <c r="S184" s="19"/>
    </row>
    <row r="185" spans="1:19" ht="17.399999999999999" x14ac:dyDescent="0.25">
      <c r="A185" s="4"/>
      <c r="B185" s="19"/>
      <c r="C185" s="4"/>
      <c r="D185" s="4"/>
      <c r="E185" s="5"/>
      <c r="F185" s="4"/>
      <c r="G185" s="4"/>
      <c r="H185" s="4"/>
      <c r="I185" s="4"/>
      <c r="J185" s="4"/>
      <c r="K185" s="4"/>
      <c r="L185" s="4"/>
      <c r="M185" s="4"/>
      <c r="N185" s="4"/>
      <c r="O185" s="4"/>
      <c r="P185" s="4"/>
      <c r="Q185" s="4"/>
      <c r="R185" s="4"/>
      <c r="S185" s="19"/>
    </row>
    <row r="186" spans="1:19" ht="17.399999999999999" x14ac:dyDescent="0.25">
      <c r="A186" s="4"/>
      <c r="B186" s="19"/>
      <c r="C186" s="4"/>
      <c r="D186" s="4"/>
      <c r="E186" s="5"/>
      <c r="F186" s="4"/>
      <c r="G186" s="4"/>
      <c r="H186" s="4"/>
      <c r="I186" s="4"/>
      <c r="J186" s="4"/>
      <c r="K186" s="4"/>
      <c r="L186" s="4"/>
      <c r="M186" s="4"/>
      <c r="N186" s="4"/>
      <c r="O186" s="4"/>
      <c r="P186" s="4"/>
      <c r="Q186" s="4"/>
      <c r="R186" s="4"/>
      <c r="S186" s="19"/>
    </row>
    <row r="187" spans="1:19" ht="17.399999999999999" x14ac:dyDescent="0.25">
      <c r="A187" s="4"/>
      <c r="B187" s="19"/>
      <c r="C187" s="4"/>
      <c r="D187" s="4"/>
      <c r="E187" s="5"/>
      <c r="F187" s="4"/>
      <c r="G187" s="4"/>
      <c r="H187" s="4"/>
      <c r="I187" s="4"/>
      <c r="J187" s="4"/>
      <c r="K187" s="4"/>
      <c r="L187" s="4"/>
      <c r="M187" s="4"/>
      <c r="N187" s="4"/>
      <c r="O187" s="4"/>
      <c r="P187" s="4"/>
      <c r="Q187" s="4"/>
      <c r="R187" s="4"/>
      <c r="S187" s="19"/>
    </row>
    <row r="188" spans="1:19" ht="17.399999999999999" x14ac:dyDescent="0.25">
      <c r="A188" s="4"/>
      <c r="B188" s="19"/>
      <c r="C188" s="4"/>
      <c r="D188" s="4"/>
      <c r="E188" s="5"/>
      <c r="F188" s="4"/>
      <c r="G188" s="4"/>
      <c r="H188" s="4"/>
      <c r="I188" s="4"/>
      <c r="J188" s="4"/>
      <c r="K188" s="4"/>
      <c r="L188" s="4"/>
      <c r="M188" s="4"/>
      <c r="N188" s="4"/>
      <c r="O188" s="4"/>
      <c r="P188" s="4"/>
      <c r="Q188" s="4"/>
      <c r="R188" s="4"/>
      <c r="S188" s="19"/>
    </row>
    <row r="189" spans="1:19" ht="17.399999999999999" x14ac:dyDescent="0.25">
      <c r="A189" s="4"/>
      <c r="B189" s="19"/>
      <c r="C189" s="4"/>
      <c r="D189" s="4"/>
      <c r="E189" s="5"/>
      <c r="F189" s="4"/>
      <c r="G189" s="4"/>
      <c r="H189" s="4"/>
      <c r="I189" s="4"/>
      <c r="J189" s="4"/>
      <c r="K189" s="4"/>
      <c r="L189" s="4"/>
      <c r="M189" s="4"/>
      <c r="N189" s="4"/>
      <c r="O189" s="4"/>
      <c r="P189" s="4"/>
      <c r="Q189" s="4"/>
      <c r="R189" s="4"/>
      <c r="S189" s="19"/>
    </row>
    <row r="190" spans="1:19" ht="17.399999999999999" x14ac:dyDescent="0.25">
      <c r="A190" s="4"/>
      <c r="B190" s="19"/>
      <c r="C190" s="4"/>
      <c r="D190" s="4"/>
      <c r="E190" s="5"/>
      <c r="F190" s="4"/>
      <c r="G190" s="4"/>
      <c r="H190" s="4"/>
      <c r="I190" s="4"/>
      <c r="J190" s="4"/>
      <c r="K190" s="4"/>
      <c r="L190" s="4"/>
      <c r="M190" s="4"/>
      <c r="N190" s="4"/>
      <c r="O190" s="4"/>
      <c r="P190" s="4"/>
      <c r="Q190" s="4"/>
      <c r="R190" s="4"/>
      <c r="S190" s="19"/>
    </row>
    <row r="191" spans="1:19" ht="17.399999999999999" x14ac:dyDescent="0.25">
      <c r="A191" s="4"/>
      <c r="B191" s="19"/>
      <c r="C191" s="4"/>
      <c r="D191" s="4"/>
      <c r="E191" s="5"/>
      <c r="F191" s="4"/>
      <c r="G191" s="4"/>
      <c r="H191" s="4"/>
      <c r="I191" s="4"/>
      <c r="J191" s="4"/>
      <c r="K191" s="4"/>
      <c r="L191" s="4"/>
      <c r="M191" s="4"/>
      <c r="N191" s="4"/>
      <c r="O191" s="4"/>
      <c r="P191" s="4"/>
      <c r="Q191" s="4"/>
      <c r="R191" s="4"/>
      <c r="S191" s="19"/>
    </row>
    <row r="192" spans="1:19" ht="17.399999999999999" x14ac:dyDescent="0.25">
      <c r="A192" s="4"/>
      <c r="B192" s="19"/>
      <c r="C192" s="4"/>
      <c r="D192" s="4"/>
      <c r="E192" s="5"/>
      <c r="F192" s="4"/>
      <c r="G192" s="4"/>
      <c r="H192" s="4"/>
      <c r="I192" s="4"/>
      <c r="J192" s="4"/>
      <c r="K192" s="4"/>
      <c r="L192" s="4"/>
      <c r="M192" s="4"/>
      <c r="N192" s="4"/>
      <c r="O192" s="4"/>
      <c r="P192" s="4"/>
      <c r="Q192" s="4"/>
      <c r="R192" s="4"/>
      <c r="S192" s="19"/>
    </row>
    <row r="193" spans="1:19" ht="17.399999999999999" x14ac:dyDescent="0.25">
      <c r="A193" s="4"/>
      <c r="B193" s="19"/>
      <c r="C193" s="4"/>
      <c r="D193" s="4"/>
      <c r="E193" s="5"/>
      <c r="F193" s="4"/>
      <c r="G193" s="4"/>
      <c r="H193" s="4"/>
      <c r="I193" s="4"/>
      <c r="J193" s="4"/>
      <c r="K193" s="4"/>
      <c r="L193" s="4"/>
      <c r="M193" s="4"/>
      <c r="N193" s="4"/>
      <c r="O193" s="4"/>
      <c r="P193" s="4"/>
      <c r="Q193" s="4"/>
      <c r="R193" s="4"/>
      <c r="S193" s="19"/>
    </row>
    <row r="194" spans="1:19" ht="17.399999999999999" x14ac:dyDescent="0.25">
      <c r="A194" s="4"/>
      <c r="B194" s="19"/>
      <c r="C194" s="4"/>
      <c r="D194" s="4"/>
      <c r="E194" s="5"/>
      <c r="F194" s="4"/>
      <c r="G194" s="4"/>
      <c r="H194" s="4"/>
      <c r="I194" s="4"/>
      <c r="J194" s="4"/>
      <c r="K194" s="4"/>
      <c r="L194" s="4"/>
      <c r="M194" s="4"/>
      <c r="N194" s="4"/>
      <c r="O194" s="4"/>
      <c r="P194" s="4"/>
      <c r="Q194" s="4"/>
      <c r="R194" s="4"/>
      <c r="S194" s="19"/>
    </row>
    <row r="195" spans="1:19" ht="17.399999999999999" x14ac:dyDescent="0.25">
      <c r="A195" s="4"/>
      <c r="B195" s="19"/>
      <c r="C195" s="4"/>
      <c r="D195" s="4"/>
      <c r="E195" s="5"/>
      <c r="F195" s="4"/>
      <c r="G195" s="4"/>
      <c r="H195" s="4"/>
      <c r="I195" s="4"/>
      <c r="J195" s="4"/>
      <c r="K195" s="4"/>
      <c r="L195" s="4"/>
      <c r="M195" s="4"/>
      <c r="N195" s="4"/>
      <c r="O195" s="4"/>
      <c r="P195" s="4"/>
      <c r="Q195" s="4"/>
      <c r="R195" s="4"/>
      <c r="S195" s="19"/>
    </row>
    <row r="196" spans="1:19" ht="17.399999999999999" x14ac:dyDescent="0.25">
      <c r="A196" s="4"/>
      <c r="B196" s="19"/>
      <c r="C196" s="4"/>
      <c r="D196" s="4"/>
      <c r="E196" s="5"/>
      <c r="F196" s="4"/>
      <c r="G196" s="4"/>
      <c r="H196" s="4"/>
      <c r="I196" s="4"/>
      <c r="J196" s="4"/>
      <c r="K196" s="4"/>
      <c r="L196" s="4"/>
      <c r="M196" s="4"/>
      <c r="N196" s="4"/>
      <c r="O196" s="4"/>
      <c r="P196" s="4"/>
      <c r="Q196" s="4"/>
      <c r="R196" s="4"/>
      <c r="S196" s="19"/>
    </row>
    <row r="197" spans="1:19" ht="17.399999999999999" x14ac:dyDescent="0.25">
      <c r="A197" s="4"/>
      <c r="B197" s="19"/>
      <c r="C197" s="4"/>
      <c r="D197" s="4"/>
      <c r="E197" s="5"/>
      <c r="F197" s="4"/>
      <c r="G197" s="4"/>
      <c r="H197" s="4"/>
      <c r="I197" s="4"/>
      <c r="J197" s="4"/>
      <c r="K197" s="4"/>
      <c r="L197" s="4"/>
      <c r="M197" s="4"/>
      <c r="N197" s="4"/>
      <c r="O197" s="4"/>
      <c r="P197" s="4"/>
      <c r="Q197" s="4"/>
      <c r="R197" s="4"/>
      <c r="S197" s="19"/>
    </row>
    <row r="198" spans="1:19" ht="17.399999999999999" x14ac:dyDescent="0.25">
      <c r="A198" s="4"/>
      <c r="B198" s="19"/>
      <c r="C198" s="4"/>
      <c r="D198" s="4"/>
      <c r="E198" s="5"/>
      <c r="F198" s="4"/>
      <c r="G198" s="4"/>
      <c r="H198" s="4"/>
      <c r="I198" s="4"/>
      <c r="J198" s="4"/>
      <c r="K198" s="4"/>
      <c r="L198" s="4"/>
      <c r="M198" s="4"/>
      <c r="N198" s="4"/>
      <c r="O198" s="4"/>
      <c r="P198" s="4"/>
      <c r="Q198" s="4"/>
      <c r="R198" s="4"/>
      <c r="S198" s="19"/>
    </row>
    <row r="199" spans="1:19" ht="17.399999999999999" x14ac:dyDescent="0.25">
      <c r="A199" s="4"/>
      <c r="B199" s="19"/>
      <c r="C199" s="4"/>
      <c r="D199" s="4"/>
      <c r="E199" s="5"/>
      <c r="F199" s="4"/>
      <c r="G199" s="4"/>
      <c r="H199" s="4"/>
      <c r="I199" s="4"/>
      <c r="J199" s="4"/>
      <c r="K199" s="4"/>
      <c r="L199" s="4"/>
      <c r="M199" s="4"/>
      <c r="N199" s="4"/>
      <c r="O199" s="4"/>
      <c r="P199" s="4"/>
      <c r="Q199" s="4"/>
      <c r="R199" s="4"/>
      <c r="S199" s="19"/>
    </row>
    <row r="200" spans="1:19" ht="17.399999999999999" x14ac:dyDescent="0.25">
      <c r="A200" s="4"/>
      <c r="B200" s="19"/>
      <c r="C200" s="4"/>
      <c r="D200" s="4"/>
      <c r="E200" s="5"/>
      <c r="F200" s="4"/>
      <c r="G200" s="4"/>
      <c r="H200" s="4"/>
      <c r="I200" s="4"/>
      <c r="J200" s="4"/>
      <c r="K200" s="4"/>
      <c r="L200" s="4"/>
      <c r="M200" s="4"/>
      <c r="N200" s="4"/>
      <c r="O200" s="4"/>
      <c r="P200" s="4"/>
      <c r="Q200" s="4"/>
      <c r="R200" s="4"/>
      <c r="S200" s="19"/>
    </row>
    <row r="201" spans="1:19" ht="17.399999999999999" x14ac:dyDescent="0.25">
      <c r="A201" s="4"/>
      <c r="B201" s="19"/>
      <c r="C201" s="4"/>
      <c r="D201" s="4"/>
      <c r="E201" s="5"/>
      <c r="F201" s="4"/>
      <c r="G201" s="4"/>
      <c r="H201" s="4"/>
      <c r="I201" s="4"/>
      <c r="J201" s="4"/>
      <c r="K201" s="4"/>
      <c r="L201" s="4"/>
      <c r="M201" s="4"/>
      <c r="N201" s="4"/>
      <c r="O201" s="4"/>
      <c r="P201" s="4"/>
      <c r="Q201" s="4"/>
      <c r="R201" s="4"/>
      <c r="S201" s="19"/>
    </row>
    <row r="202" spans="1:19" ht="17.399999999999999" x14ac:dyDescent="0.25">
      <c r="A202" s="4"/>
      <c r="B202" s="19"/>
      <c r="C202" s="4"/>
      <c r="D202" s="4"/>
      <c r="E202" s="5"/>
      <c r="F202" s="4"/>
      <c r="G202" s="4"/>
      <c r="H202" s="4"/>
      <c r="I202" s="4"/>
      <c r="J202" s="4"/>
      <c r="K202" s="4"/>
      <c r="L202" s="4"/>
      <c r="M202" s="4"/>
      <c r="N202" s="4"/>
      <c r="O202" s="4"/>
      <c r="P202" s="4"/>
      <c r="Q202" s="4"/>
      <c r="R202" s="4"/>
      <c r="S202" s="19"/>
    </row>
    <row r="203" spans="1:19" ht="17.399999999999999" x14ac:dyDescent="0.25">
      <c r="A203" s="4"/>
      <c r="B203" s="19"/>
      <c r="C203" s="4"/>
      <c r="D203" s="4"/>
      <c r="E203" s="5"/>
      <c r="F203" s="4"/>
      <c r="G203" s="4"/>
      <c r="H203" s="4"/>
      <c r="I203" s="4"/>
      <c r="J203" s="4"/>
      <c r="K203" s="4"/>
      <c r="L203" s="4"/>
      <c r="M203" s="4"/>
      <c r="N203" s="4"/>
      <c r="O203" s="4"/>
      <c r="P203" s="4"/>
      <c r="Q203" s="4"/>
      <c r="R203" s="4"/>
      <c r="S203" s="19"/>
    </row>
    <row r="204" spans="1:19" ht="17.399999999999999" x14ac:dyDescent="0.25">
      <c r="A204" s="4"/>
      <c r="B204" s="19"/>
      <c r="C204" s="4"/>
      <c r="D204" s="4"/>
      <c r="E204" s="5"/>
      <c r="F204" s="4"/>
      <c r="G204" s="4"/>
      <c r="H204" s="4"/>
      <c r="I204" s="4"/>
      <c r="J204" s="4"/>
      <c r="K204" s="4"/>
      <c r="L204" s="4"/>
      <c r="M204" s="4"/>
      <c r="N204" s="4"/>
      <c r="O204" s="4"/>
      <c r="P204" s="4"/>
      <c r="Q204" s="4"/>
      <c r="R204" s="4"/>
      <c r="S204" s="19"/>
    </row>
    <row r="205" spans="1:19" ht="17.399999999999999" x14ac:dyDescent="0.25">
      <c r="A205" s="4"/>
      <c r="B205" s="19"/>
      <c r="C205" s="4"/>
      <c r="D205" s="4"/>
      <c r="E205" s="5"/>
      <c r="F205" s="4"/>
      <c r="G205" s="4"/>
      <c r="H205" s="4"/>
      <c r="I205" s="4"/>
      <c r="J205" s="4"/>
      <c r="K205" s="4"/>
      <c r="L205" s="4"/>
      <c r="M205" s="4"/>
      <c r="N205" s="4"/>
      <c r="O205" s="4"/>
      <c r="P205" s="4"/>
      <c r="Q205" s="4"/>
      <c r="R205" s="4"/>
      <c r="S205" s="19"/>
    </row>
    <row r="206" spans="1:19" ht="17.399999999999999" x14ac:dyDescent="0.25">
      <c r="A206" s="4"/>
      <c r="B206" s="19"/>
      <c r="C206" s="4"/>
      <c r="D206" s="4"/>
      <c r="E206" s="5"/>
      <c r="F206" s="4"/>
      <c r="G206" s="4"/>
      <c r="H206" s="4"/>
      <c r="I206" s="4"/>
      <c r="J206" s="4"/>
      <c r="K206" s="4"/>
      <c r="L206" s="4"/>
      <c r="M206" s="4"/>
      <c r="N206" s="4"/>
      <c r="O206" s="4"/>
      <c r="P206" s="4"/>
      <c r="Q206" s="4"/>
      <c r="R206" s="4"/>
      <c r="S206" s="19"/>
    </row>
    <row r="207" spans="1:19" ht="17.399999999999999" x14ac:dyDescent="0.25">
      <c r="A207" s="4"/>
      <c r="B207" s="19"/>
      <c r="C207" s="4"/>
      <c r="D207" s="4"/>
      <c r="E207" s="5"/>
      <c r="F207" s="4"/>
      <c r="G207" s="4"/>
      <c r="H207" s="4"/>
      <c r="I207" s="4"/>
      <c r="J207" s="4"/>
      <c r="K207" s="4"/>
      <c r="L207" s="4"/>
      <c r="M207" s="4"/>
      <c r="N207" s="4"/>
      <c r="O207" s="4"/>
      <c r="P207" s="4"/>
      <c r="Q207" s="4"/>
      <c r="R207" s="4"/>
      <c r="S207" s="19"/>
    </row>
    <row r="208" spans="1:19" ht="17.399999999999999" x14ac:dyDescent="0.25">
      <c r="A208" s="4"/>
      <c r="B208" s="19"/>
      <c r="C208" s="4"/>
      <c r="D208" s="4"/>
      <c r="E208" s="5"/>
      <c r="F208" s="4"/>
      <c r="G208" s="4"/>
      <c r="H208" s="4"/>
      <c r="I208" s="4"/>
      <c r="J208" s="4"/>
      <c r="K208" s="4"/>
      <c r="L208" s="4"/>
      <c r="M208" s="4"/>
      <c r="N208" s="4"/>
      <c r="O208" s="4"/>
      <c r="P208" s="4"/>
      <c r="Q208" s="4"/>
      <c r="R208" s="4"/>
      <c r="S208" s="19"/>
    </row>
    <row r="209" spans="1:19" ht="17.399999999999999" x14ac:dyDescent="0.25">
      <c r="A209" s="4"/>
      <c r="B209" s="19"/>
      <c r="C209" s="4"/>
      <c r="D209" s="4"/>
      <c r="E209" s="5"/>
      <c r="F209" s="4"/>
      <c r="G209" s="4"/>
      <c r="H209" s="4"/>
      <c r="I209" s="4"/>
      <c r="J209" s="4"/>
      <c r="K209" s="4"/>
      <c r="L209" s="4"/>
      <c r="M209" s="4"/>
      <c r="N209" s="4"/>
      <c r="O209" s="4"/>
      <c r="P209" s="4"/>
      <c r="Q209" s="4"/>
      <c r="R209" s="4"/>
      <c r="S209" s="19"/>
    </row>
    <row r="210" spans="1:19" ht="17.399999999999999" x14ac:dyDescent="0.25">
      <c r="A210" s="4"/>
      <c r="B210" s="19"/>
      <c r="C210" s="4"/>
      <c r="D210" s="4"/>
      <c r="E210" s="5"/>
      <c r="F210" s="4"/>
      <c r="G210" s="4"/>
      <c r="H210" s="4"/>
      <c r="I210" s="4"/>
      <c r="J210" s="4"/>
      <c r="K210" s="4"/>
      <c r="L210" s="4"/>
      <c r="M210" s="4"/>
      <c r="N210" s="4"/>
      <c r="O210" s="4"/>
      <c r="P210" s="4"/>
      <c r="Q210" s="4"/>
      <c r="R210" s="4"/>
      <c r="S210" s="19"/>
    </row>
    <row r="211" spans="1:19" ht="17.399999999999999" x14ac:dyDescent="0.25">
      <c r="A211" s="4"/>
      <c r="B211" s="19"/>
      <c r="C211" s="4"/>
      <c r="D211" s="4"/>
      <c r="E211" s="5"/>
      <c r="F211" s="4"/>
      <c r="G211" s="4"/>
      <c r="H211" s="4"/>
      <c r="I211" s="4"/>
      <c r="J211" s="4"/>
      <c r="K211" s="4"/>
      <c r="L211" s="4"/>
      <c r="M211" s="4"/>
      <c r="N211" s="4"/>
      <c r="O211" s="4"/>
      <c r="P211" s="4"/>
      <c r="Q211" s="4"/>
      <c r="R211" s="4"/>
      <c r="S211" s="19"/>
    </row>
    <row r="212" spans="1:19" ht="17.399999999999999" x14ac:dyDescent="0.25">
      <c r="A212" s="4"/>
      <c r="B212" s="19"/>
      <c r="C212" s="4"/>
      <c r="D212" s="4"/>
      <c r="E212" s="5"/>
      <c r="F212" s="4"/>
      <c r="G212" s="4"/>
      <c r="H212" s="4"/>
      <c r="I212" s="4"/>
      <c r="J212" s="4"/>
      <c r="K212" s="4"/>
      <c r="L212" s="4"/>
      <c r="M212" s="4"/>
      <c r="N212" s="4"/>
      <c r="O212" s="4"/>
      <c r="P212" s="4"/>
      <c r="Q212" s="4"/>
      <c r="R212" s="4"/>
      <c r="S212" s="19"/>
    </row>
    <row r="213" spans="1:19" ht="17.399999999999999" x14ac:dyDescent="0.25">
      <c r="A213" s="4"/>
      <c r="B213" s="19"/>
      <c r="C213" s="4"/>
      <c r="D213" s="4"/>
      <c r="E213" s="5"/>
      <c r="F213" s="4"/>
      <c r="G213" s="4"/>
      <c r="H213" s="4"/>
      <c r="I213" s="4"/>
      <c r="J213" s="4"/>
      <c r="K213" s="4"/>
      <c r="L213" s="4"/>
      <c r="M213" s="4"/>
      <c r="N213" s="4"/>
      <c r="O213" s="4"/>
      <c r="P213" s="4"/>
      <c r="Q213" s="4"/>
      <c r="R213" s="4"/>
      <c r="S213" s="19"/>
    </row>
    <row r="214" spans="1:19" ht="17.399999999999999" x14ac:dyDescent="0.25">
      <c r="A214" s="4"/>
      <c r="B214" s="19"/>
      <c r="C214" s="4"/>
      <c r="D214" s="4"/>
      <c r="E214" s="5"/>
      <c r="F214" s="4"/>
      <c r="G214" s="4"/>
      <c r="H214" s="4"/>
      <c r="I214" s="4"/>
      <c r="J214" s="4"/>
      <c r="K214" s="4"/>
      <c r="L214" s="4"/>
      <c r="M214" s="4"/>
      <c r="N214" s="4"/>
      <c r="O214" s="4"/>
      <c r="P214" s="4"/>
      <c r="Q214" s="4"/>
      <c r="R214" s="4"/>
      <c r="S214" s="19"/>
    </row>
    <row r="215" spans="1:19" ht="17.399999999999999" x14ac:dyDescent="0.25">
      <c r="A215" s="4"/>
      <c r="B215" s="19"/>
      <c r="C215" s="4"/>
      <c r="D215" s="4"/>
      <c r="E215" s="5"/>
      <c r="F215" s="4"/>
      <c r="G215" s="4"/>
      <c r="H215" s="4"/>
      <c r="I215" s="4"/>
      <c r="J215" s="4"/>
      <c r="K215" s="4"/>
      <c r="L215" s="4"/>
      <c r="M215" s="4"/>
      <c r="N215" s="4"/>
      <c r="O215" s="4"/>
      <c r="P215" s="4"/>
      <c r="Q215" s="4"/>
      <c r="R215" s="4"/>
      <c r="S215" s="19"/>
    </row>
    <row r="216" spans="1:19" ht="17.399999999999999" x14ac:dyDescent="0.25">
      <c r="A216" s="4"/>
      <c r="B216" s="19"/>
      <c r="C216" s="4"/>
      <c r="D216" s="4"/>
      <c r="E216" s="5"/>
      <c r="F216" s="4"/>
      <c r="G216" s="4"/>
      <c r="H216" s="4"/>
      <c r="I216" s="4"/>
      <c r="J216" s="4"/>
      <c r="K216" s="4"/>
      <c r="L216" s="4"/>
      <c r="M216" s="4"/>
      <c r="N216" s="4"/>
      <c r="O216" s="4"/>
      <c r="P216" s="4"/>
      <c r="Q216" s="4"/>
      <c r="R216" s="4"/>
      <c r="S216" s="19"/>
    </row>
    <row r="217" spans="1:19" ht="17.399999999999999" x14ac:dyDescent="0.25">
      <c r="A217" s="4"/>
      <c r="B217" s="19"/>
      <c r="C217" s="4"/>
      <c r="D217" s="4"/>
      <c r="E217" s="5"/>
      <c r="F217" s="4"/>
      <c r="G217" s="4"/>
      <c r="H217" s="4"/>
      <c r="I217" s="4"/>
      <c r="J217" s="4"/>
      <c r="K217" s="4"/>
      <c r="L217" s="4"/>
      <c r="M217" s="4"/>
      <c r="N217" s="4"/>
      <c r="O217" s="4"/>
      <c r="P217" s="4"/>
      <c r="Q217" s="4"/>
      <c r="R217" s="4"/>
      <c r="S217" s="19"/>
    </row>
    <row r="218" spans="1:19" ht="17.399999999999999" x14ac:dyDescent="0.25">
      <c r="A218" s="4"/>
      <c r="B218" s="19"/>
      <c r="C218" s="4"/>
      <c r="D218" s="4"/>
      <c r="E218" s="5"/>
      <c r="F218" s="4"/>
      <c r="G218" s="4"/>
      <c r="H218" s="4"/>
      <c r="I218" s="4"/>
      <c r="J218" s="4"/>
      <c r="K218" s="4"/>
      <c r="L218" s="4"/>
      <c r="M218" s="4"/>
      <c r="N218" s="4"/>
      <c r="O218" s="4"/>
      <c r="P218" s="4"/>
      <c r="Q218" s="4"/>
      <c r="R218" s="4"/>
      <c r="S218" s="19"/>
    </row>
    <row r="219" spans="1:19" ht="17.399999999999999" x14ac:dyDescent="0.25">
      <c r="A219" s="4"/>
      <c r="B219" s="19"/>
      <c r="C219" s="4"/>
      <c r="D219" s="4"/>
      <c r="E219" s="5"/>
      <c r="F219" s="4"/>
      <c r="G219" s="4"/>
      <c r="H219" s="4"/>
      <c r="I219" s="4"/>
      <c r="J219" s="4"/>
      <c r="K219" s="4"/>
      <c r="L219" s="4"/>
      <c r="M219" s="4"/>
      <c r="N219" s="4"/>
      <c r="O219" s="4"/>
      <c r="P219" s="4"/>
      <c r="Q219" s="4"/>
      <c r="R219" s="4"/>
      <c r="S219" s="19"/>
    </row>
    <row r="220" spans="1:19" ht="17.399999999999999" x14ac:dyDescent="0.25">
      <c r="A220" s="4"/>
      <c r="B220" s="19"/>
      <c r="C220" s="4"/>
      <c r="D220" s="4"/>
      <c r="E220" s="5"/>
      <c r="F220" s="4"/>
      <c r="G220" s="4"/>
      <c r="H220" s="4"/>
      <c r="I220" s="4"/>
      <c r="J220" s="4"/>
      <c r="K220" s="4"/>
      <c r="L220" s="4"/>
      <c r="M220" s="4"/>
      <c r="N220" s="4"/>
      <c r="O220" s="4"/>
      <c r="P220" s="4"/>
      <c r="Q220" s="4"/>
      <c r="R220" s="4"/>
      <c r="S220" s="19"/>
    </row>
    <row r="221" spans="1:19" ht="17.399999999999999" x14ac:dyDescent="0.25">
      <c r="A221" s="4"/>
      <c r="B221" s="19"/>
      <c r="C221" s="4"/>
      <c r="D221" s="4"/>
      <c r="E221" s="5"/>
      <c r="F221" s="4"/>
      <c r="G221" s="4"/>
      <c r="H221" s="4"/>
      <c r="I221" s="4"/>
      <c r="J221" s="4"/>
      <c r="K221" s="4"/>
      <c r="L221" s="4"/>
      <c r="M221" s="4"/>
      <c r="N221" s="4"/>
      <c r="O221" s="4"/>
      <c r="P221" s="4"/>
      <c r="Q221" s="4"/>
      <c r="R221" s="4"/>
      <c r="S221" s="19"/>
    </row>
    <row r="222" spans="1:19" ht="17.399999999999999" x14ac:dyDescent="0.25">
      <c r="A222" s="4"/>
      <c r="B222" s="19"/>
      <c r="C222" s="4"/>
      <c r="D222" s="4"/>
      <c r="E222" s="5"/>
      <c r="F222" s="4"/>
      <c r="G222" s="4"/>
      <c r="H222" s="4"/>
      <c r="I222" s="4"/>
      <c r="J222" s="4"/>
      <c r="K222" s="4"/>
      <c r="L222" s="4"/>
      <c r="M222" s="4"/>
      <c r="N222" s="4"/>
      <c r="O222" s="4"/>
      <c r="P222" s="4"/>
      <c r="Q222" s="4"/>
      <c r="R222" s="4"/>
      <c r="S222" s="19"/>
    </row>
    <row r="223" spans="1:19" ht="17.399999999999999" x14ac:dyDescent="0.25">
      <c r="A223" s="4"/>
      <c r="B223" s="19"/>
      <c r="C223" s="4"/>
      <c r="D223" s="4"/>
      <c r="E223" s="5"/>
      <c r="F223" s="4"/>
      <c r="G223" s="4"/>
      <c r="H223" s="4"/>
      <c r="I223" s="4"/>
      <c r="J223" s="4"/>
      <c r="K223" s="4"/>
      <c r="L223" s="4"/>
      <c r="M223" s="4"/>
      <c r="N223" s="4"/>
      <c r="O223" s="4"/>
      <c r="P223" s="4"/>
      <c r="Q223" s="4"/>
      <c r="R223" s="4"/>
      <c r="S223" s="19"/>
    </row>
    <row r="224" spans="1:19" ht="17.399999999999999" x14ac:dyDescent="0.25">
      <c r="A224" s="4"/>
      <c r="B224" s="19"/>
      <c r="C224" s="4"/>
      <c r="D224" s="4"/>
      <c r="E224" s="5"/>
      <c r="F224" s="4"/>
      <c r="G224" s="4"/>
      <c r="H224" s="4"/>
      <c r="I224" s="4"/>
      <c r="J224" s="4"/>
      <c r="K224" s="4"/>
      <c r="L224" s="4"/>
      <c r="M224" s="4"/>
      <c r="N224" s="4"/>
      <c r="O224" s="4"/>
      <c r="P224" s="4"/>
      <c r="Q224" s="4"/>
      <c r="R224" s="4"/>
      <c r="S224" s="19"/>
    </row>
    <row r="225" spans="1:19" ht="17.399999999999999" x14ac:dyDescent="0.25">
      <c r="A225" s="4"/>
      <c r="B225" s="19"/>
      <c r="C225" s="4"/>
      <c r="D225" s="4"/>
      <c r="E225" s="5"/>
      <c r="F225" s="4"/>
      <c r="G225" s="4"/>
      <c r="H225" s="4"/>
      <c r="I225" s="4"/>
      <c r="J225" s="4"/>
      <c r="K225" s="4"/>
      <c r="L225" s="4"/>
      <c r="M225" s="4"/>
      <c r="N225" s="4"/>
      <c r="O225" s="4"/>
      <c r="P225" s="4"/>
      <c r="Q225" s="4"/>
      <c r="R225" s="4"/>
      <c r="S225" s="19"/>
    </row>
    <row r="226" spans="1:19" ht="17.399999999999999" x14ac:dyDescent="0.25">
      <c r="A226" s="4"/>
      <c r="B226" s="19"/>
      <c r="C226" s="4"/>
      <c r="D226" s="4"/>
      <c r="E226" s="5"/>
      <c r="F226" s="4"/>
      <c r="G226" s="4"/>
      <c r="H226" s="4"/>
      <c r="I226" s="4"/>
      <c r="J226" s="4"/>
      <c r="K226" s="4"/>
      <c r="L226" s="4"/>
      <c r="M226" s="4"/>
      <c r="N226" s="4"/>
      <c r="O226" s="4"/>
      <c r="P226" s="4"/>
      <c r="Q226" s="4"/>
      <c r="R226" s="4"/>
      <c r="S226" s="19"/>
    </row>
    <row r="227" spans="1:19" ht="17.399999999999999" x14ac:dyDescent="0.25">
      <c r="A227" s="4"/>
      <c r="B227" s="19"/>
      <c r="C227" s="4"/>
      <c r="D227" s="4"/>
      <c r="E227" s="5"/>
      <c r="F227" s="4"/>
      <c r="G227" s="4"/>
      <c r="H227" s="4"/>
      <c r="I227" s="4"/>
      <c r="J227" s="4"/>
      <c r="K227" s="4"/>
      <c r="L227" s="4"/>
      <c r="M227" s="4"/>
      <c r="N227" s="4"/>
      <c r="O227" s="4"/>
      <c r="P227" s="4"/>
      <c r="Q227" s="4"/>
      <c r="R227" s="4"/>
      <c r="S227" s="19"/>
    </row>
    <row r="228" spans="1:19" ht="17.399999999999999" x14ac:dyDescent="0.25">
      <c r="A228" s="4"/>
      <c r="B228" s="19"/>
      <c r="C228" s="4"/>
      <c r="D228" s="4"/>
      <c r="E228" s="5"/>
      <c r="F228" s="4"/>
      <c r="G228" s="4"/>
      <c r="H228" s="4"/>
      <c r="I228" s="4"/>
      <c r="J228" s="4"/>
      <c r="K228" s="4"/>
      <c r="L228" s="4"/>
      <c r="M228" s="4"/>
      <c r="N228" s="4"/>
      <c r="O228" s="4"/>
      <c r="P228" s="4"/>
      <c r="Q228" s="4"/>
      <c r="R228" s="4"/>
      <c r="S228" s="19"/>
    </row>
    <row r="229" spans="1:19" ht="17.399999999999999" x14ac:dyDescent="0.25">
      <c r="A229" s="4"/>
      <c r="B229" s="19"/>
      <c r="C229" s="4"/>
      <c r="D229" s="4"/>
      <c r="E229" s="5"/>
      <c r="F229" s="4"/>
      <c r="G229" s="4"/>
      <c r="H229" s="4"/>
      <c r="I229" s="4"/>
      <c r="J229" s="4"/>
      <c r="K229" s="4"/>
      <c r="L229" s="4"/>
      <c r="M229" s="4"/>
      <c r="N229" s="4"/>
      <c r="O229" s="4"/>
      <c r="P229" s="4"/>
      <c r="Q229" s="4"/>
      <c r="R229" s="4"/>
      <c r="S229" s="19"/>
    </row>
    <row r="230" spans="1:19" ht="17.399999999999999" x14ac:dyDescent="0.25">
      <c r="A230" s="4"/>
      <c r="B230" s="19"/>
      <c r="C230" s="4"/>
      <c r="D230" s="4"/>
      <c r="E230" s="5"/>
      <c r="F230" s="4"/>
      <c r="G230" s="4"/>
      <c r="H230" s="4"/>
      <c r="I230" s="4"/>
      <c r="J230" s="4"/>
      <c r="K230" s="4"/>
      <c r="L230" s="4"/>
      <c r="M230" s="4"/>
      <c r="N230" s="4"/>
      <c r="O230" s="4"/>
      <c r="P230" s="4"/>
      <c r="Q230" s="4"/>
      <c r="R230" s="4"/>
      <c r="S230" s="19"/>
    </row>
    <row r="231" spans="1:19" ht="17.399999999999999" x14ac:dyDescent="0.25">
      <c r="A231" s="4"/>
      <c r="B231" s="19"/>
      <c r="C231" s="4"/>
      <c r="D231" s="4"/>
      <c r="E231" s="5"/>
      <c r="F231" s="4"/>
      <c r="G231" s="4"/>
      <c r="H231" s="4"/>
      <c r="I231" s="4"/>
      <c r="J231" s="4"/>
      <c r="K231" s="4"/>
      <c r="L231" s="4"/>
      <c r="M231" s="4"/>
      <c r="N231" s="4"/>
      <c r="O231" s="4"/>
      <c r="P231" s="4"/>
      <c r="Q231" s="4"/>
      <c r="R231" s="4"/>
      <c r="S231" s="19"/>
    </row>
    <row r="232" spans="1:19" ht="17.399999999999999" x14ac:dyDescent="0.25">
      <c r="A232" s="4"/>
      <c r="B232" s="19"/>
      <c r="C232" s="4"/>
      <c r="D232" s="4"/>
      <c r="E232" s="5"/>
      <c r="F232" s="4"/>
      <c r="G232" s="4"/>
      <c r="H232" s="4"/>
      <c r="I232" s="4"/>
      <c r="J232" s="4"/>
      <c r="K232" s="4"/>
      <c r="L232" s="4"/>
      <c r="M232" s="4"/>
      <c r="N232" s="4"/>
      <c r="O232" s="4"/>
      <c r="P232" s="4"/>
      <c r="Q232" s="4"/>
      <c r="R232" s="4"/>
      <c r="S232" s="19"/>
    </row>
    <row r="233" spans="1:19" ht="17.399999999999999" x14ac:dyDescent="0.25">
      <c r="A233" s="4"/>
      <c r="B233" s="19"/>
      <c r="C233" s="4"/>
      <c r="D233" s="4"/>
      <c r="E233" s="5"/>
      <c r="F233" s="4"/>
      <c r="G233" s="4"/>
      <c r="H233" s="4"/>
      <c r="I233" s="4"/>
      <c r="J233" s="4"/>
      <c r="K233" s="4"/>
      <c r="L233" s="4"/>
      <c r="M233" s="4"/>
      <c r="N233" s="4"/>
      <c r="O233" s="4"/>
      <c r="P233" s="4"/>
      <c r="Q233" s="4"/>
      <c r="R233" s="4"/>
      <c r="S233" s="19"/>
    </row>
    <row r="234" spans="1:19" ht="17.399999999999999" x14ac:dyDescent="0.25">
      <c r="A234" s="4"/>
      <c r="B234" s="19"/>
      <c r="C234" s="4"/>
      <c r="D234" s="4"/>
      <c r="E234" s="5"/>
      <c r="F234" s="4"/>
      <c r="G234" s="4"/>
      <c r="H234" s="4"/>
      <c r="I234" s="4"/>
      <c r="J234" s="4"/>
      <c r="K234" s="4"/>
      <c r="L234" s="4"/>
      <c r="M234" s="4"/>
      <c r="N234" s="4"/>
      <c r="O234" s="4"/>
      <c r="P234" s="4"/>
      <c r="Q234" s="4"/>
      <c r="R234" s="4"/>
      <c r="S234" s="19"/>
    </row>
    <row r="235" spans="1:19" ht="17.399999999999999" x14ac:dyDescent="0.25">
      <c r="A235" s="4"/>
      <c r="B235" s="19"/>
      <c r="C235" s="4"/>
      <c r="D235" s="4"/>
      <c r="E235" s="5"/>
      <c r="F235" s="4"/>
      <c r="G235" s="4"/>
      <c r="H235" s="4"/>
      <c r="I235" s="4"/>
      <c r="J235" s="4"/>
      <c r="K235" s="4"/>
      <c r="L235" s="4"/>
      <c r="M235" s="4"/>
      <c r="N235" s="4"/>
      <c r="O235" s="4"/>
      <c r="P235" s="4"/>
      <c r="Q235" s="4"/>
      <c r="R235" s="4"/>
      <c r="S235" s="19"/>
    </row>
    <row r="236" spans="1:19" ht="17.399999999999999" x14ac:dyDescent="0.25">
      <c r="A236" s="4"/>
      <c r="B236" s="19"/>
      <c r="C236" s="4"/>
      <c r="D236" s="4"/>
      <c r="E236" s="5"/>
      <c r="F236" s="4"/>
      <c r="G236" s="4"/>
      <c r="H236" s="4"/>
      <c r="I236" s="4"/>
      <c r="J236" s="4"/>
      <c r="K236" s="4"/>
      <c r="L236" s="4"/>
      <c r="M236" s="4"/>
      <c r="N236" s="4"/>
      <c r="O236" s="4"/>
      <c r="P236" s="4"/>
      <c r="Q236" s="4"/>
      <c r="R236" s="4"/>
      <c r="S236" s="19"/>
    </row>
    <row r="237" spans="1:19" ht="17.399999999999999" x14ac:dyDescent="0.25">
      <c r="A237" s="4"/>
      <c r="B237" s="19"/>
      <c r="C237" s="4"/>
      <c r="D237" s="4"/>
      <c r="E237" s="5"/>
      <c r="F237" s="4"/>
      <c r="G237" s="4"/>
      <c r="H237" s="4"/>
      <c r="I237" s="4"/>
      <c r="J237" s="4"/>
      <c r="K237" s="4"/>
      <c r="L237" s="4"/>
      <c r="M237" s="4"/>
      <c r="N237" s="4"/>
      <c r="O237" s="4"/>
      <c r="P237" s="4"/>
      <c r="Q237" s="4"/>
      <c r="R237" s="4"/>
      <c r="S237" s="19"/>
    </row>
    <row r="238" spans="1:19" ht="17.399999999999999" x14ac:dyDescent="0.25">
      <c r="A238" s="4"/>
      <c r="B238" s="19"/>
      <c r="C238" s="4"/>
      <c r="D238" s="4"/>
      <c r="E238" s="5"/>
      <c r="F238" s="4"/>
      <c r="G238" s="4"/>
      <c r="H238" s="4"/>
      <c r="I238" s="4"/>
      <c r="J238" s="4"/>
      <c r="K238" s="4"/>
      <c r="L238" s="4"/>
      <c r="M238" s="4"/>
      <c r="N238" s="4"/>
      <c r="O238" s="4"/>
      <c r="P238" s="4"/>
      <c r="Q238" s="4"/>
      <c r="R238" s="4"/>
      <c r="S238" s="19"/>
    </row>
    <row r="239" spans="1:19" ht="17.399999999999999" x14ac:dyDescent="0.25">
      <c r="A239" s="4"/>
      <c r="B239" s="19"/>
      <c r="C239" s="4"/>
      <c r="D239" s="4"/>
      <c r="E239" s="5"/>
      <c r="F239" s="4"/>
      <c r="G239" s="4"/>
      <c r="H239" s="4"/>
      <c r="I239" s="4"/>
      <c r="J239" s="4"/>
      <c r="K239" s="4"/>
      <c r="L239" s="4"/>
      <c r="M239" s="4"/>
      <c r="N239" s="4"/>
      <c r="O239" s="4"/>
      <c r="P239" s="4"/>
      <c r="Q239" s="4"/>
      <c r="R239" s="4"/>
      <c r="S239" s="19"/>
    </row>
    <row r="240" spans="1:19" ht="17.399999999999999" x14ac:dyDescent="0.25">
      <c r="A240" s="4"/>
      <c r="B240" s="19"/>
      <c r="C240" s="4"/>
      <c r="D240" s="4"/>
      <c r="E240" s="5"/>
      <c r="F240" s="4"/>
      <c r="G240" s="4"/>
      <c r="H240" s="4"/>
      <c r="I240" s="4"/>
      <c r="J240" s="4"/>
      <c r="K240" s="4"/>
      <c r="L240" s="4"/>
      <c r="M240" s="4"/>
      <c r="N240" s="4"/>
      <c r="O240" s="4"/>
      <c r="P240" s="4"/>
      <c r="Q240" s="4"/>
      <c r="R240" s="4"/>
      <c r="S240" s="19"/>
    </row>
    <row r="241" spans="1:19" ht="17.399999999999999" x14ac:dyDescent="0.25">
      <c r="A241" s="4"/>
      <c r="B241" s="19"/>
      <c r="C241" s="4"/>
      <c r="D241" s="4"/>
      <c r="E241" s="5"/>
      <c r="F241" s="4"/>
      <c r="G241" s="4"/>
      <c r="H241" s="4"/>
      <c r="I241" s="4"/>
      <c r="J241" s="4"/>
      <c r="K241" s="4"/>
      <c r="L241" s="4"/>
      <c r="M241" s="4"/>
      <c r="N241" s="4"/>
      <c r="O241" s="4"/>
      <c r="P241" s="4"/>
      <c r="Q241" s="4"/>
      <c r="R241" s="4"/>
      <c r="S241" s="19"/>
    </row>
    <row r="242" spans="1:19" ht="17.399999999999999" x14ac:dyDescent="0.25">
      <c r="A242" s="4"/>
      <c r="B242" s="19"/>
      <c r="C242" s="4"/>
      <c r="D242" s="4"/>
      <c r="E242" s="5"/>
      <c r="F242" s="4"/>
      <c r="G242" s="4"/>
      <c r="H242" s="4"/>
      <c r="I242" s="4"/>
      <c r="J242" s="4"/>
      <c r="K242" s="4"/>
      <c r="L242" s="4"/>
      <c r="M242" s="4"/>
      <c r="N242" s="4"/>
      <c r="O242" s="4"/>
      <c r="P242" s="4"/>
      <c r="Q242" s="4"/>
      <c r="R242" s="4"/>
      <c r="S242" s="19"/>
    </row>
    <row r="243" spans="1:19" ht="17.399999999999999" x14ac:dyDescent="0.25">
      <c r="A243" s="4"/>
      <c r="B243" s="19"/>
      <c r="C243" s="4"/>
      <c r="D243" s="4"/>
      <c r="E243" s="5"/>
      <c r="F243" s="4"/>
      <c r="G243" s="4"/>
      <c r="H243" s="4"/>
      <c r="I243" s="4"/>
      <c r="J243" s="4"/>
      <c r="K243" s="4"/>
      <c r="L243" s="4"/>
      <c r="M243" s="4"/>
      <c r="N243" s="4"/>
      <c r="O243" s="4"/>
      <c r="P243" s="4"/>
      <c r="Q243" s="4"/>
      <c r="R243" s="4"/>
      <c r="S243" s="19"/>
    </row>
    <row r="244" spans="1:19" ht="17.399999999999999" x14ac:dyDescent="0.25">
      <c r="A244" s="4"/>
      <c r="B244" s="19"/>
      <c r="C244" s="4"/>
      <c r="D244" s="4"/>
      <c r="E244" s="5"/>
      <c r="F244" s="4"/>
      <c r="G244" s="4"/>
      <c r="H244" s="4"/>
      <c r="I244" s="4"/>
      <c r="J244" s="4"/>
      <c r="K244" s="4"/>
      <c r="L244" s="4"/>
      <c r="M244" s="4"/>
      <c r="N244" s="4"/>
      <c r="O244" s="4"/>
      <c r="P244" s="4"/>
      <c r="Q244" s="4"/>
      <c r="R244" s="4"/>
      <c r="S244" s="19"/>
    </row>
    <row r="245" spans="1:19" ht="17.399999999999999" x14ac:dyDescent="0.25">
      <c r="A245" s="4"/>
      <c r="B245" s="19"/>
      <c r="C245" s="4"/>
      <c r="D245" s="4"/>
      <c r="E245" s="5"/>
      <c r="F245" s="4"/>
      <c r="G245" s="4"/>
      <c r="H245" s="4"/>
      <c r="I245" s="4"/>
      <c r="J245" s="4"/>
      <c r="K245" s="4"/>
      <c r="L245" s="4"/>
      <c r="M245" s="4"/>
      <c r="N245" s="4"/>
      <c r="O245" s="4"/>
      <c r="P245" s="4"/>
      <c r="Q245" s="4"/>
      <c r="R245" s="4"/>
      <c r="S245" s="19"/>
    </row>
    <row r="246" spans="1:19" ht="17.399999999999999" x14ac:dyDescent="0.25">
      <c r="A246" s="4"/>
      <c r="B246" s="19"/>
      <c r="C246" s="4"/>
      <c r="D246" s="4"/>
      <c r="E246" s="5"/>
      <c r="F246" s="4"/>
      <c r="G246" s="4"/>
      <c r="H246" s="4"/>
      <c r="I246" s="4"/>
      <c r="J246" s="4"/>
      <c r="K246" s="4"/>
      <c r="L246" s="4"/>
      <c r="M246" s="4"/>
      <c r="N246" s="4"/>
      <c r="O246" s="4"/>
      <c r="P246" s="4"/>
      <c r="Q246" s="4"/>
      <c r="R246" s="4"/>
      <c r="S246" s="19"/>
    </row>
    <row r="247" spans="1:19" ht="17.399999999999999" x14ac:dyDescent="0.25">
      <c r="A247" s="4"/>
      <c r="B247" s="19"/>
      <c r="C247" s="4"/>
      <c r="D247" s="4"/>
      <c r="E247" s="5"/>
      <c r="F247" s="4"/>
      <c r="G247" s="4"/>
      <c r="H247" s="4"/>
      <c r="I247" s="4"/>
      <c r="J247" s="4"/>
      <c r="K247" s="4"/>
      <c r="L247" s="4"/>
      <c r="M247" s="4"/>
      <c r="N247" s="4"/>
      <c r="O247" s="4"/>
      <c r="P247" s="4"/>
      <c r="Q247" s="4"/>
      <c r="R247" s="4"/>
      <c r="S247" s="19"/>
    </row>
    <row r="248" spans="1:19" ht="17.399999999999999" x14ac:dyDescent="0.25">
      <c r="A248" s="4"/>
      <c r="B248" s="19"/>
      <c r="C248" s="4"/>
      <c r="D248" s="4"/>
      <c r="E248" s="5"/>
      <c r="F248" s="4"/>
      <c r="G248" s="4"/>
      <c r="H248" s="4"/>
      <c r="I248" s="4"/>
      <c r="J248" s="4"/>
      <c r="K248" s="4"/>
      <c r="L248" s="4"/>
      <c r="M248" s="4"/>
      <c r="N248" s="4"/>
      <c r="O248" s="4"/>
      <c r="P248" s="4"/>
      <c r="Q248" s="4"/>
      <c r="R248" s="4"/>
      <c r="S248" s="19"/>
    </row>
    <row r="249" spans="1:19" ht="17.399999999999999" x14ac:dyDescent="0.25">
      <c r="A249" s="4"/>
      <c r="B249" s="19"/>
      <c r="C249" s="4"/>
      <c r="D249" s="4"/>
      <c r="E249" s="5"/>
      <c r="F249" s="4"/>
      <c r="G249" s="4"/>
      <c r="H249" s="4"/>
      <c r="I249" s="4"/>
      <c r="J249" s="4"/>
      <c r="K249" s="4"/>
      <c r="L249" s="4"/>
      <c r="M249" s="4"/>
      <c r="N249" s="4"/>
      <c r="O249" s="4"/>
      <c r="P249" s="4"/>
      <c r="Q249" s="4"/>
      <c r="R249" s="4"/>
      <c r="S249" s="19"/>
    </row>
    <row r="250" spans="1:19" ht="17.399999999999999" x14ac:dyDescent="0.25">
      <c r="A250" s="4"/>
      <c r="B250" s="19"/>
      <c r="C250" s="4"/>
      <c r="D250" s="4"/>
      <c r="E250" s="5"/>
      <c r="F250" s="4"/>
      <c r="G250" s="4"/>
      <c r="H250" s="4"/>
      <c r="I250" s="4"/>
      <c r="J250" s="4"/>
      <c r="K250" s="4"/>
      <c r="L250" s="4"/>
      <c r="M250" s="4"/>
      <c r="N250" s="4"/>
      <c r="O250" s="4"/>
      <c r="P250" s="4"/>
      <c r="Q250" s="4"/>
      <c r="R250" s="4"/>
      <c r="S250" s="19"/>
    </row>
    <row r="251" spans="1:19" ht="17.399999999999999" x14ac:dyDescent="0.25">
      <c r="A251" s="4"/>
      <c r="B251" s="19"/>
      <c r="C251" s="4"/>
      <c r="D251" s="4"/>
      <c r="E251" s="5"/>
      <c r="F251" s="4"/>
      <c r="G251" s="4"/>
      <c r="H251" s="4"/>
      <c r="I251" s="4"/>
      <c r="J251" s="4"/>
      <c r="K251" s="4"/>
      <c r="L251" s="4"/>
      <c r="M251" s="4"/>
      <c r="N251" s="4"/>
      <c r="O251" s="4"/>
      <c r="P251" s="4"/>
      <c r="Q251" s="4"/>
      <c r="R251" s="4"/>
      <c r="S251" s="19"/>
    </row>
    <row r="252" spans="1:19" ht="17.399999999999999" x14ac:dyDescent="0.25">
      <c r="A252" s="4"/>
      <c r="B252" s="19"/>
      <c r="C252" s="4"/>
      <c r="D252" s="4"/>
      <c r="E252" s="5"/>
      <c r="F252" s="4"/>
      <c r="G252" s="4"/>
      <c r="H252" s="4"/>
      <c r="I252" s="4"/>
      <c r="J252" s="4"/>
      <c r="K252" s="4"/>
      <c r="L252" s="4"/>
      <c r="M252" s="4"/>
      <c r="N252" s="4"/>
      <c r="O252" s="4"/>
      <c r="P252" s="4"/>
      <c r="Q252" s="4"/>
      <c r="R252" s="4"/>
      <c r="S252" s="19"/>
    </row>
    <row r="253" spans="1:19" ht="17.399999999999999" x14ac:dyDescent="0.25">
      <c r="A253" s="4"/>
      <c r="B253" s="19"/>
      <c r="C253" s="4"/>
      <c r="D253" s="4"/>
      <c r="E253" s="5"/>
      <c r="F253" s="4"/>
      <c r="G253" s="4"/>
      <c r="H253" s="4"/>
      <c r="I253" s="4"/>
      <c r="J253" s="4"/>
      <c r="K253" s="4"/>
      <c r="L253" s="4"/>
      <c r="M253" s="4"/>
      <c r="N253" s="4"/>
      <c r="O253" s="4"/>
      <c r="P253" s="4"/>
      <c r="Q253" s="4"/>
      <c r="R253" s="4"/>
      <c r="S253" s="19"/>
    </row>
    <row r="254" spans="1:19" ht="17.399999999999999" x14ac:dyDescent="0.25">
      <c r="A254" s="4"/>
      <c r="B254" s="19"/>
      <c r="C254" s="4"/>
      <c r="D254" s="4"/>
      <c r="E254" s="5"/>
      <c r="F254" s="4"/>
      <c r="G254" s="4"/>
      <c r="H254" s="4"/>
      <c r="I254" s="4"/>
      <c r="J254" s="4"/>
      <c r="K254" s="4"/>
      <c r="L254" s="4"/>
      <c r="M254" s="4"/>
      <c r="N254" s="4"/>
      <c r="O254" s="4"/>
      <c r="P254" s="4"/>
      <c r="Q254" s="4"/>
      <c r="R254" s="4"/>
      <c r="S254" s="19"/>
    </row>
    <row r="255" spans="1:19" ht="17.399999999999999" x14ac:dyDescent="0.25">
      <c r="A255" s="4"/>
      <c r="B255" s="19"/>
      <c r="C255" s="4"/>
      <c r="D255" s="4"/>
      <c r="E255" s="5"/>
      <c r="F255" s="4"/>
      <c r="G255" s="4"/>
      <c r="H255" s="4"/>
      <c r="I255" s="4"/>
      <c r="J255" s="4"/>
      <c r="K255" s="4"/>
      <c r="L255" s="4"/>
      <c r="M255" s="4"/>
      <c r="N255" s="4"/>
      <c r="O255" s="4"/>
      <c r="P255" s="4"/>
      <c r="Q255" s="4"/>
      <c r="R255" s="4"/>
      <c r="S255" s="19"/>
    </row>
    <row r="256" spans="1:19" ht="17.399999999999999" x14ac:dyDescent="0.25">
      <c r="A256" s="4"/>
      <c r="B256" s="19"/>
      <c r="C256" s="4"/>
      <c r="D256" s="4"/>
      <c r="E256" s="5"/>
      <c r="F256" s="4"/>
      <c r="G256" s="4"/>
      <c r="H256" s="4"/>
      <c r="I256" s="4"/>
      <c r="J256" s="4"/>
      <c r="K256" s="4"/>
      <c r="L256" s="4"/>
      <c r="M256" s="4"/>
      <c r="N256" s="4"/>
      <c r="O256" s="4"/>
      <c r="P256" s="4"/>
      <c r="Q256" s="4"/>
      <c r="R256" s="4"/>
      <c r="S256" s="19"/>
    </row>
    <row r="257" spans="1:19" ht="17.399999999999999" x14ac:dyDescent="0.25">
      <c r="A257" s="4"/>
      <c r="B257" s="19"/>
      <c r="C257" s="4"/>
      <c r="D257" s="4"/>
      <c r="E257" s="5"/>
      <c r="F257" s="4"/>
      <c r="G257" s="4"/>
      <c r="H257" s="4"/>
      <c r="I257" s="4"/>
      <c r="J257" s="4"/>
      <c r="K257" s="4"/>
      <c r="L257" s="4"/>
      <c r="M257" s="4"/>
      <c r="N257" s="4"/>
      <c r="O257" s="4"/>
      <c r="P257" s="4"/>
      <c r="Q257" s="4"/>
      <c r="R257" s="4"/>
      <c r="S257" s="19"/>
    </row>
    <row r="258" spans="1:19" ht="17.399999999999999" x14ac:dyDescent="0.25">
      <c r="A258" s="4"/>
      <c r="B258" s="19"/>
      <c r="C258" s="4"/>
      <c r="D258" s="4"/>
      <c r="E258" s="5"/>
      <c r="F258" s="4"/>
      <c r="G258" s="4"/>
      <c r="H258" s="4"/>
      <c r="I258" s="4"/>
      <c r="J258" s="4"/>
      <c r="K258" s="4"/>
      <c r="L258" s="4"/>
      <c r="M258" s="4"/>
      <c r="N258" s="4"/>
      <c r="O258" s="4"/>
      <c r="P258" s="4"/>
      <c r="Q258" s="4"/>
      <c r="R258" s="4"/>
      <c r="S258" s="19"/>
    </row>
    <row r="259" spans="1:19" ht="17.399999999999999" x14ac:dyDescent="0.25">
      <c r="A259" s="4"/>
      <c r="B259" s="19"/>
      <c r="C259" s="4"/>
      <c r="D259" s="4"/>
      <c r="E259" s="5"/>
      <c r="F259" s="4"/>
      <c r="G259" s="4"/>
      <c r="H259" s="4"/>
      <c r="I259" s="4"/>
      <c r="J259" s="4"/>
      <c r="K259" s="4"/>
      <c r="L259" s="4"/>
      <c r="M259" s="4"/>
      <c r="N259" s="4"/>
      <c r="O259" s="4"/>
      <c r="P259" s="4"/>
      <c r="Q259" s="4"/>
      <c r="R259" s="4"/>
      <c r="S259" s="19"/>
    </row>
    <row r="260" spans="1:19" ht="17.399999999999999" x14ac:dyDescent="0.25">
      <c r="A260" s="4"/>
      <c r="B260" s="19"/>
      <c r="C260" s="4"/>
      <c r="D260" s="4"/>
      <c r="E260" s="5"/>
      <c r="F260" s="4"/>
      <c r="G260" s="4"/>
      <c r="H260" s="4"/>
      <c r="I260" s="4"/>
      <c r="J260" s="4"/>
      <c r="K260" s="4"/>
      <c r="L260" s="4"/>
      <c r="M260" s="4"/>
      <c r="N260" s="4"/>
      <c r="O260" s="4"/>
      <c r="P260" s="4"/>
      <c r="Q260" s="4"/>
      <c r="R260" s="4"/>
      <c r="S260" s="19"/>
    </row>
    <row r="261" spans="1:19" ht="17.399999999999999" x14ac:dyDescent="0.25">
      <c r="A261" s="4"/>
      <c r="B261" s="19"/>
      <c r="C261" s="4"/>
      <c r="D261" s="4"/>
      <c r="E261" s="5"/>
      <c r="F261" s="4"/>
      <c r="G261" s="4"/>
      <c r="H261" s="4"/>
      <c r="I261" s="4"/>
      <c r="J261" s="4"/>
      <c r="K261" s="4"/>
      <c r="L261" s="4"/>
      <c r="M261" s="4"/>
      <c r="N261" s="4"/>
      <c r="O261" s="4"/>
      <c r="P261" s="4"/>
      <c r="Q261" s="4"/>
      <c r="R261" s="4"/>
      <c r="S261" s="19"/>
    </row>
    <row r="262" spans="1:19" ht="17.399999999999999" x14ac:dyDescent="0.25">
      <c r="A262" s="4"/>
      <c r="B262" s="19"/>
      <c r="C262" s="4"/>
      <c r="D262" s="4"/>
      <c r="E262" s="5"/>
      <c r="F262" s="4"/>
      <c r="G262" s="4"/>
      <c r="H262" s="4"/>
      <c r="I262" s="4"/>
      <c r="J262" s="4"/>
      <c r="K262" s="4"/>
      <c r="L262" s="4"/>
      <c r="M262" s="4"/>
      <c r="N262" s="4"/>
      <c r="O262" s="4"/>
      <c r="P262" s="4"/>
      <c r="Q262" s="4"/>
      <c r="R262" s="4"/>
      <c r="S262" s="19"/>
    </row>
    <row r="263" spans="1:19" ht="17.399999999999999" x14ac:dyDescent="0.25">
      <c r="A263" s="4"/>
      <c r="B263" s="19"/>
      <c r="C263" s="4"/>
      <c r="D263" s="4"/>
      <c r="E263" s="5"/>
      <c r="F263" s="4"/>
      <c r="G263" s="4"/>
      <c r="H263" s="4"/>
      <c r="I263" s="4"/>
      <c r="J263" s="4"/>
      <c r="K263" s="4"/>
      <c r="L263" s="4"/>
      <c r="M263" s="4"/>
      <c r="N263" s="4"/>
      <c r="O263" s="4"/>
      <c r="P263" s="4"/>
      <c r="Q263" s="4"/>
      <c r="R263" s="4"/>
      <c r="S263" s="19"/>
    </row>
    <row r="264" spans="1:19" ht="17.399999999999999" x14ac:dyDescent="0.25">
      <c r="A264" s="4"/>
      <c r="B264" s="19"/>
      <c r="C264" s="4"/>
      <c r="D264" s="4"/>
      <c r="E264" s="5"/>
      <c r="F264" s="4"/>
      <c r="G264" s="4"/>
      <c r="H264" s="4"/>
      <c r="I264" s="4"/>
      <c r="J264" s="4"/>
      <c r="K264" s="4"/>
      <c r="L264" s="4"/>
      <c r="M264" s="4"/>
      <c r="N264" s="4"/>
      <c r="O264" s="4"/>
      <c r="P264" s="4"/>
      <c r="Q264" s="4"/>
      <c r="R264" s="4"/>
      <c r="S264" s="19"/>
    </row>
    <row r="265" spans="1:19" ht="17.399999999999999" x14ac:dyDescent="0.25">
      <c r="A265" s="4"/>
      <c r="B265" s="19"/>
      <c r="C265" s="4"/>
      <c r="D265" s="4"/>
      <c r="E265" s="5"/>
      <c r="F265" s="4"/>
      <c r="G265" s="4"/>
      <c r="H265" s="4"/>
      <c r="I265" s="4"/>
      <c r="J265" s="4"/>
      <c r="K265" s="4"/>
      <c r="L265" s="4"/>
      <c r="M265" s="4"/>
      <c r="N265" s="4"/>
      <c r="O265" s="4"/>
      <c r="P265" s="4"/>
      <c r="Q265" s="4"/>
      <c r="R265" s="4"/>
      <c r="S265" s="19"/>
    </row>
    <row r="266" spans="1:19" ht="17.399999999999999" x14ac:dyDescent="0.25">
      <c r="A266" s="4"/>
      <c r="B266" s="19"/>
      <c r="C266" s="4"/>
      <c r="D266" s="4"/>
      <c r="E266" s="5"/>
      <c r="F266" s="4"/>
      <c r="G266" s="4"/>
      <c r="H266" s="4"/>
      <c r="I266" s="4"/>
      <c r="J266" s="4"/>
      <c r="K266" s="4"/>
      <c r="L266" s="4"/>
      <c r="M266" s="4"/>
      <c r="N266" s="4"/>
      <c r="O266" s="4"/>
      <c r="P266" s="4"/>
      <c r="Q266" s="4"/>
      <c r="R266" s="4"/>
      <c r="S266" s="19"/>
    </row>
    <row r="267" spans="1:19" ht="17.399999999999999" x14ac:dyDescent="0.25">
      <c r="A267" s="4"/>
      <c r="B267" s="19"/>
      <c r="C267" s="4"/>
      <c r="D267" s="4"/>
      <c r="E267" s="5"/>
      <c r="F267" s="4"/>
      <c r="G267" s="4"/>
      <c r="H267" s="4"/>
      <c r="I267" s="4"/>
      <c r="J267" s="4"/>
      <c r="K267" s="4"/>
      <c r="L267" s="4"/>
      <c r="M267" s="4"/>
      <c r="N267" s="4"/>
      <c r="O267" s="4"/>
      <c r="P267" s="4"/>
      <c r="Q267" s="4"/>
      <c r="R267" s="4"/>
      <c r="S267" s="19"/>
    </row>
    <row r="268" spans="1:19" ht="17.399999999999999" x14ac:dyDescent="0.25">
      <c r="A268" s="4"/>
      <c r="B268" s="19"/>
      <c r="C268" s="4"/>
      <c r="D268" s="4"/>
      <c r="E268" s="5"/>
      <c r="F268" s="4"/>
      <c r="G268" s="4"/>
      <c r="H268" s="4"/>
      <c r="I268" s="4"/>
      <c r="J268" s="4"/>
      <c r="K268" s="4"/>
      <c r="L268" s="4"/>
      <c r="M268" s="4"/>
      <c r="N268" s="4"/>
      <c r="O268" s="4"/>
      <c r="P268" s="4"/>
      <c r="Q268" s="4"/>
      <c r="R268" s="4"/>
      <c r="S268" s="19"/>
    </row>
    <row r="269" spans="1:19" ht="17.399999999999999" x14ac:dyDescent="0.25">
      <c r="A269" s="4"/>
      <c r="B269" s="19"/>
      <c r="C269" s="4"/>
      <c r="D269" s="4"/>
      <c r="E269" s="5"/>
      <c r="F269" s="4"/>
      <c r="G269" s="4"/>
      <c r="H269" s="4"/>
      <c r="I269" s="4"/>
      <c r="J269" s="4"/>
      <c r="K269" s="4"/>
      <c r="L269" s="4"/>
      <c r="M269" s="4"/>
      <c r="N269" s="4"/>
      <c r="O269" s="4"/>
      <c r="P269" s="4"/>
      <c r="Q269" s="4"/>
      <c r="R269" s="4"/>
      <c r="S269" s="19"/>
    </row>
    <row r="270" spans="1:19" ht="17.399999999999999" x14ac:dyDescent="0.25">
      <c r="A270" s="4"/>
      <c r="B270" s="19"/>
      <c r="C270" s="4"/>
      <c r="D270" s="4"/>
      <c r="E270" s="5"/>
      <c r="F270" s="4"/>
      <c r="G270" s="4"/>
      <c r="H270" s="4"/>
      <c r="I270" s="4"/>
      <c r="J270" s="4"/>
      <c r="K270" s="4"/>
      <c r="L270" s="4"/>
      <c r="M270" s="4"/>
      <c r="N270" s="4"/>
      <c r="O270" s="4"/>
      <c r="P270" s="4"/>
      <c r="Q270" s="4"/>
      <c r="R270" s="4"/>
      <c r="S270" s="19"/>
    </row>
    <row r="271" spans="1:19" ht="17.399999999999999" x14ac:dyDescent="0.25">
      <c r="A271" s="4"/>
      <c r="B271" s="19"/>
      <c r="C271" s="4"/>
      <c r="D271" s="4"/>
      <c r="E271" s="5"/>
      <c r="F271" s="4"/>
      <c r="G271" s="4"/>
      <c r="H271" s="4"/>
      <c r="I271" s="4"/>
      <c r="J271" s="4"/>
      <c r="K271" s="4"/>
      <c r="L271" s="4"/>
      <c r="M271" s="4"/>
      <c r="N271" s="4"/>
      <c r="O271" s="4"/>
      <c r="P271" s="4"/>
      <c r="Q271" s="4"/>
      <c r="R271" s="4"/>
      <c r="S271" s="19"/>
    </row>
    <row r="272" spans="1:19" ht="17.399999999999999" x14ac:dyDescent="0.25">
      <c r="A272" s="4"/>
      <c r="B272" s="19"/>
      <c r="C272" s="4"/>
      <c r="D272" s="4"/>
      <c r="E272" s="5"/>
      <c r="F272" s="4"/>
      <c r="G272" s="4"/>
      <c r="H272" s="4"/>
      <c r="I272" s="4"/>
      <c r="J272" s="4"/>
      <c r="K272" s="4"/>
      <c r="L272" s="4"/>
      <c r="M272" s="4"/>
      <c r="N272" s="4"/>
      <c r="O272" s="4"/>
      <c r="P272" s="4"/>
      <c r="Q272" s="4"/>
      <c r="R272" s="4"/>
      <c r="S272" s="19"/>
    </row>
    <row r="273" spans="1:19" ht="17.399999999999999" x14ac:dyDescent="0.25">
      <c r="A273" s="4"/>
      <c r="B273" s="19"/>
      <c r="C273" s="4"/>
      <c r="D273" s="4"/>
      <c r="E273" s="5"/>
      <c r="F273" s="4"/>
      <c r="G273" s="4"/>
      <c r="H273" s="4"/>
      <c r="I273" s="4"/>
      <c r="J273" s="4"/>
      <c r="K273" s="4"/>
      <c r="L273" s="4"/>
      <c r="M273" s="4"/>
      <c r="N273" s="4"/>
      <c r="O273" s="4"/>
      <c r="P273" s="4"/>
      <c r="Q273" s="4"/>
      <c r="R273" s="4"/>
      <c r="S273" s="19"/>
    </row>
    <row r="274" spans="1:19" ht="17.399999999999999" x14ac:dyDescent="0.25">
      <c r="A274" s="4"/>
      <c r="B274" s="19"/>
      <c r="C274" s="4"/>
      <c r="D274" s="4"/>
      <c r="E274" s="5"/>
      <c r="F274" s="4"/>
      <c r="G274" s="4"/>
      <c r="H274" s="4"/>
      <c r="I274" s="4"/>
      <c r="J274" s="4"/>
      <c r="K274" s="4"/>
      <c r="L274" s="4"/>
      <c r="M274" s="4"/>
      <c r="N274" s="4"/>
      <c r="O274" s="4"/>
      <c r="P274" s="4"/>
      <c r="Q274" s="4"/>
      <c r="R274" s="4"/>
      <c r="S274" s="19"/>
    </row>
    <row r="275" spans="1:19" ht="17.399999999999999" x14ac:dyDescent="0.25">
      <c r="A275" s="4"/>
      <c r="B275" s="19"/>
      <c r="C275" s="4"/>
      <c r="D275" s="4"/>
      <c r="E275" s="5"/>
      <c r="F275" s="4"/>
      <c r="G275" s="4"/>
      <c r="H275" s="4"/>
      <c r="I275" s="4"/>
      <c r="J275" s="4"/>
      <c r="K275" s="4"/>
      <c r="L275" s="4"/>
      <c r="M275" s="4"/>
      <c r="N275" s="4"/>
      <c r="O275" s="4"/>
      <c r="P275" s="4"/>
      <c r="Q275" s="4"/>
      <c r="R275" s="4"/>
      <c r="S275" s="19"/>
    </row>
    <row r="276" spans="1:19" ht="17.399999999999999" x14ac:dyDescent="0.25">
      <c r="A276" s="4"/>
      <c r="B276" s="19"/>
      <c r="C276" s="4"/>
      <c r="D276" s="4"/>
      <c r="E276" s="5"/>
      <c r="F276" s="4"/>
      <c r="G276" s="4"/>
      <c r="H276" s="4"/>
      <c r="I276" s="4"/>
      <c r="J276" s="4"/>
      <c r="K276" s="4"/>
      <c r="L276" s="4"/>
      <c r="M276" s="4"/>
      <c r="N276" s="4"/>
      <c r="O276" s="4"/>
      <c r="P276" s="4"/>
      <c r="Q276" s="4"/>
      <c r="R276" s="4"/>
      <c r="S276" s="19"/>
    </row>
    <row r="277" spans="1:19" ht="17.399999999999999" x14ac:dyDescent="0.25">
      <c r="A277" s="4"/>
      <c r="B277" s="19"/>
      <c r="C277" s="4"/>
      <c r="D277" s="4"/>
      <c r="E277" s="5"/>
      <c r="F277" s="4"/>
      <c r="G277" s="4"/>
      <c r="H277" s="4"/>
      <c r="I277" s="4"/>
      <c r="J277" s="4"/>
      <c r="K277" s="4"/>
      <c r="L277" s="4"/>
      <c r="M277" s="4"/>
      <c r="N277" s="4"/>
      <c r="O277" s="4"/>
      <c r="P277" s="4"/>
      <c r="Q277" s="4"/>
      <c r="R277" s="4"/>
      <c r="S277" s="19"/>
    </row>
    <row r="278" spans="1:19" ht="17.399999999999999" x14ac:dyDescent="0.25">
      <c r="A278" s="4"/>
      <c r="B278" s="19"/>
      <c r="C278" s="4"/>
      <c r="D278" s="4"/>
      <c r="E278" s="5"/>
      <c r="F278" s="4"/>
      <c r="G278" s="4"/>
      <c r="H278" s="4"/>
      <c r="I278" s="4"/>
      <c r="J278" s="4"/>
      <c r="K278" s="4"/>
      <c r="L278" s="4"/>
      <c r="M278" s="4"/>
      <c r="N278" s="4"/>
      <c r="O278" s="4"/>
      <c r="P278" s="4"/>
      <c r="Q278" s="4"/>
      <c r="R278" s="4"/>
      <c r="S278" s="19"/>
    </row>
    <row r="279" spans="1:19" ht="17.399999999999999" x14ac:dyDescent="0.25">
      <c r="A279" s="4"/>
      <c r="B279" s="19"/>
      <c r="C279" s="4"/>
      <c r="D279" s="4"/>
      <c r="E279" s="5"/>
      <c r="F279" s="4"/>
      <c r="G279" s="4"/>
      <c r="H279" s="4"/>
      <c r="I279" s="4"/>
      <c r="J279" s="4"/>
      <c r="K279" s="4"/>
      <c r="L279" s="4"/>
      <c r="M279" s="4"/>
      <c r="N279" s="4"/>
      <c r="O279" s="4"/>
      <c r="P279" s="4"/>
      <c r="Q279" s="4"/>
      <c r="R279" s="4"/>
      <c r="S279" s="19"/>
    </row>
    <row r="280" spans="1:19" ht="17.399999999999999" x14ac:dyDescent="0.25">
      <c r="A280" s="4"/>
      <c r="B280" s="19"/>
      <c r="C280" s="4"/>
      <c r="D280" s="4"/>
      <c r="E280" s="5"/>
      <c r="F280" s="4"/>
      <c r="G280" s="4"/>
      <c r="H280" s="4"/>
      <c r="I280" s="4"/>
      <c r="J280" s="4"/>
      <c r="K280" s="4"/>
      <c r="L280" s="4"/>
      <c r="M280" s="4"/>
      <c r="N280" s="4"/>
      <c r="O280" s="4"/>
      <c r="P280" s="4"/>
      <c r="Q280" s="4"/>
      <c r="R280" s="4"/>
      <c r="S280" s="19"/>
    </row>
    <row r="281" spans="1:19" ht="17.399999999999999" x14ac:dyDescent="0.25">
      <c r="A281" s="4"/>
      <c r="B281" s="19"/>
      <c r="C281" s="4"/>
      <c r="D281" s="4"/>
      <c r="E281" s="5"/>
      <c r="F281" s="4"/>
      <c r="G281" s="4"/>
      <c r="H281" s="4"/>
      <c r="I281" s="4"/>
      <c r="J281" s="4"/>
      <c r="K281" s="4"/>
      <c r="L281" s="4"/>
      <c r="M281" s="4"/>
      <c r="N281" s="4"/>
      <c r="O281" s="4"/>
      <c r="P281" s="4"/>
      <c r="Q281" s="4"/>
      <c r="R281" s="4"/>
      <c r="S281" s="19"/>
    </row>
    <row r="282" spans="1:19" ht="17.399999999999999" x14ac:dyDescent="0.25">
      <c r="A282" s="4"/>
      <c r="B282" s="19"/>
      <c r="C282" s="4"/>
      <c r="D282" s="4"/>
      <c r="E282" s="5"/>
      <c r="F282" s="4"/>
      <c r="G282" s="4"/>
      <c r="H282" s="4"/>
      <c r="I282" s="4"/>
      <c r="J282" s="4"/>
      <c r="K282" s="4"/>
      <c r="L282" s="4"/>
      <c r="M282" s="4"/>
      <c r="N282" s="4"/>
      <c r="O282" s="4"/>
      <c r="P282" s="4"/>
      <c r="Q282" s="4"/>
      <c r="R282" s="4"/>
      <c r="S282" s="19"/>
    </row>
    <row r="283" spans="1:19" ht="17.399999999999999" x14ac:dyDescent="0.25">
      <c r="A283" s="4"/>
      <c r="B283" s="19"/>
      <c r="C283" s="4"/>
      <c r="D283" s="4"/>
      <c r="E283" s="5"/>
      <c r="F283" s="4"/>
      <c r="G283" s="4"/>
      <c r="H283" s="4"/>
      <c r="I283" s="4"/>
      <c r="J283" s="4"/>
      <c r="K283" s="4"/>
      <c r="L283" s="4"/>
      <c r="M283" s="4"/>
      <c r="N283" s="4"/>
      <c r="O283" s="4"/>
      <c r="P283" s="4"/>
      <c r="Q283" s="4"/>
      <c r="R283" s="4"/>
      <c r="S283" s="19"/>
    </row>
    <row r="284" spans="1:19" ht="17.399999999999999" x14ac:dyDescent="0.25">
      <c r="A284" s="4"/>
      <c r="B284" s="19"/>
      <c r="C284" s="4"/>
      <c r="D284" s="4"/>
      <c r="E284" s="5"/>
      <c r="F284" s="4"/>
      <c r="G284" s="4"/>
      <c r="H284" s="4"/>
      <c r="I284" s="4"/>
      <c r="J284" s="4"/>
      <c r="K284" s="4"/>
      <c r="L284" s="4"/>
      <c r="M284" s="4"/>
      <c r="N284" s="4"/>
      <c r="O284" s="4"/>
      <c r="P284" s="4"/>
      <c r="Q284" s="4"/>
      <c r="R284" s="4"/>
      <c r="S284" s="19"/>
    </row>
    <row r="285" spans="1:19" ht="17.399999999999999" x14ac:dyDescent="0.25">
      <c r="A285" s="4"/>
      <c r="B285" s="19"/>
      <c r="C285" s="4"/>
      <c r="D285" s="4"/>
      <c r="E285" s="5"/>
      <c r="F285" s="4"/>
      <c r="G285" s="4"/>
      <c r="H285" s="4"/>
      <c r="I285" s="4"/>
      <c r="J285" s="4"/>
      <c r="K285" s="4"/>
      <c r="L285" s="4"/>
      <c r="M285" s="4"/>
      <c r="N285" s="4"/>
      <c r="O285" s="4"/>
      <c r="P285" s="4"/>
      <c r="Q285" s="4"/>
      <c r="R285" s="4"/>
      <c r="S285" s="19"/>
    </row>
    <row r="286" spans="1:19" ht="17.399999999999999" x14ac:dyDescent="0.25">
      <c r="A286" s="4"/>
      <c r="B286" s="19"/>
      <c r="C286" s="4"/>
      <c r="D286" s="4"/>
      <c r="E286" s="5"/>
      <c r="F286" s="4"/>
      <c r="G286" s="4"/>
      <c r="H286" s="4"/>
      <c r="I286" s="4"/>
      <c r="J286" s="4"/>
      <c r="K286" s="4"/>
      <c r="L286" s="4"/>
      <c r="M286" s="4"/>
      <c r="N286" s="4"/>
      <c r="O286" s="4"/>
      <c r="P286" s="4"/>
      <c r="Q286" s="4"/>
      <c r="R286" s="4"/>
      <c r="S286" s="19"/>
    </row>
    <row r="287" spans="1:19" ht="17.399999999999999" x14ac:dyDescent="0.25">
      <c r="A287" s="4"/>
      <c r="B287" s="19"/>
      <c r="C287" s="4"/>
      <c r="D287" s="4"/>
      <c r="E287" s="5"/>
      <c r="F287" s="4"/>
      <c r="G287" s="4"/>
      <c r="H287" s="4"/>
      <c r="I287" s="4"/>
      <c r="J287" s="4"/>
      <c r="K287" s="4"/>
      <c r="L287" s="4"/>
      <c r="M287" s="4"/>
      <c r="N287" s="4"/>
      <c r="O287" s="4"/>
      <c r="P287" s="4"/>
      <c r="Q287" s="4"/>
      <c r="R287" s="4"/>
      <c r="S287" s="19"/>
    </row>
    <row r="288" spans="1:19" ht="17.399999999999999" x14ac:dyDescent="0.25">
      <c r="A288" s="4"/>
      <c r="B288" s="19"/>
      <c r="C288" s="4"/>
      <c r="D288" s="4"/>
      <c r="E288" s="5"/>
      <c r="F288" s="4"/>
      <c r="G288" s="4"/>
      <c r="H288" s="4"/>
      <c r="I288" s="4"/>
      <c r="J288" s="4"/>
      <c r="K288" s="4"/>
      <c r="L288" s="4"/>
      <c r="M288" s="4"/>
      <c r="N288" s="4"/>
      <c r="O288" s="4"/>
      <c r="P288" s="4"/>
      <c r="Q288" s="4"/>
      <c r="R288" s="4"/>
      <c r="S288" s="19"/>
    </row>
    <row r="289" spans="1:19" ht="17.399999999999999" x14ac:dyDescent="0.25">
      <c r="A289" s="4"/>
      <c r="B289" s="19"/>
      <c r="C289" s="4"/>
      <c r="D289" s="4"/>
      <c r="E289" s="5"/>
      <c r="F289" s="4"/>
      <c r="G289" s="4"/>
      <c r="H289" s="4"/>
      <c r="I289" s="4"/>
      <c r="J289" s="4"/>
      <c r="K289" s="4"/>
      <c r="L289" s="4"/>
      <c r="M289" s="4"/>
      <c r="N289" s="4"/>
      <c r="O289" s="4"/>
      <c r="P289" s="4"/>
      <c r="Q289" s="4"/>
      <c r="R289" s="4"/>
      <c r="S289" s="19"/>
    </row>
    <row r="290" spans="1:19" ht="17.399999999999999" x14ac:dyDescent="0.25">
      <c r="A290" s="4"/>
      <c r="B290" s="19"/>
      <c r="C290" s="4"/>
      <c r="D290" s="4"/>
      <c r="E290" s="5"/>
      <c r="F290" s="4"/>
      <c r="G290" s="4"/>
      <c r="H290" s="4"/>
      <c r="I290" s="4"/>
      <c r="J290" s="4"/>
      <c r="K290" s="4"/>
      <c r="L290" s="4"/>
      <c r="M290" s="4"/>
      <c r="N290" s="4"/>
      <c r="O290" s="4"/>
      <c r="P290" s="4"/>
      <c r="Q290" s="4"/>
      <c r="R290" s="4"/>
      <c r="S290" s="19"/>
    </row>
    <row r="291" spans="1:19" ht="17.399999999999999" x14ac:dyDescent="0.25">
      <c r="A291" s="4"/>
      <c r="B291" s="19"/>
      <c r="C291" s="4"/>
      <c r="D291" s="4"/>
      <c r="E291" s="5"/>
      <c r="F291" s="4"/>
      <c r="G291" s="4"/>
      <c r="H291" s="4"/>
      <c r="I291" s="4"/>
      <c r="J291" s="4"/>
      <c r="K291" s="4"/>
      <c r="L291" s="4"/>
      <c r="M291" s="4"/>
      <c r="N291" s="4"/>
      <c r="O291" s="4"/>
      <c r="P291" s="4"/>
      <c r="Q291" s="4"/>
      <c r="R291" s="4"/>
      <c r="S291" s="19"/>
    </row>
    <row r="292" spans="1:19" ht="17.399999999999999" x14ac:dyDescent="0.25">
      <c r="A292" s="4"/>
      <c r="B292" s="19"/>
      <c r="C292" s="4"/>
      <c r="D292" s="4"/>
      <c r="E292" s="5"/>
      <c r="F292" s="4"/>
      <c r="G292" s="4"/>
      <c r="H292" s="4"/>
      <c r="I292" s="4"/>
      <c r="J292" s="4"/>
      <c r="K292" s="4"/>
      <c r="L292" s="4"/>
      <c r="M292" s="4"/>
      <c r="N292" s="4"/>
      <c r="O292" s="4"/>
      <c r="P292" s="4"/>
      <c r="Q292" s="4"/>
      <c r="R292" s="4"/>
      <c r="S292" s="19"/>
    </row>
    <row r="293" spans="1:19" ht="17.399999999999999" x14ac:dyDescent="0.25">
      <c r="A293" s="4"/>
      <c r="B293" s="19"/>
      <c r="C293" s="4"/>
      <c r="D293" s="4"/>
      <c r="E293" s="5"/>
      <c r="F293" s="4"/>
      <c r="G293" s="4"/>
      <c r="H293" s="4"/>
      <c r="I293" s="4"/>
      <c r="J293" s="4"/>
      <c r="K293" s="4"/>
      <c r="L293" s="4"/>
      <c r="M293" s="4"/>
      <c r="N293" s="4"/>
      <c r="O293" s="4"/>
      <c r="P293" s="4"/>
      <c r="Q293" s="4"/>
      <c r="R293" s="4"/>
      <c r="S293" s="19"/>
    </row>
    <row r="294" spans="1:19" ht="17.399999999999999" x14ac:dyDescent="0.25">
      <c r="A294" s="4"/>
      <c r="B294" s="19"/>
      <c r="C294" s="4"/>
      <c r="D294" s="4"/>
      <c r="E294" s="5"/>
      <c r="F294" s="4"/>
      <c r="G294" s="4"/>
      <c r="H294" s="4"/>
      <c r="I294" s="4"/>
      <c r="J294" s="4"/>
      <c r="K294" s="4"/>
      <c r="L294" s="4"/>
      <c r="M294" s="4"/>
      <c r="N294" s="4"/>
      <c r="O294" s="4"/>
      <c r="P294" s="4"/>
      <c r="Q294" s="4"/>
      <c r="R294" s="4"/>
      <c r="S294" s="19"/>
    </row>
    <row r="295" spans="1:19" ht="17.399999999999999" x14ac:dyDescent="0.25">
      <c r="A295" s="4"/>
      <c r="B295" s="19"/>
      <c r="C295" s="4"/>
      <c r="D295" s="4"/>
      <c r="E295" s="5"/>
      <c r="F295" s="4"/>
      <c r="G295" s="4"/>
      <c r="H295" s="4"/>
      <c r="I295" s="4"/>
      <c r="J295" s="4"/>
      <c r="K295" s="4"/>
      <c r="L295" s="4"/>
      <c r="M295" s="4"/>
      <c r="N295" s="4"/>
      <c r="O295" s="4"/>
      <c r="P295" s="4"/>
      <c r="Q295" s="4"/>
      <c r="R295" s="4"/>
      <c r="S295" s="19"/>
    </row>
    <row r="296" spans="1:19" ht="17.399999999999999" x14ac:dyDescent="0.25">
      <c r="A296" s="4"/>
      <c r="B296" s="19"/>
      <c r="C296" s="4"/>
      <c r="D296" s="4"/>
      <c r="E296" s="5"/>
      <c r="F296" s="4"/>
      <c r="G296" s="4"/>
      <c r="H296" s="4"/>
      <c r="I296" s="4"/>
      <c r="J296" s="4"/>
      <c r="K296" s="4"/>
      <c r="L296" s="4"/>
      <c r="M296" s="4"/>
      <c r="N296" s="4"/>
      <c r="O296" s="4"/>
      <c r="P296" s="4"/>
      <c r="Q296" s="4"/>
      <c r="R296" s="4"/>
      <c r="S296" s="19"/>
    </row>
    <row r="297" spans="1:19" ht="17.399999999999999" x14ac:dyDescent="0.25">
      <c r="A297" s="4"/>
      <c r="B297" s="19"/>
      <c r="C297" s="4"/>
      <c r="D297" s="4"/>
      <c r="E297" s="5"/>
      <c r="F297" s="4"/>
      <c r="G297" s="4"/>
      <c r="H297" s="4"/>
      <c r="I297" s="4"/>
      <c r="J297" s="4"/>
      <c r="K297" s="4"/>
      <c r="L297" s="4"/>
      <c r="M297" s="4"/>
      <c r="N297" s="4"/>
      <c r="O297" s="4"/>
      <c r="P297" s="4"/>
      <c r="Q297" s="4"/>
      <c r="R297" s="4"/>
      <c r="S297" s="19"/>
    </row>
    <row r="298" spans="1:19" ht="17.399999999999999" x14ac:dyDescent="0.25">
      <c r="A298" s="4"/>
      <c r="B298" s="19"/>
      <c r="C298" s="4"/>
      <c r="D298" s="4"/>
      <c r="E298" s="5"/>
      <c r="F298" s="4"/>
      <c r="G298" s="4"/>
      <c r="H298" s="4"/>
      <c r="I298" s="4"/>
      <c r="J298" s="4"/>
      <c r="K298" s="4"/>
      <c r="L298" s="4"/>
      <c r="M298" s="4"/>
      <c r="N298" s="4"/>
      <c r="O298" s="4"/>
      <c r="P298" s="4"/>
      <c r="Q298" s="4"/>
      <c r="R298" s="4"/>
      <c r="S298" s="19"/>
    </row>
    <row r="299" spans="1:19" ht="17.399999999999999" x14ac:dyDescent="0.25">
      <c r="A299" s="4"/>
      <c r="B299" s="19"/>
      <c r="C299" s="4"/>
      <c r="D299" s="4"/>
      <c r="E299" s="5"/>
      <c r="F299" s="4"/>
      <c r="G299" s="4"/>
      <c r="H299" s="4"/>
      <c r="I299" s="4"/>
      <c r="J299" s="4"/>
      <c r="K299" s="4"/>
      <c r="L299" s="4"/>
      <c r="M299" s="4"/>
      <c r="N299" s="4"/>
      <c r="O299" s="4"/>
      <c r="P299" s="4"/>
      <c r="Q299" s="4"/>
      <c r="R299" s="4"/>
      <c r="S299" s="19"/>
    </row>
    <row r="300" spans="1:19" ht="17.399999999999999" x14ac:dyDescent="0.25">
      <c r="A300" s="4"/>
      <c r="B300" s="19"/>
      <c r="C300" s="4"/>
      <c r="D300" s="4"/>
      <c r="E300" s="5"/>
      <c r="F300" s="4"/>
      <c r="G300" s="4"/>
      <c r="H300" s="4"/>
      <c r="I300" s="4"/>
      <c r="J300" s="4"/>
      <c r="K300" s="4"/>
      <c r="L300" s="4"/>
      <c r="M300" s="4"/>
      <c r="N300" s="4"/>
      <c r="O300" s="4"/>
      <c r="P300" s="4"/>
      <c r="Q300" s="4"/>
      <c r="R300" s="4"/>
      <c r="S300" s="19"/>
    </row>
    <row r="301" spans="1:19" ht="17.399999999999999" x14ac:dyDescent="0.25">
      <c r="A301" s="4"/>
      <c r="B301" s="19"/>
      <c r="C301" s="4"/>
      <c r="D301" s="4"/>
      <c r="E301" s="5"/>
      <c r="F301" s="4"/>
      <c r="G301" s="4"/>
      <c r="H301" s="4"/>
      <c r="I301" s="4"/>
      <c r="J301" s="4"/>
      <c r="K301" s="4"/>
      <c r="L301" s="4"/>
      <c r="M301" s="4"/>
      <c r="N301" s="4"/>
      <c r="O301" s="4"/>
      <c r="P301" s="4"/>
      <c r="Q301" s="4"/>
      <c r="R301" s="4"/>
      <c r="S301" s="19"/>
    </row>
    <row r="302" spans="1:19" ht="17.399999999999999" x14ac:dyDescent="0.25">
      <c r="A302" s="4"/>
      <c r="B302" s="19"/>
      <c r="C302" s="4"/>
      <c r="D302" s="4"/>
      <c r="E302" s="5"/>
      <c r="F302" s="4"/>
      <c r="G302" s="4"/>
      <c r="H302" s="4"/>
      <c r="I302" s="4"/>
      <c r="J302" s="4"/>
      <c r="K302" s="4"/>
      <c r="L302" s="4"/>
      <c r="M302" s="4"/>
      <c r="N302" s="4"/>
      <c r="O302" s="4"/>
      <c r="P302" s="4"/>
      <c r="Q302" s="4"/>
      <c r="R302" s="4"/>
      <c r="S302" s="19"/>
    </row>
    <row r="303" spans="1:19" ht="17.399999999999999" x14ac:dyDescent="0.25">
      <c r="A303" s="4"/>
      <c r="B303" s="19"/>
      <c r="C303" s="4"/>
      <c r="D303" s="4"/>
      <c r="E303" s="5"/>
      <c r="F303" s="4"/>
      <c r="G303" s="4"/>
      <c r="H303" s="4"/>
      <c r="I303" s="4"/>
      <c r="J303" s="4"/>
      <c r="K303" s="4"/>
      <c r="L303" s="4"/>
      <c r="M303" s="4"/>
      <c r="N303" s="4"/>
      <c r="O303" s="4"/>
      <c r="P303" s="4"/>
      <c r="Q303" s="4"/>
      <c r="R303" s="4"/>
      <c r="S303" s="19"/>
    </row>
    <row r="304" spans="1:19" ht="17.399999999999999" x14ac:dyDescent="0.25">
      <c r="A304" s="4"/>
      <c r="B304" s="19"/>
      <c r="C304" s="4"/>
      <c r="D304" s="4"/>
      <c r="E304" s="5"/>
      <c r="F304" s="4"/>
      <c r="G304" s="4"/>
      <c r="H304" s="4"/>
      <c r="I304" s="4"/>
      <c r="J304" s="4"/>
      <c r="K304" s="4"/>
      <c r="L304" s="4"/>
      <c r="M304" s="4"/>
      <c r="N304" s="4"/>
      <c r="O304" s="4"/>
      <c r="P304" s="4"/>
      <c r="Q304" s="4"/>
      <c r="R304" s="4"/>
      <c r="S304" s="19"/>
    </row>
    <row r="305" spans="1:19" ht="17.399999999999999" x14ac:dyDescent="0.25">
      <c r="A305" s="4"/>
      <c r="B305" s="19"/>
      <c r="C305" s="4"/>
      <c r="D305" s="4"/>
      <c r="E305" s="5"/>
      <c r="F305" s="4"/>
      <c r="G305" s="4"/>
      <c r="H305" s="4"/>
      <c r="I305" s="4"/>
      <c r="J305" s="4"/>
      <c r="K305" s="4"/>
      <c r="L305" s="4"/>
      <c r="M305" s="4"/>
      <c r="N305" s="4"/>
      <c r="O305" s="4"/>
      <c r="P305" s="4"/>
      <c r="Q305" s="4"/>
      <c r="R305" s="4"/>
      <c r="S305" s="19"/>
    </row>
    <row r="306" spans="1:19" ht="17.399999999999999" x14ac:dyDescent="0.25">
      <c r="A306" s="4"/>
      <c r="B306" s="19"/>
      <c r="C306" s="4"/>
      <c r="D306" s="4"/>
      <c r="E306" s="5"/>
      <c r="F306" s="4"/>
      <c r="G306" s="4"/>
      <c r="H306" s="4"/>
      <c r="I306" s="4"/>
      <c r="J306" s="4"/>
      <c r="K306" s="4"/>
      <c r="L306" s="4"/>
      <c r="M306" s="4"/>
      <c r="N306" s="4"/>
      <c r="O306" s="4"/>
      <c r="P306" s="4"/>
      <c r="Q306" s="4"/>
      <c r="R306" s="4"/>
      <c r="S306" s="19"/>
    </row>
    <row r="307" spans="1:19" ht="17.399999999999999" x14ac:dyDescent="0.25">
      <c r="A307" s="4"/>
      <c r="B307" s="19"/>
      <c r="C307" s="4"/>
      <c r="D307" s="4"/>
      <c r="E307" s="5"/>
      <c r="F307" s="4"/>
      <c r="G307" s="4"/>
      <c r="H307" s="4"/>
      <c r="I307" s="4"/>
      <c r="J307" s="4"/>
      <c r="K307" s="4"/>
      <c r="L307" s="4"/>
      <c r="M307" s="4"/>
      <c r="N307" s="4"/>
      <c r="O307" s="4"/>
      <c r="P307" s="4"/>
      <c r="Q307" s="4"/>
      <c r="R307" s="4"/>
      <c r="S307" s="19"/>
    </row>
    <row r="308" spans="1:19" ht="17.399999999999999" x14ac:dyDescent="0.25">
      <c r="A308" s="4"/>
      <c r="B308" s="19"/>
      <c r="C308" s="4"/>
      <c r="D308" s="4"/>
      <c r="E308" s="5"/>
      <c r="F308" s="4"/>
      <c r="G308" s="4"/>
      <c r="H308" s="4"/>
      <c r="I308" s="4"/>
      <c r="J308" s="4"/>
      <c r="K308" s="4"/>
      <c r="L308" s="4"/>
      <c r="M308" s="4"/>
      <c r="N308" s="4"/>
      <c r="O308" s="4"/>
      <c r="P308" s="4"/>
      <c r="Q308" s="4"/>
      <c r="R308" s="4"/>
      <c r="S308" s="19"/>
    </row>
    <row r="309" spans="1:19" ht="17.399999999999999" x14ac:dyDescent="0.25">
      <c r="A309" s="4"/>
      <c r="B309" s="19"/>
      <c r="C309" s="4"/>
      <c r="D309" s="4"/>
      <c r="E309" s="5"/>
      <c r="F309" s="4"/>
      <c r="G309" s="4"/>
      <c r="H309" s="4"/>
      <c r="I309" s="4"/>
      <c r="J309" s="4"/>
      <c r="K309" s="4"/>
      <c r="L309" s="4"/>
      <c r="M309" s="4"/>
      <c r="N309" s="4"/>
      <c r="O309" s="4"/>
      <c r="P309" s="4"/>
      <c r="Q309" s="4"/>
      <c r="R309" s="4"/>
      <c r="S309" s="19"/>
    </row>
    <row r="310" spans="1:19" ht="17.399999999999999" x14ac:dyDescent="0.25">
      <c r="A310" s="4"/>
      <c r="B310" s="19"/>
      <c r="C310" s="4"/>
      <c r="D310" s="4"/>
      <c r="E310" s="5"/>
      <c r="F310" s="4"/>
      <c r="G310" s="4"/>
      <c r="H310" s="4"/>
      <c r="I310" s="4"/>
      <c r="J310" s="4"/>
      <c r="K310" s="4"/>
      <c r="L310" s="4"/>
      <c r="M310" s="4"/>
      <c r="N310" s="4"/>
      <c r="O310" s="4"/>
      <c r="P310" s="4"/>
      <c r="Q310" s="4"/>
      <c r="R310" s="4"/>
      <c r="S310" s="19"/>
    </row>
    <row r="311" spans="1:19" ht="17.399999999999999" x14ac:dyDescent="0.25">
      <c r="A311" s="4"/>
      <c r="B311" s="19"/>
      <c r="C311" s="4"/>
      <c r="D311" s="4"/>
      <c r="E311" s="5"/>
      <c r="F311" s="4"/>
      <c r="G311" s="4"/>
      <c r="H311" s="4"/>
      <c r="I311" s="4"/>
      <c r="J311" s="4"/>
      <c r="K311" s="4"/>
      <c r="L311" s="4"/>
      <c r="M311" s="4"/>
      <c r="N311" s="4"/>
      <c r="O311" s="4"/>
      <c r="P311" s="4"/>
      <c r="Q311" s="4"/>
      <c r="R311" s="4"/>
      <c r="S311" s="19"/>
    </row>
    <row r="312" spans="1:19" ht="17.399999999999999" x14ac:dyDescent="0.25">
      <c r="A312" s="4"/>
      <c r="B312" s="19"/>
      <c r="C312" s="4"/>
      <c r="D312" s="4"/>
      <c r="E312" s="5"/>
      <c r="F312" s="4"/>
      <c r="G312" s="4"/>
      <c r="H312" s="4"/>
      <c r="I312" s="4"/>
      <c r="J312" s="4"/>
      <c r="K312" s="4"/>
      <c r="L312" s="4"/>
      <c r="M312" s="4"/>
      <c r="N312" s="4"/>
      <c r="O312" s="4"/>
      <c r="P312" s="4"/>
      <c r="Q312" s="4"/>
      <c r="R312" s="4"/>
      <c r="S312" s="19"/>
    </row>
    <row r="313" spans="1:19" ht="17.399999999999999" x14ac:dyDescent="0.25">
      <c r="A313" s="4"/>
      <c r="B313" s="19"/>
      <c r="C313" s="4"/>
      <c r="D313" s="4"/>
      <c r="E313" s="5"/>
      <c r="F313" s="4"/>
      <c r="G313" s="4"/>
      <c r="H313" s="4"/>
      <c r="I313" s="4"/>
      <c r="J313" s="4"/>
      <c r="K313" s="4"/>
      <c r="L313" s="4"/>
      <c r="M313" s="4"/>
      <c r="N313" s="4"/>
      <c r="O313" s="4"/>
      <c r="P313" s="4"/>
      <c r="Q313" s="4"/>
      <c r="R313" s="4"/>
      <c r="S313" s="19"/>
    </row>
    <row r="314" spans="1:19" ht="17.399999999999999" x14ac:dyDescent="0.25">
      <c r="A314" s="4"/>
      <c r="B314" s="19"/>
      <c r="C314" s="4"/>
      <c r="D314" s="4"/>
      <c r="E314" s="5"/>
      <c r="F314" s="4"/>
      <c r="G314" s="4"/>
      <c r="H314" s="4"/>
      <c r="I314" s="4"/>
      <c r="J314" s="4"/>
      <c r="K314" s="4"/>
      <c r="L314" s="4"/>
      <c r="M314" s="4"/>
      <c r="N314" s="4"/>
      <c r="O314" s="4"/>
      <c r="P314" s="4"/>
      <c r="Q314" s="4"/>
      <c r="R314" s="4"/>
      <c r="S314" s="19"/>
    </row>
    <row r="315" spans="1:19" ht="17.399999999999999" x14ac:dyDescent="0.25">
      <c r="A315" s="4"/>
      <c r="B315" s="19"/>
      <c r="C315" s="4"/>
      <c r="D315" s="4"/>
      <c r="E315" s="5"/>
      <c r="F315" s="4"/>
      <c r="G315" s="4"/>
      <c r="H315" s="4"/>
      <c r="I315" s="4"/>
      <c r="J315" s="4"/>
      <c r="K315" s="4"/>
      <c r="L315" s="4"/>
      <c r="M315" s="4"/>
      <c r="N315" s="4"/>
      <c r="O315" s="4"/>
      <c r="P315" s="4"/>
      <c r="Q315" s="4"/>
      <c r="R315" s="4"/>
      <c r="S315" s="19"/>
    </row>
    <row r="316" spans="1:19" ht="17.399999999999999" x14ac:dyDescent="0.25">
      <c r="A316" s="4"/>
      <c r="B316" s="19"/>
      <c r="C316" s="4"/>
      <c r="D316" s="4"/>
      <c r="E316" s="5"/>
      <c r="F316" s="4"/>
      <c r="G316" s="4"/>
      <c r="H316" s="4"/>
      <c r="I316" s="4"/>
      <c r="J316" s="4"/>
      <c r="K316" s="4"/>
      <c r="L316" s="4"/>
      <c r="M316" s="4"/>
      <c r="N316" s="4"/>
      <c r="O316" s="4"/>
      <c r="P316" s="4"/>
      <c r="Q316" s="4"/>
      <c r="R316" s="4"/>
      <c r="S316" s="19"/>
    </row>
    <row r="317" spans="1:19" ht="17.399999999999999" x14ac:dyDescent="0.25">
      <c r="A317" s="4"/>
      <c r="B317" s="19"/>
      <c r="C317" s="4"/>
      <c r="D317" s="4"/>
      <c r="E317" s="5"/>
      <c r="F317" s="4"/>
      <c r="G317" s="4"/>
      <c r="H317" s="4"/>
      <c r="I317" s="4"/>
      <c r="J317" s="4"/>
      <c r="K317" s="4"/>
      <c r="L317" s="4"/>
      <c r="M317" s="4"/>
      <c r="N317" s="4"/>
      <c r="O317" s="4"/>
      <c r="P317" s="4"/>
      <c r="Q317" s="4"/>
      <c r="R317" s="4"/>
      <c r="S317" s="19"/>
    </row>
    <row r="318" spans="1:19" ht="17.399999999999999" x14ac:dyDescent="0.25">
      <c r="A318" s="4"/>
      <c r="B318" s="19"/>
      <c r="C318" s="4"/>
      <c r="D318" s="4"/>
      <c r="E318" s="5"/>
      <c r="F318" s="4"/>
      <c r="G318" s="4"/>
      <c r="H318" s="4"/>
      <c r="I318" s="4"/>
      <c r="J318" s="4"/>
      <c r="K318" s="4"/>
      <c r="L318" s="4"/>
      <c r="M318" s="4"/>
      <c r="N318" s="4"/>
      <c r="O318" s="4"/>
      <c r="P318" s="4"/>
      <c r="Q318" s="4"/>
      <c r="R318" s="4"/>
      <c r="S318" s="19"/>
    </row>
    <row r="319" spans="1:19" ht="17.399999999999999" x14ac:dyDescent="0.25">
      <c r="A319" s="4"/>
      <c r="B319" s="19"/>
      <c r="C319" s="4"/>
      <c r="D319" s="4"/>
      <c r="E319" s="5"/>
      <c r="F319" s="4"/>
      <c r="G319" s="4"/>
      <c r="H319" s="4"/>
      <c r="I319" s="4"/>
      <c r="J319" s="4"/>
      <c r="K319" s="4"/>
      <c r="L319" s="4"/>
      <c r="M319" s="4"/>
      <c r="N319" s="4"/>
      <c r="O319" s="4"/>
      <c r="P319" s="4"/>
      <c r="Q319" s="4"/>
      <c r="R319" s="4"/>
      <c r="S319" s="19"/>
    </row>
    <row r="320" spans="1:19" ht="17.399999999999999" x14ac:dyDescent="0.25">
      <c r="A320" s="4"/>
      <c r="B320" s="19"/>
      <c r="C320" s="4"/>
      <c r="D320" s="4"/>
      <c r="E320" s="5"/>
      <c r="F320" s="4"/>
      <c r="G320" s="4"/>
      <c r="H320" s="4"/>
      <c r="I320" s="4"/>
      <c r="J320" s="4"/>
      <c r="K320" s="4"/>
      <c r="L320" s="4"/>
      <c r="M320" s="4"/>
      <c r="N320" s="4"/>
      <c r="O320" s="4"/>
      <c r="P320" s="4"/>
      <c r="Q320" s="4"/>
      <c r="R320" s="4"/>
      <c r="S320" s="19"/>
    </row>
    <row r="321" spans="1:19" ht="17.399999999999999" x14ac:dyDescent="0.25">
      <c r="A321" s="4"/>
      <c r="B321" s="19"/>
      <c r="C321" s="4"/>
      <c r="D321" s="4"/>
      <c r="E321" s="5"/>
      <c r="F321" s="4"/>
      <c r="G321" s="4"/>
      <c r="H321" s="4"/>
      <c r="I321" s="4"/>
      <c r="J321" s="4"/>
      <c r="K321" s="4"/>
      <c r="L321" s="4"/>
      <c r="M321" s="4"/>
      <c r="N321" s="4"/>
      <c r="O321" s="4"/>
      <c r="P321" s="4"/>
      <c r="Q321" s="4"/>
      <c r="R321" s="4"/>
      <c r="S321" s="19"/>
    </row>
    <row r="322" spans="1:19" ht="17.399999999999999" x14ac:dyDescent="0.25">
      <c r="A322" s="4"/>
      <c r="B322" s="19"/>
      <c r="C322" s="4"/>
      <c r="D322" s="4"/>
      <c r="E322" s="5"/>
      <c r="F322" s="4"/>
      <c r="G322" s="4"/>
      <c r="H322" s="4"/>
      <c r="I322" s="4"/>
      <c r="J322" s="4"/>
      <c r="K322" s="4"/>
      <c r="L322" s="4"/>
      <c r="M322" s="4"/>
      <c r="N322" s="4"/>
      <c r="O322" s="4"/>
      <c r="P322" s="4"/>
      <c r="Q322" s="4"/>
      <c r="R322" s="4"/>
      <c r="S322" s="19"/>
    </row>
    <row r="323" spans="1:19" ht="17.399999999999999" x14ac:dyDescent="0.25">
      <c r="A323" s="4"/>
      <c r="B323" s="19"/>
      <c r="C323" s="4"/>
      <c r="D323" s="4"/>
      <c r="E323" s="5"/>
      <c r="F323" s="4"/>
      <c r="G323" s="4"/>
      <c r="H323" s="4"/>
      <c r="I323" s="4"/>
      <c r="J323" s="4"/>
      <c r="K323" s="4"/>
      <c r="L323" s="4"/>
      <c r="M323" s="4"/>
      <c r="N323" s="4"/>
      <c r="O323" s="4"/>
      <c r="P323" s="4"/>
      <c r="Q323" s="4"/>
      <c r="R323" s="4"/>
      <c r="S323" s="19"/>
    </row>
    <row r="324" spans="1:19" ht="17.399999999999999" x14ac:dyDescent="0.25">
      <c r="A324" s="4"/>
      <c r="B324" s="19"/>
      <c r="C324" s="4"/>
      <c r="D324" s="4"/>
      <c r="E324" s="5"/>
      <c r="F324" s="4"/>
      <c r="G324" s="4"/>
      <c r="H324" s="4"/>
      <c r="I324" s="4"/>
      <c r="J324" s="4"/>
      <c r="K324" s="4"/>
      <c r="L324" s="4"/>
      <c r="M324" s="4"/>
      <c r="N324" s="4"/>
      <c r="O324" s="4"/>
      <c r="P324" s="4"/>
      <c r="Q324" s="4"/>
      <c r="R324" s="4"/>
      <c r="S324" s="19"/>
    </row>
    <row r="325" spans="1:19" ht="17.399999999999999" x14ac:dyDescent="0.25">
      <c r="A325" s="4"/>
      <c r="B325" s="19"/>
      <c r="C325" s="4"/>
      <c r="D325" s="4"/>
      <c r="E325" s="5"/>
      <c r="F325" s="4"/>
      <c r="G325" s="4"/>
      <c r="H325" s="4"/>
      <c r="I325" s="4"/>
      <c r="J325" s="4"/>
      <c r="K325" s="4"/>
      <c r="L325" s="4"/>
      <c r="M325" s="4"/>
      <c r="N325" s="4"/>
      <c r="O325" s="4"/>
      <c r="P325" s="4"/>
      <c r="Q325" s="4"/>
      <c r="R325" s="4"/>
      <c r="S325" s="19"/>
    </row>
    <row r="326" spans="1:19" ht="17.399999999999999" x14ac:dyDescent="0.25">
      <c r="A326" s="4"/>
      <c r="B326" s="19"/>
      <c r="C326" s="4"/>
      <c r="D326" s="4"/>
      <c r="E326" s="5"/>
      <c r="F326" s="4"/>
      <c r="G326" s="4"/>
      <c r="H326" s="4"/>
      <c r="I326" s="4"/>
      <c r="J326" s="4"/>
      <c r="K326" s="4"/>
      <c r="L326" s="4"/>
      <c r="M326" s="4"/>
      <c r="N326" s="4"/>
      <c r="O326" s="4"/>
      <c r="P326" s="4"/>
      <c r="Q326" s="4"/>
      <c r="R326" s="4"/>
      <c r="S326" s="19"/>
    </row>
    <row r="327" spans="1:19" ht="17.399999999999999" x14ac:dyDescent="0.25">
      <c r="A327" s="4"/>
      <c r="B327" s="19"/>
      <c r="C327" s="4"/>
      <c r="D327" s="4"/>
      <c r="E327" s="5"/>
      <c r="F327" s="4"/>
      <c r="G327" s="4"/>
      <c r="H327" s="4"/>
      <c r="I327" s="4"/>
      <c r="J327" s="4"/>
      <c r="K327" s="4"/>
      <c r="L327" s="4"/>
      <c r="M327" s="4"/>
      <c r="N327" s="4"/>
      <c r="O327" s="4"/>
      <c r="P327" s="4"/>
      <c r="Q327" s="4"/>
      <c r="R327" s="4"/>
      <c r="S327" s="19"/>
    </row>
    <row r="328" spans="1:19" ht="17.399999999999999" x14ac:dyDescent="0.25">
      <c r="A328" s="4"/>
      <c r="B328" s="19"/>
      <c r="C328" s="4"/>
      <c r="D328" s="4"/>
      <c r="E328" s="5"/>
      <c r="F328" s="4"/>
      <c r="G328" s="4"/>
      <c r="H328" s="4"/>
      <c r="I328" s="4"/>
      <c r="J328" s="4"/>
      <c r="K328" s="4"/>
      <c r="L328" s="4"/>
      <c r="M328" s="4"/>
      <c r="N328" s="4"/>
      <c r="O328" s="4"/>
      <c r="P328" s="4"/>
      <c r="Q328" s="4"/>
      <c r="R328" s="4"/>
      <c r="S328" s="19"/>
    </row>
    <row r="329" spans="1:19" ht="17.399999999999999" x14ac:dyDescent="0.25">
      <c r="A329" s="4"/>
      <c r="B329" s="19"/>
      <c r="C329" s="4"/>
      <c r="D329" s="4"/>
      <c r="E329" s="5"/>
      <c r="F329" s="4"/>
      <c r="G329" s="4"/>
      <c r="H329" s="4"/>
      <c r="I329" s="4"/>
      <c r="J329" s="4"/>
      <c r="K329" s="4"/>
      <c r="L329" s="4"/>
      <c r="M329" s="4"/>
      <c r="N329" s="4"/>
      <c r="O329" s="4"/>
      <c r="P329" s="4"/>
      <c r="Q329" s="4"/>
      <c r="R329" s="4"/>
      <c r="S329" s="19"/>
    </row>
    <row r="330" spans="1:19" ht="17.399999999999999" x14ac:dyDescent="0.25">
      <c r="A330" s="4"/>
      <c r="B330" s="19"/>
      <c r="C330" s="4"/>
      <c r="D330" s="4"/>
      <c r="E330" s="5"/>
      <c r="F330" s="4"/>
      <c r="G330" s="4"/>
      <c r="H330" s="4"/>
      <c r="I330" s="4"/>
      <c r="J330" s="4"/>
      <c r="K330" s="4"/>
      <c r="L330" s="4"/>
      <c r="M330" s="4"/>
      <c r="N330" s="4"/>
      <c r="O330" s="4"/>
      <c r="P330" s="4"/>
      <c r="Q330" s="4"/>
      <c r="R330" s="4"/>
      <c r="S330" s="19"/>
    </row>
    <row r="331" spans="1:19" ht="17.399999999999999" x14ac:dyDescent="0.25">
      <c r="A331" s="4"/>
      <c r="B331" s="19"/>
      <c r="C331" s="4"/>
      <c r="D331" s="4"/>
      <c r="E331" s="5"/>
      <c r="F331" s="4"/>
      <c r="G331" s="4"/>
      <c r="H331" s="4"/>
      <c r="I331" s="4"/>
      <c r="J331" s="4"/>
      <c r="K331" s="4"/>
      <c r="L331" s="4"/>
      <c r="M331" s="4"/>
      <c r="N331" s="4"/>
      <c r="O331" s="4"/>
      <c r="P331" s="4"/>
      <c r="Q331" s="4"/>
      <c r="R331" s="4"/>
      <c r="S331" s="19"/>
    </row>
    <row r="332" spans="1:19" ht="17.399999999999999" x14ac:dyDescent="0.25">
      <c r="A332" s="4"/>
      <c r="B332" s="19"/>
      <c r="C332" s="4"/>
      <c r="D332" s="4"/>
      <c r="E332" s="5"/>
      <c r="F332" s="4"/>
      <c r="G332" s="4"/>
      <c r="H332" s="4"/>
      <c r="I332" s="4"/>
      <c r="J332" s="4"/>
      <c r="K332" s="4"/>
      <c r="L332" s="4"/>
      <c r="M332" s="4"/>
      <c r="N332" s="4"/>
      <c r="O332" s="4"/>
      <c r="P332" s="4"/>
      <c r="Q332" s="4"/>
      <c r="R332" s="4"/>
      <c r="S332" s="19"/>
    </row>
    <row r="333" spans="1:19" ht="17.399999999999999" x14ac:dyDescent="0.25">
      <c r="A333" s="4"/>
      <c r="B333" s="19"/>
      <c r="C333" s="4"/>
      <c r="D333" s="4"/>
      <c r="E333" s="5"/>
      <c r="F333" s="4"/>
      <c r="G333" s="4"/>
      <c r="H333" s="4"/>
      <c r="I333" s="4"/>
      <c r="J333" s="4"/>
      <c r="K333" s="4"/>
      <c r="L333" s="4"/>
      <c r="M333" s="4"/>
      <c r="N333" s="4"/>
      <c r="O333" s="4"/>
      <c r="P333" s="4"/>
      <c r="Q333" s="4"/>
      <c r="R333" s="4"/>
      <c r="S333" s="19"/>
    </row>
    <row r="334" spans="1:19" ht="17.399999999999999" x14ac:dyDescent="0.25">
      <c r="A334" s="4"/>
      <c r="B334" s="19"/>
      <c r="C334" s="4"/>
      <c r="D334" s="4"/>
      <c r="E334" s="5"/>
      <c r="F334" s="4"/>
      <c r="G334" s="4"/>
      <c r="H334" s="4"/>
      <c r="I334" s="4"/>
      <c r="J334" s="4"/>
      <c r="K334" s="4"/>
      <c r="L334" s="4"/>
      <c r="M334" s="4"/>
      <c r="N334" s="4"/>
      <c r="O334" s="4"/>
      <c r="P334" s="4"/>
      <c r="Q334" s="4"/>
      <c r="R334" s="4"/>
      <c r="S334" s="19"/>
    </row>
    <row r="335" spans="1:19" ht="17.399999999999999" x14ac:dyDescent="0.25">
      <c r="A335" s="4"/>
      <c r="B335" s="19"/>
      <c r="C335" s="4"/>
      <c r="D335" s="4"/>
      <c r="E335" s="5"/>
      <c r="F335" s="4"/>
      <c r="G335" s="4"/>
      <c r="H335" s="4"/>
      <c r="I335" s="4"/>
      <c r="J335" s="4"/>
      <c r="K335" s="4"/>
      <c r="L335" s="4"/>
      <c r="M335" s="4"/>
      <c r="N335" s="4"/>
      <c r="O335" s="4"/>
      <c r="P335" s="4"/>
      <c r="Q335" s="4"/>
      <c r="R335" s="4"/>
      <c r="S335" s="19"/>
    </row>
    <row r="336" spans="1:19" ht="17.399999999999999" x14ac:dyDescent="0.25">
      <c r="A336" s="4"/>
      <c r="B336" s="19"/>
      <c r="C336" s="4"/>
      <c r="D336" s="4"/>
      <c r="E336" s="5"/>
      <c r="F336" s="4"/>
      <c r="G336" s="4"/>
      <c r="H336" s="4"/>
      <c r="I336" s="4"/>
      <c r="J336" s="4"/>
      <c r="K336" s="4"/>
      <c r="L336" s="4"/>
      <c r="M336" s="4"/>
      <c r="N336" s="4"/>
      <c r="O336" s="4"/>
      <c r="P336" s="4"/>
      <c r="Q336" s="4"/>
      <c r="R336" s="4"/>
      <c r="S336" s="19"/>
    </row>
    <row r="337" spans="1:19" ht="17.399999999999999" x14ac:dyDescent="0.25">
      <c r="A337" s="4"/>
      <c r="B337" s="19"/>
      <c r="C337" s="4"/>
      <c r="D337" s="4"/>
      <c r="E337" s="5"/>
      <c r="F337" s="4"/>
      <c r="G337" s="4"/>
      <c r="H337" s="4"/>
      <c r="I337" s="4"/>
      <c r="J337" s="4"/>
      <c r="K337" s="4"/>
      <c r="L337" s="4"/>
      <c r="M337" s="4"/>
      <c r="N337" s="4"/>
      <c r="O337" s="4"/>
      <c r="P337" s="4"/>
      <c r="Q337" s="4"/>
      <c r="R337" s="4"/>
      <c r="S337" s="19"/>
    </row>
    <row r="338" spans="1:19" ht="17.399999999999999" x14ac:dyDescent="0.25">
      <c r="A338" s="4"/>
      <c r="B338" s="19"/>
      <c r="C338" s="4"/>
      <c r="D338" s="4"/>
      <c r="E338" s="5"/>
      <c r="F338" s="4"/>
      <c r="G338" s="4"/>
      <c r="H338" s="4"/>
      <c r="I338" s="4"/>
      <c r="J338" s="4"/>
      <c r="K338" s="4"/>
      <c r="L338" s="4"/>
      <c r="M338" s="4"/>
      <c r="N338" s="4"/>
      <c r="O338" s="4"/>
      <c r="P338" s="4"/>
      <c r="Q338" s="4"/>
      <c r="R338" s="4"/>
      <c r="S338" s="19"/>
    </row>
    <row r="339" spans="1:19" ht="17.399999999999999" x14ac:dyDescent="0.25">
      <c r="A339" s="4"/>
      <c r="B339" s="19"/>
      <c r="C339" s="4"/>
      <c r="D339" s="4"/>
      <c r="E339" s="5"/>
      <c r="F339" s="4"/>
      <c r="G339" s="4"/>
      <c r="H339" s="4"/>
      <c r="I339" s="4"/>
      <c r="J339" s="4"/>
      <c r="K339" s="4"/>
      <c r="L339" s="4"/>
      <c r="M339" s="4"/>
      <c r="N339" s="4"/>
      <c r="O339" s="4"/>
      <c r="P339" s="4"/>
      <c r="Q339" s="4"/>
      <c r="R339" s="4"/>
      <c r="S339" s="19"/>
    </row>
    <row r="340" spans="1:19" ht="17.399999999999999" x14ac:dyDescent="0.25">
      <c r="A340" s="4"/>
      <c r="B340" s="19"/>
      <c r="C340" s="4"/>
      <c r="D340" s="4"/>
      <c r="E340" s="5"/>
      <c r="F340" s="4"/>
      <c r="G340" s="4"/>
      <c r="H340" s="4"/>
      <c r="I340" s="4"/>
      <c r="J340" s="4"/>
      <c r="K340" s="4"/>
      <c r="L340" s="4"/>
      <c r="M340" s="4"/>
      <c r="N340" s="4"/>
      <c r="O340" s="4"/>
      <c r="P340" s="4"/>
      <c r="Q340" s="4"/>
      <c r="R340" s="4"/>
      <c r="S340" s="19"/>
    </row>
    <row r="341" spans="1:19" ht="17.399999999999999" x14ac:dyDescent="0.25">
      <c r="A341" s="4"/>
      <c r="B341" s="19"/>
      <c r="C341" s="4"/>
      <c r="D341" s="4"/>
      <c r="E341" s="5"/>
      <c r="F341" s="4"/>
      <c r="G341" s="4"/>
      <c r="H341" s="4"/>
      <c r="I341" s="4"/>
      <c r="J341" s="4"/>
      <c r="K341" s="4"/>
      <c r="L341" s="4"/>
      <c r="M341" s="4"/>
      <c r="N341" s="4"/>
      <c r="O341" s="4"/>
      <c r="P341" s="4"/>
      <c r="Q341" s="4"/>
      <c r="R341" s="4"/>
      <c r="S341" s="19"/>
    </row>
    <row r="342" spans="1:19" ht="17.399999999999999" x14ac:dyDescent="0.25">
      <c r="A342" s="4"/>
      <c r="B342" s="19"/>
      <c r="C342" s="4"/>
      <c r="D342" s="4"/>
      <c r="E342" s="5"/>
      <c r="F342" s="4"/>
      <c r="G342" s="4"/>
      <c r="H342" s="4"/>
      <c r="I342" s="4"/>
      <c r="J342" s="4"/>
      <c r="K342" s="4"/>
      <c r="L342" s="4"/>
      <c r="M342" s="4"/>
      <c r="N342" s="4"/>
      <c r="O342" s="4"/>
      <c r="P342" s="4"/>
      <c r="Q342" s="4"/>
      <c r="R342" s="4"/>
      <c r="S342" s="19"/>
    </row>
    <row r="343" spans="1:19" ht="17.399999999999999" x14ac:dyDescent="0.25">
      <c r="A343" s="4"/>
      <c r="B343" s="19"/>
      <c r="C343" s="4"/>
      <c r="D343" s="4"/>
      <c r="E343" s="5"/>
      <c r="F343" s="4"/>
      <c r="G343" s="4"/>
      <c r="H343" s="4"/>
      <c r="I343" s="4"/>
      <c r="J343" s="4"/>
      <c r="K343" s="4"/>
      <c r="L343" s="4"/>
      <c r="M343" s="4"/>
      <c r="N343" s="4"/>
      <c r="O343" s="4"/>
      <c r="P343" s="4"/>
      <c r="Q343" s="4"/>
      <c r="R343" s="4"/>
      <c r="S343" s="19"/>
    </row>
    <row r="344" spans="1:19" ht="17.399999999999999" x14ac:dyDescent="0.25">
      <c r="A344" s="4"/>
      <c r="B344" s="19"/>
      <c r="C344" s="4"/>
      <c r="D344" s="4"/>
      <c r="E344" s="5"/>
      <c r="F344" s="4"/>
      <c r="G344" s="4"/>
      <c r="H344" s="4"/>
      <c r="I344" s="4"/>
      <c r="J344" s="4"/>
      <c r="K344" s="4"/>
      <c r="L344" s="4"/>
      <c r="M344" s="4"/>
      <c r="N344" s="4"/>
      <c r="O344" s="4"/>
      <c r="P344" s="4"/>
      <c r="Q344" s="4"/>
      <c r="R344" s="4"/>
      <c r="S344" s="19"/>
    </row>
    <row r="345" spans="1:19" ht="17.399999999999999" x14ac:dyDescent="0.25">
      <c r="A345" s="4"/>
      <c r="B345" s="19"/>
      <c r="C345" s="4"/>
      <c r="D345" s="4"/>
      <c r="E345" s="5"/>
      <c r="F345" s="4"/>
      <c r="G345" s="4"/>
      <c r="H345" s="4"/>
      <c r="I345" s="4"/>
      <c r="J345" s="4"/>
      <c r="K345" s="4"/>
      <c r="L345" s="4"/>
      <c r="M345" s="4"/>
      <c r="N345" s="4"/>
      <c r="O345" s="4"/>
      <c r="P345" s="4"/>
      <c r="Q345" s="4"/>
      <c r="R345" s="4"/>
      <c r="S345" s="19"/>
    </row>
    <row r="346" spans="1:19" ht="17.399999999999999" x14ac:dyDescent="0.25">
      <c r="A346" s="4"/>
      <c r="B346" s="19"/>
      <c r="C346" s="4"/>
      <c r="D346" s="4"/>
      <c r="E346" s="5"/>
      <c r="F346" s="4"/>
      <c r="G346" s="4"/>
      <c r="H346" s="4"/>
      <c r="I346" s="4"/>
      <c r="J346" s="4"/>
      <c r="K346" s="4"/>
      <c r="L346" s="4"/>
      <c r="M346" s="4"/>
      <c r="N346" s="4"/>
      <c r="O346" s="4"/>
      <c r="P346" s="4"/>
      <c r="Q346" s="4"/>
      <c r="R346" s="4"/>
      <c r="S346" s="19"/>
    </row>
    <row r="347" spans="1:19" ht="17.399999999999999" x14ac:dyDescent="0.25">
      <c r="A347" s="4"/>
      <c r="B347" s="19"/>
      <c r="C347" s="4"/>
      <c r="D347" s="4"/>
      <c r="E347" s="5"/>
      <c r="F347" s="4"/>
      <c r="G347" s="4"/>
      <c r="H347" s="4"/>
      <c r="I347" s="4"/>
      <c r="J347" s="4"/>
      <c r="K347" s="4"/>
      <c r="L347" s="4"/>
      <c r="M347" s="4"/>
      <c r="N347" s="4"/>
      <c r="O347" s="4"/>
      <c r="P347" s="4"/>
      <c r="Q347" s="4"/>
      <c r="R347" s="4"/>
      <c r="S347" s="19"/>
    </row>
    <row r="348" spans="1:19" ht="17.399999999999999" x14ac:dyDescent="0.25">
      <c r="A348" s="4"/>
      <c r="B348" s="19"/>
      <c r="C348" s="4"/>
      <c r="D348" s="4"/>
      <c r="E348" s="5"/>
      <c r="F348" s="4"/>
      <c r="G348" s="4"/>
      <c r="H348" s="4"/>
      <c r="I348" s="4"/>
      <c r="J348" s="4"/>
      <c r="K348" s="4"/>
      <c r="L348" s="4"/>
      <c r="M348" s="4"/>
      <c r="N348" s="4"/>
      <c r="O348" s="4"/>
      <c r="P348" s="4"/>
      <c r="Q348" s="4"/>
      <c r="R348" s="4"/>
      <c r="S348" s="19"/>
    </row>
    <row r="349" spans="1:19" ht="17.399999999999999" x14ac:dyDescent="0.25">
      <c r="A349" s="4"/>
      <c r="B349" s="19"/>
      <c r="C349" s="4"/>
      <c r="D349" s="4"/>
      <c r="E349" s="5"/>
      <c r="F349" s="4"/>
      <c r="G349" s="4"/>
      <c r="H349" s="4"/>
      <c r="I349" s="4"/>
      <c r="J349" s="4"/>
      <c r="K349" s="4"/>
      <c r="L349" s="4"/>
      <c r="M349" s="4"/>
      <c r="N349" s="4"/>
      <c r="O349" s="4"/>
      <c r="P349" s="4"/>
      <c r="Q349" s="4"/>
      <c r="R349" s="4"/>
      <c r="S349" s="19"/>
    </row>
    <row r="350" spans="1:19" ht="17.399999999999999" x14ac:dyDescent="0.25">
      <c r="A350" s="4"/>
      <c r="B350" s="19"/>
      <c r="C350" s="4"/>
      <c r="D350" s="4"/>
      <c r="E350" s="5"/>
      <c r="F350" s="4"/>
      <c r="G350" s="4"/>
      <c r="H350" s="4"/>
      <c r="I350" s="4"/>
      <c r="J350" s="4"/>
      <c r="K350" s="4"/>
      <c r="L350" s="4"/>
      <c r="M350" s="4"/>
      <c r="N350" s="4"/>
      <c r="O350" s="4"/>
      <c r="P350" s="4"/>
      <c r="Q350" s="4"/>
      <c r="R350" s="4"/>
      <c r="S350" s="19"/>
    </row>
    <row r="351" spans="1:19" ht="17.399999999999999" x14ac:dyDescent="0.25">
      <c r="A351" s="4"/>
      <c r="B351" s="19"/>
      <c r="C351" s="4"/>
      <c r="D351" s="4"/>
      <c r="E351" s="5"/>
      <c r="F351" s="4"/>
      <c r="G351" s="4"/>
      <c r="H351" s="4"/>
      <c r="I351" s="4"/>
      <c r="J351" s="4"/>
      <c r="K351" s="4"/>
      <c r="L351" s="4"/>
      <c r="M351" s="4"/>
      <c r="N351" s="4"/>
      <c r="O351" s="4"/>
      <c r="P351" s="4"/>
      <c r="Q351" s="4"/>
      <c r="R351" s="4"/>
      <c r="S351" s="19"/>
    </row>
    <row r="352" spans="1:19" ht="17.399999999999999" x14ac:dyDescent="0.25">
      <c r="A352" s="4"/>
      <c r="B352" s="19"/>
      <c r="C352" s="4"/>
      <c r="D352" s="4"/>
      <c r="E352" s="5"/>
      <c r="F352" s="4"/>
      <c r="G352" s="4"/>
      <c r="H352" s="4"/>
      <c r="I352" s="4"/>
      <c r="J352" s="4"/>
      <c r="K352" s="4"/>
      <c r="L352" s="4"/>
      <c r="M352" s="4"/>
      <c r="N352" s="4"/>
      <c r="O352" s="4"/>
      <c r="P352" s="4"/>
      <c r="Q352" s="4"/>
      <c r="R352" s="4"/>
      <c r="S352" s="19"/>
    </row>
    <row r="353" spans="1:19" ht="17.399999999999999" x14ac:dyDescent="0.25">
      <c r="A353" s="4"/>
      <c r="B353" s="19"/>
      <c r="C353" s="4"/>
      <c r="D353" s="4"/>
      <c r="E353" s="5"/>
      <c r="F353" s="4"/>
      <c r="G353" s="4"/>
      <c r="H353" s="4"/>
      <c r="I353" s="4"/>
      <c r="J353" s="4"/>
      <c r="K353" s="4"/>
      <c r="L353" s="4"/>
      <c r="M353" s="4"/>
      <c r="N353" s="4"/>
      <c r="O353" s="4"/>
      <c r="P353" s="4"/>
      <c r="Q353" s="4"/>
      <c r="R353" s="4"/>
      <c r="S353" s="19"/>
    </row>
    <row r="354" spans="1:19" ht="17.399999999999999" x14ac:dyDescent="0.25">
      <c r="A354" s="4"/>
      <c r="B354" s="19"/>
      <c r="C354" s="4"/>
      <c r="D354" s="4"/>
      <c r="E354" s="5"/>
      <c r="F354" s="4"/>
      <c r="G354" s="4"/>
      <c r="H354" s="4"/>
      <c r="I354" s="4"/>
      <c r="J354" s="4"/>
      <c r="K354" s="4"/>
      <c r="L354" s="4"/>
      <c r="M354" s="4"/>
      <c r="N354" s="4"/>
      <c r="O354" s="4"/>
      <c r="P354" s="4"/>
      <c r="Q354" s="4"/>
      <c r="R354" s="4"/>
      <c r="S354" s="19"/>
    </row>
    <row r="355" spans="1:19" ht="17.399999999999999" x14ac:dyDescent="0.25">
      <c r="A355" s="4"/>
      <c r="B355" s="19"/>
      <c r="C355" s="4"/>
      <c r="D355" s="4"/>
      <c r="E355" s="5"/>
      <c r="F355" s="4"/>
      <c r="G355" s="4"/>
      <c r="H355" s="4"/>
      <c r="I355" s="4"/>
      <c r="J355" s="4"/>
      <c r="K355" s="4"/>
      <c r="L355" s="4"/>
      <c r="M355" s="4"/>
      <c r="N355" s="4"/>
      <c r="O355" s="4"/>
      <c r="P355" s="4"/>
      <c r="Q355" s="4"/>
      <c r="R355" s="4"/>
      <c r="S355" s="19"/>
    </row>
    <row r="356" spans="1:19" ht="17.399999999999999" x14ac:dyDescent="0.25">
      <c r="A356" s="4"/>
      <c r="B356" s="19"/>
      <c r="C356" s="4"/>
      <c r="D356" s="4"/>
      <c r="E356" s="5"/>
      <c r="F356" s="4"/>
      <c r="G356" s="4"/>
      <c r="H356" s="4"/>
      <c r="I356" s="4"/>
      <c r="J356" s="4"/>
      <c r="K356" s="4"/>
      <c r="L356" s="4"/>
      <c r="M356" s="4"/>
      <c r="N356" s="4"/>
      <c r="O356" s="4"/>
      <c r="P356" s="4"/>
      <c r="Q356" s="4"/>
      <c r="R356" s="4"/>
      <c r="S356" s="19"/>
    </row>
    <row r="357" spans="1:19" ht="17.399999999999999" x14ac:dyDescent="0.25">
      <c r="A357" s="4"/>
      <c r="B357" s="19"/>
      <c r="C357" s="4"/>
      <c r="D357" s="4"/>
      <c r="E357" s="5"/>
      <c r="F357" s="4"/>
      <c r="G357" s="4"/>
      <c r="H357" s="4"/>
      <c r="I357" s="4"/>
      <c r="J357" s="4"/>
      <c r="K357" s="4"/>
      <c r="L357" s="4"/>
      <c r="M357" s="4"/>
      <c r="N357" s="4"/>
      <c r="O357" s="4"/>
      <c r="P357" s="4"/>
      <c r="Q357" s="4"/>
      <c r="R357" s="4"/>
      <c r="S357" s="19"/>
    </row>
    <row r="358" spans="1:19" ht="17.399999999999999" x14ac:dyDescent="0.25">
      <c r="A358" s="4"/>
      <c r="B358" s="19"/>
      <c r="C358" s="4"/>
      <c r="D358" s="4"/>
      <c r="E358" s="5"/>
      <c r="F358" s="4"/>
      <c r="G358" s="4"/>
      <c r="H358" s="4"/>
      <c r="I358" s="4"/>
      <c r="J358" s="4"/>
      <c r="K358" s="4"/>
      <c r="L358" s="4"/>
      <c r="M358" s="4"/>
      <c r="N358" s="4"/>
      <c r="O358" s="4"/>
      <c r="P358" s="4"/>
      <c r="Q358" s="4"/>
      <c r="R358" s="4"/>
      <c r="S358" s="19"/>
    </row>
    <row r="359" spans="1:19" ht="17.399999999999999" x14ac:dyDescent="0.25">
      <c r="A359" s="4"/>
      <c r="B359" s="19"/>
      <c r="C359" s="4"/>
      <c r="D359" s="4"/>
      <c r="E359" s="5"/>
      <c r="F359" s="4"/>
      <c r="G359" s="4"/>
      <c r="H359" s="4"/>
      <c r="I359" s="4"/>
      <c r="J359" s="4"/>
      <c r="K359" s="4"/>
      <c r="L359" s="4"/>
      <c r="M359" s="4"/>
      <c r="N359" s="4"/>
      <c r="O359" s="4"/>
      <c r="P359" s="4"/>
      <c r="Q359" s="4"/>
      <c r="R359" s="4"/>
      <c r="S359" s="19"/>
    </row>
    <row r="360" spans="1:19" ht="17.399999999999999" x14ac:dyDescent="0.25">
      <c r="A360" s="4"/>
      <c r="B360" s="19"/>
      <c r="C360" s="4"/>
      <c r="D360" s="4"/>
      <c r="E360" s="5"/>
      <c r="F360" s="4"/>
      <c r="G360" s="4"/>
      <c r="H360" s="4"/>
      <c r="I360" s="4"/>
      <c r="J360" s="4"/>
      <c r="K360" s="4"/>
      <c r="L360" s="4"/>
      <c r="M360" s="4"/>
      <c r="N360" s="4"/>
      <c r="O360" s="4"/>
      <c r="P360" s="4"/>
      <c r="Q360" s="4"/>
      <c r="R360" s="4"/>
      <c r="S360" s="19"/>
    </row>
    <row r="361" spans="1:19" ht="17.399999999999999" x14ac:dyDescent="0.25">
      <c r="A361" s="4"/>
      <c r="B361" s="19"/>
      <c r="C361" s="4"/>
      <c r="D361" s="4"/>
      <c r="E361" s="5"/>
      <c r="F361" s="4"/>
      <c r="G361" s="4"/>
      <c r="H361" s="4"/>
      <c r="I361" s="4"/>
      <c r="J361" s="4"/>
      <c r="K361" s="4"/>
      <c r="L361" s="4"/>
      <c r="M361" s="4"/>
      <c r="N361" s="4"/>
      <c r="O361" s="4"/>
      <c r="P361" s="4"/>
      <c r="Q361" s="4"/>
      <c r="R361" s="4"/>
      <c r="S361" s="19"/>
    </row>
    <row r="362" spans="1:19" ht="17.399999999999999" x14ac:dyDescent="0.25">
      <c r="A362" s="4"/>
      <c r="B362" s="19"/>
      <c r="C362" s="4"/>
      <c r="D362" s="4"/>
      <c r="E362" s="5"/>
      <c r="F362" s="4"/>
      <c r="G362" s="4"/>
      <c r="H362" s="4"/>
      <c r="I362" s="4"/>
      <c r="J362" s="4"/>
      <c r="K362" s="4"/>
      <c r="L362" s="4"/>
      <c r="M362" s="4"/>
      <c r="N362" s="4"/>
      <c r="O362" s="4"/>
      <c r="P362" s="4"/>
      <c r="Q362" s="4"/>
      <c r="R362" s="4"/>
      <c r="S362" s="19"/>
    </row>
    <row r="363" spans="1:19" ht="17.399999999999999" x14ac:dyDescent="0.25">
      <c r="A363" s="4"/>
      <c r="B363" s="19"/>
      <c r="C363" s="4"/>
      <c r="D363" s="4"/>
      <c r="E363" s="5"/>
      <c r="F363" s="4"/>
      <c r="G363" s="4"/>
      <c r="H363" s="4"/>
      <c r="I363" s="4"/>
      <c r="J363" s="4"/>
      <c r="K363" s="4"/>
      <c r="L363" s="4"/>
      <c r="M363" s="4"/>
      <c r="N363" s="4"/>
      <c r="O363" s="4"/>
      <c r="P363" s="4"/>
      <c r="Q363" s="4"/>
      <c r="R363" s="4"/>
      <c r="S363" s="19"/>
    </row>
    <row r="364" spans="1:19" ht="17.399999999999999" x14ac:dyDescent="0.25">
      <c r="A364" s="4"/>
      <c r="B364" s="19"/>
      <c r="C364" s="4"/>
      <c r="D364" s="4"/>
      <c r="E364" s="5"/>
      <c r="F364" s="4"/>
      <c r="G364" s="4"/>
      <c r="H364" s="4"/>
      <c r="I364" s="4"/>
      <c r="J364" s="4"/>
      <c r="K364" s="4"/>
      <c r="L364" s="4"/>
      <c r="M364" s="4"/>
      <c r="N364" s="4"/>
      <c r="O364" s="4"/>
      <c r="P364" s="4"/>
      <c r="Q364" s="4"/>
      <c r="R364" s="4"/>
      <c r="S364" s="19"/>
    </row>
    <row r="365" spans="1:19" ht="17.399999999999999" x14ac:dyDescent="0.25">
      <c r="A365" s="4"/>
      <c r="B365" s="19"/>
      <c r="C365" s="4"/>
      <c r="D365" s="4"/>
      <c r="E365" s="5"/>
      <c r="F365" s="4"/>
      <c r="G365" s="4"/>
      <c r="H365" s="4"/>
      <c r="I365" s="4"/>
      <c r="J365" s="4"/>
      <c r="K365" s="4"/>
      <c r="L365" s="4"/>
      <c r="M365" s="4"/>
      <c r="N365" s="4"/>
      <c r="O365" s="4"/>
      <c r="P365" s="4"/>
      <c r="Q365" s="4"/>
      <c r="R365" s="4"/>
      <c r="S365" s="19"/>
    </row>
    <row r="366" spans="1:19" ht="17.399999999999999" x14ac:dyDescent="0.25">
      <c r="A366" s="4"/>
      <c r="B366" s="19"/>
      <c r="C366" s="4"/>
      <c r="D366" s="4"/>
      <c r="E366" s="5"/>
      <c r="F366" s="4"/>
      <c r="G366" s="4"/>
      <c r="H366" s="4"/>
      <c r="I366" s="4"/>
      <c r="J366" s="4"/>
      <c r="K366" s="4"/>
      <c r="L366" s="4"/>
      <c r="M366" s="4"/>
      <c r="N366" s="4"/>
      <c r="O366" s="4"/>
      <c r="P366" s="4"/>
      <c r="Q366" s="4"/>
      <c r="R366" s="4"/>
      <c r="S366" s="19"/>
    </row>
    <row r="367" spans="1:19" ht="17.399999999999999" x14ac:dyDescent="0.25">
      <c r="A367" s="4"/>
      <c r="B367" s="19"/>
      <c r="C367" s="4"/>
      <c r="D367" s="4"/>
      <c r="E367" s="5"/>
      <c r="F367" s="4"/>
      <c r="G367" s="4"/>
      <c r="H367" s="4"/>
      <c r="I367" s="4"/>
      <c r="J367" s="4"/>
      <c r="K367" s="4"/>
      <c r="L367" s="4"/>
      <c r="M367" s="4"/>
      <c r="N367" s="4"/>
      <c r="O367" s="4"/>
      <c r="P367" s="4"/>
      <c r="Q367" s="4"/>
      <c r="R367" s="4"/>
      <c r="S367" s="19"/>
    </row>
    <row r="368" spans="1:19" ht="17.399999999999999" x14ac:dyDescent="0.25">
      <c r="A368" s="4"/>
      <c r="B368" s="19"/>
      <c r="C368" s="4"/>
      <c r="D368" s="4"/>
      <c r="E368" s="5"/>
      <c r="F368" s="4"/>
      <c r="G368" s="4"/>
      <c r="H368" s="4"/>
      <c r="I368" s="4"/>
      <c r="J368" s="4"/>
      <c r="K368" s="4"/>
      <c r="L368" s="4"/>
      <c r="M368" s="4"/>
      <c r="N368" s="4"/>
      <c r="O368" s="4"/>
      <c r="P368" s="4"/>
      <c r="Q368" s="4"/>
      <c r="R368" s="4"/>
      <c r="S368" s="19"/>
    </row>
    <row r="369" spans="1:19" ht="17.399999999999999" x14ac:dyDescent="0.25">
      <c r="A369" s="4"/>
      <c r="B369" s="19"/>
      <c r="C369" s="4"/>
      <c r="D369" s="4"/>
      <c r="E369" s="5"/>
      <c r="F369" s="4"/>
      <c r="G369" s="4"/>
      <c r="H369" s="4"/>
      <c r="I369" s="4"/>
      <c r="J369" s="4"/>
      <c r="K369" s="4"/>
      <c r="L369" s="4"/>
      <c r="M369" s="4"/>
      <c r="N369" s="4"/>
      <c r="O369" s="4"/>
      <c r="P369" s="4"/>
      <c r="Q369" s="4"/>
      <c r="R369" s="4"/>
      <c r="S369" s="19"/>
    </row>
    <row r="370" spans="1:19" ht="17.399999999999999" x14ac:dyDescent="0.25">
      <c r="A370" s="4"/>
      <c r="B370" s="19"/>
      <c r="C370" s="4"/>
      <c r="D370" s="4"/>
      <c r="E370" s="5"/>
      <c r="F370" s="4"/>
      <c r="G370" s="4"/>
      <c r="H370" s="4"/>
      <c r="I370" s="4"/>
      <c r="J370" s="4"/>
      <c r="K370" s="4"/>
      <c r="L370" s="4"/>
      <c r="M370" s="4"/>
      <c r="N370" s="4"/>
      <c r="O370" s="4"/>
      <c r="P370" s="4"/>
      <c r="Q370" s="4"/>
      <c r="R370" s="4"/>
      <c r="S370" s="19"/>
    </row>
    <row r="371" spans="1:19" ht="17.399999999999999" x14ac:dyDescent="0.25">
      <c r="A371" s="4"/>
      <c r="B371" s="19"/>
      <c r="C371" s="4"/>
      <c r="D371" s="4"/>
      <c r="E371" s="5"/>
      <c r="F371" s="4"/>
      <c r="G371" s="4"/>
      <c r="H371" s="4"/>
      <c r="I371" s="4"/>
      <c r="J371" s="4"/>
      <c r="K371" s="4"/>
      <c r="L371" s="4"/>
      <c r="M371" s="4"/>
      <c r="N371" s="4"/>
      <c r="O371" s="4"/>
      <c r="P371" s="4"/>
      <c r="Q371" s="4"/>
      <c r="R371" s="4"/>
      <c r="S371" s="19"/>
    </row>
    <row r="372" spans="1:19" ht="17.399999999999999" x14ac:dyDescent="0.25">
      <c r="A372" s="4"/>
      <c r="B372" s="19"/>
      <c r="C372" s="4"/>
      <c r="D372" s="4"/>
      <c r="E372" s="5"/>
      <c r="F372" s="4"/>
      <c r="G372" s="4"/>
      <c r="H372" s="4"/>
      <c r="I372" s="4"/>
      <c r="J372" s="4"/>
      <c r="K372" s="4"/>
      <c r="L372" s="4"/>
      <c r="M372" s="4"/>
      <c r="N372" s="4"/>
      <c r="O372" s="4"/>
      <c r="P372" s="4"/>
      <c r="Q372" s="4"/>
      <c r="R372" s="4"/>
      <c r="S372" s="19"/>
    </row>
    <row r="373" spans="1:19" ht="17.399999999999999" x14ac:dyDescent="0.25">
      <c r="A373" s="4"/>
      <c r="B373" s="19"/>
      <c r="C373" s="4"/>
      <c r="D373" s="4"/>
      <c r="E373" s="5"/>
      <c r="F373" s="4"/>
      <c r="G373" s="4"/>
      <c r="H373" s="4"/>
      <c r="I373" s="4"/>
      <c r="J373" s="4"/>
      <c r="K373" s="4"/>
      <c r="L373" s="4"/>
      <c r="M373" s="4"/>
      <c r="N373" s="4"/>
      <c r="O373" s="4"/>
      <c r="P373" s="4"/>
      <c r="Q373" s="4"/>
      <c r="R373" s="4"/>
      <c r="S373" s="19"/>
    </row>
    <row r="374" spans="1:19" ht="17.399999999999999" x14ac:dyDescent="0.25">
      <c r="A374" s="4"/>
      <c r="B374" s="19"/>
      <c r="C374" s="4"/>
      <c r="D374" s="4"/>
      <c r="E374" s="5"/>
      <c r="F374" s="4"/>
      <c r="G374" s="4"/>
      <c r="H374" s="4"/>
      <c r="I374" s="4"/>
      <c r="J374" s="4"/>
      <c r="K374" s="4"/>
      <c r="L374" s="4"/>
      <c r="M374" s="4"/>
      <c r="N374" s="4"/>
      <c r="O374" s="4"/>
      <c r="P374" s="4"/>
      <c r="Q374" s="4"/>
      <c r="R374" s="4"/>
      <c r="S374" s="19"/>
    </row>
    <row r="375" spans="1:19" ht="17.399999999999999" x14ac:dyDescent="0.25">
      <c r="A375" s="4"/>
      <c r="B375" s="19"/>
      <c r="C375" s="4"/>
      <c r="D375" s="4"/>
      <c r="E375" s="5"/>
      <c r="F375" s="4"/>
      <c r="G375" s="4"/>
      <c r="H375" s="4"/>
      <c r="I375" s="4"/>
      <c r="J375" s="4"/>
      <c r="K375" s="4"/>
      <c r="L375" s="4"/>
      <c r="M375" s="4"/>
      <c r="N375" s="4"/>
      <c r="O375" s="4"/>
      <c r="P375" s="4"/>
      <c r="Q375" s="4"/>
      <c r="R375" s="4"/>
      <c r="S375" s="19"/>
    </row>
    <row r="376" spans="1:19" ht="17.399999999999999" x14ac:dyDescent="0.25">
      <c r="A376" s="4"/>
      <c r="B376" s="19"/>
      <c r="C376" s="4"/>
      <c r="D376" s="4"/>
      <c r="E376" s="5"/>
      <c r="F376" s="4"/>
      <c r="G376" s="4"/>
      <c r="H376" s="4"/>
      <c r="I376" s="4"/>
      <c r="J376" s="4"/>
      <c r="K376" s="4"/>
      <c r="L376" s="4"/>
      <c r="M376" s="4"/>
      <c r="N376" s="4"/>
      <c r="O376" s="4"/>
      <c r="P376" s="4"/>
      <c r="Q376" s="4"/>
      <c r="R376" s="4"/>
      <c r="S376" s="19"/>
    </row>
    <row r="377" spans="1:19" ht="17.399999999999999" x14ac:dyDescent="0.25">
      <c r="A377" s="4"/>
      <c r="B377" s="19"/>
      <c r="C377" s="4"/>
      <c r="D377" s="4"/>
      <c r="E377" s="5"/>
      <c r="F377" s="4"/>
      <c r="G377" s="4"/>
      <c r="H377" s="4"/>
      <c r="I377" s="4"/>
      <c r="J377" s="4"/>
      <c r="K377" s="4"/>
      <c r="L377" s="4"/>
      <c r="M377" s="4"/>
      <c r="N377" s="4"/>
      <c r="O377" s="4"/>
      <c r="P377" s="4"/>
      <c r="Q377" s="4"/>
      <c r="R377" s="4"/>
      <c r="S377" s="19"/>
    </row>
    <row r="378" spans="1:19" ht="17.399999999999999" x14ac:dyDescent="0.25">
      <c r="A378" s="4"/>
      <c r="B378" s="19"/>
      <c r="C378" s="4"/>
      <c r="D378" s="4"/>
      <c r="E378" s="5"/>
      <c r="F378" s="4"/>
      <c r="G378" s="4"/>
      <c r="H378" s="4"/>
      <c r="I378" s="4"/>
      <c r="J378" s="4"/>
      <c r="K378" s="4"/>
      <c r="L378" s="4"/>
      <c r="M378" s="4"/>
      <c r="N378" s="4"/>
      <c r="O378" s="4"/>
      <c r="P378" s="4"/>
      <c r="Q378" s="4"/>
      <c r="R378" s="4"/>
      <c r="S378" s="19"/>
    </row>
    <row r="379" spans="1:19" ht="17.399999999999999" x14ac:dyDescent="0.25">
      <c r="A379" s="4"/>
      <c r="B379" s="19"/>
      <c r="C379" s="4"/>
      <c r="D379" s="4"/>
      <c r="E379" s="5"/>
      <c r="F379" s="4"/>
      <c r="G379" s="4"/>
      <c r="H379" s="4"/>
      <c r="I379" s="4"/>
      <c r="J379" s="4"/>
      <c r="K379" s="4"/>
      <c r="L379" s="4"/>
      <c r="M379" s="4"/>
      <c r="N379" s="4"/>
      <c r="O379" s="4"/>
      <c r="P379" s="4"/>
      <c r="Q379" s="4"/>
      <c r="R379" s="4"/>
      <c r="S379" s="19"/>
    </row>
    <row r="380" spans="1:19" ht="17.399999999999999" x14ac:dyDescent="0.25">
      <c r="A380" s="4"/>
      <c r="B380" s="19"/>
      <c r="C380" s="4"/>
      <c r="D380" s="4"/>
      <c r="E380" s="5"/>
      <c r="F380" s="4"/>
      <c r="G380" s="4"/>
      <c r="H380" s="4"/>
      <c r="I380" s="4"/>
      <c r="J380" s="4"/>
      <c r="K380" s="4"/>
      <c r="L380" s="4"/>
      <c r="M380" s="4"/>
      <c r="N380" s="4"/>
      <c r="O380" s="4"/>
      <c r="P380" s="4"/>
      <c r="Q380" s="4"/>
      <c r="R380" s="4"/>
      <c r="S380" s="19"/>
    </row>
    <row r="381" spans="1:19" ht="17.399999999999999" x14ac:dyDescent="0.25">
      <c r="A381" s="4"/>
      <c r="B381" s="19"/>
      <c r="C381" s="4"/>
      <c r="D381" s="4"/>
      <c r="E381" s="5"/>
      <c r="F381" s="4"/>
      <c r="G381" s="4"/>
      <c r="H381" s="4"/>
      <c r="I381" s="4"/>
      <c r="J381" s="4"/>
      <c r="K381" s="4"/>
      <c r="L381" s="4"/>
      <c r="M381" s="4"/>
      <c r="N381" s="4"/>
      <c r="O381" s="4"/>
      <c r="P381" s="4"/>
      <c r="Q381" s="4"/>
      <c r="R381" s="4"/>
      <c r="S381" s="19"/>
    </row>
    <row r="382" spans="1:19" ht="17.399999999999999" x14ac:dyDescent="0.25">
      <c r="A382" s="4"/>
      <c r="B382" s="19"/>
      <c r="C382" s="4"/>
      <c r="D382" s="4"/>
      <c r="E382" s="5"/>
      <c r="F382" s="4"/>
      <c r="G382" s="4"/>
      <c r="H382" s="4"/>
      <c r="I382" s="4"/>
      <c r="J382" s="4"/>
      <c r="K382" s="4"/>
      <c r="L382" s="4"/>
      <c r="M382" s="4"/>
      <c r="N382" s="4"/>
      <c r="O382" s="4"/>
      <c r="P382" s="4"/>
      <c r="Q382" s="4"/>
      <c r="R382" s="4"/>
      <c r="S382" s="19"/>
    </row>
    <row r="383" spans="1:19" ht="17.399999999999999" x14ac:dyDescent="0.25">
      <c r="A383" s="4"/>
      <c r="B383" s="19"/>
      <c r="C383" s="4"/>
      <c r="D383" s="4"/>
      <c r="E383" s="5"/>
      <c r="F383" s="4"/>
      <c r="G383" s="4"/>
      <c r="H383" s="4"/>
      <c r="I383" s="4"/>
      <c r="J383" s="4"/>
      <c r="K383" s="4"/>
      <c r="L383" s="4"/>
      <c r="M383" s="4"/>
      <c r="N383" s="4"/>
      <c r="O383" s="4"/>
      <c r="P383" s="4"/>
      <c r="Q383" s="4"/>
      <c r="R383" s="4"/>
      <c r="S383" s="19"/>
    </row>
    <row r="384" spans="1:19" ht="17.399999999999999" x14ac:dyDescent="0.25">
      <c r="A384" s="4"/>
      <c r="B384" s="19"/>
      <c r="C384" s="4"/>
      <c r="D384" s="4"/>
      <c r="E384" s="5"/>
      <c r="F384" s="4"/>
      <c r="G384" s="4"/>
      <c r="H384" s="4"/>
      <c r="I384" s="4"/>
      <c r="J384" s="4"/>
      <c r="K384" s="4"/>
      <c r="L384" s="4"/>
      <c r="M384" s="4"/>
      <c r="N384" s="4"/>
      <c r="O384" s="4"/>
      <c r="P384" s="4"/>
      <c r="Q384" s="4"/>
      <c r="R384" s="4"/>
      <c r="S384" s="19"/>
    </row>
    <row r="385" spans="1:19" ht="17.399999999999999" x14ac:dyDescent="0.25">
      <c r="A385" s="4"/>
      <c r="B385" s="19"/>
      <c r="C385" s="4"/>
      <c r="D385" s="4"/>
      <c r="E385" s="5"/>
      <c r="F385" s="4"/>
      <c r="G385" s="4"/>
      <c r="H385" s="4"/>
      <c r="I385" s="4"/>
      <c r="J385" s="4"/>
      <c r="K385" s="4"/>
      <c r="L385" s="4"/>
      <c r="M385" s="4"/>
      <c r="N385" s="4"/>
      <c r="O385" s="4"/>
      <c r="P385" s="4"/>
      <c r="Q385" s="4"/>
      <c r="R385" s="4"/>
      <c r="S385" s="19"/>
    </row>
    <row r="386" spans="1:19" ht="17.399999999999999" x14ac:dyDescent="0.25">
      <c r="A386" s="4"/>
      <c r="B386" s="19"/>
      <c r="C386" s="4"/>
      <c r="D386" s="4"/>
      <c r="E386" s="5"/>
      <c r="F386" s="4"/>
      <c r="G386" s="4"/>
      <c r="H386" s="4"/>
      <c r="I386" s="4"/>
      <c r="J386" s="4"/>
      <c r="K386" s="4"/>
      <c r="L386" s="4"/>
      <c r="M386" s="4"/>
      <c r="N386" s="4"/>
      <c r="O386" s="4"/>
      <c r="P386" s="4"/>
      <c r="Q386" s="4"/>
      <c r="R386" s="4"/>
      <c r="S386" s="19"/>
    </row>
    <row r="387" spans="1:19" ht="17.399999999999999" x14ac:dyDescent="0.25">
      <c r="A387" s="4"/>
      <c r="B387" s="19"/>
      <c r="C387" s="4"/>
      <c r="D387" s="4"/>
      <c r="E387" s="5"/>
      <c r="F387" s="4"/>
      <c r="G387" s="4"/>
      <c r="H387" s="4"/>
      <c r="I387" s="4"/>
      <c r="J387" s="4"/>
      <c r="K387" s="4"/>
      <c r="L387" s="4"/>
      <c r="M387" s="4"/>
      <c r="N387" s="4"/>
      <c r="O387" s="4"/>
      <c r="P387" s="4"/>
      <c r="Q387" s="4"/>
      <c r="R387" s="4"/>
      <c r="S387" s="19"/>
    </row>
    <row r="388" spans="1:19" ht="17.399999999999999" x14ac:dyDescent="0.25">
      <c r="A388" s="4"/>
      <c r="B388" s="19"/>
      <c r="C388" s="4"/>
      <c r="D388" s="4"/>
      <c r="E388" s="5"/>
      <c r="F388" s="4"/>
      <c r="G388" s="4"/>
      <c r="H388" s="4"/>
      <c r="I388" s="4"/>
      <c r="J388" s="4"/>
      <c r="K388" s="4"/>
      <c r="L388" s="4"/>
      <c r="M388" s="4"/>
      <c r="N388" s="4"/>
      <c r="O388" s="4"/>
      <c r="P388" s="4"/>
      <c r="Q388" s="4"/>
      <c r="R388" s="4"/>
      <c r="S388" s="19"/>
    </row>
    <row r="389" spans="1:19" ht="17.399999999999999" x14ac:dyDescent="0.25">
      <c r="A389" s="4"/>
      <c r="B389" s="19"/>
      <c r="C389" s="4"/>
      <c r="D389" s="4"/>
      <c r="E389" s="5"/>
      <c r="F389" s="4"/>
      <c r="G389" s="4"/>
      <c r="H389" s="4"/>
      <c r="I389" s="4"/>
      <c r="J389" s="4"/>
      <c r="K389" s="4"/>
      <c r="L389" s="4"/>
      <c r="M389" s="4"/>
      <c r="N389" s="4"/>
      <c r="O389" s="4"/>
      <c r="P389" s="4"/>
      <c r="Q389" s="4"/>
      <c r="R389" s="4"/>
      <c r="S389" s="19"/>
    </row>
    <row r="390" spans="1:19" ht="17.399999999999999" x14ac:dyDescent="0.25">
      <c r="A390" s="4"/>
      <c r="B390" s="19"/>
      <c r="C390" s="4"/>
      <c r="D390" s="4"/>
      <c r="E390" s="5"/>
      <c r="F390" s="4"/>
      <c r="G390" s="4"/>
      <c r="H390" s="4"/>
      <c r="I390" s="4"/>
      <c r="J390" s="4"/>
      <c r="K390" s="4"/>
      <c r="L390" s="4"/>
      <c r="M390" s="4"/>
      <c r="N390" s="4"/>
      <c r="O390" s="4"/>
      <c r="P390" s="4"/>
      <c r="Q390" s="4"/>
      <c r="R390" s="4"/>
      <c r="S390" s="19"/>
    </row>
    <row r="391" spans="1:19" ht="17.399999999999999" x14ac:dyDescent="0.25">
      <c r="A391" s="4"/>
      <c r="B391" s="19"/>
      <c r="C391" s="4"/>
      <c r="D391" s="4"/>
      <c r="E391" s="5"/>
      <c r="F391" s="4"/>
      <c r="G391" s="4"/>
      <c r="H391" s="4"/>
      <c r="I391" s="4"/>
      <c r="J391" s="4"/>
      <c r="K391" s="4"/>
      <c r="L391" s="4"/>
      <c r="M391" s="4"/>
      <c r="N391" s="4"/>
      <c r="O391" s="4"/>
      <c r="P391" s="4"/>
      <c r="Q391" s="4"/>
      <c r="R391" s="4"/>
      <c r="S391" s="19"/>
    </row>
    <row r="392" spans="1:19" ht="17.399999999999999" x14ac:dyDescent="0.25">
      <c r="A392" s="4"/>
      <c r="B392" s="19"/>
      <c r="C392" s="4"/>
      <c r="D392" s="4"/>
      <c r="E392" s="5"/>
      <c r="F392" s="4"/>
      <c r="G392" s="4"/>
      <c r="H392" s="4"/>
      <c r="I392" s="4"/>
      <c r="J392" s="4"/>
      <c r="K392" s="4"/>
      <c r="L392" s="4"/>
      <c r="M392" s="4"/>
      <c r="N392" s="4"/>
      <c r="O392" s="4"/>
      <c r="P392" s="4"/>
      <c r="Q392" s="4"/>
      <c r="R392" s="4"/>
      <c r="S392" s="19"/>
    </row>
    <row r="393" spans="1:19" ht="17.399999999999999" x14ac:dyDescent="0.25">
      <c r="A393" s="4"/>
      <c r="B393" s="19"/>
      <c r="C393" s="4"/>
      <c r="D393" s="4"/>
      <c r="E393" s="5"/>
      <c r="F393" s="4"/>
      <c r="G393" s="4"/>
      <c r="H393" s="4"/>
      <c r="I393" s="4"/>
      <c r="J393" s="4"/>
      <c r="K393" s="4"/>
      <c r="L393" s="4"/>
      <c r="M393" s="4"/>
      <c r="N393" s="4"/>
      <c r="O393" s="4"/>
      <c r="P393" s="4"/>
      <c r="Q393" s="4"/>
      <c r="R393" s="4"/>
      <c r="S393" s="19"/>
    </row>
    <row r="394" spans="1:19" ht="17.399999999999999" x14ac:dyDescent="0.25">
      <c r="A394" s="4"/>
      <c r="B394" s="19"/>
      <c r="C394" s="4"/>
      <c r="D394" s="4"/>
      <c r="E394" s="5"/>
      <c r="F394" s="4"/>
      <c r="G394" s="4"/>
      <c r="H394" s="4"/>
      <c r="I394" s="4"/>
      <c r="J394" s="4"/>
      <c r="K394" s="4"/>
      <c r="L394" s="4"/>
      <c r="M394" s="4"/>
      <c r="N394" s="4"/>
      <c r="O394" s="4"/>
      <c r="P394" s="4"/>
      <c r="Q394" s="4"/>
      <c r="R394" s="4"/>
      <c r="S394" s="19"/>
    </row>
    <row r="395" spans="1:19" ht="17.399999999999999" x14ac:dyDescent="0.25">
      <c r="A395" s="4"/>
      <c r="B395" s="19"/>
      <c r="C395" s="4"/>
      <c r="D395" s="4"/>
      <c r="E395" s="5"/>
      <c r="F395" s="4"/>
      <c r="G395" s="4"/>
      <c r="H395" s="4"/>
      <c r="I395" s="4"/>
      <c r="J395" s="4"/>
      <c r="K395" s="4"/>
      <c r="L395" s="4"/>
      <c r="M395" s="4"/>
      <c r="N395" s="4"/>
      <c r="O395" s="4"/>
      <c r="P395" s="4"/>
      <c r="Q395" s="4"/>
      <c r="R395" s="4"/>
      <c r="S395" s="19"/>
    </row>
    <row r="396" spans="1:19" ht="17.399999999999999" x14ac:dyDescent="0.25">
      <c r="A396" s="4"/>
      <c r="B396" s="19"/>
      <c r="C396" s="4"/>
      <c r="D396" s="4"/>
      <c r="E396" s="5"/>
      <c r="F396" s="4"/>
      <c r="G396" s="4"/>
      <c r="H396" s="4"/>
      <c r="I396" s="4"/>
      <c r="J396" s="4"/>
      <c r="K396" s="4"/>
      <c r="L396" s="4"/>
      <c r="M396" s="4"/>
      <c r="N396" s="4"/>
      <c r="O396" s="4"/>
      <c r="P396" s="4"/>
      <c r="Q396" s="4"/>
      <c r="R396" s="4"/>
      <c r="S396" s="19"/>
    </row>
    <row r="397" spans="1:19" ht="17.399999999999999" x14ac:dyDescent="0.25">
      <c r="A397" s="4"/>
      <c r="B397" s="19"/>
      <c r="C397" s="4"/>
      <c r="D397" s="4"/>
      <c r="E397" s="5"/>
      <c r="F397" s="4"/>
      <c r="G397" s="4"/>
      <c r="H397" s="4"/>
      <c r="I397" s="4"/>
      <c r="J397" s="4"/>
      <c r="K397" s="4"/>
      <c r="L397" s="4"/>
      <c r="M397" s="4"/>
      <c r="N397" s="4"/>
      <c r="O397" s="4"/>
      <c r="P397" s="4"/>
      <c r="Q397" s="4"/>
      <c r="R397" s="4"/>
      <c r="S397" s="19"/>
    </row>
    <row r="398" spans="1:19" ht="17.399999999999999" x14ac:dyDescent="0.25">
      <c r="A398" s="4"/>
      <c r="B398" s="19"/>
      <c r="C398" s="4"/>
      <c r="D398" s="4"/>
      <c r="E398" s="5"/>
      <c r="F398" s="4"/>
      <c r="G398" s="4"/>
      <c r="H398" s="4"/>
      <c r="I398" s="4"/>
      <c r="J398" s="4"/>
      <c r="K398" s="4"/>
      <c r="L398" s="4"/>
      <c r="M398" s="4"/>
      <c r="N398" s="4"/>
      <c r="O398" s="4"/>
      <c r="P398" s="4"/>
      <c r="Q398" s="4"/>
      <c r="R398" s="4"/>
      <c r="S398" s="19"/>
    </row>
    <row r="399" spans="1:19" ht="17.399999999999999" x14ac:dyDescent="0.25">
      <c r="A399" s="4"/>
      <c r="B399" s="19"/>
      <c r="C399" s="4"/>
      <c r="D399" s="4"/>
      <c r="E399" s="5"/>
      <c r="F399" s="4"/>
      <c r="G399" s="4"/>
      <c r="H399" s="4"/>
      <c r="I399" s="4"/>
      <c r="J399" s="4"/>
      <c r="K399" s="4"/>
      <c r="L399" s="4"/>
      <c r="M399" s="4"/>
      <c r="N399" s="4"/>
      <c r="O399" s="4"/>
      <c r="P399" s="4"/>
      <c r="Q399" s="4"/>
      <c r="R399" s="4"/>
      <c r="S399" s="19"/>
    </row>
    <row r="400" spans="1:19" ht="17.399999999999999" x14ac:dyDescent="0.25">
      <c r="A400" s="4"/>
      <c r="B400" s="19"/>
      <c r="C400" s="4"/>
      <c r="D400" s="4"/>
      <c r="E400" s="5"/>
      <c r="F400" s="4"/>
      <c r="G400" s="4"/>
      <c r="H400" s="4"/>
      <c r="I400" s="4"/>
      <c r="J400" s="4"/>
      <c r="K400" s="4"/>
      <c r="L400" s="4"/>
      <c r="M400" s="4"/>
      <c r="N400" s="4"/>
      <c r="O400" s="4"/>
      <c r="P400" s="4"/>
      <c r="Q400" s="4"/>
      <c r="R400" s="4"/>
      <c r="S400" s="19"/>
    </row>
    <row r="401" spans="1:19" ht="17.399999999999999" x14ac:dyDescent="0.25">
      <c r="A401" s="4"/>
      <c r="B401" s="19"/>
      <c r="C401" s="4"/>
      <c r="D401" s="4"/>
      <c r="E401" s="5"/>
      <c r="F401" s="4"/>
      <c r="G401" s="4"/>
      <c r="H401" s="4"/>
      <c r="I401" s="4"/>
      <c r="J401" s="4"/>
      <c r="K401" s="4"/>
      <c r="L401" s="4"/>
      <c r="M401" s="4"/>
      <c r="N401" s="4"/>
      <c r="O401" s="4"/>
      <c r="P401" s="4"/>
      <c r="Q401" s="4"/>
      <c r="R401" s="4"/>
      <c r="S401" s="19"/>
    </row>
    <row r="402" spans="1:19" ht="17.399999999999999" x14ac:dyDescent="0.25">
      <c r="A402" s="4"/>
      <c r="B402" s="19"/>
      <c r="C402" s="4"/>
      <c r="D402" s="4"/>
      <c r="E402" s="5"/>
      <c r="F402" s="4"/>
      <c r="G402" s="4"/>
      <c r="H402" s="4"/>
      <c r="I402" s="4"/>
      <c r="J402" s="4"/>
      <c r="K402" s="4"/>
      <c r="L402" s="4"/>
      <c r="M402" s="4"/>
      <c r="N402" s="4"/>
      <c r="O402" s="4"/>
      <c r="P402" s="4"/>
      <c r="Q402" s="4"/>
      <c r="R402" s="4"/>
      <c r="S402" s="19"/>
    </row>
    <row r="403" spans="1:19" ht="17.399999999999999" x14ac:dyDescent="0.25">
      <c r="A403" s="4"/>
      <c r="B403" s="19"/>
      <c r="C403" s="4"/>
      <c r="D403" s="4"/>
      <c r="E403" s="5"/>
      <c r="F403" s="4"/>
      <c r="G403" s="4"/>
      <c r="H403" s="4"/>
      <c r="I403" s="4"/>
      <c r="J403" s="4"/>
      <c r="K403" s="4"/>
      <c r="L403" s="4"/>
      <c r="M403" s="4"/>
      <c r="N403" s="4"/>
      <c r="O403" s="4"/>
      <c r="P403" s="4"/>
      <c r="Q403" s="4"/>
      <c r="R403" s="4"/>
      <c r="S403" s="19"/>
    </row>
    <row r="404" spans="1:19" ht="17.399999999999999" x14ac:dyDescent="0.25">
      <c r="A404" s="4"/>
      <c r="B404" s="19"/>
      <c r="C404" s="4"/>
      <c r="D404" s="4"/>
      <c r="E404" s="5"/>
      <c r="F404" s="4"/>
      <c r="G404" s="4"/>
      <c r="H404" s="4"/>
      <c r="I404" s="4"/>
      <c r="J404" s="4"/>
      <c r="K404" s="4"/>
      <c r="L404" s="4"/>
      <c r="M404" s="4"/>
      <c r="N404" s="4"/>
      <c r="O404" s="4"/>
      <c r="P404" s="4"/>
      <c r="Q404" s="4"/>
      <c r="R404" s="4"/>
      <c r="S404" s="19"/>
    </row>
    <row r="405" spans="1:19" ht="17.399999999999999" x14ac:dyDescent="0.25">
      <c r="A405" s="4"/>
      <c r="B405" s="19"/>
      <c r="C405" s="4"/>
      <c r="D405" s="4"/>
      <c r="E405" s="5"/>
      <c r="F405" s="4"/>
      <c r="G405" s="4"/>
      <c r="H405" s="4"/>
      <c r="I405" s="4"/>
      <c r="J405" s="4"/>
      <c r="K405" s="4"/>
      <c r="L405" s="4"/>
      <c r="M405" s="4"/>
      <c r="N405" s="4"/>
      <c r="O405" s="4"/>
      <c r="P405" s="4"/>
      <c r="Q405" s="4"/>
      <c r="R405" s="4"/>
      <c r="S405" s="19"/>
    </row>
    <row r="406" spans="1:19" ht="17.399999999999999" x14ac:dyDescent="0.25">
      <c r="A406" s="4"/>
      <c r="B406" s="19"/>
      <c r="C406" s="4"/>
      <c r="D406" s="4"/>
      <c r="E406" s="5"/>
      <c r="F406" s="4"/>
      <c r="G406" s="4"/>
      <c r="H406" s="4"/>
      <c r="I406" s="4"/>
      <c r="J406" s="4"/>
      <c r="K406" s="4"/>
      <c r="L406" s="4"/>
      <c r="M406" s="4"/>
      <c r="N406" s="4"/>
      <c r="O406" s="4"/>
      <c r="P406" s="4"/>
      <c r="Q406" s="4"/>
      <c r="R406" s="4"/>
      <c r="S406" s="19"/>
    </row>
    <row r="407" spans="1:19" ht="17.399999999999999" x14ac:dyDescent="0.25">
      <c r="A407" s="4"/>
      <c r="B407" s="19"/>
      <c r="C407" s="4"/>
      <c r="D407" s="4"/>
      <c r="E407" s="5"/>
      <c r="F407" s="4"/>
      <c r="G407" s="4"/>
      <c r="H407" s="4"/>
      <c r="I407" s="4"/>
      <c r="J407" s="4"/>
      <c r="K407" s="4"/>
      <c r="L407" s="4"/>
      <c r="M407" s="4"/>
      <c r="N407" s="4"/>
      <c r="O407" s="4"/>
      <c r="P407" s="4"/>
      <c r="Q407" s="4"/>
      <c r="R407" s="4"/>
      <c r="S407" s="19"/>
    </row>
    <row r="408" spans="1:19" ht="17.399999999999999" x14ac:dyDescent="0.25">
      <c r="A408" s="4"/>
      <c r="B408" s="19"/>
      <c r="C408" s="4"/>
      <c r="D408" s="4"/>
      <c r="E408" s="5"/>
      <c r="F408" s="4"/>
      <c r="G408" s="4"/>
      <c r="H408" s="4"/>
      <c r="I408" s="4"/>
      <c r="J408" s="4"/>
      <c r="K408" s="4"/>
      <c r="L408" s="4"/>
      <c r="M408" s="4"/>
      <c r="N408" s="4"/>
      <c r="O408" s="4"/>
      <c r="P408" s="4"/>
      <c r="Q408" s="4"/>
      <c r="R408" s="4"/>
      <c r="S408" s="19"/>
    </row>
    <row r="409" spans="1:19" ht="17.399999999999999" x14ac:dyDescent="0.25">
      <c r="A409" s="4"/>
      <c r="B409" s="19"/>
      <c r="C409" s="4"/>
      <c r="D409" s="4"/>
      <c r="E409" s="5"/>
      <c r="F409" s="4"/>
      <c r="G409" s="4"/>
      <c r="H409" s="4"/>
      <c r="I409" s="4"/>
      <c r="J409" s="4"/>
      <c r="K409" s="4"/>
      <c r="L409" s="4"/>
      <c r="M409" s="4"/>
      <c r="N409" s="4"/>
      <c r="O409" s="4"/>
      <c r="P409" s="4"/>
      <c r="Q409" s="4"/>
      <c r="R409" s="4"/>
      <c r="S409" s="19"/>
    </row>
    <row r="410" spans="1:19" ht="17.399999999999999" x14ac:dyDescent="0.25">
      <c r="A410" s="4"/>
      <c r="B410" s="19"/>
      <c r="C410" s="4"/>
      <c r="D410" s="4"/>
      <c r="E410" s="5"/>
      <c r="F410" s="4"/>
      <c r="G410" s="4"/>
      <c r="H410" s="4"/>
      <c r="I410" s="4"/>
      <c r="J410" s="4"/>
      <c r="K410" s="4"/>
      <c r="L410" s="4"/>
      <c r="M410" s="4"/>
      <c r="N410" s="4"/>
      <c r="O410" s="4"/>
      <c r="P410" s="4"/>
      <c r="Q410" s="4"/>
      <c r="R410" s="4"/>
      <c r="S410" s="19"/>
    </row>
    <row r="411" spans="1:19" ht="17.399999999999999" x14ac:dyDescent="0.25">
      <c r="A411" s="4"/>
      <c r="B411" s="19"/>
      <c r="C411" s="4"/>
      <c r="D411" s="4"/>
      <c r="E411" s="5"/>
      <c r="F411" s="4"/>
      <c r="G411" s="4"/>
      <c r="H411" s="4"/>
      <c r="I411" s="4"/>
      <c r="J411" s="4"/>
      <c r="K411" s="4"/>
      <c r="L411" s="4"/>
      <c r="M411" s="4"/>
      <c r="N411" s="4"/>
      <c r="O411" s="4"/>
      <c r="P411" s="4"/>
      <c r="Q411" s="4"/>
      <c r="R411" s="4"/>
      <c r="S411" s="19"/>
    </row>
    <row r="412" spans="1:19" ht="17.399999999999999" x14ac:dyDescent="0.25">
      <c r="A412" s="4"/>
      <c r="B412" s="19"/>
      <c r="C412" s="4"/>
      <c r="D412" s="4"/>
      <c r="E412" s="5"/>
      <c r="F412" s="4"/>
      <c r="G412" s="4"/>
      <c r="H412" s="4"/>
      <c r="I412" s="4"/>
      <c r="J412" s="4"/>
      <c r="K412" s="4"/>
      <c r="L412" s="4"/>
      <c r="M412" s="4"/>
      <c r="N412" s="4"/>
      <c r="O412" s="4"/>
      <c r="P412" s="4"/>
      <c r="Q412" s="4"/>
      <c r="R412" s="4"/>
      <c r="S412" s="19"/>
    </row>
    <row r="413" spans="1:19" ht="17.399999999999999" x14ac:dyDescent="0.25">
      <c r="A413" s="4"/>
      <c r="B413" s="19"/>
      <c r="C413" s="4"/>
      <c r="D413" s="4"/>
      <c r="E413" s="5"/>
      <c r="F413" s="4"/>
      <c r="G413" s="4"/>
      <c r="H413" s="4"/>
      <c r="I413" s="4"/>
      <c r="J413" s="4"/>
      <c r="K413" s="4"/>
      <c r="L413" s="4"/>
      <c r="M413" s="4"/>
      <c r="N413" s="4"/>
      <c r="O413" s="4"/>
      <c r="P413" s="4"/>
      <c r="Q413" s="4"/>
      <c r="R413" s="4"/>
      <c r="S413" s="19"/>
    </row>
    <row r="414" spans="1:19" ht="17.399999999999999" x14ac:dyDescent="0.25">
      <c r="A414" s="4"/>
      <c r="B414" s="19"/>
      <c r="C414" s="4"/>
      <c r="D414" s="4"/>
      <c r="E414" s="5"/>
      <c r="F414" s="4"/>
      <c r="G414" s="4"/>
      <c r="H414" s="4"/>
      <c r="I414" s="4"/>
      <c r="J414" s="4"/>
      <c r="K414" s="4"/>
      <c r="L414" s="4"/>
      <c r="M414" s="4"/>
      <c r="N414" s="4"/>
      <c r="O414" s="4"/>
      <c r="P414" s="4"/>
      <c r="Q414" s="4"/>
      <c r="R414" s="4"/>
      <c r="S414" s="19"/>
    </row>
    <row r="415" spans="1:19" ht="17.399999999999999" x14ac:dyDescent="0.25">
      <c r="A415" s="4"/>
      <c r="B415" s="19"/>
      <c r="C415" s="4"/>
      <c r="D415" s="4"/>
      <c r="E415" s="5"/>
      <c r="F415" s="4"/>
      <c r="G415" s="4"/>
      <c r="H415" s="4"/>
      <c r="I415" s="4"/>
      <c r="J415" s="4"/>
      <c r="K415" s="4"/>
      <c r="L415" s="4"/>
      <c r="M415" s="4"/>
      <c r="N415" s="4"/>
      <c r="O415" s="4"/>
      <c r="P415" s="4"/>
      <c r="Q415" s="4"/>
      <c r="R415" s="4"/>
      <c r="S415" s="19"/>
    </row>
    <row r="416" spans="1:19" ht="17.399999999999999" x14ac:dyDescent="0.25">
      <c r="A416" s="4"/>
      <c r="B416" s="19"/>
      <c r="C416" s="4"/>
      <c r="D416" s="4"/>
      <c r="E416" s="5"/>
      <c r="F416" s="4"/>
      <c r="G416" s="4"/>
      <c r="H416" s="4"/>
      <c r="I416" s="4"/>
      <c r="J416" s="4"/>
      <c r="K416" s="4"/>
      <c r="L416" s="4"/>
      <c r="M416" s="4"/>
      <c r="N416" s="4"/>
      <c r="O416" s="4"/>
      <c r="P416" s="4"/>
      <c r="Q416" s="4"/>
      <c r="R416" s="4"/>
      <c r="S416" s="19"/>
    </row>
    <row r="417" spans="1:19" ht="17.399999999999999" x14ac:dyDescent="0.25">
      <c r="A417" s="4"/>
      <c r="B417" s="19"/>
      <c r="C417" s="4"/>
      <c r="D417" s="4"/>
      <c r="E417" s="5"/>
      <c r="F417" s="4"/>
      <c r="G417" s="4"/>
      <c r="H417" s="4"/>
      <c r="I417" s="4"/>
      <c r="J417" s="4"/>
      <c r="K417" s="4"/>
      <c r="L417" s="4"/>
      <c r="M417" s="4"/>
      <c r="N417" s="4"/>
      <c r="O417" s="4"/>
      <c r="P417" s="4"/>
      <c r="Q417" s="4"/>
      <c r="R417" s="4"/>
      <c r="S417" s="19"/>
    </row>
    <row r="418" spans="1:19" ht="17.399999999999999" x14ac:dyDescent="0.25">
      <c r="A418" s="4"/>
      <c r="B418" s="19"/>
      <c r="C418" s="4"/>
      <c r="D418" s="4"/>
      <c r="E418" s="5"/>
      <c r="F418" s="4"/>
      <c r="G418" s="4"/>
      <c r="H418" s="4"/>
      <c r="I418" s="4"/>
      <c r="J418" s="4"/>
      <c r="K418" s="4"/>
      <c r="L418" s="4"/>
      <c r="M418" s="4"/>
      <c r="N418" s="4"/>
      <c r="O418" s="4"/>
      <c r="P418" s="4"/>
      <c r="Q418" s="4"/>
      <c r="R418" s="4"/>
      <c r="S418" s="19"/>
    </row>
    <row r="419" spans="1:19" ht="17.399999999999999" x14ac:dyDescent="0.25">
      <c r="A419" s="4"/>
      <c r="B419" s="19"/>
      <c r="C419" s="4"/>
      <c r="D419" s="4"/>
      <c r="E419" s="5"/>
      <c r="F419" s="4"/>
      <c r="G419" s="4"/>
      <c r="H419" s="4"/>
      <c r="I419" s="4"/>
      <c r="J419" s="4"/>
      <c r="K419" s="4"/>
      <c r="L419" s="4"/>
      <c r="M419" s="4"/>
      <c r="N419" s="4"/>
      <c r="O419" s="4"/>
      <c r="P419" s="4"/>
      <c r="Q419" s="4"/>
      <c r="R419" s="4"/>
      <c r="S419" s="19"/>
    </row>
    <row r="420" spans="1:19" ht="17.399999999999999" x14ac:dyDescent="0.25">
      <c r="A420" s="4"/>
      <c r="B420" s="19"/>
      <c r="C420" s="4"/>
      <c r="D420" s="4"/>
      <c r="E420" s="5"/>
      <c r="F420" s="4"/>
      <c r="G420" s="4"/>
      <c r="H420" s="4"/>
      <c r="I420" s="4"/>
      <c r="J420" s="4"/>
      <c r="K420" s="4"/>
      <c r="L420" s="4"/>
      <c r="M420" s="4"/>
      <c r="N420" s="4"/>
      <c r="O420" s="4"/>
      <c r="P420" s="4"/>
      <c r="Q420" s="4"/>
      <c r="R420" s="4"/>
      <c r="S420" s="19"/>
    </row>
    <row r="421" spans="1:19" ht="17.399999999999999" x14ac:dyDescent="0.25">
      <c r="A421" s="4"/>
      <c r="B421" s="19"/>
      <c r="C421" s="4"/>
      <c r="D421" s="4"/>
      <c r="E421" s="5"/>
      <c r="F421" s="4"/>
      <c r="G421" s="4"/>
      <c r="H421" s="4"/>
      <c r="I421" s="4"/>
      <c r="J421" s="4"/>
      <c r="K421" s="4"/>
      <c r="L421" s="4"/>
      <c r="M421" s="4"/>
      <c r="N421" s="4"/>
      <c r="O421" s="4"/>
      <c r="P421" s="4"/>
      <c r="Q421" s="4"/>
      <c r="R421" s="4"/>
      <c r="S421" s="19"/>
    </row>
    <row r="422" spans="1:19" ht="17.399999999999999" x14ac:dyDescent="0.25">
      <c r="A422" s="4"/>
      <c r="B422" s="19"/>
      <c r="C422" s="4"/>
      <c r="D422" s="4"/>
      <c r="E422" s="5"/>
      <c r="F422" s="4"/>
      <c r="G422" s="4"/>
      <c r="H422" s="4"/>
      <c r="I422" s="4"/>
      <c r="J422" s="4"/>
      <c r="K422" s="4"/>
      <c r="L422" s="4"/>
      <c r="M422" s="4"/>
      <c r="N422" s="4"/>
      <c r="O422" s="4"/>
      <c r="P422" s="4"/>
      <c r="Q422" s="4"/>
      <c r="R422" s="4"/>
      <c r="S422" s="19"/>
    </row>
    <row r="423" spans="1:19" ht="17.399999999999999" x14ac:dyDescent="0.25">
      <c r="A423" s="4"/>
      <c r="B423" s="19"/>
      <c r="C423" s="4"/>
      <c r="D423" s="4"/>
      <c r="E423" s="5"/>
      <c r="F423" s="4"/>
      <c r="G423" s="4"/>
      <c r="H423" s="4"/>
      <c r="I423" s="4"/>
      <c r="J423" s="4"/>
      <c r="K423" s="4"/>
      <c r="L423" s="4"/>
      <c r="M423" s="4"/>
      <c r="N423" s="4"/>
      <c r="O423" s="4"/>
      <c r="P423" s="4"/>
      <c r="Q423" s="4"/>
      <c r="R423" s="4"/>
      <c r="S423" s="19"/>
    </row>
    <row r="424" spans="1:19" ht="17.399999999999999" x14ac:dyDescent="0.25">
      <c r="A424" s="4"/>
      <c r="B424" s="19"/>
      <c r="C424" s="4"/>
      <c r="D424" s="4"/>
      <c r="E424" s="5"/>
      <c r="F424" s="4"/>
      <c r="G424" s="4"/>
      <c r="H424" s="4"/>
      <c r="I424" s="4"/>
      <c r="J424" s="4"/>
      <c r="K424" s="4"/>
      <c r="L424" s="4"/>
      <c r="M424" s="4"/>
      <c r="N424" s="4"/>
      <c r="O424" s="4"/>
      <c r="P424" s="4"/>
      <c r="Q424" s="4"/>
      <c r="R424" s="4"/>
      <c r="S424" s="19"/>
    </row>
    <row r="425" spans="1:19" ht="17.399999999999999" x14ac:dyDescent="0.25">
      <c r="A425" s="4"/>
      <c r="B425" s="19"/>
      <c r="C425" s="4"/>
      <c r="D425" s="4"/>
      <c r="E425" s="5"/>
      <c r="F425" s="4"/>
      <c r="G425" s="4"/>
      <c r="H425" s="4"/>
      <c r="I425" s="4"/>
      <c r="J425" s="4"/>
      <c r="K425" s="4"/>
      <c r="L425" s="4"/>
      <c r="M425" s="4"/>
      <c r="N425" s="4"/>
      <c r="O425" s="4"/>
      <c r="P425" s="4"/>
      <c r="Q425" s="4"/>
      <c r="R425" s="4"/>
      <c r="S425" s="19"/>
    </row>
    <row r="426" spans="1:19" ht="17.399999999999999" x14ac:dyDescent="0.25">
      <c r="A426" s="4"/>
      <c r="B426" s="19"/>
      <c r="C426" s="4"/>
      <c r="D426" s="4"/>
      <c r="E426" s="5"/>
      <c r="F426" s="4"/>
      <c r="G426" s="4"/>
      <c r="H426" s="4"/>
      <c r="I426" s="4"/>
      <c r="J426" s="4"/>
      <c r="K426" s="4"/>
      <c r="L426" s="4"/>
      <c r="M426" s="4"/>
      <c r="N426" s="4"/>
      <c r="O426" s="4"/>
      <c r="P426" s="4"/>
      <c r="Q426" s="4"/>
      <c r="R426" s="4"/>
      <c r="S426" s="19"/>
    </row>
    <row r="427" spans="1:19" ht="17.399999999999999" x14ac:dyDescent="0.25">
      <c r="A427" s="4"/>
      <c r="B427" s="19"/>
      <c r="C427" s="4"/>
      <c r="D427" s="4"/>
      <c r="E427" s="5"/>
      <c r="F427" s="4"/>
      <c r="G427" s="4"/>
      <c r="H427" s="4"/>
      <c r="I427" s="4"/>
      <c r="J427" s="4"/>
      <c r="K427" s="4"/>
      <c r="L427" s="4"/>
      <c r="M427" s="4"/>
      <c r="N427" s="4"/>
      <c r="O427" s="4"/>
      <c r="P427" s="4"/>
      <c r="Q427" s="4"/>
      <c r="R427" s="4"/>
      <c r="S427" s="19"/>
    </row>
    <row r="428" spans="1:19" ht="17.399999999999999" x14ac:dyDescent="0.25">
      <c r="A428" s="4"/>
      <c r="B428" s="19"/>
      <c r="C428" s="4"/>
      <c r="D428" s="4"/>
      <c r="E428" s="5"/>
      <c r="F428" s="4"/>
      <c r="G428" s="4"/>
      <c r="H428" s="4"/>
      <c r="I428" s="4"/>
      <c r="J428" s="4"/>
      <c r="K428" s="4"/>
      <c r="L428" s="4"/>
      <c r="M428" s="4"/>
      <c r="N428" s="4"/>
      <c r="O428" s="4"/>
      <c r="P428" s="4"/>
      <c r="Q428" s="4"/>
      <c r="R428" s="4"/>
      <c r="S428" s="19"/>
    </row>
    <row r="429" spans="1:19" ht="17.399999999999999" x14ac:dyDescent="0.25">
      <c r="A429" s="4"/>
      <c r="B429" s="19"/>
      <c r="C429" s="4"/>
      <c r="D429" s="4"/>
      <c r="E429" s="5"/>
      <c r="F429" s="4"/>
      <c r="G429" s="4"/>
      <c r="H429" s="4"/>
      <c r="I429" s="4"/>
      <c r="J429" s="4"/>
      <c r="K429" s="4"/>
      <c r="L429" s="4"/>
      <c r="M429" s="4"/>
      <c r="N429" s="4"/>
      <c r="O429" s="4"/>
      <c r="P429" s="4"/>
      <c r="Q429" s="4"/>
      <c r="R429" s="4"/>
      <c r="S429" s="19"/>
    </row>
    <row r="430" spans="1:19" ht="17.399999999999999" x14ac:dyDescent="0.25">
      <c r="A430" s="4"/>
      <c r="B430" s="19"/>
      <c r="C430" s="4"/>
      <c r="D430" s="4"/>
      <c r="E430" s="5"/>
      <c r="F430" s="4"/>
      <c r="G430" s="4"/>
      <c r="H430" s="4"/>
      <c r="I430" s="4"/>
      <c r="J430" s="4"/>
      <c r="K430" s="4"/>
      <c r="L430" s="4"/>
      <c r="M430" s="4"/>
      <c r="N430" s="4"/>
      <c r="O430" s="4"/>
      <c r="P430" s="4"/>
      <c r="Q430" s="4"/>
      <c r="R430" s="4"/>
      <c r="S430" s="19"/>
    </row>
    <row r="431" spans="1:19" ht="17.399999999999999" x14ac:dyDescent="0.25">
      <c r="A431" s="4"/>
      <c r="B431" s="19"/>
      <c r="C431" s="4"/>
      <c r="D431" s="4"/>
      <c r="E431" s="5"/>
      <c r="F431" s="4"/>
      <c r="G431" s="4"/>
      <c r="H431" s="4"/>
      <c r="I431" s="4"/>
      <c r="J431" s="4"/>
      <c r="K431" s="4"/>
      <c r="L431" s="4"/>
      <c r="M431" s="4"/>
      <c r="N431" s="4"/>
      <c r="O431" s="4"/>
      <c r="P431" s="4"/>
      <c r="Q431" s="4"/>
      <c r="R431" s="4"/>
      <c r="S431" s="19"/>
    </row>
    <row r="432" spans="1:19" ht="17.399999999999999" x14ac:dyDescent="0.25">
      <c r="A432" s="4"/>
      <c r="B432" s="19"/>
      <c r="C432" s="4"/>
      <c r="D432" s="4"/>
      <c r="E432" s="5"/>
      <c r="F432" s="4"/>
      <c r="G432" s="4"/>
      <c r="H432" s="4"/>
      <c r="I432" s="4"/>
      <c r="J432" s="4"/>
      <c r="K432" s="4"/>
      <c r="L432" s="4"/>
      <c r="M432" s="4"/>
      <c r="N432" s="4"/>
      <c r="O432" s="4"/>
      <c r="P432" s="4"/>
      <c r="Q432" s="4"/>
      <c r="R432" s="4"/>
      <c r="S432" s="19"/>
    </row>
    <row r="433" spans="1:19" ht="17.399999999999999" x14ac:dyDescent="0.25">
      <c r="A433" s="4"/>
      <c r="B433" s="19"/>
      <c r="C433" s="4"/>
      <c r="D433" s="4"/>
      <c r="E433" s="5"/>
      <c r="F433" s="4"/>
      <c r="G433" s="4"/>
      <c r="H433" s="4"/>
      <c r="I433" s="4"/>
      <c r="J433" s="4"/>
      <c r="K433" s="4"/>
      <c r="L433" s="4"/>
      <c r="M433" s="4"/>
      <c r="N433" s="4"/>
      <c r="O433" s="4"/>
      <c r="P433" s="4"/>
      <c r="Q433" s="4"/>
      <c r="R433" s="4"/>
      <c r="S433" s="19"/>
    </row>
    <row r="434" spans="1:19" ht="17.399999999999999" x14ac:dyDescent="0.25">
      <c r="A434" s="4"/>
      <c r="B434" s="19"/>
      <c r="C434" s="4"/>
      <c r="D434" s="4"/>
      <c r="E434" s="5"/>
      <c r="F434" s="4"/>
      <c r="G434" s="4"/>
      <c r="H434" s="4"/>
      <c r="I434" s="4"/>
      <c r="J434" s="4"/>
      <c r="K434" s="4"/>
      <c r="L434" s="4"/>
      <c r="M434" s="4"/>
      <c r="N434" s="4"/>
      <c r="O434" s="4"/>
      <c r="P434" s="4"/>
      <c r="Q434" s="4"/>
      <c r="R434" s="4"/>
      <c r="S434" s="19"/>
    </row>
    <row r="435" spans="1:19" ht="17.399999999999999" x14ac:dyDescent="0.25">
      <c r="A435" s="4"/>
      <c r="B435" s="19"/>
      <c r="C435" s="4"/>
      <c r="D435" s="4"/>
      <c r="E435" s="5"/>
      <c r="F435" s="4"/>
      <c r="G435" s="4"/>
      <c r="H435" s="4"/>
      <c r="I435" s="4"/>
      <c r="J435" s="4"/>
      <c r="K435" s="4"/>
      <c r="L435" s="4"/>
      <c r="M435" s="4"/>
      <c r="N435" s="4"/>
      <c r="O435" s="4"/>
      <c r="P435" s="4"/>
      <c r="Q435" s="4"/>
      <c r="R435" s="4"/>
      <c r="S435" s="19"/>
    </row>
    <row r="436" spans="1:19" ht="17.399999999999999" x14ac:dyDescent="0.25">
      <c r="A436" s="4"/>
      <c r="B436" s="19"/>
      <c r="C436" s="4"/>
      <c r="D436" s="4"/>
      <c r="E436" s="5"/>
      <c r="F436" s="4"/>
      <c r="G436" s="4"/>
      <c r="H436" s="4"/>
      <c r="I436" s="4"/>
      <c r="J436" s="4"/>
      <c r="K436" s="4"/>
      <c r="L436" s="4"/>
      <c r="M436" s="4"/>
      <c r="N436" s="4"/>
      <c r="O436" s="4"/>
      <c r="P436" s="4"/>
      <c r="Q436" s="4"/>
      <c r="R436" s="4"/>
      <c r="S436" s="19"/>
    </row>
    <row r="437" spans="1:19" ht="17.399999999999999" x14ac:dyDescent="0.25">
      <c r="A437" s="4"/>
      <c r="B437" s="19"/>
      <c r="C437" s="4"/>
      <c r="D437" s="4"/>
      <c r="E437" s="5"/>
      <c r="F437" s="4"/>
      <c r="G437" s="4"/>
      <c r="H437" s="4"/>
      <c r="I437" s="4"/>
      <c r="J437" s="4"/>
      <c r="K437" s="4"/>
      <c r="L437" s="4"/>
      <c r="M437" s="4"/>
      <c r="N437" s="4"/>
      <c r="O437" s="4"/>
      <c r="P437" s="4"/>
      <c r="Q437" s="4"/>
      <c r="R437" s="4"/>
      <c r="S437" s="19"/>
    </row>
    <row r="438" spans="1:19" ht="17.399999999999999" x14ac:dyDescent="0.25">
      <c r="A438" s="4"/>
      <c r="B438" s="19"/>
      <c r="C438" s="4"/>
      <c r="D438" s="4"/>
      <c r="E438" s="5"/>
      <c r="F438" s="4"/>
      <c r="G438" s="4"/>
      <c r="H438" s="4"/>
      <c r="I438" s="4"/>
      <c r="J438" s="4"/>
      <c r="K438" s="4"/>
      <c r="L438" s="4"/>
      <c r="M438" s="4"/>
      <c r="N438" s="4"/>
      <c r="O438" s="4"/>
      <c r="P438" s="4"/>
      <c r="Q438" s="4"/>
      <c r="R438" s="4"/>
      <c r="S438" s="19"/>
    </row>
    <row r="439" spans="1:19" ht="17.399999999999999" x14ac:dyDescent="0.25">
      <c r="A439" s="4"/>
      <c r="B439" s="19"/>
      <c r="C439" s="4"/>
      <c r="D439" s="4"/>
      <c r="E439" s="5"/>
      <c r="F439" s="4"/>
      <c r="G439" s="4"/>
      <c r="H439" s="4"/>
      <c r="I439" s="4"/>
      <c r="J439" s="4"/>
      <c r="K439" s="4"/>
      <c r="L439" s="4"/>
      <c r="M439" s="4"/>
      <c r="N439" s="4"/>
      <c r="O439" s="4"/>
      <c r="P439" s="4"/>
      <c r="Q439" s="4"/>
      <c r="R439" s="4"/>
      <c r="S439" s="19"/>
    </row>
    <row r="440" spans="1:19" ht="17.399999999999999" x14ac:dyDescent="0.25">
      <c r="A440" s="4"/>
      <c r="B440" s="19"/>
      <c r="C440" s="4"/>
      <c r="D440" s="4"/>
      <c r="E440" s="5"/>
      <c r="F440" s="4"/>
      <c r="G440" s="4"/>
      <c r="H440" s="4"/>
      <c r="I440" s="4"/>
      <c r="J440" s="4"/>
      <c r="K440" s="4"/>
      <c r="L440" s="4"/>
      <c r="M440" s="4"/>
      <c r="N440" s="4"/>
      <c r="O440" s="4"/>
      <c r="P440" s="4"/>
      <c r="Q440" s="4"/>
      <c r="R440" s="4"/>
      <c r="S440" s="19"/>
    </row>
    <row r="441" spans="1:19" ht="17.399999999999999" x14ac:dyDescent="0.25">
      <c r="A441" s="4"/>
      <c r="B441" s="19"/>
      <c r="C441" s="4"/>
      <c r="D441" s="4"/>
      <c r="E441" s="5"/>
      <c r="F441" s="4"/>
      <c r="G441" s="4"/>
      <c r="H441" s="4"/>
      <c r="I441" s="4"/>
      <c r="J441" s="4"/>
      <c r="K441" s="4"/>
      <c r="L441" s="4"/>
      <c r="M441" s="4"/>
      <c r="N441" s="4"/>
      <c r="O441" s="4"/>
      <c r="P441" s="4"/>
      <c r="Q441" s="4"/>
      <c r="R441" s="4"/>
      <c r="S441" s="19"/>
    </row>
    <row r="442" spans="1:19" ht="17.399999999999999" x14ac:dyDescent="0.25">
      <c r="A442" s="4"/>
      <c r="B442" s="19"/>
      <c r="C442" s="4"/>
      <c r="D442" s="4"/>
      <c r="E442" s="5"/>
      <c r="F442" s="4"/>
      <c r="G442" s="4"/>
      <c r="H442" s="4"/>
      <c r="I442" s="4"/>
      <c r="J442" s="4"/>
      <c r="K442" s="4"/>
      <c r="L442" s="4"/>
      <c r="M442" s="4"/>
      <c r="N442" s="4"/>
      <c r="O442" s="4"/>
      <c r="P442" s="4"/>
      <c r="Q442" s="4"/>
      <c r="R442" s="4"/>
      <c r="S442" s="19"/>
    </row>
    <row r="443" spans="1:19" ht="17.399999999999999" x14ac:dyDescent="0.25">
      <c r="A443" s="4"/>
      <c r="B443" s="19"/>
      <c r="C443" s="4"/>
      <c r="D443" s="4"/>
      <c r="E443" s="5"/>
      <c r="F443" s="4"/>
      <c r="G443" s="4"/>
      <c r="H443" s="4"/>
      <c r="I443" s="4"/>
      <c r="J443" s="4"/>
      <c r="K443" s="4"/>
      <c r="L443" s="4"/>
      <c r="M443" s="4"/>
      <c r="N443" s="4"/>
      <c r="O443" s="4"/>
      <c r="P443" s="4"/>
      <c r="Q443" s="4"/>
      <c r="R443" s="4"/>
      <c r="S443" s="19"/>
    </row>
    <row r="444" spans="1:19" ht="17.399999999999999" x14ac:dyDescent="0.25">
      <c r="A444" s="4"/>
      <c r="B444" s="19"/>
      <c r="C444" s="4"/>
      <c r="D444" s="4"/>
      <c r="E444" s="5"/>
      <c r="F444" s="4"/>
      <c r="G444" s="4"/>
      <c r="H444" s="4"/>
      <c r="I444" s="4"/>
      <c r="J444" s="4"/>
      <c r="K444" s="4"/>
      <c r="L444" s="4"/>
      <c r="M444" s="4"/>
      <c r="N444" s="4"/>
      <c r="O444" s="4"/>
      <c r="P444" s="4"/>
      <c r="Q444" s="4"/>
      <c r="R444" s="4"/>
      <c r="S444" s="19"/>
    </row>
    <row r="445" spans="1:19" ht="17.399999999999999" x14ac:dyDescent="0.25">
      <c r="A445" s="4"/>
      <c r="B445" s="19"/>
      <c r="C445" s="4"/>
      <c r="D445" s="4"/>
      <c r="E445" s="5"/>
      <c r="F445" s="4"/>
      <c r="G445" s="4"/>
      <c r="H445" s="4"/>
      <c r="I445" s="4"/>
      <c r="J445" s="4"/>
      <c r="K445" s="4"/>
      <c r="L445" s="4"/>
      <c r="M445" s="4"/>
      <c r="N445" s="4"/>
      <c r="O445" s="4"/>
      <c r="P445" s="4"/>
      <c r="Q445" s="4"/>
      <c r="R445" s="4"/>
      <c r="S445" s="19"/>
    </row>
    <row r="446" spans="1:19" ht="17.399999999999999" x14ac:dyDescent="0.25">
      <c r="A446" s="4"/>
      <c r="B446" s="19"/>
      <c r="C446" s="4"/>
      <c r="D446" s="4"/>
      <c r="E446" s="5"/>
      <c r="F446" s="4"/>
      <c r="G446" s="4"/>
      <c r="H446" s="4"/>
      <c r="I446" s="4"/>
      <c r="J446" s="4"/>
      <c r="K446" s="4"/>
      <c r="L446" s="4"/>
      <c r="M446" s="4"/>
      <c r="N446" s="4"/>
      <c r="O446" s="4"/>
      <c r="P446" s="4"/>
      <c r="Q446" s="4"/>
      <c r="R446" s="4"/>
      <c r="S446" s="19"/>
    </row>
    <row r="447" spans="1:19" ht="17.399999999999999" x14ac:dyDescent="0.25">
      <c r="A447" s="4"/>
      <c r="B447" s="19"/>
      <c r="C447" s="4"/>
      <c r="D447" s="4"/>
      <c r="E447" s="5"/>
      <c r="F447" s="4"/>
      <c r="G447" s="4"/>
      <c r="H447" s="4"/>
      <c r="I447" s="4"/>
      <c r="J447" s="4"/>
      <c r="K447" s="4"/>
      <c r="L447" s="4"/>
      <c r="M447" s="4"/>
      <c r="N447" s="4"/>
      <c r="O447" s="4"/>
      <c r="P447" s="4"/>
      <c r="Q447" s="4"/>
      <c r="R447" s="4"/>
      <c r="S447" s="19"/>
    </row>
    <row r="448" spans="1:19" ht="17.399999999999999" x14ac:dyDescent="0.25">
      <c r="A448" s="4"/>
      <c r="B448" s="19"/>
      <c r="C448" s="4"/>
      <c r="D448" s="4"/>
      <c r="E448" s="5"/>
      <c r="F448" s="4"/>
      <c r="G448" s="4"/>
      <c r="H448" s="4"/>
      <c r="I448" s="4"/>
      <c r="J448" s="4"/>
      <c r="K448" s="4"/>
      <c r="L448" s="4"/>
      <c r="M448" s="4"/>
      <c r="N448" s="4"/>
      <c r="O448" s="4"/>
      <c r="P448" s="4"/>
      <c r="Q448" s="4"/>
      <c r="R448" s="4"/>
      <c r="S448" s="19"/>
    </row>
    <row r="449" spans="1:19" ht="17.399999999999999" x14ac:dyDescent="0.25">
      <c r="A449" s="4"/>
      <c r="B449" s="19"/>
      <c r="C449" s="4"/>
      <c r="D449" s="4"/>
      <c r="E449" s="5"/>
      <c r="F449" s="4"/>
      <c r="G449" s="4"/>
      <c r="H449" s="4"/>
      <c r="I449" s="4"/>
      <c r="J449" s="4"/>
      <c r="K449" s="4"/>
      <c r="L449" s="4"/>
      <c r="M449" s="4"/>
      <c r="N449" s="4"/>
      <c r="O449" s="4"/>
      <c r="P449" s="4"/>
      <c r="Q449" s="4"/>
      <c r="R449" s="4"/>
      <c r="S449" s="19"/>
    </row>
    <row r="450" spans="1:19" ht="17.399999999999999" x14ac:dyDescent="0.25">
      <c r="A450" s="4"/>
      <c r="B450" s="19"/>
      <c r="C450" s="4"/>
      <c r="D450" s="4"/>
      <c r="E450" s="5"/>
      <c r="F450" s="4"/>
      <c r="G450" s="4"/>
      <c r="H450" s="4"/>
      <c r="I450" s="4"/>
      <c r="J450" s="4"/>
      <c r="K450" s="4"/>
      <c r="L450" s="4"/>
      <c r="M450" s="4"/>
      <c r="N450" s="4"/>
      <c r="O450" s="4"/>
      <c r="P450" s="4"/>
      <c r="Q450" s="4"/>
      <c r="R450" s="4"/>
      <c r="S450" s="19"/>
    </row>
    <row r="451" spans="1:19" ht="17.399999999999999" x14ac:dyDescent="0.25">
      <c r="A451" s="4"/>
      <c r="B451" s="19"/>
      <c r="C451" s="4"/>
      <c r="D451" s="4"/>
      <c r="E451" s="5"/>
      <c r="F451" s="4"/>
      <c r="G451" s="4"/>
      <c r="H451" s="4"/>
      <c r="I451" s="4"/>
      <c r="J451" s="4"/>
      <c r="K451" s="4"/>
      <c r="L451" s="4"/>
      <c r="M451" s="4"/>
      <c r="N451" s="4"/>
      <c r="O451" s="4"/>
      <c r="P451" s="4"/>
      <c r="Q451" s="4"/>
      <c r="R451" s="4"/>
      <c r="S451" s="19"/>
    </row>
    <row r="452" spans="1:19" ht="17.399999999999999" x14ac:dyDescent="0.25">
      <c r="A452" s="4"/>
      <c r="B452" s="19"/>
      <c r="C452" s="4"/>
      <c r="D452" s="4"/>
      <c r="E452" s="5"/>
      <c r="F452" s="4"/>
      <c r="G452" s="4"/>
      <c r="H452" s="4"/>
      <c r="I452" s="4"/>
      <c r="J452" s="4"/>
      <c r="K452" s="4"/>
      <c r="L452" s="4"/>
      <c r="M452" s="4"/>
      <c r="N452" s="4"/>
      <c r="O452" s="4"/>
      <c r="P452" s="4"/>
      <c r="Q452" s="4"/>
      <c r="R452" s="4"/>
      <c r="S452" s="19"/>
    </row>
    <row r="453" spans="1:19" ht="17.399999999999999" x14ac:dyDescent="0.25">
      <c r="A453" s="4"/>
      <c r="B453" s="19"/>
      <c r="C453" s="4"/>
      <c r="D453" s="4"/>
      <c r="E453" s="5"/>
      <c r="F453" s="4"/>
      <c r="G453" s="4"/>
      <c r="H453" s="4"/>
      <c r="I453" s="4"/>
      <c r="J453" s="4"/>
      <c r="K453" s="4"/>
      <c r="L453" s="4"/>
      <c r="M453" s="4"/>
      <c r="N453" s="4"/>
      <c r="O453" s="4"/>
      <c r="P453" s="4"/>
      <c r="Q453" s="4"/>
      <c r="R453" s="4"/>
      <c r="S453" s="19"/>
    </row>
    <row r="454" spans="1:19" ht="17.399999999999999" x14ac:dyDescent="0.25">
      <c r="A454" s="4"/>
      <c r="B454" s="19"/>
      <c r="C454" s="4"/>
      <c r="D454" s="4"/>
      <c r="E454" s="5"/>
      <c r="F454" s="4"/>
      <c r="G454" s="4"/>
      <c r="H454" s="4"/>
      <c r="I454" s="4"/>
      <c r="J454" s="4"/>
      <c r="K454" s="4"/>
      <c r="L454" s="4"/>
      <c r="M454" s="4"/>
      <c r="N454" s="4"/>
      <c r="O454" s="4"/>
      <c r="P454" s="4"/>
      <c r="Q454" s="4"/>
      <c r="R454" s="4"/>
      <c r="S454" s="19"/>
    </row>
    <row r="455" spans="1:19" ht="17.399999999999999" x14ac:dyDescent="0.25">
      <c r="A455" s="4"/>
      <c r="B455" s="19"/>
      <c r="C455" s="4"/>
      <c r="D455" s="4"/>
      <c r="E455" s="5"/>
      <c r="F455" s="4"/>
      <c r="G455" s="4"/>
      <c r="H455" s="4"/>
      <c r="I455" s="4"/>
      <c r="J455" s="4"/>
      <c r="K455" s="4"/>
      <c r="L455" s="4"/>
      <c r="M455" s="4"/>
      <c r="N455" s="4"/>
      <c r="O455" s="4"/>
      <c r="P455" s="4"/>
      <c r="Q455" s="4"/>
      <c r="R455" s="4"/>
      <c r="S455" s="19"/>
    </row>
    <row r="456" spans="1:19" ht="17.399999999999999" x14ac:dyDescent="0.25">
      <c r="A456" s="4"/>
      <c r="B456" s="19"/>
      <c r="C456" s="4"/>
      <c r="D456" s="4"/>
      <c r="E456" s="5"/>
      <c r="F456" s="4"/>
      <c r="G456" s="4"/>
      <c r="H456" s="4"/>
      <c r="I456" s="4"/>
      <c r="J456" s="4"/>
      <c r="K456" s="4"/>
      <c r="L456" s="4"/>
      <c r="M456" s="4"/>
      <c r="N456" s="4"/>
      <c r="O456" s="4"/>
      <c r="P456" s="4"/>
      <c r="Q456" s="4"/>
      <c r="R456" s="4"/>
      <c r="S456" s="19"/>
    </row>
    <row r="457" spans="1:19" ht="17.399999999999999" x14ac:dyDescent="0.25">
      <c r="A457" s="4"/>
      <c r="B457" s="19"/>
      <c r="C457" s="4"/>
      <c r="D457" s="4"/>
      <c r="E457" s="5"/>
      <c r="F457" s="4"/>
      <c r="G457" s="4"/>
      <c r="H457" s="4"/>
      <c r="I457" s="4"/>
      <c r="J457" s="4"/>
      <c r="K457" s="4"/>
      <c r="L457" s="4"/>
      <c r="M457" s="4"/>
      <c r="N457" s="4"/>
      <c r="O457" s="4"/>
      <c r="P457" s="4"/>
      <c r="Q457" s="4"/>
      <c r="R457" s="4"/>
      <c r="S457" s="19"/>
    </row>
    <row r="458" spans="1:19" ht="17.399999999999999" x14ac:dyDescent="0.25">
      <c r="A458" s="4"/>
      <c r="B458" s="19"/>
      <c r="C458" s="4"/>
      <c r="D458" s="4"/>
      <c r="E458" s="5"/>
      <c r="F458" s="4"/>
      <c r="G458" s="4"/>
      <c r="H458" s="4"/>
      <c r="I458" s="4"/>
      <c r="J458" s="4"/>
      <c r="K458" s="4"/>
      <c r="L458" s="4"/>
      <c r="M458" s="4"/>
      <c r="N458" s="4"/>
      <c r="O458" s="4"/>
      <c r="P458" s="4"/>
      <c r="Q458" s="4"/>
      <c r="R458" s="4"/>
      <c r="S458" s="19"/>
    </row>
    <row r="459" spans="1:19" ht="17.399999999999999" x14ac:dyDescent="0.25">
      <c r="A459" s="4"/>
      <c r="B459" s="19"/>
      <c r="C459" s="4"/>
      <c r="D459" s="4"/>
      <c r="E459" s="5"/>
      <c r="F459" s="4"/>
      <c r="G459" s="4"/>
      <c r="H459" s="4"/>
      <c r="I459" s="4"/>
      <c r="J459" s="4"/>
      <c r="K459" s="4"/>
      <c r="L459" s="4"/>
      <c r="M459" s="4"/>
      <c r="N459" s="4"/>
      <c r="O459" s="4"/>
      <c r="P459" s="4"/>
      <c r="Q459" s="4"/>
      <c r="R459" s="4"/>
      <c r="S459" s="19"/>
    </row>
    <row r="460" spans="1:19" ht="17.399999999999999" x14ac:dyDescent="0.25">
      <c r="A460" s="4"/>
      <c r="B460" s="19"/>
      <c r="C460" s="4"/>
      <c r="D460" s="4"/>
      <c r="E460" s="5"/>
      <c r="F460" s="4"/>
      <c r="G460" s="4"/>
      <c r="H460" s="4"/>
      <c r="I460" s="4"/>
      <c r="J460" s="4"/>
      <c r="K460" s="4"/>
      <c r="L460" s="4"/>
      <c r="M460" s="4"/>
      <c r="N460" s="4"/>
      <c r="O460" s="4"/>
      <c r="P460" s="4"/>
      <c r="Q460" s="4"/>
      <c r="R460" s="4"/>
      <c r="S460" s="19"/>
    </row>
    <row r="461" spans="1:19" ht="17.399999999999999" x14ac:dyDescent="0.25">
      <c r="A461" s="4"/>
      <c r="B461" s="19"/>
      <c r="C461" s="4"/>
      <c r="D461" s="4"/>
      <c r="E461" s="5"/>
      <c r="F461" s="4"/>
      <c r="G461" s="4"/>
      <c r="H461" s="4"/>
      <c r="I461" s="4"/>
      <c r="J461" s="4"/>
      <c r="K461" s="4"/>
      <c r="L461" s="4"/>
      <c r="M461" s="4"/>
      <c r="N461" s="4"/>
      <c r="O461" s="4"/>
      <c r="P461" s="4"/>
      <c r="Q461" s="4"/>
      <c r="R461" s="4"/>
      <c r="S461" s="19"/>
    </row>
    <row r="462" spans="1:19" ht="17.399999999999999" x14ac:dyDescent="0.25">
      <c r="A462" s="4"/>
      <c r="B462" s="19"/>
      <c r="C462" s="4"/>
      <c r="D462" s="4"/>
      <c r="E462" s="5"/>
      <c r="F462" s="4"/>
      <c r="G462" s="4"/>
      <c r="H462" s="4"/>
      <c r="I462" s="4"/>
      <c r="J462" s="4"/>
      <c r="K462" s="4"/>
      <c r="L462" s="4"/>
      <c r="M462" s="4"/>
      <c r="N462" s="4"/>
      <c r="O462" s="4"/>
      <c r="P462" s="4"/>
      <c r="Q462" s="4"/>
      <c r="R462" s="4"/>
      <c r="S462" s="19"/>
    </row>
    <row r="463" spans="1:19" ht="17.399999999999999" x14ac:dyDescent="0.25">
      <c r="A463" s="4"/>
      <c r="B463" s="19"/>
      <c r="C463" s="4"/>
      <c r="D463" s="4"/>
      <c r="E463" s="5"/>
      <c r="F463" s="4"/>
      <c r="G463" s="4"/>
      <c r="H463" s="4"/>
      <c r="I463" s="4"/>
      <c r="J463" s="4"/>
      <c r="K463" s="4"/>
      <c r="L463" s="4"/>
      <c r="M463" s="4"/>
      <c r="N463" s="4"/>
      <c r="O463" s="4"/>
      <c r="P463" s="4"/>
      <c r="Q463" s="4"/>
      <c r="R463" s="4"/>
      <c r="S463" s="19"/>
    </row>
    <row r="464" spans="1:19" ht="17.399999999999999" x14ac:dyDescent="0.25">
      <c r="A464" s="4"/>
      <c r="B464" s="19"/>
      <c r="C464" s="4"/>
      <c r="D464" s="4"/>
      <c r="E464" s="5"/>
      <c r="F464" s="4"/>
      <c r="G464" s="4"/>
      <c r="H464" s="4"/>
      <c r="I464" s="4"/>
      <c r="J464" s="4"/>
      <c r="K464" s="4"/>
      <c r="L464" s="4"/>
      <c r="M464" s="4"/>
      <c r="N464" s="4"/>
      <c r="O464" s="4"/>
      <c r="P464" s="4"/>
      <c r="Q464" s="4"/>
      <c r="R464" s="4"/>
      <c r="S464" s="19"/>
    </row>
    <row r="465" spans="1:19" ht="17.399999999999999" x14ac:dyDescent="0.25">
      <c r="A465" s="4"/>
      <c r="B465" s="19"/>
      <c r="C465" s="4"/>
      <c r="D465" s="4"/>
      <c r="E465" s="5"/>
      <c r="F465" s="4"/>
      <c r="G465" s="4"/>
      <c r="H465" s="4"/>
      <c r="I465" s="4"/>
      <c r="J465" s="4"/>
      <c r="K465" s="4"/>
      <c r="L465" s="4"/>
      <c r="M465" s="4"/>
      <c r="N465" s="4"/>
      <c r="O465" s="4"/>
      <c r="P465" s="4"/>
      <c r="Q465" s="4"/>
      <c r="R465" s="4"/>
      <c r="S465" s="19"/>
    </row>
    <row r="466" spans="1:19" ht="17.399999999999999" x14ac:dyDescent="0.25">
      <c r="A466" s="4"/>
      <c r="B466" s="19"/>
      <c r="C466" s="4"/>
      <c r="D466" s="4"/>
      <c r="E466" s="5"/>
      <c r="F466" s="4"/>
      <c r="G466" s="4"/>
      <c r="H466" s="4"/>
      <c r="I466" s="4"/>
      <c r="J466" s="4"/>
      <c r="K466" s="4"/>
      <c r="L466" s="4"/>
      <c r="M466" s="4"/>
      <c r="N466" s="4"/>
      <c r="O466" s="4"/>
      <c r="P466" s="4"/>
      <c r="Q466" s="4"/>
      <c r="R466" s="4"/>
      <c r="S466" s="19"/>
    </row>
    <row r="467" spans="1:19" ht="17.399999999999999" x14ac:dyDescent="0.25">
      <c r="A467" s="4"/>
      <c r="B467" s="19"/>
      <c r="C467" s="4"/>
      <c r="D467" s="4"/>
      <c r="E467" s="5"/>
      <c r="F467" s="4"/>
      <c r="G467" s="4"/>
      <c r="H467" s="4"/>
      <c r="I467" s="4"/>
      <c r="J467" s="4"/>
      <c r="K467" s="4"/>
      <c r="L467" s="4"/>
      <c r="M467" s="4"/>
      <c r="N467" s="4"/>
      <c r="O467" s="4"/>
      <c r="P467" s="4"/>
      <c r="Q467" s="4"/>
      <c r="R467" s="4"/>
      <c r="S467" s="19"/>
    </row>
    <row r="468" spans="1:19" ht="17.399999999999999" x14ac:dyDescent="0.25">
      <c r="A468" s="4"/>
      <c r="B468" s="19"/>
      <c r="C468" s="4"/>
      <c r="D468" s="4"/>
      <c r="E468" s="5"/>
      <c r="F468" s="4"/>
      <c r="G468" s="4"/>
      <c r="H468" s="4"/>
      <c r="I468" s="4"/>
      <c r="J468" s="4"/>
      <c r="K468" s="4"/>
      <c r="L468" s="4"/>
      <c r="M468" s="4"/>
      <c r="N468" s="4"/>
      <c r="O468" s="4"/>
      <c r="P468" s="4"/>
      <c r="Q468" s="4"/>
      <c r="R468" s="4"/>
      <c r="S468" s="19"/>
    </row>
    <row r="469" spans="1:19" ht="17.399999999999999" x14ac:dyDescent="0.25">
      <c r="A469" s="4"/>
      <c r="B469" s="19"/>
      <c r="C469" s="4"/>
      <c r="D469" s="4"/>
      <c r="E469" s="5"/>
      <c r="F469" s="4"/>
      <c r="G469" s="4"/>
      <c r="H469" s="4"/>
      <c r="I469" s="4"/>
      <c r="J469" s="4"/>
      <c r="K469" s="4"/>
      <c r="L469" s="4"/>
      <c r="M469" s="4"/>
      <c r="N469" s="4"/>
      <c r="O469" s="4"/>
      <c r="P469" s="4"/>
      <c r="Q469" s="4"/>
      <c r="R469" s="4"/>
      <c r="S469" s="19"/>
    </row>
    <row r="470" spans="1:19" ht="17.399999999999999" x14ac:dyDescent="0.25">
      <c r="A470" s="4"/>
      <c r="B470" s="19"/>
      <c r="C470" s="4"/>
      <c r="D470" s="4"/>
      <c r="E470" s="5"/>
      <c r="F470" s="4"/>
      <c r="G470" s="4"/>
      <c r="H470" s="4"/>
      <c r="I470" s="4"/>
      <c r="J470" s="4"/>
      <c r="K470" s="4"/>
      <c r="L470" s="4"/>
      <c r="M470" s="4"/>
      <c r="N470" s="4"/>
      <c r="O470" s="4"/>
      <c r="P470" s="4"/>
      <c r="Q470" s="4"/>
      <c r="R470" s="4"/>
      <c r="S470" s="19"/>
    </row>
    <row r="471" spans="1:19" ht="17.399999999999999" x14ac:dyDescent="0.25">
      <c r="A471" s="4"/>
      <c r="B471" s="19"/>
      <c r="C471" s="4"/>
      <c r="D471" s="4"/>
      <c r="E471" s="5"/>
      <c r="F471" s="4"/>
      <c r="G471" s="4"/>
      <c r="H471" s="4"/>
      <c r="I471" s="4"/>
      <c r="J471" s="4"/>
      <c r="K471" s="4"/>
      <c r="L471" s="4"/>
      <c r="M471" s="4"/>
      <c r="N471" s="4"/>
      <c r="O471" s="4"/>
      <c r="P471" s="4"/>
      <c r="Q471" s="4"/>
      <c r="R471" s="4"/>
      <c r="S471" s="19"/>
    </row>
    <row r="472" spans="1:19" ht="17.399999999999999" x14ac:dyDescent="0.25">
      <c r="A472" s="4"/>
      <c r="B472" s="19"/>
      <c r="C472" s="4"/>
      <c r="D472" s="4"/>
      <c r="E472" s="5"/>
      <c r="F472" s="4"/>
      <c r="G472" s="4"/>
      <c r="H472" s="4"/>
      <c r="I472" s="4"/>
      <c r="J472" s="4"/>
      <c r="K472" s="4"/>
      <c r="L472" s="4"/>
      <c r="M472" s="4"/>
      <c r="N472" s="4"/>
      <c r="O472" s="4"/>
      <c r="P472" s="4"/>
      <c r="Q472" s="4"/>
      <c r="R472" s="4"/>
      <c r="S472" s="19"/>
    </row>
    <row r="473" spans="1:19" ht="17.399999999999999" x14ac:dyDescent="0.25">
      <c r="A473" s="4"/>
      <c r="B473" s="19"/>
      <c r="C473" s="4"/>
      <c r="D473" s="4"/>
      <c r="E473" s="5"/>
      <c r="F473" s="4"/>
      <c r="G473" s="4"/>
      <c r="H473" s="4"/>
      <c r="I473" s="4"/>
      <c r="J473" s="4"/>
      <c r="K473" s="4"/>
      <c r="L473" s="4"/>
      <c r="M473" s="4"/>
      <c r="N473" s="4"/>
      <c r="O473" s="4"/>
      <c r="P473" s="4"/>
      <c r="Q473" s="4"/>
      <c r="R473" s="4"/>
      <c r="S473" s="19"/>
    </row>
    <row r="474" spans="1:19" ht="17.399999999999999" x14ac:dyDescent="0.25">
      <c r="A474" s="4"/>
      <c r="B474" s="19"/>
      <c r="C474" s="4"/>
      <c r="D474" s="4"/>
      <c r="E474" s="5"/>
      <c r="F474" s="4"/>
      <c r="G474" s="4"/>
      <c r="H474" s="4"/>
      <c r="I474" s="4"/>
      <c r="J474" s="4"/>
      <c r="K474" s="4"/>
      <c r="L474" s="4"/>
      <c r="M474" s="4"/>
      <c r="N474" s="4"/>
      <c r="O474" s="4"/>
      <c r="P474" s="4"/>
      <c r="Q474" s="4"/>
      <c r="R474" s="4"/>
      <c r="S474" s="19"/>
    </row>
    <row r="475" spans="1:19" ht="17.399999999999999" x14ac:dyDescent="0.25">
      <c r="A475" s="4"/>
      <c r="B475" s="19"/>
      <c r="C475" s="4"/>
      <c r="D475" s="4"/>
      <c r="E475" s="5"/>
      <c r="F475" s="4"/>
      <c r="G475" s="4"/>
      <c r="H475" s="4"/>
      <c r="I475" s="4"/>
      <c r="J475" s="4"/>
      <c r="K475" s="4"/>
      <c r="L475" s="4"/>
      <c r="M475" s="4"/>
      <c r="N475" s="4"/>
      <c r="O475" s="4"/>
      <c r="P475" s="4"/>
      <c r="Q475" s="4"/>
      <c r="R475" s="4"/>
      <c r="S475" s="19"/>
    </row>
    <row r="476" spans="1:19" ht="17.399999999999999" x14ac:dyDescent="0.25">
      <c r="A476" s="4"/>
      <c r="B476" s="19"/>
      <c r="C476" s="4"/>
      <c r="D476" s="4"/>
      <c r="E476" s="5"/>
      <c r="F476" s="4"/>
      <c r="G476" s="4"/>
      <c r="H476" s="4"/>
      <c r="I476" s="4"/>
      <c r="J476" s="4"/>
      <c r="K476" s="4"/>
      <c r="L476" s="4"/>
      <c r="M476" s="4"/>
      <c r="N476" s="4"/>
      <c r="O476" s="4"/>
      <c r="P476" s="4"/>
      <c r="Q476" s="4"/>
      <c r="R476" s="4"/>
      <c r="S476" s="19"/>
    </row>
    <row r="477" spans="1:19" ht="17.399999999999999" x14ac:dyDescent="0.25">
      <c r="A477" s="4"/>
      <c r="B477" s="19"/>
      <c r="C477" s="4"/>
      <c r="D477" s="4"/>
      <c r="E477" s="5"/>
      <c r="F477" s="4"/>
      <c r="G477" s="4"/>
      <c r="H477" s="4"/>
      <c r="I477" s="4"/>
      <c r="J477" s="4"/>
      <c r="K477" s="4"/>
      <c r="L477" s="4"/>
      <c r="M477" s="4"/>
      <c r="N477" s="4"/>
      <c r="O477" s="4"/>
      <c r="P477" s="4"/>
      <c r="Q477" s="4"/>
      <c r="R477" s="4"/>
      <c r="S477" s="19"/>
    </row>
    <row r="478" spans="1:19" ht="17.399999999999999" x14ac:dyDescent="0.25">
      <c r="A478" s="4"/>
      <c r="B478" s="19"/>
      <c r="C478" s="4"/>
      <c r="D478" s="4"/>
      <c r="E478" s="5"/>
      <c r="F478" s="4"/>
      <c r="G478" s="4"/>
      <c r="H478" s="4"/>
      <c r="I478" s="4"/>
      <c r="J478" s="4"/>
      <c r="K478" s="4"/>
      <c r="L478" s="4"/>
      <c r="M478" s="4"/>
      <c r="N478" s="4"/>
      <c r="O478" s="4"/>
      <c r="P478" s="4"/>
      <c r="Q478" s="4"/>
      <c r="R478" s="4"/>
      <c r="S478" s="19"/>
    </row>
    <row r="479" spans="1:19" ht="17.399999999999999" x14ac:dyDescent="0.25">
      <c r="A479" s="4"/>
      <c r="B479" s="19"/>
      <c r="C479" s="4"/>
      <c r="D479" s="4"/>
      <c r="E479" s="5"/>
      <c r="F479" s="4"/>
      <c r="G479" s="4"/>
      <c r="H479" s="4"/>
      <c r="I479" s="4"/>
      <c r="J479" s="4"/>
      <c r="K479" s="4"/>
      <c r="L479" s="4"/>
      <c r="M479" s="4"/>
      <c r="N479" s="4"/>
      <c r="O479" s="4"/>
      <c r="P479" s="4"/>
      <c r="Q479" s="4"/>
      <c r="R479" s="4"/>
      <c r="S479" s="19"/>
    </row>
    <row r="480" spans="1:19" ht="17.399999999999999" x14ac:dyDescent="0.25">
      <c r="A480" s="4"/>
      <c r="B480" s="19"/>
      <c r="C480" s="4"/>
      <c r="D480" s="4"/>
      <c r="E480" s="5"/>
      <c r="F480" s="4"/>
      <c r="G480" s="4"/>
      <c r="H480" s="4"/>
      <c r="I480" s="4"/>
      <c r="J480" s="4"/>
      <c r="K480" s="4"/>
      <c r="L480" s="4"/>
      <c r="M480" s="4"/>
      <c r="N480" s="4"/>
      <c r="O480" s="4"/>
      <c r="P480" s="4"/>
      <c r="Q480" s="4"/>
      <c r="R480" s="4"/>
      <c r="S480" s="19"/>
    </row>
    <row r="481" spans="1:19" ht="17.399999999999999" x14ac:dyDescent="0.25">
      <c r="A481" s="4"/>
      <c r="B481" s="19"/>
      <c r="C481" s="4"/>
      <c r="D481" s="4"/>
      <c r="E481" s="5"/>
      <c r="F481" s="4"/>
      <c r="G481" s="4"/>
      <c r="H481" s="4"/>
      <c r="I481" s="4"/>
      <c r="J481" s="4"/>
      <c r="K481" s="4"/>
      <c r="L481" s="4"/>
      <c r="M481" s="4"/>
      <c r="N481" s="4"/>
      <c r="O481" s="4"/>
      <c r="P481" s="4"/>
      <c r="Q481" s="4"/>
      <c r="R481" s="4"/>
      <c r="S481" s="19"/>
    </row>
    <row r="482" spans="1:19" ht="17.399999999999999" x14ac:dyDescent="0.25">
      <c r="A482" s="4"/>
      <c r="B482" s="19"/>
      <c r="C482" s="4"/>
      <c r="D482" s="4"/>
      <c r="E482" s="5"/>
      <c r="F482" s="4"/>
      <c r="G482" s="4"/>
      <c r="H482" s="4"/>
      <c r="I482" s="4"/>
      <c r="J482" s="4"/>
      <c r="K482" s="4"/>
      <c r="L482" s="4"/>
      <c r="M482" s="4"/>
      <c r="N482" s="4"/>
      <c r="O482" s="4"/>
      <c r="P482" s="4"/>
      <c r="Q482" s="4"/>
      <c r="R482" s="4"/>
      <c r="S482" s="19"/>
    </row>
    <row r="483" spans="1:19" ht="17.399999999999999" x14ac:dyDescent="0.25">
      <c r="A483" s="4"/>
      <c r="B483" s="19"/>
      <c r="C483" s="4"/>
      <c r="D483" s="4"/>
      <c r="E483" s="5"/>
      <c r="F483" s="4"/>
      <c r="G483" s="4"/>
      <c r="H483" s="4"/>
      <c r="I483" s="4"/>
      <c r="J483" s="4"/>
      <c r="K483" s="4"/>
      <c r="L483" s="4"/>
      <c r="M483" s="4"/>
      <c r="N483" s="4"/>
      <c r="O483" s="4"/>
      <c r="P483" s="4"/>
      <c r="Q483" s="4"/>
      <c r="R483" s="4"/>
      <c r="S483" s="19"/>
    </row>
    <row r="484" spans="1:19" ht="17.399999999999999" x14ac:dyDescent="0.25">
      <c r="A484" s="4"/>
      <c r="B484" s="19"/>
      <c r="C484" s="4"/>
      <c r="D484" s="4"/>
      <c r="E484" s="5"/>
      <c r="F484" s="4"/>
      <c r="G484" s="4"/>
      <c r="H484" s="4"/>
      <c r="I484" s="4"/>
      <c r="J484" s="4"/>
      <c r="K484" s="4"/>
      <c r="L484" s="4"/>
      <c r="M484" s="4"/>
      <c r="N484" s="4"/>
      <c r="O484" s="4"/>
      <c r="P484" s="4"/>
      <c r="Q484" s="4"/>
      <c r="R484" s="4"/>
      <c r="S484" s="19"/>
    </row>
    <row r="485" spans="1:19" ht="17.399999999999999" x14ac:dyDescent="0.25">
      <c r="A485" s="4"/>
      <c r="B485" s="19"/>
      <c r="C485" s="4"/>
      <c r="D485" s="4"/>
      <c r="E485" s="5"/>
      <c r="F485" s="4"/>
      <c r="G485" s="4"/>
      <c r="H485" s="4"/>
      <c r="I485" s="4"/>
      <c r="J485" s="4"/>
      <c r="K485" s="4"/>
      <c r="L485" s="4"/>
      <c r="M485" s="4"/>
      <c r="N485" s="4"/>
      <c r="O485" s="4"/>
      <c r="P485" s="4"/>
      <c r="Q485" s="4"/>
      <c r="R485" s="4"/>
      <c r="S485" s="19"/>
    </row>
    <row r="486" spans="1:19" ht="17.399999999999999" x14ac:dyDescent="0.25">
      <c r="A486" s="4"/>
      <c r="B486" s="19"/>
      <c r="C486" s="4"/>
      <c r="D486" s="4"/>
      <c r="E486" s="5"/>
      <c r="F486" s="4"/>
      <c r="G486" s="4"/>
      <c r="H486" s="4"/>
      <c r="I486" s="4"/>
      <c r="J486" s="4"/>
      <c r="K486" s="4"/>
      <c r="L486" s="4"/>
      <c r="M486" s="4"/>
      <c r="N486" s="4"/>
      <c r="O486" s="4"/>
      <c r="P486" s="4"/>
      <c r="Q486" s="4"/>
      <c r="R486" s="4"/>
      <c r="S486" s="19"/>
    </row>
    <row r="487" spans="1:19" ht="17.399999999999999" x14ac:dyDescent="0.25">
      <c r="A487" s="4"/>
      <c r="B487" s="19"/>
      <c r="C487" s="4"/>
      <c r="D487" s="4"/>
      <c r="E487" s="5"/>
      <c r="F487" s="4"/>
      <c r="G487" s="4"/>
      <c r="H487" s="4"/>
      <c r="I487" s="4"/>
      <c r="J487" s="4"/>
      <c r="K487" s="4"/>
      <c r="L487" s="4"/>
      <c r="M487" s="4"/>
      <c r="N487" s="4"/>
      <c r="O487" s="4"/>
      <c r="P487" s="4"/>
      <c r="Q487" s="4"/>
      <c r="R487" s="4"/>
      <c r="S487" s="19"/>
    </row>
    <row r="488" spans="1:19" ht="17.399999999999999" x14ac:dyDescent="0.25">
      <c r="A488" s="4"/>
      <c r="B488" s="19"/>
      <c r="C488" s="4"/>
      <c r="D488" s="4"/>
      <c r="E488" s="5"/>
      <c r="F488" s="4"/>
      <c r="G488" s="4"/>
      <c r="H488" s="4"/>
      <c r="I488" s="4"/>
      <c r="J488" s="4"/>
      <c r="K488" s="4"/>
      <c r="L488" s="4"/>
      <c r="M488" s="4"/>
      <c r="N488" s="4"/>
      <c r="O488" s="4"/>
      <c r="P488" s="4"/>
      <c r="Q488" s="4"/>
      <c r="R488" s="4"/>
      <c r="S488" s="19"/>
    </row>
    <row r="489" spans="1:19" ht="17.399999999999999" x14ac:dyDescent="0.25">
      <c r="A489" s="4"/>
      <c r="B489" s="19"/>
      <c r="C489" s="4"/>
      <c r="D489" s="4"/>
      <c r="E489" s="5"/>
      <c r="F489" s="4"/>
      <c r="G489" s="4"/>
      <c r="H489" s="4"/>
      <c r="I489" s="4"/>
      <c r="J489" s="4"/>
      <c r="K489" s="4"/>
      <c r="L489" s="4"/>
      <c r="M489" s="4"/>
      <c r="N489" s="4"/>
      <c r="O489" s="4"/>
      <c r="P489" s="4"/>
      <c r="Q489" s="4"/>
      <c r="R489" s="4"/>
      <c r="S489" s="19"/>
    </row>
    <row r="490" spans="1:19" ht="17.399999999999999" x14ac:dyDescent="0.25">
      <c r="A490" s="4"/>
      <c r="B490" s="19"/>
      <c r="C490" s="4"/>
      <c r="D490" s="4"/>
      <c r="E490" s="5"/>
      <c r="F490" s="4"/>
      <c r="G490" s="4"/>
      <c r="H490" s="4"/>
      <c r="I490" s="4"/>
      <c r="J490" s="4"/>
      <c r="K490" s="4"/>
      <c r="L490" s="4"/>
      <c r="M490" s="4"/>
      <c r="N490" s="4"/>
      <c r="O490" s="4"/>
      <c r="P490" s="4"/>
      <c r="Q490" s="4"/>
      <c r="R490" s="4"/>
      <c r="S490" s="19"/>
    </row>
    <row r="491" spans="1:19" ht="17.399999999999999" x14ac:dyDescent="0.25">
      <c r="A491" s="4"/>
      <c r="B491" s="19"/>
      <c r="C491" s="4"/>
      <c r="D491" s="4"/>
      <c r="E491" s="5"/>
      <c r="F491" s="4"/>
      <c r="G491" s="4"/>
      <c r="H491" s="4"/>
      <c r="I491" s="4"/>
      <c r="J491" s="4"/>
      <c r="K491" s="4"/>
      <c r="L491" s="4"/>
      <c r="M491" s="4"/>
      <c r="N491" s="4"/>
      <c r="O491" s="4"/>
      <c r="P491" s="4"/>
      <c r="Q491" s="4"/>
      <c r="R491" s="4"/>
      <c r="S491" s="19"/>
    </row>
    <row r="492" spans="1:19" ht="17.399999999999999" x14ac:dyDescent="0.25">
      <c r="A492" s="4"/>
      <c r="B492" s="19"/>
      <c r="C492" s="4"/>
      <c r="D492" s="4"/>
      <c r="E492" s="5"/>
      <c r="F492" s="4"/>
      <c r="G492" s="4"/>
      <c r="H492" s="4"/>
      <c r="I492" s="4"/>
      <c r="J492" s="4"/>
      <c r="K492" s="4"/>
      <c r="L492" s="4"/>
      <c r="M492" s="4"/>
      <c r="N492" s="4"/>
      <c r="O492" s="4"/>
      <c r="P492" s="4"/>
      <c r="Q492" s="4"/>
      <c r="R492" s="4"/>
      <c r="S492" s="19"/>
    </row>
    <row r="493" spans="1:19" ht="17.399999999999999" x14ac:dyDescent="0.25">
      <c r="A493" s="4"/>
      <c r="B493" s="19"/>
      <c r="C493" s="4"/>
      <c r="D493" s="4"/>
      <c r="E493" s="5"/>
      <c r="F493" s="4"/>
      <c r="G493" s="4"/>
      <c r="H493" s="4"/>
      <c r="I493" s="4"/>
      <c r="J493" s="4"/>
      <c r="K493" s="4"/>
      <c r="L493" s="4"/>
      <c r="M493" s="4"/>
      <c r="N493" s="4"/>
      <c r="O493" s="4"/>
      <c r="P493" s="4"/>
      <c r="Q493" s="4"/>
      <c r="R493" s="4"/>
      <c r="S493" s="19"/>
    </row>
    <row r="494" spans="1:19" ht="17.399999999999999" x14ac:dyDescent="0.25">
      <c r="A494" s="4"/>
      <c r="B494" s="19"/>
      <c r="C494" s="4"/>
      <c r="D494" s="4"/>
      <c r="E494" s="5"/>
      <c r="F494" s="4"/>
      <c r="G494" s="4"/>
      <c r="H494" s="4"/>
      <c r="I494" s="4"/>
      <c r="J494" s="4"/>
      <c r="K494" s="4"/>
      <c r="L494" s="4"/>
      <c r="M494" s="4"/>
      <c r="N494" s="4"/>
      <c r="O494" s="4"/>
      <c r="P494" s="4"/>
      <c r="Q494" s="4"/>
      <c r="R494" s="4"/>
      <c r="S494" s="19"/>
    </row>
    <row r="495" spans="1:19" ht="17.399999999999999" x14ac:dyDescent="0.25">
      <c r="A495" s="4"/>
      <c r="B495" s="19"/>
      <c r="C495" s="4"/>
      <c r="D495" s="4"/>
      <c r="E495" s="5"/>
      <c r="F495" s="4"/>
      <c r="G495" s="4"/>
      <c r="H495" s="4"/>
      <c r="I495" s="4"/>
      <c r="J495" s="4"/>
      <c r="K495" s="4"/>
      <c r="L495" s="4"/>
      <c r="M495" s="4"/>
      <c r="N495" s="4"/>
      <c r="O495" s="4"/>
      <c r="P495" s="4"/>
      <c r="Q495" s="4"/>
      <c r="R495" s="4"/>
      <c r="S495" s="19"/>
    </row>
    <row r="496" spans="1:19" ht="17.399999999999999" x14ac:dyDescent="0.25">
      <c r="A496" s="4"/>
      <c r="B496" s="19"/>
      <c r="C496" s="4"/>
      <c r="D496" s="4"/>
      <c r="E496" s="5"/>
      <c r="F496" s="4"/>
      <c r="G496" s="4"/>
      <c r="H496" s="4"/>
      <c r="I496" s="4"/>
      <c r="J496" s="4"/>
      <c r="K496" s="4"/>
      <c r="L496" s="4"/>
      <c r="M496" s="4"/>
      <c r="N496" s="4"/>
      <c r="O496" s="4"/>
      <c r="P496" s="4"/>
      <c r="Q496" s="4"/>
      <c r="R496" s="4"/>
      <c r="S496" s="19"/>
    </row>
    <row r="497" spans="1:19" ht="17.399999999999999" x14ac:dyDescent="0.25">
      <c r="A497" s="4"/>
      <c r="B497" s="19"/>
      <c r="C497" s="4"/>
      <c r="D497" s="4"/>
      <c r="E497" s="5"/>
      <c r="F497" s="4"/>
      <c r="G497" s="4"/>
      <c r="H497" s="4"/>
      <c r="I497" s="4"/>
      <c r="J497" s="4"/>
      <c r="K497" s="4"/>
      <c r="L497" s="4"/>
      <c r="M497" s="4"/>
      <c r="N497" s="4"/>
      <c r="O497" s="4"/>
      <c r="P497" s="4"/>
      <c r="Q497" s="4"/>
      <c r="R497" s="4"/>
      <c r="S497" s="19"/>
    </row>
    <row r="498" spans="1:19" ht="17.399999999999999" x14ac:dyDescent="0.25">
      <c r="A498" s="4"/>
      <c r="B498" s="19"/>
      <c r="C498" s="4"/>
      <c r="D498" s="4"/>
      <c r="E498" s="5"/>
      <c r="F498" s="4"/>
      <c r="G498" s="4"/>
      <c r="H498" s="4"/>
      <c r="I498" s="4"/>
      <c r="J498" s="4"/>
      <c r="K498" s="4"/>
      <c r="L498" s="4"/>
      <c r="M498" s="4"/>
      <c r="N498" s="4"/>
      <c r="O498" s="4"/>
      <c r="P498" s="4"/>
      <c r="Q498" s="4"/>
      <c r="R498" s="4"/>
      <c r="S498" s="19"/>
    </row>
    <row r="499" spans="1:19" ht="17.399999999999999" x14ac:dyDescent="0.25">
      <c r="A499" s="4"/>
      <c r="B499" s="19"/>
      <c r="C499" s="4"/>
      <c r="D499" s="4"/>
      <c r="E499" s="5"/>
      <c r="F499" s="4"/>
      <c r="G499" s="4"/>
      <c r="H499" s="4"/>
      <c r="I499" s="4"/>
      <c r="J499" s="4"/>
      <c r="K499" s="4"/>
      <c r="L499" s="4"/>
      <c r="M499" s="4"/>
      <c r="N499" s="4"/>
      <c r="O499" s="4"/>
      <c r="P499" s="4"/>
      <c r="Q499" s="4"/>
      <c r="R499" s="4"/>
      <c r="S499" s="19"/>
    </row>
    <row r="500" spans="1:19" ht="17.399999999999999" x14ac:dyDescent="0.25">
      <c r="A500" s="4"/>
      <c r="B500" s="19"/>
      <c r="C500" s="4"/>
      <c r="D500" s="4"/>
      <c r="E500" s="5"/>
      <c r="F500" s="4"/>
      <c r="G500" s="4"/>
      <c r="H500" s="4"/>
      <c r="I500" s="4"/>
      <c r="J500" s="4"/>
      <c r="K500" s="4"/>
      <c r="L500" s="4"/>
      <c r="M500" s="4"/>
      <c r="N500" s="4"/>
      <c r="O500" s="4"/>
      <c r="P500" s="4"/>
      <c r="Q500" s="4"/>
      <c r="R500" s="4"/>
      <c r="S500" s="19"/>
    </row>
    <row r="501" spans="1:19" ht="17.399999999999999" x14ac:dyDescent="0.25">
      <c r="A501" s="4"/>
      <c r="B501" s="19"/>
      <c r="C501" s="4"/>
      <c r="D501" s="4"/>
      <c r="E501" s="5"/>
      <c r="F501" s="4"/>
      <c r="G501" s="4"/>
      <c r="H501" s="4"/>
      <c r="I501" s="4"/>
      <c r="J501" s="4"/>
      <c r="K501" s="4"/>
      <c r="L501" s="4"/>
      <c r="M501" s="4"/>
      <c r="N501" s="4"/>
      <c r="O501" s="4"/>
      <c r="P501" s="4"/>
      <c r="Q501" s="4"/>
      <c r="R501" s="4"/>
      <c r="S501" s="19"/>
    </row>
    <row r="502" spans="1:19" ht="17.399999999999999" x14ac:dyDescent="0.25">
      <c r="A502" s="4"/>
      <c r="B502" s="19"/>
      <c r="C502" s="4"/>
      <c r="D502" s="4"/>
      <c r="E502" s="5"/>
      <c r="F502" s="4"/>
      <c r="G502" s="4"/>
      <c r="H502" s="4"/>
      <c r="I502" s="4"/>
      <c r="J502" s="4"/>
      <c r="K502" s="4"/>
      <c r="L502" s="4"/>
      <c r="M502" s="4"/>
      <c r="N502" s="4"/>
      <c r="O502" s="4"/>
      <c r="P502" s="4"/>
      <c r="Q502" s="4"/>
      <c r="R502" s="4"/>
      <c r="S502" s="19"/>
    </row>
    <row r="503" spans="1:19" ht="17.399999999999999" x14ac:dyDescent="0.25">
      <c r="A503" s="4"/>
      <c r="B503" s="19"/>
      <c r="C503" s="4"/>
      <c r="D503" s="4"/>
      <c r="E503" s="5"/>
      <c r="F503" s="4"/>
      <c r="G503" s="4"/>
      <c r="H503" s="4"/>
      <c r="I503" s="4"/>
      <c r="J503" s="4"/>
      <c r="K503" s="4"/>
      <c r="L503" s="4"/>
      <c r="M503" s="4"/>
      <c r="N503" s="4"/>
      <c r="O503" s="4"/>
      <c r="P503" s="4"/>
      <c r="Q503" s="4"/>
      <c r="R503" s="4"/>
      <c r="S503" s="19"/>
    </row>
    <row r="504" spans="1:19" ht="17.399999999999999" x14ac:dyDescent="0.25">
      <c r="A504" s="4"/>
      <c r="B504" s="19"/>
      <c r="C504" s="4"/>
      <c r="D504" s="4"/>
      <c r="E504" s="5"/>
      <c r="F504" s="4"/>
      <c r="G504" s="4"/>
      <c r="H504" s="4"/>
      <c r="I504" s="4"/>
      <c r="J504" s="4"/>
      <c r="K504" s="4"/>
      <c r="L504" s="4"/>
      <c r="M504" s="4"/>
      <c r="N504" s="4"/>
      <c r="O504" s="4"/>
      <c r="P504" s="4"/>
      <c r="Q504" s="4"/>
      <c r="R504" s="4"/>
      <c r="S504" s="19"/>
    </row>
    <row r="505" spans="1:19" ht="17.399999999999999" x14ac:dyDescent="0.25">
      <c r="A505" s="4"/>
      <c r="B505" s="19"/>
      <c r="C505" s="4"/>
      <c r="D505" s="4"/>
      <c r="E505" s="5"/>
      <c r="F505" s="4"/>
      <c r="G505" s="4"/>
      <c r="H505" s="4"/>
      <c r="I505" s="4"/>
      <c r="J505" s="4"/>
      <c r="K505" s="4"/>
      <c r="L505" s="4"/>
      <c r="M505" s="4"/>
      <c r="N505" s="4"/>
      <c r="O505" s="4"/>
      <c r="P505" s="4"/>
      <c r="Q505" s="4"/>
      <c r="R505" s="4"/>
      <c r="S505" s="19"/>
    </row>
    <row r="506" spans="1:19" ht="17.399999999999999" x14ac:dyDescent="0.25">
      <c r="A506" s="4"/>
      <c r="B506" s="19"/>
      <c r="C506" s="4"/>
      <c r="D506" s="4"/>
      <c r="E506" s="5"/>
      <c r="F506" s="4"/>
      <c r="G506" s="4"/>
      <c r="H506" s="4"/>
      <c r="I506" s="4"/>
      <c r="J506" s="4"/>
      <c r="K506" s="4"/>
      <c r="L506" s="4"/>
      <c r="M506" s="4"/>
      <c r="N506" s="4"/>
      <c r="O506" s="4"/>
      <c r="P506" s="4"/>
      <c r="Q506" s="4"/>
      <c r="R506" s="4"/>
      <c r="S506" s="19"/>
    </row>
    <row r="507" spans="1:19" ht="17.399999999999999" x14ac:dyDescent="0.25">
      <c r="A507" s="4"/>
      <c r="B507" s="19"/>
      <c r="C507" s="4"/>
      <c r="D507" s="4"/>
      <c r="E507" s="5"/>
      <c r="F507" s="4"/>
      <c r="G507" s="4"/>
      <c r="H507" s="4"/>
      <c r="I507" s="4"/>
      <c r="J507" s="4"/>
      <c r="K507" s="4"/>
      <c r="L507" s="4"/>
      <c r="M507" s="4"/>
      <c r="N507" s="4"/>
      <c r="O507" s="4"/>
      <c r="P507" s="4"/>
      <c r="Q507" s="4"/>
      <c r="R507" s="4"/>
      <c r="S507" s="19"/>
    </row>
    <row r="508" spans="1:19" ht="17.399999999999999" x14ac:dyDescent="0.25">
      <c r="A508" s="4"/>
      <c r="B508" s="19"/>
      <c r="C508" s="4"/>
      <c r="D508" s="4"/>
      <c r="E508" s="5"/>
      <c r="F508" s="4"/>
      <c r="G508" s="4"/>
      <c r="H508" s="4"/>
      <c r="I508" s="4"/>
      <c r="J508" s="4"/>
      <c r="K508" s="4"/>
      <c r="L508" s="4"/>
      <c r="M508" s="4"/>
      <c r="N508" s="4"/>
      <c r="O508" s="4"/>
      <c r="P508" s="4"/>
      <c r="Q508" s="4"/>
      <c r="R508" s="4"/>
      <c r="S508" s="19"/>
    </row>
    <row r="509" spans="1:19" ht="17.399999999999999" x14ac:dyDescent="0.25">
      <c r="A509" s="4"/>
      <c r="B509" s="19"/>
      <c r="C509" s="4"/>
      <c r="D509" s="4"/>
      <c r="E509" s="5"/>
      <c r="F509" s="4"/>
      <c r="G509" s="4"/>
      <c r="H509" s="4"/>
      <c r="I509" s="4"/>
      <c r="J509" s="4"/>
      <c r="K509" s="4"/>
      <c r="L509" s="4"/>
      <c r="M509" s="4"/>
      <c r="N509" s="4"/>
      <c r="O509" s="4"/>
      <c r="P509" s="4"/>
      <c r="Q509" s="4"/>
      <c r="R509" s="4"/>
      <c r="S509" s="19"/>
    </row>
    <row r="510" spans="1:19" ht="17.399999999999999" x14ac:dyDescent="0.25">
      <c r="A510" s="4"/>
      <c r="B510" s="19"/>
      <c r="C510" s="4"/>
      <c r="D510" s="4"/>
      <c r="E510" s="5"/>
      <c r="F510" s="4"/>
      <c r="G510" s="4"/>
      <c r="H510" s="4"/>
      <c r="I510" s="4"/>
      <c r="J510" s="4"/>
      <c r="K510" s="4"/>
      <c r="L510" s="4"/>
      <c r="M510" s="4"/>
      <c r="N510" s="4"/>
      <c r="O510" s="4"/>
      <c r="P510" s="4"/>
      <c r="Q510" s="4"/>
      <c r="R510" s="4"/>
      <c r="S510" s="19"/>
    </row>
    <row r="511" spans="1:19" ht="17.399999999999999" x14ac:dyDescent="0.25">
      <c r="A511" s="4"/>
      <c r="B511" s="19"/>
      <c r="C511" s="4"/>
      <c r="D511" s="4"/>
      <c r="E511" s="5"/>
      <c r="F511" s="4"/>
      <c r="G511" s="4"/>
      <c r="H511" s="4"/>
      <c r="I511" s="4"/>
      <c r="J511" s="4"/>
      <c r="K511" s="4"/>
      <c r="L511" s="4"/>
      <c r="M511" s="4"/>
      <c r="N511" s="4"/>
      <c r="O511" s="4"/>
      <c r="P511" s="4"/>
      <c r="Q511" s="4"/>
      <c r="R511" s="4"/>
      <c r="S511" s="19"/>
    </row>
    <row r="512" spans="1:19" ht="17.399999999999999" x14ac:dyDescent="0.25">
      <c r="A512" s="4"/>
      <c r="B512" s="19"/>
      <c r="C512" s="4"/>
      <c r="D512" s="4"/>
      <c r="E512" s="5"/>
      <c r="F512" s="4"/>
      <c r="G512" s="4"/>
      <c r="H512" s="4"/>
      <c r="I512" s="4"/>
      <c r="J512" s="4"/>
      <c r="K512" s="4"/>
      <c r="L512" s="4"/>
      <c r="M512" s="4"/>
      <c r="N512" s="4"/>
      <c r="O512" s="4"/>
      <c r="P512" s="4"/>
      <c r="Q512" s="4"/>
      <c r="R512" s="4"/>
      <c r="S512" s="19"/>
    </row>
    <row r="513" spans="1:19" ht="17.399999999999999" x14ac:dyDescent="0.25">
      <c r="A513" s="4"/>
      <c r="B513" s="19"/>
      <c r="C513" s="4"/>
      <c r="D513" s="4"/>
      <c r="E513" s="5"/>
      <c r="F513" s="4"/>
      <c r="G513" s="4"/>
      <c r="H513" s="4"/>
      <c r="I513" s="4"/>
      <c r="J513" s="4"/>
      <c r="K513" s="4"/>
      <c r="L513" s="4"/>
      <c r="M513" s="4"/>
      <c r="N513" s="4"/>
      <c r="O513" s="4"/>
      <c r="P513" s="4"/>
      <c r="Q513" s="4"/>
      <c r="R513" s="4"/>
      <c r="S513" s="19"/>
    </row>
    <row r="514" spans="1:19" ht="17.399999999999999" x14ac:dyDescent="0.25">
      <c r="A514" s="4"/>
      <c r="B514" s="19"/>
      <c r="C514" s="4"/>
      <c r="D514" s="4"/>
      <c r="E514" s="5"/>
      <c r="F514" s="4"/>
      <c r="G514" s="4"/>
      <c r="H514" s="4"/>
      <c r="I514" s="4"/>
      <c r="J514" s="4"/>
      <c r="K514" s="4"/>
      <c r="L514" s="4"/>
      <c r="M514" s="4"/>
      <c r="N514" s="4"/>
      <c r="O514" s="4"/>
      <c r="P514" s="4"/>
      <c r="Q514" s="4"/>
      <c r="R514" s="4"/>
      <c r="S514" s="19"/>
    </row>
    <row r="515" spans="1:19" ht="17.399999999999999" x14ac:dyDescent="0.25">
      <c r="A515" s="4"/>
      <c r="B515" s="19"/>
      <c r="C515" s="4"/>
      <c r="D515" s="4"/>
      <c r="E515" s="5"/>
      <c r="F515" s="4"/>
      <c r="G515" s="4"/>
      <c r="H515" s="4"/>
      <c r="I515" s="4"/>
      <c r="J515" s="4"/>
      <c r="K515" s="4"/>
      <c r="L515" s="4"/>
      <c r="M515" s="4"/>
      <c r="N515" s="4"/>
      <c r="O515" s="4"/>
      <c r="P515" s="4"/>
      <c r="Q515" s="4"/>
      <c r="R515" s="4"/>
      <c r="S515" s="19"/>
    </row>
    <row r="516" spans="1:19" ht="17.399999999999999" x14ac:dyDescent="0.25">
      <c r="A516" s="4"/>
      <c r="B516" s="19"/>
      <c r="C516" s="4"/>
      <c r="D516" s="4"/>
      <c r="E516" s="5"/>
      <c r="F516" s="4"/>
      <c r="G516" s="4"/>
      <c r="H516" s="4"/>
      <c r="I516" s="4"/>
      <c r="J516" s="4"/>
      <c r="K516" s="4"/>
      <c r="L516" s="4"/>
      <c r="M516" s="4"/>
      <c r="N516" s="4"/>
      <c r="O516" s="4"/>
      <c r="P516" s="4"/>
      <c r="Q516" s="4"/>
      <c r="R516" s="4"/>
      <c r="S516" s="19"/>
    </row>
    <row r="517" spans="1:19" ht="17.399999999999999" x14ac:dyDescent="0.25">
      <c r="A517" s="4"/>
      <c r="B517" s="19"/>
      <c r="C517" s="4"/>
      <c r="D517" s="4"/>
      <c r="E517" s="5"/>
      <c r="F517" s="4"/>
      <c r="G517" s="4"/>
      <c r="H517" s="4"/>
      <c r="I517" s="4"/>
      <c r="J517" s="4"/>
      <c r="K517" s="4"/>
      <c r="L517" s="4"/>
      <c r="M517" s="4"/>
      <c r="N517" s="4"/>
      <c r="O517" s="4"/>
      <c r="P517" s="4"/>
      <c r="Q517" s="4"/>
      <c r="R517" s="4"/>
      <c r="S517" s="19"/>
    </row>
    <row r="518" spans="1:19" ht="17.399999999999999" x14ac:dyDescent="0.25">
      <c r="A518" s="4"/>
      <c r="B518" s="19"/>
      <c r="C518" s="4"/>
      <c r="D518" s="4"/>
      <c r="E518" s="5"/>
      <c r="F518" s="4"/>
      <c r="G518" s="4"/>
      <c r="H518" s="4"/>
      <c r="I518" s="4"/>
      <c r="J518" s="4"/>
      <c r="K518" s="4"/>
      <c r="L518" s="4"/>
      <c r="M518" s="4"/>
      <c r="N518" s="4"/>
      <c r="O518" s="4"/>
      <c r="P518" s="4"/>
      <c r="Q518" s="4"/>
      <c r="R518" s="4"/>
      <c r="S518" s="19"/>
    </row>
    <row r="519" spans="1:19" ht="17.399999999999999" x14ac:dyDescent="0.25">
      <c r="A519" s="4"/>
      <c r="B519" s="19"/>
      <c r="C519" s="4"/>
      <c r="D519" s="4"/>
      <c r="E519" s="5"/>
      <c r="F519" s="4"/>
      <c r="G519" s="4"/>
      <c r="H519" s="4"/>
      <c r="I519" s="4"/>
      <c r="J519" s="4"/>
      <c r="K519" s="4"/>
      <c r="L519" s="4"/>
      <c r="M519" s="4"/>
      <c r="N519" s="4"/>
      <c r="O519" s="4"/>
      <c r="P519" s="4"/>
      <c r="Q519" s="4"/>
      <c r="R519" s="4"/>
      <c r="S519" s="19"/>
    </row>
    <row r="520" spans="1:19" ht="17.399999999999999" x14ac:dyDescent="0.25">
      <c r="A520" s="4"/>
      <c r="B520" s="19"/>
      <c r="C520" s="4"/>
      <c r="D520" s="4"/>
      <c r="E520" s="5"/>
      <c r="F520" s="4"/>
      <c r="G520" s="4"/>
      <c r="H520" s="4"/>
      <c r="I520" s="4"/>
      <c r="J520" s="4"/>
      <c r="K520" s="4"/>
      <c r="L520" s="4"/>
      <c r="M520" s="4"/>
      <c r="N520" s="4"/>
      <c r="O520" s="4"/>
      <c r="P520" s="4"/>
      <c r="Q520" s="4"/>
      <c r="R520" s="4"/>
      <c r="S520" s="19"/>
    </row>
    <row r="521" spans="1:19" ht="17.399999999999999" x14ac:dyDescent="0.25">
      <c r="A521" s="4"/>
      <c r="B521" s="19"/>
      <c r="C521" s="4"/>
      <c r="D521" s="4"/>
      <c r="E521" s="5"/>
      <c r="F521" s="4"/>
      <c r="G521" s="4"/>
      <c r="H521" s="4"/>
      <c r="I521" s="4"/>
      <c r="J521" s="4"/>
      <c r="K521" s="4"/>
      <c r="L521" s="4"/>
      <c r="M521" s="4"/>
      <c r="N521" s="4"/>
      <c r="O521" s="4"/>
      <c r="P521" s="4"/>
      <c r="Q521" s="4"/>
      <c r="R521" s="4"/>
      <c r="S521" s="19"/>
    </row>
    <row r="522" spans="1:19" ht="17.399999999999999" x14ac:dyDescent="0.25">
      <c r="A522" s="4"/>
      <c r="B522" s="19"/>
      <c r="C522" s="4"/>
      <c r="D522" s="4"/>
      <c r="E522" s="5"/>
      <c r="F522" s="4"/>
      <c r="G522" s="4"/>
      <c r="H522" s="4"/>
      <c r="I522" s="4"/>
      <c r="J522" s="4"/>
      <c r="K522" s="4"/>
      <c r="L522" s="4"/>
      <c r="M522" s="4"/>
      <c r="N522" s="4"/>
      <c r="O522" s="4"/>
      <c r="P522" s="4"/>
      <c r="Q522" s="4"/>
      <c r="R522" s="4"/>
      <c r="S522" s="19"/>
    </row>
    <row r="523" spans="1:19" ht="17.399999999999999" x14ac:dyDescent="0.25">
      <c r="A523" s="4"/>
      <c r="B523" s="19"/>
      <c r="C523" s="4"/>
      <c r="D523" s="4"/>
      <c r="E523" s="5"/>
      <c r="F523" s="4"/>
      <c r="G523" s="4"/>
      <c r="H523" s="4"/>
      <c r="I523" s="4"/>
      <c r="J523" s="4"/>
      <c r="K523" s="4"/>
      <c r="L523" s="4"/>
      <c r="M523" s="4"/>
      <c r="N523" s="4"/>
      <c r="O523" s="4"/>
      <c r="P523" s="4"/>
      <c r="Q523" s="4"/>
      <c r="R523" s="4"/>
      <c r="S523" s="19"/>
    </row>
    <row r="524" spans="1:19" ht="17.399999999999999" x14ac:dyDescent="0.25">
      <c r="A524" s="4"/>
      <c r="B524" s="19"/>
      <c r="C524" s="4"/>
      <c r="D524" s="4"/>
      <c r="E524" s="5"/>
      <c r="F524" s="4"/>
      <c r="G524" s="4"/>
      <c r="H524" s="4"/>
      <c r="I524" s="4"/>
      <c r="J524" s="4"/>
      <c r="K524" s="4"/>
      <c r="L524" s="4"/>
      <c r="M524" s="4"/>
      <c r="N524" s="4"/>
      <c r="O524" s="4"/>
      <c r="P524" s="4"/>
      <c r="Q524" s="4"/>
      <c r="R524" s="4"/>
      <c r="S524" s="19"/>
    </row>
    <row r="525" spans="1:19" ht="17.399999999999999" x14ac:dyDescent="0.25">
      <c r="A525" s="4"/>
      <c r="B525" s="19"/>
      <c r="C525" s="4"/>
      <c r="D525" s="4"/>
      <c r="E525" s="5"/>
      <c r="F525" s="4"/>
      <c r="G525" s="4"/>
      <c r="H525" s="4"/>
      <c r="I525" s="4"/>
      <c r="J525" s="4"/>
      <c r="K525" s="4"/>
      <c r="L525" s="4"/>
      <c r="M525" s="4"/>
      <c r="N525" s="4"/>
      <c r="O525" s="4"/>
      <c r="P525" s="4"/>
      <c r="Q525" s="4"/>
      <c r="R525" s="4"/>
      <c r="S525" s="19"/>
    </row>
    <row r="526" spans="1:19" ht="17.399999999999999" x14ac:dyDescent="0.25">
      <c r="A526" s="4"/>
      <c r="B526" s="19"/>
      <c r="C526" s="4"/>
      <c r="D526" s="4"/>
      <c r="E526" s="5"/>
      <c r="F526" s="4"/>
      <c r="G526" s="4"/>
      <c r="H526" s="4"/>
      <c r="I526" s="4"/>
      <c r="J526" s="4"/>
      <c r="K526" s="4"/>
      <c r="L526" s="4"/>
      <c r="M526" s="4"/>
      <c r="N526" s="4"/>
      <c r="O526" s="4"/>
      <c r="P526" s="4"/>
      <c r="Q526" s="4"/>
      <c r="R526" s="4"/>
      <c r="S526" s="19"/>
    </row>
    <row r="527" spans="1:19" ht="17.399999999999999" x14ac:dyDescent="0.25">
      <c r="A527" s="4"/>
      <c r="B527" s="19"/>
      <c r="C527" s="4"/>
      <c r="D527" s="4"/>
      <c r="E527" s="5"/>
      <c r="F527" s="4"/>
      <c r="G527" s="4"/>
      <c r="H527" s="4"/>
      <c r="I527" s="4"/>
      <c r="J527" s="4"/>
      <c r="K527" s="4"/>
      <c r="L527" s="4"/>
      <c r="M527" s="4"/>
      <c r="N527" s="4"/>
      <c r="O527" s="4"/>
      <c r="P527" s="4"/>
      <c r="Q527" s="4"/>
      <c r="R527" s="4"/>
      <c r="S527" s="19"/>
    </row>
    <row r="528" spans="1:19" ht="17.399999999999999" x14ac:dyDescent="0.25">
      <c r="A528" s="4"/>
      <c r="B528" s="19"/>
      <c r="C528" s="4"/>
      <c r="D528" s="4"/>
      <c r="E528" s="5"/>
      <c r="F528" s="4"/>
      <c r="G528" s="4"/>
      <c r="H528" s="4"/>
      <c r="I528" s="4"/>
      <c r="J528" s="4"/>
      <c r="K528" s="4"/>
      <c r="L528" s="4"/>
      <c r="M528" s="4"/>
      <c r="N528" s="4"/>
      <c r="O528" s="4"/>
      <c r="P528" s="4"/>
      <c r="Q528" s="4"/>
      <c r="R528" s="4"/>
      <c r="S528" s="19"/>
    </row>
    <row r="529" spans="1:19" ht="17.399999999999999" x14ac:dyDescent="0.25">
      <c r="A529" s="4"/>
      <c r="B529" s="19"/>
      <c r="C529" s="4"/>
      <c r="D529" s="4"/>
      <c r="E529" s="5"/>
      <c r="F529" s="4"/>
      <c r="G529" s="4"/>
      <c r="H529" s="4"/>
      <c r="I529" s="4"/>
      <c r="J529" s="4"/>
      <c r="K529" s="4"/>
      <c r="L529" s="4"/>
      <c r="M529" s="4"/>
      <c r="N529" s="4"/>
      <c r="O529" s="4"/>
      <c r="P529" s="4"/>
      <c r="Q529" s="4"/>
      <c r="R529" s="4"/>
      <c r="S529" s="19"/>
    </row>
    <row r="530" spans="1:19" ht="17.399999999999999" x14ac:dyDescent="0.25">
      <c r="A530" s="4"/>
      <c r="B530" s="19"/>
      <c r="C530" s="4"/>
      <c r="D530" s="4"/>
      <c r="E530" s="5"/>
      <c r="F530" s="4"/>
      <c r="G530" s="4"/>
      <c r="H530" s="4"/>
      <c r="I530" s="4"/>
      <c r="J530" s="4"/>
      <c r="K530" s="4"/>
      <c r="L530" s="4"/>
      <c r="M530" s="4"/>
      <c r="N530" s="4"/>
      <c r="O530" s="4"/>
      <c r="P530" s="4"/>
      <c r="Q530" s="4"/>
      <c r="R530" s="4"/>
      <c r="S530" s="19"/>
    </row>
    <row r="531" spans="1:19" ht="17.399999999999999" x14ac:dyDescent="0.25">
      <c r="A531" s="4"/>
      <c r="B531" s="19"/>
      <c r="C531" s="4"/>
      <c r="D531" s="4"/>
      <c r="E531" s="5"/>
      <c r="F531" s="4"/>
      <c r="G531" s="4"/>
      <c r="H531" s="4"/>
      <c r="I531" s="4"/>
      <c r="J531" s="4"/>
      <c r="K531" s="4"/>
      <c r="L531" s="4"/>
      <c r="M531" s="4"/>
      <c r="N531" s="4"/>
      <c r="O531" s="4"/>
      <c r="P531" s="4"/>
      <c r="Q531" s="4"/>
      <c r="R531" s="4"/>
      <c r="S531" s="19"/>
    </row>
    <row r="532" spans="1:19" ht="17.399999999999999" x14ac:dyDescent="0.25">
      <c r="A532" s="4"/>
      <c r="B532" s="19"/>
      <c r="C532" s="4"/>
      <c r="D532" s="4"/>
      <c r="E532" s="5"/>
      <c r="F532" s="4"/>
      <c r="G532" s="4"/>
      <c r="H532" s="4"/>
      <c r="I532" s="4"/>
      <c r="J532" s="4"/>
      <c r="K532" s="4"/>
      <c r="L532" s="4"/>
      <c r="M532" s="4"/>
      <c r="N532" s="4"/>
      <c r="O532" s="4"/>
      <c r="P532" s="4"/>
      <c r="Q532" s="4"/>
      <c r="R532" s="4"/>
      <c r="S532" s="19"/>
    </row>
    <row r="533" spans="1:19" ht="17.399999999999999" x14ac:dyDescent="0.25">
      <c r="A533" s="4"/>
      <c r="B533" s="19"/>
      <c r="C533" s="4"/>
      <c r="D533" s="4"/>
      <c r="E533" s="5"/>
      <c r="F533" s="4"/>
      <c r="G533" s="4"/>
      <c r="H533" s="4"/>
      <c r="I533" s="4"/>
      <c r="J533" s="4"/>
      <c r="K533" s="4"/>
      <c r="L533" s="4"/>
      <c r="M533" s="4"/>
      <c r="N533" s="4"/>
      <c r="O533" s="4"/>
      <c r="P533" s="4"/>
      <c r="Q533" s="4"/>
      <c r="R533" s="4"/>
      <c r="S533" s="19"/>
    </row>
    <row r="534" spans="1:19" ht="17.399999999999999" x14ac:dyDescent="0.25">
      <c r="A534" s="4"/>
      <c r="B534" s="19"/>
      <c r="C534" s="4"/>
      <c r="D534" s="4"/>
      <c r="E534" s="5"/>
      <c r="F534" s="4"/>
      <c r="G534" s="4"/>
      <c r="H534" s="4"/>
      <c r="I534" s="4"/>
      <c r="J534" s="4"/>
      <c r="K534" s="4"/>
      <c r="L534" s="4"/>
      <c r="M534" s="4"/>
      <c r="N534" s="4"/>
      <c r="O534" s="4"/>
      <c r="P534" s="4"/>
      <c r="Q534" s="4"/>
      <c r="R534" s="4"/>
      <c r="S534" s="19"/>
    </row>
    <row r="535" spans="1:19" ht="17.399999999999999" x14ac:dyDescent="0.25">
      <c r="A535" s="4"/>
      <c r="B535" s="19"/>
      <c r="C535" s="4"/>
      <c r="D535" s="4"/>
      <c r="E535" s="5"/>
      <c r="F535" s="4"/>
      <c r="G535" s="4"/>
      <c r="H535" s="4"/>
      <c r="I535" s="4"/>
      <c r="J535" s="4"/>
      <c r="K535" s="4"/>
      <c r="L535" s="4"/>
      <c r="M535" s="4"/>
      <c r="N535" s="4"/>
      <c r="O535" s="4"/>
      <c r="P535" s="4"/>
      <c r="Q535" s="4"/>
      <c r="R535" s="4"/>
      <c r="S535" s="19"/>
    </row>
    <row r="536" spans="1:19" ht="17.399999999999999" x14ac:dyDescent="0.25">
      <c r="A536" s="4"/>
      <c r="B536" s="19"/>
      <c r="C536" s="4"/>
      <c r="D536" s="4"/>
      <c r="E536" s="5"/>
      <c r="F536" s="4"/>
      <c r="G536" s="4"/>
      <c r="H536" s="4"/>
      <c r="I536" s="4"/>
      <c r="J536" s="4"/>
      <c r="K536" s="4"/>
      <c r="L536" s="4"/>
      <c r="M536" s="4"/>
      <c r="N536" s="4"/>
      <c r="O536" s="4"/>
      <c r="P536" s="4"/>
      <c r="Q536" s="4"/>
      <c r="R536" s="4"/>
      <c r="S536" s="19"/>
    </row>
    <row r="537" spans="1:19" ht="17.399999999999999" x14ac:dyDescent="0.25">
      <c r="A537" s="4"/>
      <c r="B537" s="19"/>
      <c r="C537" s="4"/>
      <c r="D537" s="4"/>
      <c r="E537" s="5"/>
      <c r="F537" s="4"/>
      <c r="G537" s="4"/>
      <c r="H537" s="4"/>
      <c r="I537" s="4"/>
      <c r="J537" s="4"/>
      <c r="K537" s="4"/>
      <c r="L537" s="4"/>
      <c r="M537" s="4"/>
      <c r="N537" s="4"/>
      <c r="O537" s="4"/>
      <c r="P537" s="4"/>
      <c r="Q537" s="4"/>
      <c r="R537" s="4"/>
      <c r="S537" s="19"/>
    </row>
    <row r="538" spans="1:19" ht="17.399999999999999" x14ac:dyDescent="0.25">
      <c r="A538" s="4"/>
      <c r="B538" s="19"/>
      <c r="C538" s="4"/>
      <c r="D538" s="4"/>
      <c r="E538" s="5"/>
      <c r="F538" s="4"/>
      <c r="G538" s="4"/>
      <c r="H538" s="4"/>
      <c r="I538" s="4"/>
      <c r="J538" s="4"/>
      <c r="K538" s="4"/>
      <c r="L538" s="4"/>
      <c r="M538" s="4"/>
      <c r="N538" s="4"/>
      <c r="O538" s="4"/>
      <c r="P538" s="4"/>
      <c r="Q538" s="4"/>
      <c r="R538" s="4"/>
      <c r="S538" s="19"/>
    </row>
    <row r="539" spans="1:19" ht="17.399999999999999" x14ac:dyDescent="0.25">
      <c r="A539" s="4"/>
      <c r="B539" s="19"/>
      <c r="C539" s="4"/>
      <c r="D539" s="4"/>
      <c r="E539" s="5"/>
      <c r="F539" s="4"/>
      <c r="G539" s="4"/>
      <c r="H539" s="4"/>
      <c r="I539" s="4"/>
      <c r="J539" s="4"/>
      <c r="K539" s="4"/>
      <c r="L539" s="4"/>
      <c r="M539" s="4"/>
      <c r="N539" s="4"/>
      <c r="O539" s="4"/>
      <c r="P539" s="4"/>
      <c r="Q539" s="4"/>
      <c r="R539" s="4"/>
      <c r="S539" s="19"/>
    </row>
    <row r="540" spans="1:19" ht="17.399999999999999" x14ac:dyDescent="0.25">
      <c r="A540" s="4"/>
      <c r="B540" s="19"/>
      <c r="C540" s="4"/>
      <c r="D540" s="4"/>
      <c r="E540" s="5"/>
      <c r="F540" s="4"/>
      <c r="G540" s="4"/>
      <c r="H540" s="4"/>
      <c r="I540" s="4"/>
      <c r="J540" s="4"/>
      <c r="K540" s="4"/>
      <c r="L540" s="4"/>
      <c r="M540" s="4"/>
      <c r="N540" s="4"/>
      <c r="O540" s="4"/>
      <c r="P540" s="4"/>
      <c r="Q540" s="4"/>
      <c r="R540" s="4"/>
      <c r="S540" s="19"/>
    </row>
    <row r="541" spans="1:19" ht="17.399999999999999" x14ac:dyDescent="0.25">
      <c r="A541" s="4"/>
      <c r="B541" s="19"/>
      <c r="C541" s="4"/>
      <c r="D541" s="4"/>
      <c r="E541" s="5"/>
      <c r="F541" s="4"/>
      <c r="G541" s="4"/>
      <c r="H541" s="4"/>
      <c r="I541" s="4"/>
      <c r="J541" s="4"/>
      <c r="K541" s="4"/>
      <c r="L541" s="4"/>
      <c r="M541" s="4"/>
      <c r="N541" s="4"/>
      <c r="O541" s="4"/>
      <c r="P541" s="4"/>
      <c r="Q541" s="4"/>
      <c r="R541" s="4"/>
      <c r="S541" s="19"/>
    </row>
    <row r="542" spans="1:19" ht="17.399999999999999" x14ac:dyDescent="0.25">
      <c r="A542" s="4"/>
      <c r="B542" s="19"/>
      <c r="C542" s="4"/>
      <c r="D542" s="4"/>
      <c r="E542" s="5"/>
      <c r="F542" s="4"/>
      <c r="G542" s="4"/>
      <c r="H542" s="4"/>
      <c r="I542" s="4"/>
      <c r="J542" s="4"/>
      <c r="K542" s="4"/>
      <c r="L542" s="4"/>
      <c r="M542" s="4"/>
      <c r="N542" s="4"/>
      <c r="O542" s="4"/>
      <c r="P542" s="4"/>
      <c r="Q542" s="4"/>
      <c r="R542" s="4"/>
      <c r="S542" s="19"/>
    </row>
    <row r="543" spans="1:19" ht="17.399999999999999" x14ac:dyDescent="0.25">
      <c r="A543" s="4"/>
      <c r="B543" s="19"/>
      <c r="C543" s="4"/>
      <c r="D543" s="4"/>
      <c r="E543" s="5"/>
      <c r="F543" s="4"/>
      <c r="G543" s="4"/>
      <c r="H543" s="4"/>
      <c r="I543" s="4"/>
      <c r="J543" s="4"/>
      <c r="K543" s="4"/>
      <c r="L543" s="4"/>
      <c r="M543" s="4"/>
      <c r="N543" s="4"/>
      <c r="O543" s="4"/>
      <c r="P543" s="4"/>
      <c r="Q543" s="4"/>
      <c r="R543" s="4"/>
      <c r="S543" s="19"/>
    </row>
    <row r="544" spans="1:19" ht="17.399999999999999" x14ac:dyDescent="0.25">
      <c r="A544" s="4"/>
      <c r="B544" s="19"/>
      <c r="C544" s="4"/>
      <c r="D544" s="4"/>
      <c r="E544" s="5"/>
      <c r="F544" s="4"/>
      <c r="G544" s="4"/>
      <c r="H544" s="4"/>
      <c r="I544" s="4"/>
      <c r="J544" s="4"/>
      <c r="K544" s="4"/>
      <c r="L544" s="4"/>
      <c r="M544" s="4"/>
      <c r="N544" s="4"/>
      <c r="O544" s="4"/>
      <c r="P544" s="4"/>
      <c r="Q544" s="4"/>
      <c r="R544" s="4"/>
      <c r="S544" s="19"/>
    </row>
    <row r="545" spans="1:19" ht="17.399999999999999" x14ac:dyDescent="0.25">
      <c r="A545" s="4"/>
      <c r="B545" s="19"/>
      <c r="C545" s="4"/>
      <c r="D545" s="4"/>
      <c r="E545" s="5"/>
      <c r="F545" s="4"/>
      <c r="G545" s="4"/>
      <c r="H545" s="4"/>
      <c r="I545" s="4"/>
      <c r="J545" s="4"/>
      <c r="K545" s="4"/>
      <c r="L545" s="4"/>
      <c r="M545" s="4"/>
      <c r="N545" s="4"/>
      <c r="O545" s="4"/>
      <c r="P545" s="4"/>
      <c r="Q545" s="4"/>
      <c r="R545" s="4"/>
      <c r="S545" s="19"/>
    </row>
    <row r="546" spans="1:19" ht="17.399999999999999" x14ac:dyDescent="0.25">
      <c r="A546" s="4"/>
      <c r="B546" s="19"/>
      <c r="C546" s="4"/>
      <c r="D546" s="4"/>
      <c r="E546" s="5"/>
      <c r="F546" s="4"/>
      <c r="G546" s="4"/>
      <c r="H546" s="4"/>
      <c r="I546" s="4"/>
      <c r="J546" s="4"/>
      <c r="K546" s="4"/>
      <c r="L546" s="4"/>
      <c r="M546" s="4"/>
      <c r="N546" s="4"/>
      <c r="O546" s="4"/>
      <c r="P546" s="4"/>
      <c r="Q546" s="4"/>
      <c r="R546" s="4"/>
      <c r="S546" s="19"/>
    </row>
    <row r="547" spans="1:19" ht="17.399999999999999" x14ac:dyDescent="0.25">
      <c r="A547" s="4"/>
      <c r="B547" s="19"/>
      <c r="C547" s="4"/>
      <c r="D547" s="4"/>
      <c r="E547" s="5"/>
      <c r="F547" s="4"/>
      <c r="G547" s="4"/>
      <c r="H547" s="4"/>
      <c r="I547" s="4"/>
      <c r="J547" s="4"/>
      <c r="K547" s="4"/>
      <c r="L547" s="4"/>
      <c r="M547" s="4"/>
      <c r="N547" s="4"/>
      <c r="O547" s="4"/>
      <c r="P547" s="4"/>
      <c r="Q547" s="4"/>
      <c r="R547" s="4"/>
      <c r="S547" s="19"/>
    </row>
    <row r="548" spans="1:19" ht="17.399999999999999" x14ac:dyDescent="0.25">
      <c r="A548" s="4"/>
      <c r="B548" s="19"/>
      <c r="C548" s="4"/>
      <c r="D548" s="4"/>
      <c r="E548" s="5"/>
      <c r="F548" s="4"/>
      <c r="G548" s="4"/>
      <c r="H548" s="4"/>
      <c r="I548" s="4"/>
      <c r="J548" s="4"/>
      <c r="K548" s="4"/>
      <c r="L548" s="4"/>
      <c r="M548" s="4"/>
      <c r="N548" s="4"/>
      <c r="O548" s="4"/>
      <c r="P548" s="4"/>
      <c r="Q548" s="4"/>
      <c r="R548" s="4"/>
      <c r="S548" s="19"/>
    </row>
    <row r="549" spans="1:19" ht="17.399999999999999" x14ac:dyDescent="0.25">
      <c r="A549" s="4"/>
      <c r="B549" s="19"/>
      <c r="C549" s="4"/>
      <c r="D549" s="4"/>
      <c r="E549" s="5"/>
      <c r="F549" s="4"/>
      <c r="G549" s="4"/>
      <c r="H549" s="4"/>
      <c r="I549" s="4"/>
      <c r="J549" s="4"/>
      <c r="K549" s="4"/>
      <c r="L549" s="4"/>
      <c r="M549" s="4"/>
      <c r="N549" s="4"/>
      <c r="O549" s="4"/>
      <c r="P549" s="4"/>
      <c r="Q549" s="4"/>
      <c r="R549" s="4"/>
      <c r="S549" s="19"/>
    </row>
    <row r="550" spans="1:19" ht="17.399999999999999" x14ac:dyDescent="0.25">
      <c r="A550" s="4"/>
      <c r="B550" s="19"/>
      <c r="C550" s="4"/>
      <c r="D550" s="4"/>
      <c r="E550" s="5"/>
      <c r="F550" s="4"/>
      <c r="G550" s="4"/>
      <c r="H550" s="4"/>
      <c r="I550" s="4"/>
      <c r="J550" s="4"/>
      <c r="K550" s="4"/>
      <c r="L550" s="4"/>
      <c r="M550" s="4"/>
      <c r="N550" s="4"/>
      <c r="O550" s="4"/>
      <c r="P550" s="4"/>
      <c r="Q550" s="4"/>
      <c r="R550" s="4"/>
      <c r="S550" s="19"/>
    </row>
    <row r="551" spans="1:19" ht="17.399999999999999" x14ac:dyDescent="0.25">
      <c r="A551" s="4"/>
      <c r="B551" s="19"/>
      <c r="C551" s="4"/>
      <c r="D551" s="4"/>
      <c r="E551" s="5"/>
      <c r="F551" s="4"/>
      <c r="G551" s="4"/>
      <c r="H551" s="4"/>
      <c r="I551" s="4"/>
      <c r="J551" s="4"/>
      <c r="K551" s="4"/>
      <c r="L551" s="4"/>
      <c r="M551" s="4"/>
      <c r="N551" s="4"/>
      <c r="O551" s="4"/>
      <c r="P551" s="4"/>
      <c r="Q551" s="4"/>
      <c r="R551" s="4"/>
      <c r="S551" s="19"/>
    </row>
    <row r="552" spans="1:19" ht="17.399999999999999" x14ac:dyDescent="0.25">
      <c r="A552" s="4"/>
      <c r="B552" s="19"/>
      <c r="C552" s="4"/>
      <c r="D552" s="4"/>
      <c r="E552" s="5"/>
      <c r="F552" s="4"/>
      <c r="G552" s="4"/>
      <c r="H552" s="4"/>
      <c r="I552" s="4"/>
      <c r="J552" s="4"/>
      <c r="K552" s="4"/>
      <c r="L552" s="4"/>
      <c r="M552" s="4"/>
      <c r="N552" s="4"/>
      <c r="O552" s="4"/>
      <c r="P552" s="4"/>
      <c r="Q552" s="4"/>
      <c r="R552" s="4"/>
      <c r="S552" s="19"/>
    </row>
    <row r="553" spans="1:19" ht="17.399999999999999" x14ac:dyDescent="0.25">
      <c r="A553" s="4"/>
      <c r="B553" s="19"/>
      <c r="C553" s="4"/>
      <c r="D553" s="4"/>
      <c r="E553" s="5"/>
      <c r="F553" s="4"/>
      <c r="G553" s="4"/>
      <c r="H553" s="4"/>
      <c r="I553" s="4"/>
      <c r="J553" s="4"/>
      <c r="K553" s="4"/>
      <c r="L553" s="4"/>
      <c r="M553" s="4"/>
      <c r="N553" s="4"/>
      <c r="O553" s="4"/>
      <c r="P553" s="4"/>
      <c r="Q553" s="4"/>
      <c r="R553" s="4"/>
      <c r="S553" s="19"/>
    </row>
    <row r="554" spans="1:19" ht="17.399999999999999" x14ac:dyDescent="0.25">
      <c r="A554" s="4"/>
      <c r="B554" s="19"/>
      <c r="C554" s="4"/>
      <c r="D554" s="4"/>
      <c r="E554" s="5"/>
      <c r="F554" s="4"/>
      <c r="G554" s="4"/>
      <c r="H554" s="4"/>
      <c r="I554" s="4"/>
      <c r="J554" s="4"/>
      <c r="K554" s="4"/>
      <c r="L554" s="4"/>
      <c r="M554" s="4"/>
      <c r="N554" s="4"/>
      <c r="O554" s="4"/>
      <c r="P554" s="4"/>
      <c r="Q554" s="4"/>
      <c r="R554" s="4"/>
      <c r="S554" s="19"/>
    </row>
    <row r="555" spans="1:19" ht="17.399999999999999" x14ac:dyDescent="0.25">
      <c r="A555" s="4"/>
      <c r="B555" s="19"/>
      <c r="C555" s="4"/>
      <c r="D555" s="4"/>
      <c r="E555" s="5"/>
      <c r="F555" s="4"/>
      <c r="G555" s="4"/>
      <c r="H555" s="4"/>
      <c r="I555" s="4"/>
      <c r="J555" s="4"/>
      <c r="K555" s="4"/>
      <c r="L555" s="4"/>
      <c r="M555" s="4"/>
      <c r="N555" s="4"/>
      <c r="O555" s="4"/>
      <c r="P555" s="4"/>
      <c r="Q555" s="4"/>
      <c r="R555" s="4"/>
      <c r="S555" s="19"/>
    </row>
    <row r="556" spans="1:19" ht="17.399999999999999" x14ac:dyDescent="0.25">
      <c r="A556" s="4"/>
      <c r="B556" s="19"/>
      <c r="C556" s="4"/>
      <c r="D556" s="4"/>
      <c r="E556" s="5"/>
      <c r="F556" s="4"/>
      <c r="G556" s="4"/>
      <c r="H556" s="4"/>
      <c r="I556" s="4"/>
      <c r="J556" s="4"/>
      <c r="K556" s="4"/>
      <c r="L556" s="4"/>
      <c r="M556" s="4"/>
      <c r="N556" s="4"/>
      <c r="O556" s="4"/>
      <c r="P556" s="4"/>
      <c r="Q556" s="4"/>
      <c r="R556" s="4"/>
      <c r="S556" s="19"/>
    </row>
    <row r="557" spans="1:19" ht="17.399999999999999" x14ac:dyDescent="0.25">
      <c r="A557" s="4"/>
      <c r="B557" s="19"/>
      <c r="C557" s="4"/>
      <c r="D557" s="4"/>
      <c r="E557" s="5"/>
      <c r="F557" s="4"/>
      <c r="G557" s="4"/>
      <c r="H557" s="4"/>
      <c r="I557" s="4"/>
      <c r="J557" s="4"/>
      <c r="K557" s="4"/>
      <c r="L557" s="4"/>
      <c r="M557" s="4"/>
      <c r="N557" s="4"/>
      <c r="O557" s="4"/>
      <c r="P557" s="4"/>
      <c r="Q557" s="4"/>
      <c r="R557" s="4"/>
      <c r="S557" s="19"/>
    </row>
    <row r="558" spans="1:19" ht="17.399999999999999" x14ac:dyDescent="0.25">
      <c r="A558" s="4"/>
      <c r="B558" s="19"/>
      <c r="C558" s="4"/>
      <c r="D558" s="4"/>
      <c r="E558" s="5"/>
      <c r="F558" s="4"/>
      <c r="G558" s="4"/>
      <c r="H558" s="4"/>
      <c r="I558" s="4"/>
      <c r="J558" s="4"/>
      <c r="K558" s="4"/>
      <c r="L558" s="4"/>
      <c r="M558" s="4"/>
      <c r="N558" s="4"/>
      <c r="O558" s="4"/>
      <c r="P558" s="4"/>
      <c r="Q558" s="4"/>
      <c r="R558" s="4"/>
      <c r="S558" s="19"/>
    </row>
    <row r="559" spans="1:19" ht="17.399999999999999" x14ac:dyDescent="0.25">
      <c r="A559" s="4"/>
      <c r="B559" s="19"/>
      <c r="C559" s="4"/>
      <c r="D559" s="4"/>
      <c r="E559" s="5"/>
      <c r="F559" s="4"/>
      <c r="G559" s="4"/>
      <c r="H559" s="4"/>
      <c r="I559" s="4"/>
      <c r="J559" s="4"/>
      <c r="K559" s="4"/>
      <c r="L559" s="4"/>
      <c r="M559" s="4"/>
      <c r="N559" s="4"/>
      <c r="O559" s="4"/>
      <c r="P559" s="4"/>
      <c r="Q559" s="4"/>
      <c r="R559" s="4"/>
      <c r="S559" s="19"/>
    </row>
    <row r="560" spans="1:19" ht="17.399999999999999" x14ac:dyDescent="0.25">
      <c r="A560" s="4"/>
      <c r="B560" s="19"/>
      <c r="C560" s="4"/>
      <c r="D560" s="4"/>
      <c r="E560" s="5"/>
      <c r="F560" s="4"/>
      <c r="G560" s="4"/>
      <c r="H560" s="4"/>
      <c r="I560" s="4"/>
      <c r="J560" s="4"/>
      <c r="K560" s="4"/>
      <c r="L560" s="4"/>
      <c r="M560" s="4"/>
      <c r="N560" s="4"/>
      <c r="O560" s="4"/>
      <c r="P560" s="4"/>
      <c r="Q560" s="4"/>
      <c r="R560" s="4"/>
      <c r="S560" s="19"/>
    </row>
    <row r="561" spans="1:19" ht="17.399999999999999" x14ac:dyDescent="0.25">
      <c r="A561" s="4"/>
      <c r="B561" s="19"/>
      <c r="C561" s="4"/>
      <c r="D561" s="4"/>
      <c r="E561" s="5"/>
      <c r="F561" s="4"/>
      <c r="G561" s="4"/>
      <c r="H561" s="4"/>
      <c r="I561" s="4"/>
      <c r="J561" s="4"/>
      <c r="K561" s="4"/>
      <c r="L561" s="4"/>
      <c r="M561" s="4"/>
      <c r="N561" s="4"/>
      <c r="O561" s="4"/>
      <c r="P561" s="4"/>
      <c r="Q561" s="4"/>
      <c r="R561" s="4"/>
      <c r="S561" s="19"/>
    </row>
    <row r="562" spans="1:19" ht="17.399999999999999" x14ac:dyDescent="0.25">
      <c r="A562" s="4"/>
      <c r="B562" s="19"/>
      <c r="C562" s="4"/>
      <c r="D562" s="4"/>
      <c r="E562" s="5"/>
      <c r="F562" s="4"/>
      <c r="G562" s="4"/>
      <c r="H562" s="4"/>
      <c r="I562" s="4"/>
      <c r="J562" s="4"/>
      <c r="K562" s="4"/>
      <c r="L562" s="4"/>
      <c r="M562" s="4"/>
      <c r="N562" s="4"/>
      <c r="O562" s="4"/>
      <c r="P562" s="4"/>
      <c r="Q562" s="4"/>
      <c r="R562" s="4"/>
      <c r="S562" s="19"/>
    </row>
    <row r="563" spans="1:19" ht="17.399999999999999" x14ac:dyDescent="0.25">
      <c r="A563" s="4"/>
      <c r="B563" s="19"/>
      <c r="C563" s="4"/>
      <c r="D563" s="4"/>
      <c r="E563" s="5"/>
      <c r="F563" s="4"/>
      <c r="G563" s="4"/>
      <c r="H563" s="4"/>
      <c r="I563" s="4"/>
      <c r="J563" s="4"/>
      <c r="K563" s="4"/>
      <c r="L563" s="4"/>
      <c r="M563" s="4"/>
      <c r="N563" s="4"/>
      <c r="O563" s="4"/>
      <c r="P563" s="4"/>
      <c r="Q563" s="4"/>
      <c r="R563" s="4"/>
      <c r="S563" s="19"/>
    </row>
    <row r="564" spans="1:19" ht="17.399999999999999" x14ac:dyDescent="0.25">
      <c r="A564" s="4"/>
      <c r="B564" s="19"/>
      <c r="C564" s="4"/>
      <c r="D564" s="4"/>
      <c r="E564" s="5"/>
      <c r="F564" s="4"/>
      <c r="G564" s="4"/>
      <c r="H564" s="4"/>
      <c r="I564" s="4"/>
      <c r="J564" s="4"/>
      <c r="K564" s="4"/>
      <c r="L564" s="4"/>
      <c r="M564" s="4"/>
      <c r="N564" s="4"/>
      <c r="O564" s="4"/>
      <c r="P564" s="4"/>
      <c r="Q564" s="4"/>
      <c r="R564" s="4"/>
      <c r="S564" s="19"/>
    </row>
    <row r="565" spans="1:19" ht="17.399999999999999" x14ac:dyDescent="0.25">
      <c r="A565" s="4"/>
      <c r="B565" s="19"/>
      <c r="C565" s="4"/>
      <c r="D565" s="4"/>
      <c r="E565" s="5"/>
      <c r="F565" s="4"/>
      <c r="G565" s="4"/>
      <c r="H565" s="4"/>
      <c r="I565" s="4"/>
      <c r="J565" s="4"/>
      <c r="K565" s="4"/>
      <c r="L565" s="4"/>
      <c r="M565" s="4"/>
      <c r="N565" s="4"/>
      <c r="O565" s="4"/>
      <c r="P565" s="4"/>
      <c r="Q565" s="4"/>
      <c r="R565" s="4"/>
      <c r="S565" s="19"/>
    </row>
    <row r="566" spans="1:19" ht="17.399999999999999" x14ac:dyDescent="0.25">
      <c r="A566" s="4"/>
      <c r="B566" s="19"/>
      <c r="C566" s="4"/>
      <c r="D566" s="4"/>
      <c r="E566" s="5"/>
      <c r="F566" s="4"/>
      <c r="G566" s="4"/>
      <c r="H566" s="4"/>
      <c r="I566" s="4"/>
      <c r="J566" s="4"/>
      <c r="K566" s="4"/>
      <c r="L566" s="4"/>
      <c r="M566" s="4"/>
      <c r="N566" s="4"/>
      <c r="O566" s="4"/>
      <c r="P566" s="4"/>
      <c r="Q566" s="4"/>
      <c r="R566" s="4"/>
      <c r="S566" s="19"/>
    </row>
    <row r="567" spans="1:19" ht="17.399999999999999" x14ac:dyDescent="0.25">
      <c r="A567" s="4"/>
      <c r="B567" s="19"/>
      <c r="C567" s="4"/>
      <c r="D567" s="4"/>
      <c r="E567" s="5"/>
      <c r="F567" s="4"/>
      <c r="G567" s="4"/>
      <c r="H567" s="4"/>
      <c r="I567" s="4"/>
      <c r="J567" s="4"/>
      <c r="K567" s="4"/>
      <c r="L567" s="4"/>
      <c r="M567" s="4"/>
      <c r="N567" s="4"/>
      <c r="O567" s="4"/>
      <c r="P567" s="4"/>
      <c r="Q567" s="4"/>
      <c r="R567" s="4"/>
      <c r="S567" s="19"/>
    </row>
    <row r="568" spans="1:19" ht="17.399999999999999" x14ac:dyDescent="0.25">
      <c r="A568" s="4"/>
      <c r="B568" s="19"/>
      <c r="C568" s="4"/>
      <c r="D568" s="4"/>
      <c r="E568" s="5"/>
      <c r="F568" s="4"/>
      <c r="G568" s="4"/>
      <c r="H568" s="4"/>
      <c r="I568" s="4"/>
      <c r="J568" s="4"/>
      <c r="K568" s="4"/>
      <c r="L568" s="4"/>
      <c r="M568" s="4"/>
      <c r="N568" s="4"/>
      <c r="O568" s="4"/>
      <c r="P568" s="4"/>
      <c r="Q568" s="4"/>
      <c r="R568" s="4"/>
      <c r="S568" s="19"/>
    </row>
    <row r="569" spans="1:19" ht="17.399999999999999" x14ac:dyDescent="0.25">
      <c r="A569" s="4"/>
      <c r="B569" s="19"/>
      <c r="C569" s="4"/>
      <c r="D569" s="4"/>
      <c r="E569" s="5"/>
      <c r="F569" s="4"/>
      <c r="G569" s="4"/>
      <c r="H569" s="4"/>
      <c r="I569" s="4"/>
      <c r="J569" s="4"/>
      <c r="K569" s="4"/>
      <c r="L569" s="4"/>
      <c r="M569" s="4"/>
      <c r="N569" s="4"/>
      <c r="O569" s="4"/>
      <c r="P569" s="4"/>
      <c r="Q569" s="4"/>
      <c r="R569" s="4"/>
      <c r="S569" s="19"/>
    </row>
    <row r="570" spans="1:19" ht="17.399999999999999" x14ac:dyDescent="0.25">
      <c r="A570" s="4"/>
      <c r="B570" s="19"/>
      <c r="C570" s="4"/>
      <c r="D570" s="4"/>
      <c r="E570" s="5"/>
      <c r="F570" s="4"/>
      <c r="G570" s="4"/>
      <c r="H570" s="4"/>
      <c r="I570" s="4"/>
      <c r="J570" s="4"/>
      <c r="K570" s="4"/>
      <c r="L570" s="4"/>
      <c r="M570" s="4"/>
      <c r="N570" s="4"/>
      <c r="O570" s="4"/>
      <c r="P570" s="4"/>
      <c r="Q570" s="4"/>
      <c r="R570" s="4"/>
      <c r="S570" s="19"/>
    </row>
    <row r="571" spans="1:19" ht="17.399999999999999" x14ac:dyDescent="0.25">
      <c r="A571" s="4"/>
      <c r="B571" s="19"/>
      <c r="C571" s="4"/>
      <c r="D571" s="4"/>
      <c r="E571" s="5"/>
      <c r="F571" s="4"/>
      <c r="G571" s="4"/>
      <c r="H571" s="4"/>
      <c r="I571" s="4"/>
      <c r="J571" s="4"/>
      <c r="K571" s="4"/>
      <c r="L571" s="4"/>
      <c r="M571" s="4"/>
      <c r="N571" s="4"/>
      <c r="O571" s="4"/>
      <c r="P571" s="4"/>
      <c r="Q571" s="4"/>
      <c r="R571" s="4"/>
      <c r="S571" s="19"/>
    </row>
    <row r="572" spans="1:19" ht="17.399999999999999" x14ac:dyDescent="0.25">
      <c r="A572" s="4"/>
      <c r="B572" s="19"/>
      <c r="C572" s="4"/>
      <c r="D572" s="4"/>
      <c r="E572" s="5"/>
      <c r="F572" s="4"/>
      <c r="G572" s="4"/>
      <c r="H572" s="4"/>
      <c r="I572" s="4"/>
      <c r="J572" s="4"/>
      <c r="K572" s="4"/>
      <c r="L572" s="4"/>
      <c r="M572" s="4"/>
      <c r="N572" s="4"/>
      <c r="O572" s="4"/>
      <c r="P572" s="4"/>
      <c r="Q572" s="4"/>
      <c r="R572" s="4"/>
      <c r="S572" s="19"/>
    </row>
    <row r="573" spans="1:19" ht="17.399999999999999" x14ac:dyDescent="0.25">
      <c r="A573" s="4"/>
      <c r="B573" s="19"/>
      <c r="C573" s="4"/>
      <c r="D573" s="4"/>
      <c r="E573" s="5"/>
      <c r="F573" s="4"/>
      <c r="G573" s="4"/>
      <c r="H573" s="4"/>
      <c r="I573" s="4"/>
      <c r="J573" s="4"/>
      <c r="K573" s="4"/>
      <c r="L573" s="4"/>
      <c r="M573" s="4"/>
      <c r="N573" s="4"/>
      <c r="O573" s="4"/>
      <c r="P573" s="4"/>
      <c r="Q573" s="4"/>
      <c r="R573" s="4"/>
      <c r="S573" s="19"/>
    </row>
    <row r="574" spans="1:19" ht="17.399999999999999" x14ac:dyDescent="0.25">
      <c r="A574" s="4"/>
      <c r="B574" s="19"/>
      <c r="C574" s="4"/>
      <c r="D574" s="4"/>
      <c r="E574" s="5"/>
      <c r="F574" s="4"/>
      <c r="G574" s="4"/>
      <c r="H574" s="4"/>
      <c r="I574" s="4"/>
      <c r="J574" s="4"/>
      <c r="K574" s="4"/>
      <c r="L574" s="4"/>
      <c r="M574" s="4"/>
      <c r="N574" s="4"/>
      <c r="O574" s="4"/>
      <c r="P574" s="4"/>
      <c r="Q574" s="4"/>
      <c r="R574" s="4"/>
      <c r="S574" s="19"/>
    </row>
    <row r="575" spans="1:19" ht="17.399999999999999" x14ac:dyDescent="0.25">
      <c r="A575" s="4"/>
      <c r="B575" s="19"/>
      <c r="C575" s="4"/>
      <c r="D575" s="4"/>
      <c r="E575" s="5"/>
      <c r="F575" s="4"/>
      <c r="G575" s="4"/>
      <c r="H575" s="4"/>
      <c r="I575" s="4"/>
      <c r="J575" s="4"/>
      <c r="K575" s="4"/>
      <c r="L575" s="4"/>
      <c r="M575" s="4"/>
      <c r="N575" s="4"/>
      <c r="O575" s="4"/>
      <c r="P575" s="4"/>
      <c r="Q575" s="4"/>
      <c r="R575" s="4"/>
      <c r="S575" s="19"/>
    </row>
    <row r="576" spans="1:19" ht="17.399999999999999" x14ac:dyDescent="0.25">
      <c r="A576" s="4"/>
      <c r="B576" s="19"/>
      <c r="C576" s="4"/>
      <c r="D576" s="4"/>
      <c r="E576" s="5"/>
      <c r="F576" s="4"/>
      <c r="G576" s="4"/>
      <c r="H576" s="4"/>
      <c r="I576" s="4"/>
      <c r="J576" s="4"/>
      <c r="K576" s="4"/>
      <c r="L576" s="4"/>
      <c r="M576" s="4"/>
      <c r="N576" s="4"/>
      <c r="O576" s="4"/>
      <c r="P576" s="4"/>
      <c r="Q576" s="4"/>
      <c r="R576" s="4"/>
      <c r="S576" s="19"/>
    </row>
    <row r="577" spans="1:19" ht="17.399999999999999" x14ac:dyDescent="0.25">
      <c r="A577" s="4"/>
      <c r="B577" s="19"/>
      <c r="C577" s="4"/>
      <c r="D577" s="4"/>
      <c r="E577" s="5"/>
      <c r="F577" s="4"/>
      <c r="G577" s="4"/>
      <c r="H577" s="4"/>
      <c r="I577" s="4"/>
      <c r="J577" s="4"/>
      <c r="K577" s="4"/>
      <c r="L577" s="4"/>
      <c r="M577" s="4"/>
      <c r="N577" s="4"/>
      <c r="O577" s="4"/>
      <c r="P577" s="4"/>
      <c r="Q577" s="4"/>
      <c r="R577" s="4"/>
      <c r="S577" s="19"/>
    </row>
    <row r="578" spans="1:19" ht="17.399999999999999" x14ac:dyDescent="0.25">
      <c r="A578" s="4"/>
      <c r="B578" s="19"/>
      <c r="C578" s="4"/>
      <c r="D578" s="4"/>
      <c r="E578" s="5"/>
      <c r="F578" s="4"/>
      <c r="G578" s="4"/>
      <c r="H578" s="4"/>
      <c r="I578" s="4"/>
      <c r="J578" s="4"/>
      <c r="K578" s="4"/>
      <c r="L578" s="4"/>
      <c r="M578" s="4"/>
      <c r="N578" s="4"/>
      <c r="O578" s="4"/>
      <c r="P578" s="4"/>
      <c r="Q578" s="4"/>
      <c r="R578" s="4"/>
      <c r="S578" s="19"/>
    </row>
    <row r="579" spans="1:19" ht="17.399999999999999" x14ac:dyDescent="0.25">
      <c r="A579" s="4"/>
      <c r="B579" s="19"/>
      <c r="C579" s="4"/>
      <c r="D579" s="4"/>
      <c r="E579" s="5"/>
      <c r="F579" s="4"/>
      <c r="G579" s="4"/>
      <c r="H579" s="4"/>
      <c r="I579" s="4"/>
      <c r="J579" s="4"/>
      <c r="K579" s="4"/>
      <c r="L579" s="4"/>
      <c r="M579" s="4"/>
      <c r="N579" s="4"/>
      <c r="O579" s="4"/>
      <c r="P579" s="4"/>
      <c r="Q579" s="4"/>
      <c r="R579" s="4"/>
      <c r="S579" s="19"/>
    </row>
    <row r="580" spans="1:19" ht="17.399999999999999" x14ac:dyDescent="0.25">
      <c r="A580" s="4"/>
      <c r="B580" s="19"/>
      <c r="C580" s="4"/>
      <c r="D580" s="4"/>
      <c r="E580" s="5"/>
      <c r="F580" s="4"/>
      <c r="G580" s="4"/>
      <c r="H580" s="4"/>
      <c r="I580" s="4"/>
      <c r="J580" s="4"/>
      <c r="K580" s="4"/>
      <c r="L580" s="4"/>
      <c r="M580" s="4"/>
      <c r="N580" s="4"/>
      <c r="O580" s="4"/>
      <c r="P580" s="4"/>
      <c r="Q580" s="4"/>
      <c r="R580" s="4"/>
      <c r="S580" s="19"/>
    </row>
    <row r="581" spans="1:19" ht="17.399999999999999" x14ac:dyDescent="0.25">
      <c r="A581" s="4"/>
      <c r="B581" s="19"/>
      <c r="C581" s="4"/>
      <c r="D581" s="4"/>
      <c r="E581" s="5"/>
      <c r="F581" s="4"/>
      <c r="G581" s="4"/>
      <c r="H581" s="4"/>
      <c r="I581" s="4"/>
      <c r="J581" s="4"/>
      <c r="K581" s="4"/>
      <c r="L581" s="4"/>
      <c r="M581" s="4"/>
      <c r="N581" s="4"/>
      <c r="O581" s="4"/>
      <c r="P581" s="4"/>
      <c r="Q581" s="4"/>
      <c r="R581" s="4"/>
      <c r="S581" s="19"/>
    </row>
    <row r="582" spans="1:19" ht="17.399999999999999" x14ac:dyDescent="0.25">
      <c r="A582" s="4"/>
      <c r="B582" s="19"/>
      <c r="C582" s="4"/>
      <c r="D582" s="4"/>
      <c r="E582" s="5"/>
      <c r="F582" s="4"/>
      <c r="G582" s="4"/>
      <c r="H582" s="4"/>
      <c r="I582" s="4"/>
      <c r="J582" s="4"/>
      <c r="K582" s="4"/>
      <c r="L582" s="4"/>
      <c r="M582" s="4"/>
      <c r="N582" s="4"/>
      <c r="O582" s="4"/>
      <c r="P582" s="4"/>
      <c r="Q582" s="4"/>
      <c r="R582" s="4"/>
      <c r="S582" s="19"/>
    </row>
    <row r="583" spans="1:19" ht="17.399999999999999" x14ac:dyDescent="0.25">
      <c r="A583" s="4"/>
      <c r="B583" s="19"/>
      <c r="C583" s="4"/>
      <c r="D583" s="4"/>
      <c r="E583" s="5"/>
      <c r="F583" s="4"/>
      <c r="G583" s="4"/>
      <c r="H583" s="4"/>
      <c r="I583" s="4"/>
      <c r="J583" s="4"/>
      <c r="K583" s="4"/>
      <c r="L583" s="4"/>
      <c r="M583" s="4"/>
      <c r="N583" s="4"/>
      <c r="O583" s="4"/>
      <c r="P583" s="4"/>
      <c r="Q583" s="4"/>
      <c r="R583" s="4"/>
      <c r="S583" s="19"/>
    </row>
    <row r="584" spans="1:19" ht="17.399999999999999" x14ac:dyDescent="0.25">
      <c r="A584" s="4"/>
      <c r="B584" s="19"/>
      <c r="C584" s="4"/>
      <c r="D584" s="4"/>
      <c r="E584" s="5"/>
      <c r="F584" s="4"/>
      <c r="G584" s="4"/>
      <c r="H584" s="4"/>
      <c r="I584" s="4"/>
      <c r="J584" s="4"/>
      <c r="K584" s="4"/>
      <c r="L584" s="4"/>
      <c r="M584" s="4"/>
      <c r="N584" s="4"/>
      <c r="O584" s="4"/>
      <c r="P584" s="4"/>
      <c r="Q584" s="4"/>
      <c r="R584" s="4"/>
      <c r="S584" s="19"/>
    </row>
    <row r="585" spans="1:19" ht="17.399999999999999" x14ac:dyDescent="0.25">
      <c r="A585" s="4"/>
      <c r="B585" s="19"/>
      <c r="C585" s="4"/>
      <c r="D585" s="4"/>
      <c r="E585" s="5"/>
      <c r="F585" s="4"/>
      <c r="G585" s="4"/>
      <c r="H585" s="4"/>
      <c r="I585" s="4"/>
      <c r="J585" s="4"/>
      <c r="K585" s="4"/>
      <c r="L585" s="4"/>
      <c r="M585" s="4"/>
      <c r="N585" s="4"/>
      <c r="O585" s="4"/>
      <c r="P585" s="4"/>
      <c r="Q585" s="4"/>
      <c r="R585" s="4"/>
      <c r="S585" s="19"/>
    </row>
    <row r="586" spans="1:19" ht="17.399999999999999" x14ac:dyDescent="0.25">
      <c r="A586" s="4"/>
      <c r="B586" s="19"/>
      <c r="C586" s="4"/>
      <c r="D586" s="4"/>
      <c r="E586" s="5"/>
      <c r="F586" s="4"/>
      <c r="G586" s="4"/>
      <c r="H586" s="4"/>
      <c r="I586" s="4"/>
      <c r="J586" s="4"/>
      <c r="K586" s="4"/>
      <c r="L586" s="4"/>
      <c r="M586" s="4"/>
      <c r="N586" s="4"/>
      <c r="O586" s="4"/>
      <c r="P586" s="4"/>
      <c r="Q586" s="4"/>
      <c r="R586" s="4"/>
      <c r="S586" s="19"/>
    </row>
    <row r="587" spans="1:19" ht="17.399999999999999" x14ac:dyDescent="0.25">
      <c r="A587" s="4"/>
      <c r="B587" s="19"/>
      <c r="C587" s="4"/>
      <c r="D587" s="4"/>
      <c r="E587" s="5"/>
      <c r="F587" s="4"/>
      <c r="G587" s="4"/>
      <c r="H587" s="4"/>
      <c r="I587" s="4"/>
      <c r="J587" s="4"/>
      <c r="K587" s="4"/>
      <c r="L587" s="4"/>
      <c r="M587" s="4"/>
      <c r="N587" s="4"/>
      <c r="O587" s="4"/>
      <c r="P587" s="4"/>
      <c r="Q587" s="4"/>
      <c r="R587" s="4"/>
      <c r="S587" s="19"/>
    </row>
    <row r="588" spans="1:19" ht="17.399999999999999" x14ac:dyDescent="0.25">
      <c r="A588" s="4"/>
      <c r="B588" s="19"/>
      <c r="C588" s="4"/>
      <c r="D588" s="4"/>
      <c r="E588" s="5"/>
      <c r="F588" s="4"/>
      <c r="G588" s="4"/>
      <c r="H588" s="4"/>
      <c r="I588" s="4"/>
      <c r="J588" s="4"/>
      <c r="K588" s="4"/>
      <c r="L588" s="4"/>
      <c r="M588" s="4"/>
      <c r="N588" s="4"/>
      <c r="O588" s="4"/>
      <c r="P588" s="4"/>
      <c r="Q588" s="4"/>
      <c r="R588" s="4"/>
      <c r="S588" s="19"/>
    </row>
    <row r="589" spans="1:19" ht="17.399999999999999" x14ac:dyDescent="0.25">
      <c r="A589" s="4"/>
      <c r="B589" s="19"/>
      <c r="C589" s="4"/>
      <c r="D589" s="4"/>
      <c r="E589" s="5"/>
      <c r="F589" s="4"/>
      <c r="G589" s="4"/>
      <c r="H589" s="4"/>
      <c r="I589" s="4"/>
      <c r="J589" s="4"/>
      <c r="K589" s="4"/>
      <c r="L589" s="4"/>
      <c r="M589" s="4"/>
      <c r="N589" s="4"/>
      <c r="O589" s="4"/>
      <c r="P589" s="4"/>
      <c r="Q589" s="4"/>
      <c r="R589" s="4"/>
      <c r="S589" s="19"/>
    </row>
    <row r="590" spans="1:19" ht="17.399999999999999" x14ac:dyDescent="0.25">
      <c r="A590" s="4"/>
      <c r="B590" s="19"/>
      <c r="C590" s="4"/>
      <c r="D590" s="4"/>
      <c r="E590" s="5"/>
      <c r="F590" s="4"/>
      <c r="G590" s="4"/>
      <c r="H590" s="4"/>
      <c r="I590" s="4"/>
      <c r="J590" s="4"/>
      <c r="K590" s="4"/>
      <c r="L590" s="4"/>
      <c r="M590" s="4"/>
      <c r="N590" s="4"/>
      <c r="O590" s="4"/>
      <c r="P590" s="4"/>
      <c r="Q590" s="4"/>
      <c r="R590" s="4"/>
      <c r="S590" s="19"/>
    </row>
    <row r="591" spans="1:19" ht="17.399999999999999" x14ac:dyDescent="0.25">
      <c r="A591" s="4"/>
      <c r="B591" s="19"/>
      <c r="C591" s="4"/>
      <c r="D591" s="4"/>
      <c r="E591" s="5"/>
      <c r="F591" s="4"/>
      <c r="G591" s="4"/>
      <c r="H591" s="4"/>
      <c r="I591" s="4"/>
      <c r="J591" s="4"/>
      <c r="K591" s="4"/>
      <c r="L591" s="4"/>
      <c r="M591" s="4"/>
      <c r="N591" s="4"/>
      <c r="O591" s="4"/>
      <c r="P591" s="4"/>
      <c r="Q591" s="4"/>
      <c r="R591" s="4"/>
      <c r="S591" s="19"/>
    </row>
    <row r="592" spans="1:19" ht="17.399999999999999" x14ac:dyDescent="0.25">
      <c r="A592" s="4"/>
      <c r="B592" s="19"/>
      <c r="C592" s="4"/>
      <c r="D592" s="4"/>
      <c r="E592" s="5"/>
      <c r="F592" s="4"/>
      <c r="G592" s="4"/>
      <c r="H592" s="4"/>
      <c r="I592" s="4"/>
      <c r="J592" s="4"/>
      <c r="K592" s="4"/>
      <c r="L592" s="4"/>
      <c r="M592" s="4"/>
      <c r="N592" s="4"/>
      <c r="O592" s="4"/>
      <c r="P592" s="4"/>
      <c r="Q592" s="4"/>
      <c r="R592" s="4"/>
      <c r="S592" s="19"/>
    </row>
    <row r="593" spans="1:19" ht="17.399999999999999" x14ac:dyDescent="0.25">
      <c r="A593" s="4"/>
      <c r="B593" s="19"/>
      <c r="C593" s="4"/>
      <c r="D593" s="4"/>
      <c r="E593" s="5"/>
      <c r="F593" s="4"/>
      <c r="G593" s="4"/>
      <c r="H593" s="4"/>
      <c r="I593" s="4"/>
      <c r="J593" s="4"/>
      <c r="K593" s="4"/>
      <c r="L593" s="4"/>
      <c r="M593" s="4"/>
      <c r="N593" s="4"/>
      <c r="O593" s="4"/>
      <c r="P593" s="4"/>
      <c r="Q593" s="4"/>
      <c r="R593" s="4"/>
      <c r="S593" s="19"/>
    </row>
    <row r="594" spans="1:19" ht="17.399999999999999" x14ac:dyDescent="0.25">
      <c r="A594" s="4"/>
      <c r="B594" s="19"/>
      <c r="C594" s="4"/>
      <c r="D594" s="4"/>
      <c r="E594" s="5"/>
      <c r="F594" s="4"/>
      <c r="G594" s="4"/>
      <c r="H594" s="4"/>
      <c r="I594" s="4"/>
      <c r="J594" s="4"/>
      <c r="K594" s="4"/>
      <c r="L594" s="4"/>
      <c r="M594" s="4"/>
      <c r="N594" s="4"/>
      <c r="O594" s="4"/>
      <c r="P594" s="4"/>
      <c r="Q594" s="4"/>
      <c r="R594" s="4"/>
      <c r="S594" s="19"/>
    </row>
    <row r="595" spans="1:19" ht="17.399999999999999" x14ac:dyDescent="0.25">
      <c r="A595" s="4"/>
      <c r="B595" s="19"/>
      <c r="C595" s="4"/>
      <c r="D595" s="4"/>
      <c r="E595" s="5"/>
      <c r="F595" s="4"/>
      <c r="G595" s="4"/>
      <c r="H595" s="4"/>
      <c r="I595" s="4"/>
      <c r="J595" s="4"/>
      <c r="K595" s="4"/>
      <c r="L595" s="4"/>
      <c r="M595" s="4"/>
      <c r="N595" s="4"/>
      <c r="O595" s="4"/>
      <c r="P595" s="4"/>
      <c r="Q595" s="4"/>
      <c r="R595" s="4"/>
      <c r="S595" s="19"/>
    </row>
    <row r="596" spans="1:19" ht="17.399999999999999" x14ac:dyDescent="0.25">
      <c r="A596" s="4"/>
      <c r="B596" s="19"/>
      <c r="C596" s="4"/>
      <c r="D596" s="4"/>
      <c r="E596" s="5"/>
      <c r="F596" s="4"/>
      <c r="G596" s="4"/>
      <c r="H596" s="4"/>
      <c r="I596" s="4"/>
      <c r="J596" s="4"/>
      <c r="K596" s="4"/>
      <c r="L596" s="4"/>
      <c r="M596" s="4"/>
      <c r="N596" s="4"/>
      <c r="O596" s="4"/>
      <c r="P596" s="4"/>
      <c r="Q596" s="4"/>
      <c r="R596" s="4"/>
      <c r="S596" s="19"/>
    </row>
    <row r="597" spans="1:19" ht="17.399999999999999" x14ac:dyDescent="0.25">
      <c r="A597" s="4"/>
      <c r="B597" s="19"/>
      <c r="C597" s="4"/>
      <c r="D597" s="4"/>
      <c r="E597" s="5"/>
      <c r="F597" s="4"/>
      <c r="G597" s="4"/>
      <c r="H597" s="4"/>
      <c r="I597" s="4"/>
      <c r="J597" s="4"/>
      <c r="K597" s="4"/>
      <c r="L597" s="4"/>
      <c r="M597" s="4"/>
      <c r="N597" s="4"/>
      <c r="O597" s="4"/>
      <c r="P597" s="4"/>
      <c r="Q597" s="4"/>
      <c r="R597" s="4"/>
      <c r="S597" s="19"/>
    </row>
    <row r="598" spans="1:19" ht="17.399999999999999" x14ac:dyDescent="0.25">
      <c r="A598" s="4"/>
      <c r="B598" s="19"/>
      <c r="C598" s="4"/>
      <c r="D598" s="4"/>
      <c r="E598" s="5"/>
      <c r="F598" s="4"/>
      <c r="G598" s="4"/>
      <c r="H598" s="4"/>
      <c r="I598" s="4"/>
      <c r="J598" s="4"/>
      <c r="K598" s="4"/>
      <c r="L598" s="4"/>
      <c r="M598" s="4"/>
      <c r="N598" s="4"/>
      <c r="O598" s="4"/>
      <c r="P598" s="4"/>
      <c r="Q598" s="4"/>
      <c r="R598" s="4"/>
      <c r="S598" s="19"/>
    </row>
    <row r="599" spans="1:19" ht="17.399999999999999" x14ac:dyDescent="0.25">
      <c r="A599" s="4"/>
      <c r="B599" s="19"/>
      <c r="C599" s="4"/>
      <c r="D599" s="4"/>
      <c r="E599" s="5"/>
      <c r="F599" s="4"/>
      <c r="G599" s="4"/>
      <c r="H599" s="4"/>
      <c r="I599" s="4"/>
      <c r="J599" s="4"/>
      <c r="K599" s="4"/>
      <c r="L599" s="4"/>
      <c r="M599" s="4"/>
      <c r="N599" s="4"/>
      <c r="O599" s="4"/>
      <c r="P599" s="4"/>
      <c r="Q599" s="4"/>
      <c r="R599" s="4"/>
      <c r="S599" s="19"/>
    </row>
    <row r="600" spans="1:19" ht="17.399999999999999" x14ac:dyDescent="0.25">
      <c r="A600" s="4"/>
      <c r="B600" s="19"/>
      <c r="C600" s="4"/>
      <c r="D600" s="4"/>
      <c r="E600" s="5"/>
      <c r="F600" s="4"/>
      <c r="G600" s="4"/>
      <c r="H600" s="4"/>
      <c r="I600" s="4"/>
      <c r="J600" s="4"/>
      <c r="K600" s="4"/>
      <c r="L600" s="4"/>
      <c r="M600" s="4"/>
      <c r="N600" s="4"/>
      <c r="O600" s="4"/>
      <c r="P600" s="4"/>
      <c r="Q600" s="4"/>
      <c r="R600" s="4"/>
      <c r="S600" s="19"/>
    </row>
    <row r="601" spans="1:19" ht="17.399999999999999" x14ac:dyDescent="0.25">
      <c r="A601" s="4"/>
      <c r="B601" s="19"/>
      <c r="C601" s="4"/>
      <c r="D601" s="4"/>
      <c r="E601" s="5"/>
      <c r="F601" s="4"/>
      <c r="G601" s="4"/>
      <c r="H601" s="4"/>
      <c r="I601" s="4"/>
      <c r="J601" s="4"/>
      <c r="K601" s="4"/>
      <c r="L601" s="4"/>
      <c r="M601" s="4"/>
      <c r="N601" s="4"/>
      <c r="O601" s="4"/>
      <c r="P601" s="4"/>
      <c r="Q601" s="4"/>
      <c r="R601" s="4"/>
      <c r="S601" s="19"/>
    </row>
    <row r="602" spans="1:19" ht="17.399999999999999" x14ac:dyDescent="0.25">
      <c r="A602" s="4"/>
      <c r="B602" s="19"/>
      <c r="C602" s="4"/>
      <c r="D602" s="4"/>
      <c r="E602" s="5"/>
      <c r="F602" s="4"/>
      <c r="G602" s="4"/>
      <c r="H602" s="4"/>
      <c r="I602" s="4"/>
      <c r="J602" s="4"/>
      <c r="K602" s="4"/>
      <c r="L602" s="4"/>
      <c r="M602" s="4"/>
      <c r="N602" s="4"/>
      <c r="O602" s="4"/>
      <c r="P602" s="4"/>
      <c r="Q602" s="4"/>
      <c r="R602" s="4"/>
      <c r="S602" s="19"/>
    </row>
    <row r="603" spans="1:19" ht="17.399999999999999" x14ac:dyDescent="0.25">
      <c r="A603" s="4"/>
      <c r="B603" s="19"/>
      <c r="C603" s="4"/>
      <c r="D603" s="4"/>
      <c r="E603" s="5"/>
      <c r="F603" s="4"/>
      <c r="G603" s="4"/>
      <c r="H603" s="4"/>
      <c r="I603" s="4"/>
      <c r="J603" s="4"/>
      <c r="K603" s="4"/>
      <c r="L603" s="4"/>
      <c r="M603" s="4"/>
      <c r="N603" s="4"/>
      <c r="O603" s="4"/>
      <c r="P603" s="4"/>
      <c r="Q603" s="4"/>
      <c r="R603" s="4"/>
      <c r="S603" s="19"/>
    </row>
    <row r="604" spans="1:19" ht="17.399999999999999" x14ac:dyDescent="0.25">
      <c r="A604" s="4"/>
      <c r="B604" s="19"/>
      <c r="C604" s="4"/>
      <c r="D604" s="4"/>
      <c r="E604" s="5"/>
      <c r="F604" s="4"/>
      <c r="G604" s="4"/>
      <c r="H604" s="4"/>
      <c r="I604" s="4"/>
      <c r="J604" s="4"/>
      <c r="K604" s="4"/>
      <c r="L604" s="4"/>
      <c r="M604" s="4"/>
      <c r="N604" s="4"/>
      <c r="O604" s="4"/>
      <c r="P604" s="4"/>
      <c r="Q604" s="4"/>
      <c r="R604" s="4"/>
      <c r="S604" s="19"/>
    </row>
    <row r="605" spans="1:19" ht="17.399999999999999" x14ac:dyDescent="0.25">
      <c r="A605" s="4"/>
      <c r="B605" s="19"/>
      <c r="C605" s="4"/>
      <c r="D605" s="4"/>
      <c r="E605" s="5"/>
      <c r="F605" s="4"/>
      <c r="G605" s="4"/>
      <c r="H605" s="4"/>
      <c r="I605" s="4"/>
      <c r="J605" s="4"/>
      <c r="K605" s="4"/>
      <c r="L605" s="4"/>
      <c r="M605" s="4"/>
      <c r="N605" s="4"/>
      <c r="O605" s="4"/>
      <c r="P605" s="4"/>
      <c r="Q605" s="4"/>
      <c r="R605" s="4"/>
      <c r="S605" s="19"/>
    </row>
    <row r="606" spans="1:19" ht="17.399999999999999" x14ac:dyDescent="0.25">
      <c r="A606" s="4"/>
      <c r="B606" s="19"/>
      <c r="C606" s="4"/>
      <c r="D606" s="4"/>
      <c r="E606" s="5"/>
      <c r="F606" s="4"/>
      <c r="G606" s="4"/>
      <c r="H606" s="4"/>
      <c r="I606" s="4"/>
      <c r="J606" s="4"/>
      <c r="K606" s="4"/>
      <c r="L606" s="4"/>
      <c r="M606" s="4"/>
      <c r="N606" s="4"/>
      <c r="O606" s="4"/>
      <c r="P606" s="4"/>
      <c r="Q606" s="4"/>
      <c r="R606" s="4"/>
      <c r="S606" s="19"/>
    </row>
    <row r="607" spans="1:19" ht="17.399999999999999" x14ac:dyDescent="0.25">
      <c r="A607" s="4"/>
      <c r="B607" s="19"/>
      <c r="C607" s="4"/>
      <c r="D607" s="4"/>
      <c r="E607" s="5"/>
      <c r="F607" s="4"/>
      <c r="G607" s="4"/>
      <c r="H607" s="4"/>
      <c r="I607" s="4"/>
      <c r="J607" s="4"/>
      <c r="K607" s="4"/>
      <c r="L607" s="4"/>
      <c r="M607" s="4"/>
      <c r="N607" s="4"/>
      <c r="O607" s="4"/>
      <c r="P607" s="4"/>
      <c r="Q607" s="4"/>
      <c r="R607" s="4"/>
      <c r="S607" s="19"/>
    </row>
    <row r="608" spans="1:19" ht="17.399999999999999" x14ac:dyDescent="0.25">
      <c r="A608" s="4"/>
      <c r="B608" s="19"/>
      <c r="C608" s="4"/>
      <c r="D608" s="4"/>
      <c r="E608" s="5"/>
      <c r="F608" s="4"/>
      <c r="G608" s="4"/>
      <c r="H608" s="4"/>
      <c r="I608" s="4"/>
      <c r="J608" s="4"/>
      <c r="K608" s="4"/>
      <c r="L608" s="4"/>
      <c r="M608" s="4"/>
      <c r="N608" s="4"/>
      <c r="O608" s="4"/>
      <c r="P608" s="4"/>
      <c r="Q608" s="4"/>
      <c r="R608" s="4"/>
      <c r="S608" s="19"/>
    </row>
    <row r="609" spans="1:19" ht="17.399999999999999" x14ac:dyDescent="0.25">
      <c r="A609" s="4"/>
      <c r="B609" s="19"/>
      <c r="C609" s="4"/>
      <c r="D609" s="4"/>
      <c r="E609" s="5"/>
      <c r="F609" s="4"/>
      <c r="G609" s="4"/>
      <c r="H609" s="4"/>
      <c r="I609" s="4"/>
      <c r="J609" s="4"/>
      <c r="K609" s="4"/>
      <c r="L609" s="4"/>
      <c r="M609" s="4"/>
      <c r="N609" s="4"/>
      <c r="O609" s="4"/>
      <c r="P609" s="4"/>
      <c r="Q609" s="4"/>
      <c r="R609" s="4"/>
      <c r="S609" s="19"/>
    </row>
    <row r="610" spans="1:19" ht="17.399999999999999" x14ac:dyDescent="0.25">
      <c r="A610" s="4"/>
      <c r="B610" s="19"/>
      <c r="C610" s="4"/>
      <c r="D610" s="4"/>
      <c r="E610" s="5"/>
      <c r="F610" s="4"/>
      <c r="G610" s="4"/>
      <c r="H610" s="4"/>
      <c r="I610" s="4"/>
      <c r="J610" s="4"/>
      <c r="K610" s="4"/>
      <c r="L610" s="4"/>
      <c r="M610" s="4"/>
      <c r="N610" s="4"/>
      <c r="O610" s="4"/>
      <c r="P610" s="4"/>
      <c r="Q610" s="4"/>
      <c r="R610" s="4"/>
      <c r="S610" s="19"/>
    </row>
    <row r="611" spans="1:19" ht="17.399999999999999" x14ac:dyDescent="0.25">
      <c r="A611" s="4"/>
      <c r="B611" s="19"/>
      <c r="C611" s="4"/>
      <c r="D611" s="4"/>
      <c r="E611" s="5"/>
      <c r="F611" s="4"/>
      <c r="G611" s="4"/>
      <c r="H611" s="4"/>
      <c r="I611" s="4"/>
      <c r="J611" s="4"/>
      <c r="K611" s="4"/>
      <c r="L611" s="4"/>
      <c r="M611" s="4"/>
      <c r="N611" s="4"/>
      <c r="O611" s="4"/>
      <c r="P611" s="4"/>
      <c r="Q611" s="4"/>
      <c r="R611" s="4"/>
      <c r="S611" s="19"/>
    </row>
    <row r="612" spans="1:19" ht="17.399999999999999" x14ac:dyDescent="0.25">
      <c r="A612" s="4"/>
      <c r="B612" s="19"/>
      <c r="C612" s="4"/>
      <c r="D612" s="4"/>
      <c r="E612" s="5"/>
      <c r="F612" s="4"/>
      <c r="G612" s="4"/>
      <c r="H612" s="4"/>
      <c r="I612" s="4"/>
      <c r="J612" s="4"/>
      <c r="K612" s="4"/>
      <c r="L612" s="4"/>
      <c r="M612" s="4"/>
      <c r="N612" s="4"/>
      <c r="O612" s="4"/>
      <c r="P612" s="4"/>
      <c r="Q612" s="4"/>
      <c r="R612" s="4"/>
      <c r="S612" s="19"/>
    </row>
    <row r="613" spans="1:19" ht="17.399999999999999" x14ac:dyDescent="0.25">
      <c r="A613" s="4"/>
      <c r="B613" s="19"/>
      <c r="C613" s="4"/>
      <c r="D613" s="4"/>
      <c r="E613" s="5"/>
      <c r="F613" s="4"/>
      <c r="G613" s="4"/>
      <c r="H613" s="4"/>
      <c r="I613" s="4"/>
      <c r="J613" s="4"/>
      <c r="K613" s="4"/>
      <c r="L613" s="4"/>
      <c r="M613" s="4"/>
      <c r="N613" s="4"/>
      <c r="O613" s="4"/>
      <c r="P613" s="4"/>
      <c r="Q613" s="4"/>
      <c r="R613" s="4"/>
      <c r="S613" s="19"/>
    </row>
    <row r="614" spans="1:19" ht="17.399999999999999" x14ac:dyDescent="0.25">
      <c r="A614" s="4"/>
      <c r="B614" s="19"/>
      <c r="C614" s="4"/>
      <c r="D614" s="4"/>
      <c r="E614" s="5"/>
      <c r="F614" s="4"/>
      <c r="G614" s="4"/>
      <c r="H614" s="4"/>
      <c r="I614" s="4"/>
      <c r="J614" s="4"/>
      <c r="K614" s="4"/>
      <c r="L614" s="4"/>
      <c r="M614" s="4"/>
      <c r="N614" s="4"/>
      <c r="O614" s="4"/>
      <c r="P614" s="4"/>
      <c r="Q614" s="4"/>
      <c r="R614" s="4"/>
      <c r="S614" s="19"/>
    </row>
    <row r="615" spans="1:19" ht="17.399999999999999" x14ac:dyDescent="0.25">
      <c r="A615" s="4"/>
      <c r="B615" s="19"/>
      <c r="C615" s="4"/>
      <c r="D615" s="4"/>
      <c r="E615" s="5"/>
      <c r="F615" s="4"/>
      <c r="G615" s="4"/>
      <c r="H615" s="4"/>
      <c r="I615" s="4"/>
      <c r="J615" s="4"/>
      <c r="K615" s="4"/>
      <c r="L615" s="4"/>
      <c r="M615" s="4"/>
      <c r="N615" s="4"/>
      <c r="O615" s="4"/>
      <c r="P615" s="4"/>
      <c r="Q615" s="4"/>
      <c r="R615" s="4"/>
      <c r="S615" s="19"/>
    </row>
    <row r="616" spans="1:19" ht="17.399999999999999" x14ac:dyDescent="0.25">
      <c r="A616" s="4"/>
      <c r="B616" s="19"/>
      <c r="C616" s="4"/>
      <c r="D616" s="4"/>
      <c r="E616" s="5"/>
      <c r="F616" s="4"/>
      <c r="G616" s="4"/>
      <c r="H616" s="4"/>
      <c r="I616" s="4"/>
      <c r="J616" s="4"/>
      <c r="K616" s="4"/>
      <c r="L616" s="4"/>
      <c r="M616" s="4"/>
      <c r="N616" s="4"/>
      <c r="O616" s="4"/>
      <c r="P616" s="4"/>
      <c r="Q616" s="4"/>
      <c r="R616" s="4"/>
      <c r="S616" s="19"/>
    </row>
    <row r="617" spans="1:19" ht="17.399999999999999" x14ac:dyDescent="0.25">
      <c r="A617" s="4"/>
      <c r="B617" s="19"/>
      <c r="C617" s="4"/>
      <c r="D617" s="4"/>
      <c r="E617" s="5"/>
      <c r="F617" s="4"/>
      <c r="G617" s="4"/>
      <c r="H617" s="4"/>
      <c r="I617" s="4"/>
      <c r="J617" s="4"/>
      <c r="K617" s="4"/>
      <c r="L617" s="4"/>
      <c r="M617" s="4"/>
      <c r="N617" s="4"/>
      <c r="O617" s="4"/>
      <c r="P617" s="4"/>
      <c r="Q617" s="4"/>
      <c r="R617" s="4"/>
      <c r="S617" s="19"/>
    </row>
    <row r="618" spans="1:19" ht="17.399999999999999" x14ac:dyDescent="0.25">
      <c r="A618" s="4"/>
      <c r="B618" s="19"/>
      <c r="C618" s="4"/>
      <c r="D618" s="4"/>
      <c r="E618" s="5"/>
      <c r="F618" s="4"/>
      <c r="G618" s="4"/>
      <c r="H618" s="4"/>
      <c r="I618" s="4"/>
      <c r="J618" s="4"/>
      <c r="K618" s="4"/>
      <c r="L618" s="4"/>
      <c r="M618" s="4"/>
      <c r="N618" s="4"/>
      <c r="O618" s="4"/>
      <c r="P618" s="4"/>
      <c r="Q618" s="4"/>
      <c r="R618" s="4"/>
      <c r="S618" s="19"/>
    </row>
    <row r="619" spans="1:19" ht="17.399999999999999" x14ac:dyDescent="0.25">
      <c r="A619" s="4"/>
      <c r="B619" s="19"/>
      <c r="C619" s="4"/>
      <c r="D619" s="4"/>
      <c r="E619" s="5"/>
      <c r="F619" s="4"/>
      <c r="G619" s="4"/>
      <c r="H619" s="4"/>
      <c r="I619" s="4"/>
      <c r="J619" s="4"/>
      <c r="K619" s="4"/>
      <c r="L619" s="4"/>
      <c r="M619" s="4"/>
      <c r="N619" s="4"/>
      <c r="O619" s="4"/>
      <c r="P619" s="4"/>
      <c r="Q619" s="4"/>
      <c r="R619" s="4"/>
      <c r="S619" s="19"/>
    </row>
    <row r="620" spans="1:19" ht="17.399999999999999" x14ac:dyDescent="0.25">
      <c r="A620" s="4"/>
      <c r="B620" s="19"/>
      <c r="C620" s="4"/>
      <c r="D620" s="4"/>
      <c r="E620" s="5"/>
      <c r="F620" s="4"/>
      <c r="G620" s="4"/>
      <c r="H620" s="4"/>
      <c r="I620" s="4"/>
      <c r="J620" s="4"/>
      <c r="K620" s="4"/>
      <c r="L620" s="4"/>
      <c r="M620" s="4"/>
      <c r="N620" s="4"/>
      <c r="O620" s="4"/>
      <c r="P620" s="4"/>
      <c r="Q620" s="4"/>
      <c r="R620" s="4"/>
      <c r="S620" s="19"/>
    </row>
    <row r="621" spans="1:19" ht="17.399999999999999" x14ac:dyDescent="0.25">
      <c r="A621" s="4"/>
      <c r="B621" s="19"/>
      <c r="C621" s="4"/>
      <c r="D621" s="4"/>
      <c r="E621" s="5"/>
      <c r="F621" s="4"/>
      <c r="G621" s="4"/>
      <c r="H621" s="4"/>
      <c r="I621" s="4"/>
      <c r="J621" s="4"/>
      <c r="K621" s="4"/>
      <c r="L621" s="4"/>
      <c r="M621" s="4"/>
      <c r="N621" s="4"/>
      <c r="O621" s="4"/>
      <c r="P621" s="4"/>
      <c r="Q621" s="4"/>
      <c r="R621" s="4"/>
      <c r="S621" s="19"/>
    </row>
    <row r="622" spans="1:19" ht="17.399999999999999" x14ac:dyDescent="0.25">
      <c r="A622" s="4"/>
      <c r="B622" s="19"/>
      <c r="C622" s="4"/>
      <c r="D622" s="4"/>
      <c r="E622" s="5"/>
      <c r="F622" s="4"/>
      <c r="G622" s="4"/>
      <c r="H622" s="4"/>
      <c r="I622" s="4"/>
      <c r="J622" s="4"/>
      <c r="K622" s="4"/>
      <c r="L622" s="4"/>
      <c r="M622" s="4"/>
      <c r="N622" s="4"/>
      <c r="O622" s="4"/>
      <c r="P622" s="4"/>
      <c r="Q622" s="4"/>
      <c r="R622" s="4"/>
      <c r="S622" s="19"/>
    </row>
    <row r="623" spans="1:19" ht="17.399999999999999" x14ac:dyDescent="0.25">
      <c r="A623" s="4"/>
      <c r="B623" s="19"/>
      <c r="C623" s="4"/>
      <c r="D623" s="4"/>
      <c r="E623" s="5"/>
      <c r="F623" s="4"/>
      <c r="G623" s="4"/>
      <c r="H623" s="4"/>
      <c r="I623" s="4"/>
      <c r="J623" s="4"/>
      <c r="K623" s="4"/>
      <c r="L623" s="4"/>
      <c r="M623" s="4"/>
      <c r="N623" s="4"/>
      <c r="O623" s="4"/>
      <c r="P623" s="4"/>
      <c r="Q623" s="4"/>
      <c r="R623" s="4"/>
      <c r="S623" s="19"/>
    </row>
    <row r="624" spans="1:19" ht="17.399999999999999" x14ac:dyDescent="0.25">
      <c r="A624" s="4"/>
      <c r="B624" s="19"/>
      <c r="C624" s="4"/>
      <c r="D624" s="4"/>
      <c r="E624" s="5"/>
      <c r="F624" s="4"/>
      <c r="G624" s="4"/>
      <c r="H624" s="4"/>
      <c r="I624" s="4"/>
      <c r="J624" s="4"/>
      <c r="K624" s="4"/>
      <c r="L624" s="4"/>
      <c r="M624" s="4"/>
      <c r="N624" s="4"/>
      <c r="O624" s="4"/>
      <c r="P624" s="4"/>
      <c r="Q624" s="4"/>
      <c r="R624" s="4"/>
      <c r="S624" s="19"/>
    </row>
    <row r="625" spans="1:19" ht="17.399999999999999" x14ac:dyDescent="0.25">
      <c r="A625" s="4"/>
      <c r="B625" s="19"/>
      <c r="C625" s="4"/>
      <c r="D625" s="4"/>
      <c r="E625" s="5"/>
      <c r="F625" s="4"/>
      <c r="G625" s="4"/>
      <c r="H625" s="4"/>
      <c r="I625" s="4"/>
      <c r="J625" s="4"/>
      <c r="K625" s="4"/>
      <c r="L625" s="4"/>
      <c r="M625" s="4"/>
      <c r="N625" s="4"/>
      <c r="O625" s="4"/>
      <c r="P625" s="4"/>
      <c r="Q625" s="4"/>
      <c r="R625" s="4"/>
      <c r="S625" s="19"/>
    </row>
    <row r="626" spans="1:19" ht="17.399999999999999" x14ac:dyDescent="0.25">
      <c r="A626" s="4"/>
      <c r="B626" s="19"/>
      <c r="C626" s="4"/>
      <c r="D626" s="4"/>
      <c r="E626" s="5"/>
      <c r="F626" s="4"/>
      <c r="G626" s="4"/>
      <c r="H626" s="4"/>
      <c r="I626" s="4"/>
      <c r="J626" s="4"/>
      <c r="K626" s="4"/>
      <c r="L626" s="4"/>
      <c r="M626" s="4"/>
      <c r="N626" s="4"/>
      <c r="O626" s="4"/>
      <c r="P626" s="4"/>
      <c r="Q626" s="4"/>
      <c r="R626" s="4"/>
      <c r="S626" s="19"/>
    </row>
    <row r="627" spans="1:19" ht="17.399999999999999" x14ac:dyDescent="0.25">
      <c r="A627" s="4"/>
      <c r="B627" s="19"/>
      <c r="C627" s="4"/>
      <c r="D627" s="4"/>
      <c r="E627" s="5"/>
      <c r="F627" s="4"/>
      <c r="G627" s="4"/>
      <c r="H627" s="4"/>
      <c r="I627" s="4"/>
      <c r="J627" s="4"/>
      <c r="K627" s="4"/>
      <c r="L627" s="4"/>
      <c r="M627" s="4"/>
      <c r="N627" s="4"/>
      <c r="O627" s="4"/>
      <c r="P627" s="4"/>
      <c r="Q627" s="4"/>
      <c r="R627" s="4"/>
      <c r="S627" s="19"/>
    </row>
    <row r="628" spans="1:19" ht="17.399999999999999" x14ac:dyDescent="0.25">
      <c r="A628" s="4"/>
      <c r="B628" s="19"/>
      <c r="C628" s="4"/>
      <c r="D628" s="4"/>
      <c r="E628" s="5"/>
      <c r="F628" s="4"/>
      <c r="G628" s="4"/>
      <c r="H628" s="4"/>
      <c r="I628" s="4"/>
      <c r="J628" s="4"/>
      <c r="K628" s="4"/>
      <c r="L628" s="4"/>
      <c r="M628" s="4"/>
      <c r="N628" s="4"/>
      <c r="O628" s="4"/>
      <c r="P628" s="4"/>
      <c r="Q628" s="4"/>
      <c r="R628" s="4"/>
      <c r="S628" s="19"/>
    </row>
    <row r="629" spans="1:19" ht="17.399999999999999" x14ac:dyDescent="0.25">
      <c r="A629" s="4"/>
      <c r="B629" s="19"/>
      <c r="C629" s="4"/>
      <c r="D629" s="4"/>
      <c r="E629" s="5"/>
      <c r="F629" s="4"/>
      <c r="G629" s="4"/>
      <c r="H629" s="4"/>
      <c r="I629" s="4"/>
      <c r="J629" s="4"/>
      <c r="K629" s="4"/>
      <c r="L629" s="4"/>
      <c r="M629" s="4"/>
      <c r="N629" s="4"/>
      <c r="O629" s="4"/>
      <c r="P629" s="4"/>
      <c r="Q629" s="4"/>
      <c r="R629" s="4"/>
      <c r="S629" s="19"/>
    </row>
    <row r="630" spans="1:19" ht="17.399999999999999" x14ac:dyDescent="0.25">
      <c r="A630" s="4"/>
      <c r="B630" s="19"/>
      <c r="C630" s="4"/>
      <c r="D630" s="4"/>
      <c r="E630" s="5"/>
      <c r="F630" s="4"/>
      <c r="G630" s="4"/>
      <c r="H630" s="4"/>
      <c r="I630" s="4"/>
      <c r="J630" s="4"/>
      <c r="K630" s="4"/>
      <c r="L630" s="4"/>
      <c r="M630" s="4"/>
      <c r="N630" s="4"/>
      <c r="O630" s="4"/>
      <c r="P630" s="4"/>
      <c r="Q630" s="4"/>
      <c r="R630" s="4"/>
      <c r="S630" s="19"/>
    </row>
    <row r="631" spans="1:19" ht="17.399999999999999" x14ac:dyDescent="0.25">
      <c r="A631" s="4"/>
      <c r="B631" s="19"/>
      <c r="C631" s="4"/>
      <c r="D631" s="4"/>
      <c r="E631" s="5"/>
      <c r="F631" s="4"/>
      <c r="G631" s="4"/>
      <c r="H631" s="4"/>
      <c r="I631" s="4"/>
      <c r="J631" s="4"/>
      <c r="K631" s="4"/>
      <c r="L631" s="4"/>
      <c r="M631" s="4"/>
      <c r="N631" s="4"/>
      <c r="O631" s="4"/>
      <c r="P631" s="4"/>
      <c r="Q631" s="4"/>
      <c r="R631" s="4"/>
      <c r="S631" s="19"/>
    </row>
    <row r="632" spans="1:19" ht="17.399999999999999" x14ac:dyDescent="0.25">
      <c r="A632" s="4"/>
      <c r="B632" s="19"/>
      <c r="C632" s="4"/>
      <c r="D632" s="4"/>
      <c r="E632" s="5"/>
      <c r="F632" s="4"/>
      <c r="G632" s="4"/>
      <c r="H632" s="4"/>
      <c r="I632" s="4"/>
      <c r="J632" s="4"/>
      <c r="K632" s="4"/>
      <c r="L632" s="4"/>
      <c r="M632" s="4"/>
      <c r="N632" s="4"/>
      <c r="O632" s="4"/>
      <c r="P632" s="4"/>
      <c r="Q632" s="4"/>
      <c r="R632" s="4"/>
      <c r="S632" s="19"/>
    </row>
    <row r="633" spans="1:19" ht="17.399999999999999" x14ac:dyDescent="0.25">
      <c r="A633" s="4"/>
      <c r="B633" s="19"/>
      <c r="C633" s="4"/>
      <c r="D633" s="4"/>
      <c r="E633" s="5"/>
      <c r="F633" s="4"/>
      <c r="G633" s="4"/>
      <c r="H633" s="4"/>
      <c r="I633" s="4"/>
      <c r="J633" s="4"/>
      <c r="K633" s="4"/>
      <c r="L633" s="4"/>
      <c r="M633" s="4"/>
      <c r="N633" s="4"/>
      <c r="O633" s="4"/>
      <c r="P633" s="4"/>
      <c r="Q633" s="4"/>
      <c r="R633" s="4"/>
      <c r="S633" s="19"/>
    </row>
    <row r="634" spans="1:19" ht="17.399999999999999" x14ac:dyDescent="0.25">
      <c r="A634" s="4"/>
      <c r="B634" s="19"/>
      <c r="C634" s="4"/>
      <c r="D634" s="4"/>
      <c r="E634" s="5"/>
      <c r="F634" s="4"/>
      <c r="G634" s="4"/>
      <c r="H634" s="4"/>
      <c r="I634" s="4"/>
      <c r="J634" s="4"/>
      <c r="K634" s="4"/>
      <c r="L634" s="4"/>
      <c r="M634" s="4"/>
      <c r="N634" s="4"/>
      <c r="O634" s="4"/>
      <c r="P634" s="4"/>
      <c r="Q634" s="4"/>
      <c r="R634" s="4"/>
      <c r="S634" s="19"/>
    </row>
    <row r="635" spans="1:19" ht="17.399999999999999" x14ac:dyDescent="0.25">
      <c r="A635" s="4"/>
      <c r="B635" s="19"/>
      <c r="C635" s="4"/>
      <c r="D635" s="4"/>
      <c r="E635" s="5"/>
      <c r="F635" s="4"/>
      <c r="G635" s="4"/>
      <c r="H635" s="4"/>
      <c r="I635" s="4"/>
      <c r="J635" s="4"/>
      <c r="K635" s="4"/>
      <c r="L635" s="4"/>
      <c r="M635" s="4"/>
      <c r="N635" s="4"/>
      <c r="O635" s="4"/>
      <c r="P635" s="4"/>
      <c r="Q635" s="4"/>
      <c r="R635" s="4"/>
      <c r="S635" s="19"/>
    </row>
    <row r="636" spans="1:19" ht="17.399999999999999" x14ac:dyDescent="0.25">
      <c r="A636" s="4"/>
      <c r="B636" s="19"/>
      <c r="C636" s="4"/>
      <c r="D636" s="4"/>
      <c r="E636" s="5"/>
      <c r="F636" s="4"/>
      <c r="G636" s="4"/>
      <c r="H636" s="4"/>
      <c r="I636" s="4"/>
      <c r="J636" s="4"/>
      <c r="K636" s="4"/>
      <c r="L636" s="4"/>
      <c r="M636" s="4"/>
      <c r="N636" s="4"/>
      <c r="O636" s="4"/>
      <c r="P636" s="4"/>
      <c r="Q636" s="4"/>
      <c r="R636" s="4"/>
      <c r="S636" s="19"/>
    </row>
    <row r="637" spans="1:19" ht="17.399999999999999" x14ac:dyDescent="0.25">
      <c r="A637" s="4"/>
      <c r="B637" s="19"/>
      <c r="C637" s="4"/>
      <c r="D637" s="4"/>
      <c r="E637" s="5"/>
      <c r="F637" s="4"/>
      <c r="G637" s="4"/>
      <c r="H637" s="4"/>
      <c r="I637" s="4"/>
      <c r="J637" s="4"/>
      <c r="K637" s="4"/>
      <c r="L637" s="4"/>
      <c r="M637" s="4"/>
      <c r="N637" s="4"/>
      <c r="O637" s="4"/>
      <c r="P637" s="4"/>
      <c r="Q637" s="4"/>
      <c r="R637" s="4"/>
      <c r="S637" s="19"/>
    </row>
    <row r="638" spans="1:19" ht="17.399999999999999" x14ac:dyDescent="0.25">
      <c r="A638" s="4"/>
      <c r="B638" s="19"/>
      <c r="C638" s="4"/>
      <c r="D638" s="4"/>
      <c r="E638" s="5"/>
      <c r="F638" s="4"/>
      <c r="G638" s="4"/>
      <c r="H638" s="4"/>
      <c r="I638" s="4"/>
      <c r="J638" s="4"/>
      <c r="K638" s="4"/>
      <c r="L638" s="4"/>
      <c r="M638" s="4"/>
      <c r="N638" s="4"/>
      <c r="O638" s="4"/>
      <c r="P638" s="4"/>
      <c r="Q638" s="4"/>
      <c r="R638" s="4"/>
      <c r="S638" s="19"/>
    </row>
    <row r="639" spans="1:19" ht="17.399999999999999" x14ac:dyDescent="0.25">
      <c r="A639" s="4"/>
      <c r="B639" s="19"/>
      <c r="C639" s="4"/>
      <c r="D639" s="4"/>
      <c r="E639" s="5"/>
      <c r="F639" s="4"/>
      <c r="G639" s="4"/>
      <c r="H639" s="4"/>
      <c r="I639" s="4"/>
      <c r="J639" s="4"/>
      <c r="K639" s="4"/>
      <c r="L639" s="4"/>
      <c r="M639" s="4"/>
      <c r="N639" s="4"/>
      <c r="O639" s="4"/>
      <c r="P639" s="4"/>
      <c r="Q639" s="4"/>
      <c r="R639" s="4"/>
      <c r="S639" s="19"/>
    </row>
    <row r="640" spans="1:19" ht="17.399999999999999" x14ac:dyDescent="0.25">
      <c r="A640" s="4"/>
      <c r="B640" s="19"/>
      <c r="C640" s="4"/>
      <c r="D640" s="4"/>
      <c r="E640" s="5"/>
      <c r="F640" s="4"/>
      <c r="G640" s="4"/>
      <c r="H640" s="4"/>
      <c r="I640" s="4"/>
      <c r="J640" s="4"/>
      <c r="K640" s="4"/>
      <c r="L640" s="4"/>
      <c r="M640" s="4"/>
      <c r="N640" s="4"/>
      <c r="O640" s="4"/>
      <c r="P640" s="4"/>
      <c r="Q640" s="4"/>
      <c r="R640" s="4"/>
      <c r="S640" s="19"/>
    </row>
    <row r="641" spans="1:19" ht="17.399999999999999" x14ac:dyDescent="0.25">
      <c r="A641" s="4"/>
      <c r="B641" s="19"/>
      <c r="C641" s="4"/>
      <c r="D641" s="4"/>
      <c r="E641" s="5"/>
      <c r="F641" s="4"/>
      <c r="G641" s="4"/>
      <c r="H641" s="4"/>
      <c r="I641" s="4"/>
      <c r="J641" s="4"/>
      <c r="K641" s="4"/>
      <c r="L641" s="4"/>
      <c r="M641" s="4"/>
      <c r="N641" s="4"/>
      <c r="O641" s="4"/>
      <c r="P641" s="4"/>
      <c r="Q641" s="4"/>
      <c r="R641" s="4"/>
      <c r="S641" s="19"/>
    </row>
    <row r="642" spans="1:19" ht="17.399999999999999" x14ac:dyDescent="0.25">
      <c r="A642" s="4"/>
      <c r="B642" s="19"/>
      <c r="C642" s="4"/>
      <c r="D642" s="4"/>
      <c r="E642" s="5"/>
      <c r="F642" s="4"/>
      <c r="G642" s="4"/>
      <c r="H642" s="4"/>
      <c r="I642" s="4"/>
      <c r="J642" s="4"/>
      <c r="K642" s="4"/>
      <c r="L642" s="4"/>
      <c r="M642" s="4"/>
      <c r="N642" s="4"/>
      <c r="O642" s="4"/>
      <c r="P642" s="4"/>
      <c r="Q642" s="4"/>
      <c r="R642" s="4"/>
      <c r="S642" s="19"/>
    </row>
    <row r="643" spans="1:19" ht="17.399999999999999" x14ac:dyDescent="0.25">
      <c r="A643" s="4"/>
      <c r="B643" s="19"/>
      <c r="C643" s="4"/>
      <c r="D643" s="4"/>
      <c r="E643" s="5"/>
      <c r="F643" s="4"/>
      <c r="G643" s="4"/>
      <c r="H643" s="4"/>
      <c r="I643" s="4"/>
      <c r="J643" s="4"/>
      <c r="K643" s="4"/>
      <c r="L643" s="4"/>
      <c r="M643" s="4"/>
      <c r="N643" s="4"/>
      <c r="O643" s="4"/>
      <c r="P643" s="4"/>
      <c r="Q643" s="4"/>
      <c r="R643" s="4"/>
      <c r="S643" s="19"/>
    </row>
    <row r="644" spans="1:19" ht="17.399999999999999" x14ac:dyDescent="0.25">
      <c r="A644" s="4"/>
      <c r="B644" s="19"/>
      <c r="C644" s="4"/>
      <c r="D644" s="4"/>
      <c r="E644" s="5"/>
      <c r="F644" s="4"/>
      <c r="G644" s="4"/>
      <c r="H644" s="4"/>
      <c r="I644" s="4"/>
      <c r="J644" s="4"/>
      <c r="K644" s="4"/>
      <c r="L644" s="4"/>
      <c r="M644" s="4"/>
      <c r="N644" s="4"/>
      <c r="O644" s="4"/>
      <c r="P644" s="4"/>
      <c r="Q644" s="4"/>
      <c r="R644" s="4"/>
      <c r="S644" s="19"/>
    </row>
    <row r="645" spans="1:19" ht="17.399999999999999" x14ac:dyDescent="0.25">
      <c r="A645" s="4"/>
      <c r="B645" s="19"/>
      <c r="C645" s="4"/>
      <c r="D645" s="4"/>
      <c r="E645" s="5"/>
      <c r="F645" s="4"/>
      <c r="G645" s="4"/>
      <c r="H645" s="4"/>
      <c r="I645" s="4"/>
      <c r="J645" s="4"/>
      <c r="K645" s="4"/>
      <c r="L645" s="4"/>
      <c r="M645" s="4"/>
      <c r="N645" s="4"/>
      <c r="O645" s="4"/>
      <c r="P645" s="4"/>
      <c r="Q645" s="4"/>
      <c r="R645" s="4"/>
      <c r="S645" s="19"/>
    </row>
    <row r="646" spans="1:19" ht="17.399999999999999" x14ac:dyDescent="0.25">
      <c r="A646" s="4"/>
      <c r="B646" s="19"/>
      <c r="C646" s="4"/>
      <c r="D646" s="4"/>
      <c r="E646" s="5"/>
      <c r="F646" s="4"/>
      <c r="G646" s="4"/>
      <c r="H646" s="4"/>
      <c r="I646" s="4"/>
      <c r="J646" s="4"/>
      <c r="K646" s="4"/>
      <c r="L646" s="4"/>
      <c r="M646" s="4"/>
      <c r="N646" s="4"/>
      <c r="O646" s="4"/>
      <c r="P646" s="4"/>
      <c r="Q646" s="4"/>
      <c r="R646" s="4"/>
      <c r="S646" s="19"/>
    </row>
    <row r="647" spans="1:19" ht="17.399999999999999" x14ac:dyDescent="0.25">
      <c r="A647" s="4"/>
      <c r="B647" s="19"/>
      <c r="C647" s="4"/>
      <c r="D647" s="4"/>
      <c r="E647" s="5"/>
      <c r="F647" s="4"/>
      <c r="G647" s="4"/>
      <c r="H647" s="4"/>
      <c r="I647" s="4"/>
      <c r="J647" s="4"/>
      <c r="K647" s="4"/>
      <c r="L647" s="4"/>
      <c r="M647" s="4"/>
      <c r="N647" s="4"/>
      <c r="O647" s="4"/>
      <c r="P647" s="4"/>
      <c r="Q647" s="4"/>
      <c r="R647" s="4"/>
      <c r="S647" s="19"/>
    </row>
    <row r="648" spans="1:19" ht="17.399999999999999" x14ac:dyDescent="0.25">
      <c r="A648" s="4"/>
      <c r="B648" s="19"/>
      <c r="C648" s="4"/>
      <c r="D648" s="4"/>
      <c r="E648" s="5"/>
      <c r="F648" s="4"/>
      <c r="G648" s="4"/>
      <c r="H648" s="4"/>
      <c r="I648" s="4"/>
      <c r="J648" s="4"/>
      <c r="K648" s="4"/>
      <c r="L648" s="4"/>
      <c r="M648" s="4"/>
      <c r="N648" s="4"/>
      <c r="O648" s="4"/>
      <c r="P648" s="4"/>
      <c r="Q648" s="4"/>
      <c r="R648" s="4"/>
      <c r="S648" s="19"/>
    </row>
    <row r="649" spans="1:19" ht="17.399999999999999" x14ac:dyDescent="0.25">
      <c r="A649" s="4"/>
      <c r="B649" s="19"/>
      <c r="C649" s="4"/>
      <c r="D649" s="4"/>
      <c r="E649" s="5"/>
      <c r="F649" s="4"/>
      <c r="G649" s="4"/>
      <c r="H649" s="4"/>
      <c r="I649" s="4"/>
      <c r="J649" s="4"/>
      <c r="K649" s="4"/>
      <c r="L649" s="4"/>
      <c r="M649" s="4"/>
      <c r="N649" s="4"/>
      <c r="O649" s="4"/>
      <c r="P649" s="4"/>
      <c r="Q649" s="4"/>
      <c r="R649" s="4"/>
      <c r="S649" s="19"/>
    </row>
    <row r="650" spans="1:19" ht="17.399999999999999" x14ac:dyDescent="0.25">
      <c r="A650" s="4"/>
      <c r="B650" s="19"/>
      <c r="C650" s="4"/>
      <c r="D650" s="4"/>
      <c r="E650" s="5"/>
      <c r="F650" s="4"/>
      <c r="G650" s="4"/>
      <c r="H650" s="4"/>
      <c r="I650" s="4"/>
      <c r="J650" s="4"/>
      <c r="K650" s="4"/>
      <c r="L650" s="4"/>
      <c r="M650" s="4"/>
      <c r="N650" s="4"/>
      <c r="O650" s="4"/>
      <c r="P650" s="4"/>
      <c r="Q650" s="4"/>
      <c r="R650" s="4"/>
      <c r="S650" s="19"/>
    </row>
    <row r="651" spans="1:19" ht="17.399999999999999" x14ac:dyDescent="0.25">
      <c r="A651" s="4"/>
      <c r="B651" s="19"/>
      <c r="C651" s="4"/>
      <c r="D651" s="4"/>
      <c r="E651" s="5"/>
      <c r="F651" s="4"/>
      <c r="G651" s="4"/>
      <c r="H651" s="4"/>
      <c r="I651" s="4"/>
      <c r="J651" s="4"/>
      <c r="K651" s="4"/>
      <c r="L651" s="4"/>
      <c r="M651" s="4"/>
      <c r="N651" s="4"/>
      <c r="O651" s="4"/>
      <c r="P651" s="4"/>
      <c r="Q651" s="4"/>
      <c r="R651" s="4"/>
      <c r="S651" s="19"/>
    </row>
    <row r="652" spans="1:19" ht="17.399999999999999" x14ac:dyDescent="0.25">
      <c r="A652" s="4"/>
      <c r="B652" s="19"/>
      <c r="C652" s="4"/>
      <c r="D652" s="4"/>
      <c r="E652" s="5"/>
      <c r="F652" s="4"/>
      <c r="G652" s="4"/>
      <c r="H652" s="4"/>
      <c r="I652" s="4"/>
      <c r="J652" s="4"/>
      <c r="K652" s="4"/>
      <c r="L652" s="4"/>
      <c r="M652" s="4"/>
      <c r="N652" s="4"/>
      <c r="O652" s="4"/>
      <c r="P652" s="4"/>
      <c r="Q652" s="4"/>
      <c r="R652" s="4"/>
      <c r="S652" s="19"/>
    </row>
    <row r="653" spans="1:19" ht="17.399999999999999" x14ac:dyDescent="0.25">
      <c r="A653" s="4"/>
      <c r="B653" s="19"/>
      <c r="C653" s="4"/>
      <c r="D653" s="4"/>
      <c r="E653" s="5"/>
      <c r="F653" s="4"/>
      <c r="G653" s="4"/>
      <c r="H653" s="4"/>
      <c r="I653" s="4"/>
      <c r="J653" s="4"/>
      <c r="K653" s="4"/>
      <c r="L653" s="4"/>
      <c r="M653" s="4"/>
      <c r="N653" s="4"/>
      <c r="O653" s="4"/>
      <c r="P653" s="4"/>
      <c r="Q653" s="4"/>
      <c r="R653" s="4"/>
      <c r="S653" s="19"/>
    </row>
    <row r="654" spans="1:19" ht="17.399999999999999" x14ac:dyDescent="0.25">
      <c r="A654" s="4"/>
      <c r="B654" s="19"/>
      <c r="C654" s="4"/>
      <c r="D654" s="4"/>
      <c r="E654" s="5"/>
      <c r="F654" s="4"/>
      <c r="G654" s="4"/>
      <c r="H654" s="4"/>
      <c r="I654" s="4"/>
      <c r="J654" s="4"/>
      <c r="K654" s="4"/>
      <c r="L654" s="4"/>
      <c r="M654" s="4"/>
      <c r="N654" s="4"/>
      <c r="O654" s="4"/>
      <c r="P654" s="4"/>
      <c r="Q654" s="4"/>
      <c r="R654" s="4"/>
      <c r="S654" s="19"/>
    </row>
    <row r="655" spans="1:19" ht="17.399999999999999" x14ac:dyDescent="0.25">
      <c r="A655" s="4"/>
      <c r="B655" s="19"/>
      <c r="C655" s="4"/>
      <c r="D655" s="4"/>
      <c r="E655" s="5"/>
      <c r="F655" s="4"/>
      <c r="G655" s="4"/>
      <c r="H655" s="4"/>
      <c r="I655" s="4"/>
      <c r="J655" s="4"/>
      <c r="K655" s="4"/>
      <c r="L655" s="4"/>
      <c r="M655" s="4"/>
      <c r="N655" s="4"/>
      <c r="O655" s="4"/>
      <c r="P655" s="4"/>
      <c r="Q655" s="4"/>
      <c r="R655" s="4"/>
      <c r="S655" s="19"/>
    </row>
    <row r="656" spans="1:19" ht="17.399999999999999" x14ac:dyDescent="0.25">
      <c r="A656" s="4"/>
      <c r="B656" s="19"/>
      <c r="C656" s="4"/>
      <c r="D656" s="4"/>
      <c r="E656" s="5"/>
      <c r="F656" s="4"/>
      <c r="G656" s="4"/>
      <c r="H656" s="4"/>
      <c r="I656" s="4"/>
      <c r="J656" s="4"/>
      <c r="K656" s="4"/>
      <c r="L656" s="4"/>
      <c r="M656" s="4"/>
      <c r="N656" s="4"/>
      <c r="O656" s="4"/>
      <c r="P656" s="4"/>
      <c r="Q656" s="4"/>
      <c r="R656" s="4"/>
      <c r="S656" s="19"/>
    </row>
    <row r="657" spans="1:19" ht="17.399999999999999" x14ac:dyDescent="0.25">
      <c r="A657" s="4"/>
      <c r="B657" s="19"/>
      <c r="C657" s="4"/>
      <c r="D657" s="4"/>
      <c r="E657" s="5"/>
      <c r="F657" s="4"/>
      <c r="G657" s="4"/>
      <c r="H657" s="4"/>
      <c r="I657" s="4"/>
      <c r="J657" s="4"/>
      <c r="K657" s="4"/>
      <c r="L657" s="4"/>
      <c r="M657" s="4"/>
      <c r="N657" s="4"/>
      <c r="O657" s="4"/>
      <c r="P657" s="4"/>
      <c r="Q657" s="4"/>
      <c r="R657" s="4"/>
      <c r="S657" s="19"/>
    </row>
    <row r="658" spans="1:19" ht="17.399999999999999" x14ac:dyDescent="0.25">
      <c r="A658" s="4"/>
      <c r="B658" s="19"/>
      <c r="C658" s="4"/>
      <c r="D658" s="4"/>
      <c r="E658" s="5"/>
      <c r="F658" s="4"/>
      <c r="G658" s="4"/>
      <c r="H658" s="4"/>
      <c r="I658" s="4"/>
      <c r="J658" s="4"/>
      <c r="K658" s="4"/>
      <c r="L658" s="4"/>
      <c r="M658" s="4"/>
      <c r="N658" s="4"/>
      <c r="O658" s="4"/>
      <c r="P658" s="4"/>
      <c r="Q658" s="4"/>
      <c r="R658" s="4"/>
      <c r="S658" s="19"/>
    </row>
    <row r="659" spans="1:19" ht="17.399999999999999" x14ac:dyDescent="0.25">
      <c r="A659" s="4"/>
      <c r="B659" s="19"/>
      <c r="C659" s="4"/>
      <c r="D659" s="4"/>
      <c r="E659" s="5"/>
      <c r="F659" s="4"/>
      <c r="G659" s="4"/>
      <c r="H659" s="4"/>
      <c r="I659" s="4"/>
      <c r="J659" s="4"/>
      <c r="K659" s="4"/>
      <c r="L659" s="4"/>
      <c r="M659" s="4"/>
      <c r="N659" s="4"/>
      <c r="O659" s="4"/>
      <c r="P659" s="4"/>
      <c r="Q659" s="4"/>
      <c r="R659" s="4"/>
      <c r="S659" s="19"/>
    </row>
    <row r="660" spans="1:19" ht="17.399999999999999" x14ac:dyDescent="0.25">
      <c r="A660" s="4"/>
      <c r="B660" s="19"/>
      <c r="C660" s="4"/>
      <c r="D660" s="4"/>
      <c r="E660" s="5"/>
      <c r="F660" s="4"/>
      <c r="G660" s="4"/>
      <c r="H660" s="4"/>
      <c r="I660" s="4"/>
      <c r="J660" s="4"/>
      <c r="K660" s="4"/>
      <c r="L660" s="4"/>
      <c r="M660" s="4"/>
      <c r="N660" s="4"/>
      <c r="O660" s="4"/>
      <c r="P660" s="4"/>
      <c r="Q660" s="4"/>
      <c r="R660" s="4"/>
      <c r="S660" s="19"/>
    </row>
    <row r="661" spans="1:19" ht="17.399999999999999" x14ac:dyDescent="0.25">
      <c r="A661" s="4"/>
      <c r="B661" s="19"/>
      <c r="C661" s="4"/>
      <c r="D661" s="4"/>
      <c r="E661" s="5"/>
      <c r="F661" s="4"/>
      <c r="G661" s="4"/>
      <c r="H661" s="4"/>
      <c r="I661" s="4"/>
      <c r="J661" s="4"/>
      <c r="K661" s="4"/>
      <c r="L661" s="4"/>
      <c r="M661" s="4"/>
      <c r="N661" s="4"/>
      <c r="O661" s="4"/>
      <c r="P661" s="4"/>
      <c r="Q661" s="4"/>
      <c r="R661" s="4"/>
      <c r="S661" s="19"/>
    </row>
    <row r="662" spans="1:19" ht="17.399999999999999" x14ac:dyDescent="0.25">
      <c r="A662" s="4"/>
      <c r="B662" s="19"/>
      <c r="C662" s="4"/>
      <c r="D662" s="4"/>
      <c r="E662" s="5"/>
      <c r="F662" s="4"/>
      <c r="G662" s="4"/>
      <c r="H662" s="4"/>
      <c r="I662" s="4"/>
      <c r="J662" s="4"/>
      <c r="K662" s="4"/>
      <c r="L662" s="4"/>
      <c r="M662" s="4"/>
      <c r="N662" s="4"/>
      <c r="O662" s="4"/>
      <c r="P662" s="4"/>
      <c r="Q662" s="4"/>
      <c r="R662" s="4"/>
      <c r="S662" s="19"/>
    </row>
    <row r="663" spans="1:19" ht="17.399999999999999" x14ac:dyDescent="0.25">
      <c r="A663" s="4"/>
      <c r="B663" s="19"/>
      <c r="C663" s="4"/>
      <c r="D663" s="4"/>
      <c r="E663" s="5"/>
      <c r="F663" s="4"/>
      <c r="G663" s="4"/>
      <c r="H663" s="4"/>
      <c r="I663" s="4"/>
      <c r="J663" s="4"/>
      <c r="K663" s="4"/>
      <c r="L663" s="4"/>
      <c r="M663" s="4"/>
      <c r="N663" s="4"/>
      <c r="O663" s="4"/>
      <c r="P663" s="4"/>
      <c r="Q663" s="4"/>
      <c r="R663" s="4"/>
      <c r="S663" s="19"/>
    </row>
    <row r="664" spans="1:19" ht="17.399999999999999" x14ac:dyDescent="0.25">
      <c r="A664" s="4"/>
      <c r="B664" s="19"/>
      <c r="C664" s="4"/>
      <c r="D664" s="4"/>
      <c r="E664" s="5"/>
      <c r="F664" s="4"/>
      <c r="G664" s="4"/>
      <c r="H664" s="4"/>
      <c r="I664" s="4"/>
      <c r="J664" s="4"/>
      <c r="K664" s="4"/>
      <c r="L664" s="4"/>
      <c r="M664" s="4"/>
      <c r="N664" s="4"/>
      <c r="O664" s="4"/>
      <c r="P664" s="4"/>
      <c r="Q664" s="4"/>
      <c r="R664" s="4"/>
      <c r="S664" s="19"/>
    </row>
    <row r="665" spans="1:19" ht="17.399999999999999" x14ac:dyDescent="0.25">
      <c r="A665" s="4"/>
      <c r="B665" s="19"/>
      <c r="C665" s="4"/>
      <c r="D665" s="4"/>
      <c r="E665" s="5"/>
      <c r="F665" s="4"/>
      <c r="G665" s="4"/>
      <c r="H665" s="4"/>
      <c r="I665" s="4"/>
      <c r="J665" s="4"/>
      <c r="K665" s="4"/>
      <c r="L665" s="4"/>
      <c r="M665" s="4"/>
      <c r="N665" s="4"/>
      <c r="O665" s="4"/>
      <c r="P665" s="4"/>
      <c r="Q665" s="4"/>
      <c r="R665" s="4"/>
      <c r="S665" s="19"/>
    </row>
    <row r="666" spans="1:19" ht="17.399999999999999" x14ac:dyDescent="0.25">
      <c r="A666" s="4"/>
      <c r="B666" s="19"/>
      <c r="C666" s="4"/>
      <c r="D666" s="4"/>
      <c r="E666" s="5"/>
      <c r="F666" s="4"/>
      <c r="G666" s="4"/>
      <c r="H666" s="4"/>
      <c r="I666" s="4"/>
      <c r="J666" s="4"/>
      <c r="K666" s="4"/>
      <c r="L666" s="4"/>
      <c r="M666" s="4"/>
      <c r="N666" s="4"/>
      <c r="O666" s="4"/>
      <c r="P666" s="4"/>
      <c r="Q666" s="4"/>
      <c r="R666" s="4"/>
      <c r="S666" s="19"/>
    </row>
    <row r="667" spans="1:19" ht="17.399999999999999" x14ac:dyDescent="0.25">
      <c r="A667" s="4"/>
      <c r="B667" s="19"/>
      <c r="C667" s="4"/>
      <c r="D667" s="4"/>
      <c r="E667" s="5"/>
      <c r="F667" s="4"/>
      <c r="G667" s="4"/>
      <c r="H667" s="4"/>
      <c r="I667" s="4"/>
      <c r="J667" s="4"/>
      <c r="K667" s="4"/>
      <c r="L667" s="4"/>
      <c r="M667" s="4"/>
      <c r="N667" s="4"/>
      <c r="O667" s="4"/>
      <c r="P667" s="4"/>
      <c r="Q667" s="4"/>
      <c r="R667" s="4"/>
      <c r="S667" s="19"/>
    </row>
    <row r="668" spans="1:19" ht="17.399999999999999" x14ac:dyDescent="0.25">
      <c r="A668" s="4"/>
      <c r="B668" s="19"/>
      <c r="C668" s="4"/>
      <c r="D668" s="4"/>
      <c r="E668" s="5"/>
      <c r="F668" s="4"/>
      <c r="G668" s="4"/>
      <c r="H668" s="4"/>
      <c r="I668" s="4"/>
      <c r="J668" s="4"/>
      <c r="K668" s="4"/>
      <c r="L668" s="4"/>
      <c r="M668" s="4"/>
      <c r="N668" s="4"/>
      <c r="O668" s="4"/>
      <c r="P668" s="4"/>
      <c r="Q668" s="4"/>
      <c r="R668" s="4"/>
      <c r="S668" s="19"/>
    </row>
    <row r="669" spans="1:19" ht="17.399999999999999" x14ac:dyDescent="0.25">
      <c r="A669" s="4"/>
      <c r="B669" s="19"/>
      <c r="C669" s="4"/>
      <c r="D669" s="4"/>
      <c r="E669" s="5"/>
      <c r="F669" s="4"/>
      <c r="G669" s="4"/>
      <c r="H669" s="4"/>
      <c r="I669" s="4"/>
      <c r="J669" s="4"/>
      <c r="K669" s="4"/>
      <c r="L669" s="4"/>
      <c r="M669" s="4"/>
      <c r="N669" s="4"/>
      <c r="O669" s="4"/>
      <c r="P669" s="4"/>
      <c r="Q669" s="4"/>
      <c r="R669" s="4"/>
      <c r="S669" s="19"/>
    </row>
    <row r="670" spans="1:19" ht="17.399999999999999" x14ac:dyDescent="0.25">
      <c r="A670" s="4"/>
      <c r="B670" s="19"/>
      <c r="C670" s="4"/>
      <c r="D670" s="4"/>
      <c r="E670" s="5"/>
      <c r="F670" s="4"/>
      <c r="G670" s="4"/>
      <c r="H670" s="4"/>
      <c r="I670" s="4"/>
      <c r="J670" s="4"/>
      <c r="K670" s="4"/>
      <c r="L670" s="4"/>
      <c r="M670" s="4"/>
      <c r="N670" s="4"/>
      <c r="O670" s="4"/>
      <c r="P670" s="4"/>
      <c r="Q670" s="4"/>
      <c r="R670" s="4"/>
      <c r="S670" s="19"/>
    </row>
    <row r="671" spans="1:19" ht="17.399999999999999" x14ac:dyDescent="0.25">
      <c r="A671" s="4"/>
      <c r="B671" s="19"/>
      <c r="C671" s="4"/>
      <c r="D671" s="4"/>
      <c r="E671" s="5"/>
      <c r="F671" s="4"/>
      <c r="G671" s="4"/>
      <c r="H671" s="4"/>
      <c r="I671" s="4"/>
      <c r="J671" s="4"/>
      <c r="K671" s="4"/>
      <c r="L671" s="4"/>
      <c r="M671" s="4"/>
      <c r="N671" s="4"/>
      <c r="O671" s="4"/>
      <c r="P671" s="4"/>
      <c r="Q671" s="4"/>
      <c r="R671" s="4"/>
      <c r="S671" s="19"/>
    </row>
    <row r="672" spans="1:19" ht="17.399999999999999" x14ac:dyDescent="0.25">
      <c r="A672" s="4"/>
      <c r="B672" s="19"/>
      <c r="C672" s="4"/>
      <c r="D672" s="4"/>
      <c r="E672" s="5"/>
      <c r="F672" s="4"/>
      <c r="G672" s="4"/>
      <c r="H672" s="4"/>
      <c r="I672" s="4"/>
      <c r="J672" s="4"/>
      <c r="K672" s="4"/>
      <c r="L672" s="4"/>
      <c r="M672" s="4"/>
      <c r="N672" s="4"/>
      <c r="O672" s="4"/>
      <c r="P672" s="4"/>
      <c r="Q672" s="4"/>
      <c r="R672" s="4"/>
      <c r="S672" s="19"/>
    </row>
    <row r="673" spans="1:19" ht="17.399999999999999" x14ac:dyDescent="0.25">
      <c r="A673" s="4"/>
      <c r="B673" s="19"/>
      <c r="C673" s="4"/>
      <c r="D673" s="4"/>
      <c r="E673" s="5"/>
      <c r="F673" s="4"/>
      <c r="G673" s="4"/>
      <c r="H673" s="4"/>
      <c r="I673" s="4"/>
      <c r="J673" s="4"/>
      <c r="K673" s="4"/>
      <c r="L673" s="4"/>
      <c r="M673" s="4"/>
      <c r="N673" s="4"/>
      <c r="O673" s="4"/>
      <c r="P673" s="4"/>
      <c r="Q673" s="4"/>
      <c r="R673" s="4"/>
      <c r="S673" s="19"/>
    </row>
    <row r="674" spans="1:19" ht="17.399999999999999" x14ac:dyDescent="0.25">
      <c r="A674" s="4"/>
      <c r="B674" s="19"/>
      <c r="C674" s="4"/>
      <c r="D674" s="4"/>
      <c r="E674" s="5"/>
      <c r="F674" s="4"/>
      <c r="G674" s="4"/>
      <c r="H674" s="4"/>
      <c r="I674" s="4"/>
      <c r="J674" s="4"/>
      <c r="K674" s="4"/>
      <c r="L674" s="4"/>
      <c r="M674" s="4"/>
      <c r="N674" s="4"/>
      <c r="O674" s="4"/>
      <c r="P674" s="4"/>
      <c r="Q674" s="4"/>
      <c r="R674" s="4"/>
      <c r="S674" s="19"/>
    </row>
    <row r="675" spans="1:19" ht="17.399999999999999" x14ac:dyDescent="0.25">
      <c r="A675" s="4"/>
      <c r="B675" s="19"/>
      <c r="C675" s="4"/>
      <c r="D675" s="4"/>
      <c r="E675" s="5"/>
      <c r="F675" s="4"/>
      <c r="G675" s="4"/>
      <c r="H675" s="4"/>
      <c r="I675" s="4"/>
      <c r="J675" s="4"/>
      <c r="K675" s="4"/>
      <c r="L675" s="4"/>
      <c r="M675" s="4"/>
      <c r="N675" s="4"/>
      <c r="O675" s="4"/>
      <c r="P675" s="4"/>
      <c r="Q675" s="4"/>
      <c r="R675" s="4"/>
      <c r="S675" s="19"/>
    </row>
    <row r="676" spans="1:19" ht="17.399999999999999" x14ac:dyDescent="0.25">
      <c r="A676" s="4"/>
      <c r="B676" s="19"/>
      <c r="C676" s="4"/>
      <c r="D676" s="4"/>
      <c r="E676" s="5"/>
      <c r="F676" s="4"/>
      <c r="G676" s="4"/>
      <c r="H676" s="4"/>
      <c r="I676" s="4"/>
      <c r="J676" s="4"/>
      <c r="K676" s="4"/>
      <c r="L676" s="4"/>
      <c r="M676" s="4"/>
      <c r="N676" s="4"/>
      <c r="O676" s="4"/>
      <c r="P676" s="4"/>
      <c r="Q676" s="4"/>
      <c r="R676" s="4"/>
      <c r="S676" s="19"/>
    </row>
    <row r="677" spans="1:19" ht="17.399999999999999" x14ac:dyDescent="0.25">
      <c r="A677" s="4"/>
      <c r="B677" s="19"/>
      <c r="C677" s="4"/>
      <c r="D677" s="4"/>
      <c r="E677" s="5"/>
      <c r="F677" s="4"/>
      <c r="G677" s="4"/>
      <c r="H677" s="4"/>
      <c r="I677" s="4"/>
      <c r="J677" s="4"/>
      <c r="K677" s="4"/>
      <c r="L677" s="4"/>
      <c r="M677" s="4"/>
      <c r="N677" s="4"/>
      <c r="O677" s="4"/>
      <c r="P677" s="4"/>
      <c r="Q677" s="4"/>
      <c r="R677" s="4"/>
      <c r="S677" s="19"/>
    </row>
    <row r="678" spans="1:19" ht="17.399999999999999" x14ac:dyDescent="0.25">
      <c r="A678" s="4"/>
      <c r="B678" s="19"/>
      <c r="C678" s="4"/>
      <c r="D678" s="4"/>
      <c r="E678" s="5"/>
      <c r="F678" s="4"/>
      <c r="G678" s="4"/>
      <c r="H678" s="4"/>
      <c r="I678" s="4"/>
      <c r="J678" s="4"/>
      <c r="K678" s="4"/>
      <c r="L678" s="4"/>
      <c r="M678" s="4"/>
      <c r="N678" s="4"/>
      <c r="O678" s="4"/>
      <c r="P678" s="4"/>
      <c r="Q678" s="4"/>
      <c r="R678" s="4"/>
      <c r="S678" s="19"/>
    </row>
    <row r="679" spans="1:19" ht="17.399999999999999" x14ac:dyDescent="0.25">
      <c r="A679" s="4"/>
      <c r="B679" s="19"/>
      <c r="C679" s="4"/>
      <c r="D679" s="4"/>
      <c r="E679" s="5"/>
      <c r="F679" s="4"/>
      <c r="G679" s="4"/>
      <c r="H679" s="4"/>
      <c r="I679" s="4"/>
      <c r="J679" s="4"/>
      <c r="K679" s="4"/>
      <c r="L679" s="4"/>
      <c r="M679" s="4"/>
      <c r="N679" s="4"/>
      <c r="O679" s="4"/>
      <c r="P679" s="4"/>
      <c r="Q679" s="4"/>
      <c r="R679" s="4"/>
      <c r="S679" s="19"/>
    </row>
    <row r="680" spans="1:19" ht="17.399999999999999" x14ac:dyDescent="0.25">
      <c r="A680" s="4"/>
      <c r="B680" s="19"/>
      <c r="C680" s="4"/>
      <c r="D680" s="4"/>
      <c r="E680" s="5"/>
      <c r="F680" s="4"/>
      <c r="G680" s="4"/>
      <c r="H680" s="4"/>
      <c r="I680" s="4"/>
      <c r="J680" s="4"/>
      <c r="K680" s="4"/>
      <c r="L680" s="4"/>
      <c r="M680" s="4"/>
      <c r="N680" s="4"/>
      <c r="O680" s="4"/>
      <c r="P680" s="4"/>
      <c r="Q680" s="4"/>
      <c r="R680" s="4"/>
      <c r="S680" s="19"/>
    </row>
    <row r="681" spans="1:19" ht="17.399999999999999" x14ac:dyDescent="0.25">
      <c r="A681" s="4"/>
      <c r="B681" s="19"/>
      <c r="C681" s="4"/>
      <c r="D681" s="4"/>
      <c r="E681" s="5"/>
      <c r="F681" s="4"/>
      <c r="G681" s="4"/>
      <c r="H681" s="4"/>
      <c r="I681" s="4"/>
      <c r="J681" s="4"/>
      <c r="K681" s="4"/>
      <c r="L681" s="4"/>
      <c r="M681" s="4"/>
      <c r="N681" s="4"/>
      <c r="O681" s="4"/>
      <c r="P681" s="4"/>
      <c r="Q681" s="4"/>
      <c r="R681" s="4"/>
      <c r="S681" s="19"/>
    </row>
    <row r="682" spans="1:19" ht="17.399999999999999" x14ac:dyDescent="0.25">
      <c r="A682" s="4"/>
      <c r="B682" s="19"/>
      <c r="C682" s="4"/>
      <c r="D682" s="4"/>
      <c r="E682" s="5"/>
      <c r="F682" s="4"/>
      <c r="G682" s="4"/>
      <c r="H682" s="4"/>
      <c r="I682" s="4"/>
      <c r="J682" s="4"/>
      <c r="K682" s="4"/>
      <c r="L682" s="4"/>
      <c r="M682" s="4"/>
      <c r="N682" s="4"/>
      <c r="O682" s="4"/>
      <c r="P682" s="4"/>
      <c r="Q682" s="4"/>
      <c r="R682" s="4"/>
      <c r="S682" s="19"/>
    </row>
    <row r="683" spans="1:19" ht="17.399999999999999" x14ac:dyDescent="0.25">
      <c r="A683" s="4"/>
      <c r="B683" s="19"/>
      <c r="C683" s="4"/>
      <c r="D683" s="4"/>
      <c r="E683" s="5"/>
      <c r="F683" s="4"/>
      <c r="G683" s="4"/>
      <c r="H683" s="4"/>
      <c r="I683" s="4"/>
      <c r="J683" s="4"/>
      <c r="K683" s="4"/>
      <c r="L683" s="4"/>
      <c r="M683" s="4"/>
      <c r="N683" s="4"/>
      <c r="O683" s="4"/>
      <c r="P683" s="4"/>
      <c r="Q683" s="4"/>
      <c r="R683" s="4"/>
      <c r="S683" s="19"/>
    </row>
    <row r="684" spans="1:19" ht="17.399999999999999" x14ac:dyDescent="0.25">
      <c r="A684" s="4"/>
      <c r="B684" s="19"/>
      <c r="C684" s="4"/>
      <c r="D684" s="4"/>
      <c r="E684" s="5"/>
      <c r="F684" s="4"/>
      <c r="G684" s="4"/>
      <c r="H684" s="4"/>
      <c r="I684" s="4"/>
      <c r="J684" s="4"/>
      <c r="K684" s="4"/>
      <c r="L684" s="4"/>
      <c r="M684" s="4"/>
      <c r="N684" s="4"/>
      <c r="O684" s="4"/>
      <c r="P684" s="4"/>
      <c r="Q684" s="4"/>
      <c r="R684" s="4"/>
      <c r="S684" s="19"/>
    </row>
    <row r="685" spans="1:19" ht="17.399999999999999" x14ac:dyDescent="0.25">
      <c r="A685" s="4"/>
      <c r="B685" s="19"/>
      <c r="C685" s="4"/>
      <c r="D685" s="4"/>
      <c r="E685" s="5"/>
      <c r="F685" s="4"/>
      <c r="G685" s="4"/>
      <c r="H685" s="4"/>
      <c r="I685" s="4"/>
      <c r="J685" s="4"/>
      <c r="K685" s="4"/>
      <c r="L685" s="4"/>
      <c r="M685" s="4"/>
      <c r="N685" s="4"/>
      <c r="O685" s="4"/>
      <c r="P685" s="4"/>
      <c r="Q685" s="4"/>
      <c r="R685" s="4"/>
      <c r="S685" s="19"/>
    </row>
    <row r="686" spans="1:19" ht="17.399999999999999" x14ac:dyDescent="0.25">
      <c r="A686" s="4"/>
      <c r="B686" s="19"/>
      <c r="C686" s="4"/>
      <c r="D686" s="4"/>
      <c r="E686" s="5"/>
      <c r="F686" s="4"/>
      <c r="G686" s="4"/>
      <c r="H686" s="4"/>
      <c r="I686" s="4"/>
      <c r="J686" s="4"/>
      <c r="K686" s="4"/>
      <c r="L686" s="4"/>
      <c r="M686" s="4"/>
      <c r="N686" s="4"/>
      <c r="O686" s="4"/>
      <c r="P686" s="4"/>
      <c r="Q686" s="4"/>
      <c r="R686" s="4"/>
      <c r="S686" s="19"/>
    </row>
    <row r="687" spans="1:19" ht="17.399999999999999" x14ac:dyDescent="0.25">
      <c r="A687" s="4"/>
      <c r="B687" s="19"/>
      <c r="C687" s="4"/>
      <c r="D687" s="4"/>
      <c r="E687" s="5"/>
      <c r="F687" s="4"/>
      <c r="G687" s="4"/>
      <c r="H687" s="4"/>
      <c r="I687" s="4"/>
      <c r="J687" s="4"/>
      <c r="K687" s="4"/>
      <c r="L687" s="4"/>
      <c r="M687" s="4"/>
      <c r="N687" s="4"/>
      <c r="O687" s="4"/>
      <c r="P687" s="4"/>
      <c r="Q687" s="4"/>
      <c r="R687" s="4"/>
      <c r="S687" s="19"/>
    </row>
    <row r="688" spans="1:19" ht="17.399999999999999" x14ac:dyDescent="0.25">
      <c r="A688" s="4"/>
      <c r="B688" s="19"/>
      <c r="C688" s="4"/>
      <c r="D688" s="4"/>
      <c r="E688" s="5"/>
      <c r="F688" s="4"/>
      <c r="G688" s="4"/>
      <c r="H688" s="4"/>
      <c r="I688" s="4"/>
      <c r="J688" s="4"/>
      <c r="K688" s="4"/>
      <c r="L688" s="4"/>
      <c r="M688" s="4"/>
      <c r="N688" s="4"/>
      <c r="O688" s="4"/>
      <c r="P688" s="4"/>
      <c r="Q688" s="4"/>
      <c r="R688" s="4"/>
      <c r="S688" s="19"/>
    </row>
    <row r="689" spans="1:19" ht="17.399999999999999" x14ac:dyDescent="0.25">
      <c r="A689" s="4"/>
      <c r="B689" s="19"/>
      <c r="C689" s="4"/>
      <c r="D689" s="4"/>
      <c r="E689" s="5"/>
      <c r="F689" s="4"/>
      <c r="G689" s="4"/>
      <c r="H689" s="4"/>
      <c r="I689" s="4"/>
      <c r="J689" s="4"/>
      <c r="K689" s="4"/>
      <c r="L689" s="4"/>
      <c r="M689" s="4"/>
      <c r="N689" s="4"/>
      <c r="O689" s="4"/>
      <c r="P689" s="4"/>
      <c r="Q689" s="4"/>
      <c r="R689" s="4"/>
      <c r="S689" s="19"/>
    </row>
    <row r="690" spans="1:19" ht="17.399999999999999" x14ac:dyDescent="0.25">
      <c r="A690" s="4"/>
      <c r="B690" s="19"/>
      <c r="C690" s="4"/>
      <c r="D690" s="4"/>
      <c r="E690" s="5"/>
      <c r="F690" s="4"/>
      <c r="G690" s="4"/>
      <c r="H690" s="4"/>
      <c r="I690" s="4"/>
      <c r="J690" s="4"/>
      <c r="K690" s="4"/>
      <c r="L690" s="4"/>
      <c r="M690" s="4"/>
      <c r="N690" s="4"/>
      <c r="O690" s="4"/>
      <c r="P690" s="4"/>
      <c r="Q690" s="4"/>
      <c r="R690" s="4"/>
      <c r="S690" s="19"/>
    </row>
    <row r="691" spans="1:19" ht="17.399999999999999" x14ac:dyDescent="0.25">
      <c r="A691" s="4"/>
      <c r="B691" s="19"/>
      <c r="C691" s="4"/>
      <c r="D691" s="4"/>
      <c r="E691" s="5"/>
      <c r="F691" s="4"/>
      <c r="G691" s="4"/>
      <c r="H691" s="4"/>
      <c r="I691" s="4"/>
      <c r="J691" s="4"/>
      <c r="K691" s="4"/>
      <c r="L691" s="4"/>
      <c r="M691" s="4"/>
      <c r="N691" s="4"/>
      <c r="O691" s="4"/>
      <c r="P691" s="4"/>
      <c r="Q691" s="4"/>
      <c r="R691" s="4"/>
      <c r="S691" s="19"/>
    </row>
    <row r="692" spans="1:19" ht="17.399999999999999" x14ac:dyDescent="0.25">
      <c r="A692" s="4"/>
      <c r="B692" s="19"/>
      <c r="C692" s="4"/>
      <c r="D692" s="4"/>
      <c r="E692" s="5"/>
      <c r="F692" s="4"/>
      <c r="G692" s="4"/>
      <c r="H692" s="4"/>
      <c r="I692" s="4"/>
      <c r="J692" s="4"/>
      <c r="K692" s="4"/>
      <c r="L692" s="4"/>
      <c r="M692" s="4"/>
      <c r="N692" s="4"/>
      <c r="O692" s="4"/>
      <c r="P692" s="4"/>
      <c r="Q692" s="4"/>
      <c r="R692" s="4"/>
      <c r="S692" s="19"/>
    </row>
    <row r="693" spans="1:19" ht="17.399999999999999" x14ac:dyDescent="0.25">
      <c r="A693" s="4"/>
      <c r="B693" s="19"/>
      <c r="C693" s="4"/>
      <c r="D693" s="4"/>
      <c r="E693" s="5"/>
      <c r="F693" s="4"/>
      <c r="G693" s="4"/>
      <c r="H693" s="4"/>
      <c r="I693" s="4"/>
      <c r="J693" s="4"/>
      <c r="K693" s="4"/>
      <c r="L693" s="4"/>
      <c r="M693" s="4"/>
      <c r="N693" s="4"/>
      <c r="O693" s="4"/>
      <c r="P693" s="4"/>
      <c r="Q693" s="4"/>
      <c r="R693" s="4"/>
      <c r="S693" s="19"/>
    </row>
    <row r="694" spans="1:19" ht="17.399999999999999" x14ac:dyDescent="0.25">
      <c r="A694" s="4"/>
      <c r="B694" s="19"/>
      <c r="C694" s="4"/>
      <c r="D694" s="4"/>
      <c r="E694" s="5"/>
      <c r="F694" s="4"/>
      <c r="G694" s="4"/>
      <c r="H694" s="4"/>
      <c r="I694" s="4"/>
      <c r="J694" s="4"/>
      <c r="K694" s="4"/>
      <c r="L694" s="4"/>
      <c r="M694" s="4"/>
      <c r="N694" s="4"/>
      <c r="O694" s="4"/>
      <c r="P694" s="4"/>
      <c r="Q694" s="4"/>
      <c r="R694" s="4"/>
      <c r="S694" s="19"/>
    </row>
    <row r="695" spans="1:19" ht="17.399999999999999" x14ac:dyDescent="0.25">
      <c r="A695" s="4"/>
      <c r="B695" s="19"/>
      <c r="C695" s="4"/>
      <c r="D695" s="4"/>
      <c r="E695" s="5"/>
      <c r="F695" s="4"/>
      <c r="G695" s="4"/>
      <c r="H695" s="4"/>
      <c r="I695" s="4"/>
      <c r="J695" s="4"/>
      <c r="K695" s="4"/>
      <c r="L695" s="4"/>
      <c r="M695" s="4"/>
      <c r="N695" s="4"/>
      <c r="O695" s="4"/>
      <c r="P695" s="4"/>
      <c r="Q695" s="4"/>
      <c r="R695" s="4"/>
      <c r="S695" s="19"/>
    </row>
    <row r="696" spans="1:19" ht="17.399999999999999" x14ac:dyDescent="0.25">
      <c r="A696" s="4"/>
      <c r="B696" s="19"/>
      <c r="C696" s="4"/>
      <c r="D696" s="4"/>
      <c r="E696" s="5"/>
      <c r="F696" s="4"/>
      <c r="G696" s="4"/>
      <c r="H696" s="4"/>
      <c r="I696" s="4"/>
      <c r="J696" s="4"/>
      <c r="K696" s="4"/>
      <c r="L696" s="4"/>
      <c r="M696" s="4"/>
      <c r="N696" s="4"/>
      <c r="O696" s="4"/>
      <c r="P696" s="4"/>
      <c r="Q696" s="4"/>
      <c r="R696" s="4"/>
      <c r="S696" s="19"/>
    </row>
    <row r="697" spans="1:19" ht="17.399999999999999" x14ac:dyDescent="0.25">
      <c r="A697" s="4"/>
      <c r="B697" s="19"/>
      <c r="C697" s="4"/>
      <c r="D697" s="4"/>
      <c r="E697" s="5"/>
      <c r="F697" s="4"/>
      <c r="G697" s="4"/>
      <c r="H697" s="4"/>
      <c r="I697" s="4"/>
      <c r="J697" s="4"/>
      <c r="K697" s="4"/>
      <c r="L697" s="4"/>
      <c r="M697" s="4"/>
      <c r="N697" s="4"/>
      <c r="O697" s="4"/>
      <c r="P697" s="4"/>
      <c r="Q697" s="4"/>
      <c r="R697" s="4"/>
      <c r="S697" s="19"/>
    </row>
    <row r="698" spans="1:19" ht="17.399999999999999" x14ac:dyDescent="0.25">
      <c r="A698" s="4"/>
      <c r="B698" s="19"/>
      <c r="C698" s="4"/>
      <c r="D698" s="4"/>
      <c r="E698" s="5"/>
      <c r="F698" s="4"/>
      <c r="G698" s="4"/>
      <c r="H698" s="4"/>
      <c r="I698" s="4"/>
      <c r="J698" s="4"/>
      <c r="K698" s="4"/>
      <c r="L698" s="4"/>
      <c r="M698" s="4"/>
      <c r="N698" s="4"/>
      <c r="O698" s="4"/>
      <c r="P698" s="4"/>
      <c r="Q698" s="4"/>
      <c r="R698" s="4"/>
      <c r="S698" s="19"/>
    </row>
    <row r="699" spans="1:19" ht="17.399999999999999" x14ac:dyDescent="0.25">
      <c r="A699" s="4"/>
      <c r="B699" s="19"/>
      <c r="C699" s="4"/>
      <c r="D699" s="4"/>
      <c r="E699" s="5"/>
      <c r="F699" s="4"/>
      <c r="G699" s="4"/>
      <c r="H699" s="4"/>
      <c r="I699" s="4"/>
      <c r="J699" s="4"/>
      <c r="K699" s="4"/>
      <c r="L699" s="4"/>
      <c r="M699" s="4"/>
      <c r="N699" s="4"/>
      <c r="O699" s="4"/>
      <c r="P699" s="4"/>
      <c r="Q699" s="4"/>
      <c r="R699" s="4"/>
      <c r="S699" s="19"/>
    </row>
    <row r="700" spans="1:19" ht="17.399999999999999" x14ac:dyDescent="0.25">
      <c r="A700" s="4"/>
      <c r="B700" s="19"/>
      <c r="C700" s="4"/>
      <c r="D700" s="4"/>
      <c r="E700" s="5"/>
      <c r="F700" s="4"/>
      <c r="G700" s="4"/>
      <c r="H700" s="4"/>
      <c r="I700" s="4"/>
      <c r="J700" s="4"/>
      <c r="K700" s="4"/>
      <c r="L700" s="4"/>
      <c r="M700" s="4"/>
      <c r="N700" s="4"/>
      <c r="O700" s="4"/>
      <c r="P700" s="4"/>
      <c r="Q700" s="4"/>
      <c r="R700" s="4"/>
      <c r="S700" s="19"/>
    </row>
    <row r="701" spans="1:19" ht="17.399999999999999" x14ac:dyDescent="0.25">
      <c r="A701" s="4"/>
      <c r="B701" s="19"/>
      <c r="C701" s="4"/>
      <c r="D701" s="4"/>
      <c r="E701" s="5"/>
      <c r="F701" s="4"/>
      <c r="G701" s="4"/>
      <c r="H701" s="4"/>
      <c r="I701" s="4"/>
      <c r="J701" s="4"/>
      <c r="K701" s="4"/>
      <c r="L701" s="4"/>
      <c r="M701" s="4"/>
      <c r="N701" s="4"/>
      <c r="O701" s="4"/>
      <c r="P701" s="4"/>
      <c r="Q701" s="4"/>
      <c r="R701" s="4"/>
      <c r="S701" s="19"/>
    </row>
    <row r="702" spans="1:19" ht="17.399999999999999" x14ac:dyDescent="0.25">
      <c r="A702" s="4"/>
      <c r="B702" s="19"/>
      <c r="C702" s="4"/>
      <c r="D702" s="4"/>
      <c r="E702" s="5"/>
      <c r="F702" s="4"/>
      <c r="G702" s="4"/>
      <c r="H702" s="4"/>
      <c r="I702" s="4"/>
      <c r="J702" s="4"/>
      <c r="K702" s="4"/>
      <c r="L702" s="4"/>
      <c r="M702" s="4"/>
      <c r="N702" s="4"/>
      <c r="O702" s="4"/>
      <c r="P702" s="4"/>
      <c r="Q702" s="4"/>
      <c r="R702" s="4"/>
      <c r="S702" s="19"/>
    </row>
    <row r="703" spans="1:19" ht="17.399999999999999" x14ac:dyDescent="0.25">
      <c r="A703" s="4"/>
      <c r="B703" s="19"/>
      <c r="C703" s="4"/>
      <c r="D703" s="4"/>
      <c r="E703" s="5"/>
      <c r="F703" s="4"/>
      <c r="G703" s="4"/>
      <c r="H703" s="4"/>
      <c r="I703" s="4"/>
      <c r="J703" s="4"/>
      <c r="K703" s="4"/>
      <c r="L703" s="4"/>
      <c r="M703" s="4"/>
      <c r="N703" s="4"/>
      <c r="O703" s="4"/>
      <c r="P703" s="4"/>
      <c r="Q703" s="4"/>
      <c r="R703" s="4"/>
      <c r="S703" s="19"/>
    </row>
    <row r="704" spans="1:19" ht="17.399999999999999" x14ac:dyDescent="0.25">
      <c r="A704" s="4"/>
      <c r="B704" s="19"/>
      <c r="C704" s="4"/>
      <c r="D704" s="4"/>
      <c r="E704" s="5"/>
      <c r="F704" s="4"/>
      <c r="G704" s="4"/>
      <c r="H704" s="4"/>
      <c r="I704" s="4"/>
      <c r="J704" s="4"/>
      <c r="K704" s="4"/>
      <c r="L704" s="4"/>
      <c r="M704" s="4"/>
      <c r="N704" s="4"/>
      <c r="O704" s="4"/>
      <c r="P704" s="4"/>
      <c r="Q704" s="4"/>
      <c r="R704" s="4"/>
      <c r="S704" s="19"/>
    </row>
    <row r="705" spans="1:19" ht="17.399999999999999" x14ac:dyDescent="0.25">
      <c r="A705" s="4"/>
      <c r="B705" s="19"/>
      <c r="C705" s="4"/>
      <c r="D705" s="4"/>
      <c r="E705" s="5"/>
      <c r="F705" s="4"/>
      <c r="G705" s="4"/>
      <c r="H705" s="4"/>
      <c r="I705" s="4"/>
      <c r="J705" s="4"/>
      <c r="K705" s="4"/>
      <c r="L705" s="4"/>
      <c r="M705" s="4"/>
      <c r="N705" s="4"/>
      <c r="O705" s="4"/>
      <c r="P705" s="4"/>
      <c r="Q705" s="4"/>
      <c r="R705" s="4"/>
      <c r="S705" s="19"/>
    </row>
    <row r="706" spans="1:19" ht="17.399999999999999" x14ac:dyDescent="0.25">
      <c r="A706" s="4"/>
      <c r="B706" s="19"/>
      <c r="C706" s="4"/>
      <c r="D706" s="4"/>
      <c r="E706" s="5"/>
      <c r="F706" s="4"/>
      <c r="G706" s="4"/>
      <c r="H706" s="4"/>
      <c r="I706" s="4"/>
      <c r="J706" s="4"/>
      <c r="K706" s="4"/>
      <c r="L706" s="4"/>
      <c r="M706" s="4"/>
      <c r="N706" s="4"/>
      <c r="O706" s="4"/>
      <c r="P706" s="4"/>
      <c r="Q706" s="4"/>
      <c r="R706" s="4"/>
      <c r="S706" s="19"/>
    </row>
    <row r="707" spans="1:19" ht="17.399999999999999" x14ac:dyDescent="0.25">
      <c r="A707" s="4"/>
      <c r="B707" s="19"/>
      <c r="C707" s="4"/>
      <c r="D707" s="4"/>
      <c r="E707" s="5"/>
      <c r="F707" s="4"/>
      <c r="G707" s="4"/>
      <c r="H707" s="4"/>
      <c r="I707" s="4"/>
      <c r="J707" s="4"/>
      <c r="K707" s="4"/>
      <c r="L707" s="4"/>
      <c r="M707" s="4"/>
      <c r="N707" s="4"/>
      <c r="O707" s="4"/>
      <c r="P707" s="4"/>
      <c r="Q707" s="4"/>
      <c r="R707" s="4"/>
      <c r="S707" s="19"/>
    </row>
    <row r="708" spans="1:19" ht="17.399999999999999" x14ac:dyDescent="0.25">
      <c r="A708" s="4"/>
      <c r="B708" s="19"/>
      <c r="C708" s="4"/>
      <c r="D708" s="4"/>
      <c r="E708" s="5"/>
      <c r="F708" s="4"/>
      <c r="G708" s="4"/>
      <c r="H708" s="4"/>
      <c r="I708" s="4"/>
      <c r="J708" s="4"/>
      <c r="K708" s="4"/>
      <c r="L708" s="4"/>
      <c r="M708" s="4"/>
      <c r="N708" s="4"/>
      <c r="O708" s="4"/>
      <c r="P708" s="4"/>
      <c r="Q708" s="4"/>
      <c r="R708" s="4"/>
      <c r="S708" s="19"/>
    </row>
    <row r="709" spans="1:19" ht="17.399999999999999" x14ac:dyDescent="0.25">
      <c r="A709" s="4"/>
      <c r="B709" s="19"/>
      <c r="C709" s="4"/>
      <c r="D709" s="4"/>
      <c r="E709" s="5"/>
      <c r="F709" s="4"/>
      <c r="G709" s="4"/>
      <c r="H709" s="4"/>
      <c r="I709" s="4"/>
      <c r="J709" s="4"/>
      <c r="K709" s="4"/>
      <c r="L709" s="4"/>
      <c r="M709" s="4"/>
      <c r="N709" s="4"/>
      <c r="O709" s="4"/>
      <c r="P709" s="4"/>
      <c r="Q709" s="4"/>
      <c r="R709" s="4"/>
      <c r="S709" s="19"/>
    </row>
    <row r="710" spans="1:19" ht="17.399999999999999" x14ac:dyDescent="0.25">
      <c r="A710" s="4"/>
      <c r="B710" s="19"/>
      <c r="C710" s="4"/>
      <c r="D710" s="4"/>
      <c r="E710" s="5"/>
      <c r="F710" s="4"/>
      <c r="G710" s="4"/>
      <c r="H710" s="4"/>
      <c r="I710" s="4"/>
      <c r="J710" s="4"/>
      <c r="K710" s="4"/>
      <c r="L710" s="4"/>
      <c r="M710" s="4"/>
      <c r="N710" s="4"/>
      <c r="O710" s="4"/>
      <c r="P710" s="4"/>
      <c r="Q710" s="4"/>
      <c r="R710" s="4"/>
      <c r="S710" s="19"/>
    </row>
    <row r="711" spans="1:19" ht="17.399999999999999" x14ac:dyDescent="0.25">
      <c r="A711" s="4"/>
      <c r="B711" s="19"/>
      <c r="C711" s="4"/>
      <c r="D711" s="4"/>
      <c r="E711" s="5"/>
      <c r="F711" s="4"/>
      <c r="G711" s="4"/>
      <c r="H711" s="4"/>
      <c r="I711" s="4"/>
      <c r="J711" s="4"/>
      <c r="K711" s="4"/>
      <c r="L711" s="4"/>
      <c r="M711" s="4"/>
      <c r="N711" s="4"/>
      <c r="O711" s="4"/>
      <c r="P711" s="4"/>
      <c r="Q711" s="4"/>
      <c r="R711" s="4"/>
      <c r="S711" s="19"/>
    </row>
    <row r="712" spans="1:19" ht="17.399999999999999" x14ac:dyDescent="0.25">
      <c r="A712" s="4"/>
      <c r="B712" s="19"/>
      <c r="C712" s="4"/>
      <c r="D712" s="4"/>
      <c r="E712" s="5"/>
      <c r="F712" s="4"/>
      <c r="G712" s="4"/>
      <c r="H712" s="4"/>
      <c r="I712" s="4"/>
      <c r="J712" s="4"/>
      <c r="K712" s="4"/>
      <c r="L712" s="4"/>
      <c r="M712" s="4"/>
      <c r="N712" s="4"/>
      <c r="O712" s="4"/>
      <c r="P712" s="4"/>
      <c r="Q712" s="4"/>
      <c r="R712" s="4"/>
      <c r="S712" s="19"/>
    </row>
    <row r="713" spans="1:19" ht="17.399999999999999" x14ac:dyDescent="0.25">
      <c r="A713" s="4"/>
      <c r="B713" s="19"/>
      <c r="C713" s="4"/>
      <c r="D713" s="4"/>
      <c r="E713" s="5"/>
      <c r="F713" s="4"/>
      <c r="G713" s="4"/>
      <c r="H713" s="4"/>
      <c r="I713" s="4"/>
      <c r="J713" s="4"/>
      <c r="K713" s="4"/>
      <c r="L713" s="4"/>
      <c r="M713" s="4"/>
      <c r="N713" s="4"/>
      <c r="O713" s="4"/>
      <c r="P713" s="4"/>
      <c r="Q713" s="4"/>
      <c r="R713" s="4"/>
      <c r="S713" s="19"/>
    </row>
    <row r="714" spans="1:19" ht="17.399999999999999" x14ac:dyDescent="0.25">
      <c r="A714" s="4"/>
      <c r="B714" s="19"/>
      <c r="C714" s="4"/>
      <c r="D714" s="4"/>
      <c r="E714" s="5"/>
      <c r="F714" s="4"/>
      <c r="G714" s="4"/>
      <c r="H714" s="4"/>
      <c r="I714" s="4"/>
      <c r="J714" s="4"/>
      <c r="K714" s="4"/>
      <c r="L714" s="4"/>
      <c r="M714" s="4"/>
      <c r="N714" s="4"/>
      <c r="O714" s="4"/>
      <c r="P714" s="4"/>
      <c r="Q714" s="4"/>
      <c r="R714" s="4"/>
      <c r="S714" s="19"/>
    </row>
    <row r="715" spans="1:19" ht="17.399999999999999" x14ac:dyDescent="0.25">
      <c r="A715" s="4"/>
      <c r="B715" s="19"/>
      <c r="C715" s="4"/>
      <c r="D715" s="4"/>
      <c r="E715" s="5"/>
      <c r="F715" s="4"/>
      <c r="G715" s="4"/>
      <c r="H715" s="4"/>
      <c r="I715" s="4"/>
      <c r="J715" s="4"/>
      <c r="K715" s="4"/>
      <c r="L715" s="4"/>
      <c r="M715" s="4"/>
      <c r="N715" s="4"/>
      <c r="O715" s="4"/>
      <c r="P715" s="4"/>
      <c r="Q715" s="4"/>
      <c r="R715" s="4"/>
      <c r="S715" s="19"/>
    </row>
    <row r="716" spans="1:19" ht="17.399999999999999" x14ac:dyDescent="0.25">
      <c r="A716" s="4"/>
      <c r="B716" s="19"/>
      <c r="C716" s="4"/>
      <c r="D716" s="4"/>
      <c r="E716" s="5"/>
      <c r="F716" s="4"/>
      <c r="G716" s="4"/>
      <c r="H716" s="4"/>
      <c r="I716" s="4"/>
      <c r="J716" s="4"/>
      <c r="K716" s="4"/>
      <c r="L716" s="4"/>
      <c r="M716" s="4"/>
      <c r="N716" s="4"/>
      <c r="O716" s="4"/>
      <c r="P716" s="4"/>
      <c r="Q716" s="4"/>
      <c r="R716" s="4"/>
      <c r="S716" s="19"/>
    </row>
    <row r="717" spans="1:19" ht="17.399999999999999" x14ac:dyDescent="0.25">
      <c r="A717" s="4"/>
      <c r="B717" s="19"/>
      <c r="C717" s="4"/>
      <c r="D717" s="4"/>
      <c r="E717" s="5"/>
      <c r="F717" s="4"/>
      <c r="G717" s="4"/>
      <c r="H717" s="4"/>
      <c r="I717" s="4"/>
      <c r="J717" s="4"/>
      <c r="K717" s="4"/>
      <c r="L717" s="4"/>
      <c r="M717" s="4"/>
      <c r="N717" s="4"/>
      <c r="O717" s="4"/>
      <c r="P717" s="4"/>
      <c r="Q717" s="4"/>
      <c r="R717" s="4"/>
      <c r="S717" s="19"/>
    </row>
    <row r="718" spans="1:19" ht="17.399999999999999" x14ac:dyDescent="0.25">
      <c r="A718" s="4"/>
      <c r="B718" s="19"/>
      <c r="C718" s="4"/>
      <c r="D718" s="4"/>
      <c r="E718" s="5"/>
      <c r="F718" s="4"/>
      <c r="G718" s="4"/>
      <c r="H718" s="4"/>
      <c r="I718" s="4"/>
      <c r="J718" s="4"/>
      <c r="K718" s="4"/>
      <c r="L718" s="4"/>
      <c r="M718" s="4"/>
      <c r="N718" s="4"/>
      <c r="O718" s="4"/>
      <c r="P718" s="4"/>
      <c r="Q718" s="4"/>
      <c r="R718" s="4"/>
      <c r="S718" s="19"/>
    </row>
    <row r="719" spans="1:19" ht="17.399999999999999" x14ac:dyDescent="0.25">
      <c r="A719" s="4"/>
      <c r="B719" s="19"/>
      <c r="C719" s="4"/>
      <c r="D719" s="4"/>
      <c r="E719" s="5"/>
      <c r="F719" s="4"/>
      <c r="G719" s="4"/>
      <c r="H719" s="4"/>
      <c r="I719" s="4"/>
      <c r="J719" s="4"/>
      <c r="K719" s="4"/>
      <c r="L719" s="4"/>
      <c r="M719" s="4"/>
      <c r="N719" s="4"/>
      <c r="O719" s="4"/>
      <c r="P719" s="4"/>
      <c r="Q719" s="4"/>
      <c r="R719" s="4"/>
      <c r="S719" s="19"/>
    </row>
    <row r="720" spans="1:19" ht="17.399999999999999" x14ac:dyDescent="0.25">
      <c r="A720" s="4"/>
      <c r="B720" s="19"/>
      <c r="C720" s="4"/>
      <c r="D720" s="4"/>
      <c r="E720" s="5"/>
      <c r="F720" s="4"/>
      <c r="G720" s="4"/>
      <c r="H720" s="4"/>
      <c r="I720" s="4"/>
      <c r="J720" s="4"/>
      <c r="K720" s="4"/>
      <c r="L720" s="4"/>
      <c r="M720" s="4"/>
      <c r="N720" s="4"/>
      <c r="O720" s="4"/>
      <c r="P720" s="4"/>
      <c r="Q720" s="4"/>
      <c r="R720" s="4"/>
      <c r="S720" s="19"/>
    </row>
    <row r="721" spans="1:19" ht="17.399999999999999" x14ac:dyDescent="0.25">
      <c r="A721" s="4"/>
      <c r="B721" s="19"/>
      <c r="C721" s="4"/>
      <c r="D721" s="4"/>
      <c r="E721" s="5"/>
      <c r="F721" s="4"/>
      <c r="G721" s="4"/>
      <c r="H721" s="4"/>
      <c r="I721" s="4"/>
      <c r="J721" s="4"/>
      <c r="K721" s="4"/>
      <c r="L721" s="4"/>
      <c r="M721" s="4"/>
      <c r="N721" s="4"/>
      <c r="O721" s="4"/>
      <c r="P721" s="4"/>
      <c r="Q721" s="4"/>
      <c r="R721" s="4"/>
      <c r="S721" s="19"/>
    </row>
    <row r="722" spans="1:19" ht="17.399999999999999" x14ac:dyDescent="0.25">
      <c r="A722" s="4"/>
      <c r="B722" s="19"/>
      <c r="C722" s="4"/>
      <c r="D722" s="4"/>
      <c r="E722" s="5"/>
      <c r="F722" s="4"/>
      <c r="G722" s="4"/>
      <c r="H722" s="4"/>
      <c r="I722" s="4"/>
      <c r="J722" s="4"/>
      <c r="K722" s="4"/>
      <c r="L722" s="4"/>
      <c r="M722" s="4"/>
      <c r="N722" s="4"/>
      <c r="O722" s="4"/>
      <c r="P722" s="4"/>
      <c r="Q722" s="4"/>
      <c r="R722" s="4"/>
      <c r="S722" s="19"/>
    </row>
    <row r="723" spans="1:19" ht="17.399999999999999" x14ac:dyDescent="0.25">
      <c r="A723" s="4"/>
      <c r="B723" s="19"/>
      <c r="C723" s="4"/>
      <c r="D723" s="4"/>
      <c r="E723" s="5"/>
      <c r="F723" s="4"/>
      <c r="G723" s="4"/>
      <c r="H723" s="4"/>
      <c r="I723" s="4"/>
      <c r="J723" s="4"/>
      <c r="K723" s="4"/>
      <c r="L723" s="4"/>
      <c r="M723" s="4"/>
      <c r="N723" s="4"/>
      <c r="O723" s="4"/>
      <c r="P723" s="4"/>
      <c r="Q723" s="4"/>
      <c r="R723" s="4"/>
      <c r="S723" s="19"/>
    </row>
    <row r="724" spans="1:19" ht="17.399999999999999" x14ac:dyDescent="0.25">
      <c r="A724" s="4"/>
      <c r="B724" s="19"/>
      <c r="C724" s="4"/>
      <c r="D724" s="4"/>
      <c r="E724" s="5"/>
      <c r="F724" s="4"/>
      <c r="G724" s="4"/>
      <c r="H724" s="4"/>
      <c r="I724" s="4"/>
      <c r="J724" s="4"/>
      <c r="K724" s="4"/>
      <c r="L724" s="4"/>
      <c r="M724" s="4"/>
      <c r="N724" s="4"/>
      <c r="O724" s="4"/>
      <c r="P724" s="4"/>
      <c r="Q724" s="4"/>
      <c r="R724" s="4"/>
      <c r="S724" s="19"/>
    </row>
    <row r="725" spans="1:19" ht="17.399999999999999" x14ac:dyDescent="0.25">
      <c r="A725" s="4"/>
      <c r="B725" s="19"/>
      <c r="C725" s="4"/>
      <c r="D725" s="4"/>
      <c r="E725" s="5"/>
      <c r="F725" s="4"/>
      <c r="G725" s="4"/>
      <c r="H725" s="4"/>
      <c r="I725" s="4"/>
      <c r="J725" s="4"/>
      <c r="K725" s="4"/>
      <c r="L725" s="4"/>
      <c r="M725" s="4"/>
      <c r="N725" s="4"/>
      <c r="O725" s="4"/>
      <c r="P725" s="4"/>
      <c r="Q725" s="4"/>
      <c r="R725" s="4"/>
      <c r="S725" s="19"/>
    </row>
    <row r="726" spans="1:19" ht="17.399999999999999" x14ac:dyDescent="0.25">
      <c r="A726" s="4"/>
      <c r="B726" s="19"/>
      <c r="C726" s="4"/>
      <c r="D726" s="4"/>
      <c r="E726" s="5"/>
      <c r="F726" s="4"/>
      <c r="G726" s="4"/>
      <c r="H726" s="4"/>
      <c r="I726" s="4"/>
      <c r="J726" s="4"/>
      <c r="K726" s="4"/>
      <c r="L726" s="4"/>
      <c r="M726" s="4"/>
      <c r="N726" s="4"/>
      <c r="O726" s="4"/>
      <c r="P726" s="4"/>
      <c r="Q726" s="4"/>
      <c r="R726" s="4"/>
      <c r="S726" s="19"/>
    </row>
    <row r="727" spans="1:19" ht="17.399999999999999" x14ac:dyDescent="0.25">
      <c r="A727" s="4"/>
      <c r="B727" s="19"/>
      <c r="C727" s="4"/>
      <c r="D727" s="4"/>
      <c r="E727" s="5"/>
      <c r="F727" s="4"/>
      <c r="G727" s="4"/>
      <c r="H727" s="4"/>
      <c r="I727" s="4"/>
      <c r="J727" s="4"/>
      <c r="K727" s="4"/>
      <c r="L727" s="4"/>
      <c r="M727" s="4"/>
      <c r="N727" s="4"/>
      <c r="O727" s="4"/>
      <c r="P727" s="4"/>
      <c r="Q727" s="4"/>
      <c r="R727" s="4"/>
      <c r="S727" s="19"/>
    </row>
    <row r="728" spans="1:19" ht="17.399999999999999" x14ac:dyDescent="0.25">
      <c r="A728" s="4"/>
      <c r="B728" s="19"/>
      <c r="C728" s="4"/>
      <c r="D728" s="4"/>
      <c r="E728" s="5"/>
      <c r="F728" s="4"/>
      <c r="G728" s="4"/>
      <c r="H728" s="4"/>
      <c r="I728" s="4"/>
      <c r="J728" s="4"/>
      <c r="K728" s="4"/>
      <c r="L728" s="4"/>
      <c r="M728" s="4"/>
      <c r="N728" s="4"/>
      <c r="O728" s="4"/>
      <c r="P728" s="4"/>
      <c r="Q728" s="4"/>
      <c r="R728" s="4"/>
      <c r="S728" s="19"/>
    </row>
    <row r="729" spans="1:19" ht="17.399999999999999" x14ac:dyDescent="0.25">
      <c r="A729" s="4"/>
      <c r="B729" s="19"/>
      <c r="C729" s="4"/>
      <c r="D729" s="4"/>
      <c r="E729" s="5"/>
      <c r="F729" s="4"/>
      <c r="G729" s="4"/>
      <c r="H729" s="4"/>
      <c r="I729" s="4"/>
      <c r="J729" s="4"/>
      <c r="K729" s="4"/>
      <c r="L729" s="4"/>
      <c r="M729" s="4"/>
      <c r="N729" s="4"/>
      <c r="O729" s="4"/>
      <c r="P729" s="4"/>
      <c r="Q729" s="4"/>
      <c r="R729" s="4"/>
      <c r="S729" s="19"/>
    </row>
    <row r="730" spans="1:19" ht="17.399999999999999" x14ac:dyDescent="0.25">
      <c r="A730" s="4"/>
      <c r="B730" s="19"/>
      <c r="C730" s="4"/>
      <c r="D730" s="4"/>
      <c r="E730" s="5"/>
      <c r="F730" s="4"/>
      <c r="G730" s="4"/>
      <c r="H730" s="4"/>
      <c r="I730" s="4"/>
      <c r="J730" s="4"/>
      <c r="K730" s="4"/>
      <c r="L730" s="4"/>
      <c r="M730" s="4"/>
      <c r="N730" s="4"/>
      <c r="O730" s="4"/>
      <c r="P730" s="4"/>
      <c r="Q730" s="4"/>
      <c r="R730" s="4"/>
      <c r="S730" s="19"/>
    </row>
    <row r="731" spans="1:19" ht="17.399999999999999" x14ac:dyDescent="0.25">
      <c r="A731" s="4"/>
      <c r="B731" s="19"/>
      <c r="C731" s="4"/>
      <c r="D731" s="4"/>
      <c r="E731" s="5"/>
      <c r="F731" s="4"/>
      <c r="G731" s="4"/>
      <c r="H731" s="4"/>
      <c r="I731" s="4"/>
      <c r="J731" s="4"/>
      <c r="K731" s="4"/>
      <c r="L731" s="4"/>
      <c r="M731" s="4"/>
      <c r="N731" s="4"/>
      <c r="O731" s="4"/>
      <c r="P731" s="4"/>
      <c r="Q731" s="4"/>
      <c r="R731" s="4"/>
      <c r="S731" s="19"/>
    </row>
    <row r="732" spans="1:19" ht="17.399999999999999" x14ac:dyDescent="0.25">
      <c r="A732" s="4"/>
      <c r="B732" s="19"/>
      <c r="C732" s="4"/>
      <c r="D732" s="4"/>
      <c r="E732" s="5"/>
      <c r="F732" s="4"/>
      <c r="G732" s="4"/>
      <c r="H732" s="4"/>
      <c r="I732" s="4"/>
      <c r="J732" s="4"/>
      <c r="K732" s="4"/>
      <c r="L732" s="4"/>
      <c r="M732" s="4"/>
      <c r="N732" s="4"/>
      <c r="O732" s="4"/>
      <c r="P732" s="4"/>
      <c r="Q732" s="4"/>
      <c r="R732" s="4"/>
      <c r="S732" s="19"/>
    </row>
    <row r="733" spans="1:19" ht="17.399999999999999" x14ac:dyDescent="0.25">
      <c r="A733" s="4"/>
      <c r="B733" s="19"/>
      <c r="C733" s="4"/>
      <c r="D733" s="4"/>
      <c r="E733" s="5"/>
      <c r="F733" s="4"/>
      <c r="G733" s="4"/>
      <c r="H733" s="4"/>
      <c r="I733" s="4"/>
      <c r="J733" s="4"/>
      <c r="K733" s="4"/>
      <c r="L733" s="4"/>
      <c r="M733" s="4"/>
      <c r="N733" s="4"/>
      <c r="O733" s="4"/>
      <c r="P733" s="4"/>
      <c r="Q733" s="4"/>
      <c r="R733" s="4"/>
      <c r="S733" s="19"/>
    </row>
    <row r="734" spans="1:19" ht="17.399999999999999" x14ac:dyDescent="0.25">
      <c r="A734" s="4"/>
      <c r="B734" s="19"/>
      <c r="C734" s="4"/>
      <c r="D734" s="4"/>
      <c r="E734" s="5"/>
      <c r="F734" s="4"/>
      <c r="G734" s="4"/>
      <c r="H734" s="4"/>
      <c r="I734" s="4"/>
      <c r="J734" s="4"/>
      <c r="K734" s="4"/>
      <c r="L734" s="4"/>
      <c r="M734" s="4"/>
      <c r="N734" s="4"/>
      <c r="O734" s="4"/>
      <c r="P734" s="4"/>
      <c r="Q734" s="4"/>
      <c r="R734" s="4"/>
      <c r="S734" s="19"/>
    </row>
    <row r="735" spans="1:19" ht="17.399999999999999" x14ac:dyDescent="0.25">
      <c r="A735" s="4"/>
      <c r="B735" s="19"/>
      <c r="C735" s="4"/>
      <c r="D735" s="4"/>
      <c r="E735" s="5"/>
      <c r="F735" s="4"/>
      <c r="G735" s="4"/>
      <c r="H735" s="4"/>
      <c r="I735" s="4"/>
      <c r="J735" s="4"/>
      <c r="K735" s="4"/>
      <c r="L735" s="4"/>
      <c r="M735" s="4"/>
      <c r="N735" s="4"/>
      <c r="O735" s="4"/>
      <c r="P735" s="4"/>
      <c r="Q735" s="4"/>
      <c r="R735" s="4"/>
      <c r="S735" s="19"/>
    </row>
    <row r="736" spans="1:19" ht="17.399999999999999" x14ac:dyDescent="0.25">
      <c r="A736" s="4"/>
      <c r="B736" s="19"/>
      <c r="C736" s="4"/>
      <c r="D736" s="4"/>
      <c r="E736" s="5"/>
      <c r="F736" s="4"/>
      <c r="G736" s="4"/>
      <c r="H736" s="4"/>
      <c r="I736" s="4"/>
      <c r="J736" s="4"/>
      <c r="K736" s="4"/>
      <c r="L736" s="4"/>
      <c r="M736" s="4"/>
      <c r="N736" s="4"/>
      <c r="O736" s="4"/>
      <c r="P736" s="4"/>
      <c r="Q736" s="4"/>
      <c r="R736" s="4"/>
      <c r="S736" s="19"/>
    </row>
    <row r="737" spans="1:19" ht="17.399999999999999" x14ac:dyDescent="0.25">
      <c r="A737" s="4"/>
      <c r="B737" s="19"/>
      <c r="C737" s="4"/>
      <c r="D737" s="4"/>
      <c r="E737" s="5"/>
      <c r="F737" s="4"/>
      <c r="G737" s="4"/>
      <c r="H737" s="4"/>
      <c r="I737" s="4"/>
      <c r="J737" s="4"/>
      <c r="K737" s="4"/>
      <c r="L737" s="4"/>
      <c r="M737" s="4"/>
      <c r="N737" s="4"/>
      <c r="O737" s="4"/>
      <c r="P737" s="4"/>
      <c r="Q737" s="4"/>
      <c r="R737" s="4"/>
      <c r="S737" s="19"/>
    </row>
    <row r="738" spans="1:19" ht="17.399999999999999" x14ac:dyDescent="0.25">
      <c r="A738" s="4"/>
      <c r="B738" s="19"/>
      <c r="C738" s="4"/>
      <c r="D738" s="4"/>
      <c r="E738" s="5"/>
      <c r="F738" s="4"/>
      <c r="G738" s="4"/>
      <c r="H738" s="4"/>
      <c r="I738" s="4"/>
      <c r="J738" s="4"/>
      <c r="K738" s="4"/>
      <c r="L738" s="4"/>
      <c r="M738" s="4"/>
      <c r="N738" s="4"/>
      <c r="O738" s="4"/>
      <c r="P738" s="4"/>
      <c r="Q738" s="4"/>
      <c r="R738" s="4"/>
      <c r="S738" s="19"/>
    </row>
    <row r="739" spans="1:19" ht="17.399999999999999" x14ac:dyDescent="0.25">
      <c r="A739" s="4"/>
      <c r="B739" s="19"/>
      <c r="C739" s="4"/>
      <c r="D739" s="4"/>
      <c r="E739" s="5"/>
      <c r="F739" s="4"/>
      <c r="G739" s="4"/>
      <c r="H739" s="4"/>
      <c r="I739" s="4"/>
      <c r="J739" s="4"/>
      <c r="K739" s="4"/>
      <c r="L739" s="4"/>
      <c r="M739" s="4"/>
      <c r="N739" s="4"/>
      <c r="O739" s="4"/>
      <c r="P739" s="4"/>
      <c r="Q739" s="4"/>
      <c r="R739" s="4"/>
      <c r="S739" s="19"/>
    </row>
    <row r="740" spans="1:19" ht="17.399999999999999" x14ac:dyDescent="0.25">
      <c r="A740" s="4"/>
      <c r="B740" s="19"/>
      <c r="C740" s="4"/>
      <c r="D740" s="4"/>
      <c r="E740" s="5"/>
      <c r="F740" s="4"/>
      <c r="G740" s="4"/>
      <c r="H740" s="4"/>
      <c r="I740" s="4"/>
      <c r="J740" s="4"/>
      <c r="K740" s="4"/>
      <c r="L740" s="4"/>
      <c r="M740" s="4"/>
      <c r="N740" s="4"/>
      <c r="O740" s="4"/>
      <c r="P740" s="4"/>
      <c r="Q740" s="4"/>
      <c r="R740" s="4"/>
      <c r="S740" s="19"/>
    </row>
    <row r="741" spans="1:19" ht="17.399999999999999" x14ac:dyDescent="0.25">
      <c r="A741" s="4"/>
      <c r="B741" s="19"/>
      <c r="C741" s="4"/>
      <c r="D741" s="4"/>
      <c r="E741" s="5"/>
      <c r="F741" s="4"/>
      <c r="G741" s="4"/>
      <c r="H741" s="4"/>
      <c r="I741" s="4"/>
      <c r="J741" s="4"/>
      <c r="K741" s="4"/>
      <c r="L741" s="4"/>
      <c r="M741" s="4"/>
      <c r="N741" s="4"/>
      <c r="O741" s="4"/>
      <c r="P741" s="4"/>
      <c r="Q741" s="4"/>
      <c r="R741" s="4"/>
      <c r="S741" s="19"/>
    </row>
    <row r="742" spans="1:19" ht="17.399999999999999" x14ac:dyDescent="0.25">
      <c r="A742" s="4"/>
      <c r="B742" s="19"/>
      <c r="C742" s="4"/>
      <c r="D742" s="4"/>
      <c r="E742" s="5"/>
      <c r="F742" s="4"/>
      <c r="G742" s="4"/>
      <c r="H742" s="4"/>
      <c r="I742" s="4"/>
      <c r="J742" s="4"/>
      <c r="K742" s="4"/>
      <c r="L742" s="4"/>
      <c r="M742" s="4"/>
      <c r="N742" s="4"/>
      <c r="O742" s="4"/>
      <c r="P742" s="4"/>
      <c r="Q742" s="4"/>
      <c r="R742" s="4"/>
      <c r="S742" s="19"/>
    </row>
    <row r="743" spans="1:19" ht="17.399999999999999" x14ac:dyDescent="0.25">
      <c r="A743" s="4"/>
      <c r="B743" s="19"/>
      <c r="C743" s="4"/>
      <c r="D743" s="4"/>
      <c r="E743" s="5"/>
      <c r="F743" s="4"/>
      <c r="G743" s="4"/>
      <c r="H743" s="4"/>
      <c r="I743" s="4"/>
      <c r="J743" s="4"/>
      <c r="K743" s="4"/>
      <c r="L743" s="4"/>
      <c r="M743" s="4"/>
      <c r="N743" s="4"/>
      <c r="O743" s="4"/>
      <c r="P743" s="4"/>
      <c r="Q743" s="4"/>
      <c r="R743" s="4"/>
      <c r="S743" s="19"/>
    </row>
    <row r="744" spans="1:19" ht="17.399999999999999" x14ac:dyDescent="0.25">
      <c r="A744" s="4"/>
      <c r="B744" s="19"/>
      <c r="C744" s="4"/>
      <c r="D744" s="4"/>
      <c r="E744" s="5"/>
      <c r="F744" s="4"/>
      <c r="G744" s="4"/>
      <c r="H744" s="4"/>
      <c r="I744" s="4"/>
      <c r="J744" s="4"/>
      <c r="K744" s="4"/>
      <c r="L744" s="4"/>
      <c r="M744" s="4"/>
      <c r="N744" s="4"/>
      <c r="O744" s="4"/>
      <c r="P744" s="4"/>
      <c r="Q744" s="4"/>
      <c r="R744" s="4"/>
      <c r="S744" s="19"/>
    </row>
    <row r="745" spans="1:19" ht="17.399999999999999" x14ac:dyDescent="0.25">
      <c r="A745" s="4"/>
      <c r="B745" s="19"/>
      <c r="C745" s="4"/>
      <c r="D745" s="4"/>
      <c r="E745" s="5"/>
      <c r="F745" s="4"/>
      <c r="G745" s="4"/>
      <c r="H745" s="4"/>
      <c r="I745" s="4"/>
      <c r="J745" s="4"/>
      <c r="K745" s="4"/>
      <c r="L745" s="4"/>
      <c r="M745" s="4"/>
      <c r="N745" s="4"/>
      <c r="O745" s="4"/>
      <c r="P745" s="4"/>
      <c r="Q745" s="4"/>
      <c r="R745" s="4"/>
      <c r="S745" s="19"/>
    </row>
    <row r="746" spans="1:19" ht="17.399999999999999" x14ac:dyDescent="0.25">
      <c r="A746" s="4"/>
      <c r="B746" s="19"/>
      <c r="C746" s="4"/>
      <c r="D746" s="4"/>
      <c r="E746" s="5"/>
      <c r="F746" s="4"/>
      <c r="G746" s="4"/>
      <c r="H746" s="4"/>
      <c r="I746" s="4"/>
      <c r="J746" s="4"/>
      <c r="K746" s="4"/>
      <c r="L746" s="4"/>
      <c r="M746" s="4"/>
      <c r="N746" s="4"/>
      <c r="O746" s="4"/>
      <c r="P746" s="4"/>
      <c r="Q746" s="4"/>
      <c r="R746" s="4"/>
      <c r="S746" s="19"/>
    </row>
    <row r="747" spans="1:19" ht="17.399999999999999" x14ac:dyDescent="0.25">
      <c r="A747" s="4"/>
      <c r="B747" s="19"/>
      <c r="C747" s="4"/>
      <c r="D747" s="4"/>
      <c r="E747" s="5"/>
      <c r="F747" s="4"/>
      <c r="G747" s="4"/>
      <c r="H747" s="4"/>
      <c r="I747" s="4"/>
      <c r="J747" s="4"/>
      <c r="K747" s="4"/>
      <c r="L747" s="4"/>
      <c r="M747" s="4"/>
      <c r="N747" s="4"/>
      <c r="O747" s="4"/>
      <c r="P747" s="4"/>
      <c r="Q747" s="4"/>
      <c r="R747" s="4"/>
      <c r="S747" s="19"/>
    </row>
    <row r="748" spans="1:19" ht="17.399999999999999" x14ac:dyDescent="0.25">
      <c r="A748" s="4"/>
      <c r="B748" s="19"/>
      <c r="C748" s="4"/>
      <c r="D748" s="4"/>
      <c r="E748" s="5"/>
      <c r="F748" s="4"/>
      <c r="G748" s="4"/>
      <c r="H748" s="4"/>
      <c r="I748" s="4"/>
      <c r="J748" s="4"/>
      <c r="K748" s="4"/>
      <c r="L748" s="4"/>
      <c r="M748" s="4"/>
      <c r="N748" s="4"/>
      <c r="O748" s="4"/>
      <c r="P748" s="4"/>
      <c r="Q748" s="4"/>
      <c r="R748" s="4"/>
      <c r="S748" s="19"/>
    </row>
    <row r="749" spans="1:19" ht="17.399999999999999" x14ac:dyDescent="0.25">
      <c r="A749" s="4"/>
      <c r="B749" s="19"/>
      <c r="C749" s="4"/>
      <c r="D749" s="4"/>
      <c r="E749" s="5"/>
      <c r="F749" s="4"/>
      <c r="G749" s="4"/>
      <c r="H749" s="4"/>
      <c r="I749" s="4"/>
      <c r="J749" s="4"/>
      <c r="K749" s="4"/>
      <c r="L749" s="4"/>
      <c r="M749" s="4"/>
      <c r="N749" s="4"/>
      <c r="O749" s="4"/>
      <c r="P749" s="4"/>
      <c r="Q749" s="4"/>
      <c r="R749" s="4"/>
      <c r="S749" s="19"/>
    </row>
    <row r="750" spans="1:19" ht="17.399999999999999" x14ac:dyDescent="0.25">
      <c r="A750" s="4"/>
      <c r="B750" s="19"/>
      <c r="C750" s="4"/>
      <c r="D750" s="4"/>
      <c r="E750" s="5"/>
      <c r="F750" s="4"/>
      <c r="G750" s="4"/>
      <c r="H750" s="4"/>
      <c r="I750" s="4"/>
      <c r="J750" s="4"/>
      <c r="K750" s="4"/>
      <c r="L750" s="4"/>
      <c r="M750" s="4"/>
      <c r="N750" s="4"/>
      <c r="O750" s="4"/>
      <c r="P750" s="4"/>
      <c r="Q750" s="4"/>
      <c r="R750" s="4"/>
      <c r="S750" s="19"/>
    </row>
    <row r="751" spans="1:19" ht="17.399999999999999" x14ac:dyDescent="0.25">
      <c r="A751" s="4"/>
      <c r="B751" s="19"/>
      <c r="C751" s="4"/>
      <c r="D751" s="4"/>
      <c r="E751" s="5"/>
      <c r="F751" s="4"/>
      <c r="G751" s="4"/>
      <c r="H751" s="4"/>
      <c r="I751" s="4"/>
      <c r="J751" s="4"/>
      <c r="K751" s="4"/>
      <c r="L751" s="4"/>
      <c r="M751" s="4"/>
      <c r="N751" s="4"/>
      <c r="O751" s="4"/>
      <c r="P751" s="4"/>
      <c r="Q751" s="4"/>
      <c r="R751" s="4"/>
      <c r="S751" s="19"/>
    </row>
    <row r="752" spans="1:19" ht="17.399999999999999" x14ac:dyDescent="0.25">
      <c r="A752" s="4"/>
      <c r="B752" s="19"/>
      <c r="C752" s="4"/>
      <c r="D752" s="4"/>
      <c r="E752" s="5"/>
      <c r="F752" s="4"/>
      <c r="G752" s="4"/>
      <c r="H752" s="4"/>
      <c r="I752" s="4"/>
      <c r="J752" s="4"/>
      <c r="K752" s="4"/>
      <c r="L752" s="4"/>
      <c r="M752" s="4"/>
      <c r="N752" s="4"/>
      <c r="O752" s="4"/>
      <c r="P752" s="4"/>
      <c r="Q752" s="4"/>
      <c r="R752" s="4"/>
      <c r="S752" s="19"/>
    </row>
    <row r="753" spans="1:19" ht="17.399999999999999" x14ac:dyDescent="0.25">
      <c r="A753" s="4"/>
      <c r="B753" s="19"/>
      <c r="C753" s="4"/>
      <c r="D753" s="4"/>
      <c r="E753" s="5"/>
      <c r="F753" s="4"/>
      <c r="G753" s="4"/>
      <c r="H753" s="4"/>
      <c r="I753" s="4"/>
      <c r="J753" s="4"/>
      <c r="K753" s="4"/>
      <c r="L753" s="4"/>
      <c r="M753" s="4"/>
      <c r="N753" s="4"/>
      <c r="O753" s="4"/>
      <c r="P753" s="4"/>
      <c r="Q753" s="4"/>
      <c r="R753" s="4"/>
      <c r="S753" s="19"/>
    </row>
    <row r="754" spans="1:19" ht="17.399999999999999" x14ac:dyDescent="0.25">
      <c r="A754" s="4"/>
      <c r="B754" s="19"/>
      <c r="C754" s="4"/>
      <c r="D754" s="4"/>
      <c r="E754" s="5"/>
      <c r="F754" s="4"/>
      <c r="G754" s="4"/>
      <c r="H754" s="4"/>
      <c r="I754" s="4"/>
      <c r="J754" s="4"/>
      <c r="K754" s="4"/>
      <c r="L754" s="4"/>
      <c r="M754" s="4"/>
      <c r="N754" s="4"/>
      <c r="O754" s="4"/>
      <c r="P754" s="4"/>
      <c r="Q754" s="4"/>
      <c r="R754" s="4"/>
      <c r="S754" s="19"/>
    </row>
    <row r="755" spans="1:19" ht="17.399999999999999" x14ac:dyDescent="0.25">
      <c r="A755" s="4"/>
      <c r="B755" s="19"/>
      <c r="C755" s="4"/>
      <c r="D755" s="4"/>
      <c r="E755" s="5"/>
      <c r="F755" s="4"/>
      <c r="G755" s="4"/>
      <c r="H755" s="4"/>
      <c r="I755" s="4"/>
      <c r="J755" s="4"/>
      <c r="K755" s="4"/>
      <c r="L755" s="4"/>
      <c r="M755" s="4"/>
      <c r="N755" s="4"/>
      <c r="O755" s="4"/>
      <c r="P755" s="4"/>
      <c r="Q755" s="4"/>
      <c r="R755" s="4"/>
      <c r="S755" s="19"/>
    </row>
    <row r="756" spans="1:19" ht="17.399999999999999" x14ac:dyDescent="0.25">
      <c r="A756" s="4"/>
      <c r="B756" s="19"/>
      <c r="C756" s="4"/>
      <c r="D756" s="4"/>
      <c r="E756" s="5"/>
      <c r="F756" s="4"/>
      <c r="G756" s="4"/>
      <c r="H756" s="4"/>
      <c r="I756" s="4"/>
      <c r="J756" s="4"/>
      <c r="K756" s="4"/>
      <c r="L756" s="4"/>
      <c r="M756" s="4"/>
      <c r="N756" s="4"/>
      <c r="O756" s="4"/>
      <c r="P756" s="4"/>
      <c r="Q756" s="4"/>
      <c r="R756" s="4"/>
      <c r="S756" s="19"/>
    </row>
    <row r="757" spans="1:19" ht="17.399999999999999" x14ac:dyDescent="0.25">
      <c r="A757" s="4"/>
      <c r="B757" s="19"/>
      <c r="C757" s="4"/>
      <c r="D757" s="4"/>
      <c r="E757" s="5"/>
      <c r="F757" s="4"/>
      <c r="G757" s="4"/>
      <c r="H757" s="4"/>
      <c r="I757" s="4"/>
      <c r="J757" s="4"/>
      <c r="K757" s="4"/>
      <c r="L757" s="4"/>
      <c r="M757" s="4"/>
      <c r="N757" s="4"/>
      <c r="O757" s="4"/>
      <c r="P757" s="4"/>
      <c r="Q757" s="4"/>
      <c r="R757" s="4"/>
      <c r="S757" s="19"/>
    </row>
    <row r="758" spans="1:19" ht="17.399999999999999" x14ac:dyDescent="0.25">
      <c r="A758" s="4"/>
      <c r="B758" s="19"/>
      <c r="C758" s="4"/>
      <c r="D758" s="4"/>
      <c r="E758" s="5"/>
      <c r="F758" s="4"/>
      <c r="G758" s="4"/>
      <c r="H758" s="4"/>
      <c r="I758" s="4"/>
      <c r="J758" s="4"/>
      <c r="K758" s="4"/>
      <c r="L758" s="4"/>
      <c r="M758" s="4"/>
      <c r="N758" s="4"/>
      <c r="O758" s="4"/>
      <c r="P758" s="4"/>
      <c r="Q758" s="4"/>
      <c r="R758" s="4"/>
      <c r="S758" s="19"/>
    </row>
    <row r="759" spans="1:19" ht="17.399999999999999" x14ac:dyDescent="0.25">
      <c r="A759" s="4"/>
      <c r="B759" s="19"/>
      <c r="C759" s="4"/>
      <c r="D759" s="4"/>
      <c r="E759" s="5"/>
      <c r="F759" s="4"/>
      <c r="G759" s="4"/>
      <c r="H759" s="4"/>
      <c r="I759" s="4"/>
      <c r="J759" s="4"/>
      <c r="K759" s="4"/>
      <c r="L759" s="4"/>
      <c r="M759" s="4"/>
      <c r="N759" s="4"/>
      <c r="O759" s="4"/>
      <c r="P759" s="4"/>
      <c r="Q759" s="4"/>
      <c r="R759" s="4"/>
      <c r="S759" s="19"/>
    </row>
    <row r="760" spans="1:19" ht="17.399999999999999" x14ac:dyDescent="0.25">
      <c r="A760" s="4"/>
      <c r="B760" s="19"/>
      <c r="C760" s="4"/>
      <c r="D760" s="4"/>
      <c r="E760" s="5"/>
      <c r="F760" s="4"/>
      <c r="G760" s="4"/>
      <c r="H760" s="4"/>
      <c r="I760" s="4"/>
      <c r="J760" s="4"/>
      <c r="K760" s="4"/>
      <c r="L760" s="4"/>
      <c r="M760" s="4"/>
      <c r="N760" s="4"/>
      <c r="O760" s="4"/>
      <c r="P760" s="4"/>
      <c r="Q760" s="4"/>
      <c r="R760" s="4"/>
      <c r="S760" s="19"/>
    </row>
    <row r="761" spans="1:19" ht="17.399999999999999" x14ac:dyDescent="0.25">
      <c r="A761" s="4"/>
      <c r="B761" s="19"/>
      <c r="C761" s="4"/>
      <c r="D761" s="4"/>
      <c r="E761" s="5"/>
      <c r="F761" s="4"/>
      <c r="G761" s="4"/>
      <c r="H761" s="4"/>
      <c r="I761" s="4"/>
      <c r="J761" s="4"/>
      <c r="K761" s="4"/>
      <c r="L761" s="4"/>
      <c r="M761" s="4"/>
      <c r="N761" s="4"/>
      <c r="O761" s="4"/>
      <c r="P761" s="4"/>
      <c r="Q761" s="4"/>
      <c r="R761" s="4"/>
      <c r="S761" s="19"/>
    </row>
    <row r="762" spans="1:19" ht="17.399999999999999" x14ac:dyDescent="0.25">
      <c r="A762" s="4"/>
      <c r="B762" s="19"/>
      <c r="C762" s="4"/>
      <c r="D762" s="4"/>
      <c r="E762" s="5"/>
      <c r="F762" s="4"/>
      <c r="G762" s="4"/>
      <c r="H762" s="4"/>
      <c r="I762" s="4"/>
      <c r="J762" s="4"/>
      <c r="K762" s="4"/>
      <c r="L762" s="4"/>
      <c r="M762" s="4"/>
      <c r="N762" s="4"/>
      <c r="O762" s="4"/>
      <c r="P762" s="4"/>
      <c r="Q762" s="4"/>
      <c r="R762" s="4"/>
      <c r="S762" s="19"/>
    </row>
    <row r="763" spans="1:19" ht="17.399999999999999" x14ac:dyDescent="0.25">
      <c r="A763" s="4"/>
      <c r="B763" s="19"/>
      <c r="C763" s="4"/>
      <c r="D763" s="4"/>
      <c r="E763" s="5"/>
      <c r="F763" s="4"/>
      <c r="G763" s="4"/>
      <c r="H763" s="4"/>
      <c r="I763" s="4"/>
      <c r="J763" s="4"/>
      <c r="K763" s="4"/>
      <c r="L763" s="4"/>
      <c r="M763" s="4"/>
      <c r="N763" s="4"/>
      <c r="O763" s="4"/>
      <c r="P763" s="4"/>
      <c r="Q763" s="4"/>
      <c r="R763" s="4"/>
      <c r="S763" s="19"/>
    </row>
    <row r="764" spans="1:19" ht="17.399999999999999" x14ac:dyDescent="0.25">
      <c r="A764" s="4"/>
      <c r="B764" s="19"/>
      <c r="C764" s="4"/>
      <c r="D764" s="4"/>
      <c r="E764" s="5"/>
      <c r="F764" s="4"/>
      <c r="G764" s="4"/>
      <c r="H764" s="4"/>
      <c r="I764" s="4"/>
      <c r="J764" s="4"/>
      <c r="K764" s="4"/>
      <c r="L764" s="4"/>
      <c r="M764" s="4"/>
      <c r="N764" s="4"/>
      <c r="O764" s="4"/>
      <c r="P764" s="4"/>
      <c r="Q764" s="4"/>
      <c r="R764" s="4"/>
      <c r="S764" s="19"/>
    </row>
    <row r="765" spans="1:19" ht="17.399999999999999" x14ac:dyDescent="0.25">
      <c r="A765" s="4"/>
      <c r="B765" s="19"/>
      <c r="C765" s="4"/>
      <c r="D765" s="4"/>
      <c r="E765" s="5"/>
      <c r="F765" s="4"/>
      <c r="G765" s="4"/>
      <c r="H765" s="4"/>
      <c r="I765" s="4"/>
      <c r="J765" s="4"/>
      <c r="K765" s="4"/>
      <c r="L765" s="4"/>
      <c r="M765" s="4"/>
      <c r="N765" s="4"/>
      <c r="O765" s="4"/>
      <c r="P765" s="4"/>
      <c r="Q765" s="4"/>
      <c r="R765" s="4"/>
      <c r="S765" s="19"/>
    </row>
    <row r="766" spans="1:19" ht="17.399999999999999" x14ac:dyDescent="0.25">
      <c r="A766" s="4"/>
      <c r="B766" s="19"/>
      <c r="C766" s="4"/>
      <c r="D766" s="4"/>
      <c r="E766" s="5"/>
      <c r="F766" s="4"/>
      <c r="G766" s="4"/>
      <c r="H766" s="4"/>
      <c r="I766" s="4"/>
      <c r="J766" s="4"/>
      <c r="K766" s="4"/>
      <c r="L766" s="4"/>
      <c r="M766" s="4"/>
      <c r="N766" s="4"/>
      <c r="O766" s="4"/>
      <c r="P766" s="4"/>
      <c r="Q766" s="4"/>
      <c r="R766" s="4"/>
      <c r="S766" s="19"/>
    </row>
    <row r="767" spans="1:19" ht="17.399999999999999" x14ac:dyDescent="0.25">
      <c r="A767" s="4"/>
      <c r="B767" s="19"/>
      <c r="C767" s="4"/>
      <c r="D767" s="4"/>
      <c r="E767" s="5"/>
      <c r="F767" s="4"/>
      <c r="G767" s="4"/>
      <c r="H767" s="4"/>
      <c r="I767" s="4"/>
      <c r="J767" s="4"/>
      <c r="K767" s="4"/>
      <c r="L767" s="4"/>
      <c r="M767" s="4"/>
      <c r="N767" s="4"/>
      <c r="O767" s="4"/>
      <c r="P767" s="4"/>
      <c r="Q767" s="4"/>
      <c r="R767" s="4"/>
      <c r="S767" s="19"/>
    </row>
    <row r="768" spans="1:19" ht="17.399999999999999" x14ac:dyDescent="0.25">
      <c r="A768" s="4"/>
      <c r="B768" s="19"/>
      <c r="C768" s="4"/>
      <c r="D768" s="4"/>
      <c r="E768" s="5"/>
      <c r="F768" s="4"/>
      <c r="G768" s="4"/>
      <c r="H768" s="4"/>
      <c r="I768" s="4"/>
      <c r="J768" s="4"/>
      <c r="K768" s="4"/>
      <c r="L768" s="4"/>
      <c r="M768" s="4"/>
      <c r="N768" s="4"/>
      <c r="O768" s="4"/>
      <c r="P768" s="4"/>
      <c r="Q768" s="4"/>
      <c r="R768" s="4"/>
      <c r="S768" s="19"/>
    </row>
    <row r="769" spans="1:19" ht="17.399999999999999" x14ac:dyDescent="0.25">
      <c r="A769" s="4"/>
      <c r="B769" s="19"/>
      <c r="C769" s="4"/>
      <c r="D769" s="4"/>
      <c r="E769" s="5"/>
      <c r="F769" s="4"/>
      <c r="G769" s="4"/>
      <c r="H769" s="4"/>
      <c r="I769" s="4"/>
      <c r="J769" s="4"/>
      <c r="K769" s="4"/>
      <c r="L769" s="4"/>
      <c r="M769" s="4"/>
      <c r="N769" s="4"/>
      <c r="O769" s="4"/>
      <c r="P769" s="4"/>
      <c r="Q769" s="4"/>
      <c r="R769" s="4"/>
      <c r="S769" s="19"/>
    </row>
    <row r="770" spans="1:19" ht="17.399999999999999" x14ac:dyDescent="0.25">
      <c r="A770" s="4"/>
      <c r="B770" s="19"/>
      <c r="C770" s="4"/>
      <c r="D770" s="4"/>
      <c r="E770" s="5"/>
      <c r="F770" s="4"/>
      <c r="G770" s="4"/>
      <c r="H770" s="4"/>
      <c r="I770" s="4"/>
      <c r="J770" s="4"/>
      <c r="K770" s="4"/>
      <c r="L770" s="4"/>
      <c r="M770" s="4"/>
      <c r="N770" s="4"/>
      <c r="O770" s="4"/>
      <c r="P770" s="4"/>
      <c r="Q770" s="4"/>
      <c r="R770" s="4"/>
      <c r="S770" s="19"/>
    </row>
    <row r="771" spans="1:19" ht="17.399999999999999" x14ac:dyDescent="0.25">
      <c r="A771" s="4"/>
      <c r="B771" s="19"/>
      <c r="C771" s="4"/>
      <c r="D771" s="4"/>
      <c r="E771" s="5"/>
      <c r="F771" s="4"/>
      <c r="G771" s="4"/>
      <c r="H771" s="4"/>
      <c r="I771" s="4"/>
      <c r="J771" s="4"/>
      <c r="K771" s="4"/>
      <c r="L771" s="4"/>
      <c r="M771" s="4"/>
      <c r="N771" s="4"/>
      <c r="O771" s="4"/>
      <c r="P771" s="4"/>
      <c r="Q771" s="4"/>
      <c r="R771" s="4"/>
      <c r="S771" s="19"/>
    </row>
    <row r="772" spans="1:19" ht="17.399999999999999" x14ac:dyDescent="0.25">
      <c r="A772" s="4"/>
      <c r="B772" s="19"/>
      <c r="C772" s="4"/>
      <c r="D772" s="4"/>
      <c r="E772" s="5"/>
      <c r="F772" s="4"/>
      <c r="G772" s="4"/>
      <c r="H772" s="4"/>
      <c r="I772" s="4"/>
      <c r="J772" s="4"/>
      <c r="K772" s="4"/>
      <c r="L772" s="4"/>
      <c r="M772" s="4"/>
      <c r="N772" s="4"/>
      <c r="O772" s="4"/>
      <c r="P772" s="4"/>
      <c r="Q772" s="4"/>
      <c r="R772" s="4"/>
      <c r="S772" s="19"/>
    </row>
    <row r="773" spans="1:19" ht="17.399999999999999" x14ac:dyDescent="0.25">
      <c r="A773" s="4"/>
      <c r="B773" s="19"/>
      <c r="C773" s="4"/>
      <c r="D773" s="4"/>
      <c r="E773" s="5"/>
      <c r="F773" s="4"/>
      <c r="G773" s="4"/>
      <c r="H773" s="4"/>
      <c r="I773" s="4"/>
      <c r="J773" s="4"/>
      <c r="K773" s="4"/>
      <c r="L773" s="4"/>
      <c r="M773" s="4"/>
      <c r="N773" s="4"/>
      <c r="O773" s="4"/>
      <c r="P773" s="4"/>
      <c r="Q773" s="4"/>
      <c r="R773" s="4"/>
      <c r="S773" s="19"/>
    </row>
    <row r="774" spans="1:19" ht="17.399999999999999" x14ac:dyDescent="0.25">
      <c r="A774" s="4"/>
      <c r="B774" s="19"/>
      <c r="C774" s="4"/>
      <c r="D774" s="4"/>
      <c r="E774" s="5"/>
      <c r="F774" s="4"/>
      <c r="G774" s="4"/>
      <c r="H774" s="4"/>
      <c r="I774" s="4"/>
      <c r="J774" s="4"/>
      <c r="K774" s="4"/>
      <c r="L774" s="4"/>
      <c r="M774" s="4"/>
      <c r="N774" s="4"/>
      <c r="O774" s="4"/>
      <c r="P774" s="4"/>
      <c r="Q774" s="4"/>
      <c r="R774" s="4"/>
      <c r="S774" s="19"/>
    </row>
    <row r="775" spans="1:19" ht="17.399999999999999" x14ac:dyDescent="0.25">
      <c r="A775" s="4"/>
      <c r="B775" s="19"/>
      <c r="C775" s="4"/>
      <c r="D775" s="4"/>
      <c r="E775" s="5"/>
      <c r="F775" s="4"/>
      <c r="G775" s="4"/>
      <c r="H775" s="4"/>
      <c r="I775" s="4"/>
      <c r="J775" s="4"/>
      <c r="K775" s="4"/>
      <c r="L775" s="4"/>
      <c r="M775" s="4"/>
      <c r="N775" s="4"/>
      <c r="O775" s="4"/>
      <c r="P775" s="4"/>
      <c r="Q775" s="4"/>
      <c r="R775" s="4"/>
      <c r="S775" s="19"/>
    </row>
    <row r="776" spans="1:19" ht="17.399999999999999" x14ac:dyDescent="0.25">
      <c r="A776" s="4"/>
      <c r="B776" s="19"/>
      <c r="C776" s="4"/>
      <c r="D776" s="4"/>
      <c r="E776" s="5"/>
      <c r="F776" s="4"/>
      <c r="G776" s="4"/>
      <c r="H776" s="4"/>
      <c r="I776" s="4"/>
      <c r="J776" s="4"/>
      <c r="K776" s="4"/>
      <c r="L776" s="4"/>
      <c r="M776" s="4"/>
      <c r="N776" s="4"/>
      <c r="O776" s="4"/>
      <c r="P776" s="4"/>
      <c r="Q776" s="4"/>
      <c r="R776" s="4"/>
      <c r="S776" s="19"/>
    </row>
    <row r="777" spans="1:19" ht="17.399999999999999" x14ac:dyDescent="0.25">
      <c r="A777" s="4"/>
      <c r="B777" s="19"/>
      <c r="C777" s="4"/>
      <c r="D777" s="4"/>
      <c r="E777" s="5"/>
      <c r="F777" s="4"/>
      <c r="G777" s="4"/>
      <c r="H777" s="4"/>
      <c r="I777" s="4"/>
      <c r="J777" s="4"/>
      <c r="K777" s="4"/>
      <c r="L777" s="4"/>
      <c r="M777" s="4"/>
      <c r="N777" s="4"/>
      <c r="O777" s="4"/>
      <c r="P777" s="4"/>
      <c r="Q777" s="4"/>
      <c r="R777" s="4"/>
      <c r="S777" s="19"/>
    </row>
    <row r="778" spans="1:19" ht="17.399999999999999" x14ac:dyDescent="0.25">
      <c r="A778" s="4"/>
      <c r="B778" s="19"/>
      <c r="C778" s="4"/>
      <c r="D778" s="4"/>
      <c r="E778" s="5"/>
      <c r="F778" s="4"/>
      <c r="G778" s="4"/>
      <c r="H778" s="4"/>
      <c r="I778" s="4"/>
      <c r="J778" s="4"/>
      <c r="K778" s="4"/>
      <c r="L778" s="4"/>
      <c r="M778" s="4"/>
      <c r="N778" s="4"/>
      <c r="O778" s="4"/>
      <c r="P778" s="4"/>
      <c r="Q778" s="4"/>
      <c r="R778" s="4"/>
      <c r="S778" s="19"/>
    </row>
    <row r="779" spans="1:19" ht="17.399999999999999" x14ac:dyDescent="0.25">
      <c r="A779" s="4"/>
      <c r="B779" s="19"/>
      <c r="C779" s="4"/>
      <c r="D779" s="4"/>
      <c r="E779" s="5"/>
      <c r="F779" s="4"/>
      <c r="G779" s="4"/>
      <c r="H779" s="4"/>
      <c r="I779" s="4"/>
      <c r="J779" s="4"/>
      <c r="K779" s="4"/>
      <c r="L779" s="4"/>
      <c r="M779" s="4"/>
      <c r="N779" s="4"/>
      <c r="O779" s="4"/>
      <c r="P779" s="4"/>
      <c r="Q779" s="4"/>
      <c r="R779" s="4"/>
      <c r="S779" s="19"/>
    </row>
    <row r="780" spans="1:19" ht="17.399999999999999" x14ac:dyDescent="0.25">
      <c r="A780" s="4"/>
      <c r="B780" s="19"/>
      <c r="C780" s="4"/>
      <c r="D780" s="4"/>
      <c r="E780" s="5"/>
      <c r="F780" s="4"/>
      <c r="G780" s="4"/>
      <c r="H780" s="4"/>
      <c r="I780" s="4"/>
      <c r="J780" s="4"/>
      <c r="K780" s="4"/>
      <c r="L780" s="4"/>
      <c r="M780" s="4"/>
      <c r="N780" s="4"/>
      <c r="O780" s="4"/>
      <c r="P780" s="4"/>
      <c r="Q780" s="4"/>
      <c r="R780" s="4"/>
      <c r="S780" s="19"/>
    </row>
    <row r="781" spans="1:19" ht="17.399999999999999" x14ac:dyDescent="0.25">
      <c r="A781" s="4"/>
      <c r="B781" s="19"/>
      <c r="C781" s="4"/>
      <c r="D781" s="4"/>
      <c r="E781" s="5"/>
      <c r="F781" s="4"/>
      <c r="G781" s="4"/>
      <c r="H781" s="4"/>
      <c r="I781" s="4"/>
      <c r="J781" s="4"/>
      <c r="K781" s="4"/>
      <c r="L781" s="4"/>
      <c r="M781" s="4"/>
      <c r="N781" s="4"/>
      <c r="O781" s="4"/>
      <c r="P781" s="4"/>
      <c r="Q781" s="4"/>
      <c r="R781" s="4"/>
      <c r="S781" s="19"/>
    </row>
    <row r="782" spans="1:19" ht="17.399999999999999" x14ac:dyDescent="0.25">
      <c r="A782" s="4"/>
      <c r="B782" s="19"/>
      <c r="C782" s="4"/>
      <c r="D782" s="4"/>
      <c r="E782" s="5"/>
      <c r="F782" s="4"/>
      <c r="G782" s="4"/>
      <c r="H782" s="4"/>
      <c r="I782" s="4"/>
      <c r="J782" s="4"/>
      <c r="K782" s="4"/>
      <c r="L782" s="4"/>
      <c r="M782" s="4"/>
      <c r="N782" s="4"/>
      <c r="O782" s="4"/>
      <c r="P782" s="4"/>
      <c r="Q782" s="4"/>
      <c r="R782" s="4"/>
      <c r="S782" s="19"/>
    </row>
    <row r="783" spans="1:19" ht="17.399999999999999" x14ac:dyDescent="0.25">
      <c r="A783" s="4"/>
      <c r="B783" s="19"/>
      <c r="C783" s="4"/>
      <c r="D783" s="4"/>
      <c r="E783" s="5"/>
      <c r="F783" s="4"/>
      <c r="G783" s="4"/>
      <c r="H783" s="4"/>
      <c r="I783" s="4"/>
      <c r="J783" s="4"/>
      <c r="K783" s="4"/>
      <c r="L783" s="4"/>
      <c r="M783" s="4"/>
      <c r="N783" s="4"/>
      <c r="O783" s="4"/>
      <c r="P783" s="4"/>
      <c r="Q783" s="4"/>
      <c r="R783" s="4"/>
      <c r="S783" s="19"/>
    </row>
    <row r="784" spans="1:19" ht="17.399999999999999" x14ac:dyDescent="0.25">
      <c r="A784" s="4"/>
      <c r="B784" s="19"/>
      <c r="C784" s="4"/>
      <c r="D784" s="4"/>
      <c r="E784" s="5"/>
      <c r="F784" s="4"/>
      <c r="G784" s="4"/>
      <c r="H784" s="4"/>
      <c r="I784" s="4"/>
      <c r="J784" s="4"/>
      <c r="K784" s="4"/>
      <c r="L784" s="4"/>
      <c r="M784" s="4"/>
      <c r="N784" s="4"/>
      <c r="O784" s="4"/>
      <c r="P784" s="4"/>
      <c r="Q784" s="4"/>
      <c r="R784" s="4"/>
      <c r="S784" s="19"/>
    </row>
    <row r="785" spans="1:19" ht="17.399999999999999" x14ac:dyDescent="0.25">
      <c r="A785" s="4"/>
      <c r="B785" s="19"/>
      <c r="C785" s="4"/>
      <c r="D785" s="4"/>
      <c r="E785" s="5"/>
      <c r="F785" s="4"/>
      <c r="G785" s="4"/>
      <c r="H785" s="4"/>
      <c r="I785" s="4"/>
      <c r="J785" s="4"/>
      <c r="K785" s="4"/>
      <c r="L785" s="4"/>
      <c r="M785" s="4"/>
      <c r="N785" s="4"/>
      <c r="O785" s="4"/>
      <c r="P785" s="4"/>
      <c r="Q785" s="4"/>
      <c r="R785" s="4"/>
      <c r="S785" s="19"/>
    </row>
    <row r="786" spans="1:19" ht="17.399999999999999" x14ac:dyDescent="0.25">
      <c r="A786" s="4"/>
      <c r="B786" s="19"/>
      <c r="C786" s="4"/>
      <c r="D786" s="4"/>
      <c r="E786" s="5"/>
      <c r="F786" s="4"/>
      <c r="G786" s="4"/>
      <c r="H786" s="4"/>
      <c r="I786" s="4"/>
      <c r="J786" s="4"/>
      <c r="K786" s="4"/>
      <c r="L786" s="4"/>
      <c r="M786" s="4"/>
      <c r="N786" s="4"/>
      <c r="O786" s="4"/>
      <c r="P786" s="4"/>
      <c r="Q786" s="4"/>
      <c r="R786" s="4"/>
      <c r="S786" s="19"/>
    </row>
    <row r="787" spans="1:19" ht="17.399999999999999" x14ac:dyDescent="0.25">
      <c r="A787" s="4"/>
      <c r="B787" s="19"/>
      <c r="C787" s="4"/>
      <c r="D787" s="4"/>
      <c r="E787" s="5"/>
      <c r="F787" s="4"/>
      <c r="G787" s="4"/>
      <c r="H787" s="4"/>
      <c r="I787" s="4"/>
      <c r="J787" s="4"/>
      <c r="K787" s="4"/>
      <c r="L787" s="4"/>
      <c r="M787" s="4"/>
      <c r="N787" s="4"/>
      <c r="O787" s="4"/>
      <c r="P787" s="4"/>
      <c r="Q787" s="4"/>
      <c r="R787" s="4"/>
      <c r="S787" s="19"/>
    </row>
    <row r="788" spans="1:19" ht="17.399999999999999" x14ac:dyDescent="0.25">
      <c r="A788" s="4"/>
      <c r="B788" s="19"/>
      <c r="C788" s="4"/>
      <c r="D788" s="4"/>
      <c r="E788" s="5"/>
      <c r="F788" s="4"/>
      <c r="G788" s="4"/>
      <c r="H788" s="4"/>
      <c r="I788" s="4"/>
      <c r="J788" s="4"/>
      <c r="K788" s="4"/>
      <c r="L788" s="4"/>
      <c r="M788" s="4"/>
      <c r="N788" s="4"/>
      <c r="O788" s="4"/>
      <c r="P788" s="4"/>
      <c r="Q788" s="4"/>
      <c r="R788" s="4"/>
      <c r="S788" s="19"/>
    </row>
    <row r="789" spans="1:19" ht="17.399999999999999" x14ac:dyDescent="0.25">
      <c r="A789" s="4"/>
      <c r="B789" s="19"/>
      <c r="C789" s="4"/>
      <c r="D789" s="4"/>
      <c r="E789" s="5"/>
      <c r="F789" s="4"/>
      <c r="G789" s="4"/>
      <c r="H789" s="4"/>
      <c r="I789" s="4"/>
      <c r="J789" s="4"/>
      <c r="K789" s="4"/>
      <c r="L789" s="4"/>
      <c r="M789" s="4"/>
      <c r="N789" s="4"/>
      <c r="O789" s="4"/>
      <c r="P789" s="4"/>
      <c r="Q789" s="4"/>
      <c r="R789" s="4"/>
      <c r="S789" s="19"/>
    </row>
    <row r="790" spans="1:19" ht="17.399999999999999" x14ac:dyDescent="0.25">
      <c r="A790" s="4"/>
      <c r="B790" s="19"/>
      <c r="C790" s="4"/>
      <c r="D790" s="4"/>
      <c r="E790" s="5"/>
      <c r="F790" s="4"/>
      <c r="G790" s="4"/>
      <c r="H790" s="4"/>
      <c r="I790" s="4"/>
      <c r="J790" s="4"/>
      <c r="K790" s="4"/>
      <c r="L790" s="4"/>
      <c r="M790" s="4"/>
      <c r="N790" s="4"/>
      <c r="O790" s="4"/>
      <c r="P790" s="4"/>
      <c r="Q790" s="4"/>
      <c r="R790" s="4"/>
      <c r="S790" s="19"/>
    </row>
    <row r="791" spans="1:19" ht="17.399999999999999" x14ac:dyDescent="0.25">
      <c r="A791" s="4"/>
      <c r="B791" s="19"/>
      <c r="C791" s="4"/>
      <c r="D791" s="4"/>
      <c r="E791" s="5"/>
      <c r="F791" s="4"/>
      <c r="G791" s="4"/>
      <c r="H791" s="4"/>
      <c r="I791" s="4"/>
      <c r="J791" s="4"/>
      <c r="K791" s="4"/>
      <c r="L791" s="4"/>
      <c r="M791" s="4"/>
      <c r="N791" s="4"/>
      <c r="O791" s="4"/>
      <c r="P791" s="4"/>
      <c r="Q791" s="4"/>
      <c r="R791" s="4"/>
      <c r="S791" s="19"/>
    </row>
    <row r="792" spans="1:19" ht="17.399999999999999" x14ac:dyDescent="0.25">
      <c r="A792" s="4"/>
      <c r="B792" s="19"/>
      <c r="C792" s="4"/>
      <c r="D792" s="4"/>
      <c r="E792" s="5"/>
      <c r="F792" s="4"/>
      <c r="G792" s="4"/>
      <c r="H792" s="4"/>
      <c r="I792" s="4"/>
      <c r="J792" s="4"/>
      <c r="K792" s="4"/>
      <c r="L792" s="4"/>
      <c r="M792" s="4"/>
      <c r="N792" s="4"/>
      <c r="O792" s="4"/>
      <c r="P792" s="4"/>
      <c r="Q792" s="4"/>
      <c r="R792" s="4"/>
      <c r="S792" s="19"/>
    </row>
    <row r="793" spans="1:19" ht="17.399999999999999" x14ac:dyDescent="0.25">
      <c r="A793" s="4"/>
      <c r="B793" s="19"/>
      <c r="C793" s="4"/>
      <c r="D793" s="4"/>
      <c r="E793" s="5"/>
      <c r="F793" s="4"/>
      <c r="G793" s="4"/>
      <c r="H793" s="4"/>
      <c r="I793" s="4"/>
      <c r="J793" s="4"/>
      <c r="K793" s="4"/>
      <c r="L793" s="4"/>
      <c r="M793" s="4"/>
      <c r="N793" s="4"/>
      <c r="O793" s="4"/>
      <c r="P793" s="4"/>
      <c r="Q793" s="4"/>
      <c r="R793" s="4"/>
      <c r="S793" s="19"/>
    </row>
    <row r="794" spans="1:19" ht="17.399999999999999" x14ac:dyDescent="0.25">
      <c r="A794" s="4"/>
      <c r="B794" s="19"/>
      <c r="C794" s="4"/>
      <c r="D794" s="4"/>
      <c r="E794" s="5"/>
      <c r="F794" s="4"/>
      <c r="G794" s="4"/>
      <c r="H794" s="4"/>
      <c r="I794" s="4"/>
      <c r="J794" s="4"/>
      <c r="K794" s="4"/>
      <c r="L794" s="4"/>
      <c r="M794" s="4"/>
      <c r="N794" s="4"/>
      <c r="O794" s="4"/>
      <c r="P794" s="4"/>
      <c r="Q794" s="4"/>
      <c r="R794" s="4"/>
      <c r="S794" s="19"/>
    </row>
    <row r="795" spans="1:19" ht="17.399999999999999" x14ac:dyDescent="0.25">
      <c r="A795" s="4"/>
      <c r="B795" s="19"/>
      <c r="C795" s="4"/>
      <c r="D795" s="4"/>
      <c r="E795" s="5"/>
      <c r="F795" s="4"/>
      <c r="G795" s="4"/>
      <c r="H795" s="4"/>
      <c r="I795" s="4"/>
      <c r="J795" s="4"/>
      <c r="K795" s="4"/>
      <c r="L795" s="4"/>
      <c r="M795" s="4"/>
      <c r="N795" s="4"/>
      <c r="O795" s="4"/>
      <c r="P795" s="4"/>
      <c r="Q795" s="4"/>
      <c r="R795" s="4"/>
      <c r="S795" s="19"/>
    </row>
    <row r="796" spans="1:19" ht="17.399999999999999" x14ac:dyDescent="0.25">
      <c r="A796" s="4"/>
      <c r="B796" s="19"/>
      <c r="C796" s="4"/>
      <c r="D796" s="4"/>
      <c r="E796" s="5"/>
      <c r="F796" s="4"/>
      <c r="G796" s="4"/>
      <c r="H796" s="4"/>
      <c r="I796" s="4"/>
      <c r="J796" s="4"/>
      <c r="K796" s="4"/>
      <c r="L796" s="4"/>
      <c r="M796" s="4"/>
      <c r="N796" s="4"/>
      <c r="O796" s="4"/>
      <c r="P796" s="4"/>
      <c r="Q796" s="4"/>
      <c r="R796" s="4"/>
      <c r="S796" s="19"/>
    </row>
    <row r="797" spans="1:19" ht="17.399999999999999" x14ac:dyDescent="0.25">
      <c r="A797" s="4"/>
      <c r="B797" s="19"/>
      <c r="C797" s="4"/>
      <c r="D797" s="4"/>
      <c r="E797" s="5"/>
      <c r="F797" s="4"/>
      <c r="G797" s="4"/>
      <c r="H797" s="4"/>
      <c r="I797" s="4"/>
      <c r="J797" s="4"/>
      <c r="K797" s="4"/>
      <c r="L797" s="4"/>
      <c r="M797" s="4"/>
      <c r="N797" s="4"/>
      <c r="O797" s="4"/>
      <c r="P797" s="4"/>
      <c r="Q797" s="4"/>
      <c r="R797" s="4"/>
      <c r="S797" s="19"/>
    </row>
    <row r="798" spans="1:19" ht="17.399999999999999" x14ac:dyDescent="0.25">
      <c r="A798" s="4"/>
      <c r="B798" s="19"/>
      <c r="C798" s="4"/>
      <c r="D798" s="4"/>
      <c r="E798" s="5"/>
      <c r="F798" s="4"/>
      <c r="G798" s="4"/>
      <c r="H798" s="4"/>
      <c r="I798" s="4"/>
      <c r="J798" s="4"/>
      <c r="K798" s="4"/>
      <c r="L798" s="4"/>
      <c r="M798" s="4"/>
      <c r="N798" s="4"/>
      <c r="O798" s="4"/>
      <c r="P798" s="4"/>
      <c r="Q798" s="4"/>
      <c r="R798" s="4"/>
      <c r="S798" s="19"/>
    </row>
    <row r="799" spans="1:19" ht="17.399999999999999" x14ac:dyDescent="0.25">
      <c r="A799" s="4"/>
      <c r="B799" s="19"/>
      <c r="C799" s="4"/>
      <c r="D799" s="4"/>
      <c r="E799" s="5"/>
      <c r="F799" s="4"/>
      <c r="G799" s="4"/>
      <c r="H799" s="4"/>
      <c r="I799" s="4"/>
      <c r="J799" s="4"/>
      <c r="K799" s="4"/>
      <c r="L799" s="4"/>
      <c r="M799" s="4"/>
      <c r="N799" s="4"/>
      <c r="O799" s="4"/>
      <c r="P799" s="4"/>
      <c r="Q799" s="4"/>
      <c r="R799" s="4"/>
      <c r="S799" s="19"/>
    </row>
    <row r="800" spans="1:19" ht="17.399999999999999" x14ac:dyDescent="0.25">
      <c r="A800" s="4"/>
      <c r="B800" s="19"/>
      <c r="C800" s="4"/>
      <c r="D800" s="4"/>
      <c r="E800" s="5"/>
      <c r="F800" s="4"/>
      <c r="G800" s="4"/>
      <c r="H800" s="4"/>
      <c r="I800" s="4"/>
      <c r="J800" s="4"/>
      <c r="K800" s="4"/>
      <c r="L800" s="4"/>
      <c r="M800" s="4"/>
      <c r="N800" s="4"/>
      <c r="O800" s="4"/>
      <c r="P800" s="4"/>
      <c r="Q800" s="4"/>
      <c r="R800" s="4"/>
      <c r="S800" s="19"/>
    </row>
    <row r="801" spans="1:19" ht="17.399999999999999" x14ac:dyDescent="0.25">
      <c r="A801" s="4"/>
      <c r="B801" s="19"/>
      <c r="C801" s="4"/>
      <c r="D801" s="4"/>
      <c r="E801" s="5"/>
      <c r="F801" s="4"/>
      <c r="G801" s="4"/>
      <c r="H801" s="4"/>
      <c r="I801" s="4"/>
      <c r="J801" s="4"/>
      <c r="K801" s="4"/>
      <c r="L801" s="4"/>
      <c r="M801" s="4"/>
      <c r="N801" s="4"/>
      <c r="O801" s="4"/>
      <c r="P801" s="4"/>
      <c r="Q801" s="4"/>
      <c r="R801" s="4"/>
      <c r="S801" s="19"/>
    </row>
    <row r="802" spans="1:19" ht="17.399999999999999" x14ac:dyDescent="0.25">
      <c r="A802" s="4"/>
      <c r="B802" s="19"/>
      <c r="C802" s="4"/>
      <c r="D802" s="4"/>
      <c r="E802" s="5"/>
      <c r="F802" s="4"/>
      <c r="G802" s="4"/>
      <c r="H802" s="4"/>
      <c r="I802" s="4"/>
      <c r="J802" s="4"/>
      <c r="K802" s="4"/>
      <c r="L802" s="4"/>
      <c r="M802" s="4"/>
      <c r="N802" s="4"/>
      <c r="O802" s="4"/>
      <c r="P802" s="4"/>
      <c r="Q802" s="4"/>
      <c r="R802" s="4"/>
      <c r="S802" s="19"/>
    </row>
    <row r="803" spans="1:19" ht="17.399999999999999" x14ac:dyDescent="0.25">
      <c r="A803" s="4"/>
      <c r="B803" s="19"/>
      <c r="C803" s="4"/>
      <c r="D803" s="4"/>
      <c r="E803" s="5"/>
      <c r="F803" s="4"/>
      <c r="G803" s="4"/>
      <c r="H803" s="4"/>
      <c r="I803" s="4"/>
      <c r="J803" s="4"/>
      <c r="K803" s="4"/>
      <c r="L803" s="4"/>
      <c r="M803" s="4"/>
      <c r="N803" s="4"/>
      <c r="O803" s="4"/>
      <c r="P803" s="4"/>
      <c r="Q803" s="4"/>
      <c r="R803" s="4"/>
      <c r="S803" s="19"/>
    </row>
    <row r="804" spans="1:19" ht="17.399999999999999" x14ac:dyDescent="0.25">
      <c r="A804" s="4"/>
      <c r="B804" s="19"/>
      <c r="C804" s="4"/>
      <c r="D804" s="4"/>
      <c r="E804" s="5"/>
      <c r="F804" s="4"/>
      <c r="G804" s="4"/>
      <c r="H804" s="4"/>
      <c r="I804" s="4"/>
      <c r="J804" s="4"/>
      <c r="K804" s="4"/>
      <c r="L804" s="4"/>
      <c r="M804" s="4"/>
      <c r="N804" s="4"/>
      <c r="O804" s="4"/>
      <c r="P804" s="4"/>
      <c r="Q804" s="4"/>
      <c r="R804" s="4"/>
      <c r="S804" s="19"/>
    </row>
    <row r="805" spans="1:19" ht="17.399999999999999" x14ac:dyDescent="0.25">
      <c r="A805" s="4"/>
      <c r="B805" s="19"/>
      <c r="C805" s="4"/>
      <c r="D805" s="4"/>
      <c r="E805" s="5"/>
      <c r="F805" s="4"/>
      <c r="G805" s="4"/>
      <c r="H805" s="4"/>
      <c r="I805" s="4"/>
      <c r="J805" s="4"/>
      <c r="K805" s="4"/>
      <c r="L805" s="4"/>
      <c r="M805" s="4"/>
      <c r="N805" s="4"/>
      <c r="O805" s="4"/>
      <c r="P805" s="4"/>
      <c r="Q805" s="4"/>
      <c r="R805" s="4"/>
      <c r="S805" s="19"/>
    </row>
    <row r="806" spans="1:19" ht="17.399999999999999" x14ac:dyDescent="0.25">
      <c r="A806" s="4"/>
      <c r="B806" s="19"/>
      <c r="C806" s="4"/>
      <c r="D806" s="4"/>
      <c r="E806" s="5"/>
      <c r="F806" s="4"/>
      <c r="G806" s="4"/>
      <c r="H806" s="4"/>
      <c r="I806" s="4"/>
      <c r="J806" s="4"/>
      <c r="K806" s="4"/>
      <c r="L806" s="4"/>
      <c r="M806" s="4"/>
      <c r="N806" s="4"/>
      <c r="O806" s="4"/>
      <c r="P806" s="4"/>
      <c r="Q806" s="4"/>
      <c r="R806" s="4"/>
      <c r="S806" s="19"/>
    </row>
    <row r="807" spans="1:19" ht="17.399999999999999" x14ac:dyDescent="0.25">
      <c r="A807" s="4"/>
      <c r="B807" s="19"/>
      <c r="C807" s="4"/>
      <c r="D807" s="4"/>
      <c r="E807" s="5"/>
      <c r="F807" s="4"/>
      <c r="G807" s="4"/>
      <c r="H807" s="4"/>
      <c r="I807" s="4"/>
      <c r="J807" s="4"/>
      <c r="K807" s="4"/>
      <c r="L807" s="4"/>
      <c r="M807" s="4"/>
      <c r="N807" s="4"/>
      <c r="O807" s="4"/>
      <c r="P807" s="4"/>
      <c r="Q807" s="4"/>
      <c r="R807" s="4"/>
      <c r="S807" s="19"/>
    </row>
    <row r="808" spans="1:19" ht="17.399999999999999" x14ac:dyDescent="0.25">
      <c r="A808" s="4"/>
      <c r="B808" s="19"/>
      <c r="C808" s="4"/>
      <c r="D808" s="4"/>
      <c r="E808" s="5"/>
      <c r="F808" s="4"/>
      <c r="G808" s="4"/>
      <c r="H808" s="4"/>
      <c r="I808" s="4"/>
      <c r="J808" s="4"/>
      <c r="K808" s="4"/>
      <c r="L808" s="4"/>
      <c r="M808" s="4"/>
      <c r="N808" s="4"/>
      <c r="O808" s="4"/>
      <c r="P808" s="4"/>
      <c r="Q808" s="4"/>
      <c r="R808" s="4"/>
      <c r="S808" s="19"/>
    </row>
    <row r="809" spans="1:19" ht="17.399999999999999" x14ac:dyDescent="0.25">
      <c r="A809" s="4"/>
      <c r="B809" s="19"/>
      <c r="C809" s="4"/>
      <c r="D809" s="4"/>
      <c r="E809" s="5"/>
      <c r="F809" s="4"/>
      <c r="G809" s="4"/>
      <c r="H809" s="4"/>
      <c r="I809" s="4"/>
      <c r="J809" s="4"/>
      <c r="K809" s="4"/>
      <c r="L809" s="4"/>
      <c r="M809" s="4"/>
      <c r="N809" s="4"/>
      <c r="O809" s="4"/>
      <c r="P809" s="4"/>
      <c r="Q809" s="4"/>
      <c r="R809" s="4"/>
      <c r="S809" s="19"/>
    </row>
    <row r="810" spans="1:19" ht="17.399999999999999" x14ac:dyDescent="0.25">
      <c r="A810" s="4"/>
      <c r="B810" s="19"/>
      <c r="C810" s="4"/>
      <c r="D810" s="4"/>
      <c r="E810" s="5"/>
      <c r="F810" s="4"/>
      <c r="G810" s="4"/>
      <c r="H810" s="4"/>
      <c r="I810" s="4"/>
      <c r="J810" s="4"/>
      <c r="K810" s="4"/>
      <c r="L810" s="4"/>
      <c r="M810" s="4"/>
      <c r="N810" s="4"/>
      <c r="O810" s="4"/>
      <c r="P810" s="4"/>
      <c r="Q810" s="4"/>
      <c r="R810" s="4"/>
      <c r="S810" s="19"/>
    </row>
    <row r="811" spans="1:19" ht="17.399999999999999" x14ac:dyDescent="0.25">
      <c r="A811" s="4"/>
      <c r="B811" s="19"/>
      <c r="C811" s="4"/>
      <c r="D811" s="4"/>
      <c r="E811" s="5"/>
      <c r="F811" s="4"/>
      <c r="G811" s="4"/>
      <c r="H811" s="4"/>
      <c r="I811" s="4"/>
      <c r="J811" s="4"/>
      <c r="K811" s="4"/>
      <c r="L811" s="4"/>
      <c r="M811" s="4"/>
      <c r="N811" s="4"/>
      <c r="O811" s="4"/>
      <c r="P811" s="4"/>
      <c r="Q811" s="4"/>
      <c r="R811" s="4"/>
      <c r="S811" s="19"/>
    </row>
    <row r="812" spans="1:19" ht="17.399999999999999" x14ac:dyDescent="0.25">
      <c r="A812" s="4"/>
      <c r="B812" s="19"/>
      <c r="C812" s="4"/>
      <c r="D812" s="4"/>
      <c r="E812" s="5"/>
      <c r="F812" s="4"/>
      <c r="G812" s="4"/>
      <c r="H812" s="4"/>
      <c r="I812" s="4"/>
      <c r="J812" s="4"/>
      <c r="K812" s="4"/>
      <c r="L812" s="4"/>
      <c r="M812" s="4"/>
      <c r="N812" s="4"/>
      <c r="O812" s="4"/>
      <c r="P812" s="4"/>
      <c r="Q812" s="4"/>
      <c r="R812" s="4"/>
      <c r="S812" s="19"/>
    </row>
    <row r="813" spans="1:19" ht="17.399999999999999" x14ac:dyDescent="0.25">
      <c r="A813" s="4"/>
      <c r="B813" s="19"/>
      <c r="C813" s="4"/>
      <c r="D813" s="4"/>
      <c r="E813" s="5"/>
      <c r="F813" s="4"/>
      <c r="G813" s="4"/>
      <c r="H813" s="4"/>
      <c r="I813" s="4"/>
      <c r="J813" s="4"/>
      <c r="K813" s="4"/>
      <c r="L813" s="4"/>
      <c r="M813" s="4"/>
      <c r="N813" s="4"/>
      <c r="O813" s="4"/>
      <c r="P813" s="4"/>
      <c r="Q813" s="4"/>
      <c r="R813" s="4"/>
      <c r="S813" s="19"/>
    </row>
    <row r="814" spans="1:19" ht="17.399999999999999" x14ac:dyDescent="0.25">
      <c r="A814" s="4"/>
      <c r="B814" s="19"/>
      <c r="C814" s="4"/>
      <c r="D814" s="4"/>
      <c r="E814" s="5"/>
      <c r="F814" s="4"/>
      <c r="G814" s="4"/>
      <c r="H814" s="4"/>
      <c r="I814" s="4"/>
      <c r="J814" s="4"/>
      <c r="K814" s="4"/>
      <c r="L814" s="4"/>
      <c r="M814" s="4"/>
      <c r="N814" s="4"/>
      <c r="O814" s="4"/>
      <c r="P814" s="4"/>
      <c r="Q814" s="4"/>
      <c r="R814" s="4"/>
      <c r="S814" s="19"/>
    </row>
    <row r="815" spans="1:19" ht="17.399999999999999" x14ac:dyDescent="0.25">
      <c r="A815" s="4"/>
      <c r="B815" s="19"/>
      <c r="C815" s="4"/>
      <c r="D815" s="4"/>
      <c r="E815" s="5"/>
      <c r="F815" s="4"/>
      <c r="G815" s="4"/>
      <c r="H815" s="4"/>
      <c r="I815" s="4"/>
      <c r="J815" s="4"/>
      <c r="K815" s="4"/>
      <c r="L815" s="4"/>
      <c r="M815" s="4"/>
      <c r="N815" s="4"/>
      <c r="O815" s="4"/>
      <c r="P815" s="4"/>
      <c r="Q815" s="4"/>
      <c r="R815" s="4"/>
      <c r="S815" s="19"/>
    </row>
    <row r="816" spans="1:19" ht="17.399999999999999" x14ac:dyDescent="0.25">
      <c r="A816" s="4"/>
      <c r="B816" s="19"/>
      <c r="C816" s="4"/>
      <c r="D816" s="4"/>
      <c r="E816" s="5"/>
      <c r="F816" s="4"/>
      <c r="G816" s="4"/>
      <c r="H816" s="4"/>
      <c r="I816" s="4"/>
      <c r="J816" s="4"/>
      <c r="K816" s="4"/>
      <c r="L816" s="4"/>
      <c r="M816" s="4"/>
      <c r="N816" s="4"/>
      <c r="O816" s="4"/>
      <c r="P816" s="4"/>
      <c r="Q816" s="4"/>
      <c r="R816" s="4"/>
      <c r="S816" s="19"/>
    </row>
    <row r="817" spans="1:19" ht="17.399999999999999" x14ac:dyDescent="0.25">
      <c r="A817" s="4"/>
      <c r="B817" s="19"/>
      <c r="C817" s="4"/>
      <c r="D817" s="4"/>
      <c r="E817" s="5"/>
      <c r="F817" s="4"/>
      <c r="G817" s="4"/>
      <c r="H817" s="4"/>
      <c r="I817" s="4"/>
      <c r="J817" s="4"/>
      <c r="K817" s="4"/>
      <c r="L817" s="4"/>
      <c r="M817" s="4"/>
      <c r="N817" s="4"/>
      <c r="O817" s="4"/>
      <c r="P817" s="4"/>
      <c r="Q817" s="4"/>
      <c r="R817" s="4"/>
      <c r="S817" s="19"/>
    </row>
    <row r="818" spans="1:19" ht="17.399999999999999" x14ac:dyDescent="0.25">
      <c r="A818" s="4"/>
      <c r="B818" s="19"/>
      <c r="C818" s="4"/>
      <c r="D818" s="4"/>
      <c r="E818" s="5"/>
      <c r="F818" s="4"/>
      <c r="G818" s="4"/>
      <c r="H818" s="4"/>
      <c r="I818" s="4"/>
      <c r="J818" s="4"/>
      <c r="K818" s="4"/>
      <c r="L818" s="4"/>
      <c r="M818" s="4"/>
      <c r="N818" s="4"/>
      <c r="O818" s="4"/>
      <c r="P818" s="4"/>
      <c r="Q818" s="4"/>
      <c r="R818" s="4"/>
      <c r="S818" s="19"/>
    </row>
    <row r="819" spans="1:19" ht="17.399999999999999" x14ac:dyDescent="0.25">
      <c r="A819" s="4"/>
      <c r="B819" s="19"/>
      <c r="C819" s="4"/>
      <c r="D819" s="4"/>
      <c r="E819" s="5"/>
      <c r="F819" s="4"/>
      <c r="G819" s="4"/>
      <c r="H819" s="4"/>
      <c r="I819" s="4"/>
      <c r="J819" s="4"/>
      <c r="K819" s="4"/>
      <c r="L819" s="4"/>
      <c r="M819" s="4"/>
      <c r="N819" s="4"/>
      <c r="O819" s="4"/>
      <c r="P819" s="4"/>
      <c r="Q819" s="4"/>
      <c r="R819" s="4"/>
      <c r="S819" s="19"/>
    </row>
    <row r="820" spans="1:19" ht="17.399999999999999" x14ac:dyDescent="0.25">
      <c r="A820" s="4"/>
      <c r="B820" s="19"/>
      <c r="C820" s="4"/>
      <c r="D820" s="4"/>
      <c r="E820" s="5"/>
      <c r="F820" s="4"/>
      <c r="G820" s="4"/>
      <c r="H820" s="4"/>
      <c r="I820" s="4"/>
      <c r="J820" s="4"/>
      <c r="K820" s="4"/>
      <c r="L820" s="4"/>
      <c r="M820" s="4"/>
      <c r="N820" s="4"/>
      <c r="O820" s="4"/>
      <c r="P820" s="4"/>
      <c r="Q820" s="4"/>
      <c r="R820" s="4"/>
      <c r="S820" s="19"/>
    </row>
    <row r="821" spans="1:19" ht="17.399999999999999" x14ac:dyDescent="0.25">
      <c r="A821" s="4"/>
      <c r="B821" s="19"/>
      <c r="C821" s="4"/>
      <c r="D821" s="4"/>
      <c r="E821" s="5"/>
      <c r="F821" s="4"/>
      <c r="G821" s="4"/>
      <c r="H821" s="4"/>
      <c r="I821" s="4"/>
      <c r="J821" s="4"/>
      <c r="K821" s="4"/>
      <c r="L821" s="4"/>
      <c r="M821" s="4"/>
      <c r="N821" s="4"/>
      <c r="O821" s="4"/>
      <c r="P821" s="4"/>
      <c r="Q821" s="4"/>
      <c r="R821" s="4"/>
      <c r="S821" s="19"/>
    </row>
    <row r="822" spans="1:19" ht="17.399999999999999" x14ac:dyDescent="0.25">
      <c r="A822" s="4"/>
      <c r="B822" s="19"/>
      <c r="C822" s="4"/>
      <c r="D822" s="4"/>
      <c r="E822" s="5"/>
      <c r="F822" s="4"/>
      <c r="G822" s="4"/>
      <c r="H822" s="4"/>
      <c r="I822" s="4"/>
      <c r="J822" s="4"/>
      <c r="K822" s="4"/>
      <c r="L822" s="4"/>
      <c r="M822" s="4"/>
      <c r="N822" s="4"/>
      <c r="O822" s="4"/>
      <c r="P822" s="4"/>
      <c r="Q822" s="4"/>
      <c r="R822" s="4"/>
      <c r="S822" s="19"/>
    </row>
    <row r="823" spans="1:19" ht="17.399999999999999" x14ac:dyDescent="0.25">
      <c r="A823" s="4"/>
      <c r="B823" s="19"/>
      <c r="C823" s="4"/>
      <c r="D823" s="4"/>
      <c r="E823" s="5"/>
      <c r="F823" s="4"/>
      <c r="G823" s="4"/>
      <c r="H823" s="4"/>
      <c r="I823" s="4"/>
      <c r="J823" s="4"/>
      <c r="K823" s="4"/>
      <c r="L823" s="4"/>
      <c r="M823" s="4"/>
      <c r="N823" s="4"/>
      <c r="O823" s="4"/>
      <c r="P823" s="4"/>
      <c r="Q823" s="4"/>
      <c r="R823" s="4"/>
      <c r="S823" s="19"/>
    </row>
    <row r="824" spans="1:19" ht="17.399999999999999" x14ac:dyDescent="0.25">
      <c r="A824" s="4"/>
      <c r="B824" s="19"/>
      <c r="C824" s="4"/>
      <c r="D824" s="4"/>
      <c r="E824" s="5"/>
      <c r="F824" s="4"/>
      <c r="G824" s="4"/>
      <c r="H824" s="4"/>
      <c r="I824" s="4"/>
      <c r="J824" s="4"/>
      <c r="K824" s="4"/>
      <c r="L824" s="4"/>
      <c r="M824" s="4"/>
      <c r="N824" s="4"/>
      <c r="O824" s="4"/>
      <c r="P824" s="4"/>
      <c r="Q824" s="4"/>
      <c r="R824" s="4"/>
      <c r="S824" s="19"/>
    </row>
    <row r="825" spans="1:19" ht="17.399999999999999" x14ac:dyDescent="0.25">
      <c r="A825" s="4"/>
      <c r="B825" s="19"/>
      <c r="C825" s="4"/>
      <c r="D825" s="4"/>
      <c r="E825" s="5"/>
      <c r="F825" s="4"/>
      <c r="G825" s="4"/>
      <c r="H825" s="4"/>
      <c r="I825" s="4"/>
      <c r="J825" s="4"/>
      <c r="K825" s="4"/>
      <c r="L825" s="4"/>
      <c r="M825" s="4"/>
      <c r="N825" s="4"/>
      <c r="O825" s="4"/>
      <c r="P825" s="4"/>
      <c r="Q825" s="4"/>
      <c r="R825" s="4"/>
      <c r="S825" s="19"/>
    </row>
    <row r="826" spans="1:19" ht="17.399999999999999" x14ac:dyDescent="0.25">
      <c r="A826" s="4"/>
      <c r="B826" s="19"/>
      <c r="C826" s="4"/>
      <c r="D826" s="4"/>
      <c r="E826" s="5"/>
      <c r="F826" s="4"/>
      <c r="G826" s="4"/>
      <c r="H826" s="4"/>
      <c r="I826" s="4"/>
      <c r="J826" s="4"/>
      <c r="K826" s="4"/>
      <c r="L826" s="4"/>
      <c r="M826" s="4"/>
      <c r="N826" s="4"/>
      <c r="O826" s="4"/>
      <c r="P826" s="4"/>
      <c r="Q826" s="4"/>
      <c r="R826" s="4"/>
      <c r="S826" s="19"/>
    </row>
    <row r="827" spans="1:19" ht="17.399999999999999" x14ac:dyDescent="0.25">
      <c r="A827" s="4"/>
      <c r="B827" s="19"/>
      <c r="C827" s="4"/>
      <c r="D827" s="4"/>
      <c r="E827" s="5"/>
      <c r="F827" s="4"/>
      <c r="G827" s="4"/>
      <c r="H827" s="4"/>
      <c r="I827" s="4"/>
      <c r="J827" s="4"/>
      <c r="K827" s="4"/>
      <c r="L827" s="4"/>
      <c r="M827" s="4"/>
      <c r="N827" s="4"/>
      <c r="O827" s="4"/>
      <c r="P827" s="4"/>
      <c r="Q827" s="4"/>
      <c r="R827" s="4"/>
      <c r="S827" s="19"/>
    </row>
    <row r="828" spans="1:19" ht="17.399999999999999" x14ac:dyDescent="0.25">
      <c r="A828" s="4"/>
      <c r="B828" s="19"/>
      <c r="C828" s="4"/>
      <c r="D828" s="4"/>
      <c r="E828" s="5"/>
      <c r="F828" s="4"/>
      <c r="G828" s="4"/>
      <c r="H828" s="4"/>
      <c r="I828" s="4"/>
      <c r="J828" s="4"/>
      <c r="K828" s="4"/>
      <c r="L828" s="4"/>
      <c r="M828" s="4"/>
      <c r="N828" s="4"/>
      <c r="O828" s="4"/>
      <c r="P828" s="4"/>
      <c r="Q828" s="4"/>
      <c r="R828" s="4"/>
      <c r="S828" s="19"/>
    </row>
    <row r="829" spans="1:19" ht="17.399999999999999" x14ac:dyDescent="0.25">
      <c r="A829" s="4"/>
      <c r="B829" s="19"/>
      <c r="C829" s="4"/>
      <c r="D829" s="4"/>
      <c r="E829" s="5"/>
      <c r="F829" s="4"/>
      <c r="G829" s="4"/>
      <c r="H829" s="4"/>
      <c r="I829" s="4"/>
      <c r="J829" s="4"/>
      <c r="K829" s="4"/>
      <c r="L829" s="4"/>
      <c r="M829" s="4"/>
      <c r="N829" s="4"/>
      <c r="O829" s="4"/>
      <c r="P829" s="4"/>
      <c r="Q829" s="4"/>
      <c r="R829" s="4"/>
      <c r="S829" s="19"/>
    </row>
    <row r="830" spans="1:19" ht="17.399999999999999" x14ac:dyDescent="0.25">
      <c r="A830" s="4"/>
      <c r="B830" s="19"/>
      <c r="C830" s="4"/>
      <c r="D830" s="4"/>
      <c r="E830" s="5"/>
      <c r="F830" s="4"/>
      <c r="G830" s="4"/>
      <c r="H830" s="4"/>
      <c r="I830" s="4"/>
      <c r="J830" s="4"/>
      <c r="K830" s="4"/>
      <c r="L830" s="4"/>
      <c r="M830" s="4"/>
      <c r="N830" s="4"/>
      <c r="O830" s="4"/>
      <c r="P830" s="4"/>
      <c r="Q830" s="4"/>
      <c r="R830" s="4"/>
      <c r="S830" s="19"/>
    </row>
    <row r="831" spans="1:19" ht="17.399999999999999" x14ac:dyDescent="0.25">
      <c r="A831" s="4"/>
      <c r="B831" s="19"/>
      <c r="C831" s="4"/>
      <c r="D831" s="4"/>
      <c r="E831" s="5"/>
      <c r="F831" s="4"/>
      <c r="G831" s="4"/>
      <c r="H831" s="4"/>
      <c r="I831" s="4"/>
      <c r="J831" s="4"/>
      <c r="K831" s="4"/>
      <c r="L831" s="4"/>
      <c r="M831" s="4"/>
      <c r="N831" s="4"/>
      <c r="O831" s="4"/>
      <c r="P831" s="4"/>
      <c r="Q831" s="4"/>
      <c r="R831" s="4"/>
      <c r="S831" s="19"/>
    </row>
    <row r="832" spans="1:19" ht="17.399999999999999" x14ac:dyDescent="0.25">
      <c r="A832" s="4"/>
      <c r="B832" s="19"/>
      <c r="C832" s="4"/>
      <c r="D832" s="4"/>
      <c r="E832" s="5"/>
      <c r="F832" s="4"/>
      <c r="G832" s="4"/>
      <c r="H832" s="4"/>
      <c r="I832" s="4"/>
      <c r="J832" s="4"/>
      <c r="K832" s="4"/>
      <c r="L832" s="4"/>
      <c r="M832" s="4"/>
      <c r="N832" s="4"/>
      <c r="O832" s="4"/>
      <c r="P832" s="4"/>
      <c r="Q832" s="4"/>
      <c r="R832" s="4"/>
      <c r="S832" s="19"/>
    </row>
    <row r="833" spans="1:19" ht="17.399999999999999" x14ac:dyDescent="0.25">
      <c r="A833" s="4"/>
      <c r="B833" s="19"/>
      <c r="C833" s="4"/>
      <c r="D833" s="4"/>
      <c r="E833" s="5"/>
      <c r="F833" s="4"/>
      <c r="G833" s="4"/>
      <c r="H833" s="4"/>
      <c r="I833" s="4"/>
      <c r="J833" s="4"/>
      <c r="K833" s="4"/>
      <c r="L833" s="4"/>
      <c r="M833" s="4"/>
      <c r="N833" s="4"/>
      <c r="O833" s="4"/>
      <c r="P833" s="4"/>
      <c r="Q833" s="4"/>
      <c r="R833" s="4"/>
      <c r="S833" s="19"/>
    </row>
    <row r="834" spans="1:19" ht="17.399999999999999" x14ac:dyDescent="0.25">
      <c r="A834" s="4"/>
      <c r="B834" s="19"/>
      <c r="C834" s="4"/>
      <c r="D834" s="4"/>
      <c r="E834" s="5"/>
      <c r="F834" s="4"/>
      <c r="G834" s="4"/>
      <c r="H834" s="4"/>
      <c r="I834" s="4"/>
      <c r="J834" s="4"/>
      <c r="K834" s="4"/>
      <c r="L834" s="4"/>
      <c r="M834" s="4"/>
      <c r="N834" s="4"/>
      <c r="O834" s="4"/>
      <c r="P834" s="4"/>
      <c r="Q834" s="4"/>
      <c r="R834" s="4"/>
      <c r="S834" s="19"/>
    </row>
    <row r="835" spans="1:19" ht="17.399999999999999" x14ac:dyDescent="0.25">
      <c r="A835" s="4"/>
      <c r="B835" s="19"/>
      <c r="C835" s="4"/>
      <c r="D835" s="4"/>
      <c r="E835" s="5"/>
      <c r="F835" s="4"/>
      <c r="G835" s="4"/>
      <c r="H835" s="4"/>
      <c r="I835" s="4"/>
      <c r="J835" s="4"/>
      <c r="K835" s="4"/>
      <c r="L835" s="4"/>
      <c r="M835" s="4"/>
      <c r="N835" s="4"/>
      <c r="O835" s="4"/>
      <c r="P835" s="4"/>
      <c r="Q835" s="4"/>
      <c r="R835" s="4"/>
      <c r="S835" s="19"/>
    </row>
    <row r="836" spans="1:19" ht="17.399999999999999" x14ac:dyDescent="0.25">
      <c r="A836" s="4"/>
      <c r="B836" s="19"/>
      <c r="C836" s="4"/>
      <c r="D836" s="4"/>
      <c r="E836" s="5"/>
      <c r="F836" s="4"/>
      <c r="G836" s="4"/>
      <c r="H836" s="4"/>
      <c r="I836" s="4"/>
      <c r="J836" s="4"/>
      <c r="K836" s="4"/>
      <c r="L836" s="4"/>
      <c r="M836" s="4"/>
      <c r="N836" s="4"/>
      <c r="O836" s="4"/>
      <c r="P836" s="4"/>
      <c r="Q836" s="4"/>
      <c r="R836" s="4"/>
      <c r="S836" s="19"/>
    </row>
    <row r="837" spans="1:19" ht="17.399999999999999" x14ac:dyDescent="0.25">
      <c r="A837" s="4"/>
      <c r="B837" s="19"/>
      <c r="C837" s="4"/>
      <c r="D837" s="4"/>
      <c r="E837" s="5"/>
      <c r="F837" s="4"/>
      <c r="G837" s="4"/>
      <c r="H837" s="4"/>
      <c r="I837" s="4"/>
      <c r="J837" s="4"/>
      <c r="K837" s="4"/>
      <c r="L837" s="4"/>
      <c r="M837" s="4"/>
      <c r="N837" s="4"/>
      <c r="O837" s="4"/>
      <c r="P837" s="4"/>
      <c r="Q837" s="4"/>
      <c r="R837" s="4"/>
      <c r="S837" s="19"/>
    </row>
    <row r="838" spans="1:19" ht="17.399999999999999" x14ac:dyDescent="0.25">
      <c r="A838" s="4"/>
      <c r="B838" s="19"/>
      <c r="C838" s="4"/>
      <c r="D838" s="4"/>
      <c r="E838" s="5"/>
      <c r="F838" s="4"/>
      <c r="G838" s="4"/>
      <c r="H838" s="4"/>
      <c r="I838" s="4"/>
      <c r="J838" s="4"/>
      <c r="K838" s="4"/>
      <c r="L838" s="4"/>
      <c r="M838" s="4"/>
      <c r="N838" s="4"/>
      <c r="O838" s="4"/>
      <c r="P838" s="4"/>
      <c r="Q838" s="4"/>
      <c r="R838" s="4"/>
      <c r="S838" s="19"/>
    </row>
    <row r="839" spans="1:19" ht="17.399999999999999" x14ac:dyDescent="0.25">
      <c r="A839" s="4"/>
      <c r="B839" s="19"/>
      <c r="C839" s="4"/>
      <c r="D839" s="4"/>
      <c r="E839" s="5"/>
      <c r="F839" s="4"/>
      <c r="G839" s="4"/>
      <c r="H839" s="4"/>
      <c r="I839" s="4"/>
      <c r="J839" s="4"/>
      <c r="K839" s="4"/>
      <c r="L839" s="4"/>
      <c r="M839" s="4"/>
      <c r="N839" s="4"/>
      <c r="O839" s="4"/>
      <c r="P839" s="4"/>
      <c r="Q839" s="4"/>
      <c r="R839" s="4"/>
      <c r="S839" s="19"/>
    </row>
    <row r="840" spans="1:19" ht="17.399999999999999" x14ac:dyDescent="0.25">
      <c r="A840" s="4"/>
      <c r="B840" s="19"/>
      <c r="C840" s="4"/>
      <c r="D840" s="4"/>
      <c r="E840" s="5"/>
      <c r="F840" s="4"/>
      <c r="G840" s="4"/>
      <c r="H840" s="4"/>
      <c r="I840" s="4"/>
      <c r="J840" s="4"/>
      <c r="K840" s="4"/>
      <c r="L840" s="4"/>
      <c r="M840" s="4"/>
      <c r="N840" s="4"/>
      <c r="O840" s="4"/>
      <c r="P840" s="4"/>
      <c r="Q840" s="4"/>
      <c r="R840" s="4"/>
      <c r="S840" s="19"/>
    </row>
    <row r="841" spans="1:19" ht="17.399999999999999" x14ac:dyDescent="0.25">
      <c r="A841" s="4"/>
      <c r="B841" s="19"/>
      <c r="C841" s="4"/>
      <c r="D841" s="4"/>
      <c r="E841" s="5"/>
      <c r="F841" s="4"/>
      <c r="G841" s="4"/>
      <c r="H841" s="4"/>
      <c r="I841" s="4"/>
      <c r="J841" s="4"/>
      <c r="K841" s="4"/>
      <c r="L841" s="4"/>
      <c r="M841" s="4"/>
      <c r="N841" s="4"/>
      <c r="O841" s="4"/>
      <c r="P841" s="4"/>
      <c r="Q841" s="4"/>
      <c r="R841" s="4"/>
      <c r="S841" s="19"/>
    </row>
    <row r="842" spans="1:19" ht="17.399999999999999" x14ac:dyDescent="0.25">
      <c r="A842" s="4"/>
      <c r="B842" s="19"/>
      <c r="C842" s="4"/>
      <c r="D842" s="4"/>
      <c r="E842" s="5"/>
      <c r="F842" s="4"/>
      <c r="G842" s="4"/>
      <c r="H842" s="4"/>
      <c r="I842" s="4"/>
      <c r="J842" s="4"/>
      <c r="K842" s="4"/>
      <c r="L842" s="4"/>
      <c r="M842" s="4"/>
      <c r="N842" s="4"/>
      <c r="O842" s="4"/>
      <c r="P842" s="4"/>
      <c r="Q842" s="4"/>
      <c r="R842" s="4"/>
      <c r="S842" s="19"/>
    </row>
    <row r="843" spans="1:19" ht="17.399999999999999" x14ac:dyDescent="0.25">
      <c r="A843" s="4"/>
      <c r="B843" s="19"/>
      <c r="C843" s="4"/>
      <c r="D843" s="4"/>
      <c r="E843" s="5"/>
      <c r="F843" s="4"/>
      <c r="G843" s="4"/>
      <c r="H843" s="4"/>
      <c r="I843" s="4"/>
      <c r="J843" s="4"/>
      <c r="K843" s="4"/>
      <c r="L843" s="4"/>
      <c r="M843" s="4"/>
      <c r="N843" s="4"/>
      <c r="O843" s="4"/>
      <c r="P843" s="4"/>
      <c r="Q843" s="4"/>
      <c r="R843" s="4"/>
      <c r="S843" s="19"/>
    </row>
    <row r="844" spans="1:19" ht="17.399999999999999" x14ac:dyDescent="0.25">
      <c r="A844" s="4"/>
      <c r="B844" s="19"/>
      <c r="C844" s="4"/>
      <c r="D844" s="4"/>
      <c r="E844" s="5"/>
      <c r="F844" s="4"/>
      <c r="G844" s="4"/>
      <c r="H844" s="4"/>
      <c r="I844" s="4"/>
      <c r="J844" s="4"/>
      <c r="K844" s="4"/>
      <c r="L844" s="4"/>
      <c r="M844" s="4"/>
      <c r="N844" s="4"/>
      <c r="O844" s="4"/>
      <c r="P844" s="4"/>
      <c r="Q844" s="4"/>
      <c r="R844" s="4"/>
      <c r="S844" s="19"/>
    </row>
    <row r="845" spans="1:19" ht="17.399999999999999" x14ac:dyDescent="0.25">
      <c r="A845" s="4"/>
      <c r="B845" s="19"/>
      <c r="C845" s="4"/>
      <c r="D845" s="4"/>
      <c r="E845" s="5"/>
      <c r="F845" s="4"/>
      <c r="G845" s="4"/>
      <c r="H845" s="4"/>
      <c r="I845" s="4"/>
      <c r="J845" s="4"/>
      <c r="K845" s="4"/>
      <c r="L845" s="4"/>
      <c r="M845" s="4"/>
      <c r="N845" s="4"/>
      <c r="O845" s="4"/>
      <c r="P845" s="4"/>
      <c r="Q845" s="4"/>
      <c r="R845" s="4"/>
      <c r="S845" s="19"/>
    </row>
    <row r="846" spans="1:19" ht="17.399999999999999" x14ac:dyDescent="0.25">
      <c r="A846" s="4"/>
      <c r="B846" s="19"/>
      <c r="C846" s="4"/>
      <c r="D846" s="4"/>
      <c r="E846" s="5"/>
      <c r="F846" s="4"/>
      <c r="G846" s="4"/>
      <c r="H846" s="4"/>
      <c r="I846" s="4"/>
      <c r="J846" s="4"/>
      <c r="K846" s="4"/>
      <c r="L846" s="4"/>
      <c r="M846" s="4"/>
      <c r="N846" s="4"/>
      <c r="O846" s="4"/>
      <c r="P846" s="4"/>
      <c r="Q846" s="4"/>
      <c r="R846" s="4"/>
      <c r="S846" s="19"/>
    </row>
    <row r="847" spans="1:19" ht="17.399999999999999" x14ac:dyDescent="0.25">
      <c r="A847" s="4"/>
      <c r="B847" s="19"/>
      <c r="C847" s="4"/>
      <c r="D847" s="4"/>
      <c r="E847" s="5"/>
      <c r="F847" s="4"/>
      <c r="G847" s="4"/>
      <c r="H847" s="4"/>
      <c r="I847" s="4"/>
      <c r="J847" s="4"/>
      <c r="K847" s="4"/>
      <c r="L847" s="4"/>
      <c r="M847" s="4"/>
      <c r="N847" s="4"/>
      <c r="O847" s="4"/>
      <c r="P847" s="4"/>
      <c r="Q847" s="4"/>
      <c r="R847" s="4"/>
      <c r="S847" s="19"/>
    </row>
    <row r="848" spans="1:19" ht="17.399999999999999" x14ac:dyDescent="0.25">
      <c r="A848" s="4"/>
      <c r="B848" s="19"/>
      <c r="C848" s="4"/>
      <c r="D848" s="4"/>
      <c r="E848" s="5"/>
      <c r="F848" s="4"/>
      <c r="G848" s="4"/>
      <c r="H848" s="4"/>
      <c r="I848" s="4"/>
      <c r="J848" s="4"/>
      <c r="K848" s="4"/>
      <c r="L848" s="4"/>
      <c r="M848" s="4"/>
      <c r="N848" s="4"/>
      <c r="O848" s="4"/>
      <c r="P848" s="4"/>
      <c r="Q848" s="4"/>
      <c r="R848" s="4"/>
      <c r="S848" s="19"/>
    </row>
    <row r="849" spans="1:19" ht="17.399999999999999" x14ac:dyDescent="0.25">
      <c r="A849" s="4"/>
      <c r="B849" s="19"/>
      <c r="C849" s="4"/>
      <c r="D849" s="4"/>
      <c r="E849" s="5"/>
      <c r="F849" s="4"/>
      <c r="G849" s="4"/>
      <c r="H849" s="4"/>
      <c r="I849" s="4"/>
      <c r="J849" s="4"/>
      <c r="K849" s="4"/>
      <c r="L849" s="4"/>
      <c r="M849" s="4"/>
      <c r="N849" s="4"/>
      <c r="O849" s="4"/>
      <c r="P849" s="4"/>
      <c r="Q849" s="4"/>
      <c r="R849" s="4"/>
      <c r="S849" s="19"/>
    </row>
    <row r="850" spans="1:19" ht="17.399999999999999" x14ac:dyDescent="0.25">
      <c r="A850" s="4"/>
      <c r="B850" s="19"/>
      <c r="C850" s="4"/>
      <c r="D850" s="4"/>
      <c r="E850" s="5"/>
      <c r="F850" s="4"/>
      <c r="G850" s="4"/>
      <c r="H850" s="4"/>
      <c r="I850" s="4"/>
      <c r="J850" s="4"/>
      <c r="K850" s="4"/>
      <c r="L850" s="4"/>
      <c r="M850" s="4"/>
      <c r="N850" s="4"/>
      <c r="O850" s="4"/>
      <c r="P850" s="4"/>
      <c r="Q850" s="4"/>
      <c r="R850" s="4"/>
      <c r="S850" s="19"/>
    </row>
    <row r="851" spans="1:19" ht="17.399999999999999" x14ac:dyDescent="0.25">
      <c r="A851" s="4"/>
      <c r="B851" s="19"/>
      <c r="C851" s="4"/>
      <c r="D851" s="4"/>
      <c r="E851" s="5"/>
      <c r="F851" s="4"/>
      <c r="G851" s="4"/>
      <c r="H851" s="4"/>
      <c r="I851" s="4"/>
      <c r="J851" s="4"/>
      <c r="K851" s="4"/>
      <c r="L851" s="4"/>
      <c r="M851" s="4"/>
      <c r="N851" s="4"/>
      <c r="O851" s="4"/>
      <c r="P851" s="4"/>
      <c r="Q851" s="4"/>
      <c r="R851" s="4"/>
      <c r="S851" s="19"/>
    </row>
    <row r="852" spans="1:19" ht="17.399999999999999" x14ac:dyDescent="0.25">
      <c r="A852" s="4"/>
      <c r="B852" s="19"/>
      <c r="C852" s="4"/>
      <c r="D852" s="4"/>
      <c r="E852" s="5"/>
      <c r="F852" s="4"/>
      <c r="G852" s="4"/>
      <c r="H852" s="4"/>
      <c r="I852" s="4"/>
      <c r="J852" s="4"/>
      <c r="K852" s="4"/>
      <c r="L852" s="4"/>
      <c r="M852" s="4"/>
      <c r="N852" s="4"/>
      <c r="O852" s="4"/>
      <c r="P852" s="4"/>
      <c r="Q852" s="4"/>
      <c r="R852" s="4"/>
      <c r="S852" s="19"/>
    </row>
    <row r="853" spans="1:19" ht="17.399999999999999" x14ac:dyDescent="0.25">
      <c r="A853" s="4"/>
      <c r="B853" s="19"/>
      <c r="C853" s="4"/>
      <c r="D853" s="4"/>
      <c r="E853" s="5"/>
      <c r="F853" s="4"/>
      <c r="G853" s="4"/>
      <c r="H853" s="4"/>
      <c r="I853" s="4"/>
      <c r="J853" s="4"/>
      <c r="K853" s="4"/>
      <c r="L853" s="4"/>
      <c r="M853" s="4"/>
      <c r="N853" s="4"/>
      <c r="O853" s="4"/>
      <c r="P853" s="4"/>
      <c r="Q853" s="4"/>
      <c r="R853" s="4"/>
      <c r="S853" s="19"/>
    </row>
    <row r="854" spans="1:19" ht="17.399999999999999" x14ac:dyDescent="0.25">
      <c r="A854" s="4"/>
      <c r="B854" s="19"/>
      <c r="C854" s="4"/>
      <c r="D854" s="4"/>
      <c r="E854" s="5"/>
      <c r="F854" s="4"/>
      <c r="G854" s="4"/>
      <c r="H854" s="4"/>
      <c r="I854" s="4"/>
      <c r="J854" s="4"/>
      <c r="K854" s="4"/>
      <c r="L854" s="4"/>
      <c r="M854" s="4"/>
      <c r="N854" s="4"/>
      <c r="O854" s="4"/>
      <c r="P854" s="4"/>
      <c r="Q854" s="4"/>
      <c r="R854" s="4"/>
      <c r="S854" s="19"/>
    </row>
    <row r="855" spans="1:19" ht="17.399999999999999" x14ac:dyDescent="0.25">
      <c r="A855" s="4"/>
      <c r="B855" s="19"/>
      <c r="C855" s="4"/>
      <c r="D855" s="4"/>
      <c r="E855" s="5"/>
      <c r="F855" s="4"/>
      <c r="G855" s="4"/>
      <c r="H855" s="4"/>
      <c r="I855" s="4"/>
      <c r="J855" s="4"/>
      <c r="K855" s="4"/>
      <c r="L855" s="4"/>
      <c r="M855" s="4"/>
      <c r="N855" s="4"/>
      <c r="O855" s="4"/>
      <c r="P855" s="4"/>
      <c r="Q855" s="4"/>
      <c r="R855" s="4"/>
      <c r="S855" s="19"/>
    </row>
    <row r="856" spans="1:19" ht="17.399999999999999" x14ac:dyDescent="0.25">
      <c r="A856" s="4"/>
      <c r="B856" s="19"/>
      <c r="C856" s="4"/>
      <c r="D856" s="4"/>
      <c r="E856" s="5"/>
      <c r="F856" s="4"/>
      <c r="G856" s="4"/>
      <c r="H856" s="4"/>
      <c r="I856" s="4"/>
      <c r="J856" s="4"/>
      <c r="K856" s="4"/>
      <c r="L856" s="4"/>
      <c r="M856" s="4"/>
      <c r="N856" s="4"/>
      <c r="O856" s="4"/>
      <c r="P856" s="4"/>
      <c r="Q856" s="4"/>
      <c r="R856" s="4"/>
      <c r="S856" s="19"/>
    </row>
    <row r="857" spans="1:19" ht="17.399999999999999" x14ac:dyDescent="0.25">
      <c r="A857" s="4"/>
      <c r="B857" s="19"/>
      <c r="C857" s="4"/>
      <c r="D857" s="4"/>
      <c r="E857" s="5"/>
      <c r="F857" s="4"/>
      <c r="G857" s="4"/>
      <c r="H857" s="4"/>
      <c r="I857" s="4"/>
      <c r="J857" s="4"/>
      <c r="K857" s="4"/>
      <c r="L857" s="4"/>
      <c r="M857" s="4"/>
      <c r="N857" s="4"/>
      <c r="O857" s="4"/>
      <c r="P857" s="4"/>
      <c r="Q857" s="4"/>
      <c r="R857" s="4"/>
      <c r="S857" s="19"/>
    </row>
    <row r="858" spans="1:19" ht="17.399999999999999" x14ac:dyDescent="0.25">
      <c r="A858" s="4"/>
      <c r="B858" s="19"/>
      <c r="C858" s="4"/>
      <c r="D858" s="4"/>
      <c r="E858" s="5"/>
      <c r="F858" s="4"/>
      <c r="G858" s="4"/>
      <c r="H858" s="4"/>
      <c r="I858" s="4"/>
      <c r="J858" s="4"/>
      <c r="K858" s="4"/>
      <c r="L858" s="4"/>
      <c r="M858" s="4"/>
      <c r="N858" s="4"/>
      <c r="O858" s="4"/>
      <c r="P858" s="4"/>
      <c r="Q858" s="4"/>
      <c r="R858" s="4"/>
      <c r="S858" s="19"/>
    </row>
    <row r="859" spans="1:19" ht="17.399999999999999" x14ac:dyDescent="0.25">
      <c r="A859" s="4"/>
      <c r="B859" s="19"/>
      <c r="C859" s="4"/>
      <c r="D859" s="4"/>
      <c r="E859" s="5"/>
      <c r="F859" s="4"/>
      <c r="G859" s="4"/>
      <c r="H859" s="4"/>
      <c r="I859" s="4"/>
      <c r="J859" s="4"/>
      <c r="K859" s="4"/>
      <c r="L859" s="4"/>
      <c r="M859" s="4"/>
      <c r="N859" s="4"/>
      <c r="O859" s="4"/>
      <c r="P859" s="4"/>
      <c r="Q859" s="4"/>
      <c r="R859" s="4"/>
      <c r="S859" s="19"/>
    </row>
    <row r="860" spans="1:19" ht="17.399999999999999" x14ac:dyDescent="0.25">
      <c r="A860" s="4"/>
      <c r="B860" s="19"/>
      <c r="C860" s="4"/>
      <c r="D860" s="4"/>
      <c r="E860" s="5"/>
      <c r="F860" s="4"/>
      <c r="G860" s="4"/>
      <c r="H860" s="4"/>
      <c r="I860" s="4"/>
      <c r="J860" s="4"/>
      <c r="K860" s="4"/>
      <c r="L860" s="4"/>
      <c r="M860" s="4"/>
      <c r="N860" s="4"/>
      <c r="O860" s="4"/>
      <c r="P860" s="4"/>
      <c r="Q860" s="4"/>
      <c r="R860" s="4"/>
      <c r="S860" s="19"/>
    </row>
    <row r="861" spans="1:19" ht="17.399999999999999" x14ac:dyDescent="0.25">
      <c r="A861" s="4"/>
      <c r="B861" s="19"/>
      <c r="C861" s="4"/>
      <c r="D861" s="4"/>
      <c r="E861" s="5"/>
      <c r="F861" s="4"/>
      <c r="G861" s="4"/>
      <c r="H861" s="4"/>
      <c r="I861" s="4"/>
      <c r="J861" s="4"/>
      <c r="K861" s="4"/>
      <c r="L861" s="4"/>
      <c r="M861" s="4"/>
      <c r="N861" s="4"/>
      <c r="O861" s="4"/>
      <c r="P861" s="4"/>
      <c r="Q861" s="4"/>
      <c r="R861" s="4"/>
      <c r="S861" s="19"/>
    </row>
    <row r="862" spans="1:19" ht="17.399999999999999" x14ac:dyDescent="0.25">
      <c r="A862" s="4"/>
      <c r="B862" s="19"/>
      <c r="C862" s="4"/>
      <c r="D862" s="4"/>
      <c r="E862" s="5"/>
      <c r="F862" s="4"/>
      <c r="G862" s="4"/>
      <c r="H862" s="4"/>
      <c r="I862" s="4"/>
      <c r="J862" s="4"/>
      <c r="K862" s="4"/>
      <c r="L862" s="4"/>
      <c r="M862" s="4"/>
      <c r="N862" s="4"/>
      <c r="O862" s="4"/>
      <c r="P862" s="4"/>
      <c r="Q862" s="4"/>
      <c r="R862" s="4"/>
      <c r="S862" s="19"/>
    </row>
    <row r="863" spans="1:19" ht="17.399999999999999" x14ac:dyDescent="0.25">
      <c r="A863" s="4"/>
      <c r="B863" s="19"/>
      <c r="C863" s="4"/>
      <c r="D863" s="4"/>
      <c r="E863" s="5"/>
      <c r="F863" s="4"/>
      <c r="G863" s="4"/>
      <c r="H863" s="4"/>
      <c r="I863" s="4"/>
      <c r="J863" s="4"/>
      <c r="K863" s="4"/>
      <c r="L863" s="4"/>
      <c r="M863" s="4"/>
      <c r="N863" s="4"/>
      <c r="O863" s="4"/>
      <c r="P863" s="4"/>
      <c r="Q863" s="4"/>
      <c r="R863" s="4"/>
      <c r="S863" s="19"/>
    </row>
    <row r="864" spans="1:19" ht="17.399999999999999" x14ac:dyDescent="0.25">
      <c r="A864" s="4"/>
      <c r="B864" s="19"/>
      <c r="C864" s="4"/>
      <c r="D864" s="4"/>
      <c r="E864" s="5"/>
      <c r="F864" s="4"/>
      <c r="G864" s="4"/>
      <c r="H864" s="4"/>
      <c r="I864" s="4"/>
      <c r="J864" s="4"/>
      <c r="K864" s="4"/>
      <c r="L864" s="4"/>
      <c r="M864" s="4"/>
      <c r="N864" s="4"/>
      <c r="O864" s="4"/>
      <c r="P864" s="4"/>
      <c r="Q864" s="4"/>
      <c r="R864" s="4"/>
      <c r="S864" s="19"/>
    </row>
    <row r="865" spans="1:19" ht="17.399999999999999" x14ac:dyDescent="0.25">
      <c r="A865" s="4"/>
      <c r="B865" s="19"/>
      <c r="C865" s="4"/>
      <c r="D865" s="4"/>
      <c r="E865" s="5"/>
      <c r="F865" s="4"/>
      <c r="G865" s="4"/>
      <c r="H865" s="4"/>
      <c r="I865" s="4"/>
      <c r="J865" s="4"/>
      <c r="K865" s="4"/>
      <c r="L865" s="4"/>
      <c r="M865" s="4"/>
      <c r="N865" s="4"/>
      <c r="O865" s="4"/>
      <c r="P865" s="4"/>
      <c r="Q865" s="4"/>
      <c r="R865" s="4"/>
      <c r="S865" s="19"/>
    </row>
    <row r="866" spans="1:19" ht="17.399999999999999" x14ac:dyDescent="0.25">
      <c r="A866" s="4"/>
      <c r="B866" s="19"/>
      <c r="C866" s="4"/>
      <c r="D866" s="4"/>
      <c r="E866" s="5"/>
      <c r="F866" s="4"/>
      <c r="G866" s="4"/>
      <c r="H866" s="4"/>
      <c r="I866" s="4"/>
      <c r="J866" s="4"/>
      <c r="K866" s="4"/>
      <c r="L866" s="4"/>
      <c r="M866" s="4"/>
      <c r="N866" s="4"/>
      <c r="O866" s="4"/>
      <c r="P866" s="4"/>
      <c r="Q866" s="4"/>
      <c r="R866" s="4"/>
      <c r="S866" s="19"/>
    </row>
    <row r="867" spans="1:19" ht="17.399999999999999" x14ac:dyDescent="0.25">
      <c r="A867" s="4"/>
      <c r="B867" s="19"/>
      <c r="C867" s="4"/>
      <c r="D867" s="4"/>
      <c r="E867" s="5"/>
      <c r="F867" s="4"/>
      <c r="G867" s="4"/>
      <c r="H867" s="4"/>
      <c r="I867" s="4"/>
      <c r="J867" s="4"/>
      <c r="K867" s="4"/>
      <c r="L867" s="4"/>
      <c r="M867" s="4"/>
      <c r="N867" s="4"/>
      <c r="O867" s="4"/>
      <c r="P867" s="4"/>
      <c r="Q867" s="4"/>
      <c r="R867" s="4"/>
      <c r="S867" s="19"/>
    </row>
    <row r="868" spans="1:19" ht="17.399999999999999" x14ac:dyDescent="0.25">
      <c r="A868" s="4"/>
      <c r="B868" s="19"/>
      <c r="C868" s="4"/>
      <c r="D868" s="4"/>
      <c r="E868" s="5"/>
      <c r="F868" s="4"/>
      <c r="G868" s="4"/>
      <c r="H868" s="4"/>
      <c r="I868" s="4"/>
      <c r="J868" s="4"/>
      <c r="K868" s="4"/>
      <c r="L868" s="4"/>
      <c r="M868" s="4"/>
      <c r="N868" s="4"/>
      <c r="O868" s="4"/>
      <c r="P868" s="4"/>
      <c r="Q868" s="4"/>
      <c r="R868" s="4"/>
      <c r="S868" s="19"/>
    </row>
    <row r="869" spans="1:19" ht="17.399999999999999" x14ac:dyDescent="0.25">
      <c r="A869" s="4"/>
      <c r="B869" s="19"/>
      <c r="C869" s="4"/>
      <c r="D869" s="4"/>
      <c r="E869" s="5"/>
      <c r="F869" s="4"/>
      <c r="G869" s="4"/>
      <c r="H869" s="4"/>
      <c r="I869" s="4"/>
      <c r="J869" s="4"/>
      <c r="K869" s="4"/>
      <c r="L869" s="4"/>
      <c r="M869" s="4"/>
      <c r="N869" s="4"/>
      <c r="O869" s="4"/>
      <c r="P869" s="4"/>
      <c r="Q869" s="4"/>
      <c r="R869" s="4"/>
      <c r="S869" s="19"/>
    </row>
    <row r="870" spans="1:19" ht="17.399999999999999" x14ac:dyDescent="0.25">
      <c r="A870" s="4"/>
      <c r="B870" s="19"/>
      <c r="C870" s="4"/>
      <c r="D870" s="4"/>
      <c r="E870" s="5"/>
      <c r="F870" s="4"/>
      <c r="G870" s="4"/>
      <c r="H870" s="4"/>
      <c r="I870" s="4"/>
      <c r="J870" s="4"/>
      <c r="K870" s="4"/>
      <c r="L870" s="4"/>
      <c r="M870" s="4"/>
      <c r="N870" s="4"/>
      <c r="O870" s="4"/>
      <c r="P870" s="4"/>
      <c r="Q870" s="4"/>
      <c r="R870" s="4"/>
      <c r="S870" s="19"/>
    </row>
    <row r="871" spans="1:19" ht="17.399999999999999" x14ac:dyDescent="0.25">
      <c r="A871" s="4"/>
      <c r="B871" s="19"/>
      <c r="C871" s="4"/>
      <c r="D871" s="4"/>
      <c r="E871" s="5"/>
      <c r="F871" s="4"/>
      <c r="G871" s="4"/>
      <c r="H871" s="4"/>
      <c r="I871" s="4"/>
      <c r="J871" s="4"/>
      <c r="K871" s="4"/>
      <c r="L871" s="4"/>
      <c r="M871" s="4"/>
      <c r="N871" s="4"/>
      <c r="O871" s="4"/>
      <c r="P871" s="4"/>
      <c r="Q871" s="4"/>
      <c r="R871" s="4"/>
      <c r="S871" s="19"/>
    </row>
    <row r="872" spans="1:19" ht="17.399999999999999" x14ac:dyDescent="0.25">
      <c r="A872" s="4"/>
      <c r="B872" s="19"/>
      <c r="C872" s="4"/>
      <c r="D872" s="4"/>
      <c r="E872" s="5"/>
      <c r="F872" s="4"/>
      <c r="G872" s="4"/>
      <c r="H872" s="4"/>
      <c r="I872" s="4"/>
      <c r="J872" s="4"/>
      <c r="K872" s="4"/>
      <c r="L872" s="4"/>
      <c r="M872" s="4"/>
      <c r="N872" s="4"/>
      <c r="O872" s="4"/>
      <c r="P872" s="4"/>
      <c r="Q872" s="4"/>
      <c r="R872" s="4"/>
      <c r="S872" s="19"/>
    </row>
    <row r="873" spans="1:19" ht="17.399999999999999" x14ac:dyDescent="0.25">
      <c r="A873" s="4"/>
      <c r="B873" s="19"/>
      <c r="C873" s="4"/>
      <c r="D873" s="4"/>
      <c r="E873" s="5"/>
      <c r="F873" s="4"/>
      <c r="G873" s="4"/>
      <c r="H873" s="4"/>
      <c r="I873" s="4"/>
      <c r="J873" s="4"/>
      <c r="K873" s="4"/>
      <c r="L873" s="4"/>
      <c r="M873" s="4"/>
      <c r="N873" s="4"/>
      <c r="O873" s="4"/>
      <c r="P873" s="4"/>
      <c r="Q873" s="4"/>
      <c r="R873" s="4"/>
      <c r="S873" s="19"/>
    </row>
    <row r="874" spans="1:19" ht="17.399999999999999" x14ac:dyDescent="0.25">
      <c r="A874" s="4"/>
      <c r="B874" s="19"/>
      <c r="C874" s="4"/>
      <c r="D874" s="4"/>
      <c r="E874" s="5"/>
      <c r="F874" s="4"/>
      <c r="G874" s="4"/>
      <c r="H874" s="4"/>
      <c r="I874" s="4"/>
      <c r="J874" s="4"/>
      <c r="K874" s="4"/>
      <c r="L874" s="4"/>
      <c r="M874" s="4"/>
      <c r="N874" s="4"/>
      <c r="O874" s="4"/>
      <c r="P874" s="4"/>
      <c r="Q874" s="4"/>
      <c r="R874" s="4"/>
      <c r="S874" s="19"/>
    </row>
    <row r="875" spans="1:19" ht="17.399999999999999" x14ac:dyDescent="0.25">
      <c r="A875" s="4"/>
      <c r="B875" s="19"/>
      <c r="C875" s="4"/>
      <c r="D875" s="4"/>
      <c r="E875" s="5"/>
      <c r="F875" s="4"/>
      <c r="G875" s="4"/>
      <c r="H875" s="4"/>
      <c r="I875" s="4"/>
      <c r="J875" s="4"/>
      <c r="K875" s="4"/>
      <c r="L875" s="4"/>
      <c r="M875" s="4"/>
      <c r="N875" s="4"/>
      <c r="O875" s="4"/>
      <c r="P875" s="4"/>
      <c r="Q875" s="4"/>
      <c r="R875" s="4"/>
      <c r="S875" s="19"/>
    </row>
    <row r="876" spans="1:19" ht="17.399999999999999" x14ac:dyDescent="0.25">
      <c r="A876" s="4"/>
      <c r="B876" s="19"/>
      <c r="C876" s="4"/>
      <c r="D876" s="4"/>
      <c r="E876" s="5"/>
      <c r="F876" s="4"/>
      <c r="G876" s="4"/>
      <c r="H876" s="4"/>
      <c r="I876" s="4"/>
      <c r="J876" s="4"/>
      <c r="K876" s="4"/>
      <c r="L876" s="4"/>
      <c r="M876" s="4"/>
      <c r="N876" s="4"/>
      <c r="O876" s="4"/>
      <c r="P876" s="4"/>
      <c r="Q876" s="4"/>
      <c r="R876" s="4"/>
      <c r="S876" s="19"/>
    </row>
    <row r="877" spans="1:19" ht="17.399999999999999" x14ac:dyDescent="0.25">
      <c r="A877" s="4"/>
      <c r="B877" s="19"/>
      <c r="C877" s="4"/>
      <c r="D877" s="4"/>
      <c r="E877" s="5"/>
      <c r="F877" s="4"/>
      <c r="G877" s="4"/>
      <c r="H877" s="4"/>
      <c r="I877" s="4"/>
      <c r="J877" s="4"/>
      <c r="K877" s="4"/>
      <c r="L877" s="4"/>
      <c r="M877" s="4"/>
      <c r="N877" s="4"/>
      <c r="O877" s="4"/>
      <c r="P877" s="4"/>
      <c r="Q877" s="4"/>
      <c r="R877" s="4"/>
      <c r="S877" s="19"/>
    </row>
    <row r="878" spans="1:19" ht="17.399999999999999" x14ac:dyDescent="0.25">
      <c r="A878" s="4"/>
      <c r="B878" s="19"/>
      <c r="C878" s="4"/>
      <c r="D878" s="4"/>
      <c r="E878" s="5"/>
      <c r="F878" s="4"/>
      <c r="G878" s="4"/>
      <c r="H878" s="4"/>
      <c r="I878" s="4"/>
      <c r="J878" s="4"/>
      <c r="K878" s="4"/>
      <c r="L878" s="4"/>
      <c r="M878" s="4"/>
      <c r="N878" s="4"/>
      <c r="O878" s="4"/>
      <c r="P878" s="4"/>
      <c r="Q878" s="4"/>
      <c r="R878" s="4"/>
      <c r="S878" s="19"/>
    </row>
    <row r="879" spans="1:19" ht="17.399999999999999" x14ac:dyDescent="0.25">
      <c r="A879" s="4"/>
      <c r="B879" s="19"/>
      <c r="C879" s="4"/>
      <c r="D879" s="4"/>
      <c r="E879" s="5"/>
      <c r="F879" s="4"/>
      <c r="G879" s="4"/>
      <c r="H879" s="4"/>
      <c r="I879" s="4"/>
      <c r="J879" s="4"/>
      <c r="K879" s="4"/>
      <c r="L879" s="4"/>
      <c r="M879" s="4"/>
      <c r="N879" s="4"/>
      <c r="O879" s="4"/>
      <c r="P879" s="4"/>
      <c r="Q879" s="4"/>
      <c r="R879" s="4"/>
      <c r="S879" s="19"/>
    </row>
    <row r="880" spans="1:19" ht="17.399999999999999" x14ac:dyDescent="0.25">
      <c r="A880" s="4"/>
      <c r="B880" s="19"/>
      <c r="C880" s="4"/>
      <c r="D880" s="4"/>
      <c r="E880" s="5"/>
      <c r="F880" s="4"/>
      <c r="G880" s="4"/>
      <c r="H880" s="4"/>
      <c r="I880" s="4"/>
      <c r="J880" s="4"/>
      <c r="K880" s="4"/>
      <c r="L880" s="4"/>
      <c r="M880" s="4"/>
      <c r="N880" s="4"/>
      <c r="O880" s="4"/>
      <c r="P880" s="4"/>
      <c r="Q880" s="4"/>
      <c r="R880" s="4"/>
      <c r="S880" s="19"/>
    </row>
    <row r="881" spans="1:19" ht="17.399999999999999" x14ac:dyDescent="0.25">
      <c r="A881" s="4"/>
      <c r="B881" s="19"/>
      <c r="C881" s="4"/>
      <c r="D881" s="4"/>
      <c r="E881" s="5"/>
      <c r="F881" s="4"/>
      <c r="G881" s="4"/>
      <c r="H881" s="4"/>
      <c r="I881" s="4"/>
      <c r="J881" s="4"/>
      <c r="K881" s="4"/>
      <c r="L881" s="4"/>
      <c r="M881" s="4"/>
      <c r="N881" s="4"/>
      <c r="O881" s="4"/>
      <c r="P881" s="4"/>
      <c r="Q881" s="4"/>
      <c r="R881" s="4"/>
      <c r="S881" s="19"/>
    </row>
    <row r="882" spans="1:19" ht="17.399999999999999" x14ac:dyDescent="0.25">
      <c r="A882" s="4"/>
      <c r="B882" s="19"/>
      <c r="C882" s="4"/>
      <c r="D882" s="4"/>
      <c r="E882" s="5"/>
      <c r="F882" s="4"/>
      <c r="G882" s="4"/>
      <c r="H882" s="4"/>
      <c r="I882" s="4"/>
      <c r="J882" s="4"/>
      <c r="K882" s="4"/>
      <c r="L882" s="4"/>
      <c r="M882" s="4"/>
      <c r="N882" s="4"/>
      <c r="O882" s="4"/>
      <c r="P882" s="4"/>
      <c r="Q882" s="4"/>
      <c r="R882" s="4"/>
      <c r="S882" s="19"/>
    </row>
    <row r="883" spans="1:19" ht="17.399999999999999" x14ac:dyDescent="0.25">
      <c r="A883" s="4"/>
      <c r="B883" s="19"/>
      <c r="C883" s="4"/>
      <c r="D883" s="4"/>
      <c r="E883" s="5"/>
      <c r="F883" s="4"/>
      <c r="G883" s="4"/>
      <c r="H883" s="4"/>
      <c r="I883" s="4"/>
      <c r="J883" s="4"/>
      <c r="K883" s="4"/>
      <c r="L883" s="4"/>
      <c r="M883" s="4"/>
      <c r="N883" s="4"/>
      <c r="O883" s="4"/>
      <c r="P883" s="4"/>
      <c r="Q883" s="4"/>
      <c r="R883" s="4"/>
      <c r="S883" s="19"/>
    </row>
    <row r="884" spans="1:19" ht="17.399999999999999" x14ac:dyDescent="0.25">
      <c r="A884" s="4"/>
      <c r="B884" s="19"/>
      <c r="C884" s="4"/>
      <c r="D884" s="4"/>
      <c r="E884" s="5"/>
      <c r="F884" s="4"/>
      <c r="G884" s="4"/>
      <c r="H884" s="4"/>
      <c r="I884" s="4"/>
      <c r="J884" s="4"/>
      <c r="K884" s="4"/>
      <c r="L884" s="4"/>
      <c r="M884" s="4"/>
      <c r="N884" s="4"/>
      <c r="O884" s="4"/>
      <c r="P884" s="4"/>
      <c r="Q884" s="4"/>
      <c r="R884" s="4"/>
      <c r="S884" s="19"/>
    </row>
    <row r="885" spans="1:19" ht="17.399999999999999" x14ac:dyDescent="0.25">
      <c r="A885" s="4"/>
      <c r="B885" s="19"/>
      <c r="C885" s="4"/>
      <c r="D885" s="4"/>
      <c r="E885" s="5"/>
      <c r="F885" s="4"/>
      <c r="G885" s="4"/>
      <c r="H885" s="4"/>
      <c r="I885" s="4"/>
      <c r="J885" s="4"/>
      <c r="K885" s="4"/>
      <c r="L885" s="4"/>
      <c r="M885" s="4"/>
      <c r="N885" s="4"/>
      <c r="O885" s="4"/>
      <c r="P885" s="4"/>
      <c r="Q885" s="4"/>
      <c r="R885" s="4"/>
      <c r="S885" s="19"/>
    </row>
    <row r="886" spans="1:19" ht="17.399999999999999" x14ac:dyDescent="0.25">
      <c r="A886" s="4"/>
      <c r="B886" s="19"/>
      <c r="C886" s="4"/>
      <c r="D886" s="4"/>
      <c r="E886" s="5"/>
      <c r="F886" s="4"/>
      <c r="G886" s="4"/>
      <c r="H886" s="4"/>
      <c r="I886" s="4"/>
      <c r="J886" s="4"/>
      <c r="K886" s="4"/>
      <c r="L886" s="4"/>
      <c r="M886" s="4"/>
      <c r="N886" s="4"/>
      <c r="O886" s="4"/>
      <c r="P886" s="4"/>
      <c r="Q886" s="4"/>
      <c r="R886" s="4"/>
      <c r="S886" s="19"/>
    </row>
    <row r="887" spans="1:19" ht="17.399999999999999" x14ac:dyDescent="0.25">
      <c r="A887" s="4"/>
      <c r="B887" s="19"/>
      <c r="C887" s="4"/>
      <c r="D887" s="4"/>
      <c r="E887" s="5"/>
      <c r="F887" s="4"/>
      <c r="G887" s="4"/>
      <c r="H887" s="4"/>
      <c r="I887" s="4"/>
      <c r="J887" s="4"/>
      <c r="K887" s="4"/>
      <c r="L887" s="4"/>
      <c r="M887" s="4"/>
      <c r="N887" s="4"/>
      <c r="O887" s="4"/>
      <c r="P887" s="4"/>
      <c r="Q887" s="4"/>
      <c r="R887" s="4"/>
      <c r="S887" s="19"/>
    </row>
    <row r="888" spans="1:19" ht="17.399999999999999" x14ac:dyDescent="0.25">
      <c r="A888" s="4"/>
      <c r="B888" s="19"/>
      <c r="C888" s="4"/>
      <c r="D888" s="4"/>
      <c r="E888" s="5"/>
      <c r="F888" s="4"/>
      <c r="G888" s="4"/>
      <c r="H888" s="4"/>
      <c r="I888" s="4"/>
      <c r="J888" s="4"/>
      <c r="K888" s="4"/>
      <c r="L888" s="4"/>
      <c r="M888" s="4"/>
      <c r="N888" s="4"/>
      <c r="O888" s="4"/>
      <c r="P888" s="4"/>
      <c r="Q888" s="4"/>
      <c r="R888" s="4"/>
      <c r="S888" s="19"/>
    </row>
    <row r="889" spans="1:19" ht="17.399999999999999" x14ac:dyDescent="0.25">
      <c r="A889" s="4"/>
      <c r="B889" s="19"/>
      <c r="C889" s="4"/>
      <c r="D889" s="4"/>
      <c r="E889" s="5"/>
      <c r="F889" s="4"/>
      <c r="G889" s="4"/>
      <c r="H889" s="4"/>
      <c r="I889" s="4"/>
      <c r="J889" s="4"/>
      <c r="K889" s="4"/>
      <c r="L889" s="4"/>
      <c r="M889" s="4"/>
      <c r="N889" s="4"/>
      <c r="O889" s="4"/>
      <c r="P889" s="4"/>
      <c r="Q889" s="4"/>
      <c r="R889" s="4"/>
      <c r="S889" s="19"/>
    </row>
    <row r="890" spans="1:19" ht="17.399999999999999" x14ac:dyDescent="0.25">
      <c r="A890" s="4"/>
      <c r="B890" s="19"/>
      <c r="C890" s="4"/>
      <c r="D890" s="4"/>
      <c r="E890" s="5"/>
      <c r="F890" s="4"/>
      <c r="G890" s="4"/>
      <c r="H890" s="4"/>
      <c r="I890" s="4"/>
      <c r="J890" s="4"/>
      <c r="K890" s="4"/>
      <c r="L890" s="4"/>
      <c r="M890" s="4"/>
      <c r="N890" s="4"/>
      <c r="O890" s="4"/>
      <c r="P890" s="4"/>
      <c r="Q890" s="4"/>
      <c r="R890" s="4"/>
      <c r="S890" s="19"/>
    </row>
    <row r="891" spans="1:19" ht="17.399999999999999" x14ac:dyDescent="0.25">
      <c r="A891" s="4"/>
      <c r="B891" s="19"/>
      <c r="C891" s="4"/>
      <c r="D891" s="4"/>
      <c r="E891" s="5"/>
      <c r="F891" s="4"/>
      <c r="G891" s="4"/>
      <c r="H891" s="4"/>
      <c r="I891" s="4"/>
      <c r="J891" s="4"/>
      <c r="K891" s="4"/>
      <c r="L891" s="4"/>
      <c r="M891" s="4"/>
      <c r="N891" s="4"/>
      <c r="O891" s="4"/>
      <c r="P891" s="4"/>
      <c r="Q891" s="4"/>
      <c r="R891" s="4"/>
      <c r="S891" s="19"/>
    </row>
    <row r="892" spans="1:19" ht="17.399999999999999" x14ac:dyDescent="0.25">
      <c r="A892" s="4"/>
      <c r="B892" s="19"/>
      <c r="C892" s="4"/>
      <c r="D892" s="4"/>
      <c r="E892" s="5"/>
      <c r="F892" s="4"/>
      <c r="G892" s="4"/>
      <c r="H892" s="4"/>
      <c r="I892" s="4"/>
      <c r="J892" s="4"/>
      <c r="K892" s="4"/>
      <c r="L892" s="4"/>
      <c r="M892" s="4"/>
      <c r="N892" s="4"/>
      <c r="O892" s="4"/>
      <c r="P892" s="4"/>
      <c r="Q892" s="4"/>
      <c r="R892" s="4"/>
      <c r="S892" s="19"/>
    </row>
    <row r="893" spans="1:19" ht="17.399999999999999" x14ac:dyDescent="0.25">
      <c r="A893" s="4"/>
      <c r="B893" s="19"/>
      <c r="C893" s="4"/>
      <c r="D893" s="4"/>
      <c r="E893" s="5"/>
      <c r="F893" s="4"/>
      <c r="G893" s="4"/>
      <c r="H893" s="4"/>
      <c r="I893" s="4"/>
      <c r="J893" s="4"/>
      <c r="K893" s="4"/>
      <c r="L893" s="4"/>
      <c r="M893" s="4"/>
      <c r="N893" s="4"/>
      <c r="O893" s="4"/>
      <c r="P893" s="4"/>
      <c r="Q893" s="4"/>
      <c r="R893" s="4"/>
      <c r="S893" s="19"/>
    </row>
    <row r="894" spans="1:19" ht="17.399999999999999" x14ac:dyDescent="0.25">
      <c r="A894" s="4"/>
      <c r="B894" s="19"/>
      <c r="C894" s="4"/>
      <c r="D894" s="4"/>
      <c r="E894" s="5"/>
      <c r="F894" s="4"/>
      <c r="G894" s="4"/>
      <c r="H894" s="4"/>
      <c r="I894" s="4"/>
      <c r="J894" s="4"/>
      <c r="K894" s="4"/>
      <c r="L894" s="4"/>
      <c r="M894" s="4"/>
      <c r="N894" s="4"/>
      <c r="O894" s="4"/>
      <c r="P894" s="4"/>
      <c r="Q894" s="4"/>
      <c r="R894" s="4"/>
      <c r="S894" s="19"/>
    </row>
    <row r="895" spans="1:19" ht="17.399999999999999" x14ac:dyDescent="0.25">
      <c r="A895" s="4"/>
      <c r="B895" s="19"/>
      <c r="C895" s="4"/>
      <c r="D895" s="4"/>
      <c r="E895" s="5"/>
      <c r="F895" s="4"/>
      <c r="G895" s="4"/>
      <c r="H895" s="4"/>
      <c r="I895" s="4"/>
      <c r="J895" s="4"/>
      <c r="K895" s="4"/>
      <c r="L895" s="4"/>
      <c r="M895" s="4"/>
      <c r="N895" s="4"/>
      <c r="O895" s="4"/>
      <c r="P895" s="4"/>
      <c r="Q895" s="4"/>
      <c r="R895" s="4"/>
      <c r="S895" s="19"/>
    </row>
    <row r="896" spans="1:19" ht="17.399999999999999" x14ac:dyDescent="0.25">
      <c r="A896" s="4"/>
      <c r="B896" s="19"/>
      <c r="C896" s="4"/>
      <c r="D896" s="4"/>
      <c r="E896" s="5"/>
      <c r="F896" s="4"/>
      <c r="G896" s="4"/>
      <c r="H896" s="4"/>
      <c r="I896" s="4"/>
      <c r="J896" s="4"/>
      <c r="K896" s="4"/>
      <c r="L896" s="4"/>
      <c r="M896" s="4"/>
      <c r="N896" s="4"/>
      <c r="O896" s="4"/>
      <c r="P896" s="4"/>
      <c r="Q896" s="4"/>
      <c r="R896" s="4"/>
      <c r="S896" s="19"/>
    </row>
    <row r="897" spans="1:19" ht="17.399999999999999" x14ac:dyDescent="0.25">
      <c r="A897" s="4"/>
      <c r="B897" s="19"/>
      <c r="C897" s="4"/>
      <c r="D897" s="4"/>
      <c r="E897" s="5"/>
      <c r="F897" s="4"/>
      <c r="G897" s="4"/>
      <c r="H897" s="4"/>
      <c r="I897" s="4"/>
      <c r="J897" s="4"/>
      <c r="K897" s="4"/>
      <c r="L897" s="4"/>
      <c r="M897" s="4"/>
      <c r="N897" s="4"/>
      <c r="O897" s="4"/>
      <c r="P897" s="4"/>
      <c r="Q897" s="4"/>
      <c r="R897" s="4"/>
      <c r="S897" s="19"/>
    </row>
    <row r="898" spans="1:19" ht="17.399999999999999" x14ac:dyDescent="0.25">
      <c r="A898" s="4"/>
      <c r="B898" s="19"/>
      <c r="C898" s="4"/>
      <c r="D898" s="4"/>
      <c r="E898" s="5"/>
      <c r="F898" s="4"/>
      <c r="G898" s="4"/>
      <c r="H898" s="4"/>
      <c r="I898" s="4"/>
      <c r="J898" s="4"/>
      <c r="K898" s="4"/>
      <c r="L898" s="4"/>
      <c r="M898" s="4"/>
      <c r="N898" s="4"/>
      <c r="O898" s="4"/>
      <c r="P898" s="4"/>
      <c r="Q898" s="4"/>
      <c r="R898" s="4"/>
      <c r="S898" s="19"/>
    </row>
    <row r="899" spans="1:19" ht="17.399999999999999" x14ac:dyDescent="0.25">
      <c r="A899" s="4"/>
      <c r="B899" s="19"/>
      <c r="C899" s="4"/>
      <c r="D899" s="4"/>
      <c r="E899" s="5"/>
      <c r="F899" s="4"/>
      <c r="G899" s="4"/>
      <c r="H899" s="4"/>
      <c r="I899" s="4"/>
      <c r="J899" s="4"/>
      <c r="K899" s="4"/>
      <c r="L899" s="4"/>
      <c r="M899" s="4"/>
      <c r="N899" s="4"/>
      <c r="O899" s="4"/>
      <c r="P899" s="4"/>
      <c r="Q899" s="4"/>
      <c r="R899" s="4"/>
      <c r="S899" s="19"/>
    </row>
    <row r="900" spans="1:19" ht="17.399999999999999" x14ac:dyDescent="0.25">
      <c r="A900" s="4"/>
      <c r="B900" s="19"/>
      <c r="C900" s="4"/>
      <c r="D900" s="4"/>
      <c r="E900" s="5"/>
      <c r="F900" s="4"/>
      <c r="G900" s="4"/>
      <c r="H900" s="4"/>
      <c r="I900" s="4"/>
      <c r="J900" s="4"/>
      <c r="K900" s="4"/>
      <c r="L900" s="4"/>
      <c r="M900" s="4"/>
      <c r="N900" s="4"/>
      <c r="O900" s="4"/>
      <c r="P900" s="4"/>
      <c r="Q900" s="4"/>
      <c r="R900" s="4"/>
      <c r="S900" s="19"/>
    </row>
    <row r="901" spans="1:19" ht="17.399999999999999" x14ac:dyDescent="0.25">
      <c r="A901" s="4"/>
      <c r="B901" s="19"/>
      <c r="C901" s="4"/>
      <c r="D901" s="4"/>
      <c r="E901" s="5"/>
      <c r="F901" s="4"/>
      <c r="G901" s="4"/>
      <c r="H901" s="4"/>
      <c r="I901" s="4"/>
      <c r="J901" s="4"/>
      <c r="K901" s="4"/>
      <c r="L901" s="4"/>
      <c r="M901" s="4"/>
      <c r="N901" s="4"/>
      <c r="O901" s="4"/>
      <c r="P901" s="4"/>
      <c r="Q901" s="4"/>
      <c r="R901" s="4"/>
      <c r="S901" s="19"/>
    </row>
    <row r="902" spans="1:19" ht="17.399999999999999" x14ac:dyDescent="0.25">
      <c r="A902" s="4"/>
      <c r="B902" s="19"/>
      <c r="C902" s="4"/>
      <c r="D902" s="4"/>
      <c r="E902" s="5"/>
      <c r="F902" s="4"/>
      <c r="G902" s="4"/>
      <c r="H902" s="4"/>
      <c r="I902" s="4"/>
      <c r="J902" s="4"/>
      <c r="K902" s="4"/>
      <c r="L902" s="4"/>
      <c r="M902" s="4"/>
      <c r="N902" s="4"/>
      <c r="O902" s="4"/>
      <c r="P902" s="4"/>
      <c r="Q902" s="4"/>
      <c r="R902" s="4"/>
      <c r="S902" s="19"/>
    </row>
    <row r="903" spans="1:19" ht="17.399999999999999" x14ac:dyDescent="0.25">
      <c r="A903" s="4"/>
      <c r="B903" s="19"/>
      <c r="C903" s="4"/>
      <c r="D903" s="4"/>
      <c r="E903" s="5"/>
      <c r="F903" s="4"/>
      <c r="G903" s="4"/>
      <c r="H903" s="4"/>
      <c r="I903" s="4"/>
      <c r="J903" s="4"/>
      <c r="K903" s="4"/>
      <c r="L903" s="4"/>
      <c r="M903" s="4"/>
      <c r="N903" s="4"/>
      <c r="O903" s="4"/>
      <c r="P903" s="4"/>
      <c r="Q903" s="4"/>
      <c r="R903" s="4"/>
      <c r="S903" s="19"/>
    </row>
    <row r="904" spans="1:19" ht="17.399999999999999" x14ac:dyDescent="0.25">
      <c r="A904" s="4"/>
      <c r="B904" s="19"/>
      <c r="C904" s="4"/>
      <c r="D904" s="4"/>
      <c r="E904" s="5"/>
      <c r="F904" s="4"/>
      <c r="G904" s="4"/>
      <c r="H904" s="4"/>
      <c r="I904" s="4"/>
      <c r="J904" s="4"/>
      <c r="K904" s="4"/>
      <c r="L904" s="4"/>
      <c r="M904" s="4"/>
      <c r="N904" s="4"/>
      <c r="O904" s="4"/>
      <c r="P904" s="4"/>
      <c r="Q904" s="4"/>
      <c r="R904" s="4"/>
      <c r="S904" s="19"/>
    </row>
    <row r="905" spans="1:19" ht="17.399999999999999" x14ac:dyDescent="0.25">
      <c r="A905" s="4"/>
      <c r="B905" s="19"/>
      <c r="C905" s="4"/>
      <c r="D905" s="4"/>
      <c r="E905" s="5"/>
      <c r="F905" s="4"/>
      <c r="G905" s="4"/>
      <c r="H905" s="4"/>
      <c r="I905" s="4"/>
      <c r="J905" s="4"/>
      <c r="K905" s="4"/>
      <c r="L905" s="4"/>
      <c r="M905" s="4"/>
      <c r="N905" s="4"/>
      <c r="O905" s="4"/>
      <c r="P905" s="4"/>
      <c r="Q905" s="4"/>
      <c r="R905" s="4"/>
      <c r="S905" s="19"/>
    </row>
    <row r="906" spans="1:19" ht="17.399999999999999" x14ac:dyDescent="0.25">
      <c r="A906" s="4"/>
      <c r="B906" s="19"/>
      <c r="C906" s="4"/>
      <c r="D906" s="4"/>
      <c r="E906" s="5"/>
      <c r="F906" s="4"/>
      <c r="G906" s="4"/>
      <c r="H906" s="4"/>
      <c r="I906" s="4"/>
      <c r="J906" s="4"/>
      <c r="K906" s="4"/>
      <c r="L906" s="4"/>
      <c r="M906" s="4"/>
      <c r="N906" s="4"/>
      <c r="O906" s="4"/>
      <c r="P906" s="4"/>
      <c r="Q906" s="4"/>
      <c r="R906" s="4"/>
      <c r="S906" s="19"/>
    </row>
    <row r="907" spans="1:19" ht="17.399999999999999" x14ac:dyDescent="0.25">
      <c r="A907" s="4"/>
      <c r="B907" s="19"/>
      <c r="C907" s="4"/>
      <c r="D907" s="4"/>
      <c r="E907" s="5"/>
      <c r="F907" s="4"/>
      <c r="G907" s="4"/>
      <c r="H907" s="4"/>
      <c r="I907" s="4"/>
      <c r="J907" s="4"/>
      <c r="K907" s="4"/>
      <c r="L907" s="4"/>
      <c r="M907" s="4"/>
      <c r="N907" s="4"/>
      <c r="O907" s="4"/>
      <c r="P907" s="4"/>
      <c r="Q907" s="4"/>
      <c r="R907" s="4"/>
      <c r="S907" s="19"/>
    </row>
    <row r="908" spans="1:19" ht="17.399999999999999" x14ac:dyDescent="0.25">
      <c r="A908" s="4"/>
      <c r="B908" s="19"/>
      <c r="C908" s="4"/>
      <c r="D908" s="4"/>
      <c r="E908" s="5"/>
      <c r="F908" s="4"/>
      <c r="G908" s="4"/>
      <c r="H908" s="4"/>
      <c r="I908" s="4"/>
      <c r="J908" s="4"/>
      <c r="K908" s="4"/>
      <c r="L908" s="4"/>
      <c r="M908" s="4"/>
      <c r="N908" s="4"/>
      <c r="O908" s="4"/>
      <c r="P908" s="4"/>
      <c r="Q908" s="4"/>
      <c r="R908" s="4"/>
      <c r="S908" s="19"/>
    </row>
    <row r="909" spans="1:19" ht="17.399999999999999" x14ac:dyDescent="0.25">
      <c r="A909" s="4"/>
      <c r="B909" s="19"/>
      <c r="C909" s="4"/>
      <c r="D909" s="4"/>
      <c r="E909" s="5"/>
      <c r="F909" s="4"/>
      <c r="G909" s="4"/>
      <c r="H909" s="4"/>
      <c r="I909" s="4"/>
      <c r="J909" s="4"/>
      <c r="K909" s="4"/>
      <c r="L909" s="4"/>
      <c r="M909" s="4"/>
      <c r="N909" s="4"/>
      <c r="O909" s="4"/>
      <c r="P909" s="4"/>
      <c r="Q909" s="4"/>
      <c r="R909" s="4"/>
      <c r="S909" s="19"/>
    </row>
    <row r="910" spans="1:19" ht="17.399999999999999" x14ac:dyDescent="0.25">
      <c r="A910" s="4"/>
      <c r="B910" s="19"/>
      <c r="C910" s="4"/>
      <c r="D910" s="4"/>
      <c r="E910" s="5"/>
      <c r="F910" s="4"/>
      <c r="G910" s="4"/>
      <c r="H910" s="4"/>
      <c r="I910" s="4"/>
      <c r="J910" s="4"/>
      <c r="K910" s="4"/>
      <c r="L910" s="4"/>
      <c r="M910" s="4"/>
      <c r="N910" s="4"/>
      <c r="O910" s="4"/>
      <c r="P910" s="4"/>
      <c r="Q910" s="4"/>
      <c r="R910" s="4"/>
      <c r="S910" s="19"/>
    </row>
    <row r="911" spans="1:19" ht="17.399999999999999" x14ac:dyDescent="0.25">
      <c r="A911" s="4"/>
      <c r="B911" s="19"/>
      <c r="C911" s="4"/>
      <c r="D911" s="4"/>
      <c r="E911" s="5"/>
      <c r="F911" s="4"/>
      <c r="G911" s="4"/>
      <c r="H911" s="4"/>
      <c r="I911" s="4"/>
      <c r="J911" s="4"/>
      <c r="K911" s="4"/>
      <c r="L911" s="4"/>
      <c r="M911" s="4"/>
      <c r="N911" s="4"/>
      <c r="O911" s="4"/>
      <c r="P911" s="4"/>
      <c r="Q911" s="4"/>
      <c r="R911" s="4"/>
      <c r="S911" s="19"/>
    </row>
    <row r="912" spans="1:19" ht="17.399999999999999" x14ac:dyDescent="0.25">
      <c r="A912" s="4"/>
      <c r="B912" s="19"/>
      <c r="C912" s="4"/>
      <c r="D912" s="4"/>
      <c r="E912" s="5"/>
      <c r="F912" s="4"/>
      <c r="G912" s="4"/>
      <c r="H912" s="4"/>
      <c r="I912" s="4"/>
      <c r="J912" s="4"/>
      <c r="K912" s="4"/>
      <c r="L912" s="4"/>
      <c r="M912" s="4"/>
      <c r="N912" s="4"/>
      <c r="O912" s="4"/>
      <c r="P912" s="4"/>
      <c r="Q912" s="4"/>
      <c r="R912" s="4"/>
      <c r="S912" s="19"/>
    </row>
    <row r="913" spans="1:19" ht="17.399999999999999" x14ac:dyDescent="0.25">
      <c r="A913" s="4"/>
      <c r="B913" s="19"/>
      <c r="C913" s="4"/>
      <c r="D913" s="4"/>
      <c r="E913" s="5"/>
      <c r="F913" s="4"/>
      <c r="G913" s="4"/>
      <c r="H913" s="4"/>
      <c r="I913" s="4"/>
      <c r="J913" s="4"/>
      <c r="K913" s="4"/>
      <c r="L913" s="4"/>
      <c r="M913" s="4"/>
      <c r="N913" s="4"/>
      <c r="O913" s="4"/>
      <c r="P913" s="4"/>
      <c r="Q913" s="4"/>
      <c r="R913" s="4"/>
      <c r="S913" s="19"/>
    </row>
    <row r="914" spans="1:19" ht="17.399999999999999" x14ac:dyDescent="0.25">
      <c r="A914" s="4"/>
      <c r="B914" s="19"/>
      <c r="C914" s="4"/>
      <c r="D914" s="4"/>
      <c r="E914" s="5"/>
      <c r="F914" s="4"/>
      <c r="G914" s="4"/>
      <c r="H914" s="4"/>
      <c r="I914" s="4"/>
      <c r="J914" s="4"/>
      <c r="K914" s="4"/>
      <c r="L914" s="4"/>
      <c r="M914" s="4"/>
      <c r="N914" s="4"/>
      <c r="O914" s="4"/>
      <c r="P914" s="4"/>
      <c r="Q914" s="4"/>
      <c r="R914" s="4"/>
      <c r="S914" s="19"/>
    </row>
    <row r="915" spans="1:19" ht="17.399999999999999" x14ac:dyDescent="0.25">
      <c r="A915" s="4"/>
      <c r="B915" s="19"/>
      <c r="C915" s="4"/>
      <c r="D915" s="4"/>
      <c r="E915" s="5"/>
      <c r="F915" s="4"/>
      <c r="G915" s="4"/>
      <c r="H915" s="4"/>
      <c r="I915" s="4"/>
      <c r="J915" s="4"/>
      <c r="K915" s="4"/>
      <c r="L915" s="4"/>
      <c r="M915" s="4"/>
      <c r="N915" s="4"/>
      <c r="O915" s="4"/>
      <c r="P915" s="4"/>
      <c r="Q915" s="4"/>
      <c r="R915" s="4"/>
      <c r="S915" s="19"/>
    </row>
    <row r="916" spans="1:19" ht="17.399999999999999" x14ac:dyDescent="0.25">
      <c r="A916" s="4"/>
      <c r="B916" s="19"/>
      <c r="C916" s="4"/>
      <c r="D916" s="4"/>
      <c r="E916" s="5"/>
      <c r="F916" s="4"/>
      <c r="G916" s="4"/>
      <c r="H916" s="4"/>
      <c r="I916" s="4"/>
      <c r="J916" s="4"/>
      <c r="K916" s="4"/>
      <c r="L916" s="4"/>
      <c r="M916" s="4"/>
      <c r="N916" s="4"/>
      <c r="O916" s="4"/>
      <c r="P916" s="4"/>
      <c r="Q916" s="4"/>
      <c r="R916" s="4"/>
      <c r="S916" s="19"/>
    </row>
    <row r="917" spans="1:19" ht="17.399999999999999" x14ac:dyDescent="0.25">
      <c r="A917" s="4"/>
      <c r="B917" s="19"/>
      <c r="C917" s="4"/>
      <c r="D917" s="4"/>
      <c r="E917" s="5"/>
      <c r="F917" s="4"/>
      <c r="G917" s="4"/>
      <c r="H917" s="4"/>
      <c r="I917" s="4"/>
      <c r="J917" s="4"/>
      <c r="K917" s="4"/>
      <c r="L917" s="4"/>
      <c r="M917" s="4"/>
      <c r="N917" s="4"/>
      <c r="O917" s="4"/>
      <c r="P917" s="4"/>
      <c r="Q917" s="4"/>
      <c r="R917" s="4"/>
      <c r="S917" s="19"/>
    </row>
    <row r="918" spans="1:19" ht="17.399999999999999" x14ac:dyDescent="0.25">
      <c r="A918" s="4"/>
      <c r="B918" s="19"/>
      <c r="C918" s="4"/>
      <c r="D918" s="4"/>
      <c r="E918" s="5"/>
      <c r="F918" s="4"/>
      <c r="G918" s="4"/>
      <c r="H918" s="4"/>
      <c r="I918" s="4"/>
      <c r="J918" s="4"/>
      <c r="K918" s="4"/>
      <c r="L918" s="4"/>
      <c r="M918" s="4"/>
      <c r="N918" s="4"/>
      <c r="O918" s="4"/>
      <c r="P918" s="4"/>
      <c r="Q918" s="4"/>
      <c r="R918" s="4"/>
      <c r="S918" s="19"/>
    </row>
    <row r="919" spans="1:19" ht="17.399999999999999" x14ac:dyDescent="0.25">
      <c r="A919" s="4"/>
      <c r="B919" s="19"/>
      <c r="C919" s="4"/>
      <c r="D919" s="4"/>
      <c r="E919" s="5"/>
      <c r="F919" s="4"/>
      <c r="G919" s="4"/>
      <c r="H919" s="4"/>
      <c r="I919" s="4"/>
      <c r="J919" s="4"/>
      <c r="K919" s="4"/>
      <c r="L919" s="4"/>
      <c r="M919" s="4"/>
      <c r="N919" s="4"/>
      <c r="O919" s="4"/>
      <c r="P919" s="4"/>
      <c r="Q919" s="4"/>
      <c r="R919" s="4"/>
      <c r="S919" s="19"/>
    </row>
    <row r="920" spans="1:19" ht="17.399999999999999" x14ac:dyDescent="0.25">
      <c r="A920" s="4"/>
      <c r="B920" s="19"/>
      <c r="C920" s="4"/>
      <c r="D920" s="4"/>
      <c r="E920" s="5"/>
      <c r="F920" s="4"/>
      <c r="G920" s="4"/>
      <c r="H920" s="4"/>
      <c r="I920" s="4"/>
      <c r="J920" s="4"/>
      <c r="K920" s="4"/>
      <c r="L920" s="4"/>
      <c r="M920" s="4"/>
      <c r="N920" s="4"/>
      <c r="O920" s="4"/>
      <c r="P920" s="4"/>
      <c r="Q920" s="4"/>
      <c r="R920" s="4"/>
      <c r="S920" s="19"/>
    </row>
    <row r="921" spans="1:19" ht="17.399999999999999" x14ac:dyDescent="0.25">
      <c r="A921" s="4"/>
      <c r="B921" s="19"/>
      <c r="C921" s="4"/>
      <c r="D921" s="4"/>
      <c r="E921" s="5"/>
      <c r="F921" s="4"/>
      <c r="G921" s="4"/>
      <c r="H921" s="4"/>
      <c r="I921" s="4"/>
      <c r="J921" s="4"/>
      <c r="K921" s="4"/>
      <c r="L921" s="4"/>
      <c r="M921" s="4"/>
      <c r="N921" s="4"/>
      <c r="O921" s="4"/>
      <c r="P921" s="4"/>
      <c r="Q921" s="4"/>
      <c r="R921" s="4"/>
      <c r="S921" s="19"/>
    </row>
    <row r="922" spans="1:19" ht="17.399999999999999" x14ac:dyDescent="0.25">
      <c r="A922" s="4"/>
      <c r="B922" s="19"/>
      <c r="C922" s="4"/>
      <c r="D922" s="4"/>
      <c r="E922" s="5"/>
      <c r="F922" s="4"/>
      <c r="G922" s="4"/>
      <c r="H922" s="4"/>
      <c r="I922" s="4"/>
      <c r="J922" s="4"/>
      <c r="K922" s="4"/>
      <c r="L922" s="4"/>
      <c r="M922" s="4"/>
      <c r="N922" s="4"/>
      <c r="O922" s="4"/>
      <c r="P922" s="4"/>
      <c r="Q922" s="4"/>
      <c r="R922" s="4"/>
      <c r="S922" s="19"/>
    </row>
    <row r="923" spans="1:19" ht="17.399999999999999" x14ac:dyDescent="0.25">
      <c r="A923" s="4"/>
      <c r="B923" s="19"/>
      <c r="C923" s="4"/>
      <c r="D923" s="4"/>
      <c r="E923" s="5"/>
      <c r="F923" s="4"/>
      <c r="G923" s="4"/>
      <c r="H923" s="4"/>
      <c r="I923" s="4"/>
      <c r="J923" s="4"/>
      <c r="K923" s="4"/>
      <c r="L923" s="4"/>
      <c r="M923" s="4"/>
      <c r="N923" s="4"/>
      <c r="O923" s="4"/>
      <c r="P923" s="4"/>
      <c r="Q923" s="4"/>
      <c r="R923" s="4"/>
      <c r="S923" s="19"/>
    </row>
    <row r="924" spans="1:19" ht="17.399999999999999" x14ac:dyDescent="0.25">
      <c r="A924" s="4"/>
      <c r="B924" s="19"/>
      <c r="C924" s="4"/>
      <c r="D924" s="4"/>
      <c r="E924" s="5"/>
      <c r="F924" s="4"/>
      <c r="G924" s="4"/>
      <c r="H924" s="4"/>
      <c r="I924" s="4"/>
      <c r="J924" s="4"/>
      <c r="K924" s="4"/>
      <c r="L924" s="4"/>
      <c r="M924" s="4"/>
      <c r="N924" s="4"/>
      <c r="O924" s="4"/>
      <c r="P924" s="4"/>
      <c r="Q924" s="4"/>
      <c r="R924" s="4"/>
      <c r="S924" s="19"/>
    </row>
    <row r="925" spans="1:19" ht="17.399999999999999" x14ac:dyDescent="0.25">
      <c r="A925" s="4"/>
      <c r="B925" s="19"/>
      <c r="C925" s="4"/>
      <c r="D925" s="4"/>
      <c r="E925" s="5"/>
      <c r="F925" s="4"/>
      <c r="G925" s="4"/>
      <c r="H925" s="4"/>
      <c r="I925" s="4"/>
      <c r="J925" s="4"/>
      <c r="K925" s="4"/>
      <c r="L925" s="4"/>
      <c r="M925" s="4"/>
      <c r="N925" s="4"/>
      <c r="O925" s="4"/>
      <c r="P925" s="4"/>
      <c r="Q925" s="4"/>
      <c r="R925" s="4"/>
      <c r="S925" s="19"/>
    </row>
    <row r="926" spans="1:19" ht="17.399999999999999" x14ac:dyDescent="0.25">
      <c r="A926" s="4"/>
      <c r="B926" s="19"/>
      <c r="C926" s="4"/>
      <c r="D926" s="4"/>
      <c r="E926" s="5"/>
      <c r="F926" s="4"/>
      <c r="G926" s="4"/>
      <c r="H926" s="4"/>
      <c r="I926" s="4"/>
      <c r="J926" s="4"/>
      <c r="K926" s="4"/>
      <c r="L926" s="4"/>
      <c r="M926" s="4"/>
      <c r="N926" s="4"/>
      <c r="O926" s="4"/>
      <c r="P926" s="4"/>
      <c r="Q926" s="4"/>
      <c r="R926" s="4"/>
      <c r="S926" s="19"/>
    </row>
    <row r="927" spans="1:19" ht="17.399999999999999" x14ac:dyDescent="0.25">
      <c r="A927" s="4"/>
      <c r="B927" s="19"/>
      <c r="C927" s="4"/>
      <c r="D927" s="4"/>
      <c r="E927" s="5"/>
      <c r="F927" s="4"/>
      <c r="G927" s="4"/>
      <c r="H927" s="4"/>
      <c r="I927" s="4"/>
      <c r="J927" s="4"/>
      <c r="K927" s="4"/>
      <c r="L927" s="4"/>
      <c r="M927" s="4"/>
      <c r="N927" s="4"/>
      <c r="O927" s="4"/>
      <c r="P927" s="4"/>
      <c r="Q927" s="4"/>
      <c r="R927" s="4"/>
      <c r="S927" s="19"/>
    </row>
    <row r="928" spans="1:19" ht="17.399999999999999" x14ac:dyDescent="0.25">
      <c r="A928" s="4"/>
      <c r="B928" s="19"/>
      <c r="C928" s="4"/>
      <c r="D928" s="4"/>
      <c r="E928" s="5"/>
      <c r="F928" s="4"/>
      <c r="G928" s="4"/>
      <c r="H928" s="4"/>
      <c r="I928" s="4"/>
      <c r="J928" s="4"/>
      <c r="K928" s="4"/>
      <c r="L928" s="4"/>
      <c r="M928" s="4"/>
      <c r="N928" s="4"/>
      <c r="O928" s="4"/>
      <c r="P928" s="4"/>
      <c r="Q928" s="4"/>
      <c r="R928" s="4"/>
      <c r="S928" s="19"/>
    </row>
    <row r="929" spans="1:19" ht="17.399999999999999" x14ac:dyDescent="0.25">
      <c r="A929" s="4"/>
      <c r="B929" s="19"/>
      <c r="C929" s="4"/>
      <c r="D929" s="4"/>
      <c r="E929" s="5"/>
      <c r="F929" s="4"/>
      <c r="G929" s="4"/>
      <c r="H929" s="4"/>
      <c r="I929" s="4"/>
      <c r="J929" s="4"/>
      <c r="K929" s="4"/>
      <c r="L929" s="4"/>
      <c r="M929" s="4"/>
      <c r="N929" s="4"/>
      <c r="O929" s="4"/>
      <c r="P929" s="4"/>
      <c r="Q929" s="4"/>
      <c r="R929" s="4"/>
      <c r="S929" s="19"/>
    </row>
    <row r="930" spans="1:19" ht="17.399999999999999" x14ac:dyDescent="0.25">
      <c r="A930" s="4"/>
      <c r="B930" s="19"/>
      <c r="C930" s="4"/>
      <c r="D930" s="4"/>
      <c r="E930" s="5"/>
      <c r="F930" s="4"/>
      <c r="G930" s="4"/>
      <c r="H930" s="4"/>
      <c r="I930" s="4"/>
      <c r="J930" s="4"/>
      <c r="K930" s="4"/>
      <c r="L930" s="4"/>
      <c r="M930" s="4"/>
      <c r="N930" s="4"/>
      <c r="O930" s="4"/>
      <c r="P930" s="4"/>
      <c r="Q930" s="4"/>
      <c r="R930" s="4"/>
      <c r="S930" s="19"/>
    </row>
    <row r="931" spans="1:19" ht="17.399999999999999" x14ac:dyDescent="0.25">
      <c r="A931" s="4"/>
      <c r="B931" s="19"/>
      <c r="C931" s="4"/>
      <c r="D931" s="4"/>
      <c r="E931" s="5"/>
      <c r="F931" s="4"/>
      <c r="G931" s="4"/>
      <c r="H931" s="4"/>
      <c r="I931" s="4"/>
      <c r="J931" s="4"/>
      <c r="K931" s="4"/>
      <c r="L931" s="4"/>
      <c r="M931" s="4"/>
      <c r="N931" s="4"/>
      <c r="O931" s="4"/>
      <c r="P931" s="4"/>
      <c r="Q931" s="4"/>
      <c r="R931" s="4"/>
      <c r="S931" s="19"/>
    </row>
    <row r="932" spans="1:19" ht="17.399999999999999" x14ac:dyDescent="0.25">
      <c r="A932" s="4"/>
      <c r="B932" s="19"/>
      <c r="C932" s="4"/>
      <c r="D932" s="4"/>
      <c r="E932" s="5"/>
      <c r="F932" s="4"/>
      <c r="G932" s="4"/>
      <c r="H932" s="4"/>
      <c r="I932" s="4"/>
      <c r="J932" s="4"/>
      <c r="K932" s="4"/>
      <c r="L932" s="4"/>
      <c r="M932" s="4"/>
      <c r="N932" s="4"/>
      <c r="O932" s="4"/>
      <c r="P932" s="4"/>
      <c r="Q932" s="4"/>
      <c r="R932" s="4"/>
      <c r="S932" s="19"/>
    </row>
    <row r="933" spans="1:19" ht="17.399999999999999" x14ac:dyDescent="0.25">
      <c r="A933" s="4"/>
      <c r="B933" s="19"/>
      <c r="C933" s="4"/>
      <c r="D933" s="4"/>
      <c r="E933" s="5"/>
      <c r="F933" s="4"/>
      <c r="G933" s="4"/>
      <c r="H933" s="4"/>
      <c r="I933" s="4"/>
      <c r="J933" s="4"/>
      <c r="K933" s="4"/>
      <c r="L933" s="4"/>
      <c r="M933" s="4"/>
      <c r="N933" s="4"/>
      <c r="O933" s="4"/>
      <c r="P933" s="4"/>
      <c r="Q933" s="4"/>
      <c r="R933" s="4"/>
      <c r="S933" s="19"/>
    </row>
    <row r="934" spans="1:19" ht="17.399999999999999" x14ac:dyDescent="0.25">
      <c r="A934" s="4"/>
      <c r="B934" s="19"/>
      <c r="C934" s="4"/>
      <c r="D934" s="4"/>
      <c r="E934" s="5"/>
      <c r="F934" s="4"/>
      <c r="G934" s="4"/>
      <c r="H934" s="4"/>
      <c r="I934" s="4"/>
      <c r="J934" s="4"/>
      <c r="K934" s="4"/>
      <c r="L934" s="4"/>
      <c r="M934" s="4"/>
      <c r="N934" s="4"/>
      <c r="O934" s="4"/>
      <c r="P934" s="4"/>
      <c r="Q934" s="4"/>
      <c r="R934" s="4"/>
      <c r="S934" s="19"/>
    </row>
    <row r="935" spans="1:19" ht="17.399999999999999" x14ac:dyDescent="0.25">
      <c r="A935" s="4"/>
      <c r="B935" s="19"/>
      <c r="C935" s="4"/>
      <c r="D935" s="4"/>
      <c r="E935" s="5"/>
      <c r="F935" s="4"/>
      <c r="G935" s="4"/>
      <c r="H935" s="4"/>
      <c r="I935" s="4"/>
      <c r="J935" s="4"/>
      <c r="K935" s="4"/>
      <c r="L935" s="4"/>
      <c r="M935" s="4"/>
      <c r="N935" s="4"/>
      <c r="O935" s="4"/>
      <c r="P935" s="4"/>
      <c r="Q935" s="4"/>
      <c r="R935" s="4"/>
      <c r="S935" s="19"/>
    </row>
    <row r="936" spans="1:19" ht="17.399999999999999" x14ac:dyDescent="0.25">
      <c r="A936" s="4"/>
      <c r="B936" s="19"/>
      <c r="C936" s="4"/>
      <c r="D936" s="4"/>
      <c r="E936" s="5"/>
      <c r="F936" s="4"/>
      <c r="G936" s="4"/>
      <c r="H936" s="4"/>
      <c r="I936" s="4"/>
      <c r="J936" s="4"/>
      <c r="K936" s="4"/>
      <c r="L936" s="4"/>
      <c r="M936" s="4"/>
      <c r="N936" s="4"/>
      <c r="O936" s="4"/>
      <c r="P936" s="4"/>
      <c r="Q936" s="4"/>
      <c r="R936" s="4"/>
      <c r="S936" s="19"/>
    </row>
    <row r="937" spans="1:19" ht="17.399999999999999" x14ac:dyDescent="0.25">
      <c r="A937" s="4"/>
      <c r="B937" s="19"/>
      <c r="C937" s="4"/>
      <c r="D937" s="4"/>
      <c r="E937" s="5"/>
      <c r="F937" s="4"/>
      <c r="G937" s="4"/>
      <c r="H937" s="4"/>
      <c r="I937" s="4"/>
      <c r="J937" s="4"/>
      <c r="K937" s="4"/>
      <c r="L937" s="4"/>
      <c r="M937" s="4"/>
      <c r="N937" s="4"/>
      <c r="O937" s="4"/>
      <c r="P937" s="4"/>
      <c r="Q937" s="4"/>
      <c r="R937" s="4"/>
      <c r="S937" s="19"/>
    </row>
    <row r="938" spans="1:19" ht="17.399999999999999" x14ac:dyDescent="0.25">
      <c r="A938" s="4"/>
      <c r="B938" s="19"/>
      <c r="C938" s="4"/>
      <c r="D938" s="4"/>
      <c r="E938" s="5"/>
      <c r="F938" s="4"/>
      <c r="G938" s="4"/>
      <c r="H938" s="4"/>
      <c r="I938" s="4"/>
      <c r="J938" s="4"/>
      <c r="K938" s="4"/>
      <c r="L938" s="4"/>
      <c r="M938" s="4"/>
      <c r="N938" s="4"/>
      <c r="O938" s="4"/>
      <c r="P938" s="4"/>
      <c r="Q938" s="4"/>
      <c r="R938" s="4"/>
      <c r="S938" s="19"/>
    </row>
    <row r="939" spans="1:19" ht="17.399999999999999" x14ac:dyDescent="0.25">
      <c r="A939" s="4"/>
      <c r="B939" s="19"/>
      <c r="C939" s="4"/>
      <c r="D939" s="4"/>
      <c r="E939" s="5"/>
      <c r="F939" s="4"/>
      <c r="G939" s="4"/>
      <c r="H939" s="4"/>
      <c r="I939" s="4"/>
      <c r="J939" s="4"/>
      <c r="K939" s="4"/>
      <c r="L939" s="4"/>
      <c r="M939" s="4"/>
      <c r="N939" s="4"/>
      <c r="O939" s="4"/>
      <c r="P939" s="4"/>
      <c r="Q939" s="4"/>
      <c r="R939" s="4"/>
      <c r="S939" s="19"/>
    </row>
    <row r="940" spans="1:19" ht="17.399999999999999" x14ac:dyDescent="0.25">
      <c r="A940" s="4"/>
      <c r="B940" s="19"/>
      <c r="C940" s="4"/>
      <c r="D940" s="4"/>
      <c r="E940" s="5"/>
      <c r="F940" s="4"/>
      <c r="G940" s="4"/>
      <c r="H940" s="4"/>
      <c r="I940" s="4"/>
      <c r="J940" s="4"/>
      <c r="K940" s="4"/>
      <c r="L940" s="4"/>
      <c r="M940" s="4"/>
      <c r="N940" s="4"/>
      <c r="O940" s="4"/>
      <c r="P940" s="4"/>
      <c r="Q940" s="4"/>
      <c r="R940" s="4"/>
      <c r="S940" s="19"/>
    </row>
    <row r="941" spans="1:19" ht="17.399999999999999" x14ac:dyDescent="0.25">
      <c r="A941" s="4"/>
      <c r="B941" s="19"/>
      <c r="C941" s="4"/>
      <c r="D941" s="4"/>
      <c r="E941" s="5"/>
      <c r="F941" s="4"/>
      <c r="G941" s="4"/>
      <c r="H941" s="4"/>
      <c r="I941" s="4"/>
      <c r="J941" s="4"/>
      <c r="K941" s="4"/>
      <c r="L941" s="4"/>
      <c r="M941" s="4"/>
      <c r="N941" s="4"/>
      <c r="O941" s="4"/>
      <c r="P941" s="4"/>
      <c r="Q941" s="4"/>
      <c r="R941" s="4"/>
      <c r="S941" s="19"/>
    </row>
    <row r="942" spans="1:19" ht="17.399999999999999" x14ac:dyDescent="0.25">
      <c r="A942" s="4"/>
      <c r="B942" s="19"/>
      <c r="C942" s="4"/>
      <c r="D942" s="4"/>
      <c r="E942" s="5"/>
      <c r="F942" s="4"/>
      <c r="G942" s="4"/>
      <c r="H942" s="4"/>
      <c r="I942" s="4"/>
      <c r="J942" s="4"/>
      <c r="K942" s="4"/>
      <c r="L942" s="4"/>
      <c r="M942" s="4"/>
      <c r="N942" s="4"/>
      <c r="O942" s="4"/>
      <c r="P942" s="4"/>
      <c r="Q942" s="4"/>
      <c r="R942" s="4"/>
      <c r="S942" s="19"/>
    </row>
    <row r="943" spans="1:19" ht="17.399999999999999" x14ac:dyDescent="0.25">
      <c r="A943" s="4"/>
      <c r="B943" s="19"/>
      <c r="C943" s="4"/>
      <c r="D943" s="4"/>
      <c r="E943" s="5"/>
      <c r="F943" s="4"/>
      <c r="G943" s="4"/>
      <c r="H943" s="4"/>
      <c r="I943" s="4"/>
      <c r="J943" s="4"/>
      <c r="K943" s="4"/>
      <c r="L943" s="4"/>
      <c r="M943" s="4"/>
      <c r="N943" s="4"/>
      <c r="O943" s="4"/>
      <c r="P943" s="4"/>
      <c r="Q943" s="4"/>
      <c r="R943" s="4"/>
      <c r="S943" s="19"/>
    </row>
    <row r="944" spans="1:19" ht="17.399999999999999" x14ac:dyDescent="0.25">
      <c r="A944" s="4"/>
      <c r="B944" s="19"/>
      <c r="C944" s="4"/>
      <c r="D944" s="4"/>
      <c r="E944" s="5"/>
      <c r="F944" s="4"/>
      <c r="G944" s="4"/>
      <c r="H944" s="4"/>
      <c r="I944" s="4"/>
      <c r="J944" s="4"/>
      <c r="K944" s="4"/>
      <c r="L944" s="4"/>
      <c r="M944" s="4"/>
      <c r="N944" s="4"/>
      <c r="O944" s="4"/>
      <c r="P944" s="4"/>
      <c r="Q944" s="4"/>
      <c r="R944" s="4"/>
      <c r="S944" s="19"/>
    </row>
    <row r="945" spans="1:19" ht="17.399999999999999" x14ac:dyDescent="0.25">
      <c r="A945" s="4"/>
      <c r="B945" s="19"/>
      <c r="C945" s="4"/>
      <c r="D945" s="4"/>
      <c r="E945" s="5"/>
      <c r="F945" s="4"/>
      <c r="G945" s="4"/>
      <c r="H945" s="4"/>
      <c r="I945" s="4"/>
      <c r="J945" s="4"/>
      <c r="K945" s="4"/>
      <c r="L945" s="4"/>
      <c r="M945" s="4"/>
      <c r="N945" s="4"/>
      <c r="O945" s="4"/>
      <c r="P945" s="4"/>
      <c r="Q945" s="4"/>
      <c r="R945" s="4"/>
      <c r="S945" s="19"/>
    </row>
    <row r="946" spans="1:19" ht="17.399999999999999" x14ac:dyDescent="0.25">
      <c r="A946" s="4"/>
      <c r="B946" s="19"/>
      <c r="C946" s="4"/>
      <c r="D946" s="4"/>
      <c r="E946" s="5"/>
      <c r="F946" s="4"/>
      <c r="G946" s="4"/>
      <c r="H946" s="4"/>
      <c r="I946" s="4"/>
      <c r="J946" s="4"/>
      <c r="K946" s="4"/>
      <c r="L946" s="4"/>
      <c r="M946" s="4"/>
      <c r="N946" s="4"/>
      <c r="O946" s="4"/>
      <c r="P946" s="4"/>
      <c r="Q946" s="4"/>
      <c r="R946" s="4"/>
      <c r="S946" s="19"/>
    </row>
    <row r="947" spans="1:19" ht="17.399999999999999" x14ac:dyDescent="0.25">
      <c r="A947" s="4"/>
      <c r="B947" s="19"/>
      <c r="C947" s="4"/>
      <c r="D947" s="4"/>
      <c r="E947" s="5"/>
      <c r="F947" s="4"/>
      <c r="G947" s="4"/>
      <c r="H947" s="4"/>
      <c r="I947" s="4"/>
      <c r="J947" s="4"/>
      <c r="K947" s="4"/>
      <c r="L947" s="4"/>
      <c r="M947" s="4"/>
      <c r="N947" s="4"/>
      <c r="O947" s="4"/>
      <c r="P947" s="4"/>
      <c r="Q947" s="4"/>
      <c r="R947" s="4"/>
      <c r="S947" s="19"/>
    </row>
    <row r="948" spans="1:19" ht="17.399999999999999" x14ac:dyDescent="0.25">
      <c r="A948" s="4"/>
      <c r="B948" s="19"/>
      <c r="C948" s="4"/>
      <c r="D948" s="4"/>
      <c r="E948" s="5"/>
      <c r="F948" s="4"/>
      <c r="G948" s="4"/>
      <c r="H948" s="4"/>
      <c r="I948" s="4"/>
      <c r="J948" s="4"/>
      <c r="K948" s="4"/>
      <c r="L948" s="4"/>
      <c r="M948" s="4"/>
      <c r="N948" s="4"/>
      <c r="O948" s="4"/>
      <c r="P948" s="4"/>
      <c r="Q948" s="4"/>
      <c r="R948" s="4"/>
      <c r="S948" s="19"/>
    </row>
    <row r="949" spans="1:19" ht="17.399999999999999" x14ac:dyDescent="0.25">
      <c r="A949" s="4"/>
      <c r="B949" s="19"/>
      <c r="C949" s="4"/>
      <c r="D949" s="4"/>
      <c r="E949" s="5"/>
      <c r="F949" s="4"/>
      <c r="G949" s="4"/>
      <c r="H949" s="4"/>
      <c r="I949" s="4"/>
      <c r="J949" s="4"/>
      <c r="K949" s="4"/>
      <c r="L949" s="4"/>
      <c r="M949" s="4"/>
      <c r="N949" s="4"/>
      <c r="O949" s="4"/>
      <c r="P949" s="4"/>
      <c r="Q949" s="4"/>
      <c r="R949" s="4"/>
      <c r="S949" s="19"/>
    </row>
    <row r="950" spans="1:19" ht="17.399999999999999" x14ac:dyDescent="0.25">
      <c r="A950" s="4"/>
      <c r="B950" s="19"/>
      <c r="C950" s="4"/>
      <c r="D950" s="4"/>
      <c r="E950" s="5"/>
      <c r="F950" s="4"/>
      <c r="G950" s="4"/>
      <c r="H950" s="4"/>
      <c r="I950" s="4"/>
      <c r="J950" s="4"/>
      <c r="K950" s="4"/>
      <c r="L950" s="4"/>
      <c r="M950" s="4"/>
      <c r="N950" s="4"/>
      <c r="O950" s="4"/>
      <c r="P950" s="4"/>
      <c r="Q950" s="4"/>
      <c r="R950" s="4"/>
      <c r="S950" s="19"/>
    </row>
    <row r="951" spans="1:19" ht="17.399999999999999" x14ac:dyDescent="0.25">
      <c r="A951" s="4"/>
      <c r="B951" s="19"/>
      <c r="C951" s="4"/>
      <c r="D951" s="4"/>
      <c r="E951" s="5"/>
      <c r="F951" s="4"/>
      <c r="G951" s="4"/>
      <c r="H951" s="4"/>
      <c r="I951" s="4"/>
      <c r="J951" s="4"/>
      <c r="K951" s="4"/>
      <c r="L951" s="4"/>
      <c r="M951" s="4"/>
      <c r="N951" s="4"/>
      <c r="O951" s="4"/>
      <c r="P951" s="4"/>
      <c r="Q951" s="4"/>
      <c r="R951" s="4"/>
      <c r="S951" s="19"/>
    </row>
    <row r="952" spans="1:19" ht="17.399999999999999" x14ac:dyDescent="0.25">
      <c r="A952" s="4"/>
      <c r="B952" s="19"/>
      <c r="C952" s="4"/>
      <c r="D952" s="4"/>
      <c r="E952" s="5"/>
      <c r="F952" s="4"/>
      <c r="G952" s="4"/>
      <c r="H952" s="4"/>
      <c r="I952" s="4"/>
      <c r="J952" s="4"/>
      <c r="K952" s="4"/>
      <c r="L952" s="4"/>
      <c r="M952" s="4"/>
      <c r="N952" s="4"/>
      <c r="O952" s="4"/>
      <c r="P952" s="4"/>
      <c r="Q952" s="4"/>
      <c r="R952" s="4"/>
      <c r="S952" s="19"/>
    </row>
    <row r="953" spans="1:19" ht="17.399999999999999" x14ac:dyDescent="0.25">
      <c r="A953" s="4"/>
      <c r="B953" s="19"/>
      <c r="C953" s="4"/>
      <c r="D953" s="4"/>
      <c r="E953" s="5"/>
      <c r="F953" s="4"/>
      <c r="G953" s="4"/>
      <c r="H953" s="4"/>
      <c r="I953" s="4"/>
      <c r="J953" s="4"/>
      <c r="K953" s="4"/>
      <c r="L953" s="4"/>
      <c r="M953" s="4"/>
      <c r="N953" s="4"/>
      <c r="O953" s="4"/>
      <c r="P953" s="4"/>
      <c r="Q953" s="4"/>
      <c r="R953" s="4"/>
      <c r="S953" s="19"/>
    </row>
    <row r="954" spans="1:19" ht="17.399999999999999" x14ac:dyDescent="0.25">
      <c r="A954" s="4"/>
      <c r="B954" s="19"/>
      <c r="C954" s="4"/>
      <c r="D954" s="4"/>
      <c r="E954" s="5"/>
      <c r="F954" s="4"/>
      <c r="G954" s="4"/>
      <c r="H954" s="4"/>
      <c r="I954" s="4"/>
      <c r="J954" s="4"/>
      <c r="K954" s="4"/>
      <c r="L954" s="4"/>
      <c r="M954" s="4"/>
      <c r="N954" s="4"/>
      <c r="O954" s="4"/>
      <c r="P954" s="4"/>
      <c r="Q954" s="4"/>
      <c r="R954" s="4"/>
      <c r="S954" s="19"/>
    </row>
    <row r="955" spans="1:19" ht="17.399999999999999" x14ac:dyDescent="0.25">
      <c r="A955" s="4"/>
      <c r="B955" s="19"/>
      <c r="C955" s="4"/>
      <c r="D955" s="4"/>
      <c r="E955" s="5"/>
      <c r="F955" s="4"/>
      <c r="G955" s="4"/>
      <c r="H955" s="4"/>
      <c r="I955" s="4"/>
      <c r="J955" s="4"/>
      <c r="K955" s="4"/>
      <c r="L955" s="4"/>
      <c r="M955" s="4"/>
      <c r="N955" s="4"/>
      <c r="O955" s="4"/>
      <c r="P955" s="4"/>
      <c r="Q955" s="4"/>
      <c r="R955" s="4"/>
      <c r="S955" s="19"/>
    </row>
    <row r="956" spans="1:19" ht="17.399999999999999" x14ac:dyDescent="0.25">
      <c r="A956" s="4"/>
      <c r="B956" s="19"/>
      <c r="C956" s="4"/>
      <c r="D956" s="4"/>
      <c r="E956" s="5"/>
      <c r="F956" s="4"/>
      <c r="G956" s="4"/>
      <c r="H956" s="4"/>
      <c r="I956" s="4"/>
      <c r="J956" s="4"/>
      <c r="K956" s="4"/>
      <c r="L956" s="4"/>
      <c r="M956" s="4"/>
      <c r="N956" s="4"/>
      <c r="O956" s="4"/>
      <c r="P956" s="4"/>
      <c r="Q956" s="4"/>
      <c r="R956" s="4"/>
      <c r="S956" s="19"/>
    </row>
    <row r="957" spans="1:19" ht="17.399999999999999" x14ac:dyDescent="0.25">
      <c r="A957" s="4"/>
      <c r="B957" s="19"/>
      <c r="C957" s="4"/>
      <c r="D957" s="4"/>
      <c r="E957" s="5"/>
      <c r="F957" s="4"/>
      <c r="G957" s="4"/>
      <c r="H957" s="4"/>
      <c r="I957" s="4"/>
      <c r="J957" s="4"/>
      <c r="K957" s="4"/>
      <c r="L957" s="4"/>
      <c r="M957" s="4"/>
      <c r="N957" s="4"/>
      <c r="O957" s="4"/>
      <c r="P957" s="4"/>
      <c r="Q957" s="4"/>
      <c r="R957" s="4"/>
      <c r="S957" s="19"/>
    </row>
    <row r="958" spans="1:19" ht="17.399999999999999" x14ac:dyDescent="0.25">
      <c r="A958" s="4"/>
      <c r="B958" s="19"/>
      <c r="C958" s="4"/>
      <c r="D958" s="4"/>
      <c r="E958" s="5"/>
      <c r="F958" s="4"/>
      <c r="G958" s="4"/>
      <c r="H958" s="4"/>
      <c r="I958" s="4"/>
      <c r="J958" s="4"/>
      <c r="K958" s="4"/>
      <c r="L958" s="4"/>
      <c r="M958" s="4"/>
      <c r="N958" s="4"/>
      <c r="O958" s="4"/>
      <c r="P958" s="4"/>
      <c r="Q958" s="4"/>
      <c r="R958" s="4"/>
      <c r="S958" s="19"/>
    </row>
    <row r="959" spans="1:19" ht="17.399999999999999" x14ac:dyDescent="0.25">
      <c r="A959" s="4"/>
      <c r="B959" s="19"/>
      <c r="C959" s="4"/>
      <c r="D959" s="4"/>
      <c r="E959" s="5"/>
      <c r="F959" s="4"/>
      <c r="G959" s="4"/>
      <c r="H959" s="4"/>
      <c r="I959" s="4"/>
      <c r="J959" s="4"/>
      <c r="K959" s="4"/>
      <c r="L959" s="4"/>
      <c r="M959" s="4"/>
      <c r="N959" s="4"/>
      <c r="O959" s="4"/>
      <c r="P959" s="4"/>
      <c r="Q959" s="4"/>
      <c r="R959" s="4"/>
      <c r="S959" s="19"/>
    </row>
    <row r="960" spans="1:19" ht="17.399999999999999" x14ac:dyDescent="0.25">
      <c r="A960" s="4"/>
      <c r="B960" s="19"/>
      <c r="C960" s="4"/>
      <c r="D960" s="4"/>
      <c r="E960" s="5"/>
      <c r="F960" s="4"/>
      <c r="G960" s="4"/>
      <c r="H960" s="4"/>
      <c r="I960" s="4"/>
      <c r="J960" s="4"/>
      <c r="K960" s="4"/>
      <c r="L960" s="4"/>
      <c r="M960" s="4"/>
      <c r="N960" s="4"/>
      <c r="O960" s="4"/>
      <c r="P960" s="4"/>
      <c r="Q960" s="4"/>
      <c r="R960" s="4"/>
      <c r="S960" s="19"/>
    </row>
    <row r="961" spans="1:19" ht="17.399999999999999" x14ac:dyDescent="0.25">
      <c r="A961" s="4"/>
      <c r="B961" s="19"/>
      <c r="C961" s="4"/>
      <c r="D961" s="4"/>
      <c r="E961" s="5"/>
      <c r="F961" s="4"/>
      <c r="G961" s="4"/>
      <c r="H961" s="4"/>
      <c r="I961" s="4"/>
      <c r="J961" s="4"/>
      <c r="K961" s="4"/>
      <c r="L961" s="4"/>
      <c r="M961" s="4"/>
      <c r="N961" s="4"/>
      <c r="O961" s="4"/>
      <c r="P961" s="4"/>
      <c r="Q961" s="4"/>
      <c r="R961" s="4"/>
      <c r="S961" s="19"/>
    </row>
    <row r="962" spans="1:19" ht="17.399999999999999" x14ac:dyDescent="0.25">
      <c r="A962" s="4"/>
      <c r="B962" s="19"/>
      <c r="C962" s="4"/>
      <c r="D962" s="4"/>
      <c r="E962" s="5"/>
      <c r="F962" s="4"/>
      <c r="G962" s="4"/>
      <c r="H962" s="4"/>
      <c r="I962" s="4"/>
      <c r="J962" s="4"/>
      <c r="K962" s="4"/>
      <c r="L962" s="4"/>
      <c r="M962" s="4"/>
      <c r="N962" s="4"/>
      <c r="O962" s="4"/>
      <c r="P962" s="4"/>
      <c r="Q962" s="4"/>
      <c r="R962" s="4"/>
      <c r="S962" s="19"/>
    </row>
    <row r="963" spans="1:19" ht="17.399999999999999" x14ac:dyDescent="0.25">
      <c r="A963" s="4"/>
      <c r="B963" s="19"/>
      <c r="C963" s="4"/>
      <c r="D963" s="4"/>
      <c r="E963" s="5"/>
      <c r="F963" s="4"/>
      <c r="G963" s="4"/>
      <c r="H963" s="4"/>
      <c r="I963" s="4"/>
      <c r="J963" s="4"/>
      <c r="K963" s="4"/>
      <c r="L963" s="4"/>
      <c r="M963" s="4"/>
      <c r="N963" s="4"/>
      <c r="O963" s="4"/>
      <c r="P963" s="4"/>
      <c r="Q963" s="4"/>
      <c r="R963" s="4"/>
      <c r="S963" s="19"/>
    </row>
    <row r="964" spans="1:19" ht="17.399999999999999" x14ac:dyDescent="0.25">
      <c r="A964" s="4"/>
      <c r="B964" s="19"/>
      <c r="C964" s="4"/>
      <c r="D964" s="4"/>
      <c r="E964" s="5"/>
      <c r="F964" s="4"/>
      <c r="G964" s="4"/>
      <c r="H964" s="4"/>
      <c r="I964" s="4"/>
      <c r="J964" s="4"/>
      <c r="K964" s="4"/>
      <c r="L964" s="4"/>
      <c r="M964" s="4"/>
      <c r="N964" s="4"/>
      <c r="O964" s="4"/>
      <c r="P964" s="4"/>
      <c r="Q964" s="4"/>
      <c r="R964" s="4"/>
      <c r="S964" s="19"/>
    </row>
    <row r="965" spans="1:19" ht="17.399999999999999" x14ac:dyDescent="0.25">
      <c r="A965" s="4"/>
      <c r="B965" s="19"/>
      <c r="C965" s="4"/>
      <c r="D965" s="4"/>
      <c r="E965" s="5"/>
      <c r="F965" s="4"/>
      <c r="G965" s="4"/>
      <c r="H965" s="4"/>
      <c r="I965" s="4"/>
      <c r="J965" s="4"/>
      <c r="K965" s="4"/>
      <c r="L965" s="4"/>
      <c r="M965" s="4"/>
      <c r="N965" s="4"/>
      <c r="O965" s="4"/>
      <c r="P965" s="4"/>
      <c r="Q965" s="4"/>
      <c r="R965" s="4"/>
      <c r="S965" s="19"/>
    </row>
    <row r="966" spans="1:19" ht="17.399999999999999" x14ac:dyDescent="0.25">
      <c r="A966" s="4"/>
      <c r="B966" s="19"/>
      <c r="C966" s="4"/>
      <c r="D966" s="4"/>
      <c r="E966" s="5"/>
      <c r="F966" s="4"/>
      <c r="G966" s="4"/>
      <c r="H966" s="4"/>
      <c r="I966" s="4"/>
      <c r="J966" s="4"/>
      <c r="K966" s="4"/>
      <c r="L966" s="4"/>
      <c r="M966" s="4"/>
      <c r="N966" s="4"/>
      <c r="O966" s="4"/>
      <c r="P966" s="4"/>
      <c r="Q966" s="4"/>
      <c r="R966" s="4"/>
      <c r="S966" s="19"/>
    </row>
    <row r="967" spans="1:19" ht="17.399999999999999" x14ac:dyDescent="0.25">
      <c r="A967" s="4"/>
      <c r="B967" s="19"/>
      <c r="C967" s="4"/>
      <c r="D967" s="4"/>
      <c r="E967" s="5"/>
      <c r="F967" s="4"/>
      <c r="G967" s="4"/>
      <c r="H967" s="4"/>
      <c r="I967" s="4"/>
      <c r="J967" s="4"/>
      <c r="K967" s="4"/>
      <c r="L967" s="4"/>
      <c r="M967" s="4"/>
      <c r="N967" s="4"/>
      <c r="O967" s="4"/>
      <c r="P967" s="4"/>
      <c r="Q967" s="4"/>
      <c r="R967" s="4"/>
      <c r="S967" s="19"/>
    </row>
    <row r="968" spans="1:19" ht="17.399999999999999" x14ac:dyDescent="0.25">
      <c r="A968" s="4"/>
      <c r="B968" s="19"/>
      <c r="C968" s="4"/>
      <c r="D968" s="4"/>
      <c r="E968" s="5"/>
      <c r="F968" s="4"/>
      <c r="G968" s="4"/>
      <c r="H968" s="4"/>
      <c r="I968" s="4"/>
      <c r="J968" s="4"/>
      <c r="K968" s="4"/>
      <c r="L968" s="4"/>
      <c r="M968" s="4"/>
      <c r="N968" s="4"/>
      <c r="O968" s="4"/>
      <c r="P968" s="4"/>
      <c r="Q968" s="4"/>
      <c r="R968" s="4"/>
      <c r="S968" s="19"/>
    </row>
    <row r="969" spans="1:19" ht="17.399999999999999" x14ac:dyDescent="0.25">
      <c r="A969" s="4"/>
      <c r="B969" s="19"/>
      <c r="C969" s="4"/>
      <c r="D969" s="4"/>
      <c r="E969" s="5"/>
      <c r="F969" s="4"/>
      <c r="G969" s="4"/>
      <c r="H969" s="4"/>
      <c r="I969" s="4"/>
      <c r="J969" s="4"/>
      <c r="K969" s="4"/>
      <c r="L969" s="4"/>
      <c r="M969" s="4"/>
      <c r="N969" s="4"/>
      <c r="O969" s="4"/>
      <c r="P969" s="4"/>
      <c r="Q969" s="4"/>
      <c r="R969" s="4"/>
      <c r="S969" s="19"/>
    </row>
    <row r="970" spans="1:19" ht="17.399999999999999" x14ac:dyDescent="0.25">
      <c r="A970" s="4"/>
      <c r="B970" s="19"/>
      <c r="C970" s="4"/>
      <c r="D970" s="4"/>
      <c r="E970" s="5"/>
      <c r="F970" s="4"/>
      <c r="G970" s="4"/>
      <c r="H970" s="4"/>
      <c r="I970" s="4"/>
      <c r="J970" s="4"/>
      <c r="K970" s="4"/>
      <c r="L970" s="4"/>
      <c r="M970" s="4"/>
      <c r="N970" s="4"/>
      <c r="O970" s="4"/>
      <c r="P970" s="4"/>
      <c r="Q970" s="4"/>
      <c r="R970" s="4"/>
      <c r="S970" s="19"/>
    </row>
    <row r="971" spans="1:19" ht="17.399999999999999" x14ac:dyDescent="0.25">
      <c r="A971" s="4"/>
      <c r="B971" s="19"/>
      <c r="C971" s="4"/>
      <c r="D971" s="4"/>
      <c r="E971" s="5"/>
      <c r="F971" s="4"/>
      <c r="G971" s="4"/>
      <c r="H971" s="4"/>
      <c r="I971" s="4"/>
      <c r="J971" s="4"/>
      <c r="K971" s="4"/>
      <c r="L971" s="4"/>
      <c r="M971" s="4"/>
      <c r="N971" s="4"/>
      <c r="O971" s="4"/>
      <c r="P971" s="4"/>
      <c r="Q971" s="4"/>
      <c r="R971" s="4"/>
      <c r="S971" s="19"/>
    </row>
    <row r="972" spans="1:19" ht="17.399999999999999" x14ac:dyDescent="0.25">
      <c r="A972" s="4"/>
      <c r="B972" s="19"/>
      <c r="C972" s="4"/>
      <c r="D972" s="4"/>
      <c r="E972" s="5"/>
      <c r="F972" s="4"/>
      <c r="G972" s="4"/>
      <c r="H972" s="4"/>
      <c r="I972" s="4"/>
      <c r="J972" s="4"/>
      <c r="K972" s="4"/>
      <c r="L972" s="4"/>
      <c r="M972" s="4"/>
      <c r="N972" s="4"/>
      <c r="O972" s="4"/>
      <c r="P972" s="4"/>
      <c r="Q972" s="4"/>
      <c r="R972" s="4"/>
      <c r="S972" s="19"/>
    </row>
    <row r="973" spans="1:19" ht="17.399999999999999" x14ac:dyDescent="0.25">
      <c r="A973" s="4"/>
      <c r="B973" s="19"/>
      <c r="C973" s="4"/>
      <c r="D973" s="4"/>
      <c r="E973" s="5"/>
      <c r="F973" s="4"/>
      <c r="G973" s="4"/>
      <c r="H973" s="4"/>
      <c r="I973" s="4"/>
      <c r="J973" s="4"/>
      <c r="K973" s="4"/>
      <c r="L973" s="4"/>
      <c r="M973" s="4"/>
      <c r="N973" s="4"/>
      <c r="O973" s="4"/>
      <c r="P973" s="4"/>
      <c r="Q973" s="4"/>
      <c r="R973" s="4"/>
      <c r="S973" s="19"/>
    </row>
    <row r="974" spans="1:19" ht="17.399999999999999" x14ac:dyDescent="0.25">
      <c r="A974" s="4"/>
      <c r="B974" s="19"/>
      <c r="C974" s="4"/>
      <c r="D974" s="4"/>
      <c r="E974" s="5"/>
      <c r="F974" s="4"/>
      <c r="G974" s="4"/>
      <c r="H974" s="4"/>
      <c r="I974" s="4"/>
      <c r="J974" s="4"/>
      <c r="K974" s="4"/>
      <c r="L974" s="4"/>
      <c r="M974" s="4"/>
      <c r="N974" s="4"/>
      <c r="O974" s="4"/>
      <c r="P974" s="4"/>
      <c r="Q974" s="4"/>
      <c r="R974" s="4"/>
      <c r="S974" s="19"/>
    </row>
    <row r="975" spans="1:19" ht="17.399999999999999" x14ac:dyDescent="0.25">
      <c r="A975" s="4"/>
      <c r="B975" s="19"/>
      <c r="C975" s="4"/>
      <c r="D975" s="4"/>
      <c r="E975" s="5"/>
      <c r="F975" s="4"/>
      <c r="G975" s="4"/>
      <c r="H975" s="4"/>
      <c r="I975" s="4"/>
      <c r="J975" s="4"/>
      <c r="K975" s="4"/>
      <c r="L975" s="4"/>
      <c r="M975" s="4"/>
      <c r="N975" s="4"/>
      <c r="O975" s="4"/>
      <c r="P975" s="4"/>
      <c r="Q975" s="4"/>
      <c r="R975" s="4"/>
      <c r="S975" s="19"/>
    </row>
    <row r="976" spans="1:19" ht="17.399999999999999" x14ac:dyDescent="0.25">
      <c r="A976" s="4"/>
      <c r="B976" s="19"/>
      <c r="C976" s="4"/>
      <c r="D976" s="4"/>
      <c r="E976" s="5"/>
      <c r="F976" s="4"/>
      <c r="G976" s="4"/>
      <c r="H976" s="4"/>
      <c r="I976" s="4"/>
      <c r="J976" s="4"/>
      <c r="K976" s="4"/>
      <c r="L976" s="4"/>
      <c r="M976" s="4"/>
      <c r="N976" s="4"/>
      <c r="O976" s="4"/>
      <c r="P976" s="4"/>
      <c r="Q976" s="4"/>
      <c r="R976" s="4"/>
      <c r="S976" s="19"/>
    </row>
    <row r="977" spans="1:19" ht="17.399999999999999" x14ac:dyDescent="0.25">
      <c r="A977" s="4"/>
      <c r="B977" s="19"/>
      <c r="C977" s="4"/>
      <c r="D977" s="4"/>
      <c r="E977" s="5"/>
      <c r="F977" s="4"/>
      <c r="G977" s="4"/>
      <c r="H977" s="4"/>
      <c r="I977" s="4"/>
      <c r="J977" s="4"/>
      <c r="K977" s="4"/>
      <c r="L977" s="4"/>
      <c r="M977" s="4"/>
      <c r="N977" s="4"/>
      <c r="O977" s="4"/>
      <c r="P977" s="4"/>
      <c r="Q977" s="4"/>
      <c r="R977" s="4"/>
      <c r="S977" s="19"/>
    </row>
    <row r="978" spans="1:19" ht="17.399999999999999" x14ac:dyDescent="0.25">
      <c r="A978" s="4"/>
      <c r="B978" s="19"/>
      <c r="C978" s="4"/>
      <c r="D978" s="4"/>
      <c r="E978" s="5"/>
      <c r="F978" s="4"/>
      <c r="G978" s="4"/>
      <c r="H978" s="4"/>
      <c r="I978" s="4"/>
      <c r="J978" s="4"/>
      <c r="K978" s="4"/>
      <c r="L978" s="4"/>
      <c r="M978" s="4"/>
      <c r="N978" s="4"/>
      <c r="O978" s="4"/>
      <c r="P978" s="4"/>
      <c r="Q978" s="4"/>
      <c r="R978" s="4"/>
      <c r="S978" s="19"/>
    </row>
    <row r="979" spans="1:19" ht="17.399999999999999" x14ac:dyDescent="0.25">
      <c r="A979" s="4"/>
      <c r="B979" s="19"/>
      <c r="C979" s="4"/>
      <c r="D979" s="4"/>
      <c r="E979" s="5"/>
      <c r="F979" s="4"/>
      <c r="G979" s="4"/>
      <c r="H979" s="4"/>
      <c r="I979" s="4"/>
      <c r="J979" s="4"/>
      <c r="K979" s="4"/>
      <c r="L979" s="4"/>
      <c r="M979" s="4"/>
      <c r="N979" s="4"/>
      <c r="O979" s="4"/>
      <c r="P979" s="4"/>
      <c r="Q979" s="4"/>
      <c r="R979" s="4"/>
      <c r="S979" s="19"/>
    </row>
    <row r="980" spans="1:19" ht="17.399999999999999" x14ac:dyDescent="0.25">
      <c r="A980" s="4"/>
      <c r="B980" s="19"/>
      <c r="C980" s="4"/>
      <c r="D980" s="4"/>
      <c r="E980" s="5"/>
      <c r="F980" s="4"/>
      <c r="G980" s="4"/>
      <c r="H980" s="4"/>
      <c r="I980" s="4"/>
      <c r="J980" s="4"/>
      <c r="K980" s="4"/>
      <c r="L980" s="4"/>
      <c r="M980" s="4"/>
      <c r="N980" s="4"/>
      <c r="O980" s="4"/>
      <c r="P980" s="4"/>
      <c r="Q980" s="4"/>
      <c r="R980" s="4"/>
      <c r="S980" s="19"/>
    </row>
    <row r="981" spans="1:19" ht="17.399999999999999" x14ac:dyDescent="0.25">
      <c r="A981" s="4"/>
      <c r="B981" s="19"/>
      <c r="C981" s="4"/>
      <c r="D981" s="4"/>
      <c r="E981" s="5"/>
      <c r="F981" s="4"/>
      <c r="G981" s="4"/>
      <c r="H981" s="4"/>
      <c r="I981" s="4"/>
      <c r="J981" s="4"/>
      <c r="K981" s="4"/>
      <c r="L981" s="4"/>
      <c r="M981" s="4"/>
      <c r="N981" s="4"/>
      <c r="O981" s="4"/>
      <c r="P981" s="4"/>
      <c r="Q981" s="4"/>
      <c r="R981" s="4"/>
      <c r="S981" s="19"/>
    </row>
    <row r="982" spans="1:19" ht="17.399999999999999" x14ac:dyDescent="0.25">
      <c r="A982" s="4"/>
      <c r="B982" s="19"/>
      <c r="C982" s="4"/>
      <c r="D982" s="4"/>
      <c r="E982" s="5"/>
      <c r="F982" s="4"/>
      <c r="G982" s="4"/>
      <c r="H982" s="4"/>
      <c r="I982" s="4"/>
      <c r="J982" s="4"/>
      <c r="K982" s="4"/>
      <c r="L982" s="4"/>
      <c r="M982" s="4"/>
      <c r="N982" s="4"/>
      <c r="O982" s="4"/>
      <c r="P982" s="4"/>
      <c r="Q982" s="4"/>
      <c r="R982" s="4"/>
      <c r="S982" s="19"/>
    </row>
    <row r="983" spans="1:19" ht="17.399999999999999" x14ac:dyDescent="0.25">
      <c r="A983" s="4"/>
      <c r="B983" s="19"/>
      <c r="C983" s="4"/>
      <c r="D983" s="4"/>
      <c r="E983" s="5"/>
      <c r="F983" s="4"/>
      <c r="G983" s="4"/>
      <c r="H983" s="4"/>
      <c r="I983" s="4"/>
      <c r="J983" s="4"/>
      <c r="K983" s="4"/>
      <c r="L983" s="4"/>
      <c r="M983" s="4"/>
      <c r="N983" s="4"/>
      <c r="O983" s="4"/>
      <c r="P983" s="4"/>
      <c r="Q983" s="4"/>
      <c r="R983" s="4"/>
      <c r="S983" s="19"/>
    </row>
    <row r="984" spans="1:19" ht="17.399999999999999" x14ac:dyDescent="0.25">
      <c r="A984" s="4"/>
      <c r="B984" s="19"/>
      <c r="C984" s="4"/>
      <c r="D984" s="4"/>
      <c r="E984" s="5"/>
      <c r="F984" s="4"/>
      <c r="G984" s="4"/>
      <c r="H984" s="4"/>
      <c r="I984" s="4"/>
      <c r="J984" s="4"/>
      <c r="K984" s="4"/>
      <c r="L984" s="4"/>
      <c r="M984" s="4"/>
      <c r="N984" s="4"/>
      <c r="O984" s="4"/>
      <c r="P984" s="4"/>
      <c r="Q984" s="4"/>
      <c r="R984" s="4"/>
      <c r="S984" s="19"/>
    </row>
    <row r="985" spans="1:19" ht="17.399999999999999" x14ac:dyDescent="0.25">
      <c r="A985" s="4"/>
      <c r="B985" s="19"/>
      <c r="C985" s="4"/>
      <c r="D985" s="4"/>
      <c r="E985" s="5"/>
      <c r="F985" s="4"/>
      <c r="G985" s="4"/>
      <c r="H985" s="4"/>
      <c r="I985" s="4"/>
      <c r="J985" s="4"/>
      <c r="K985" s="4"/>
      <c r="L985" s="4"/>
      <c r="M985" s="4"/>
      <c r="N985" s="4"/>
      <c r="O985" s="4"/>
      <c r="P985" s="4"/>
      <c r="Q985" s="4"/>
      <c r="R985" s="4"/>
      <c r="S985" s="19"/>
    </row>
    <row r="986" spans="1:19" ht="17.399999999999999" x14ac:dyDescent="0.25">
      <c r="A986" s="4"/>
      <c r="B986" s="19"/>
      <c r="C986" s="4"/>
      <c r="D986" s="4"/>
      <c r="E986" s="5"/>
      <c r="F986" s="4"/>
      <c r="G986" s="4"/>
      <c r="H986" s="4"/>
      <c r="I986" s="4"/>
      <c r="J986" s="4"/>
      <c r="K986" s="4"/>
      <c r="L986" s="4"/>
      <c r="M986" s="4"/>
      <c r="N986" s="4"/>
      <c r="O986" s="4"/>
      <c r="P986" s="4"/>
      <c r="Q986" s="4"/>
      <c r="R986" s="4"/>
      <c r="S986" s="19"/>
    </row>
    <row r="987" spans="1:19" ht="17.399999999999999" x14ac:dyDescent="0.25">
      <c r="A987" s="4"/>
      <c r="B987" s="19"/>
      <c r="C987" s="4"/>
      <c r="D987" s="4"/>
      <c r="E987" s="5"/>
      <c r="F987" s="4"/>
      <c r="G987" s="4"/>
      <c r="H987" s="4"/>
      <c r="I987" s="4"/>
      <c r="J987" s="4"/>
      <c r="K987" s="4"/>
      <c r="L987" s="4"/>
      <c r="M987" s="4"/>
      <c r="N987" s="4"/>
      <c r="O987" s="4"/>
      <c r="P987" s="4"/>
      <c r="Q987" s="4"/>
      <c r="R987" s="4"/>
      <c r="S987" s="19"/>
    </row>
    <row r="988" spans="1:19" ht="17.399999999999999" x14ac:dyDescent="0.25">
      <c r="A988" s="4"/>
      <c r="B988" s="19"/>
      <c r="C988" s="4"/>
      <c r="D988" s="4"/>
      <c r="E988" s="5"/>
      <c r="F988" s="4"/>
      <c r="G988" s="4"/>
      <c r="H988" s="4"/>
      <c r="I988" s="4"/>
      <c r="J988" s="4"/>
      <c r="K988" s="4"/>
      <c r="L988" s="4"/>
      <c r="M988" s="4"/>
      <c r="N988" s="4"/>
      <c r="O988" s="4"/>
      <c r="P988" s="4"/>
      <c r="Q988" s="4"/>
      <c r="R988" s="4"/>
      <c r="S988" s="19"/>
    </row>
    <row r="989" spans="1:19" ht="17.399999999999999" x14ac:dyDescent="0.25">
      <c r="A989" s="4"/>
      <c r="B989" s="19"/>
      <c r="C989" s="4"/>
      <c r="D989" s="4"/>
      <c r="E989" s="5"/>
      <c r="F989" s="4"/>
      <c r="G989" s="4"/>
      <c r="H989" s="4"/>
      <c r="I989" s="4"/>
      <c r="J989" s="4"/>
      <c r="K989" s="4"/>
      <c r="L989" s="4"/>
      <c r="M989" s="4"/>
      <c r="N989" s="4"/>
      <c r="O989" s="4"/>
      <c r="P989" s="4"/>
      <c r="Q989" s="4"/>
      <c r="R989" s="4"/>
      <c r="S989" s="19"/>
    </row>
    <row r="990" spans="1:19" ht="17.399999999999999" x14ac:dyDescent="0.25">
      <c r="A990" s="4"/>
      <c r="B990" s="19"/>
      <c r="C990" s="4"/>
      <c r="D990" s="4"/>
      <c r="E990" s="5"/>
      <c r="F990" s="4"/>
      <c r="G990" s="4"/>
      <c r="H990" s="4"/>
      <c r="I990" s="4"/>
      <c r="J990" s="4"/>
      <c r="K990" s="4"/>
      <c r="L990" s="4"/>
      <c r="M990" s="4"/>
      <c r="N990" s="4"/>
      <c r="O990" s="4"/>
      <c r="P990" s="4"/>
      <c r="Q990" s="4"/>
      <c r="R990" s="4"/>
      <c r="S990" s="19"/>
    </row>
    <row r="991" spans="1:19" ht="17.399999999999999" x14ac:dyDescent="0.25">
      <c r="A991" s="4"/>
      <c r="B991" s="19"/>
      <c r="C991" s="4"/>
      <c r="D991" s="4"/>
      <c r="E991" s="5"/>
      <c r="F991" s="4"/>
      <c r="G991" s="4"/>
      <c r="H991" s="4"/>
      <c r="I991" s="4"/>
      <c r="J991" s="4"/>
      <c r="K991" s="4"/>
      <c r="L991" s="4"/>
      <c r="M991" s="4"/>
      <c r="N991" s="4"/>
      <c r="O991" s="4"/>
      <c r="P991" s="4"/>
      <c r="Q991" s="4"/>
      <c r="R991" s="4"/>
      <c r="S991" s="19"/>
    </row>
    <row r="992" spans="1:19" ht="17.399999999999999" x14ac:dyDescent="0.25">
      <c r="A992" s="4"/>
      <c r="B992" s="19"/>
      <c r="C992" s="4"/>
      <c r="D992" s="4"/>
      <c r="E992" s="5"/>
      <c r="F992" s="4"/>
      <c r="G992" s="4"/>
      <c r="H992" s="4"/>
      <c r="I992" s="4"/>
      <c r="J992" s="4"/>
      <c r="K992" s="4"/>
      <c r="L992" s="4"/>
      <c r="M992" s="4"/>
      <c r="N992" s="4"/>
      <c r="O992" s="4"/>
      <c r="P992" s="4"/>
      <c r="Q992" s="4"/>
      <c r="R992" s="4"/>
      <c r="S992" s="19"/>
    </row>
    <row r="993" spans="1:19" ht="17.399999999999999" x14ac:dyDescent="0.25">
      <c r="A993" s="4"/>
      <c r="B993" s="19"/>
      <c r="C993" s="4"/>
      <c r="D993" s="4"/>
      <c r="E993" s="5"/>
      <c r="F993" s="4"/>
      <c r="G993" s="4"/>
      <c r="H993" s="4"/>
      <c r="I993" s="4"/>
      <c r="J993" s="4"/>
      <c r="K993" s="4"/>
      <c r="L993" s="4"/>
      <c r="M993" s="4"/>
      <c r="N993" s="4"/>
      <c r="O993" s="4"/>
      <c r="P993" s="4"/>
      <c r="Q993" s="4"/>
      <c r="R993" s="4"/>
      <c r="S993" s="19"/>
    </row>
    <row r="994" spans="1:19" ht="17.399999999999999" x14ac:dyDescent="0.25">
      <c r="A994" s="4"/>
      <c r="B994" s="19"/>
      <c r="C994" s="4"/>
      <c r="D994" s="4"/>
      <c r="E994" s="5"/>
      <c r="F994" s="4"/>
      <c r="G994" s="4"/>
      <c r="H994" s="4"/>
      <c r="I994" s="4"/>
      <c r="J994" s="4"/>
      <c r="K994" s="4"/>
      <c r="L994" s="4"/>
      <c r="M994" s="4"/>
      <c r="N994" s="4"/>
      <c r="O994" s="4"/>
      <c r="P994" s="4"/>
      <c r="Q994" s="4"/>
      <c r="R994" s="4"/>
      <c r="S994" s="19"/>
    </row>
    <row r="995" spans="1:19" ht="17.399999999999999" x14ac:dyDescent="0.25">
      <c r="A995" s="4"/>
      <c r="B995" s="19"/>
      <c r="C995" s="4"/>
      <c r="D995" s="4"/>
      <c r="E995" s="5"/>
      <c r="F995" s="4"/>
      <c r="G995" s="4"/>
      <c r="H995" s="4"/>
      <c r="I995" s="4"/>
      <c r="J995" s="4"/>
      <c r="K995" s="4"/>
      <c r="L995" s="4"/>
      <c r="M995" s="4"/>
      <c r="N995" s="4"/>
      <c r="O995" s="4"/>
      <c r="P995" s="4"/>
      <c r="Q995" s="4"/>
      <c r="R995" s="4"/>
      <c r="S995" s="19"/>
    </row>
    <row r="996" spans="1:19" ht="17.399999999999999" x14ac:dyDescent="0.25">
      <c r="A996" s="4"/>
      <c r="B996" s="19"/>
      <c r="C996" s="4"/>
      <c r="D996" s="4"/>
      <c r="E996" s="5"/>
      <c r="F996" s="4"/>
      <c r="G996" s="4"/>
      <c r="H996" s="4"/>
      <c r="I996" s="4"/>
      <c r="J996" s="4"/>
      <c r="K996" s="4"/>
      <c r="L996" s="4"/>
      <c r="M996" s="4"/>
      <c r="N996" s="4"/>
      <c r="O996" s="4"/>
      <c r="P996" s="4"/>
      <c r="Q996" s="4"/>
      <c r="R996" s="4"/>
      <c r="S996" s="19"/>
    </row>
    <row r="997" spans="1:19" ht="17.399999999999999" x14ac:dyDescent="0.25">
      <c r="A997" s="4"/>
      <c r="B997" s="19"/>
      <c r="C997" s="4"/>
      <c r="D997" s="4"/>
      <c r="E997" s="5"/>
      <c r="F997" s="4"/>
      <c r="G997" s="4"/>
      <c r="H997" s="4"/>
      <c r="I997" s="4"/>
      <c r="J997" s="4"/>
      <c r="K997" s="4"/>
      <c r="L997" s="4"/>
      <c r="M997" s="4"/>
      <c r="N997" s="4"/>
      <c r="O997" s="4"/>
      <c r="P997" s="4"/>
      <c r="Q997" s="4"/>
      <c r="R997" s="4"/>
      <c r="S997" s="19"/>
    </row>
    <row r="998" spans="1:19" ht="17.399999999999999" x14ac:dyDescent="0.25">
      <c r="A998" s="4"/>
      <c r="B998" s="19"/>
      <c r="C998" s="4"/>
      <c r="D998" s="4"/>
      <c r="E998" s="5"/>
      <c r="F998" s="4"/>
      <c r="G998" s="4"/>
      <c r="H998" s="4"/>
      <c r="I998" s="4"/>
      <c r="J998" s="4"/>
      <c r="K998" s="4"/>
      <c r="L998" s="4"/>
      <c r="M998" s="4"/>
      <c r="N998" s="4"/>
      <c r="O998" s="4"/>
      <c r="P998" s="4"/>
      <c r="Q998" s="4"/>
      <c r="R998" s="4"/>
      <c r="S998" s="19"/>
    </row>
    <row r="999" spans="1:19" ht="17.399999999999999" x14ac:dyDescent="0.25">
      <c r="A999" s="4"/>
      <c r="B999" s="19"/>
      <c r="C999" s="4"/>
      <c r="D999" s="4"/>
      <c r="E999" s="5"/>
      <c r="F999" s="4"/>
      <c r="G999" s="4"/>
      <c r="H999" s="4"/>
      <c r="I999" s="4"/>
      <c r="J999" s="4"/>
      <c r="K999" s="4"/>
      <c r="L999" s="4"/>
      <c r="M999" s="4"/>
      <c r="N999" s="4"/>
      <c r="O999" s="4"/>
      <c r="P999" s="4"/>
      <c r="Q999" s="4"/>
      <c r="R999" s="4"/>
      <c r="S999" s="19"/>
    </row>
    <row r="1000" spans="1:19" ht="17.399999999999999" x14ac:dyDescent="0.25">
      <c r="A1000" s="4"/>
      <c r="B1000" s="19"/>
      <c r="C1000" s="4"/>
      <c r="D1000" s="4"/>
      <c r="E1000" s="5"/>
      <c r="F1000" s="4"/>
      <c r="G1000" s="4"/>
      <c r="H1000" s="4"/>
      <c r="I1000" s="4"/>
      <c r="J1000" s="4"/>
      <c r="K1000" s="4"/>
      <c r="L1000" s="4"/>
      <c r="M1000" s="4"/>
      <c r="N1000" s="4"/>
      <c r="O1000" s="4"/>
      <c r="P1000" s="4"/>
      <c r="Q1000" s="4"/>
      <c r="R1000" s="4"/>
      <c r="S1000" s="19"/>
    </row>
    <row r="1001" spans="1:19" ht="17.399999999999999" x14ac:dyDescent="0.25">
      <c r="A1001" s="4"/>
      <c r="B1001" s="19"/>
      <c r="C1001" s="4"/>
      <c r="D1001" s="4"/>
      <c r="E1001" s="5"/>
      <c r="F1001" s="4"/>
      <c r="G1001" s="4"/>
      <c r="H1001" s="4"/>
      <c r="I1001" s="4"/>
      <c r="J1001" s="4"/>
      <c r="K1001" s="4"/>
      <c r="L1001" s="4"/>
      <c r="M1001" s="4"/>
      <c r="N1001" s="4"/>
      <c r="O1001" s="4"/>
      <c r="P1001" s="4"/>
      <c r="Q1001" s="4"/>
      <c r="R1001" s="4"/>
      <c r="S1001" s="19"/>
    </row>
    <row r="1002" spans="1:19" ht="17.399999999999999" x14ac:dyDescent="0.25">
      <c r="A1002" s="4"/>
      <c r="B1002" s="19"/>
      <c r="C1002" s="4"/>
      <c r="D1002" s="4"/>
      <c r="E1002" s="5"/>
      <c r="F1002" s="4"/>
      <c r="G1002" s="4"/>
      <c r="H1002" s="4"/>
      <c r="I1002" s="4"/>
      <c r="J1002" s="4"/>
      <c r="K1002" s="4"/>
      <c r="L1002" s="4"/>
      <c r="M1002" s="4"/>
      <c r="N1002" s="4"/>
      <c r="O1002" s="4"/>
      <c r="P1002" s="4"/>
      <c r="Q1002" s="4"/>
      <c r="R1002" s="4"/>
      <c r="S1002" s="19"/>
    </row>
    <row r="1003" spans="1:19" ht="17.399999999999999" x14ac:dyDescent="0.25">
      <c r="A1003" s="4"/>
      <c r="B1003" s="19"/>
      <c r="C1003" s="4"/>
      <c r="D1003" s="4"/>
      <c r="E1003" s="5"/>
      <c r="F1003" s="4"/>
      <c r="G1003" s="4"/>
      <c r="H1003" s="4"/>
      <c r="I1003" s="4"/>
      <c r="J1003" s="4"/>
      <c r="K1003" s="4"/>
      <c r="L1003" s="4"/>
      <c r="M1003" s="4"/>
      <c r="N1003" s="4"/>
      <c r="O1003" s="4"/>
      <c r="P1003" s="4"/>
      <c r="Q1003" s="4"/>
      <c r="R1003" s="4"/>
      <c r="S1003" s="19"/>
    </row>
    <row r="1004" spans="1:19" ht="17.399999999999999" x14ac:dyDescent="0.25">
      <c r="A1004" s="4"/>
      <c r="B1004" s="19"/>
      <c r="C1004" s="4"/>
      <c r="D1004" s="4"/>
      <c r="E1004" s="5"/>
      <c r="F1004" s="4"/>
      <c r="G1004" s="4"/>
      <c r="H1004" s="4"/>
      <c r="I1004" s="4"/>
      <c r="J1004" s="4"/>
      <c r="K1004" s="4"/>
      <c r="L1004" s="4"/>
      <c r="M1004" s="4"/>
      <c r="N1004" s="4"/>
      <c r="O1004" s="4"/>
      <c r="P1004" s="4"/>
      <c r="Q1004" s="4"/>
      <c r="R1004" s="4"/>
      <c r="S1004" s="19"/>
    </row>
    <row r="1005" spans="1:19" ht="17.399999999999999" x14ac:dyDescent="0.25">
      <c r="A1005" s="4"/>
      <c r="B1005" s="19"/>
      <c r="C1005" s="4"/>
      <c r="D1005" s="4"/>
      <c r="E1005" s="5"/>
      <c r="F1005" s="4"/>
      <c r="G1005" s="4"/>
      <c r="H1005" s="4"/>
      <c r="I1005" s="4"/>
      <c r="J1005" s="4"/>
      <c r="K1005" s="4"/>
      <c r="L1005" s="4"/>
      <c r="M1005" s="4"/>
      <c r="N1005" s="4"/>
      <c r="O1005" s="4"/>
      <c r="P1005" s="4"/>
      <c r="Q1005" s="4"/>
      <c r="R1005" s="4"/>
      <c r="S1005" s="19"/>
    </row>
    <row r="1006" spans="1:19" ht="17.399999999999999" x14ac:dyDescent="0.25">
      <c r="A1006" s="4"/>
      <c r="B1006" s="19"/>
      <c r="C1006" s="4"/>
      <c r="D1006" s="4"/>
      <c r="E1006" s="5"/>
      <c r="F1006" s="4"/>
      <c r="G1006" s="4"/>
      <c r="H1006" s="4"/>
      <c r="I1006" s="4"/>
      <c r="J1006" s="4"/>
      <c r="K1006" s="4"/>
      <c r="L1006" s="4"/>
      <c r="M1006" s="4"/>
      <c r="N1006" s="4"/>
      <c r="O1006" s="4"/>
      <c r="P1006" s="4"/>
      <c r="Q1006" s="4"/>
      <c r="R1006" s="4"/>
      <c r="S1006" s="19"/>
    </row>
    <row r="1007" spans="1:19" ht="17.399999999999999" x14ac:dyDescent="0.25">
      <c r="A1007" s="4"/>
      <c r="B1007" s="19"/>
      <c r="C1007" s="4"/>
      <c r="D1007" s="4"/>
      <c r="E1007" s="5"/>
      <c r="F1007" s="4"/>
      <c r="G1007" s="4"/>
      <c r="H1007" s="4"/>
      <c r="I1007" s="4"/>
      <c r="J1007" s="4"/>
      <c r="K1007" s="4"/>
      <c r="L1007" s="4"/>
      <c r="M1007" s="4"/>
      <c r="N1007" s="4"/>
      <c r="O1007" s="4"/>
      <c r="P1007" s="4"/>
      <c r="Q1007" s="4"/>
      <c r="R1007" s="4"/>
      <c r="S1007" s="19"/>
    </row>
    <row r="1008" spans="1:19" ht="17.399999999999999" x14ac:dyDescent="0.25">
      <c r="A1008" s="4"/>
      <c r="B1008" s="19"/>
      <c r="C1008" s="4"/>
      <c r="D1008" s="4"/>
      <c r="E1008" s="5"/>
      <c r="F1008" s="4"/>
      <c r="G1008" s="4"/>
      <c r="H1008" s="4"/>
      <c r="I1008" s="4"/>
      <c r="J1008" s="4"/>
      <c r="K1008" s="4"/>
      <c r="L1008" s="4"/>
      <c r="M1008" s="4"/>
      <c r="N1008" s="4"/>
      <c r="O1008" s="4"/>
      <c r="P1008" s="4"/>
      <c r="Q1008" s="4"/>
      <c r="R1008" s="4"/>
      <c r="S1008" s="19"/>
    </row>
    <row r="1009" spans="1:19" ht="17.399999999999999" x14ac:dyDescent="0.25">
      <c r="A1009" s="4"/>
      <c r="B1009" s="19"/>
      <c r="C1009" s="4"/>
      <c r="D1009" s="4"/>
      <c r="E1009" s="5"/>
      <c r="F1009" s="4"/>
      <c r="G1009" s="4"/>
      <c r="H1009" s="4"/>
      <c r="I1009" s="4"/>
      <c r="J1009" s="4"/>
      <c r="K1009" s="4"/>
      <c r="L1009" s="4"/>
      <c r="M1009" s="4"/>
      <c r="N1009" s="4"/>
      <c r="O1009" s="4"/>
      <c r="P1009" s="4"/>
      <c r="Q1009" s="4"/>
      <c r="R1009" s="4"/>
      <c r="S1009" s="19"/>
    </row>
    <row r="1010" spans="1:19" ht="17.399999999999999" x14ac:dyDescent="0.25">
      <c r="A1010" s="4"/>
      <c r="B1010" s="19"/>
      <c r="C1010" s="4"/>
      <c r="D1010" s="4"/>
      <c r="E1010" s="5"/>
      <c r="F1010" s="4"/>
      <c r="G1010" s="4"/>
      <c r="H1010" s="4"/>
      <c r="I1010" s="4"/>
      <c r="J1010" s="4"/>
      <c r="K1010" s="4"/>
      <c r="L1010" s="4"/>
      <c r="M1010" s="4"/>
      <c r="N1010" s="4"/>
      <c r="O1010" s="4"/>
      <c r="P1010" s="4"/>
      <c r="Q1010" s="4"/>
      <c r="R1010" s="4"/>
      <c r="S1010" s="19"/>
    </row>
    <row r="1011" spans="1:19" ht="17.399999999999999" x14ac:dyDescent="0.25">
      <c r="A1011" s="4"/>
      <c r="B1011" s="19"/>
      <c r="C1011" s="4"/>
      <c r="D1011" s="4"/>
      <c r="E1011" s="5"/>
      <c r="F1011" s="4"/>
      <c r="G1011" s="4"/>
      <c r="H1011" s="4"/>
      <c r="I1011" s="4"/>
      <c r="J1011" s="4"/>
      <c r="K1011" s="4"/>
      <c r="L1011" s="4"/>
      <c r="M1011" s="4"/>
      <c r="N1011" s="4"/>
      <c r="O1011" s="4"/>
      <c r="P1011" s="4"/>
      <c r="Q1011" s="4"/>
      <c r="R1011" s="4"/>
      <c r="S1011" s="19"/>
    </row>
    <row r="1012" spans="1:19" ht="17.399999999999999" x14ac:dyDescent="0.25">
      <c r="A1012" s="4"/>
      <c r="B1012" s="19"/>
      <c r="C1012" s="4"/>
      <c r="D1012" s="4"/>
      <c r="E1012" s="5"/>
      <c r="F1012" s="4"/>
      <c r="G1012" s="4"/>
      <c r="H1012" s="4"/>
      <c r="I1012" s="4"/>
      <c r="J1012" s="4"/>
      <c r="K1012" s="4"/>
      <c r="L1012" s="4"/>
      <c r="M1012" s="4"/>
      <c r="N1012" s="4"/>
      <c r="O1012" s="4"/>
      <c r="P1012" s="4"/>
      <c r="Q1012" s="4"/>
      <c r="R1012" s="4"/>
      <c r="S1012" s="19"/>
    </row>
    <row r="1013" spans="1:19" ht="17.399999999999999" x14ac:dyDescent="0.25">
      <c r="A1013" s="4"/>
      <c r="B1013" s="19"/>
      <c r="C1013" s="4"/>
      <c r="D1013" s="4"/>
      <c r="E1013" s="5"/>
      <c r="F1013" s="4"/>
      <c r="G1013" s="4"/>
      <c r="H1013" s="4"/>
      <c r="I1013" s="4"/>
      <c r="J1013" s="4"/>
      <c r="K1013" s="4"/>
      <c r="L1013" s="4"/>
      <c r="M1013" s="4"/>
      <c r="N1013" s="4"/>
      <c r="O1013" s="4"/>
      <c r="P1013" s="4"/>
      <c r="Q1013" s="4"/>
      <c r="R1013" s="4"/>
      <c r="S1013" s="19"/>
    </row>
    <row r="1014" spans="1:19" ht="17.399999999999999" x14ac:dyDescent="0.25">
      <c r="A1014" s="4"/>
      <c r="B1014" s="19"/>
      <c r="C1014" s="4"/>
      <c r="D1014" s="4"/>
      <c r="E1014" s="5"/>
      <c r="F1014" s="4"/>
      <c r="G1014" s="4"/>
      <c r="H1014" s="4"/>
      <c r="I1014" s="4"/>
      <c r="J1014" s="4"/>
      <c r="K1014" s="4"/>
      <c r="L1014" s="4"/>
      <c r="M1014" s="4"/>
      <c r="N1014" s="4"/>
      <c r="O1014" s="4"/>
      <c r="P1014" s="4"/>
      <c r="Q1014" s="4"/>
      <c r="R1014" s="4"/>
      <c r="S1014" s="19"/>
    </row>
    <row r="1015" spans="1:19" ht="17.399999999999999" x14ac:dyDescent="0.25">
      <c r="A1015" s="4"/>
      <c r="B1015" s="19"/>
      <c r="C1015" s="4"/>
      <c r="D1015" s="4"/>
      <c r="E1015" s="5"/>
      <c r="F1015" s="4"/>
      <c r="G1015" s="4"/>
      <c r="H1015" s="4"/>
      <c r="I1015" s="4"/>
      <c r="J1015" s="4"/>
      <c r="K1015" s="4"/>
      <c r="L1015" s="4"/>
      <c r="M1015" s="4"/>
      <c r="N1015" s="4"/>
      <c r="O1015" s="4"/>
      <c r="P1015" s="4"/>
      <c r="Q1015" s="4"/>
      <c r="R1015" s="4"/>
      <c r="S1015" s="19"/>
    </row>
    <row r="1016" spans="1:19" ht="17.399999999999999" x14ac:dyDescent="0.25">
      <c r="A1016" s="4"/>
      <c r="B1016" s="19"/>
      <c r="C1016" s="4"/>
      <c r="D1016" s="4"/>
      <c r="E1016" s="5"/>
      <c r="F1016" s="4"/>
      <c r="G1016" s="4"/>
      <c r="H1016" s="4"/>
      <c r="I1016" s="4"/>
      <c r="J1016" s="4"/>
      <c r="K1016" s="4"/>
      <c r="L1016" s="4"/>
      <c r="M1016" s="4"/>
      <c r="N1016" s="4"/>
      <c r="O1016" s="4"/>
      <c r="P1016" s="4"/>
      <c r="Q1016" s="4"/>
      <c r="R1016" s="4"/>
      <c r="S1016" s="19"/>
    </row>
    <row r="1017" spans="1:19" ht="17.399999999999999" x14ac:dyDescent="0.25">
      <c r="A1017" s="4"/>
      <c r="B1017" s="19"/>
      <c r="C1017" s="4"/>
      <c r="D1017" s="4"/>
      <c r="E1017" s="5"/>
      <c r="F1017" s="4"/>
      <c r="G1017" s="4"/>
      <c r="H1017" s="4"/>
      <c r="I1017" s="4"/>
      <c r="J1017" s="4"/>
      <c r="K1017" s="4"/>
      <c r="L1017" s="4"/>
      <c r="M1017" s="4"/>
      <c r="N1017" s="4"/>
      <c r="O1017" s="4"/>
      <c r="P1017" s="4"/>
      <c r="Q1017" s="4"/>
      <c r="R1017" s="4"/>
      <c r="S1017" s="19"/>
    </row>
    <row r="1018" spans="1:19" ht="17.399999999999999" x14ac:dyDescent="0.25">
      <c r="A1018" s="4"/>
      <c r="B1018" s="19"/>
      <c r="C1018" s="4"/>
      <c r="D1018" s="4"/>
      <c r="E1018" s="5"/>
      <c r="F1018" s="4"/>
      <c r="G1018" s="4"/>
      <c r="H1018" s="4"/>
      <c r="I1018" s="4"/>
      <c r="J1018" s="4"/>
      <c r="K1018" s="4"/>
      <c r="L1018" s="4"/>
      <c r="M1018" s="4"/>
      <c r="N1018" s="4"/>
      <c r="O1018" s="4"/>
      <c r="P1018" s="4"/>
      <c r="Q1018" s="4"/>
      <c r="R1018" s="4"/>
      <c r="S1018" s="19"/>
    </row>
    <row r="1019" spans="1:19" ht="17.399999999999999" x14ac:dyDescent="0.25">
      <c r="A1019" s="4"/>
      <c r="B1019" s="19"/>
      <c r="C1019" s="4"/>
      <c r="D1019" s="4"/>
      <c r="E1019" s="5"/>
      <c r="F1019" s="4"/>
      <c r="G1019" s="4"/>
      <c r="H1019" s="4"/>
      <c r="I1019" s="4"/>
      <c r="J1019" s="4"/>
      <c r="K1019" s="4"/>
      <c r="L1019" s="4"/>
      <c r="M1019" s="4"/>
      <c r="N1019" s="4"/>
      <c r="O1019" s="4"/>
      <c r="P1019" s="4"/>
      <c r="Q1019" s="4"/>
      <c r="R1019" s="4"/>
      <c r="S1019" s="19"/>
    </row>
    <row r="1020" spans="1:19" ht="17.399999999999999" x14ac:dyDescent="0.25">
      <c r="A1020" s="4"/>
      <c r="B1020" s="19"/>
      <c r="C1020" s="4"/>
      <c r="D1020" s="4"/>
      <c r="E1020" s="5"/>
      <c r="F1020" s="4"/>
      <c r="G1020" s="4"/>
      <c r="H1020" s="4"/>
      <c r="I1020" s="4"/>
      <c r="J1020" s="4"/>
      <c r="K1020" s="4"/>
      <c r="L1020" s="4"/>
      <c r="M1020" s="4"/>
      <c r="N1020" s="4"/>
      <c r="O1020" s="4"/>
      <c r="P1020" s="4"/>
      <c r="Q1020" s="4"/>
      <c r="R1020" s="4"/>
      <c r="S1020" s="19"/>
    </row>
    <row r="1021" spans="1:19" ht="17.399999999999999" x14ac:dyDescent="0.25">
      <c r="A1021" s="4"/>
      <c r="B1021" s="19"/>
      <c r="C1021" s="4"/>
      <c r="D1021" s="4"/>
      <c r="E1021" s="5"/>
      <c r="F1021" s="4"/>
      <c r="G1021" s="4"/>
      <c r="H1021" s="4"/>
      <c r="I1021" s="4"/>
      <c r="J1021" s="4"/>
      <c r="K1021" s="4"/>
      <c r="L1021" s="4"/>
      <c r="M1021" s="4"/>
      <c r="N1021" s="4"/>
      <c r="O1021" s="4"/>
      <c r="P1021" s="4"/>
      <c r="Q1021" s="4"/>
      <c r="R1021" s="4"/>
      <c r="S1021" s="19"/>
    </row>
    <row r="1022" spans="1:19" ht="17.399999999999999" x14ac:dyDescent="0.25">
      <c r="A1022" s="4"/>
      <c r="B1022" s="19"/>
      <c r="C1022" s="4"/>
      <c r="D1022" s="4"/>
      <c r="E1022" s="5"/>
      <c r="F1022" s="4"/>
      <c r="G1022" s="4"/>
      <c r="H1022" s="4"/>
      <c r="I1022" s="4"/>
      <c r="J1022" s="4"/>
      <c r="K1022" s="4"/>
      <c r="L1022" s="4"/>
      <c r="M1022" s="4"/>
      <c r="N1022" s="4"/>
      <c r="O1022" s="4"/>
      <c r="P1022" s="4"/>
      <c r="Q1022" s="4"/>
      <c r="R1022" s="4"/>
      <c r="S1022" s="19"/>
    </row>
    <row r="1023" spans="1:19" ht="17.399999999999999" x14ac:dyDescent="0.25">
      <c r="A1023" s="4"/>
      <c r="B1023" s="19"/>
      <c r="C1023" s="4"/>
      <c r="D1023" s="4"/>
      <c r="E1023" s="5"/>
      <c r="F1023" s="4"/>
      <c r="G1023" s="4"/>
      <c r="H1023" s="4"/>
      <c r="I1023" s="4"/>
      <c r="J1023" s="4"/>
      <c r="K1023" s="4"/>
      <c r="L1023" s="4"/>
      <c r="M1023" s="4"/>
      <c r="N1023" s="4"/>
      <c r="O1023" s="4"/>
      <c r="P1023" s="4"/>
      <c r="Q1023" s="4"/>
      <c r="R1023" s="4"/>
      <c r="S1023" s="19"/>
    </row>
    <row r="1024" spans="1:19" ht="17.399999999999999" x14ac:dyDescent="0.25">
      <c r="A1024" s="4"/>
      <c r="B1024" s="19"/>
      <c r="C1024" s="4"/>
      <c r="D1024" s="4"/>
      <c r="E1024" s="5"/>
      <c r="F1024" s="4"/>
      <c r="G1024" s="4"/>
      <c r="H1024" s="4"/>
      <c r="I1024" s="4"/>
      <c r="J1024" s="4"/>
      <c r="K1024" s="4"/>
      <c r="L1024" s="4"/>
      <c r="M1024" s="4"/>
      <c r="N1024" s="4"/>
      <c r="O1024" s="4"/>
      <c r="P1024" s="4"/>
      <c r="Q1024" s="4"/>
      <c r="R1024" s="4"/>
      <c r="S1024" s="19"/>
    </row>
    <row r="1025" spans="1:19" ht="17.399999999999999" x14ac:dyDescent="0.25">
      <c r="A1025" s="4"/>
      <c r="B1025" s="19"/>
      <c r="C1025" s="4"/>
      <c r="D1025" s="4"/>
      <c r="E1025" s="5"/>
      <c r="F1025" s="4"/>
      <c r="G1025" s="4"/>
      <c r="H1025" s="4"/>
      <c r="I1025" s="4"/>
      <c r="J1025" s="4"/>
      <c r="K1025" s="4"/>
      <c r="L1025" s="4"/>
      <c r="M1025" s="4"/>
      <c r="N1025" s="4"/>
      <c r="O1025" s="4"/>
      <c r="P1025" s="4"/>
      <c r="Q1025" s="4"/>
      <c r="R1025" s="4"/>
      <c r="S1025" s="19"/>
    </row>
    <row r="1026" spans="1:19" ht="17.399999999999999" x14ac:dyDescent="0.25">
      <c r="A1026" s="4"/>
      <c r="B1026" s="19"/>
      <c r="C1026" s="4"/>
      <c r="D1026" s="4"/>
      <c r="E1026" s="5"/>
      <c r="F1026" s="4"/>
      <c r="G1026" s="4"/>
      <c r="H1026" s="4"/>
      <c r="I1026" s="4"/>
      <c r="J1026" s="4"/>
      <c r="K1026" s="4"/>
      <c r="L1026" s="4"/>
      <c r="M1026" s="4"/>
      <c r="N1026" s="4"/>
      <c r="O1026" s="4"/>
      <c r="P1026" s="4"/>
      <c r="Q1026" s="4"/>
      <c r="R1026" s="4"/>
      <c r="S1026" s="19"/>
    </row>
    <row r="1027" spans="1:19" ht="17.399999999999999" x14ac:dyDescent="0.25">
      <c r="A1027" s="4"/>
      <c r="B1027" s="19"/>
      <c r="C1027" s="4"/>
      <c r="D1027" s="4"/>
      <c r="E1027" s="5"/>
      <c r="F1027" s="4"/>
      <c r="G1027" s="4"/>
      <c r="H1027" s="4"/>
      <c r="I1027" s="4"/>
      <c r="J1027" s="4"/>
      <c r="K1027" s="4"/>
      <c r="L1027" s="4"/>
      <c r="M1027" s="4"/>
      <c r="N1027" s="4"/>
      <c r="O1027" s="4"/>
      <c r="P1027" s="4"/>
      <c r="Q1027" s="4"/>
      <c r="R1027" s="4"/>
      <c r="S1027" s="19"/>
    </row>
    <row r="1028" spans="1:19" ht="17.399999999999999" x14ac:dyDescent="0.25">
      <c r="A1028" s="4"/>
      <c r="B1028" s="19"/>
      <c r="C1028" s="4"/>
      <c r="D1028" s="4"/>
      <c r="E1028" s="5"/>
      <c r="F1028" s="4"/>
      <c r="G1028" s="4"/>
      <c r="H1028" s="4"/>
      <c r="I1028" s="4"/>
      <c r="J1028" s="4"/>
      <c r="K1028" s="4"/>
      <c r="L1028" s="4"/>
      <c r="M1028" s="4"/>
      <c r="N1028" s="4"/>
      <c r="O1028" s="4"/>
      <c r="P1028" s="4"/>
      <c r="Q1028" s="4"/>
      <c r="R1028" s="4"/>
      <c r="S1028" s="19"/>
    </row>
    <row r="1029" spans="1:19" ht="17.399999999999999" x14ac:dyDescent="0.25">
      <c r="A1029" s="4"/>
      <c r="B1029" s="19"/>
      <c r="C1029" s="4"/>
      <c r="D1029" s="4"/>
      <c r="E1029" s="5"/>
      <c r="F1029" s="4"/>
      <c r="G1029" s="4"/>
      <c r="H1029" s="4"/>
      <c r="I1029" s="4"/>
      <c r="J1029" s="4"/>
      <c r="K1029" s="4"/>
      <c r="L1029" s="4"/>
      <c r="M1029" s="4"/>
      <c r="N1029" s="4"/>
      <c r="O1029" s="4"/>
      <c r="P1029" s="4"/>
      <c r="Q1029" s="4"/>
      <c r="R1029" s="4"/>
      <c r="S1029" s="19"/>
    </row>
    <row r="1030" spans="1:19" ht="17.399999999999999" x14ac:dyDescent="0.25">
      <c r="A1030" s="4"/>
      <c r="B1030" s="19"/>
      <c r="C1030" s="4"/>
      <c r="D1030" s="4"/>
      <c r="E1030" s="5"/>
      <c r="F1030" s="4"/>
      <c r="G1030" s="4"/>
      <c r="H1030" s="4"/>
      <c r="I1030" s="4"/>
      <c r="J1030" s="4"/>
      <c r="K1030" s="4"/>
      <c r="L1030" s="4"/>
      <c r="M1030" s="4"/>
      <c r="N1030" s="4"/>
      <c r="O1030" s="4"/>
      <c r="P1030" s="4"/>
      <c r="Q1030" s="4"/>
      <c r="R1030" s="4"/>
      <c r="S1030" s="19"/>
    </row>
    <row r="1031" spans="1:19" ht="17.399999999999999" x14ac:dyDescent="0.25">
      <c r="A1031" s="4"/>
      <c r="B1031" s="19"/>
      <c r="C1031" s="4"/>
      <c r="D1031" s="4"/>
      <c r="E1031" s="5"/>
      <c r="F1031" s="4"/>
      <c r="G1031" s="4"/>
      <c r="H1031" s="4"/>
      <c r="I1031" s="4"/>
      <c r="J1031" s="4"/>
      <c r="K1031" s="4"/>
      <c r="L1031" s="4"/>
      <c r="M1031" s="4"/>
      <c r="N1031" s="4"/>
      <c r="O1031" s="4"/>
      <c r="P1031" s="4"/>
      <c r="Q1031" s="4"/>
      <c r="R1031" s="4"/>
      <c r="S1031" s="19"/>
    </row>
    <row r="1032" spans="1:19" ht="17.399999999999999" x14ac:dyDescent="0.25">
      <c r="A1032" s="4"/>
      <c r="B1032" s="19"/>
      <c r="C1032" s="4"/>
      <c r="D1032" s="4"/>
      <c r="E1032" s="5"/>
      <c r="F1032" s="4"/>
      <c r="G1032" s="4"/>
      <c r="H1032" s="4"/>
      <c r="I1032" s="4"/>
      <c r="J1032" s="4"/>
      <c r="K1032" s="4"/>
      <c r="L1032" s="4"/>
      <c r="M1032" s="4"/>
      <c r="N1032" s="4"/>
      <c r="O1032" s="4"/>
      <c r="P1032" s="4"/>
      <c r="Q1032" s="4"/>
      <c r="R1032" s="4"/>
      <c r="S1032" s="19"/>
    </row>
    <row r="1033" spans="1:19" ht="17.399999999999999" x14ac:dyDescent="0.25">
      <c r="A1033" s="4"/>
      <c r="B1033" s="19"/>
      <c r="C1033" s="4"/>
      <c r="D1033" s="4"/>
      <c r="E1033" s="5"/>
      <c r="F1033" s="4"/>
      <c r="G1033" s="4"/>
      <c r="H1033" s="4"/>
      <c r="I1033" s="4"/>
      <c r="J1033" s="4"/>
      <c r="K1033" s="4"/>
      <c r="L1033" s="4"/>
      <c r="M1033" s="4"/>
      <c r="N1033" s="4"/>
      <c r="O1033" s="4"/>
      <c r="P1033" s="4"/>
      <c r="Q1033" s="4"/>
      <c r="R1033" s="4"/>
      <c r="S1033" s="19"/>
    </row>
    <row r="1034" spans="1:19" ht="17.399999999999999" x14ac:dyDescent="0.25">
      <c r="A1034" s="4"/>
      <c r="B1034" s="19"/>
      <c r="C1034" s="4"/>
      <c r="D1034" s="4"/>
      <c r="E1034" s="5"/>
      <c r="F1034" s="4"/>
      <c r="G1034" s="4"/>
      <c r="H1034" s="4"/>
      <c r="I1034" s="4"/>
      <c r="J1034" s="4"/>
      <c r="K1034" s="4"/>
      <c r="L1034" s="4"/>
      <c r="M1034" s="4"/>
      <c r="N1034" s="4"/>
      <c r="O1034" s="4"/>
      <c r="P1034" s="4"/>
      <c r="Q1034" s="4"/>
      <c r="R1034" s="4"/>
      <c r="S1034" s="19"/>
    </row>
    <row r="1035" spans="1:19" ht="17.399999999999999" x14ac:dyDescent="0.25">
      <c r="A1035" s="4"/>
      <c r="B1035" s="19"/>
      <c r="C1035" s="4"/>
      <c r="D1035" s="4"/>
      <c r="E1035" s="5"/>
      <c r="F1035" s="4"/>
      <c r="G1035" s="4"/>
      <c r="H1035" s="4"/>
      <c r="I1035" s="4"/>
      <c r="J1035" s="4"/>
      <c r="K1035" s="4"/>
      <c r="L1035" s="4"/>
      <c r="M1035" s="4"/>
      <c r="N1035" s="4"/>
      <c r="O1035" s="4"/>
      <c r="P1035" s="4"/>
      <c r="Q1035" s="4"/>
      <c r="R1035" s="4"/>
      <c r="S1035" s="19"/>
    </row>
    <row r="1036" spans="1:19" ht="17.399999999999999" x14ac:dyDescent="0.25">
      <c r="A1036" s="4"/>
      <c r="B1036" s="19"/>
      <c r="C1036" s="4"/>
      <c r="D1036" s="4"/>
      <c r="E1036" s="5"/>
      <c r="F1036" s="4"/>
      <c r="G1036" s="4"/>
      <c r="H1036" s="4"/>
      <c r="I1036" s="4"/>
      <c r="J1036" s="4"/>
      <c r="K1036" s="4"/>
      <c r="L1036" s="4"/>
      <c r="M1036" s="4"/>
      <c r="N1036" s="4"/>
      <c r="O1036" s="4"/>
      <c r="P1036" s="4"/>
      <c r="Q1036" s="4"/>
      <c r="R1036" s="4"/>
      <c r="S1036" s="19"/>
    </row>
    <row r="1037" spans="1:19" ht="17.399999999999999" x14ac:dyDescent="0.25">
      <c r="A1037" s="4"/>
      <c r="B1037" s="19"/>
      <c r="C1037" s="4"/>
      <c r="D1037" s="4"/>
      <c r="E1037" s="5"/>
      <c r="F1037" s="4"/>
      <c r="G1037" s="4"/>
      <c r="H1037" s="4"/>
      <c r="I1037" s="4"/>
      <c r="J1037" s="4"/>
      <c r="K1037" s="4"/>
      <c r="L1037" s="4"/>
      <c r="M1037" s="4"/>
      <c r="N1037" s="4"/>
      <c r="O1037" s="4"/>
      <c r="P1037" s="4"/>
      <c r="Q1037" s="4"/>
      <c r="R1037" s="4"/>
      <c r="S1037" s="19"/>
    </row>
    <row r="1038" spans="1:19" ht="17.399999999999999" x14ac:dyDescent="0.25">
      <c r="A1038" s="4"/>
      <c r="B1038" s="19"/>
      <c r="C1038" s="4"/>
      <c r="D1038" s="4"/>
      <c r="E1038" s="5"/>
      <c r="F1038" s="4"/>
      <c r="G1038" s="4"/>
      <c r="H1038" s="4"/>
      <c r="I1038" s="4"/>
      <c r="J1038" s="4"/>
      <c r="K1038" s="4"/>
      <c r="L1038" s="4"/>
      <c r="M1038" s="4"/>
      <c r="N1038" s="4"/>
      <c r="O1038" s="4"/>
      <c r="P1038" s="4"/>
      <c r="Q1038" s="4"/>
      <c r="R1038" s="4"/>
      <c r="S1038" s="19"/>
    </row>
    <row r="1039" spans="1:19" ht="17.399999999999999" x14ac:dyDescent="0.25">
      <c r="A1039" s="4"/>
      <c r="B1039" s="19"/>
      <c r="C1039" s="4"/>
      <c r="D1039" s="4"/>
      <c r="E1039" s="5"/>
      <c r="F1039" s="4"/>
      <c r="G1039" s="4"/>
      <c r="H1039" s="4"/>
      <c r="I1039" s="4"/>
      <c r="J1039" s="4"/>
      <c r="K1039" s="4"/>
      <c r="L1039" s="4"/>
      <c r="M1039" s="4"/>
      <c r="N1039" s="4"/>
      <c r="O1039" s="4"/>
      <c r="P1039" s="4"/>
      <c r="Q1039" s="4"/>
      <c r="R1039" s="4"/>
      <c r="S1039" s="19"/>
    </row>
    <row r="1040" spans="1:19" ht="17.399999999999999" x14ac:dyDescent="0.25">
      <c r="A1040" s="4"/>
      <c r="B1040" s="19"/>
      <c r="C1040" s="4"/>
      <c r="D1040" s="4"/>
      <c r="E1040" s="5"/>
      <c r="F1040" s="4"/>
      <c r="G1040" s="4"/>
      <c r="H1040" s="4"/>
      <c r="I1040" s="4"/>
      <c r="J1040" s="4"/>
      <c r="K1040" s="4"/>
      <c r="L1040" s="4"/>
      <c r="M1040" s="4"/>
      <c r="N1040" s="4"/>
      <c r="O1040" s="4"/>
      <c r="P1040" s="4"/>
      <c r="Q1040" s="4"/>
      <c r="R1040" s="4"/>
      <c r="S1040" s="19"/>
    </row>
    <row r="1041" spans="1:19" ht="17.399999999999999" x14ac:dyDescent="0.25">
      <c r="A1041" s="4"/>
      <c r="B1041" s="19"/>
      <c r="C1041" s="4"/>
      <c r="D1041" s="4"/>
      <c r="E1041" s="5"/>
      <c r="F1041" s="4"/>
      <c r="G1041" s="4"/>
      <c r="H1041" s="4"/>
      <c r="I1041" s="4"/>
      <c r="J1041" s="4"/>
      <c r="K1041" s="4"/>
      <c r="L1041" s="4"/>
      <c r="M1041" s="4"/>
      <c r="N1041" s="4"/>
      <c r="O1041" s="4"/>
      <c r="P1041" s="4"/>
      <c r="Q1041" s="4"/>
      <c r="R1041" s="4"/>
      <c r="S1041" s="19"/>
    </row>
    <row r="1042" spans="1:19" ht="17.399999999999999" x14ac:dyDescent="0.25">
      <c r="A1042" s="4"/>
      <c r="B1042" s="19"/>
      <c r="C1042" s="4"/>
      <c r="D1042" s="4"/>
      <c r="E1042" s="5"/>
      <c r="F1042" s="4"/>
      <c r="G1042" s="4"/>
      <c r="H1042" s="4"/>
      <c r="I1042" s="4"/>
      <c r="J1042" s="4"/>
      <c r="K1042" s="4"/>
      <c r="L1042" s="4"/>
      <c r="M1042" s="4"/>
      <c r="N1042" s="4"/>
      <c r="O1042" s="4"/>
      <c r="P1042" s="4"/>
      <c r="Q1042" s="4"/>
      <c r="R1042" s="4"/>
      <c r="S1042" s="19"/>
    </row>
    <row r="1043" spans="1:19" ht="17.399999999999999" x14ac:dyDescent="0.25">
      <c r="A1043" s="4"/>
      <c r="B1043" s="19"/>
      <c r="C1043" s="4"/>
      <c r="D1043" s="4"/>
      <c r="E1043" s="5"/>
      <c r="F1043" s="4"/>
      <c r="G1043" s="4"/>
      <c r="H1043" s="4"/>
      <c r="I1043" s="4"/>
      <c r="J1043" s="4"/>
      <c r="K1043" s="4"/>
      <c r="L1043" s="4"/>
      <c r="M1043" s="4"/>
      <c r="N1043" s="4"/>
      <c r="O1043" s="4"/>
      <c r="P1043" s="4"/>
      <c r="Q1043" s="4"/>
      <c r="R1043" s="4"/>
      <c r="S1043" s="19"/>
    </row>
    <row r="1044" spans="1:19" ht="17.399999999999999" x14ac:dyDescent="0.25">
      <c r="A1044" s="4"/>
      <c r="B1044" s="19"/>
      <c r="C1044" s="4"/>
      <c r="D1044" s="4"/>
      <c r="E1044" s="5"/>
      <c r="F1044" s="4"/>
      <c r="G1044" s="4"/>
      <c r="H1044" s="4"/>
      <c r="I1044" s="4"/>
      <c r="J1044" s="4"/>
      <c r="K1044" s="4"/>
      <c r="L1044" s="4"/>
      <c r="M1044" s="4"/>
      <c r="N1044" s="4"/>
      <c r="O1044" s="4"/>
      <c r="P1044" s="4"/>
      <c r="Q1044" s="4"/>
      <c r="R1044" s="4"/>
      <c r="S1044" s="19"/>
    </row>
    <row r="1045" spans="1:19" ht="17.399999999999999" x14ac:dyDescent="0.25">
      <c r="A1045" s="4"/>
      <c r="B1045" s="19"/>
      <c r="C1045" s="4"/>
      <c r="D1045" s="4"/>
      <c r="E1045" s="5"/>
      <c r="F1045" s="4"/>
      <c r="G1045" s="4"/>
      <c r="H1045" s="4"/>
      <c r="I1045" s="4"/>
      <c r="J1045" s="4"/>
      <c r="K1045" s="4"/>
      <c r="L1045" s="4"/>
      <c r="M1045" s="4"/>
      <c r="N1045" s="4"/>
      <c r="O1045" s="4"/>
      <c r="P1045" s="4"/>
      <c r="Q1045" s="4"/>
      <c r="R1045" s="4"/>
      <c r="S1045" s="19"/>
    </row>
    <row r="1046" spans="1:19" ht="17.399999999999999" x14ac:dyDescent="0.25">
      <c r="A1046" s="4"/>
      <c r="B1046" s="19"/>
      <c r="C1046" s="4"/>
      <c r="D1046" s="4"/>
      <c r="E1046" s="5"/>
      <c r="F1046" s="4"/>
      <c r="G1046" s="4"/>
      <c r="H1046" s="4"/>
      <c r="I1046" s="4"/>
      <c r="J1046" s="4"/>
      <c r="K1046" s="4"/>
      <c r="L1046" s="4"/>
      <c r="M1046" s="4"/>
      <c r="N1046" s="4"/>
      <c r="O1046" s="4"/>
      <c r="P1046" s="4"/>
      <c r="Q1046" s="4"/>
      <c r="R1046" s="4"/>
      <c r="S1046" s="19"/>
    </row>
    <row r="1047" spans="1:19" ht="17.399999999999999" x14ac:dyDescent="0.25">
      <c r="A1047" s="4"/>
      <c r="B1047" s="19"/>
      <c r="C1047" s="4"/>
      <c r="D1047" s="4"/>
      <c r="E1047" s="5"/>
      <c r="F1047" s="4"/>
      <c r="G1047" s="4"/>
      <c r="H1047" s="4"/>
      <c r="I1047" s="4"/>
      <c r="J1047" s="4"/>
      <c r="K1047" s="4"/>
      <c r="L1047" s="4"/>
      <c r="M1047" s="4"/>
      <c r="N1047" s="4"/>
      <c r="O1047" s="4"/>
      <c r="P1047" s="4"/>
      <c r="Q1047" s="4"/>
      <c r="R1047" s="4"/>
      <c r="S1047" s="19"/>
    </row>
    <row r="1048" spans="1:19" ht="17.399999999999999" x14ac:dyDescent="0.25">
      <c r="A1048" s="4"/>
      <c r="B1048" s="19"/>
      <c r="C1048" s="4"/>
      <c r="D1048" s="4"/>
      <c r="E1048" s="5"/>
      <c r="F1048" s="4"/>
      <c r="G1048" s="4"/>
      <c r="H1048" s="4"/>
      <c r="I1048" s="4"/>
      <c r="J1048" s="4"/>
      <c r="K1048" s="4"/>
      <c r="L1048" s="4"/>
      <c r="M1048" s="4"/>
      <c r="N1048" s="4"/>
      <c r="O1048" s="4"/>
      <c r="P1048" s="4"/>
      <c r="Q1048" s="4"/>
      <c r="R1048" s="4"/>
      <c r="S1048" s="19"/>
    </row>
    <row r="1049" spans="1:19" ht="17.399999999999999" x14ac:dyDescent="0.25">
      <c r="A1049" s="4"/>
      <c r="B1049" s="19"/>
      <c r="C1049" s="4"/>
      <c r="D1049" s="4"/>
      <c r="E1049" s="5"/>
      <c r="F1049" s="4"/>
      <c r="G1049" s="4"/>
      <c r="H1049" s="4"/>
      <c r="I1049" s="4"/>
      <c r="J1049" s="4"/>
      <c r="K1049" s="4"/>
      <c r="L1049" s="4"/>
      <c r="M1049" s="4"/>
      <c r="N1049" s="4"/>
      <c r="O1049" s="4"/>
      <c r="P1049" s="4"/>
      <c r="Q1049" s="4"/>
      <c r="R1049" s="4"/>
      <c r="S1049" s="19"/>
    </row>
    <row r="1050" spans="1:19" ht="17.399999999999999" x14ac:dyDescent="0.25">
      <c r="A1050" s="4"/>
      <c r="B1050" s="19"/>
      <c r="C1050" s="4"/>
      <c r="D1050" s="4"/>
      <c r="E1050" s="5"/>
      <c r="F1050" s="4"/>
      <c r="G1050" s="4"/>
      <c r="H1050" s="4"/>
      <c r="I1050" s="4"/>
      <c r="J1050" s="4"/>
      <c r="K1050" s="4"/>
      <c r="L1050" s="4"/>
      <c r="M1050" s="4"/>
      <c r="N1050" s="4"/>
      <c r="O1050" s="4"/>
      <c r="P1050" s="4"/>
      <c r="Q1050" s="4"/>
      <c r="R1050" s="4"/>
      <c r="S1050" s="19"/>
    </row>
    <row r="1051" spans="1:19" ht="17.399999999999999" x14ac:dyDescent="0.25">
      <c r="A1051" s="4"/>
      <c r="B1051" s="19"/>
      <c r="C1051" s="4"/>
      <c r="D1051" s="4"/>
      <c r="E1051" s="5"/>
      <c r="F1051" s="4"/>
      <c r="G1051" s="4"/>
      <c r="H1051" s="4"/>
      <c r="I1051" s="4"/>
      <c r="J1051" s="4"/>
      <c r="K1051" s="4"/>
      <c r="L1051" s="4"/>
      <c r="M1051" s="4"/>
      <c r="N1051" s="4"/>
      <c r="O1051" s="4"/>
      <c r="P1051" s="4"/>
      <c r="Q1051" s="4"/>
      <c r="R1051" s="4"/>
      <c r="S1051" s="19"/>
    </row>
    <row r="1052" spans="1:19" ht="17.399999999999999" x14ac:dyDescent="0.25">
      <c r="A1052" s="4"/>
      <c r="B1052" s="19"/>
      <c r="C1052" s="4"/>
      <c r="D1052" s="4"/>
      <c r="E1052" s="5"/>
      <c r="F1052" s="4"/>
      <c r="G1052" s="4"/>
      <c r="H1052" s="4"/>
      <c r="I1052" s="4"/>
      <c r="J1052" s="4"/>
      <c r="K1052" s="4"/>
      <c r="L1052" s="4"/>
      <c r="M1052" s="4"/>
      <c r="N1052" s="4"/>
      <c r="O1052" s="4"/>
      <c r="P1052" s="4"/>
      <c r="Q1052" s="4"/>
      <c r="R1052" s="4"/>
      <c r="S1052" s="19"/>
    </row>
    <row r="1053" spans="1:19" ht="17.399999999999999" x14ac:dyDescent="0.25">
      <c r="A1053" s="4"/>
      <c r="B1053" s="19"/>
      <c r="C1053" s="4"/>
      <c r="D1053" s="4"/>
      <c r="E1053" s="5"/>
      <c r="F1053" s="4"/>
      <c r="G1053" s="4"/>
      <c r="H1053" s="4"/>
      <c r="I1053" s="4"/>
      <c r="J1053" s="4"/>
      <c r="K1053" s="4"/>
      <c r="L1053" s="4"/>
      <c r="M1053" s="4"/>
      <c r="N1053" s="4"/>
      <c r="O1053" s="4"/>
      <c r="P1053" s="4"/>
      <c r="Q1053" s="4"/>
      <c r="R1053" s="4"/>
      <c r="S1053" s="19"/>
    </row>
    <row r="1054" spans="1:19" ht="17.399999999999999" x14ac:dyDescent="0.25">
      <c r="A1054" s="4"/>
      <c r="B1054" s="19"/>
      <c r="C1054" s="4"/>
      <c r="D1054" s="4"/>
      <c r="E1054" s="5"/>
      <c r="F1054" s="4"/>
      <c r="G1054" s="4"/>
      <c r="H1054" s="4"/>
      <c r="I1054" s="4"/>
      <c r="J1054" s="4"/>
      <c r="K1054" s="4"/>
      <c r="L1054" s="4"/>
      <c r="M1054" s="4"/>
      <c r="N1054" s="4"/>
      <c r="O1054" s="4"/>
      <c r="P1054" s="4"/>
      <c r="Q1054" s="4"/>
      <c r="R1054" s="4"/>
      <c r="S1054" s="19"/>
    </row>
    <row r="1055" spans="1:19" ht="17.399999999999999" x14ac:dyDescent="0.25">
      <c r="A1055" s="4"/>
      <c r="B1055" s="19"/>
      <c r="C1055" s="4"/>
      <c r="D1055" s="4"/>
      <c r="E1055" s="5"/>
      <c r="F1055" s="4"/>
      <c r="G1055" s="4"/>
      <c r="H1055" s="4"/>
      <c r="I1055" s="4"/>
      <c r="J1055" s="4"/>
      <c r="K1055" s="4"/>
      <c r="L1055" s="4"/>
      <c r="M1055" s="4"/>
      <c r="N1055" s="4"/>
      <c r="O1055" s="4"/>
      <c r="P1055" s="4"/>
      <c r="Q1055" s="4"/>
      <c r="R1055" s="4"/>
      <c r="S1055" s="19"/>
    </row>
    <row r="1056" spans="1:19" ht="17.399999999999999" x14ac:dyDescent="0.25">
      <c r="A1056" s="4"/>
      <c r="B1056" s="19"/>
      <c r="C1056" s="4"/>
      <c r="D1056" s="4"/>
      <c r="E1056" s="5"/>
      <c r="F1056" s="4"/>
      <c r="G1056" s="4"/>
      <c r="H1056" s="4"/>
      <c r="I1056" s="4"/>
      <c r="J1056" s="4"/>
      <c r="K1056" s="4"/>
      <c r="L1056" s="4"/>
      <c r="M1056" s="4"/>
      <c r="N1056" s="4"/>
      <c r="O1056" s="4"/>
      <c r="P1056" s="4"/>
      <c r="Q1056" s="4"/>
      <c r="R1056" s="4"/>
      <c r="S1056" s="19"/>
    </row>
    <row r="1057" spans="1:19" ht="17.399999999999999" x14ac:dyDescent="0.25">
      <c r="A1057" s="4"/>
      <c r="B1057" s="19"/>
      <c r="C1057" s="4"/>
      <c r="D1057" s="4"/>
      <c r="E1057" s="5"/>
      <c r="F1057" s="4"/>
      <c r="G1057" s="4"/>
      <c r="H1057" s="4"/>
      <c r="I1057" s="4"/>
      <c r="J1057" s="4"/>
      <c r="K1057" s="4"/>
      <c r="L1057" s="4"/>
      <c r="M1057" s="4"/>
      <c r="N1057" s="4"/>
      <c r="O1057" s="4"/>
      <c r="P1057" s="4"/>
      <c r="Q1057" s="4"/>
      <c r="R1057" s="4"/>
      <c r="S1057" s="19"/>
    </row>
    <row r="1058" spans="1:19" ht="17.399999999999999" x14ac:dyDescent="0.25">
      <c r="A1058" s="4"/>
      <c r="B1058" s="19"/>
      <c r="C1058" s="4"/>
      <c r="D1058" s="4"/>
      <c r="E1058" s="5"/>
      <c r="F1058" s="4"/>
      <c r="G1058" s="4"/>
      <c r="H1058" s="4"/>
      <c r="I1058" s="4"/>
      <c r="J1058" s="4"/>
      <c r="K1058" s="4"/>
      <c r="L1058" s="4"/>
      <c r="M1058" s="4"/>
      <c r="N1058" s="4"/>
      <c r="O1058" s="4"/>
      <c r="P1058" s="4"/>
      <c r="Q1058" s="4"/>
      <c r="R1058" s="4"/>
      <c r="S1058" s="19"/>
    </row>
    <row r="1059" spans="1:19" ht="17.399999999999999" x14ac:dyDescent="0.25">
      <c r="A1059" s="4"/>
      <c r="B1059" s="19"/>
      <c r="C1059" s="4"/>
      <c r="D1059" s="4"/>
      <c r="E1059" s="5"/>
      <c r="F1059" s="4"/>
      <c r="G1059" s="4"/>
      <c r="H1059" s="4"/>
      <c r="I1059" s="4"/>
      <c r="J1059" s="4"/>
      <c r="K1059" s="4"/>
      <c r="L1059" s="4"/>
      <c r="M1059" s="4"/>
      <c r="N1059" s="4"/>
      <c r="O1059" s="4"/>
      <c r="P1059" s="4"/>
      <c r="Q1059" s="4"/>
      <c r="R1059" s="4"/>
      <c r="S1059" s="19"/>
    </row>
    <row r="1060" spans="1:19" ht="17.399999999999999" x14ac:dyDescent="0.25">
      <c r="A1060" s="4"/>
      <c r="B1060" s="19"/>
      <c r="C1060" s="4"/>
      <c r="D1060" s="4"/>
      <c r="E1060" s="5"/>
      <c r="F1060" s="4"/>
      <c r="G1060" s="4"/>
      <c r="H1060" s="4"/>
      <c r="I1060" s="4"/>
      <c r="J1060" s="4"/>
      <c r="K1060" s="4"/>
      <c r="L1060" s="4"/>
      <c r="M1060" s="4"/>
      <c r="N1060" s="4"/>
      <c r="O1060" s="4"/>
      <c r="P1060" s="4"/>
      <c r="Q1060" s="4"/>
      <c r="R1060" s="4"/>
      <c r="S1060" s="19"/>
    </row>
    <row r="1061" spans="1:19" ht="17.399999999999999" x14ac:dyDescent="0.25">
      <c r="A1061" s="4"/>
      <c r="B1061" s="19"/>
      <c r="C1061" s="4"/>
      <c r="D1061" s="4"/>
      <c r="E1061" s="5"/>
      <c r="F1061" s="4"/>
      <c r="G1061" s="4"/>
      <c r="H1061" s="4"/>
      <c r="I1061" s="4"/>
      <c r="J1061" s="4"/>
      <c r="K1061" s="4"/>
      <c r="L1061" s="4"/>
      <c r="M1061" s="4"/>
      <c r="N1061" s="4"/>
      <c r="O1061" s="4"/>
      <c r="P1061" s="4"/>
      <c r="Q1061" s="4"/>
      <c r="R1061" s="4"/>
      <c r="S1061" s="19"/>
    </row>
    <row r="1062" spans="1:19" ht="17.399999999999999" x14ac:dyDescent="0.25">
      <c r="A1062" s="4"/>
      <c r="B1062" s="19"/>
      <c r="C1062" s="4"/>
      <c r="D1062" s="4"/>
      <c r="E1062" s="5"/>
      <c r="F1062" s="4"/>
      <c r="G1062" s="4"/>
      <c r="H1062" s="4"/>
      <c r="I1062" s="4"/>
      <c r="J1062" s="4"/>
      <c r="K1062" s="4"/>
      <c r="L1062" s="4"/>
      <c r="M1062" s="4"/>
      <c r="N1062" s="4"/>
      <c r="O1062" s="4"/>
      <c r="P1062" s="4"/>
      <c r="Q1062" s="4"/>
      <c r="R1062" s="4"/>
      <c r="S1062" s="19"/>
    </row>
    <row r="1063" spans="1:19" ht="17.399999999999999" x14ac:dyDescent="0.25">
      <c r="A1063" s="4"/>
      <c r="B1063" s="19"/>
      <c r="C1063" s="4"/>
      <c r="D1063" s="4"/>
      <c r="E1063" s="5"/>
      <c r="F1063" s="4"/>
      <c r="G1063" s="4"/>
      <c r="H1063" s="4"/>
      <c r="I1063" s="4"/>
      <c r="J1063" s="4"/>
      <c r="K1063" s="4"/>
      <c r="L1063" s="4"/>
      <c r="M1063" s="4"/>
      <c r="N1063" s="4"/>
      <c r="O1063" s="4"/>
      <c r="P1063" s="4"/>
      <c r="Q1063" s="4"/>
      <c r="R1063" s="4"/>
      <c r="S1063" s="19"/>
    </row>
    <row r="1064" spans="1:19" ht="17.399999999999999" x14ac:dyDescent="0.25">
      <c r="A1064" s="4"/>
      <c r="B1064" s="19"/>
      <c r="C1064" s="4"/>
      <c r="D1064" s="4"/>
      <c r="E1064" s="5"/>
      <c r="F1064" s="4"/>
      <c r="G1064" s="4"/>
      <c r="H1064" s="4"/>
      <c r="I1064" s="4"/>
      <c r="J1064" s="4"/>
      <c r="K1064" s="4"/>
      <c r="L1064" s="4"/>
      <c r="M1064" s="4"/>
      <c r="N1064" s="4"/>
      <c r="O1064" s="4"/>
      <c r="P1064" s="4"/>
      <c r="Q1064" s="4"/>
      <c r="R1064" s="4"/>
      <c r="S1064" s="19"/>
    </row>
    <row r="1065" spans="1:19" ht="17.399999999999999" x14ac:dyDescent="0.25">
      <c r="A1065" s="4"/>
      <c r="B1065" s="19"/>
      <c r="C1065" s="4"/>
      <c r="D1065" s="4"/>
      <c r="E1065" s="5"/>
      <c r="F1065" s="4"/>
      <c r="G1065" s="4"/>
      <c r="H1065" s="4"/>
      <c r="I1065" s="4"/>
      <c r="J1065" s="4"/>
      <c r="K1065" s="4"/>
      <c r="L1065" s="4"/>
      <c r="M1065" s="4"/>
      <c r="N1065" s="4"/>
      <c r="O1065" s="4"/>
      <c r="P1065" s="4"/>
      <c r="Q1065" s="4"/>
      <c r="R1065" s="4"/>
      <c r="S1065" s="19"/>
    </row>
    <row r="1066" spans="1:19" ht="17.399999999999999" x14ac:dyDescent="0.25">
      <c r="A1066" s="4"/>
      <c r="B1066" s="19"/>
      <c r="C1066" s="4"/>
      <c r="D1066" s="4"/>
      <c r="E1066" s="5"/>
      <c r="F1066" s="4"/>
      <c r="G1066" s="4"/>
      <c r="H1066" s="4"/>
      <c r="I1066" s="4"/>
      <c r="J1066" s="4"/>
      <c r="K1066" s="4"/>
      <c r="L1066" s="4"/>
      <c r="M1066" s="4"/>
      <c r="N1066" s="4"/>
      <c r="O1066" s="4"/>
      <c r="P1066" s="4"/>
      <c r="Q1066" s="4"/>
      <c r="R1066" s="4"/>
      <c r="S1066" s="19"/>
    </row>
    <row r="1067" spans="1:19" ht="17.399999999999999" x14ac:dyDescent="0.25">
      <c r="A1067" s="4"/>
      <c r="B1067" s="19"/>
      <c r="C1067" s="4"/>
      <c r="D1067" s="4"/>
      <c r="E1067" s="5"/>
      <c r="F1067" s="4"/>
      <c r="G1067" s="4"/>
      <c r="H1067" s="4"/>
      <c r="I1067" s="4"/>
      <c r="J1067" s="4"/>
      <c r="K1067" s="4"/>
      <c r="L1067" s="4"/>
      <c r="M1067" s="4"/>
      <c r="N1067" s="4"/>
      <c r="O1067" s="4"/>
      <c r="P1067" s="4"/>
      <c r="Q1067" s="4"/>
      <c r="R1067" s="4"/>
      <c r="S1067" s="19"/>
    </row>
    <row r="1068" spans="1:19" ht="17.399999999999999" x14ac:dyDescent="0.25">
      <c r="A1068" s="4"/>
      <c r="B1068" s="19"/>
      <c r="C1068" s="4"/>
      <c r="D1068" s="4"/>
      <c r="E1068" s="5"/>
      <c r="F1068" s="4"/>
      <c r="G1068" s="4"/>
      <c r="H1068" s="4"/>
      <c r="I1068" s="4"/>
      <c r="J1068" s="4"/>
      <c r="K1068" s="4"/>
      <c r="L1068" s="4"/>
      <c r="M1068" s="4"/>
      <c r="N1068" s="4"/>
      <c r="O1068" s="4"/>
      <c r="P1068" s="4"/>
      <c r="Q1068" s="4"/>
      <c r="R1068" s="4"/>
      <c r="S1068" s="19"/>
    </row>
    <row r="1069" spans="1:19" ht="17.399999999999999" x14ac:dyDescent="0.25">
      <c r="A1069" s="4"/>
      <c r="B1069" s="19"/>
      <c r="C1069" s="4"/>
      <c r="D1069" s="4"/>
      <c r="E1069" s="5"/>
      <c r="F1069" s="4"/>
      <c r="G1069" s="4"/>
      <c r="H1069" s="4"/>
      <c r="I1069" s="4"/>
      <c r="J1069" s="4"/>
      <c r="K1069" s="4"/>
      <c r="L1069" s="4"/>
      <c r="M1069" s="4"/>
      <c r="N1069" s="4"/>
      <c r="O1069" s="4"/>
      <c r="P1069" s="4"/>
      <c r="Q1069" s="4"/>
      <c r="R1069" s="4"/>
      <c r="S1069" s="19"/>
    </row>
    <row r="1070" spans="1:19" ht="17.399999999999999" x14ac:dyDescent="0.25">
      <c r="A1070" s="4"/>
      <c r="B1070" s="19"/>
      <c r="C1070" s="4"/>
      <c r="D1070" s="4"/>
      <c r="E1070" s="5"/>
      <c r="F1070" s="4"/>
      <c r="G1070" s="4"/>
      <c r="H1070" s="4"/>
      <c r="I1070" s="4"/>
      <c r="J1070" s="4"/>
      <c r="K1070" s="4"/>
      <c r="L1070" s="4"/>
      <c r="M1070" s="4"/>
      <c r="N1070" s="4"/>
      <c r="O1070" s="4"/>
      <c r="P1070" s="4"/>
      <c r="Q1070" s="4"/>
      <c r="R1070" s="4"/>
      <c r="S1070" s="19"/>
    </row>
    <row r="1071" spans="1:19" ht="17.399999999999999" x14ac:dyDescent="0.25">
      <c r="A1071" s="4"/>
      <c r="B1071" s="19"/>
      <c r="C1071" s="4"/>
      <c r="D1071" s="4"/>
      <c r="E1071" s="5"/>
      <c r="F1071" s="4"/>
      <c r="G1071" s="4"/>
      <c r="H1071" s="4"/>
      <c r="I1071" s="4"/>
      <c r="J1071" s="4"/>
      <c r="K1071" s="4"/>
      <c r="L1071" s="4"/>
      <c r="M1071" s="4"/>
      <c r="N1071" s="4"/>
      <c r="O1071" s="4"/>
      <c r="P1071" s="4"/>
      <c r="Q1071" s="4"/>
      <c r="R1071" s="4"/>
      <c r="S1071" s="19"/>
    </row>
    <row r="1072" spans="1:19" ht="17.399999999999999" x14ac:dyDescent="0.25">
      <c r="A1072" s="4"/>
      <c r="B1072" s="19"/>
      <c r="C1072" s="4"/>
      <c r="D1072" s="4"/>
      <c r="E1072" s="5"/>
      <c r="F1072" s="4"/>
      <c r="G1072" s="4"/>
      <c r="H1072" s="4"/>
      <c r="I1072" s="4"/>
      <c r="J1072" s="4"/>
      <c r="K1072" s="4"/>
      <c r="L1072" s="4"/>
      <c r="M1072" s="4"/>
      <c r="N1072" s="4"/>
      <c r="O1072" s="4"/>
      <c r="P1072" s="4"/>
      <c r="Q1072" s="4"/>
      <c r="R1072" s="4"/>
      <c r="S1072" s="19"/>
    </row>
    <row r="1073" spans="1:19" ht="17.399999999999999" x14ac:dyDescent="0.25">
      <c r="A1073" s="4"/>
      <c r="B1073" s="19"/>
      <c r="C1073" s="4"/>
      <c r="D1073" s="4"/>
      <c r="E1073" s="5"/>
      <c r="F1073" s="4"/>
      <c r="G1073" s="4"/>
      <c r="H1073" s="4"/>
      <c r="I1073" s="4"/>
      <c r="J1073" s="4"/>
      <c r="K1073" s="4"/>
      <c r="L1073" s="4"/>
      <c r="M1073" s="4"/>
      <c r="N1073" s="4"/>
      <c r="O1073" s="4"/>
      <c r="P1073" s="4"/>
      <c r="Q1073" s="4"/>
      <c r="R1073" s="4"/>
      <c r="S1073" s="19"/>
    </row>
    <row r="1074" spans="1:19" ht="17.399999999999999" x14ac:dyDescent="0.25">
      <c r="A1074" s="4"/>
      <c r="B1074" s="19"/>
      <c r="C1074" s="4"/>
      <c r="D1074" s="4"/>
      <c r="E1074" s="5"/>
      <c r="F1074" s="4"/>
      <c r="G1074" s="4"/>
      <c r="H1074" s="4"/>
      <c r="I1074" s="4"/>
      <c r="J1074" s="4"/>
      <c r="K1074" s="4"/>
      <c r="L1074" s="4"/>
      <c r="M1074" s="4"/>
      <c r="N1074" s="4"/>
      <c r="O1074" s="4"/>
      <c r="P1074" s="4"/>
      <c r="Q1074" s="4"/>
      <c r="R1074" s="4"/>
      <c r="S1074" s="19"/>
    </row>
    <row r="1075" spans="1:19" ht="17.399999999999999" x14ac:dyDescent="0.25">
      <c r="A1075" s="4"/>
      <c r="B1075" s="19"/>
      <c r="C1075" s="4"/>
      <c r="D1075" s="4"/>
      <c r="E1075" s="5"/>
      <c r="F1075" s="4"/>
      <c r="G1075" s="4"/>
      <c r="H1075" s="4"/>
      <c r="I1075" s="4"/>
      <c r="J1075" s="4"/>
      <c r="K1075" s="4"/>
      <c r="L1075" s="4"/>
      <c r="M1075" s="4"/>
      <c r="N1075" s="4"/>
      <c r="O1075" s="4"/>
      <c r="P1075" s="4"/>
      <c r="Q1075" s="4"/>
      <c r="R1075" s="4"/>
      <c r="S1075" s="19"/>
    </row>
    <row r="1076" spans="1:19" ht="17.399999999999999" x14ac:dyDescent="0.25">
      <c r="A1076" s="4"/>
      <c r="B1076" s="19"/>
      <c r="C1076" s="4"/>
      <c r="D1076" s="4"/>
      <c r="E1076" s="5"/>
      <c r="F1076" s="4"/>
      <c r="G1076" s="4"/>
      <c r="H1076" s="4"/>
      <c r="I1076" s="4"/>
      <c r="J1076" s="4"/>
      <c r="K1076" s="4"/>
      <c r="L1076" s="4"/>
      <c r="M1076" s="4"/>
      <c r="N1076" s="4"/>
      <c r="O1076" s="4"/>
      <c r="P1076" s="4"/>
      <c r="Q1076" s="4"/>
      <c r="R1076" s="4"/>
      <c r="S1076" s="19"/>
    </row>
    <row r="1077" spans="1:19" ht="17.399999999999999" x14ac:dyDescent="0.25">
      <c r="A1077" s="4"/>
      <c r="B1077" s="19"/>
      <c r="C1077" s="4"/>
      <c r="D1077" s="4"/>
      <c r="E1077" s="5"/>
      <c r="F1077" s="4"/>
      <c r="G1077" s="4"/>
      <c r="H1077" s="4"/>
      <c r="I1077" s="4"/>
      <c r="J1077" s="4"/>
      <c r="K1077" s="4"/>
      <c r="L1077" s="4"/>
      <c r="M1077" s="4"/>
      <c r="N1077" s="4"/>
      <c r="O1077" s="4"/>
      <c r="P1077" s="4"/>
      <c r="Q1077" s="4"/>
      <c r="R1077" s="4"/>
      <c r="S1077" s="19"/>
    </row>
    <row r="1078" spans="1:19" ht="17.399999999999999" x14ac:dyDescent="0.25">
      <c r="A1078" s="4"/>
      <c r="B1078" s="19"/>
      <c r="C1078" s="4"/>
      <c r="D1078" s="4"/>
      <c r="E1078" s="5"/>
      <c r="F1078" s="4"/>
      <c r="G1078" s="4"/>
      <c r="H1078" s="4"/>
      <c r="I1078" s="4"/>
      <c r="J1078" s="4"/>
      <c r="K1078" s="4"/>
      <c r="L1078" s="4"/>
      <c r="M1078" s="4"/>
      <c r="N1078" s="4"/>
      <c r="O1078" s="4"/>
      <c r="P1078" s="4"/>
      <c r="Q1078" s="4"/>
      <c r="R1078" s="4"/>
      <c r="S1078" s="19"/>
    </row>
    <row r="1079" spans="1:19" ht="17.399999999999999" x14ac:dyDescent="0.25">
      <c r="A1079" s="4"/>
      <c r="B1079" s="19"/>
      <c r="C1079" s="4"/>
      <c r="D1079" s="4"/>
      <c r="E1079" s="5"/>
      <c r="F1079" s="4"/>
      <c r="G1079" s="4"/>
      <c r="H1079" s="4"/>
      <c r="I1079" s="4"/>
      <c r="J1079" s="4"/>
      <c r="K1079" s="4"/>
      <c r="L1079" s="4"/>
      <c r="M1079" s="4"/>
      <c r="N1079" s="4"/>
      <c r="O1079" s="4"/>
      <c r="P1079" s="4"/>
      <c r="Q1079" s="4"/>
      <c r="R1079" s="4"/>
      <c r="S1079" s="19"/>
    </row>
    <row r="1080" spans="1:19" ht="17.399999999999999" x14ac:dyDescent="0.25">
      <c r="A1080" s="4"/>
      <c r="B1080" s="19"/>
      <c r="C1080" s="4"/>
      <c r="D1080" s="4"/>
      <c r="E1080" s="5"/>
      <c r="F1080" s="4"/>
      <c r="G1080" s="4"/>
      <c r="H1080" s="4"/>
      <c r="I1080" s="4"/>
      <c r="J1080" s="4"/>
      <c r="K1080" s="4"/>
      <c r="L1080" s="4"/>
      <c r="M1080" s="4"/>
      <c r="N1080" s="4"/>
      <c r="O1080" s="4"/>
      <c r="P1080" s="4"/>
      <c r="Q1080" s="4"/>
      <c r="R1080" s="4"/>
      <c r="S1080" s="19"/>
    </row>
    <row r="1081" spans="1:19" ht="17.399999999999999" x14ac:dyDescent="0.25">
      <c r="A1081" s="4"/>
      <c r="B1081" s="19"/>
      <c r="C1081" s="4"/>
      <c r="D1081" s="4"/>
      <c r="E1081" s="5"/>
      <c r="F1081" s="4"/>
      <c r="G1081" s="4"/>
      <c r="H1081" s="4"/>
      <c r="I1081" s="4"/>
      <c r="J1081" s="4"/>
      <c r="K1081" s="4"/>
      <c r="L1081" s="4"/>
      <c r="M1081" s="4"/>
      <c r="N1081" s="4"/>
      <c r="O1081" s="4"/>
      <c r="P1081" s="4"/>
      <c r="Q1081" s="4"/>
      <c r="R1081" s="4"/>
      <c r="S1081" s="19"/>
    </row>
    <row r="1082" spans="1:19" ht="17.399999999999999" x14ac:dyDescent="0.25">
      <c r="A1082" s="4"/>
      <c r="B1082" s="19"/>
      <c r="C1082" s="4"/>
      <c r="D1082" s="4"/>
      <c r="E1082" s="5"/>
      <c r="F1082" s="4"/>
      <c r="G1082" s="4"/>
      <c r="H1082" s="4"/>
      <c r="I1082" s="4"/>
      <c r="J1082" s="4"/>
      <c r="K1082" s="4"/>
      <c r="L1082" s="4"/>
      <c r="M1082" s="4"/>
      <c r="N1082" s="4"/>
      <c r="O1082" s="4"/>
      <c r="P1082" s="4"/>
      <c r="Q1082" s="4"/>
      <c r="R1082" s="4"/>
      <c r="S1082" s="19"/>
    </row>
    <row r="1083" spans="1:19" ht="17.399999999999999" x14ac:dyDescent="0.25">
      <c r="A1083" s="4"/>
      <c r="B1083" s="19"/>
      <c r="C1083" s="4"/>
      <c r="D1083" s="4"/>
      <c r="E1083" s="5"/>
      <c r="F1083" s="4"/>
      <c r="G1083" s="4"/>
      <c r="H1083" s="4"/>
      <c r="I1083" s="4"/>
      <c r="J1083" s="4"/>
      <c r="K1083" s="4"/>
      <c r="L1083" s="4"/>
      <c r="M1083" s="4"/>
      <c r="N1083" s="4"/>
      <c r="O1083" s="4"/>
      <c r="P1083" s="4"/>
      <c r="Q1083" s="4"/>
      <c r="R1083" s="4"/>
      <c r="S1083" s="19"/>
    </row>
    <row r="1084" spans="1:19" ht="17.399999999999999" x14ac:dyDescent="0.25">
      <c r="A1084" s="4"/>
      <c r="B1084" s="19"/>
      <c r="C1084" s="4"/>
      <c r="D1084" s="4"/>
      <c r="E1084" s="5"/>
      <c r="F1084" s="4"/>
      <c r="G1084" s="4"/>
      <c r="H1084" s="4"/>
      <c r="I1084" s="4"/>
      <c r="J1084" s="4"/>
      <c r="K1084" s="4"/>
      <c r="L1084" s="4"/>
      <c r="M1084" s="4"/>
      <c r="N1084" s="4"/>
      <c r="O1084" s="4"/>
      <c r="P1084" s="4"/>
      <c r="Q1084" s="4"/>
      <c r="R1084" s="4"/>
      <c r="S1084" s="19"/>
    </row>
    <row r="1085" spans="1:19" ht="17.399999999999999" x14ac:dyDescent="0.25">
      <c r="A1085" s="4"/>
      <c r="B1085" s="19"/>
      <c r="C1085" s="4"/>
      <c r="D1085" s="4"/>
      <c r="E1085" s="5"/>
      <c r="F1085" s="4"/>
      <c r="G1085" s="4"/>
      <c r="H1085" s="4"/>
      <c r="I1085" s="4"/>
      <c r="J1085" s="4"/>
      <c r="K1085" s="4"/>
      <c r="L1085" s="4"/>
      <c r="M1085" s="4"/>
      <c r="N1085" s="4"/>
      <c r="O1085" s="4"/>
      <c r="P1085" s="4"/>
      <c r="Q1085" s="4"/>
      <c r="R1085" s="4"/>
      <c r="S1085" s="19"/>
    </row>
    <row r="1086" spans="1:19" ht="17.399999999999999" x14ac:dyDescent="0.25">
      <c r="A1086" s="4"/>
      <c r="B1086" s="19"/>
      <c r="C1086" s="4"/>
      <c r="D1086" s="4"/>
      <c r="E1086" s="5"/>
      <c r="F1086" s="4"/>
      <c r="G1086" s="4"/>
      <c r="H1086" s="4"/>
      <c r="I1086" s="4"/>
      <c r="J1086" s="4"/>
      <c r="K1086" s="4"/>
      <c r="L1086" s="4"/>
      <c r="M1086" s="4"/>
      <c r="N1086" s="4"/>
      <c r="O1086" s="4"/>
      <c r="P1086" s="4"/>
      <c r="Q1086" s="4"/>
      <c r="R1086" s="4"/>
      <c r="S1086" s="19"/>
    </row>
    <row r="1087" spans="1:19" ht="17.399999999999999" x14ac:dyDescent="0.25">
      <c r="A1087" s="4"/>
      <c r="B1087" s="19"/>
      <c r="C1087" s="4"/>
      <c r="D1087" s="4"/>
      <c r="E1087" s="5"/>
      <c r="F1087" s="4"/>
      <c r="G1087" s="4"/>
      <c r="H1087" s="4"/>
      <c r="I1087" s="4"/>
      <c r="J1087" s="4"/>
      <c r="K1087" s="4"/>
      <c r="L1087" s="4"/>
      <c r="M1087" s="4"/>
      <c r="N1087" s="4"/>
      <c r="O1087" s="4"/>
      <c r="P1087" s="4"/>
      <c r="Q1087" s="4"/>
      <c r="R1087" s="4"/>
      <c r="S1087" s="19"/>
    </row>
    <row r="1088" spans="1:19" ht="17.399999999999999" x14ac:dyDescent="0.25">
      <c r="A1088" s="4"/>
      <c r="B1088" s="19"/>
      <c r="C1088" s="4"/>
      <c r="D1088" s="4"/>
      <c r="E1088" s="5"/>
      <c r="F1088" s="4"/>
      <c r="G1088" s="4"/>
      <c r="H1088" s="4"/>
      <c r="I1088" s="4"/>
      <c r="J1088" s="4"/>
      <c r="K1088" s="4"/>
      <c r="L1088" s="4"/>
      <c r="M1088" s="4"/>
      <c r="N1088" s="4"/>
      <c r="O1088" s="4"/>
      <c r="P1088" s="4"/>
      <c r="Q1088" s="4"/>
      <c r="R1088" s="4"/>
      <c r="S1088" s="19"/>
    </row>
    <row r="1089" spans="1:19" ht="17.399999999999999" x14ac:dyDescent="0.25">
      <c r="A1089" s="4"/>
      <c r="B1089" s="19"/>
      <c r="C1089" s="4"/>
      <c r="D1089" s="4"/>
      <c r="E1089" s="5"/>
      <c r="F1089" s="4"/>
      <c r="G1089" s="4"/>
      <c r="H1089" s="4"/>
      <c r="I1089" s="4"/>
      <c r="J1089" s="4"/>
      <c r="K1089" s="4"/>
      <c r="L1089" s="4"/>
      <c r="M1089" s="4"/>
      <c r="N1089" s="4"/>
      <c r="O1089" s="4"/>
      <c r="P1089" s="4"/>
      <c r="Q1089" s="4"/>
      <c r="R1089" s="4"/>
      <c r="S1089" s="19"/>
    </row>
    <row r="1090" spans="1:19" ht="17.399999999999999" x14ac:dyDescent="0.25">
      <c r="A1090" s="4"/>
      <c r="B1090" s="19"/>
      <c r="C1090" s="4"/>
      <c r="D1090" s="4"/>
      <c r="E1090" s="5"/>
      <c r="F1090" s="4"/>
      <c r="G1090" s="4"/>
      <c r="H1090" s="4"/>
      <c r="I1090" s="4"/>
      <c r="J1090" s="4"/>
      <c r="K1090" s="4"/>
      <c r="L1090" s="4"/>
      <c r="M1090" s="4"/>
      <c r="N1090" s="4"/>
      <c r="O1090" s="4"/>
      <c r="P1090" s="4"/>
      <c r="Q1090" s="4"/>
      <c r="R1090" s="4"/>
      <c r="S1090" s="19"/>
    </row>
    <row r="1091" spans="1:19" ht="17.399999999999999" x14ac:dyDescent="0.25">
      <c r="A1091" s="4"/>
      <c r="B1091" s="19"/>
      <c r="C1091" s="4"/>
      <c r="D1091" s="4"/>
      <c r="E1091" s="5"/>
      <c r="F1091" s="4"/>
      <c r="G1091" s="4"/>
      <c r="H1091" s="4"/>
      <c r="I1091" s="4"/>
      <c r="J1091" s="4"/>
      <c r="K1091" s="4"/>
      <c r="L1091" s="4"/>
      <c r="M1091" s="4"/>
      <c r="N1091" s="4"/>
      <c r="O1091" s="4"/>
      <c r="P1091" s="4"/>
      <c r="Q1091" s="4"/>
      <c r="R1091" s="4"/>
      <c r="S1091" s="19"/>
    </row>
    <row r="1092" spans="1:19" ht="17.399999999999999" x14ac:dyDescent="0.25">
      <c r="A1092" s="4"/>
      <c r="B1092" s="19"/>
      <c r="C1092" s="4"/>
      <c r="D1092" s="4"/>
      <c r="E1092" s="5"/>
      <c r="F1092" s="4"/>
      <c r="G1092" s="4"/>
      <c r="H1092" s="4"/>
      <c r="I1092" s="4"/>
      <c r="J1092" s="4"/>
      <c r="K1092" s="4"/>
      <c r="L1092" s="4"/>
      <c r="M1092" s="4"/>
      <c r="N1092" s="4"/>
      <c r="O1092" s="4"/>
      <c r="P1092" s="4"/>
      <c r="Q1092" s="4"/>
      <c r="R1092" s="4"/>
      <c r="S1092" s="19"/>
    </row>
    <row r="1093" spans="1:19" ht="17.399999999999999" x14ac:dyDescent="0.25">
      <c r="A1093" s="4"/>
      <c r="B1093" s="19"/>
      <c r="C1093" s="4"/>
      <c r="D1093" s="4"/>
      <c r="E1093" s="5"/>
      <c r="F1093" s="4"/>
      <c r="G1093" s="4"/>
      <c r="H1093" s="4"/>
      <c r="I1093" s="4"/>
      <c r="J1093" s="4"/>
      <c r="K1093" s="4"/>
      <c r="L1093" s="4"/>
      <c r="M1093" s="4"/>
      <c r="N1093" s="4"/>
      <c r="O1093" s="4"/>
      <c r="P1093" s="4"/>
      <c r="Q1093" s="4"/>
      <c r="R1093" s="4"/>
      <c r="S1093" s="19"/>
    </row>
    <row r="1094" spans="1:19" ht="17.399999999999999" x14ac:dyDescent="0.25">
      <c r="A1094" s="4"/>
      <c r="B1094" s="19"/>
      <c r="C1094" s="4"/>
      <c r="D1094" s="4"/>
      <c r="E1094" s="5"/>
      <c r="F1094" s="4"/>
      <c r="G1094" s="4"/>
      <c r="H1094" s="4"/>
      <c r="I1094" s="4"/>
      <c r="J1094" s="4"/>
      <c r="K1094" s="4"/>
      <c r="L1094" s="4"/>
      <c r="M1094" s="4"/>
      <c r="N1094" s="4"/>
      <c r="O1094" s="4"/>
      <c r="P1094" s="4"/>
      <c r="Q1094" s="4"/>
      <c r="R1094" s="4"/>
      <c r="S1094" s="19"/>
    </row>
    <row r="1095" spans="1:19" ht="17.399999999999999" x14ac:dyDescent="0.25">
      <c r="A1095" s="4"/>
      <c r="B1095" s="19"/>
      <c r="C1095" s="4"/>
      <c r="D1095" s="4"/>
      <c r="E1095" s="5"/>
      <c r="F1095" s="4"/>
      <c r="G1095" s="4"/>
      <c r="H1095" s="4"/>
      <c r="I1095" s="4"/>
      <c r="J1095" s="4"/>
      <c r="K1095" s="4"/>
      <c r="L1095" s="4"/>
      <c r="M1095" s="4"/>
      <c r="N1095" s="4"/>
      <c r="O1095" s="4"/>
      <c r="P1095" s="4"/>
      <c r="Q1095" s="4"/>
      <c r="R1095" s="4"/>
      <c r="S1095" s="19"/>
    </row>
    <row r="1096" spans="1:19" ht="17.399999999999999" x14ac:dyDescent="0.25">
      <c r="A1096" s="4"/>
      <c r="B1096" s="19"/>
      <c r="C1096" s="4"/>
      <c r="D1096" s="4"/>
      <c r="E1096" s="5"/>
      <c r="F1096" s="4"/>
      <c r="G1096" s="4"/>
      <c r="H1096" s="4"/>
      <c r="I1096" s="4"/>
      <c r="J1096" s="4"/>
      <c r="K1096" s="4"/>
      <c r="L1096" s="4"/>
      <c r="M1096" s="4"/>
      <c r="N1096" s="4"/>
      <c r="O1096" s="4"/>
      <c r="P1096" s="4"/>
      <c r="Q1096" s="4"/>
      <c r="R1096" s="4"/>
      <c r="S1096" s="19"/>
    </row>
    <row r="1097" spans="1:19" ht="17.399999999999999" x14ac:dyDescent="0.25">
      <c r="A1097" s="4"/>
      <c r="B1097" s="19"/>
      <c r="C1097" s="4"/>
      <c r="D1097" s="4"/>
      <c r="E1097" s="5"/>
      <c r="F1097" s="4"/>
      <c r="G1097" s="4"/>
      <c r="H1097" s="4"/>
      <c r="I1097" s="4"/>
      <c r="J1097" s="4"/>
      <c r="K1097" s="4"/>
      <c r="L1097" s="4"/>
      <c r="M1097" s="4"/>
      <c r="N1097" s="4"/>
      <c r="O1097" s="4"/>
      <c r="P1097" s="4"/>
      <c r="Q1097" s="4"/>
      <c r="R1097" s="4"/>
      <c r="S1097" s="19"/>
    </row>
    <row r="1098" spans="1:19" ht="17.399999999999999" x14ac:dyDescent="0.25">
      <c r="G1098" s="4"/>
      <c r="H1098" s="4"/>
      <c r="I1098" s="4"/>
      <c r="J1098" s="4"/>
      <c r="K1098" s="4"/>
      <c r="L1098" s="4"/>
      <c r="M1098" s="4"/>
      <c r="N1098" s="4"/>
      <c r="O1098" s="4"/>
      <c r="P1098" s="4"/>
      <c r="Q1098" s="4"/>
      <c r="R1098" s="4"/>
    </row>
    <row r="1099" spans="1:19" ht="17.399999999999999" x14ac:dyDescent="0.25">
      <c r="G1099" s="4"/>
      <c r="H1099" s="4"/>
      <c r="I1099" s="4"/>
      <c r="J1099" s="4"/>
      <c r="K1099" s="4"/>
      <c r="L1099" s="4"/>
      <c r="M1099" s="4"/>
      <c r="N1099" s="4"/>
      <c r="O1099" s="4"/>
      <c r="P1099" s="4"/>
      <c r="Q1099" s="4"/>
      <c r="R1099" s="4"/>
    </row>
    <row r="1100" spans="1:19" ht="17.399999999999999" x14ac:dyDescent="0.25">
      <c r="G1100" s="4"/>
      <c r="H1100" s="4"/>
      <c r="I1100" s="4"/>
      <c r="J1100" s="4"/>
      <c r="K1100" s="4"/>
      <c r="L1100" s="4"/>
      <c r="M1100" s="4"/>
      <c r="N1100" s="4"/>
      <c r="O1100" s="4"/>
      <c r="P1100" s="4"/>
      <c r="Q1100" s="4"/>
      <c r="R11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5594"/>
  <sheetViews>
    <sheetView workbookViewId="0"/>
  </sheetViews>
  <sheetFormatPr defaultColWidth="12.5546875" defaultRowHeight="15.75" customHeight="1" x14ac:dyDescent="0.25"/>
  <sheetData>
    <row r="1" spans="1:8" ht="15.75" customHeight="1" x14ac:dyDescent="0.3">
      <c r="A1" s="8" t="s">
        <v>1</v>
      </c>
      <c r="B1" s="8" t="s">
        <v>2</v>
      </c>
      <c r="C1" s="9" t="s">
        <v>3</v>
      </c>
      <c r="D1" s="9" t="s">
        <v>4</v>
      </c>
      <c r="E1" s="8" t="s">
        <v>5</v>
      </c>
      <c r="F1" s="9" t="s">
        <v>6</v>
      </c>
      <c r="G1" s="9" t="s">
        <v>7</v>
      </c>
      <c r="H1" s="9" t="s">
        <v>8</v>
      </c>
    </row>
    <row r="2" spans="1:8" ht="15.75" customHeight="1" x14ac:dyDescent="0.3">
      <c r="A2" s="8">
        <v>79749983</v>
      </c>
      <c r="B2" s="10">
        <v>44564</v>
      </c>
      <c r="C2" s="9" t="s">
        <v>178</v>
      </c>
      <c r="D2" s="9" t="s">
        <v>179</v>
      </c>
      <c r="E2" s="8">
        <v>9773.2800000000007</v>
      </c>
      <c r="F2" s="9" t="s">
        <v>70</v>
      </c>
      <c r="G2" s="12">
        <v>44567</v>
      </c>
      <c r="H2" s="9" t="s">
        <v>9</v>
      </c>
    </row>
    <row r="3" spans="1:8" ht="15.75" customHeight="1" x14ac:dyDescent="0.3">
      <c r="A3" s="13">
        <v>79749984</v>
      </c>
      <c r="B3" s="14">
        <v>44564</v>
      </c>
      <c r="C3" s="13" t="s">
        <v>180</v>
      </c>
      <c r="D3" s="13" t="s">
        <v>181</v>
      </c>
      <c r="E3" s="13">
        <v>12795.98</v>
      </c>
      <c r="F3" s="13" t="s">
        <v>70</v>
      </c>
      <c r="G3" s="14">
        <v>44565</v>
      </c>
      <c r="H3" s="13" t="s">
        <v>9</v>
      </c>
    </row>
    <row r="4" spans="1:8" ht="15.75" customHeight="1" x14ac:dyDescent="0.3">
      <c r="A4" s="8">
        <v>79749985</v>
      </c>
      <c r="B4" s="11">
        <v>44564</v>
      </c>
      <c r="C4" s="13" t="s">
        <v>85</v>
      </c>
      <c r="D4" s="13" t="s">
        <v>182</v>
      </c>
      <c r="E4" s="8">
        <v>7500</v>
      </c>
      <c r="F4" s="13" t="s">
        <v>70</v>
      </c>
      <c r="G4" s="14">
        <v>44565</v>
      </c>
      <c r="H4" s="13" t="s">
        <v>9</v>
      </c>
    </row>
    <row r="5" spans="1:8" ht="15.75" customHeight="1" x14ac:dyDescent="0.3">
      <c r="A5" s="8">
        <v>79749986</v>
      </c>
      <c r="B5" s="11">
        <v>44564</v>
      </c>
      <c r="C5" s="13" t="s">
        <v>159</v>
      </c>
      <c r="D5" s="13" t="s">
        <v>183</v>
      </c>
      <c r="E5" s="8">
        <v>750000</v>
      </c>
      <c r="F5" s="13" t="s">
        <v>70</v>
      </c>
      <c r="G5" s="14">
        <v>44565</v>
      </c>
      <c r="H5" s="13" t="s">
        <v>9</v>
      </c>
    </row>
    <row r="6" spans="1:8" ht="15.75" customHeight="1" x14ac:dyDescent="0.3">
      <c r="A6" s="8">
        <v>79749987</v>
      </c>
      <c r="B6" s="11">
        <v>44565</v>
      </c>
      <c r="C6" s="13" t="s">
        <v>184</v>
      </c>
      <c r="D6" s="13" t="s">
        <v>185</v>
      </c>
      <c r="E6" s="8">
        <v>116500</v>
      </c>
      <c r="F6" s="13" t="s">
        <v>70</v>
      </c>
      <c r="G6" s="14">
        <v>44565</v>
      </c>
      <c r="H6" s="13" t="s">
        <v>9</v>
      </c>
    </row>
    <row r="7" spans="1:8" ht="15.75" customHeight="1" x14ac:dyDescent="0.3">
      <c r="A7" s="8">
        <v>79749989</v>
      </c>
      <c r="B7" s="11">
        <v>44565</v>
      </c>
      <c r="C7" s="13" t="s">
        <v>186</v>
      </c>
      <c r="D7" s="13" t="s">
        <v>187</v>
      </c>
      <c r="E7" s="8">
        <v>1918977.18</v>
      </c>
      <c r="F7" s="13" t="s">
        <v>70</v>
      </c>
      <c r="G7" s="14">
        <v>44567</v>
      </c>
      <c r="H7" s="13" t="s">
        <v>9</v>
      </c>
    </row>
    <row r="8" spans="1:8" ht="15.75" customHeight="1" x14ac:dyDescent="0.3">
      <c r="A8" s="8">
        <v>79749990</v>
      </c>
      <c r="B8" s="11">
        <v>44565</v>
      </c>
      <c r="C8" s="13" t="s">
        <v>188</v>
      </c>
      <c r="D8" s="13" t="s">
        <v>187</v>
      </c>
      <c r="E8" s="8">
        <v>352.67</v>
      </c>
      <c r="F8" s="13" t="s">
        <v>70</v>
      </c>
      <c r="G8" s="14">
        <v>44567</v>
      </c>
      <c r="H8" s="13" t="s">
        <v>9</v>
      </c>
    </row>
    <row r="9" spans="1:8" ht="15.75" customHeight="1" x14ac:dyDescent="0.3">
      <c r="A9" s="8">
        <v>79749991</v>
      </c>
      <c r="B9" s="11">
        <v>44565</v>
      </c>
      <c r="C9" s="13" t="s">
        <v>188</v>
      </c>
      <c r="D9" s="13" t="s">
        <v>187</v>
      </c>
      <c r="E9" s="8">
        <v>1304.0999999999999</v>
      </c>
      <c r="F9" s="13" t="s">
        <v>70</v>
      </c>
      <c r="G9" s="14">
        <v>44567</v>
      </c>
      <c r="H9" s="13" t="s">
        <v>9</v>
      </c>
    </row>
    <row r="10" spans="1:8" ht="15.75" customHeight="1" x14ac:dyDescent="0.3">
      <c r="A10" s="8">
        <v>79749992</v>
      </c>
      <c r="B10" s="11">
        <v>44565</v>
      </c>
      <c r="C10" s="13" t="s">
        <v>188</v>
      </c>
      <c r="D10" s="13" t="s">
        <v>187</v>
      </c>
      <c r="E10" s="8">
        <v>5118.6000000000004</v>
      </c>
      <c r="F10" s="13" t="s">
        <v>70</v>
      </c>
      <c r="G10" s="14">
        <v>44567</v>
      </c>
      <c r="H10" s="13" t="s">
        <v>9</v>
      </c>
    </row>
    <row r="11" spans="1:8" ht="15.75" customHeight="1" x14ac:dyDescent="0.3">
      <c r="A11" s="8">
        <v>79749993</v>
      </c>
      <c r="B11" s="11">
        <v>44565</v>
      </c>
      <c r="C11" s="13" t="s">
        <v>189</v>
      </c>
      <c r="D11" s="13" t="s">
        <v>187</v>
      </c>
      <c r="E11" s="8">
        <v>7706235.46</v>
      </c>
      <c r="F11" s="13" t="s">
        <v>70</v>
      </c>
      <c r="G11" s="14">
        <v>44567</v>
      </c>
      <c r="H11" s="13" t="s">
        <v>9</v>
      </c>
    </row>
    <row r="12" spans="1:8" ht="15.75" customHeight="1" x14ac:dyDescent="0.3">
      <c r="A12" s="8">
        <v>79749994</v>
      </c>
      <c r="B12" s="11">
        <v>44566</v>
      </c>
      <c r="C12" s="13" t="s">
        <v>186</v>
      </c>
      <c r="D12" s="13" t="s">
        <v>190</v>
      </c>
      <c r="E12" s="8">
        <v>96138.66</v>
      </c>
      <c r="F12" s="13" t="s">
        <v>70</v>
      </c>
      <c r="G12" s="14">
        <v>44567</v>
      </c>
      <c r="H12" s="13" t="s">
        <v>9</v>
      </c>
    </row>
    <row r="13" spans="1:8" ht="15.75" customHeight="1" x14ac:dyDescent="0.3">
      <c r="A13" s="8">
        <v>79749995</v>
      </c>
      <c r="B13" s="11">
        <v>44566</v>
      </c>
      <c r="C13" s="13" t="s">
        <v>191</v>
      </c>
      <c r="D13" s="13" t="s">
        <v>192</v>
      </c>
      <c r="E13" s="8">
        <v>3689.17</v>
      </c>
      <c r="F13" s="13" t="s">
        <v>70</v>
      </c>
      <c r="G13" s="14">
        <v>44567</v>
      </c>
      <c r="H13" s="13" t="s">
        <v>9</v>
      </c>
    </row>
    <row r="14" spans="1:8" ht="15.75" customHeight="1" x14ac:dyDescent="0.3">
      <c r="A14" s="8">
        <v>79749996</v>
      </c>
      <c r="B14" s="11">
        <v>44566</v>
      </c>
      <c r="C14" s="13" t="s">
        <v>193</v>
      </c>
      <c r="D14" s="13" t="s">
        <v>194</v>
      </c>
      <c r="E14" s="8">
        <v>4474</v>
      </c>
      <c r="F14" s="13" t="s">
        <v>70</v>
      </c>
      <c r="G14" s="14">
        <v>44575</v>
      </c>
      <c r="H14" s="13" t="s">
        <v>9</v>
      </c>
    </row>
    <row r="15" spans="1:8" ht="15.75" customHeight="1" x14ac:dyDescent="0.3">
      <c r="A15" s="8">
        <v>79749997</v>
      </c>
      <c r="B15" s="11">
        <v>44566</v>
      </c>
      <c r="C15" s="13" t="s">
        <v>25</v>
      </c>
      <c r="D15" s="13" t="s">
        <v>192</v>
      </c>
      <c r="E15" s="8">
        <v>2286</v>
      </c>
      <c r="F15" s="13" t="s">
        <v>70</v>
      </c>
      <c r="G15" s="14">
        <v>44580</v>
      </c>
      <c r="H15" s="13" t="s">
        <v>9</v>
      </c>
    </row>
    <row r="16" spans="1:8" ht="15.75" customHeight="1" x14ac:dyDescent="0.3">
      <c r="A16" s="8">
        <v>79749998</v>
      </c>
      <c r="B16" s="11">
        <v>44566</v>
      </c>
      <c r="C16" s="13" t="s">
        <v>195</v>
      </c>
      <c r="D16" s="13" t="s">
        <v>196</v>
      </c>
      <c r="E16" s="8">
        <v>747500</v>
      </c>
      <c r="F16" s="13" t="s">
        <v>70</v>
      </c>
      <c r="G16" s="14">
        <v>44566</v>
      </c>
      <c r="H16" s="13" t="s">
        <v>9</v>
      </c>
    </row>
    <row r="17" spans="1:8" ht="15.75" customHeight="1" x14ac:dyDescent="0.3">
      <c r="A17" s="8">
        <v>79750001</v>
      </c>
      <c r="B17" s="11">
        <v>44566</v>
      </c>
      <c r="C17" s="13" t="s">
        <v>197</v>
      </c>
      <c r="D17" s="13" t="s">
        <v>198</v>
      </c>
      <c r="E17" s="8">
        <v>1780654.09</v>
      </c>
      <c r="F17" s="13" t="s">
        <v>70</v>
      </c>
      <c r="G17" s="14">
        <v>44575</v>
      </c>
      <c r="H17" s="13" t="s">
        <v>9</v>
      </c>
    </row>
    <row r="18" spans="1:8" ht="15.75" customHeight="1" x14ac:dyDescent="0.3">
      <c r="A18" s="8">
        <v>79750002</v>
      </c>
      <c r="B18" s="11">
        <v>44566</v>
      </c>
      <c r="C18" s="13" t="s">
        <v>44</v>
      </c>
      <c r="D18" s="13" t="s">
        <v>199</v>
      </c>
      <c r="E18" s="8">
        <v>51562.5</v>
      </c>
      <c r="F18" s="13" t="s">
        <v>70</v>
      </c>
      <c r="G18" s="14">
        <v>44567</v>
      </c>
      <c r="H18" s="13" t="s">
        <v>9</v>
      </c>
    </row>
    <row r="19" spans="1:8" ht="15.75" customHeight="1" x14ac:dyDescent="0.3">
      <c r="A19" s="8">
        <v>79750003</v>
      </c>
      <c r="B19" s="11">
        <v>44566</v>
      </c>
      <c r="C19" s="13" t="s">
        <v>44</v>
      </c>
      <c r="D19" s="13" t="s">
        <v>200</v>
      </c>
      <c r="E19" s="8">
        <v>12890.62</v>
      </c>
      <c r="F19" s="13" t="s">
        <v>70</v>
      </c>
      <c r="G19" s="14">
        <v>44567</v>
      </c>
      <c r="H19" s="13" t="s">
        <v>9</v>
      </c>
    </row>
    <row r="20" spans="1:8" ht="15.75" customHeight="1" x14ac:dyDescent="0.3">
      <c r="A20" s="8">
        <v>79750004</v>
      </c>
      <c r="B20" s="11">
        <v>44567</v>
      </c>
      <c r="C20" s="13" t="s">
        <v>201</v>
      </c>
      <c r="D20" s="13" t="s">
        <v>34</v>
      </c>
      <c r="E20" s="8">
        <v>14470.93</v>
      </c>
      <c r="F20" s="13" t="s">
        <v>70</v>
      </c>
      <c r="G20" s="14">
        <v>44580</v>
      </c>
      <c r="H20" s="13" t="s">
        <v>9</v>
      </c>
    </row>
    <row r="21" spans="1:8" ht="15.75" customHeight="1" x14ac:dyDescent="0.3">
      <c r="A21" s="8">
        <v>79750005</v>
      </c>
      <c r="B21" s="11">
        <v>44567</v>
      </c>
      <c r="C21" s="13" t="s">
        <v>202</v>
      </c>
      <c r="D21" s="13" t="s">
        <v>203</v>
      </c>
      <c r="E21" s="8">
        <v>7798.35</v>
      </c>
      <c r="F21" s="13" t="s">
        <v>70</v>
      </c>
      <c r="G21" s="14">
        <v>44571</v>
      </c>
      <c r="H21" s="13" t="s">
        <v>9</v>
      </c>
    </row>
    <row r="22" spans="1:8" ht="15.75" customHeight="1" x14ac:dyDescent="0.3">
      <c r="A22" s="8">
        <v>79750006</v>
      </c>
      <c r="B22" s="11">
        <v>44567</v>
      </c>
      <c r="C22" s="13" t="s">
        <v>204</v>
      </c>
      <c r="D22" s="13" t="s">
        <v>205</v>
      </c>
      <c r="E22" s="8">
        <v>669.6</v>
      </c>
      <c r="F22" s="13" t="s">
        <v>70</v>
      </c>
      <c r="G22" s="14">
        <v>44706</v>
      </c>
      <c r="H22" s="13" t="s">
        <v>9</v>
      </c>
    </row>
    <row r="23" spans="1:8" ht="15.75" customHeight="1" x14ac:dyDescent="0.3">
      <c r="A23" s="8">
        <v>79750007</v>
      </c>
      <c r="B23" s="11">
        <v>44567</v>
      </c>
      <c r="C23" s="13" t="s">
        <v>206</v>
      </c>
      <c r="D23" s="13" t="s">
        <v>207</v>
      </c>
      <c r="E23" s="8">
        <v>2485</v>
      </c>
      <c r="F23" s="13" t="s">
        <v>70</v>
      </c>
      <c r="G23" s="14">
        <v>44580</v>
      </c>
      <c r="H23" s="13" t="s">
        <v>9</v>
      </c>
    </row>
    <row r="24" spans="1:8" ht="15.75" customHeight="1" x14ac:dyDescent="0.3">
      <c r="A24" s="8">
        <v>79750008</v>
      </c>
      <c r="B24" s="11">
        <v>44567</v>
      </c>
      <c r="C24" s="13" t="s">
        <v>11</v>
      </c>
      <c r="D24" s="13" t="s">
        <v>12</v>
      </c>
      <c r="E24" s="8">
        <v>761.6</v>
      </c>
      <c r="F24" s="13" t="s">
        <v>70</v>
      </c>
      <c r="G24" s="14">
        <v>44581</v>
      </c>
      <c r="H24" s="13" t="s">
        <v>9</v>
      </c>
    </row>
    <row r="25" spans="1:8" ht="15.75" customHeight="1" x14ac:dyDescent="0.3">
      <c r="A25" s="8">
        <v>79750009</v>
      </c>
      <c r="B25" s="11">
        <v>44567</v>
      </c>
      <c r="C25" s="13" t="s">
        <v>208</v>
      </c>
      <c r="D25" s="13" t="s">
        <v>192</v>
      </c>
      <c r="E25" s="8">
        <v>155000</v>
      </c>
      <c r="F25" s="13" t="s">
        <v>70</v>
      </c>
      <c r="G25" s="14">
        <v>44571</v>
      </c>
      <c r="H25" s="13" t="s">
        <v>9</v>
      </c>
    </row>
    <row r="26" spans="1:8" ht="15.75" customHeight="1" x14ac:dyDescent="0.3">
      <c r="A26" s="8">
        <v>79750010</v>
      </c>
      <c r="B26" s="11">
        <v>44567</v>
      </c>
      <c r="C26" s="13" t="s">
        <v>209</v>
      </c>
      <c r="D26" s="13" t="s">
        <v>210</v>
      </c>
      <c r="E26" s="8">
        <v>8071880.7400000002</v>
      </c>
      <c r="F26" s="13" t="s">
        <v>70</v>
      </c>
      <c r="G26" s="14">
        <v>44582</v>
      </c>
      <c r="H26" s="13" t="s">
        <v>9</v>
      </c>
    </row>
    <row r="27" spans="1:8" ht="15.75" customHeight="1" x14ac:dyDescent="0.3">
      <c r="A27" s="8">
        <v>79750011</v>
      </c>
      <c r="B27" s="11">
        <v>44568</v>
      </c>
      <c r="C27" s="13" t="s">
        <v>211</v>
      </c>
      <c r="D27" s="13" t="s">
        <v>212</v>
      </c>
      <c r="E27" s="8">
        <v>77400</v>
      </c>
      <c r="F27" s="13" t="s">
        <v>70</v>
      </c>
      <c r="G27" s="14">
        <v>44602</v>
      </c>
      <c r="H27" s="13" t="s">
        <v>9</v>
      </c>
    </row>
    <row r="28" spans="1:8" ht="15.75" customHeight="1" x14ac:dyDescent="0.3">
      <c r="A28" s="8">
        <v>79750012</v>
      </c>
      <c r="B28" s="11">
        <v>44568</v>
      </c>
      <c r="C28" s="13" t="s">
        <v>44</v>
      </c>
      <c r="D28" s="13" t="s">
        <v>213</v>
      </c>
      <c r="E28" s="8">
        <v>11302.52</v>
      </c>
      <c r="F28" s="13" t="s">
        <v>70</v>
      </c>
      <c r="G28" s="14">
        <v>44573</v>
      </c>
      <c r="H28" s="13" t="s">
        <v>9</v>
      </c>
    </row>
    <row r="29" spans="1:8" ht="15.75" customHeight="1" x14ac:dyDescent="0.3">
      <c r="A29" s="8">
        <v>79750013</v>
      </c>
      <c r="B29" s="11">
        <v>44568</v>
      </c>
      <c r="C29" s="13" t="s">
        <v>162</v>
      </c>
      <c r="D29" s="13" t="s">
        <v>214</v>
      </c>
      <c r="E29" s="8">
        <v>618297.76</v>
      </c>
      <c r="F29" s="13" t="s">
        <v>70</v>
      </c>
      <c r="G29" s="14">
        <v>44586</v>
      </c>
      <c r="H29" s="13" t="s">
        <v>9</v>
      </c>
    </row>
    <row r="30" spans="1:8" ht="15.75" customHeight="1" x14ac:dyDescent="0.3">
      <c r="A30" s="8">
        <v>79750014</v>
      </c>
      <c r="B30" s="11">
        <v>44568</v>
      </c>
      <c r="C30" s="13" t="s">
        <v>162</v>
      </c>
      <c r="D30" s="13" t="s">
        <v>215</v>
      </c>
      <c r="E30" s="8">
        <v>294765.49</v>
      </c>
      <c r="F30" s="13" t="s">
        <v>70</v>
      </c>
      <c r="G30" s="14">
        <v>44582</v>
      </c>
      <c r="H30" s="13" t="s">
        <v>9</v>
      </c>
    </row>
    <row r="31" spans="1:8" ht="14.4" x14ac:dyDescent="0.3">
      <c r="A31" s="8">
        <v>79750015</v>
      </c>
      <c r="B31" s="11">
        <v>44568</v>
      </c>
      <c r="C31" s="13" t="s">
        <v>162</v>
      </c>
      <c r="D31" s="13" t="s">
        <v>216</v>
      </c>
      <c r="E31" s="8">
        <v>60651.54</v>
      </c>
      <c r="F31" s="13" t="s">
        <v>70</v>
      </c>
      <c r="G31" s="14">
        <v>44586</v>
      </c>
      <c r="H31" s="13" t="s">
        <v>9</v>
      </c>
    </row>
    <row r="32" spans="1:8" ht="14.4" x14ac:dyDescent="0.3">
      <c r="A32" s="8">
        <v>79750016</v>
      </c>
      <c r="B32" s="11">
        <v>44568</v>
      </c>
      <c r="C32" s="13" t="s">
        <v>217</v>
      </c>
      <c r="D32" s="13" t="s">
        <v>218</v>
      </c>
      <c r="E32" s="8">
        <v>6057.15</v>
      </c>
      <c r="F32" s="13" t="s">
        <v>70</v>
      </c>
      <c r="G32" s="14">
        <v>44589</v>
      </c>
      <c r="H32" s="13" t="s">
        <v>9</v>
      </c>
    </row>
    <row r="33" spans="1:8" ht="14.4" x14ac:dyDescent="0.3">
      <c r="A33" s="8">
        <v>79750017</v>
      </c>
      <c r="B33" s="11">
        <v>44568</v>
      </c>
      <c r="C33" s="13" t="s">
        <v>49</v>
      </c>
      <c r="D33" s="13" t="s">
        <v>219</v>
      </c>
      <c r="E33" s="8">
        <v>12720.71</v>
      </c>
      <c r="F33" s="13" t="s">
        <v>70</v>
      </c>
      <c r="G33" s="14">
        <v>44573</v>
      </c>
      <c r="H33" s="13" t="s">
        <v>9</v>
      </c>
    </row>
    <row r="34" spans="1:8" ht="14.4" x14ac:dyDescent="0.3">
      <c r="A34" s="8">
        <v>79750018</v>
      </c>
      <c r="B34" s="11">
        <v>44568</v>
      </c>
      <c r="C34" s="13" t="s">
        <v>159</v>
      </c>
      <c r="D34" s="13" t="s">
        <v>220</v>
      </c>
      <c r="E34" s="8">
        <v>242400</v>
      </c>
      <c r="F34" s="13" t="s">
        <v>70</v>
      </c>
      <c r="G34" s="14">
        <v>44571</v>
      </c>
      <c r="H34" s="13" t="s">
        <v>9</v>
      </c>
    </row>
    <row r="35" spans="1:8" ht="14.4" x14ac:dyDescent="0.3">
      <c r="A35" s="8">
        <v>79750019</v>
      </c>
      <c r="B35" s="11">
        <v>44568</v>
      </c>
      <c r="C35" s="13" t="s">
        <v>180</v>
      </c>
      <c r="D35" s="13" t="s">
        <v>181</v>
      </c>
      <c r="E35" s="8">
        <v>37710.230000000003</v>
      </c>
      <c r="F35" s="13" t="s">
        <v>70</v>
      </c>
      <c r="G35" s="14">
        <v>44573</v>
      </c>
      <c r="H35" s="13" t="s">
        <v>9</v>
      </c>
    </row>
    <row r="36" spans="1:8" ht="14.4" x14ac:dyDescent="0.3">
      <c r="A36" s="8">
        <v>79750020</v>
      </c>
      <c r="B36" s="11">
        <v>44568</v>
      </c>
      <c r="C36" s="13" t="s">
        <v>221</v>
      </c>
      <c r="D36" s="13" t="s">
        <v>222</v>
      </c>
      <c r="E36" s="8">
        <v>9946.5</v>
      </c>
      <c r="F36" s="13" t="s">
        <v>70</v>
      </c>
      <c r="G36" s="14">
        <v>44579</v>
      </c>
      <c r="H36" s="13" t="s">
        <v>9</v>
      </c>
    </row>
    <row r="37" spans="1:8" ht="14.4" x14ac:dyDescent="0.3">
      <c r="A37" s="8">
        <v>79750021</v>
      </c>
      <c r="B37" s="11">
        <v>44571</v>
      </c>
      <c r="C37" s="13" t="s">
        <v>223</v>
      </c>
      <c r="D37" s="13" t="s">
        <v>224</v>
      </c>
      <c r="E37" s="8">
        <v>30000</v>
      </c>
      <c r="F37" s="13" t="s">
        <v>70</v>
      </c>
      <c r="G37" s="14">
        <v>44721</v>
      </c>
      <c r="H37" s="13" t="s">
        <v>9</v>
      </c>
    </row>
    <row r="38" spans="1:8" ht="14.4" x14ac:dyDescent="0.3">
      <c r="A38" s="8">
        <v>79750022</v>
      </c>
      <c r="B38" s="11">
        <v>44571</v>
      </c>
      <c r="C38" s="13" t="s">
        <v>44</v>
      </c>
      <c r="D38" s="13" t="s">
        <v>225</v>
      </c>
      <c r="E38" s="8">
        <v>2061.56</v>
      </c>
      <c r="F38" s="13" t="s">
        <v>70</v>
      </c>
      <c r="G38" s="14">
        <v>44579</v>
      </c>
      <c r="H38" s="13" t="s">
        <v>9</v>
      </c>
    </row>
    <row r="39" spans="1:8" ht="14.4" x14ac:dyDescent="0.3">
      <c r="A39" s="8">
        <v>79750023</v>
      </c>
      <c r="B39" s="11">
        <v>44571</v>
      </c>
      <c r="C39" s="13" t="s">
        <v>226</v>
      </c>
      <c r="D39" s="13" t="s">
        <v>227</v>
      </c>
      <c r="E39" s="8">
        <v>4800</v>
      </c>
      <c r="F39" s="13" t="s">
        <v>70</v>
      </c>
      <c r="G39" s="14">
        <v>44601</v>
      </c>
      <c r="H39" s="13" t="s">
        <v>9</v>
      </c>
    </row>
    <row r="40" spans="1:8" ht="14.4" x14ac:dyDescent="0.3">
      <c r="A40" s="8">
        <v>79750024</v>
      </c>
      <c r="B40" s="11">
        <v>44571</v>
      </c>
      <c r="C40" s="13" t="s">
        <v>228</v>
      </c>
      <c r="D40" s="13" t="s">
        <v>229</v>
      </c>
      <c r="E40" s="8">
        <v>41760</v>
      </c>
      <c r="F40" s="13" t="s">
        <v>70</v>
      </c>
      <c r="G40" s="14">
        <v>44571</v>
      </c>
      <c r="H40" s="13" t="s">
        <v>9</v>
      </c>
    </row>
    <row r="41" spans="1:8" ht="14.4" x14ac:dyDescent="0.3">
      <c r="A41" s="8">
        <v>79750025</v>
      </c>
      <c r="B41" s="11">
        <v>44571</v>
      </c>
      <c r="C41" s="13" t="s">
        <v>230</v>
      </c>
      <c r="D41" s="13" t="s">
        <v>231</v>
      </c>
      <c r="E41" s="8">
        <v>38002.519999999997</v>
      </c>
      <c r="F41" s="13" t="s">
        <v>70</v>
      </c>
      <c r="G41" s="14">
        <v>44585</v>
      </c>
      <c r="H41" s="13" t="s">
        <v>9</v>
      </c>
    </row>
    <row r="42" spans="1:8" ht="14.4" x14ac:dyDescent="0.3">
      <c r="A42" s="8">
        <v>79750026</v>
      </c>
      <c r="B42" s="11">
        <v>44571</v>
      </c>
      <c r="C42" s="13" t="s">
        <v>232</v>
      </c>
      <c r="D42" s="13" t="s">
        <v>233</v>
      </c>
      <c r="E42" s="8">
        <v>6000</v>
      </c>
      <c r="F42" s="13" t="s">
        <v>70</v>
      </c>
      <c r="G42" s="14">
        <v>44574</v>
      </c>
      <c r="H42" s="13" t="s">
        <v>9</v>
      </c>
    </row>
    <row r="43" spans="1:8" ht="14.4" x14ac:dyDescent="0.3">
      <c r="A43" s="8">
        <v>79750027</v>
      </c>
      <c r="B43" s="11">
        <v>44571</v>
      </c>
      <c r="C43" s="13" t="s">
        <v>186</v>
      </c>
      <c r="D43" s="13" t="s">
        <v>234</v>
      </c>
      <c r="E43" s="8">
        <v>234962.91</v>
      </c>
      <c r="F43" s="13" t="s">
        <v>70</v>
      </c>
      <c r="G43" s="14">
        <v>44573</v>
      </c>
      <c r="H43" s="13" t="s">
        <v>9</v>
      </c>
    </row>
    <row r="44" spans="1:8" ht="14.4" x14ac:dyDescent="0.3">
      <c r="A44" s="8">
        <v>79750028</v>
      </c>
      <c r="B44" s="11">
        <v>44571</v>
      </c>
      <c r="C44" s="13" t="s">
        <v>235</v>
      </c>
      <c r="D44" s="13" t="s">
        <v>236</v>
      </c>
      <c r="E44" s="8">
        <v>386770</v>
      </c>
      <c r="F44" s="13" t="s">
        <v>70</v>
      </c>
      <c r="G44" s="14">
        <v>44573</v>
      </c>
      <c r="H44" s="13" t="s">
        <v>9</v>
      </c>
    </row>
    <row r="45" spans="1:8" ht="14.4" x14ac:dyDescent="0.3">
      <c r="A45" s="8">
        <v>79750029</v>
      </c>
      <c r="B45" s="11">
        <v>44571</v>
      </c>
      <c r="C45" s="13" t="s">
        <v>237</v>
      </c>
      <c r="D45" s="13" t="s">
        <v>238</v>
      </c>
      <c r="E45" s="8">
        <v>6000</v>
      </c>
      <c r="F45" s="13" t="s">
        <v>70</v>
      </c>
      <c r="G45" s="14">
        <v>44578</v>
      </c>
      <c r="H45" s="13" t="s">
        <v>9</v>
      </c>
    </row>
    <row r="46" spans="1:8" ht="14.4" x14ac:dyDescent="0.3">
      <c r="A46" s="8">
        <v>79750030</v>
      </c>
      <c r="B46" s="11">
        <v>44571</v>
      </c>
      <c r="C46" s="13" t="s">
        <v>184</v>
      </c>
      <c r="D46" s="13" t="s">
        <v>239</v>
      </c>
      <c r="E46" s="8">
        <v>204008.9</v>
      </c>
      <c r="F46" s="13" t="s">
        <v>70</v>
      </c>
      <c r="G46" s="14">
        <v>44573</v>
      </c>
      <c r="H46" s="13" t="s">
        <v>9</v>
      </c>
    </row>
    <row r="47" spans="1:8" ht="14.4" x14ac:dyDescent="0.3">
      <c r="A47" s="8">
        <v>79750031</v>
      </c>
      <c r="B47" s="11">
        <v>44571</v>
      </c>
      <c r="C47" s="13" t="s">
        <v>184</v>
      </c>
      <c r="D47" s="13" t="s">
        <v>240</v>
      </c>
      <c r="E47" s="8">
        <v>271845.21999999997</v>
      </c>
      <c r="F47" s="13" t="s">
        <v>70</v>
      </c>
      <c r="G47" s="14">
        <v>44573</v>
      </c>
      <c r="H47" s="13" t="s">
        <v>9</v>
      </c>
    </row>
    <row r="48" spans="1:8" ht="14.4" x14ac:dyDescent="0.3">
      <c r="A48" s="8">
        <v>79750032</v>
      </c>
      <c r="B48" s="11">
        <v>44571</v>
      </c>
      <c r="C48" s="13" t="s">
        <v>241</v>
      </c>
      <c r="D48" s="13" t="s">
        <v>242</v>
      </c>
      <c r="E48" s="8">
        <v>6600</v>
      </c>
      <c r="F48" s="13" t="s">
        <v>70</v>
      </c>
      <c r="G48" s="14">
        <v>44588</v>
      </c>
      <c r="H48" s="13" t="s">
        <v>9</v>
      </c>
    </row>
    <row r="49" spans="1:8" ht="14.4" x14ac:dyDescent="0.3">
      <c r="A49" s="8">
        <v>79750033</v>
      </c>
      <c r="B49" s="11">
        <v>44571</v>
      </c>
      <c r="C49" s="13" t="s">
        <v>243</v>
      </c>
      <c r="D49" s="13" t="s">
        <v>244</v>
      </c>
      <c r="E49" s="8">
        <v>8250</v>
      </c>
      <c r="F49" s="13" t="s">
        <v>70</v>
      </c>
      <c r="G49" s="14">
        <v>44581</v>
      </c>
      <c r="H49" s="13" t="s">
        <v>9</v>
      </c>
    </row>
    <row r="50" spans="1:8" ht="14.4" x14ac:dyDescent="0.3">
      <c r="A50" s="8">
        <v>79750034</v>
      </c>
      <c r="B50" s="11">
        <v>44571</v>
      </c>
      <c r="C50" s="13" t="s">
        <v>245</v>
      </c>
      <c r="D50" s="13" t="s">
        <v>246</v>
      </c>
      <c r="E50" s="8">
        <v>16355.91</v>
      </c>
      <c r="F50" s="13" t="s">
        <v>70</v>
      </c>
      <c r="G50" s="14">
        <v>44588</v>
      </c>
      <c r="H50" s="13" t="s">
        <v>9</v>
      </c>
    </row>
    <row r="51" spans="1:8" ht="14.4" x14ac:dyDescent="0.3">
      <c r="A51" s="8">
        <v>79750035</v>
      </c>
      <c r="B51" s="11">
        <v>44571</v>
      </c>
      <c r="C51" s="13" t="s">
        <v>247</v>
      </c>
      <c r="D51" s="13" t="s">
        <v>248</v>
      </c>
      <c r="E51" s="8">
        <v>900</v>
      </c>
      <c r="F51" s="13" t="s">
        <v>70</v>
      </c>
      <c r="G51" s="14">
        <v>44575</v>
      </c>
      <c r="H51" s="13" t="s">
        <v>9</v>
      </c>
    </row>
    <row r="52" spans="1:8" ht="14.4" x14ac:dyDescent="0.3">
      <c r="A52" s="8">
        <v>79750036</v>
      </c>
      <c r="B52" s="11">
        <v>44571</v>
      </c>
      <c r="C52" s="13" t="s">
        <v>249</v>
      </c>
      <c r="D52" s="13" t="s">
        <v>244</v>
      </c>
      <c r="E52" s="8">
        <v>9918.35</v>
      </c>
      <c r="F52" s="13" t="s">
        <v>70</v>
      </c>
      <c r="G52" s="14">
        <v>44592</v>
      </c>
      <c r="H52" s="13" t="s">
        <v>9</v>
      </c>
    </row>
    <row r="53" spans="1:8" ht="14.4" x14ac:dyDescent="0.3">
      <c r="A53" s="8">
        <v>79750037</v>
      </c>
      <c r="B53" s="11">
        <v>44571</v>
      </c>
      <c r="C53" s="13" t="s">
        <v>250</v>
      </c>
      <c r="D53" s="13" t="s">
        <v>251</v>
      </c>
      <c r="E53" s="8">
        <v>3435.58</v>
      </c>
      <c r="F53" s="13" t="s">
        <v>70</v>
      </c>
      <c r="G53" s="14">
        <v>44715</v>
      </c>
      <c r="H53" s="13" t="s">
        <v>9</v>
      </c>
    </row>
    <row r="54" spans="1:8" ht="14.4" x14ac:dyDescent="0.3">
      <c r="A54" s="8">
        <v>79750038</v>
      </c>
      <c r="B54" s="11">
        <v>44571</v>
      </c>
      <c r="C54" s="13" t="s">
        <v>252</v>
      </c>
      <c r="D54" s="13" t="s">
        <v>253</v>
      </c>
      <c r="E54" s="8">
        <v>16000</v>
      </c>
      <c r="F54" s="13" t="s">
        <v>70</v>
      </c>
      <c r="G54" s="14">
        <v>44670</v>
      </c>
      <c r="H54" s="13" t="s">
        <v>9</v>
      </c>
    </row>
    <row r="55" spans="1:8" ht="14.4" x14ac:dyDescent="0.3">
      <c r="A55" s="8">
        <v>79750039</v>
      </c>
      <c r="B55" s="11">
        <v>44571</v>
      </c>
      <c r="C55" s="13" t="s">
        <v>254</v>
      </c>
      <c r="D55" s="13" t="s">
        <v>34</v>
      </c>
      <c r="E55" s="8">
        <v>2946</v>
      </c>
      <c r="F55" s="13" t="s">
        <v>70</v>
      </c>
      <c r="G55" s="14">
        <v>44592</v>
      </c>
      <c r="H55" s="13" t="s">
        <v>9</v>
      </c>
    </row>
    <row r="56" spans="1:8" ht="14.4" x14ac:dyDescent="0.3">
      <c r="A56" s="8">
        <v>79750040</v>
      </c>
      <c r="B56" s="11">
        <v>44571</v>
      </c>
      <c r="C56" s="13" t="s">
        <v>255</v>
      </c>
      <c r="D56" s="13" t="s">
        <v>256</v>
      </c>
      <c r="E56" s="8">
        <v>37389.9</v>
      </c>
      <c r="F56" s="13" t="s">
        <v>70</v>
      </c>
      <c r="G56" s="14">
        <v>44649</v>
      </c>
      <c r="H56" s="13" t="s">
        <v>9</v>
      </c>
    </row>
    <row r="57" spans="1:8" ht="14.4" x14ac:dyDescent="0.3">
      <c r="A57" s="8">
        <v>79750041</v>
      </c>
      <c r="B57" s="11">
        <v>44571</v>
      </c>
      <c r="C57" s="13" t="s">
        <v>257</v>
      </c>
      <c r="D57" s="13" t="s">
        <v>258</v>
      </c>
      <c r="E57" s="8">
        <v>12973.2</v>
      </c>
      <c r="F57" s="13" t="s">
        <v>70</v>
      </c>
      <c r="G57" s="14">
        <v>44616</v>
      </c>
      <c r="H57" s="13" t="s">
        <v>9</v>
      </c>
    </row>
    <row r="58" spans="1:8" ht="14.4" x14ac:dyDescent="0.3">
      <c r="A58" s="8">
        <v>79750042</v>
      </c>
      <c r="B58" s="11">
        <v>44571</v>
      </c>
      <c r="C58" s="13" t="s">
        <v>259</v>
      </c>
      <c r="D58" s="13" t="s">
        <v>258</v>
      </c>
      <c r="E58" s="8">
        <v>1101</v>
      </c>
      <c r="F58" s="13" t="s">
        <v>70</v>
      </c>
      <c r="G58" s="14">
        <v>44579</v>
      </c>
      <c r="H58" s="13" t="s">
        <v>9</v>
      </c>
    </row>
    <row r="59" spans="1:8" ht="14.4" x14ac:dyDescent="0.3">
      <c r="A59" s="8">
        <v>79750043</v>
      </c>
      <c r="B59" s="11">
        <v>44571</v>
      </c>
      <c r="C59" s="13" t="s">
        <v>153</v>
      </c>
      <c r="D59" s="13" t="s">
        <v>260</v>
      </c>
      <c r="E59" s="8">
        <v>150000</v>
      </c>
      <c r="F59" s="13" t="s">
        <v>70</v>
      </c>
      <c r="G59" s="14">
        <v>44575</v>
      </c>
      <c r="H59" s="13" t="s">
        <v>9</v>
      </c>
    </row>
    <row r="60" spans="1:8" ht="14.4" x14ac:dyDescent="0.3">
      <c r="A60" s="8">
        <v>79750044</v>
      </c>
      <c r="B60" s="11">
        <v>44571</v>
      </c>
      <c r="C60" s="13" t="s">
        <v>85</v>
      </c>
      <c r="D60" s="13" t="s">
        <v>261</v>
      </c>
      <c r="E60" s="8">
        <v>1875</v>
      </c>
      <c r="F60" s="13" t="s">
        <v>70</v>
      </c>
      <c r="G60" s="14">
        <v>44573</v>
      </c>
      <c r="H60" s="13" t="s">
        <v>9</v>
      </c>
    </row>
    <row r="61" spans="1:8" ht="14.4" x14ac:dyDescent="0.3">
      <c r="A61" s="8">
        <v>79750045</v>
      </c>
      <c r="B61" s="11">
        <v>44571</v>
      </c>
      <c r="C61" s="13" t="s">
        <v>85</v>
      </c>
      <c r="D61" s="13" t="s">
        <v>262</v>
      </c>
      <c r="E61" s="8">
        <v>46500</v>
      </c>
      <c r="F61" s="13" t="s">
        <v>70</v>
      </c>
      <c r="G61" s="14">
        <v>44580</v>
      </c>
      <c r="H61" s="13" t="s">
        <v>9</v>
      </c>
    </row>
    <row r="62" spans="1:8" ht="14.4" x14ac:dyDescent="0.3">
      <c r="A62" s="8">
        <v>79750046</v>
      </c>
      <c r="B62" s="11">
        <v>44571</v>
      </c>
      <c r="C62" s="13" t="s">
        <v>263</v>
      </c>
      <c r="D62" s="13" t="s">
        <v>264</v>
      </c>
      <c r="E62" s="8">
        <v>20000</v>
      </c>
      <c r="F62" s="13" t="s">
        <v>70</v>
      </c>
      <c r="G62" s="14">
        <v>44573</v>
      </c>
      <c r="H62" s="13" t="s">
        <v>9</v>
      </c>
    </row>
    <row r="63" spans="1:8" ht="14.4" x14ac:dyDescent="0.3">
      <c r="A63" s="8">
        <v>79750047</v>
      </c>
      <c r="B63" s="11">
        <v>44571</v>
      </c>
      <c r="C63" s="13" t="s">
        <v>265</v>
      </c>
      <c r="D63" s="13" t="s">
        <v>266</v>
      </c>
      <c r="E63" s="8">
        <v>250000</v>
      </c>
      <c r="F63" s="13" t="s">
        <v>70</v>
      </c>
      <c r="G63" s="14">
        <v>44575</v>
      </c>
      <c r="H63" s="13" t="s">
        <v>9</v>
      </c>
    </row>
    <row r="64" spans="1:8" ht="14.4" x14ac:dyDescent="0.3">
      <c r="A64" s="8">
        <v>79750048</v>
      </c>
      <c r="B64" s="11">
        <v>44571</v>
      </c>
      <c r="C64" s="13" t="s">
        <v>189</v>
      </c>
      <c r="D64" s="13" t="s">
        <v>267</v>
      </c>
      <c r="E64" s="8">
        <v>556273.18000000005</v>
      </c>
      <c r="F64" s="13" t="s">
        <v>70</v>
      </c>
      <c r="G64" s="14">
        <v>44592</v>
      </c>
      <c r="H64" s="13" t="s">
        <v>9</v>
      </c>
    </row>
    <row r="65" spans="1:8" ht="14.4" x14ac:dyDescent="0.3">
      <c r="A65" s="8">
        <v>79750049</v>
      </c>
      <c r="B65" s="11">
        <v>44571</v>
      </c>
      <c r="C65" s="13" t="s">
        <v>217</v>
      </c>
      <c r="D65" s="13" t="s">
        <v>268</v>
      </c>
      <c r="E65" s="8">
        <v>14038.75</v>
      </c>
      <c r="F65" s="13" t="s">
        <v>70</v>
      </c>
      <c r="G65" s="14">
        <v>44586</v>
      </c>
      <c r="H65" s="13" t="s">
        <v>9</v>
      </c>
    </row>
    <row r="66" spans="1:8" ht="14.4" x14ac:dyDescent="0.3">
      <c r="A66" s="8">
        <v>79750050</v>
      </c>
      <c r="B66" s="11">
        <v>44571</v>
      </c>
      <c r="C66" s="13" t="s">
        <v>217</v>
      </c>
      <c r="D66" s="13" t="s">
        <v>269</v>
      </c>
      <c r="E66" s="8">
        <v>138180</v>
      </c>
      <c r="F66" s="13" t="s">
        <v>70</v>
      </c>
      <c r="G66" s="14">
        <v>44589</v>
      </c>
      <c r="H66" s="13" t="s">
        <v>9</v>
      </c>
    </row>
    <row r="67" spans="1:8" ht="14.4" x14ac:dyDescent="0.3">
      <c r="A67" s="8">
        <v>79750051</v>
      </c>
      <c r="B67" s="11">
        <v>44573</v>
      </c>
      <c r="C67" s="13" t="s">
        <v>270</v>
      </c>
      <c r="D67" s="13" t="s">
        <v>271</v>
      </c>
      <c r="E67" s="8">
        <v>44500</v>
      </c>
      <c r="F67" s="13" t="s">
        <v>70</v>
      </c>
      <c r="G67" s="14">
        <v>44581</v>
      </c>
      <c r="H67" s="13" t="s">
        <v>9</v>
      </c>
    </row>
    <row r="68" spans="1:8" ht="14.4" x14ac:dyDescent="0.3">
      <c r="A68" s="8">
        <v>79750052</v>
      </c>
      <c r="B68" s="11">
        <v>44573</v>
      </c>
      <c r="C68" s="13" t="s">
        <v>188</v>
      </c>
      <c r="D68" s="13" t="s">
        <v>272</v>
      </c>
      <c r="E68" s="8">
        <v>47106</v>
      </c>
      <c r="F68" s="13" t="s">
        <v>70</v>
      </c>
      <c r="G68" s="14">
        <v>44574</v>
      </c>
      <c r="H68" s="13" t="s">
        <v>9</v>
      </c>
    </row>
    <row r="69" spans="1:8" ht="14.4" x14ac:dyDescent="0.3">
      <c r="A69" s="8">
        <v>79750053</v>
      </c>
      <c r="B69" s="11">
        <v>44573</v>
      </c>
      <c r="C69" s="13" t="s">
        <v>188</v>
      </c>
      <c r="D69" s="13" t="s">
        <v>272</v>
      </c>
      <c r="E69" s="8">
        <v>42150</v>
      </c>
      <c r="F69" s="13" t="s">
        <v>70</v>
      </c>
      <c r="G69" s="14">
        <v>44574</v>
      </c>
      <c r="H69" s="13" t="s">
        <v>9</v>
      </c>
    </row>
    <row r="70" spans="1:8" ht="14.4" x14ac:dyDescent="0.3">
      <c r="A70" s="8">
        <v>79750054</v>
      </c>
      <c r="B70" s="11">
        <v>44573</v>
      </c>
      <c r="C70" s="13" t="s">
        <v>273</v>
      </c>
      <c r="D70" s="13" t="s">
        <v>274</v>
      </c>
      <c r="E70" s="8">
        <v>40000</v>
      </c>
      <c r="F70" s="13" t="s">
        <v>70</v>
      </c>
      <c r="G70" s="14">
        <v>44574</v>
      </c>
      <c r="H70" s="13" t="s">
        <v>9</v>
      </c>
    </row>
    <row r="71" spans="1:8" ht="14.4" x14ac:dyDescent="0.3">
      <c r="A71" s="8">
        <v>79750055</v>
      </c>
      <c r="B71" s="11">
        <v>44574</v>
      </c>
      <c r="C71" s="13" t="s">
        <v>275</v>
      </c>
      <c r="D71" s="13" t="s">
        <v>276</v>
      </c>
      <c r="E71" s="8">
        <v>300000</v>
      </c>
      <c r="F71" s="13" t="s">
        <v>70</v>
      </c>
      <c r="G71" s="14">
        <v>44574</v>
      </c>
      <c r="H71" s="13" t="s">
        <v>9</v>
      </c>
    </row>
    <row r="72" spans="1:8" ht="14.4" x14ac:dyDescent="0.3">
      <c r="A72" s="8">
        <v>79750056</v>
      </c>
      <c r="B72" s="11">
        <v>44574</v>
      </c>
      <c r="C72" s="13" t="s">
        <v>180</v>
      </c>
      <c r="D72" s="13" t="s">
        <v>181</v>
      </c>
      <c r="E72" s="8">
        <v>111382.86</v>
      </c>
      <c r="F72" s="13" t="s">
        <v>70</v>
      </c>
      <c r="G72" s="14">
        <v>44574</v>
      </c>
      <c r="H72" s="13" t="s">
        <v>9</v>
      </c>
    </row>
    <row r="73" spans="1:8" ht="14.4" x14ac:dyDescent="0.3">
      <c r="A73" s="8">
        <v>79750057</v>
      </c>
      <c r="B73" s="11">
        <v>44574</v>
      </c>
      <c r="C73" s="13" t="s">
        <v>277</v>
      </c>
      <c r="D73" s="13" t="s">
        <v>278</v>
      </c>
      <c r="E73" s="8">
        <v>5750</v>
      </c>
      <c r="F73" s="13" t="s">
        <v>70</v>
      </c>
      <c r="G73" s="14">
        <v>44578</v>
      </c>
      <c r="H73" s="13" t="s">
        <v>9</v>
      </c>
    </row>
    <row r="74" spans="1:8" ht="14.4" x14ac:dyDescent="0.3">
      <c r="A74" s="8">
        <v>79750058</v>
      </c>
      <c r="B74" s="11">
        <v>44574</v>
      </c>
      <c r="C74" s="13" t="s">
        <v>279</v>
      </c>
      <c r="D74" s="13" t="s">
        <v>280</v>
      </c>
      <c r="E74" s="8">
        <v>10950</v>
      </c>
      <c r="F74" s="13" t="s">
        <v>70</v>
      </c>
      <c r="G74" s="14">
        <v>44586</v>
      </c>
      <c r="H74" s="13" t="s">
        <v>9</v>
      </c>
    </row>
    <row r="75" spans="1:8" ht="14.4" x14ac:dyDescent="0.3">
      <c r="A75" s="8">
        <v>79750059</v>
      </c>
      <c r="B75" s="11">
        <v>44574</v>
      </c>
      <c r="C75" s="13" t="s">
        <v>159</v>
      </c>
      <c r="D75" s="13" t="s">
        <v>281</v>
      </c>
      <c r="E75" s="8">
        <v>326200</v>
      </c>
      <c r="F75" s="13" t="s">
        <v>70</v>
      </c>
      <c r="G75" s="14">
        <v>44574</v>
      </c>
      <c r="H75" s="13" t="s">
        <v>9</v>
      </c>
    </row>
    <row r="76" spans="1:8" ht="14.4" x14ac:dyDescent="0.3">
      <c r="A76" s="8">
        <v>79750061</v>
      </c>
      <c r="B76" s="11">
        <v>44574</v>
      </c>
      <c r="C76" s="13" t="s">
        <v>282</v>
      </c>
      <c r="D76" s="13" t="s">
        <v>283</v>
      </c>
      <c r="E76" s="8">
        <v>23660.720000000001</v>
      </c>
      <c r="F76" s="13" t="s">
        <v>70</v>
      </c>
      <c r="G76" s="14">
        <v>44579</v>
      </c>
      <c r="H76" s="13" t="s">
        <v>9</v>
      </c>
    </row>
    <row r="77" spans="1:8" ht="14.4" x14ac:dyDescent="0.3">
      <c r="A77" s="8">
        <v>79750062</v>
      </c>
      <c r="B77" s="11">
        <v>44574</v>
      </c>
      <c r="C77" s="13" t="s">
        <v>152</v>
      </c>
      <c r="D77" s="13" t="s">
        <v>284</v>
      </c>
      <c r="E77" s="8">
        <v>7000</v>
      </c>
      <c r="F77" s="13" t="s">
        <v>70</v>
      </c>
      <c r="G77" s="14">
        <v>44586</v>
      </c>
      <c r="H77" s="13" t="s">
        <v>9</v>
      </c>
    </row>
    <row r="78" spans="1:8" ht="14.4" x14ac:dyDescent="0.3">
      <c r="A78" s="8">
        <v>79750063</v>
      </c>
      <c r="B78" s="11">
        <v>44574</v>
      </c>
      <c r="C78" s="13" t="s">
        <v>285</v>
      </c>
      <c r="D78" s="13" t="s">
        <v>286</v>
      </c>
      <c r="E78" s="8">
        <v>9855</v>
      </c>
      <c r="F78" s="13" t="s">
        <v>70</v>
      </c>
      <c r="G78" s="14">
        <v>44575</v>
      </c>
      <c r="H78" s="13" t="s">
        <v>9</v>
      </c>
    </row>
    <row r="79" spans="1:8" ht="14.4" x14ac:dyDescent="0.3">
      <c r="A79" s="8">
        <v>79750064</v>
      </c>
      <c r="B79" s="11">
        <v>44574</v>
      </c>
      <c r="C79" s="13" t="s">
        <v>287</v>
      </c>
      <c r="D79" s="13" t="s">
        <v>288</v>
      </c>
      <c r="E79" s="8">
        <v>5600</v>
      </c>
      <c r="F79" s="13" t="s">
        <v>70</v>
      </c>
      <c r="G79" s="14">
        <v>44575</v>
      </c>
      <c r="H79" s="13" t="s">
        <v>9</v>
      </c>
    </row>
    <row r="80" spans="1:8" ht="14.4" x14ac:dyDescent="0.3">
      <c r="A80" s="8">
        <v>79750067</v>
      </c>
      <c r="B80" s="11">
        <v>44574</v>
      </c>
      <c r="C80" s="13" t="s">
        <v>217</v>
      </c>
      <c r="D80" s="13" t="s">
        <v>289</v>
      </c>
      <c r="E80" s="8">
        <v>55671.199999999997</v>
      </c>
      <c r="F80" s="13" t="s">
        <v>70</v>
      </c>
      <c r="G80" s="14">
        <v>44580</v>
      </c>
      <c r="H80" s="13" t="s">
        <v>9</v>
      </c>
    </row>
    <row r="81" spans="1:8" ht="14.4" x14ac:dyDescent="0.3">
      <c r="A81" s="8">
        <v>79750068</v>
      </c>
      <c r="B81" s="11">
        <v>44574</v>
      </c>
      <c r="C81" s="13" t="s">
        <v>217</v>
      </c>
      <c r="D81" s="13" t="s">
        <v>290</v>
      </c>
      <c r="E81" s="8">
        <v>4983</v>
      </c>
      <c r="F81" s="13" t="s">
        <v>70</v>
      </c>
      <c r="G81" s="14">
        <v>44580</v>
      </c>
      <c r="H81" s="13" t="s">
        <v>9</v>
      </c>
    </row>
    <row r="82" spans="1:8" ht="14.4" x14ac:dyDescent="0.3">
      <c r="A82" s="8">
        <v>79750069</v>
      </c>
      <c r="B82" s="11">
        <v>44574</v>
      </c>
      <c r="C82" s="13" t="s">
        <v>158</v>
      </c>
      <c r="D82" s="13" t="s">
        <v>291</v>
      </c>
      <c r="E82" s="8">
        <v>15640.02</v>
      </c>
      <c r="F82" s="13" t="s">
        <v>70</v>
      </c>
      <c r="G82" s="14">
        <v>44579</v>
      </c>
      <c r="H82" s="13" t="s">
        <v>9</v>
      </c>
    </row>
    <row r="83" spans="1:8" ht="14.4" x14ac:dyDescent="0.3">
      <c r="A83" s="8">
        <v>79750070</v>
      </c>
      <c r="B83" s="11">
        <v>44574</v>
      </c>
      <c r="C83" s="13" t="s">
        <v>217</v>
      </c>
      <c r="D83" s="13" t="s">
        <v>292</v>
      </c>
      <c r="E83" s="8">
        <v>30000</v>
      </c>
      <c r="F83" s="13" t="s">
        <v>70</v>
      </c>
      <c r="G83" s="14">
        <v>44580</v>
      </c>
      <c r="H83" s="13" t="s">
        <v>9</v>
      </c>
    </row>
    <row r="84" spans="1:8" ht="14.4" x14ac:dyDescent="0.3">
      <c r="A84" s="8">
        <v>79750071</v>
      </c>
      <c r="B84" s="11">
        <v>44574</v>
      </c>
      <c r="C84" s="13" t="s">
        <v>217</v>
      </c>
      <c r="D84" s="13" t="s">
        <v>293</v>
      </c>
      <c r="E84" s="8">
        <v>22827.9</v>
      </c>
      <c r="F84" s="13" t="s">
        <v>70</v>
      </c>
      <c r="G84" s="14">
        <v>44580</v>
      </c>
      <c r="H84" s="13" t="s">
        <v>9</v>
      </c>
    </row>
    <row r="85" spans="1:8" ht="14.4" x14ac:dyDescent="0.3">
      <c r="A85" s="8">
        <v>79750072</v>
      </c>
      <c r="B85" s="11">
        <v>44574</v>
      </c>
      <c r="C85" s="13" t="s">
        <v>217</v>
      </c>
      <c r="D85" s="13" t="s">
        <v>294</v>
      </c>
      <c r="E85" s="8">
        <v>8470.5400000000009</v>
      </c>
      <c r="F85" s="13" t="s">
        <v>70</v>
      </c>
      <c r="G85" s="14">
        <v>44589</v>
      </c>
      <c r="H85" s="13" t="s">
        <v>9</v>
      </c>
    </row>
    <row r="86" spans="1:8" ht="14.4" x14ac:dyDescent="0.3">
      <c r="A86" s="8">
        <v>79750073</v>
      </c>
      <c r="B86" s="11">
        <v>44574</v>
      </c>
      <c r="C86" s="13" t="s">
        <v>295</v>
      </c>
      <c r="D86" s="13" t="s">
        <v>296</v>
      </c>
      <c r="E86" s="8">
        <v>20000</v>
      </c>
      <c r="F86" s="13" t="s">
        <v>70</v>
      </c>
      <c r="G86" s="14">
        <v>44579</v>
      </c>
      <c r="H86" s="13" t="s">
        <v>9</v>
      </c>
    </row>
    <row r="87" spans="1:8" ht="14.4" x14ac:dyDescent="0.3">
      <c r="A87" s="8">
        <v>79750074</v>
      </c>
      <c r="B87" s="11">
        <v>44574</v>
      </c>
      <c r="C87" s="13" t="s">
        <v>297</v>
      </c>
      <c r="D87" s="13" t="s">
        <v>296</v>
      </c>
      <c r="E87" s="8">
        <v>6000</v>
      </c>
      <c r="F87" s="13" t="s">
        <v>70</v>
      </c>
      <c r="G87" s="14">
        <v>44587</v>
      </c>
      <c r="H87" s="13" t="s">
        <v>9</v>
      </c>
    </row>
    <row r="88" spans="1:8" ht="14.4" x14ac:dyDescent="0.3">
      <c r="A88" s="8">
        <v>79750075</v>
      </c>
      <c r="B88" s="11">
        <v>44574</v>
      </c>
      <c r="C88" s="13" t="s">
        <v>298</v>
      </c>
      <c r="D88" s="13" t="s">
        <v>296</v>
      </c>
      <c r="E88" s="8">
        <v>5000</v>
      </c>
      <c r="F88" s="13" t="s">
        <v>70</v>
      </c>
      <c r="G88" s="14">
        <v>44616</v>
      </c>
      <c r="H88" s="13" t="s">
        <v>9</v>
      </c>
    </row>
    <row r="89" spans="1:8" ht="14.4" x14ac:dyDescent="0.3">
      <c r="A89" s="8">
        <v>79750076</v>
      </c>
      <c r="B89" s="11">
        <v>44574</v>
      </c>
      <c r="C89" s="13" t="s">
        <v>299</v>
      </c>
      <c r="D89" s="13" t="s">
        <v>296</v>
      </c>
      <c r="E89" s="8">
        <v>3000</v>
      </c>
      <c r="F89" s="13" t="s">
        <v>70</v>
      </c>
      <c r="G89" s="14">
        <v>44587</v>
      </c>
      <c r="H89" s="13" t="s">
        <v>9</v>
      </c>
    </row>
    <row r="90" spans="1:8" ht="14.4" x14ac:dyDescent="0.3">
      <c r="A90" s="8">
        <v>79750077</v>
      </c>
      <c r="B90" s="11">
        <v>44574</v>
      </c>
      <c r="C90" s="13" t="s">
        <v>300</v>
      </c>
      <c r="D90" s="13" t="s">
        <v>301</v>
      </c>
      <c r="E90" s="8">
        <v>6000</v>
      </c>
      <c r="F90" s="13" t="s">
        <v>70</v>
      </c>
      <c r="G90" s="14">
        <v>44589</v>
      </c>
      <c r="H90" s="13" t="s">
        <v>9</v>
      </c>
    </row>
    <row r="91" spans="1:8" ht="14.4" x14ac:dyDescent="0.3">
      <c r="A91" s="8">
        <v>79750078</v>
      </c>
      <c r="B91" s="11">
        <v>44574</v>
      </c>
      <c r="C91" s="13" t="s">
        <v>295</v>
      </c>
      <c r="D91" s="13" t="s">
        <v>302</v>
      </c>
      <c r="E91" s="8">
        <v>20000</v>
      </c>
      <c r="F91" s="13" t="s">
        <v>70</v>
      </c>
      <c r="G91" s="14">
        <v>44579</v>
      </c>
      <c r="H91" s="13" t="s">
        <v>9</v>
      </c>
    </row>
    <row r="92" spans="1:8" ht="14.4" x14ac:dyDescent="0.3">
      <c r="A92" s="8">
        <v>79750079</v>
      </c>
      <c r="B92" s="11">
        <v>44574</v>
      </c>
      <c r="C92" s="13" t="s">
        <v>303</v>
      </c>
      <c r="D92" s="13" t="s">
        <v>302</v>
      </c>
      <c r="E92" s="8">
        <v>6000</v>
      </c>
      <c r="F92" s="13" t="s">
        <v>70</v>
      </c>
      <c r="G92" s="14">
        <v>44585</v>
      </c>
      <c r="H92" s="13" t="s">
        <v>9</v>
      </c>
    </row>
    <row r="93" spans="1:8" ht="14.4" x14ac:dyDescent="0.3">
      <c r="A93" s="8">
        <v>79750080</v>
      </c>
      <c r="B93" s="11">
        <v>44574</v>
      </c>
      <c r="C93" s="13" t="s">
        <v>304</v>
      </c>
      <c r="D93" s="13" t="s">
        <v>302</v>
      </c>
      <c r="E93" s="8">
        <v>5000</v>
      </c>
      <c r="F93" s="13" t="s">
        <v>70</v>
      </c>
      <c r="G93" s="14">
        <v>44579</v>
      </c>
      <c r="H93" s="13" t="s">
        <v>9</v>
      </c>
    </row>
    <row r="94" spans="1:8" ht="14.4" x14ac:dyDescent="0.3">
      <c r="A94" s="8">
        <v>79750081</v>
      </c>
      <c r="B94" s="11">
        <v>44574</v>
      </c>
      <c r="C94" s="13" t="s">
        <v>305</v>
      </c>
      <c r="D94" s="13" t="s">
        <v>302</v>
      </c>
      <c r="E94" s="8">
        <v>3000</v>
      </c>
      <c r="F94" s="13" t="s">
        <v>70</v>
      </c>
      <c r="G94" s="14">
        <v>44579</v>
      </c>
      <c r="H94" s="13" t="s">
        <v>9</v>
      </c>
    </row>
    <row r="95" spans="1:8" ht="14.4" x14ac:dyDescent="0.3">
      <c r="A95" s="8">
        <v>79750082</v>
      </c>
      <c r="B95" s="11">
        <v>44574</v>
      </c>
      <c r="C95" s="13" t="s">
        <v>306</v>
      </c>
      <c r="D95" s="13" t="s">
        <v>307</v>
      </c>
      <c r="E95" s="8">
        <v>15000</v>
      </c>
      <c r="F95" s="13" t="s">
        <v>70</v>
      </c>
      <c r="G95" s="14">
        <v>44578</v>
      </c>
      <c r="H95" s="13" t="s">
        <v>9</v>
      </c>
    </row>
    <row r="96" spans="1:8" ht="14.4" x14ac:dyDescent="0.3">
      <c r="A96" s="8">
        <v>79750083</v>
      </c>
      <c r="B96" s="11">
        <v>44574</v>
      </c>
      <c r="C96" s="13" t="s">
        <v>308</v>
      </c>
      <c r="D96" s="13" t="s">
        <v>307</v>
      </c>
      <c r="E96" s="8">
        <v>10000</v>
      </c>
      <c r="F96" s="13" t="s">
        <v>70</v>
      </c>
      <c r="G96" s="14">
        <v>44578</v>
      </c>
      <c r="H96" s="13" t="s">
        <v>9</v>
      </c>
    </row>
    <row r="97" spans="1:8" ht="14.4" x14ac:dyDescent="0.3">
      <c r="A97" s="8">
        <v>79750084</v>
      </c>
      <c r="B97" s="11">
        <v>44574</v>
      </c>
      <c r="C97" s="13" t="s">
        <v>309</v>
      </c>
      <c r="D97" s="13" t="s">
        <v>307</v>
      </c>
      <c r="E97" s="8">
        <v>10000</v>
      </c>
      <c r="F97" s="13" t="s">
        <v>70</v>
      </c>
      <c r="G97" s="14">
        <v>44578</v>
      </c>
      <c r="H97" s="13" t="s">
        <v>9</v>
      </c>
    </row>
    <row r="98" spans="1:8" ht="14.4" x14ac:dyDescent="0.3">
      <c r="A98" s="8">
        <v>79750085</v>
      </c>
      <c r="B98" s="11">
        <v>44574</v>
      </c>
      <c r="C98" s="13" t="s">
        <v>310</v>
      </c>
      <c r="D98" s="13" t="s">
        <v>307</v>
      </c>
      <c r="E98" s="8">
        <v>10000</v>
      </c>
      <c r="F98" s="13" t="s">
        <v>70</v>
      </c>
      <c r="G98" s="14">
        <v>44578</v>
      </c>
      <c r="H98" s="13" t="s">
        <v>9</v>
      </c>
    </row>
    <row r="99" spans="1:8" ht="14.4" x14ac:dyDescent="0.3">
      <c r="A99" s="8">
        <v>79750086</v>
      </c>
      <c r="B99" s="11">
        <v>44574</v>
      </c>
      <c r="C99" s="13" t="s">
        <v>311</v>
      </c>
      <c r="D99" s="13" t="s">
        <v>307</v>
      </c>
      <c r="E99" s="8">
        <v>10000</v>
      </c>
      <c r="F99" s="13" t="s">
        <v>70</v>
      </c>
      <c r="G99" s="14">
        <v>44578</v>
      </c>
      <c r="H99" s="13" t="s">
        <v>9</v>
      </c>
    </row>
    <row r="100" spans="1:8" ht="14.4" x14ac:dyDescent="0.3">
      <c r="A100" s="8">
        <v>79750087</v>
      </c>
      <c r="B100" s="11">
        <v>44574</v>
      </c>
      <c r="C100" s="13" t="s">
        <v>312</v>
      </c>
      <c r="D100" s="13" t="s">
        <v>307</v>
      </c>
      <c r="E100" s="8">
        <v>10000</v>
      </c>
      <c r="F100" s="13" t="s">
        <v>70</v>
      </c>
      <c r="G100" s="14">
        <v>44578</v>
      </c>
      <c r="H100" s="13" t="s">
        <v>9</v>
      </c>
    </row>
    <row r="101" spans="1:8" ht="14.4" x14ac:dyDescent="0.3">
      <c r="A101" s="8">
        <v>79750088</v>
      </c>
      <c r="B101" s="11">
        <v>44574</v>
      </c>
      <c r="C101" s="13" t="s">
        <v>313</v>
      </c>
      <c r="D101" s="13" t="s">
        <v>307</v>
      </c>
      <c r="E101" s="8">
        <v>10000</v>
      </c>
      <c r="F101" s="13" t="s">
        <v>70</v>
      </c>
      <c r="G101" s="14">
        <v>44578</v>
      </c>
      <c r="H101" s="13" t="s">
        <v>9</v>
      </c>
    </row>
    <row r="102" spans="1:8" ht="14.4" x14ac:dyDescent="0.3">
      <c r="A102" s="8">
        <v>79750089</v>
      </c>
      <c r="B102" s="11">
        <v>44574</v>
      </c>
      <c r="C102" s="13" t="s">
        <v>314</v>
      </c>
      <c r="D102" s="13" t="s">
        <v>307</v>
      </c>
      <c r="E102" s="8">
        <v>10000</v>
      </c>
      <c r="F102" s="13" t="s">
        <v>70</v>
      </c>
      <c r="G102" s="14">
        <v>44578</v>
      </c>
      <c r="H102" s="13" t="s">
        <v>9</v>
      </c>
    </row>
    <row r="103" spans="1:8" ht="14.4" x14ac:dyDescent="0.3">
      <c r="A103" s="8">
        <v>79750090</v>
      </c>
      <c r="B103" s="11">
        <v>44574</v>
      </c>
      <c r="C103" s="13" t="s">
        <v>315</v>
      </c>
      <c r="D103" s="13" t="s">
        <v>307</v>
      </c>
      <c r="E103" s="8">
        <v>10000</v>
      </c>
      <c r="F103" s="13" t="s">
        <v>70</v>
      </c>
      <c r="G103" s="14">
        <v>44578</v>
      </c>
      <c r="H103" s="13" t="s">
        <v>9</v>
      </c>
    </row>
    <row r="104" spans="1:8" ht="14.4" x14ac:dyDescent="0.3">
      <c r="A104" s="8">
        <v>79750091</v>
      </c>
      <c r="B104" s="11">
        <v>44574</v>
      </c>
      <c r="C104" s="13" t="s">
        <v>316</v>
      </c>
      <c r="D104" s="13" t="s">
        <v>307</v>
      </c>
      <c r="E104" s="8">
        <v>10000</v>
      </c>
      <c r="F104" s="13" t="s">
        <v>70</v>
      </c>
      <c r="G104" s="14">
        <v>44578</v>
      </c>
      <c r="H104" s="13" t="s">
        <v>9</v>
      </c>
    </row>
    <row r="105" spans="1:8" ht="14.4" x14ac:dyDescent="0.3">
      <c r="A105" s="8">
        <v>79750092</v>
      </c>
      <c r="B105" s="11">
        <v>44574</v>
      </c>
      <c r="C105" s="13" t="s">
        <v>317</v>
      </c>
      <c r="D105" s="13" t="s">
        <v>307</v>
      </c>
      <c r="E105" s="8">
        <v>10000</v>
      </c>
      <c r="F105" s="13" t="s">
        <v>70</v>
      </c>
      <c r="G105" s="14">
        <v>44578</v>
      </c>
      <c r="H105" s="13" t="s">
        <v>9</v>
      </c>
    </row>
    <row r="106" spans="1:8" ht="14.4" x14ac:dyDescent="0.3">
      <c r="A106" s="8">
        <v>79750093</v>
      </c>
      <c r="B106" s="11">
        <v>44574</v>
      </c>
      <c r="C106" s="13" t="s">
        <v>318</v>
      </c>
      <c r="D106" s="13" t="s">
        <v>307</v>
      </c>
      <c r="E106" s="8">
        <v>10000</v>
      </c>
      <c r="F106" s="13" t="s">
        <v>70</v>
      </c>
      <c r="G106" s="14">
        <v>44578</v>
      </c>
      <c r="H106" s="13" t="s">
        <v>9</v>
      </c>
    </row>
    <row r="107" spans="1:8" ht="14.4" x14ac:dyDescent="0.3">
      <c r="A107" s="8">
        <v>79750094</v>
      </c>
      <c r="B107" s="11">
        <v>44574</v>
      </c>
      <c r="C107" s="13" t="s">
        <v>319</v>
      </c>
      <c r="D107" s="13" t="s">
        <v>307</v>
      </c>
      <c r="E107" s="8">
        <v>10000</v>
      </c>
      <c r="F107" s="13" t="s">
        <v>70</v>
      </c>
      <c r="G107" s="14">
        <v>44578</v>
      </c>
      <c r="H107" s="13" t="s">
        <v>9</v>
      </c>
    </row>
    <row r="108" spans="1:8" ht="14.4" x14ac:dyDescent="0.3">
      <c r="A108" s="8">
        <v>79750095</v>
      </c>
      <c r="B108" s="11">
        <v>44574</v>
      </c>
      <c r="C108" s="13" t="s">
        <v>320</v>
      </c>
      <c r="D108" s="13" t="s">
        <v>307</v>
      </c>
      <c r="E108" s="8">
        <v>10000</v>
      </c>
      <c r="F108" s="13" t="s">
        <v>70</v>
      </c>
      <c r="G108" s="14">
        <v>44578</v>
      </c>
      <c r="H108" s="13" t="s">
        <v>9</v>
      </c>
    </row>
    <row r="109" spans="1:8" ht="14.4" x14ac:dyDescent="0.3">
      <c r="A109" s="8">
        <v>79750096</v>
      </c>
      <c r="B109" s="11">
        <v>44574</v>
      </c>
      <c r="C109" s="13" t="s">
        <v>321</v>
      </c>
      <c r="D109" s="13" t="s">
        <v>322</v>
      </c>
      <c r="E109" s="8">
        <v>12000</v>
      </c>
      <c r="F109" s="13" t="s">
        <v>70</v>
      </c>
      <c r="G109" s="14">
        <v>44578</v>
      </c>
      <c r="H109" s="13" t="s">
        <v>9</v>
      </c>
    </row>
    <row r="110" spans="1:8" ht="14.4" x14ac:dyDescent="0.3">
      <c r="A110" s="8">
        <v>79750097</v>
      </c>
      <c r="B110" s="11">
        <v>44574</v>
      </c>
      <c r="C110" s="13" t="s">
        <v>323</v>
      </c>
      <c r="D110" s="13" t="s">
        <v>307</v>
      </c>
      <c r="E110" s="8">
        <v>12000</v>
      </c>
      <c r="F110" s="13" t="s">
        <v>70</v>
      </c>
      <c r="G110" s="14">
        <v>44578</v>
      </c>
      <c r="H110" s="13" t="s">
        <v>9</v>
      </c>
    </row>
    <row r="111" spans="1:8" ht="14.4" x14ac:dyDescent="0.3">
      <c r="A111" s="8">
        <v>79750098</v>
      </c>
      <c r="B111" s="11">
        <v>44574</v>
      </c>
      <c r="C111" s="13" t="s">
        <v>324</v>
      </c>
      <c r="D111" s="13" t="s">
        <v>307</v>
      </c>
      <c r="E111" s="8">
        <v>12000</v>
      </c>
      <c r="F111" s="13" t="s">
        <v>70</v>
      </c>
      <c r="G111" s="14">
        <v>44578</v>
      </c>
      <c r="H111" s="13" t="s">
        <v>9</v>
      </c>
    </row>
    <row r="112" spans="1:8" ht="14.4" x14ac:dyDescent="0.3">
      <c r="A112" s="8">
        <v>79750099</v>
      </c>
      <c r="B112" s="11">
        <v>44574</v>
      </c>
      <c r="C112" s="13" t="s">
        <v>87</v>
      </c>
      <c r="D112" s="13" t="s">
        <v>325</v>
      </c>
      <c r="E112" s="8">
        <v>3000</v>
      </c>
      <c r="F112" s="13" t="s">
        <v>70</v>
      </c>
      <c r="G112" s="14">
        <v>44607</v>
      </c>
      <c r="H112" s="13" t="s">
        <v>9</v>
      </c>
    </row>
    <row r="113" spans="1:8" ht="14.4" x14ac:dyDescent="0.3">
      <c r="A113" s="8">
        <v>79750100</v>
      </c>
      <c r="B113" s="11">
        <v>44574</v>
      </c>
      <c r="C113" s="13" t="s">
        <v>326</v>
      </c>
      <c r="D113" s="13" t="s">
        <v>325</v>
      </c>
      <c r="E113" s="8">
        <v>3000</v>
      </c>
      <c r="F113" s="13" t="s">
        <v>70</v>
      </c>
      <c r="G113" s="14">
        <v>44610</v>
      </c>
      <c r="H113" s="13" t="s">
        <v>9</v>
      </c>
    </row>
    <row r="114" spans="1:8" ht="14.4" x14ac:dyDescent="0.3">
      <c r="A114" s="8">
        <v>79750101</v>
      </c>
      <c r="B114" s="11">
        <v>44574</v>
      </c>
      <c r="C114" s="13" t="s">
        <v>88</v>
      </c>
      <c r="D114" s="13" t="s">
        <v>325</v>
      </c>
      <c r="E114" s="8">
        <v>3000</v>
      </c>
      <c r="F114" s="13" t="s">
        <v>70</v>
      </c>
      <c r="G114" s="14">
        <v>44582</v>
      </c>
      <c r="H114" s="13" t="s">
        <v>9</v>
      </c>
    </row>
    <row r="115" spans="1:8" ht="14.4" x14ac:dyDescent="0.3">
      <c r="A115" s="8">
        <v>79750102</v>
      </c>
      <c r="B115" s="11">
        <v>44574</v>
      </c>
      <c r="C115" s="13" t="s">
        <v>327</v>
      </c>
      <c r="D115" s="13" t="s">
        <v>328</v>
      </c>
      <c r="E115" s="8">
        <v>10000</v>
      </c>
      <c r="F115" s="13" t="s">
        <v>70</v>
      </c>
      <c r="G115" s="14">
        <v>44575</v>
      </c>
      <c r="H115" s="13" t="s">
        <v>9</v>
      </c>
    </row>
    <row r="116" spans="1:8" ht="14.4" x14ac:dyDescent="0.3">
      <c r="A116" s="8">
        <v>79750103</v>
      </c>
      <c r="B116" s="11">
        <v>44574</v>
      </c>
      <c r="C116" s="13" t="s">
        <v>90</v>
      </c>
      <c r="D116" s="13" t="s">
        <v>325</v>
      </c>
      <c r="E116" s="8">
        <v>3000</v>
      </c>
      <c r="F116" s="13" t="s">
        <v>70</v>
      </c>
      <c r="G116" s="14">
        <v>44582</v>
      </c>
      <c r="H116" s="13" t="s">
        <v>9</v>
      </c>
    </row>
    <row r="117" spans="1:8" ht="14.4" x14ac:dyDescent="0.3">
      <c r="A117" s="8">
        <v>79750104</v>
      </c>
      <c r="B117" s="11">
        <v>44574</v>
      </c>
      <c r="C117" s="13" t="s">
        <v>91</v>
      </c>
      <c r="D117" s="13" t="s">
        <v>325</v>
      </c>
      <c r="E117" s="8">
        <v>3000</v>
      </c>
      <c r="F117" s="13" t="s">
        <v>70</v>
      </c>
      <c r="G117" s="14">
        <v>44582</v>
      </c>
      <c r="H117" s="13" t="s">
        <v>9</v>
      </c>
    </row>
    <row r="118" spans="1:8" ht="14.4" x14ac:dyDescent="0.3">
      <c r="A118" s="8">
        <v>79750105</v>
      </c>
      <c r="B118" s="11">
        <v>44574</v>
      </c>
      <c r="C118" s="13" t="s">
        <v>329</v>
      </c>
      <c r="D118" s="13" t="s">
        <v>325</v>
      </c>
      <c r="E118" s="8">
        <v>3000</v>
      </c>
      <c r="F118" s="13" t="s">
        <v>70</v>
      </c>
      <c r="G118" s="14">
        <v>44582</v>
      </c>
      <c r="H118" s="13" t="s">
        <v>9</v>
      </c>
    </row>
    <row r="119" spans="1:8" ht="14.4" x14ac:dyDescent="0.3">
      <c r="A119" s="8">
        <v>79750106</v>
      </c>
      <c r="B119" s="11">
        <v>44574</v>
      </c>
      <c r="C119" s="13" t="s">
        <v>92</v>
      </c>
      <c r="D119" s="13" t="s">
        <v>325</v>
      </c>
      <c r="E119" s="8">
        <v>3000</v>
      </c>
      <c r="F119" s="13" t="s">
        <v>70</v>
      </c>
      <c r="G119" s="14">
        <v>44582</v>
      </c>
      <c r="H119" s="13" t="s">
        <v>9</v>
      </c>
    </row>
    <row r="120" spans="1:8" ht="14.4" x14ac:dyDescent="0.3">
      <c r="A120" s="8">
        <v>79750107</v>
      </c>
      <c r="B120" s="11">
        <v>44574</v>
      </c>
      <c r="C120" s="13" t="s">
        <v>98</v>
      </c>
      <c r="D120" s="13" t="s">
        <v>325</v>
      </c>
      <c r="E120" s="8">
        <v>3000</v>
      </c>
      <c r="F120" s="13" t="s">
        <v>70</v>
      </c>
      <c r="G120" s="14">
        <v>44582</v>
      </c>
      <c r="H120" s="13" t="s">
        <v>9</v>
      </c>
    </row>
    <row r="121" spans="1:8" ht="14.4" x14ac:dyDescent="0.3">
      <c r="A121" s="8">
        <v>79750108</v>
      </c>
      <c r="B121" s="11">
        <v>44574</v>
      </c>
      <c r="C121" s="13" t="s">
        <v>330</v>
      </c>
      <c r="D121" s="13" t="s">
        <v>302</v>
      </c>
      <c r="E121" s="8">
        <v>20000</v>
      </c>
      <c r="F121" s="13" t="s">
        <v>70</v>
      </c>
      <c r="G121" s="14">
        <v>44575</v>
      </c>
      <c r="H121" s="13" t="s">
        <v>9</v>
      </c>
    </row>
    <row r="122" spans="1:8" ht="14.4" x14ac:dyDescent="0.3">
      <c r="A122" s="8">
        <v>79750109</v>
      </c>
      <c r="B122" s="11">
        <v>44574</v>
      </c>
      <c r="C122" s="13" t="s">
        <v>331</v>
      </c>
      <c r="D122" s="13" t="s">
        <v>302</v>
      </c>
      <c r="E122" s="8">
        <v>10000</v>
      </c>
      <c r="F122" s="13" t="s">
        <v>70</v>
      </c>
      <c r="G122" s="14">
        <v>44575</v>
      </c>
      <c r="H122" s="13" t="s">
        <v>9</v>
      </c>
    </row>
    <row r="123" spans="1:8" ht="14.4" x14ac:dyDescent="0.3">
      <c r="A123" s="8">
        <v>79750110</v>
      </c>
      <c r="B123" s="11">
        <v>44574</v>
      </c>
      <c r="C123" s="13" t="s">
        <v>332</v>
      </c>
      <c r="D123" s="13" t="s">
        <v>302</v>
      </c>
      <c r="E123" s="8">
        <v>5000</v>
      </c>
      <c r="F123" s="13" t="s">
        <v>70</v>
      </c>
      <c r="G123" s="14">
        <v>44575</v>
      </c>
      <c r="H123" s="13" t="s">
        <v>9</v>
      </c>
    </row>
    <row r="124" spans="1:8" ht="14.4" x14ac:dyDescent="0.3">
      <c r="A124" s="8">
        <v>79750111</v>
      </c>
      <c r="B124" s="11">
        <v>44574</v>
      </c>
      <c r="C124" s="13" t="s">
        <v>333</v>
      </c>
      <c r="D124" s="13" t="s">
        <v>302</v>
      </c>
      <c r="E124" s="8">
        <v>3000</v>
      </c>
      <c r="F124" s="13" t="s">
        <v>70</v>
      </c>
      <c r="G124" s="14">
        <v>44575</v>
      </c>
      <c r="H124" s="13" t="s">
        <v>9</v>
      </c>
    </row>
    <row r="125" spans="1:8" ht="14.4" x14ac:dyDescent="0.3">
      <c r="A125" s="8">
        <v>79750112</v>
      </c>
      <c r="B125" s="11">
        <v>44574</v>
      </c>
      <c r="C125" s="13" t="s">
        <v>334</v>
      </c>
      <c r="D125" s="13" t="s">
        <v>335</v>
      </c>
      <c r="E125" s="8">
        <v>10000</v>
      </c>
      <c r="F125" s="13" t="s">
        <v>70</v>
      </c>
      <c r="G125" s="14">
        <v>44582</v>
      </c>
      <c r="H125" s="13" t="s">
        <v>9</v>
      </c>
    </row>
    <row r="126" spans="1:8" ht="14.4" x14ac:dyDescent="0.3">
      <c r="A126" s="8">
        <v>79750113</v>
      </c>
      <c r="B126" s="11">
        <v>44574</v>
      </c>
      <c r="C126" s="13" t="s">
        <v>336</v>
      </c>
      <c r="D126" s="13" t="s">
        <v>335</v>
      </c>
      <c r="E126" s="8">
        <v>20000</v>
      </c>
      <c r="F126" s="13" t="s">
        <v>70</v>
      </c>
      <c r="G126" s="14">
        <v>44582</v>
      </c>
      <c r="H126" s="13" t="s">
        <v>9</v>
      </c>
    </row>
    <row r="127" spans="1:8" ht="14.4" x14ac:dyDescent="0.3">
      <c r="A127" s="8">
        <v>79750114</v>
      </c>
      <c r="B127" s="11">
        <v>44574</v>
      </c>
      <c r="C127" s="13" t="s">
        <v>337</v>
      </c>
      <c r="D127" s="13" t="s">
        <v>307</v>
      </c>
      <c r="E127" s="8">
        <v>10000</v>
      </c>
      <c r="F127" s="13" t="s">
        <v>70</v>
      </c>
      <c r="G127" s="14">
        <v>44578</v>
      </c>
      <c r="H127" s="13" t="s">
        <v>9</v>
      </c>
    </row>
    <row r="128" spans="1:8" ht="14.4" x14ac:dyDescent="0.3">
      <c r="A128" s="8">
        <v>79750115</v>
      </c>
      <c r="B128" s="11">
        <v>44574</v>
      </c>
      <c r="C128" s="13" t="s">
        <v>338</v>
      </c>
      <c r="D128" s="13" t="s">
        <v>335</v>
      </c>
      <c r="E128" s="8">
        <v>6000</v>
      </c>
      <c r="F128" s="13" t="s">
        <v>70</v>
      </c>
      <c r="G128" s="14">
        <v>44582</v>
      </c>
      <c r="H128" s="13" t="s">
        <v>9</v>
      </c>
    </row>
    <row r="129" spans="1:8" ht="14.4" x14ac:dyDescent="0.3">
      <c r="A129" s="8">
        <v>79750116</v>
      </c>
      <c r="B129" s="11">
        <v>44574</v>
      </c>
      <c r="C129" s="13" t="s">
        <v>339</v>
      </c>
      <c r="D129" s="13" t="s">
        <v>335</v>
      </c>
      <c r="E129" s="8">
        <v>5000</v>
      </c>
      <c r="F129" s="13" t="s">
        <v>70</v>
      </c>
      <c r="G129" s="14">
        <v>44582</v>
      </c>
      <c r="H129" s="13" t="s">
        <v>9</v>
      </c>
    </row>
    <row r="130" spans="1:8" ht="14.4" x14ac:dyDescent="0.3">
      <c r="A130" s="8">
        <v>79750117</v>
      </c>
      <c r="B130" s="11">
        <v>44574</v>
      </c>
      <c r="C130" s="13" t="s">
        <v>340</v>
      </c>
      <c r="D130" s="13" t="s">
        <v>335</v>
      </c>
      <c r="E130" s="8">
        <v>5000</v>
      </c>
      <c r="F130" s="13" t="s">
        <v>70</v>
      </c>
      <c r="G130" s="14">
        <v>44582</v>
      </c>
      <c r="H130" s="13" t="s">
        <v>9</v>
      </c>
    </row>
    <row r="131" spans="1:8" ht="14.4" x14ac:dyDescent="0.3">
      <c r="A131" s="8">
        <v>79750118</v>
      </c>
      <c r="B131" s="11">
        <v>44574</v>
      </c>
      <c r="C131" s="13" t="s">
        <v>341</v>
      </c>
      <c r="D131" s="13" t="s">
        <v>335</v>
      </c>
      <c r="E131" s="8">
        <v>5000</v>
      </c>
      <c r="F131" s="13" t="s">
        <v>70</v>
      </c>
      <c r="G131" s="14">
        <v>44582</v>
      </c>
      <c r="H131" s="13" t="s">
        <v>9</v>
      </c>
    </row>
    <row r="132" spans="1:8" ht="14.4" x14ac:dyDescent="0.3">
      <c r="A132" s="8">
        <v>79750119</v>
      </c>
      <c r="B132" s="11">
        <v>44574</v>
      </c>
      <c r="C132" s="13" t="s">
        <v>342</v>
      </c>
      <c r="D132" s="13" t="s">
        <v>343</v>
      </c>
      <c r="E132" s="8">
        <v>3000</v>
      </c>
      <c r="F132" s="13" t="s">
        <v>70</v>
      </c>
      <c r="G132" s="14">
        <v>44582</v>
      </c>
      <c r="H132" s="13" t="s">
        <v>9</v>
      </c>
    </row>
    <row r="133" spans="1:8" ht="14.4" x14ac:dyDescent="0.3">
      <c r="A133" s="8">
        <v>79750120</v>
      </c>
      <c r="B133" s="11">
        <v>44574</v>
      </c>
      <c r="C133" s="13" t="s">
        <v>344</v>
      </c>
      <c r="D133" s="13" t="s">
        <v>335</v>
      </c>
      <c r="E133" s="8">
        <v>3000</v>
      </c>
      <c r="F133" s="13" t="s">
        <v>70</v>
      </c>
      <c r="G133" s="14">
        <v>44582</v>
      </c>
      <c r="H133" s="13" t="s">
        <v>9</v>
      </c>
    </row>
    <row r="134" spans="1:8" ht="14.4" x14ac:dyDescent="0.3">
      <c r="A134" s="8">
        <v>79750121</v>
      </c>
      <c r="B134" s="11">
        <v>44574</v>
      </c>
      <c r="C134" s="13" t="s">
        <v>345</v>
      </c>
      <c r="D134" s="13" t="s">
        <v>335</v>
      </c>
      <c r="E134" s="8">
        <v>10000</v>
      </c>
      <c r="F134" s="13" t="s">
        <v>70</v>
      </c>
      <c r="G134" s="14">
        <v>44580</v>
      </c>
      <c r="H134" s="13" t="s">
        <v>9</v>
      </c>
    </row>
    <row r="135" spans="1:8" ht="14.4" x14ac:dyDescent="0.3">
      <c r="A135" s="8">
        <v>79750122</v>
      </c>
      <c r="B135" s="11">
        <v>44574</v>
      </c>
      <c r="C135" s="13" t="s">
        <v>346</v>
      </c>
      <c r="D135" s="13" t="s">
        <v>335</v>
      </c>
      <c r="E135" s="8">
        <v>5000</v>
      </c>
      <c r="F135" s="13" t="s">
        <v>70</v>
      </c>
      <c r="G135" s="14">
        <v>44579</v>
      </c>
      <c r="H135" s="13" t="s">
        <v>9</v>
      </c>
    </row>
    <row r="136" spans="1:8" ht="14.4" x14ac:dyDescent="0.3">
      <c r="A136" s="8">
        <v>79750123</v>
      </c>
      <c r="B136" s="11">
        <v>44574</v>
      </c>
      <c r="C136" s="13" t="s">
        <v>347</v>
      </c>
      <c r="D136" s="13" t="s">
        <v>335</v>
      </c>
      <c r="E136" s="8">
        <v>3000</v>
      </c>
      <c r="F136" s="13" t="s">
        <v>70</v>
      </c>
      <c r="G136" s="14">
        <v>44580</v>
      </c>
      <c r="H136" s="13" t="s">
        <v>9</v>
      </c>
    </row>
    <row r="137" spans="1:8" ht="14.4" x14ac:dyDescent="0.3">
      <c r="A137" s="8">
        <v>79750124</v>
      </c>
      <c r="B137" s="11">
        <v>44574</v>
      </c>
      <c r="C137" s="13" t="s">
        <v>348</v>
      </c>
      <c r="D137" s="13" t="s">
        <v>349</v>
      </c>
      <c r="E137" s="8">
        <v>20000</v>
      </c>
      <c r="F137" s="13" t="s">
        <v>70</v>
      </c>
      <c r="G137" s="14">
        <v>44578</v>
      </c>
      <c r="H137" s="13" t="s">
        <v>9</v>
      </c>
    </row>
    <row r="138" spans="1:8" ht="14.4" x14ac:dyDescent="0.3">
      <c r="A138" s="8">
        <v>79750125</v>
      </c>
      <c r="B138" s="11">
        <v>44574</v>
      </c>
      <c r="C138" s="13" t="s">
        <v>350</v>
      </c>
      <c r="D138" s="13" t="s">
        <v>351</v>
      </c>
      <c r="E138" s="8">
        <v>10000</v>
      </c>
      <c r="F138" s="13" t="s">
        <v>70</v>
      </c>
      <c r="G138" s="14">
        <v>44578</v>
      </c>
      <c r="H138" s="13" t="s">
        <v>9</v>
      </c>
    </row>
    <row r="139" spans="1:8" ht="14.4" x14ac:dyDescent="0.3">
      <c r="A139" s="8">
        <v>79750126</v>
      </c>
      <c r="B139" s="11">
        <v>44574</v>
      </c>
      <c r="C139" s="13" t="s">
        <v>82</v>
      </c>
      <c r="D139" s="13" t="s">
        <v>302</v>
      </c>
      <c r="E139" s="8">
        <v>5000</v>
      </c>
      <c r="F139" s="13" t="s">
        <v>70</v>
      </c>
      <c r="G139" s="14">
        <v>44587</v>
      </c>
      <c r="H139" s="13" t="s">
        <v>9</v>
      </c>
    </row>
    <row r="140" spans="1:8" ht="14.4" x14ac:dyDescent="0.3">
      <c r="A140" s="8">
        <v>79750127</v>
      </c>
      <c r="B140" s="11">
        <v>44574</v>
      </c>
      <c r="C140" s="13" t="s">
        <v>44</v>
      </c>
      <c r="D140" s="13" t="s">
        <v>352</v>
      </c>
      <c r="E140" s="8">
        <v>2979.55</v>
      </c>
      <c r="F140" s="13" t="s">
        <v>70</v>
      </c>
      <c r="G140" s="14">
        <v>44579</v>
      </c>
      <c r="H140" s="13" t="s">
        <v>9</v>
      </c>
    </row>
    <row r="141" spans="1:8" ht="14.4" x14ac:dyDescent="0.3">
      <c r="A141" s="8">
        <v>79750128</v>
      </c>
      <c r="B141" s="11">
        <v>44574</v>
      </c>
      <c r="C141" s="13" t="s">
        <v>71</v>
      </c>
      <c r="D141" s="13" t="s">
        <v>353</v>
      </c>
      <c r="E141" s="8">
        <v>42943.29</v>
      </c>
      <c r="F141" s="13" t="s">
        <v>70</v>
      </c>
      <c r="G141" s="14">
        <v>44592</v>
      </c>
      <c r="H141" s="13" t="s">
        <v>9</v>
      </c>
    </row>
    <row r="142" spans="1:8" ht="14.4" x14ac:dyDescent="0.3">
      <c r="A142" s="8">
        <v>79750129</v>
      </c>
      <c r="B142" s="11">
        <v>44574</v>
      </c>
      <c r="C142" s="13" t="s">
        <v>354</v>
      </c>
      <c r="D142" s="13" t="s">
        <v>355</v>
      </c>
      <c r="E142" s="8">
        <v>6376.46</v>
      </c>
      <c r="F142" s="13" t="s">
        <v>70</v>
      </c>
      <c r="G142" s="14">
        <v>44575</v>
      </c>
      <c r="H142" s="13" t="s">
        <v>9</v>
      </c>
    </row>
    <row r="143" spans="1:8" ht="14.4" x14ac:dyDescent="0.3">
      <c r="A143" s="8">
        <v>79750130</v>
      </c>
      <c r="B143" s="11">
        <v>44574</v>
      </c>
      <c r="C143" s="13" t="s">
        <v>356</v>
      </c>
      <c r="D143" s="13" t="s">
        <v>302</v>
      </c>
      <c r="E143" s="8">
        <v>3000</v>
      </c>
      <c r="F143" s="13" t="s">
        <v>70</v>
      </c>
      <c r="G143" s="14">
        <v>44578</v>
      </c>
      <c r="H143" s="13" t="s">
        <v>9</v>
      </c>
    </row>
    <row r="144" spans="1:8" ht="14.4" x14ac:dyDescent="0.3">
      <c r="A144" s="8">
        <v>79750131</v>
      </c>
      <c r="B144" s="11">
        <v>44574</v>
      </c>
      <c r="C144" s="13" t="s">
        <v>357</v>
      </c>
      <c r="D144" s="13" t="s">
        <v>358</v>
      </c>
      <c r="E144" s="8">
        <v>8000</v>
      </c>
      <c r="F144" s="13" t="s">
        <v>70</v>
      </c>
      <c r="G144" s="14">
        <v>44579</v>
      </c>
      <c r="H144" s="13" t="s">
        <v>9</v>
      </c>
    </row>
    <row r="145" spans="1:8" ht="14.4" x14ac:dyDescent="0.3">
      <c r="A145" s="8">
        <v>79750133</v>
      </c>
      <c r="B145" s="11">
        <v>44574</v>
      </c>
      <c r="C145" s="13" t="s">
        <v>217</v>
      </c>
      <c r="D145" s="13" t="s">
        <v>359</v>
      </c>
      <c r="E145" s="8">
        <v>35770</v>
      </c>
      <c r="F145" s="13" t="s">
        <v>70</v>
      </c>
      <c r="G145" s="14">
        <v>44589</v>
      </c>
      <c r="H145" s="13" t="s">
        <v>9</v>
      </c>
    </row>
    <row r="146" spans="1:8" ht="14.4" x14ac:dyDescent="0.3">
      <c r="A146" s="8">
        <v>79750134</v>
      </c>
      <c r="B146" s="11">
        <v>44574</v>
      </c>
      <c r="C146" s="13" t="s">
        <v>265</v>
      </c>
      <c r="D146" s="13" t="s">
        <v>360</v>
      </c>
      <c r="E146" s="8">
        <v>9000</v>
      </c>
      <c r="F146" s="13" t="s">
        <v>70</v>
      </c>
      <c r="G146" s="14">
        <v>44579</v>
      </c>
      <c r="H146" s="13" t="s">
        <v>9</v>
      </c>
    </row>
    <row r="147" spans="1:8" ht="14.4" x14ac:dyDescent="0.3">
      <c r="A147" s="8">
        <v>79750135</v>
      </c>
      <c r="B147" s="11">
        <v>44574</v>
      </c>
      <c r="C147" s="13" t="s">
        <v>361</v>
      </c>
      <c r="D147" s="13" t="s">
        <v>362</v>
      </c>
      <c r="E147" s="8">
        <v>72372.14</v>
      </c>
      <c r="F147" s="13" t="s">
        <v>70</v>
      </c>
      <c r="G147" s="14">
        <v>44579</v>
      </c>
      <c r="H147" s="13" t="s">
        <v>9</v>
      </c>
    </row>
    <row r="148" spans="1:8" ht="14.4" x14ac:dyDescent="0.3">
      <c r="A148" s="8">
        <v>79750136</v>
      </c>
      <c r="B148" s="11">
        <v>44574</v>
      </c>
      <c r="C148" s="13" t="s">
        <v>363</v>
      </c>
      <c r="D148" s="13" t="s">
        <v>364</v>
      </c>
      <c r="E148" s="8">
        <v>5400</v>
      </c>
      <c r="F148" s="13" t="s">
        <v>70</v>
      </c>
      <c r="G148" s="14">
        <v>44579</v>
      </c>
      <c r="H148" s="13" t="s">
        <v>9</v>
      </c>
    </row>
    <row r="149" spans="1:8" ht="14.4" x14ac:dyDescent="0.3">
      <c r="A149" s="8">
        <v>79750137</v>
      </c>
      <c r="B149" s="11">
        <v>44574</v>
      </c>
      <c r="C149" s="13" t="s">
        <v>365</v>
      </c>
      <c r="D149" s="13" t="s">
        <v>366</v>
      </c>
      <c r="E149" s="8">
        <v>2398.73</v>
      </c>
      <c r="F149" s="13" t="s">
        <v>70</v>
      </c>
      <c r="G149" s="14">
        <v>44581</v>
      </c>
      <c r="H149" s="13" t="s">
        <v>9</v>
      </c>
    </row>
    <row r="150" spans="1:8" ht="14.4" x14ac:dyDescent="0.3">
      <c r="A150" s="8">
        <v>79750138</v>
      </c>
      <c r="B150" s="11">
        <v>44574</v>
      </c>
      <c r="C150" s="13" t="s">
        <v>367</v>
      </c>
      <c r="D150" s="13" t="s">
        <v>368</v>
      </c>
      <c r="E150" s="8">
        <v>6000</v>
      </c>
      <c r="F150" s="13" t="s">
        <v>70</v>
      </c>
      <c r="G150" s="14">
        <v>44586</v>
      </c>
      <c r="H150" s="13" t="s">
        <v>9</v>
      </c>
    </row>
    <row r="151" spans="1:8" ht="14.4" x14ac:dyDescent="0.3">
      <c r="A151" s="8">
        <v>79750139</v>
      </c>
      <c r="B151" s="11">
        <v>44574</v>
      </c>
      <c r="C151" s="13" t="s">
        <v>369</v>
      </c>
      <c r="D151" s="13" t="s">
        <v>368</v>
      </c>
      <c r="E151" s="8">
        <v>3600</v>
      </c>
      <c r="F151" s="13" t="s">
        <v>70</v>
      </c>
      <c r="G151" s="14">
        <v>44582</v>
      </c>
      <c r="H151" s="13" t="s">
        <v>9</v>
      </c>
    </row>
    <row r="152" spans="1:8" ht="14.4" x14ac:dyDescent="0.3">
      <c r="A152" s="8">
        <v>79750140</v>
      </c>
      <c r="B152" s="11">
        <v>44574</v>
      </c>
      <c r="C152" s="13" t="s">
        <v>370</v>
      </c>
      <c r="D152" s="13" t="s">
        <v>371</v>
      </c>
      <c r="E152" s="8">
        <v>13200</v>
      </c>
      <c r="F152" s="13" t="s">
        <v>70</v>
      </c>
      <c r="G152" s="14">
        <v>44582</v>
      </c>
      <c r="H152" s="13" t="s">
        <v>9</v>
      </c>
    </row>
    <row r="153" spans="1:8" ht="14.4" x14ac:dyDescent="0.3">
      <c r="A153" s="8">
        <v>79750141</v>
      </c>
      <c r="B153" s="11">
        <v>44574</v>
      </c>
      <c r="C153" s="13" t="s">
        <v>372</v>
      </c>
      <c r="D153" s="13" t="s">
        <v>373</v>
      </c>
      <c r="E153" s="8">
        <v>4500</v>
      </c>
      <c r="F153" s="13" t="s">
        <v>70</v>
      </c>
      <c r="G153" s="14">
        <v>44582</v>
      </c>
      <c r="H153" s="13" t="s">
        <v>9</v>
      </c>
    </row>
    <row r="154" spans="1:8" ht="14.4" x14ac:dyDescent="0.3">
      <c r="A154" s="8">
        <v>79750142</v>
      </c>
      <c r="B154" s="11">
        <v>44575</v>
      </c>
      <c r="C154" s="13" t="s">
        <v>374</v>
      </c>
      <c r="D154" s="13" t="s">
        <v>375</v>
      </c>
      <c r="E154" s="8">
        <v>283220</v>
      </c>
      <c r="F154" s="13" t="s">
        <v>70</v>
      </c>
      <c r="G154" s="14">
        <v>44581</v>
      </c>
      <c r="H154" s="13" t="s">
        <v>9</v>
      </c>
    </row>
    <row r="155" spans="1:8" ht="14.4" x14ac:dyDescent="0.3">
      <c r="A155" s="8">
        <v>79750143</v>
      </c>
      <c r="B155" s="11">
        <v>44575</v>
      </c>
      <c r="C155" s="13" t="s">
        <v>376</v>
      </c>
      <c r="D155" s="13" t="s">
        <v>377</v>
      </c>
      <c r="E155" s="8">
        <v>35427</v>
      </c>
      <c r="F155" s="13" t="s">
        <v>70</v>
      </c>
      <c r="G155" s="14">
        <v>44581</v>
      </c>
      <c r="H155" s="13" t="s">
        <v>9</v>
      </c>
    </row>
    <row r="156" spans="1:8" ht="14.4" x14ac:dyDescent="0.3">
      <c r="A156" s="8">
        <v>79750144</v>
      </c>
      <c r="B156" s="11">
        <v>44575</v>
      </c>
      <c r="C156" s="13" t="s">
        <v>361</v>
      </c>
      <c r="D156" s="13" t="s">
        <v>378</v>
      </c>
      <c r="E156" s="8">
        <v>13713.74</v>
      </c>
      <c r="F156" s="13" t="s">
        <v>70</v>
      </c>
      <c r="G156" s="14">
        <v>44579</v>
      </c>
      <c r="H156" s="13" t="s">
        <v>9</v>
      </c>
    </row>
    <row r="157" spans="1:8" ht="14.4" x14ac:dyDescent="0.3">
      <c r="A157" s="8">
        <v>79750145</v>
      </c>
      <c r="B157" s="11">
        <v>44575</v>
      </c>
      <c r="C157" s="13" t="s">
        <v>379</v>
      </c>
      <c r="D157" s="13" t="s">
        <v>380</v>
      </c>
      <c r="E157" s="8">
        <v>23520</v>
      </c>
      <c r="F157" s="13" t="s">
        <v>70</v>
      </c>
      <c r="G157" s="14">
        <v>44579</v>
      </c>
      <c r="H157" s="13" t="s">
        <v>9</v>
      </c>
    </row>
    <row r="158" spans="1:8" ht="14.4" x14ac:dyDescent="0.3">
      <c r="A158" s="8">
        <v>79750146</v>
      </c>
      <c r="B158" s="11">
        <v>44575</v>
      </c>
      <c r="C158" s="13" t="s">
        <v>381</v>
      </c>
      <c r="D158" s="13" t="s">
        <v>382</v>
      </c>
      <c r="E158" s="8">
        <v>34797.339999999997</v>
      </c>
      <c r="F158" s="13" t="s">
        <v>70</v>
      </c>
      <c r="G158" s="14">
        <v>44578</v>
      </c>
      <c r="H158" s="13" t="s">
        <v>9</v>
      </c>
    </row>
    <row r="159" spans="1:8" ht="14.4" x14ac:dyDescent="0.3">
      <c r="A159" s="8">
        <v>79750147</v>
      </c>
      <c r="B159" s="11">
        <v>44575</v>
      </c>
      <c r="C159" s="13" t="s">
        <v>361</v>
      </c>
      <c r="D159" s="13" t="s">
        <v>383</v>
      </c>
      <c r="E159" s="8">
        <v>7258.23</v>
      </c>
      <c r="F159" s="13" t="s">
        <v>70</v>
      </c>
      <c r="G159" s="14">
        <v>44579</v>
      </c>
      <c r="H159" s="13" t="s">
        <v>9</v>
      </c>
    </row>
    <row r="160" spans="1:8" ht="14.4" x14ac:dyDescent="0.3">
      <c r="A160" s="8">
        <v>79750148</v>
      </c>
      <c r="B160" s="11">
        <v>44575</v>
      </c>
      <c r="C160" s="13" t="s">
        <v>384</v>
      </c>
      <c r="D160" s="13" t="s">
        <v>385</v>
      </c>
      <c r="E160" s="8">
        <v>22000</v>
      </c>
      <c r="F160" s="13" t="s">
        <v>70</v>
      </c>
      <c r="G160" s="14">
        <v>44581</v>
      </c>
      <c r="H160" s="13" t="s">
        <v>9</v>
      </c>
    </row>
    <row r="161" spans="1:8" ht="14.4" x14ac:dyDescent="0.3">
      <c r="A161" s="8">
        <v>79750149</v>
      </c>
      <c r="B161" s="11">
        <v>44575</v>
      </c>
      <c r="C161" s="13" t="s">
        <v>152</v>
      </c>
      <c r="D161" s="13" t="s">
        <v>386</v>
      </c>
      <c r="E161" s="8">
        <v>9000</v>
      </c>
      <c r="F161" s="13" t="s">
        <v>70</v>
      </c>
      <c r="G161" s="14">
        <v>44586</v>
      </c>
      <c r="H161" s="13" t="s">
        <v>9</v>
      </c>
    </row>
    <row r="162" spans="1:8" ht="14.4" x14ac:dyDescent="0.3">
      <c r="A162" s="8">
        <v>79750150</v>
      </c>
      <c r="B162" s="11">
        <v>44575</v>
      </c>
      <c r="C162" s="13" t="s">
        <v>387</v>
      </c>
      <c r="D162" s="13" t="s">
        <v>388</v>
      </c>
      <c r="E162" s="8">
        <v>10000</v>
      </c>
      <c r="F162" s="13" t="s">
        <v>70</v>
      </c>
      <c r="G162" s="14">
        <v>44581</v>
      </c>
      <c r="H162" s="13" t="s">
        <v>9</v>
      </c>
    </row>
    <row r="163" spans="1:8" ht="14.4" x14ac:dyDescent="0.3">
      <c r="A163" s="8">
        <v>79750151</v>
      </c>
      <c r="B163" s="11">
        <v>44575</v>
      </c>
      <c r="C163" s="13" t="s">
        <v>389</v>
      </c>
      <c r="D163" s="13" t="s">
        <v>388</v>
      </c>
      <c r="E163" s="8">
        <v>5000</v>
      </c>
      <c r="F163" s="13" t="s">
        <v>70</v>
      </c>
      <c r="G163" s="14">
        <v>44581</v>
      </c>
      <c r="H163" s="13" t="s">
        <v>9</v>
      </c>
    </row>
    <row r="164" spans="1:8" ht="14.4" x14ac:dyDescent="0.3">
      <c r="A164" s="8">
        <v>79750152</v>
      </c>
      <c r="B164" s="11">
        <v>44575</v>
      </c>
      <c r="C164" s="13" t="s">
        <v>113</v>
      </c>
      <c r="D164" s="13" t="s">
        <v>302</v>
      </c>
      <c r="E164" s="8">
        <v>20000</v>
      </c>
      <c r="F164" s="13" t="s">
        <v>70</v>
      </c>
      <c r="G164" s="14">
        <v>44581</v>
      </c>
      <c r="H164" s="13" t="s">
        <v>9</v>
      </c>
    </row>
    <row r="165" spans="1:8" ht="14.4" x14ac:dyDescent="0.3">
      <c r="A165" s="8">
        <v>79750153</v>
      </c>
      <c r="B165" s="11">
        <v>44575</v>
      </c>
      <c r="C165" s="13" t="s">
        <v>114</v>
      </c>
      <c r="D165" s="13" t="s">
        <v>302</v>
      </c>
      <c r="E165" s="8">
        <v>10000</v>
      </c>
      <c r="F165" s="13" t="s">
        <v>70</v>
      </c>
      <c r="G165" s="14">
        <v>44581</v>
      </c>
      <c r="H165" s="13" t="s">
        <v>9</v>
      </c>
    </row>
    <row r="166" spans="1:8" ht="14.4" x14ac:dyDescent="0.3">
      <c r="A166" s="8">
        <v>79750154</v>
      </c>
      <c r="B166" s="11">
        <v>44575</v>
      </c>
      <c r="C166" s="13" t="s">
        <v>115</v>
      </c>
      <c r="D166" s="13" t="s">
        <v>302</v>
      </c>
      <c r="E166" s="8">
        <v>5000</v>
      </c>
      <c r="F166" s="13" t="s">
        <v>70</v>
      </c>
      <c r="G166" s="14">
        <v>44586</v>
      </c>
      <c r="H166" s="13" t="s">
        <v>9</v>
      </c>
    </row>
    <row r="167" spans="1:8" ht="14.4" x14ac:dyDescent="0.3">
      <c r="A167" s="8">
        <v>79750155</v>
      </c>
      <c r="B167" s="11">
        <v>44575</v>
      </c>
      <c r="C167" s="13" t="s">
        <v>116</v>
      </c>
      <c r="D167" s="13" t="s">
        <v>302</v>
      </c>
      <c r="E167" s="8">
        <v>5000</v>
      </c>
      <c r="F167" s="13" t="s">
        <v>70</v>
      </c>
      <c r="G167" s="14">
        <v>44581</v>
      </c>
      <c r="H167" s="13" t="s">
        <v>9</v>
      </c>
    </row>
    <row r="168" spans="1:8" ht="14.4" x14ac:dyDescent="0.3">
      <c r="A168" s="8">
        <v>79750156</v>
      </c>
      <c r="B168" s="11">
        <v>44575</v>
      </c>
      <c r="C168" s="13" t="s">
        <v>117</v>
      </c>
      <c r="D168" s="13" t="s">
        <v>302</v>
      </c>
      <c r="E168" s="8">
        <v>3000</v>
      </c>
      <c r="F168" s="13" t="s">
        <v>70</v>
      </c>
      <c r="G168" s="14">
        <v>44581</v>
      </c>
      <c r="H168" s="13" t="s">
        <v>9</v>
      </c>
    </row>
    <row r="169" spans="1:8" ht="14.4" x14ac:dyDescent="0.3">
      <c r="A169" s="8">
        <v>79750157</v>
      </c>
      <c r="B169" s="11">
        <v>44575</v>
      </c>
      <c r="C169" s="13" t="s">
        <v>390</v>
      </c>
      <c r="D169" s="13" t="s">
        <v>391</v>
      </c>
      <c r="E169" s="8">
        <v>20000</v>
      </c>
      <c r="F169" s="13" t="s">
        <v>70</v>
      </c>
      <c r="G169" s="14">
        <v>44581</v>
      </c>
      <c r="H169" s="13" t="s">
        <v>9</v>
      </c>
    </row>
    <row r="170" spans="1:8" ht="14.4" x14ac:dyDescent="0.3">
      <c r="A170" s="8">
        <v>79750158</v>
      </c>
      <c r="B170" s="11">
        <v>44575</v>
      </c>
      <c r="C170" s="13" t="s">
        <v>392</v>
      </c>
      <c r="D170" s="13" t="s">
        <v>391</v>
      </c>
      <c r="E170" s="8">
        <v>10000</v>
      </c>
      <c r="F170" s="13" t="s">
        <v>70</v>
      </c>
      <c r="G170" s="14">
        <v>44581</v>
      </c>
      <c r="H170" s="13" t="s">
        <v>9</v>
      </c>
    </row>
    <row r="171" spans="1:8" ht="14.4" x14ac:dyDescent="0.3">
      <c r="A171" s="8">
        <v>79750159</v>
      </c>
      <c r="B171" s="11">
        <v>44575</v>
      </c>
      <c r="C171" s="13" t="s">
        <v>393</v>
      </c>
      <c r="D171" s="13" t="s">
        <v>391</v>
      </c>
      <c r="E171" s="8">
        <v>5000</v>
      </c>
      <c r="F171" s="13" t="s">
        <v>70</v>
      </c>
      <c r="G171" s="14">
        <v>44594</v>
      </c>
      <c r="H171" s="13" t="s">
        <v>9</v>
      </c>
    </row>
    <row r="172" spans="1:8" ht="14.4" x14ac:dyDescent="0.3">
      <c r="A172" s="8">
        <v>79750160</v>
      </c>
      <c r="B172" s="11">
        <v>44575</v>
      </c>
      <c r="C172" s="13" t="s">
        <v>394</v>
      </c>
      <c r="D172" s="13" t="s">
        <v>391</v>
      </c>
      <c r="E172" s="8">
        <v>3000</v>
      </c>
      <c r="F172" s="13" t="s">
        <v>70</v>
      </c>
      <c r="G172" s="14">
        <v>44595</v>
      </c>
      <c r="H172" s="13" t="s">
        <v>9</v>
      </c>
    </row>
    <row r="173" spans="1:8" ht="14.4" x14ac:dyDescent="0.3">
      <c r="A173" s="8">
        <v>79750161</v>
      </c>
      <c r="B173" s="11">
        <v>44575</v>
      </c>
      <c r="C173" s="13" t="s">
        <v>395</v>
      </c>
      <c r="D173" s="13" t="s">
        <v>396</v>
      </c>
      <c r="E173" s="8">
        <v>75000</v>
      </c>
      <c r="F173" s="13" t="s">
        <v>70</v>
      </c>
      <c r="G173" s="14">
        <v>44578</v>
      </c>
      <c r="H173" s="13" t="s">
        <v>9</v>
      </c>
    </row>
    <row r="174" spans="1:8" ht="14.4" x14ac:dyDescent="0.3">
      <c r="A174" s="8">
        <v>79750162</v>
      </c>
      <c r="B174" s="11">
        <v>44575</v>
      </c>
      <c r="C174" s="13" t="s">
        <v>397</v>
      </c>
      <c r="D174" s="13" t="s">
        <v>302</v>
      </c>
      <c r="E174" s="8">
        <v>10000</v>
      </c>
      <c r="F174" s="13" t="s">
        <v>70</v>
      </c>
      <c r="G174" s="14">
        <v>44587</v>
      </c>
      <c r="H174" s="13" t="s">
        <v>9</v>
      </c>
    </row>
    <row r="175" spans="1:8" ht="14.4" x14ac:dyDescent="0.3">
      <c r="A175" s="8">
        <v>79750163</v>
      </c>
      <c r="B175" s="11">
        <v>44575</v>
      </c>
      <c r="C175" s="13" t="s">
        <v>398</v>
      </c>
      <c r="D175" s="13" t="s">
        <v>302</v>
      </c>
      <c r="E175" s="8">
        <v>3000</v>
      </c>
      <c r="F175" s="13" t="s">
        <v>70</v>
      </c>
      <c r="G175" s="14">
        <v>44587</v>
      </c>
      <c r="H175" s="13" t="s">
        <v>9</v>
      </c>
    </row>
    <row r="176" spans="1:8" ht="14.4" x14ac:dyDescent="0.3">
      <c r="A176" s="8">
        <v>79750164</v>
      </c>
      <c r="B176" s="11">
        <v>44575</v>
      </c>
      <c r="C176" s="13" t="s">
        <v>118</v>
      </c>
      <c r="D176" s="13" t="s">
        <v>302</v>
      </c>
      <c r="E176" s="8">
        <v>15000</v>
      </c>
      <c r="F176" s="13" t="s">
        <v>70</v>
      </c>
      <c r="G176" s="14">
        <v>44599</v>
      </c>
      <c r="H176" s="13" t="s">
        <v>9</v>
      </c>
    </row>
    <row r="177" spans="1:8" ht="14.4" x14ac:dyDescent="0.3">
      <c r="A177" s="8">
        <v>79750165</v>
      </c>
      <c r="B177" s="11">
        <v>44575</v>
      </c>
      <c r="C177" s="13" t="s">
        <v>119</v>
      </c>
      <c r="D177" s="13" t="s">
        <v>302</v>
      </c>
      <c r="E177" s="8">
        <v>15000</v>
      </c>
      <c r="F177" s="13" t="s">
        <v>70</v>
      </c>
      <c r="G177" s="14">
        <v>44580</v>
      </c>
      <c r="H177" s="13" t="s">
        <v>9</v>
      </c>
    </row>
    <row r="178" spans="1:8" ht="14.4" x14ac:dyDescent="0.3">
      <c r="A178" s="8">
        <v>79750166</v>
      </c>
      <c r="B178" s="11">
        <v>44575</v>
      </c>
      <c r="C178" s="13" t="s">
        <v>121</v>
      </c>
      <c r="D178" s="13" t="s">
        <v>302</v>
      </c>
      <c r="E178" s="8">
        <v>15000</v>
      </c>
      <c r="F178" s="13" t="s">
        <v>70</v>
      </c>
      <c r="G178" s="14">
        <v>44592</v>
      </c>
      <c r="H178" s="13" t="s">
        <v>9</v>
      </c>
    </row>
    <row r="179" spans="1:8" ht="14.4" x14ac:dyDescent="0.3">
      <c r="A179" s="8">
        <v>79750167</v>
      </c>
      <c r="B179" s="11">
        <v>44575</v>
      </c>
      <c r="C179" s="13" t="s">
        <v>399</v>
      </c>
      <c r="D179" s="13" t="s">
        <v>302</v>
      </c>
      <c r="E179" s="8">
        <v>15000</v>
      </c>
      <c r="F179" s="13" t="s">
        <v>70</v>
      </c>
      <c r="G179" s="14">
        <v>44579</v>
      </c>
      <c r="H179" s="13" t="s">
        <v>9</v>
      </c>
    </row>
    <row r="180" spans="1:8" ht="14.4" x14ac:dyDescent="0.3">
      <c r="A180" s="8">
        <v>79750168</v>
      </c>
      <c r="B180" s="11">
        <v>44575</v>
      </c>
      <c r="C180" s="13" t="s">
        <v>120</v>
      </c>
      <c r="D180" s="13" t="s">
        <v>302</v>
      </c>
      <c r="E180" s="8">
        <v>15000</v>
      </c>
      <c r="F180" s="13" t="s">
        <v>70</v>
      </c>
      <c r="G180" s="14">
        <v>44581</v>
      </c>
      <c r="H180" s="13" t="s">
        <v>9</v>
      </c>
    </row>
    <row r="181" spans="1:8" ht="14.4" x14ac:dyDescent="0.3">
      <c r="A181" s="8">
        <v>79750169</v>
      </c>
      <c r="B181" s="11">
        <v>44575</v>
      </c>
      <c r="C181" s="13" t="s">
        <v>400</v>
      </c>
      <c r="D181" s="13" t="s">
        <v>302</v>
      </c>
      <c r="E181" s="8">
        <v>15000</v>
      </c>
      <c r="F181" s="13" t="s">
        <v>70</v>
      </c>
      <c r="G181" s="14">
        <v>44588</v>
      </c>
      <c r="H181" s="13" t="s">
        <v>9</v>
      </c>
    </row>
    <row r="182" spans="1:8" ht="14.4" x14ac:dyDescent="0.3">
      <c r="A182" s="8">
        <v>79750170</v>
      </c>
      <c r="B182" s="11">
        <v>44575</v>
      </c>
      <c r="C182" s="13" t="s">
        <v>401</v>
      </c>
      <c r="D182" s="13" t="s">
        <v>302</v>
      </c>
      <c r="E182" s="8">
        <v>15000</v>
      </c>
      <c r="F182" s="13" t="s">
        <v>70</v>
      </c>
      <c r="G182" s="14">
        <v>44582</v>
      </c>
      <c r="H182" s="13" t="s">
        <v>9</v>
      </c>
    </row>
    <row r="183" spans="1:8" ht="14.4" x14ac:dyDescent="0.3">
      <c r="A183" s="8">
        <v>79750171</v>
      </c>
      <c r="B183" s="11">
        <v>44575</v>
      </c>
      <c r="C183" s="13" t="s">
        <v>402</v>
      </c>
      <c r="D183" s="13" t="s">
        <v>302</v>
      </c>
      <c r="E183" s="8">
        <v>15000</v>
      </c>
      <c r="F183" s="13" t="s">
        <v>70</v>
      </c>
      <c r="G183" s="14">
        <v>44622</v>
      </c>
      <c r="H183" s="13" t="s">
        <v>9</v>
      </c>
    </row>
    <row r="184" spans="1:8" ht="14.4" x14ac:dyDescent="0.3">
      <c r="A184" s="8">
        <v>79750172</v>
      </c>
      <c r="B184" s="11">
        <v>44575</v>
      </c>
      <c r="C184" s="13" t="s">
        <v>75</v>
      </c>
      <c r="D184" s="13" t="s">
        <v>302</v>
      </c>
      <c r="E184" s="8">
        <v>15000</v>
      </c>
      <c r="F184" s="13" t="s">
        <v>70</v>
      </c>
      <c r="G184" s="14">
        <v>44580</v>
      </c>
      <c r="H184" s="13" t="s">
        <v>9</v>
      </c>
    </row>
    <row r="185" spans="1:8" ht="14.4" x14ac:dyDescent="0.3">
      <c r="A185" s="8">
        <v>79750173</v>
      </c>
      <c r="B185" s="11">
        <v>44575</v>
      </c>
      <c r="C185" s="13" t="s">
        <v>77</v>
      </c>
      <c r="D185" s="13" t="s">
        <v>302</v>
      </c>
      <c r="E185" s="8">
        <v>10000</v>
      </c>
      <c r="F185" s="13" t="s">
        <v>70</v>
      </c>
      <c r="G185" s="14">
        <v>44580</v>
      </c>
      <c r="H185" s="13" t="s">
        <v>9</v>
      </c>
    </row>
    <row r="186" spans="1:8" ht="14.4" x14ac:dyDescent="0.3">
      <c r="A186" s="8">
        <v>79750174</v>
      </c>
      <c r="B186" s="11">
        <v>44575</v>
      </c>
      <c r="C186" s="13" t="s">
        <v>78</v>
      </c>
      <c r="D186" s="13" t="s">
        <v>302</v>
      </c>
      <c r="E186" s="8">
        <v>10000</v>
      </c>
      <c r="F186" s="13" t="s">
        <v>70</v>
      </c>
      <c r="G186" s="14">
        <v>44580</v>
      </c>
      <c r="H186" s="13" t="s">
        <v>9</v>
      </c>
    </row>
    <row r="187" spans="1:8" ht="14.4" x14ac:dyDescent="0.3">
      <c r="A187" s="8">
        <v>79750176</v>
      </c>
      <c r="B187" s="11">
        <v>44575</v>
      </c>
      <c r="C187" s="13" t="s">
        <v>403</v>
      </c>
      <c r="D187" s="13" t="s">
        <v>404</v>
      </c>
      <c r="E187" s="8">
        <v>38568.9</v>
      </c>
      <c r="F187" s="13" t="s">
        <v>70</v>
      </c>
      <c r="G187" s="14">
        <v>44606</v>
      </c>
      <c r="H187" s="13" t="s">
        <v>9</v>
      </c>
    </row>
    <row r="188" spans="1:8" ht="14.4" x14ac:dyDescent="0.3">
      <c r="A188" s="8">
        <v>79750177</v>
      </c>
      <c r="B188" s="11">
        <v>44575</v>
      </c>
      <c r="C188" s="13" t="s">
        <v>405</v>
      </c>
      <c r="D188" s="13" t="s">
        <v>406</v>
      </c>
      <c r="E188" s="8">
        <v>12089.06</v>
      </c>
      <c r="F188" s="13" t="s">
        <v>70</v>
      </c>
      <c r="G188" s="14">
        <v>44589</v>
      </c>
      <c r="H188" s="13" t="s">
        <v>9</v>
      </c>
    </row>
    <row r="189" spans="1:8" ht="14.4" x14ac:dyDescent="0.3">
      <c r="A189" s="8">
        <v>79750178</v>
      </c>
      <c r="B189" s="11">
        <v>44575</v>
      </c>
      <c r="C189" s="13" t="s">
        <v>407</v>
      </c>
      <c r="D189" s="13" t="s">
        <v>408</v>
      </c>
      <c r="E189" s="8">
        <v>12460.43</v>
      </c>
      <c r="F189" s="13" t="s">
        <v>70</v>
      </c>
      <c r="G189" s="14">
        <v>44595</v>
      </c>
      <c r="H189" s="13" t="s">
        <v>9</v>
      </c>
    </row>
    <row r="190" spans="1:8" ht="14.4" x14ac:dyDescent="0.3">
      <c r="A190" s="8">
        <v>79750180</v>
      </c>
      <c r="B190" s="11">
        <v>44575</v>
      </c>
      <c r="C190" s="13" t="s">
        <v>409</v>
      </c>
      <c r="D190" s="13" t="s">
        <v>371</v>
      </c>
      <c r="E190" s="8">
        <v>15000</v>
      </c>
      <c r="F190" s="13" t="s">
        <v>70</v>
      </c>
      <c r="G190" s="14">
        <v>44595</v>
      </c>
      <c r="H190" s="13" t="s">
        <v>9</v>
      </c>
    </row>
    <row r="191" spans="1:8" ht="14.4" x14ac:dyDescent="0.3">
      <c r="A191" s="8">
        <v>79750181</v>
      </c>
      <c r="B191" s="11">
        <v>44575</v>
      </c>
      <c r="C191" s="13" t="s">
        <v>410</v>
      </c>
      <c r="D191" s="13" t="s">
        <v>302</v>
      </c>
      <c r="E191" s="8">
        <v>20000</v>
      </c>
      <c r="F191" s="13" t="s">
        <v>70</v>
      </c>
      <c r="G191" s="14">
        <v>44587</v>
      </c>
      <c r="H191" s="13" t="s">
        <v>9</v>
      </c>
    </row>
    <row r="192" spans="1:8" ht="14.4" x14ac:dyDescent="0.3">
      <c r="A192" s="8">
        <v>79750182</v>
      </c>
      <c r="B192" s="11">
        <v>44575</v>
      </c>
      <c r="C192" s="13" t="s">
        <v>390</v>
      </c>
      <c r="D192" s="13" t="s">
        <v>388</v>
      </c>
      <c r="E192" s="8">
        <v>20000</v>
      </c>
      <c r="F192" s="13" t="s">
        <v>70</v>
      </c>
      <c r="G192" s="14">
        <v>44581</v>
      </c>
      <c r="H192" s="13" t="s">
        <v>9</v>
      </c>
    </row>
    <row r="193" spans="1:8" ht="14.4" x14ac:dyDescent="0.3">
      <c r="A193" s="8">
        <v>79750183</v>
      </c>
      <c r="B193" s="11">
        <v>44575</v>
      </c>
      <c r="C193" s="13" t="s">
        <v>411</v>
      </c>
      <c r="D193" s="13" t="s">
        <v>412</v>
      </c>
      <c r="E193" s="8">
        <v>10000</v>
      </c>
      <c r="F193" s="13" t="s">
        <v>70</v>
      </c>
      <c r="G193" s="14">
        <v>44582</v>
      </c>
      <c r="H193" s="13" t="s">
        <v>9</v>
      </c>
    </row>
    <row r="194" spans="1:8" ht="14.4" x14ac:dyDescent="0.3">
      <c r="A194" s="8">
        <v>79750184</v>
      </c>
      <c r="B194" s="11">
        <v>44575</v>
      </c>
      <c r="C194" s="13" t="s">
        <v>413</v>
      </c>
      <c r="D194" s="13" t="s">
        <v>414</v>
      </c>
      <c r="E194" s="8">
        <v>30000</v>
      </c>
      <c r="F194" s="13" t="s">
        <v>70</v>
      </c>
      <c r="G194" s="14">
        <v>44582</v>
      </c>
      <c r="H194" s="13" t="s">
        <v>9</v>
      </c>
    </row>
    <row r="195" spans="1:8" ht="14.4" x14ac:dyDescent="0.3">
      <c r="A195" s="8">
        <v>79750185</v>
      </c>
      <c r="B195" s="11">
        <v>44575</v>
      </c>
      <c r="C195" s="13" t="s">
        <v>415</v>
      </c>
      <c r="D195" s="13" t="s">
        <v>416</v>
      </c>
      <c r="E195" s="8">
        <v>8000</v>
      </c>
      <c r="F195" s="13" t="s">
        <v>70</v>
      </c>
      <c r="G195" s="14">
        <v>44581</v>
      </c>
      <c r="H195" s="13" t="s">
        <v>9</v>
      </c>
    </row>
    <row r="196" spans="1:8" ht="14.4" x14ac:dyDescent="0.3">
      <c r="A196" s="8">
        <v>79750186</v>
      </c>
      <c r="B196" s="11">
        <v>44575</v>
      </c>
      <c r="C196" s="13" t="s">
        <v>417</v>
      </c>
      <c r="D196" s="13" t="s">
        <v>418</v>
      </c>
      <c r="E196" s="8">
        <v>8000</v>
      </c>
      <c r="F196" s="13" t="s">
        <v>70</v>
      </c>
      <c r="G196" s="14">
        <v>44581</v>
      </c>
      <c r="H196" s="13" t="s">
        <v>9</v>
      </c>
    </row>
    <row r="197" spans="1:8" ht="14.4" x14ac:dyDescent="0.3">
      <c r="A197" s="8">
        <v>79750187</v>
      </c>
      <c r="B197" s="11">
        <v>44575</v>
      </c>
      <c r="C197" s="13" t="s">
        <v>419</v>
      </c>
      <c r="D197" s="13" t="s">
        <v>420</v>
      </c>
      <c r="E197" s="8">
        <v>16000</v>
      </c>
      <c r="F197" s="13" t="s">
        <v>70</v>
      </c>
      <c r="G197" s="14">
        <v>44592</v>
      </c>
      <c r="H197" s="13" t="s">
        <v>9</v>
      </c>
    </row>
    <row r="198" spans="1:8" ht="14.4" x14ac:dyDescent="0.3">
      <c r="A198" s="8">
        <v>79750188</v>
      </c>
      <c r="B198" s="11">
        <v>44575</v>
      </c>
      <c r="C198" s="13" t="s">
        <v>421</v>
      </c>
      <c r="D198" s="13" t="s">
        <v>422</v>
      </c>
      <c r="E198" s="8">
        <v>75115.44</v>
      </c>
      <c r="F198" s="13" t="s">
        <v>70</v>
      </c>
      <c r="G198" s="14">
        <v>44585</v>
      </c>
      <c r="H198" s="13" t="s">
        <v>9</v>
      </c>
    </row>
    <row r="199" spans="1:8" ht="14.4" x14ac:dyDescent="0.3">
      <c r="A199" s="8">
        <v>79750189</v>
      </c>
      <c r="B199" s="11">
        <v>44575</v>
      </c>
      <c r="C199" s="13" t="s">
        <v>423</v>
      </c>
      <c r="D199" s="13" t="s">
        <v>424</v>
      </c>
      <c r="E199" s="8">
        <v>12000</v>
      </c>
      <c r="F199" s="13" t="s">
        <v>70</v>
      </c>
      <c r="G199" s="14">
        <v>44582</v>
      </c>
      <c r="H199" s="13" t="s">
        <v>9</v>
      </c>
    </row>
    <row r="200" spans="1:8" ht="14.4" x14ac:dyDescent="0.3">
      <c r="A200" s="8">
        <v>79750190</v>
      </c>
      <c r="B200" s="11">
        <v>44575</v>
      </c>
      <c r="C200" s="13" t="s">
        <v>425</v>
      </c>
      <c r="D200" s="13" t="s">
        <v>426</v>
      </c>
      <c r="E200" s="8">
        <v>9000</v>
      </c>
      <c r="F200" s="13" t="s">
        <v>70</v>
      </c>
      <c r="G200" s="14">
        <v>44585</v>
      </c>
      <c r="H200" s="13" t="s">
        <v>9</v>
      </c>
    </row>
    <row r="201" spans="1:8" ht="14.4" x14ac:dyDescent="0.3">
      <c r="A201" s="8">
        <v>79750191</v>
      </c>
      <c r="B201" s="11">
        <v>44575</v>
      </c>
      <c r="C201" s="13" t="s">
        <v>427</v>
      </c>
      <c r="D201" s="13" t="s">
        <v>428</v>
      </c>
      <c r="E201" s="8">
        <v>20000</v>
      </c>
      <c r="F201" s="13" t="s">
        <v>70</v>
      </c>
      <c r="G201" s="14">
        <v>44578</v>
      </c>
      <c r="H201" s="13" t="s">
        <v>9</v>
      </c>
    </row>
    <row r="202" spans="1:8" ht="14.4" x14ac:dyDescent="0.3">
      <c r="A202" s="8">
        <v>79750192</v>
      </c>
      <c r="B202" s="11">
        <v>44575</v>
      </c>
      <c r="C202" s="13" t="s">
        <v>429</v>
      </c>
      <c r="D202" s="13" t="s">
        <v>430</v>
      </c>
      <c r="E202" s="8">
        <v>7000</v>
      </c>
      <c r="F202" s="13" t="s">
        <v>70</v>
      </c>
      <c r="G202" s="14">
        <v>44582</v>
      </c>
      <c r="H202" s="13" t="s">
        <v>9</v>
      </c>
    </row>
    <row r="203" spans="1:8" ht="14.4" x14ac:dyDescent="0.3">
      <c r="A203" s="8">
        <v>79750193</v>
      </c>
      <c r="B203" s="11">
        <v>44575</v>
      </c>
      <c r="C203" s="13" t="s">
        <v>431</v>
      </c>
      <c r="D203" s="13" t="s">
        <v>432</v>
      </c>
      <c r="E203" s="8">
        <v>30000</v>
      </c>
      <c r="F203" s="13" t="s">
        <v>70</v>
      </c>
      <c r="G203" s="14">
        <v>44581</v>
      </c>
      <c r="H203" s="13" t="s">
        <v>9</v>
      </c>
    </row>
    <row r="204" spans="1:8" ht="14.4" x14ac:dyDescent="0.3">
      <c r="A204" s="8">
        <v>79750194</v>
      </c>
      <c r="B204" s="11">
        <v>44575</v>
      </c>
      <c r="C204" s="13" t="s">
        <v>83</v>
      </c>
      <c r="D204" s="13"/>
      <c r="E204" s="8">
        <v>10000</v>
      </c>
      <c r="F204" s="13" t="s">
        <v>70</v>
      </c>
      <c r="G204" s="14">
        <v>44580</v>
      </c>
      <c r="H204" s="13" t="s">
        <v>9</v>
      </c>
    </row>
    <row r="205" spans="1:8" ht="14.4" x14ac:dyDescent="0.3">
      <c r="A205" s="8">
        <v>79750195</v>
      </c>
      <c r="B205" s="11">
        <v>44575</v>
      </c>
      <c r="C205" s="13" t="s">
        <v>433</v>
      </c>
      <c r="D205" s="13" t="s">
        <v>434</v>
      </c>
      <c r="E205" s="8">
        <v>7000</v>
      </c>
      <c r="F205" s="13" t="s">
        <v>70</v>
      </c>
      <c r="G205" s="14">
        <v>44581</v>
      </c>
      <c r="H205" s="13" t="s">
        <v>9</v>
      </c>
    </row>
    <row r="206" spans="1:8" ht="14.4" x14ac:dyDescent="0.3">
      <c r="A206" s="8">
        <v>79750196</v>
      </c>
      <c r="B206" s="11">
        <v>44575</v>
      </c>
      <c r="C206" s="13" t="s">
        <v>435</v>
      </c>
      <c r="D206" s="13" t="s">
        <v>436</v>
      </c>
      <c r="E206" s="8">
        <v>25000</v>
      </c>
      <c r="F206" s="13" t="s">
        <v>70</v>
      </c>
      <c r="G206" s="14">
        <v>44582</v>
      </c>
      <c r="H206" s="13" t="s">
        <v>9</v>
      </c>
    </row>
    <row r="207" spans="1:8" ht="14.4" x14ac:dyDescent="0.3">
      <c r="A207" s="8">
        <v>79750197</v>
      </c>
      <c r="B207" s="11">
        <v>44575</v>
      </c>
      <c r="C207" s="13" t="s">
        <v>437</v>
      </c>
      <c r="D207" s="13" t="s">
        <v>438</v>
      </c>
      <c r="E207" s="8">
        <v>11000</v>
      </c>
      <c r="F207" s="13" t="s">
        <v>70</v>
      </c>
      <c r="G207" s="14">
        <v>44582</v>
      </c>
      <c r="H207" s="13" t="s">
        <v>9</v>
      </c>
    </row>
    <row r="208" spans="1:8" ht="14.4" x14ac:dyDescent="0.3">
      <c r="A208" s="8">
        <v>79750198</v>
      </c>
      <c r="B208" s="11">
        <v>44575</v>
      </c>
      <c r="C208" s="13" t="s">
        <v>439</v>
      </c>
      <c r="D208" s="13" t="s">
        <v>440</v>
      </c>
      <c r="E208" s="8">
        <v>10000</v>
      </c>
      <c r="F208" s="13" t="s">
        <v>70</v>
      </c>
      <c r="G208" s="14">
        <v>44582</v>
      </c>
      <c r="H208" s="13" t="s">
        <v>9</v>
      </c>
    </row>
    <row r="209" spans="1:8" ht="14.4" x14ac:dyDescent="0.3">
      <c r="A209" s="8">
        <v>79750199</v>
      </c>
      <c r="B209" s="11">
        <v>44575</v>
      </c>
      <c r="C209" s="13" t="s">
        <v>441</v>
      </c>
      <c r="D209" s="13" t="s">
        <v>442</v>
      </c>
      <c r="E209" s="8">
        <v>10000</v>
      </c>
      <c r="F209" s="13" t="s">
        <v>70</v>
      </c>
      <c r="G209" s="14">
        <v>44582</v>
      </c>
      <c r="H209" s="13" t="s">
        <v>9</v>
      </c>
    </row>
    <row r="210" spans="1:8" ht="14.4" x14ac:dyDescent="0.3">
      <c r="A210" s="8">
        <v>79750200</v>
      </c>
      <c r="B210" s="11">
        <v>44575</v>
      </c>
      <c r="C210" s="13" t="s">
        <v>443</v>
      </c>
      <c r="D210" s="13" t="s">
        <v>444</v>
      </c>
      <c r="E210" s="8">
        <v>15000</v>
      </c>
      <c r="F210" s="13" t="s">
        <v>70</v>
      </c>
      <c r="G210" s="14">
        <v>44582</v>
      </c>
      <c r="H210" s="13" t="s">
        <v>9</v>
      </c>
    </row>
    <row r="211" spans="1:8" ht="14.4" x14ac:dyDescent="0.3">
      <c r="A211" s="8">
        <v>79750201</v>
      </c>
      <c r="B211" s="11">
        <v>44575</v>
      </c>
      <c r="C211" s="13" t="s">
        <v>445</v>
      </c>
      <c r="D211" s="13" t="s">
        <v>446</v>
      </c>
      <c r="E211" s="8">
        <v>8000</v>
      </c>
      <c r="F211" s="13" t="s">
        <v>70</v>
      </c>
      <c r="G211" s="14">
        <v>44596</v>
      </c>
      <c r="H211" s="13" t="s">
        <v>9</v>
      </c>
    </row>
    <row r="212" spans="1:8" ht="14.4" x14ac:dyDescent="0.3">
      <c r="A212" s="8">
        <v>79750202</v>
      </c>
      <c r="B212" s="11">
        <v>44575</v>
      </c>
      <c r="C212" s="13" t="s">
        <v>447</v>
      </c>
      <c r="D212" s="13" t="s">
        <v>448</v>
      </c>
      <c r="E212" s="8">
        <v>12000</v>
      </c>
      <c r="F212" s="13" t="s">
        <v>70</v>
      </c>
      <c r="G212" s="14">
        <v>44582</v>
      </c>
      <c r="H212" s="13" t="s">
        <v>9</v>
      </c>
    </row>
    <row r="213" spans="1:8" ht="14.4" x14ac:dyDescent="0.3">
      <c r="A213" s="8">
        <v>79750203</v>
      </c>
      <c r="B213" s="11">
        <v>44575</v>
      </c>
      <c r="C213" s="13" t="s">
        <v>449</v>
      </c>
      <c r="D213" s="13" t="s">
        <v>450</v>
      </c>
      <c r="E213" s="8">
        <v>10000</v>
      </c>
      <c r="F213" s="13" t="s">
        <v>70</v>
      </c>
      <c r="G213" s="14">
        <v>44582</v>
      </c>
      <c r="H213" s="13" t="s">
        <v>9</v>
      </c>
    </row>
    <row r="214" spans="1:8" ht="14.4" x14ac:dyDescent="0.3">
      <c r="A214" s="8">
        <v>79750204</v>
      </c>
      <c r="B214" s="11">
        <v>44575</v>
      </c>
      <c r="C214" s="13" t="s">
        <v>451</v>
      </c>
      <c r="D214" s="13" t="s">
        <v>452</v>
      </c>
      <c r="E214" s="8">
        <v>15000</v>
      </c>
      <c r="F214" s="13" t="s">
        <v>70</v>
      </c>
      <c r="G214" s="14">
        <v>44581</v>
      </c>
      <c r="H214" s="13" t="s">
        <v>9</v>
      </c>
    </row>
    <row r="215" spans="1:8" ht="14.4" x14ac:dyDescent="0.3">
      <c r="A215" s="8">
        <v>79750205</v>
      </c>
      <c r="B215" s="11">
        <v>44575</v>
      </c>
      <c r="C215" s="13" t="s">
        <v>453</v>
      </c>
      <c r="D215" s="13" t="s">
        <v>454</v>
      </c>
      <c r="E215" s="8">
        <v>14000</v>
      </c>
      <c r="F215" s="13" t="s">
        <v>70</v>
      </c>
      <c r="G215" s="14">
        <v>44592</v>
      </c>
      <c r="H215" s="13" t="s">
        <v>9</v>
      </c>
    </row>
    <row r="216" spans="1:8" ht="14.4" x14ac:dyDescent="0.3">
      <c r="A216" s="8">
        <v>79750206</v>
      </c>
      <c r="B216" s="11">
        <v>44575</v>
      </c>
      <c r="C216" s="13" t="s">
        <v>455</v>
      </c>
      <c r="D216" s="13" t="s">
        <v>456</v>
      </c>
      <c r="E216" s="8">
        <v>10000</v>
      </c>
      <c r="F216" s="13" t="s">
        <v>70</v>
      </c>
      <c r="G216" s="14">
        <v>44582</v>
      </c>
      <c r="H216" s="13" t="s">
        <v>9</v>
      </c>
    </row>
    <row r="217" spans="1:8" ht="14.4" x14ac:dyDescent="0.3">
      <c r="A217" s="8">
        <v>79750207</v>
      </c>
      <c r="B217" s="11">
        <v>44575</v>
      </c>
      <c r="C217" s="13" t="s">
        <v>457</v>
      </c>
      <c r="D217" s="13" t="s">
        <v>458</v>
      </c>
      <c r="E217" s="8">
        <v>30000</v>
      </c>
      <c r="F217" s="13" t="s">
        <v>70</v>
      </c>
      <c r="G217" s="14">
        <v>44582</v>
      </c>
      <c r="H217" s="13" t="s">
        <v>9</v>
      </c>
    </row>
    <row r="218" spans="1:8" ht="14.4" x14ac:dyDescent="0.3">
      <c r="A218" s="8">
        <v>79750208</v>
      </c>
      <c r="B218" s="11">
        <v>44575</v>
      </c>
      <c r="C218" s="13" t="s">
        <v>459</v>
      </c>
      <c r="D218" s="13" t="s">
        <v>460</v>
      </c>
      <c r="E218" s="8">
        <v>18000</v>
      </c>
      <c r="F218" s="13" t="s">
        <v>70</v>
      </c>
      <c r="G218" s="14">
        <v>44582</v>
      </c>
      <c r="H218" s="13" t="s">
        <v>9</v>
      </c>
    </row>
    <row r="219" spans="1:8" ht="14.4" x14ac:dyDescent="0.3">
      <c r="A219" s="8">
        <v>79750209</v>
      </c>
      <c r="B219" s="11">
        <v>44575</v>
      </c>
      <c r="C219" s="13" t="s">
        <v>461</v>
      </c>
      <c r="D219" s="13" t="s">
        <v>47</v>
      </c>
      <c r="E219" s="8">
        <v>25000</v>
      </c>
      <c r="F219" s="13" t="s">
        <v>70</v>
      </c>
      <c r="G219" s="14">
        <v>44582</v>
      </c>
      <c r="H219" s="13" t="s">
        <v>9</v>
      </c>
    </row>
    <row r="220" spans="1:8" ht="14.4" x14ac:dyDescent="0.3">
      <c r="A220" s="8">
        <v>79750210</v>
      </c>
      <c r="B220" s="11">
        <v>44575</v>
      </c>
      <c r="C220" s="13" t="s">
        <v>462</v>
      </c>
      <c r="D220" s="13" t="s">
        <v>100</v>
      </c>
      <c r="E220" s="8">
        <v>9800</v>
      </c>
      <c r="F220" s="13" t="s">
        <v>70</v>
      </c>
      <c r="G220" s="14">
        <v>44582</v>
      </c>
      <c r="H220" s="13" t="s">
        <v>9</v>
      </c>
    </row>
    <row r="221" spans="1:8" ht="14.4" x14ac:dyDescent="0.3">
      <c r="A221" s="8">
        <v>79750211</v>
      </c>
      <c r="B221" s="11">
        <v>44575</v>
      </c>
      <c r="C221" s="13" t="s">
        <v>463</v>
      </c>
      <c r="D221" s="13" t="s">
        <v>464</v>
      </c>
      <c r="E221" s="8">
        <v>18000</v>
      </c>
      <c r="F221" s="13" t="s">
        <v>70</v>
      </c>
      <c r="G221" s="14">
        <v>44582</v>
      </c>
      <c r="H221" s="13" t="s">
        <v>9</v>
      </c>
    </row>
    <row r="222" spans="1:8" ht="14.4" x14ac:dyDescent="0.3">
      <c r="A222" s="8">
        <v>79750212</v>
      </c>
      <c r="B222" s="11">
        <v>44575</v>
      </c>
      <c r="C222" s="13" t="s">
        <v>465</v>
      </c>
      <c r="D222" s="13" t="s">
        <v>466</v>
      </c>
      <c r="E222" s="8">
        <v>28000</v>
      </c>
      <c r="F222" s="13" t="s">
        <v>70</v>
      </c>
      <c r="G222" s="14">
        <v>44587</v>
      </c>
      <c r="H222" s="13" t="s">
        <v>9</v>
      </c>
    </row>
    <row r="223" spans="1:8" ht="14.4" x14ac:dyDescent="0.3">
      <c r="A223" s="8">
        <v>79750213</v>
      </c>
      <c r="B223" s="11">
        <v>44575</v>
      </c>
      <c r="C223" s="13" t="s">
        <v>467</v>
      </c>
      <c r="D223" s="13" t="s">
        <v>468</v>
      </c>
      <c r="E223" s="8">
        <v>30000</v>
      </c>
      <c r="F223" s="13" t="s">
        <v>70</v>
      </c>
      <c r="G223" s="14">
        <v>44579</v>
      </c>
      <c r="H223" s="13" t="s">
        <v>9</v>
      </c>
    </row>
    <row r="224" spans="1:8" ht="14.4" x14ac:dyDescent="0.3">
      <c r="A224" s="8">
        <v>79750214</v>
      </c>
      <c r="B224" s="11">
        <v>44575</v>
      </c>
      <c r="C224" s="13" t="s">
        <v>469</v>
      </c>
      <c r="D224" s="13" t="s">
        <v>470</v>
      </c>
      <c r="E224" s="8">
        <v>10000</v>
      </c>
      <c r="F224" s="13" t="s">
        <v>70</v>
      </c>
      <c r="G224" s="14">
        <v>44581</v>
      </c>
      <c r="H224" s="13" t="s">
        <v>9</v>
      </c>
    </row>
    <row r="225" spans="1:8" ht="14.4" x14ac:dyDescent="0.3">
      <c r="A225" s="8">
        <v>79750215</v>
      </c>
      <c r="B225" s="11">
        <v>44575</v>
      </c>
      <c r="C225" s="13" t="s">
        <v>471</v>
      </c>
      <c r="D225" s="13" t="s">
        <v>472</v>
      </c>
      <c r="E225" s="8">
        <v>30000</v>
      </c>
      <c r="F225" s="13" t="s">
        <v>70</v>
      </c>
      <c r="G225" s="14">
        <v>44581</v>
      </c>
      <c r="H225" s="13" t="s">
        <v>9</v>
      </c>
    </row>
    <row r="226" spans="1:8" ht="14.4" x14ac:dyDescent="0.3">
      <c r="A226" s="8">
        <v>79750216</v>
      </c>
      <c r="B226" s="11">
        <v>44575</v>
      </c>
      <c r="C226" s="13" t="s">
        <v>473</v>
      </c>
      <c r="D226" s="13" t="s">
        <v>474</v>
      </c>
      <c r="E226" s="8">
        <v>10000</v>
      </c>
      <c r="F226" s="13" t="s">
        <v>70</v>
      </c>
      <c r="G226" s="14">
        <v>44581</v>
      </c>
      <c r="H226" s="13" t="s">
        <v>9</v>
      </c>
    </row>
    <row r="227" spans="1:8" ht="14.4" x14ac:dyDescent="0.3">
      <c r="A227" s="8">
        <v>79750217</v>
      </c>
      <c r="B227" s="11">
        <v>44575</v>
      </c>
      <c r="C227" s="13" t="s">
        <v>475</v>
      </c>
      <c r="D227" s="13" t="s">
        <v>476</v>
      </c>
      <c r="E227" s="8">
        <v>5800</v>
      </c>
      <c r="F227" s="13" t="s">
        <v>70</v>
      </c>
      <c r="G227" s="14">
        <v>44582</v>
      </c>
      <c r="H227" s="13" t="s">
        <v>9</v>
      </c>
    </row>
    <row r="228" spans="1:8" ht="14.4" x14ac:dyDescent="0.3">
      <c r="A228" s="8">
        <v>79750218</v>
      </c>
      <c r="B228" s="11">
        <v>44575</v>
      </c>
      <c r="C228" s="13" t="s">
        <v>85</v>
      </c>
      <c r="D228" s="13" t="s">
        <v>477</v>
      </c>
      <c r="E228" s="8">
        <v>11253.75</v>
      </c>
      <c r="F228" s="13" t="s">
        <v>70</v>
      </c>
      <c r="G228" s="14">
        <v>44578</v>
      </c>
      <c r="H228" s="13" t="s">
        <v>9</v>
      </c>
    </row>
    <row r="229" spans="1:8" ht="14.4" x14ac:dyDescent="0.3">
      <c r="A229" s="8">
        <v>79750219</v>
      </c>
      <c r="B229" s="11">
        <v>44575</v>
      </c>
      <c r="C229" s="13" t="s">
        <v>85</v>
      </c>
      <c r="D229" s="13" t="s">
        <v>478</v>
      </c>
      <c r="E229" s="8">
        <v>22500</v>
      </c>
      <c r="F229" s="13" t="s">
        <v>70</v>
      </c>
      <c r="G229" s="14">
        <v>44585</v>
      </c>
      <c r="H229" s="13" t="s">
        <v>9</v>
      </c>
    </row>
    <row r="230" spans="1:8" ht="14.4" x14ac:dyDescent="0.3">
      <c r="A230" s="8">
        <v>79750220</v>
      </c>
      <c r="B230" s="11">
        <v>44575</v>
      </c>
      <c r="C230" s="13" t="s">
        <v>384</v>
      </c>
      <c r="D230" s="13" t="s">
        <v>479</v>
      </c>
      <c r="E230" s="8">
        <v>6321</v>
      </c>
      <c r="F230" s="13" t="s">
        <v>70</v>
      </c>
      <c r="G230" s="14">
        <v>44581</v>
      </c>
      <c r="H230" s="13" t="s">
        <v>9</v>
      </c>
    </row>
    <row r="231" spans="1:8" ht="14.4" x14ac:dyDescent="0.3">
      <c r="A231" s="8">
        <v>79750221</v>
      </c>
      <c r="B231" s="11">
        <v>44575</v>
      </c>
      <c r="C231" s="13" t="s">
        <v>361</v>
      </c>
      <c r="D231" s="13" t="s">
        <v>480</v>
      </c>
      <c r="E231" s="8">
        <v>15943</v>
      </c>
      <c r="F231" s="13" t="s">
        <v>70</v>
      </c>
      <c r="G231" s="14">
        <v>44579</v>
      </c>
      <c r="H231" s="13" t="s">
        <v>9</v>
      </c>
    </row>
    <row r="232" spans="1:8" ht="14.4" x14ac:dyDescent="0.3">
      <c r="A232" s="8">
        <v>79750222</v>
      </c>
      <c r="B232" s="11">
        <v>44575</v>
      </c>
      <c r="C232" s="13" t="s">
        <v>287</v>
      </c>
      <c r="D232" s="13" t="s">
        <v>481</v>
      </c>
      <c r="E232" s="8">
        <v>7003</v>
      </c>
      <c r="F232" s="13" t="s">
        <v>70</v>
      </c>
      <c r="G232" s="14">
        <v>44585</v>
      </c>
      <c r="H232" s="13" t="s">
        <v>9</v>
      </c>
    </row>
    <row r="233" spans="1:8" ht="14.4" x14ac:dyDescent="0.3">
      <c r="A233" s="8">
        <v>79750223</v>
      </c>
      <c r="B233" s="11">
        <v>44575</v>
      </c>
      <c r="C233" s="13" t="s">
        <v>195</v>
      </c>
      <c r="D233" s="13" t="s">
        <v>482</v>
      </c>
      <c r="E233" s="8">
        <v>63000</v>
      </c>
      <c r="F233" s="13" t="s">
        <v>70</v>
      </c>
      <c r="G233" s="14">
        <v>44578</v>
      </c>
      <c r="H233" s="13" t="s">
        <v>9</v>
      </c>
    </row>
    <row r="234" spans="1:8" ht="14.4" x14ac:dyDescent="0.3">
      <c r="A234" s="8">
        <v>79750224</v>
      </c>
      <c r="B234" s="11">
        <v>44575</v>
      </c>
      <c r="C234" s="13" t="s">
        <v>265</v>
      </c>
      <c r="D234" s="13" t="s">
        <v>483</v>
      </c>
      <c r="E234" s="8">
        <v>20770</v>
      </c>
      <c r="F234" s="13" t="s">
        <v>70</v>
      </c>
      <c r="G234" s="14">
        <v>44579</v>
      </c>
      <c r="H234" s="13" t="s">
        <v>9</v>
      </c>
    </row>
    <row r="235" spans="1:8" ht="14.4" x14ac:dyDescent="0.3">
      <c r="A235" s="8">
        <v>79750225</v>
      </c>
      <c r="B235" s="11">
        <v>44575</v>
      </c>
      <c r="C235" s="13" t="s">
        <v>189</v>
      </c>
      <c r="D235" s="13" t="s">
        <v>484</v>
      </c>
      <c r="E235" s="8">
        <v>171421.46</v>
      </c>
      <c r="F235" s="13" t="s">
        <v>70</v>
      </c>
      <c r="G235" s="14">
        <v>44592</v>
      </c>
      <c r="H235" s="13" t="s">
        <v>9</v>
      </c>
    </row>
    <row r="236" spans="1:8" ht="14.4" x14ac:dyDescent="0.3">
      <c r="A236" s="8">
        <v>79750226</v>
      </c>
      <c r="B236" s="11">
        <v>44575</v>
      </c>
      <c r="C236" s="13" t="s">
        <v>279</v>
      </c>
      <c r="D236" s="13" t="s">
        <v>485</v>
      </c>
      <c r="E236" s="8">
        <v>14000</v>
      </c>
      <c r="F236" s="13" t="s">
        <v>70</v>
      </c>
      <c r="G236" s="14">
        <v>44586</v>
      </c>
      <c r="H236" s="13" t="s">
        <v>9</v>
      </c>
    </row>
    <row r="237" spans="1:8" ht="14.4" x14ac:dyDescent="0.3">
      <c r="A237" s="8">
        <v>79750228</v>
      </c>
      <c r="B237" s="11">
        <v>44575</v>
      </c>
      <c r="C237" s="13" t="s">
        <v>195</v>
      </c>
      <c r="D237" s="13" t="s">
        <v>486</v>
      </c>
      <c r="E237" s="8">
        <v>8600</v>
      </c>
      <c r="F237" s="13" t="s">
        <v>70</v>
      </c>
      <c r="G237" s="14">
        <v>44578</v>
      </c>
      <c r="H237" s="13" t="s">
        <v>9</v>
      </c>
    </row>
    <row r="238" spans="1:8" ht="14.4" x14ac:dyDescent="0.3">
      <c r="A238" s="8">
        <v>79750229</v>
      </c>
      <c r="B238" s="11">
        <v>44575</v>
      </c>
      <c r="C238" s="13" t="s">
        <v>265</v>
      </c>
      <c r="D238" s="13" t="s">
        <v>487</v>
      </c>
      <c r="E238" s="8">
        <v>45882.2</v>
      </c>
      <c r="F238" s="13" t="s">
        <v>70</v>
      </c>
      <c r="G238" s="14">
        <v>44579</v>
      </c>
      <c r="H238" s="13" t="s">
        <v>9</v>
      </c>
    </row>
    <row r="239" spans="1:8" ht="14.4" x14ac:dyDescent="0.3">
      <c r="A239" s="8">
        <v>79750230</v>
      </c>
      <c r="B239" s="11">
        <v>44575</v>
      </c>
      <c r="C239" s="13" t="s">
        <v>488</v>
      </c>
      <c r="D239" s="13" t="s">
        <v>489</v>
      </c>
      <c r="E239" s="8">
        <v>6000</v>
      </c>
      <c r="F239" s="13" t="s">
        <v>70</v>
      </c>
      <c r="G239" s="14">
        <v>44608</v>
      </c>
      <c r="H239" s="13" t="s">
        <v>9</v>
      </c>
    </row>
    <row r="240" spans="1:8" ht="14.4" x14ac:dyDescent="0.3">
      <c r="A240" s="8">
        <v>79750231</v>
      </c>
      <c r="B240" s="11">
        <v>44575</v>
      </c>
      <c r="C240" s="13" t="s">
        <v>490</v>
      </c>
      <c r="D240" s="13" t="s">
        <v>491</v>
      </c>
      <c r="E240" s="8">
        <v>448125</v>
      </c>
      <c r="F240" s="13" t="s">
        <v>70</v>
      </c>
      <c r="G240" s="14">
        <v>44579</v>
      </c>
      <c r="H240" s="13" t="s">
        <v>9</v>
      </c>
    </row>
    <row r="241" spans="1:8" ht="14.4" x14ac:dyDescent="0.3">
      <c r="A241" s="8">
        <v>79750233</v>
      </c>
      <c r="B241" s="11">
        <v>44575</v>
      </c>
      <c r="C241" s="13" t="s">
        <v>492</v>
      </c>
      <c r="D241" s="13" t="s">
        <v>493</v>
      </c>
      <c r="E241" s="8">
        <v>75000</v>
      </c>
      <c r="F241" s="13" t="s">
        <v>70</v>
      </c>
      <c r="G241" s="14">
        <v>44579</v>
      </c>
      <c r="H241" s="13" t="s">
        <v>9</v>
      </c>
    </row>
    <row r="242" spans="1:8" ht="14.4" x14ac:dyDescent="0.3">
      <c r="A242" s="8">
        <v>79750234</v>
      </c>
      <c r="B242" s="11">
        <v>44575</v>
      </c>
      <c r="C242" s="13" t="s">
        <v>221</v>
      </c>
      <c r="D242" s="13" t="s">
        <v>494</v>
      </c>
      <c r="E242" s="8">
        <v>100000</v>
      </c>
      <c r="F242" s="13" t="s">
        <v>70</v>
      </c>
      <c r="G242" s="14">
        <v>44579</v>
      </c>
      <c r="H242" s="13" t="s">
        <v>9</v>
      </c>
    </row>
    <row r="243" spans="1:8" ht="14.4" x14ac:dyDescent="0.3">
      <c r="A243" s="8">
        <v>79750235</v>
      </c>
      <c r="B243" s="11">
        <v>44575</v>
      </c>
      <c r="C243" s="13" t="s">
        <v>363</v>
      </c>
      <c r="D243" s="13" t="s">
        <v>495</v>
      </c>
      <c r="E243" s="8">
        <v>50000</v>
      </c>
      <c r="F243" s="13" t="s">
        <v>70</v>
      </c>
      <c r="G243" s="14">
        <v>44579</v>
      </c>
      <c r="H243" s="13" t="s">
        <v>9</v>
      </c>
    </row>
    <row r="244" spans="1:8" ht="14.4" x14ac:dyDescent="0.3">
      <c r="A244" s="8">
        <v>79750236</v>
      </c>
      <c r="B244" s="11">
        <v>44575</v>
      </c>
      <c r="C244" s="13" t="s">
        <v>496</v>
      </c>
      <c r="D244" s="13" t="s">
        <v>497</v>
      </c>
      <c r="E244" s="8">
        <v>9300</v>
      </c>
      <c r="F244" s="13" t="s">
        <v>70</v>
      </c>
      <c r="G244" s="14">
        <v>44586</v>
      </c>
      <c r="H244" s="13" t="s">
        <v>9</v>
      </c>
    </row>
    <row r="245" spans="1:8" ht="14.4" x14ac:dyDescent="0.3">
      <c r="A245" s="8">
        <v>79750237</v>
      </c>
      <c r="B245" s="11">
        <v>44575</v>
      </c>
      <c r="C245" s="13" t="s">
        <v>498</v>
      </c>
      <c r="D245" s="13" t="s">
        <v>499</v>
      </c>
      <c r="E245" s="8">
        <v>9300</v>
      </c>
      <c r="F245" s="13" t="s">
        <v>70</v>
      </c>
      <c r="G245" s="14">
        <v>44586</v>
      </c>
      <c r="H245" s="13" t="s">
        <v>9</v>
      </c>
    </row>
    <row r="246" spans="1:8" ht="14.4" x14ac:dyDescent="0.3">
      <c r="A246" s="8">
        <v>79750238</v>
      </c>
      <c r="B246" s="11">
        <v>44575</v>
      </c>
      <c r="C246" s="13" t="s">
        <v>500</v>
      </c>
      <c r="D246" s="13" t="s">
        <v>501</v>
      </c>
      <c r="E246" s="8">
        <v>3988.44</v>
      </c>
      <c r="F246" s="13" t="s">
        <v>70</v>
      </c>
      <c r="G246" s="14">
        <v>44578</v>
      </c>
      <c r="H246" s="13" t="s">
        <v>9</v>
      </c>
    </row>
    <row r="247" spans="1:8" ht="14.4" x14ac:dyDescent="0.3">
      <c r="A247" s="8">
        <v>79750239</v>
      </c>
      <c r="B247" s="11">
        <v>44575</v>
      </c>
      <c r="C247" s="13" t="s">
        <v>502</v>
      </c>
      <c r="D247" s="13" t="s">
        <v>503</v>
      </c>
      <c r="E247" s="8">
        <v>55000</v>
      </c>
      <c r="F247" s="13" t="s">
        <v>70</v>
      </c>
      <c r="G247" s="14">
        <v>44580</v>
      </c>
      <c r="H247" s="13" t="s">
        <v>9</v>
      </c>
    </row>
    <row r="248" spans="1:8" ht="14.4" x14ac:dyDescent="0.3">
      <c r="A248" s="8">
        <v>79750240</v>
      </c>
      <c r="B248" s="11">
        <v>44575</v>
      </c>
      <c r="C248" s="13" t="s">
        <v>504</v>
      </c>
      <c r="D248" s="13" t="s">
        <v>505</v>
      </c>
      <c r="E248" s="8">
        <v>13279.54</v>
      </c>
      <c r="F248" s="13" t="s">
        <v>70</v>
      </c>
      <c r="G248" s="14">
        <v>44579</v>
      </c>
      <c r="H248" s="13" t="s">
        <v>9</v>
      </c>
    </row>
    <row r="249" spans="1:8" ht="14.4" x14ac:dyDescent="0.3">
      <c r="A249" s="8">
        <v>79750241</v>
      </c>
      <c r="B249" s="11">
        <v>44575</v>
      </c>
      <c r="C249" s="13" t="s">
        <v>506</v>
      </c>
      <c r="D249" s="13" t="s">
        <v>507</v>
      </c>
      <c r="E249" s="8">
        <v>20000</v>
      </c>
      <c r="F249" s="13" t="s">
        <v>70</v>
      </c>
      <c r="G249" s="14">
        <v>44579</v>
      </c>
      <c r="H249" s="13" t="s">
        <v>9</v>
      </c>
    </row>
    <row r="250" spans="1:8" ht="14.4" x14ac:dyDescent="0.3">
      <c r="A250" s="8">
        <v>79750242</v>
      </c>
      <c r="B250" s="11">
        <v>44575</v>
      </c>
      <c r="C250" s="13" t="s">
        <v>508</v>
      </c>
      <c r="D250" s="13" t="s">
        <v>509</v>
      </c>
      <c r="E250" s="8">
        <v>20000</v>
      </c>
      <c r="F250" s="13" t="s">
        <v>70</v>
      </c>
      <c r="G250" s="14">
        <v>44582</v>
      </c>
      <c r="H250" s="13" t="s">
        <v>9</v>
      </c>
    </row>
    <row r="251" spans="1:8" ht="14.4" x14ac:dyDescent="0.3">
      <c r="A251" s="8">
        <v>79750243</v>
      </c>
      <c r="B251" s="11">
        <v>44575</v>
      </c>
      <c r="C251" s="13" t="s">
        <v>506</v>
      </c>
      <c r="D251" s="13" t="s">
        <v>510</v>
      </c>
      <c r="E251" s="8">
        <v>40000</v>
      </c>
      <c r="F251" s="13" t="s">
        <v>70</v>
      </c>
      <c r="G251" s="14">
        <v>44579</v>
      </c>
      <c r="H251" s="13" t="s">
        <v>9</v>
      </c>
    </row>
    <row r="252" spans="1:8" ht="14.4" x14ac:dyDescent="0.3">
      <c r="A252" s="8">
        <v>79750244</v>
      </c>
      <c r="B252" s="11">
        <v>44575</v>
      </c>
      <c r="C252" s="13" t="s">
        <v>511</v>
      </c>
      <c r="D252" s="13" t="s">
        <v>512</v>
      </c>
      <c r="E252" s="8">
        <v>9000</v>
      </c>
      <c r="F252" s="13" t="s">
        <v>70</v>
      </c>
      <c r="G252" s="14">
        <v>44581</v>
      </c>
      <c r="H252" s="13" t="s">
        <v>9</v>
      </c>
    </row>
    <row r="253" spans="1:8" ht="14.4" x14ac:dyDescent="0.3">
      <c r="A253" s="8">
        <v>79750245</v>
      </c>
      <c r="B253" s="11">
        <v>44575</v>
      </c>
      <c r="C253" s="13" t="s">
        <v>513</v>
      </c>
      <c r="D253" s="13" t="s">
        <v>514</v>
      </c>
      <c r="E253" s="8">
        <v>15000</v>
      </c>
      <c r="F253" s="13" t="s">
        <v>70</v>
      </c>
      <c r="G253" s="14">
        <v>44581</v>
      </c>
      <c r="H253" s="13" t="s">
        <v>9</v>
      </c>
    </row>
    <row r="254" spans="1:8" ht="14.4" x14ac:dyDescent="0.3">
      <c r="A254" s="8">
        <v>79750246</v>
      </c>
      <c r="B254" s="11">
        <v>44575</v>
      </c>
      <c r="C254" s="13" t="s">
        <v>515</v>
      </c>
      <c r="D254" s="13" t="s">
        <v>16</v>
      </c>
      <c r="E254" s="8">
        <v>10000</v>
      </c>
      <c r="F254" s="13" t="s">
        <v>70</v>
      </c>
      <c r="G254" s="14">
        <v>44581</v>
      </c>
      <c r="H254" s="13" t="s">
        <v>9</v>
      </c>
    </row>
    <row r="255" spans="1:8" ht="14.4" x14ac:dyDescent="0.3">
      <c r="A255" s="8">
        <v>79750247</v>
      </c>
      <c r="B255" s="11">
        <v>44575</v>
      </c>
      <c r="C255" s="13" t="s">
        <v>361</v>
      </c>
      <c r="D255" s="13" t="s">
        <v>516</v>
      </c>
      <c r="E255" s="8">
        <v>13410.91</v>
      </c>
      <c r="F255" s="13" t="s">
        <v>70</v>
      </c>
      <c r="G255" s="14">
        <v>44586</v>
      </c>
      <c r="H255" s="13" t="s">
        <v>9</v>
      </c>
    </row>
    <row r="256" spans="1:8" ht="14.4" x14ac:dyDescent="0.3">
      <c r="A256" s="8">
        <v>79750248</v>
      </c>
      <c r="B256" s="11">
        <v>44575</v>
      </c>
      <c r="C256" s="13" t="s">
        <v>517</v>
      </c>
      <c r="D256" s="13" t="s">
        <v>518</v>
      </c>
      <c r="E256" s="8">
        <v>9000</v>
      </c>
      <c r="F256" s="13" t="s">
        <v>70</v>
      </c>
      <c r="G256" s="14">
        <v>44581</v>
      </c>
      <c r="H256" s="13" t="s">
        <v>9</v>
      </c>
    </row>
    <row r="257" spans="1:8" ht="14.4" x14ac:dyDescent="0.3">
      <c r="A257" s="8">
        <v>79750249</v>
      </c>
      <c r="B257" s="11">
        <v>44575</v>
      </c>
      <c r="C257" s="13" t="s">
        <v>519</v>
      </c>
      <c r="D257" s="13" t="s">
        <v>520</v>
      </c>
      <c r="E257" s="8">
        <v>20000</v>
      </c>
      <c r="F257" s="13" t="s">
        <v>70</v>
      </c>
      <c r="G257" s="14">
        <v>44581</v>
      </c>
      <c r="H257" s="13" t="s">
        <v>9</v>
      </c>
    </row>
    <row r="258" spans="1:8" ht="14.4" x14ac:dyDescent="0.3">
      <c r="A258" s="8">
        <v>79750250</v>
      </c>
      <c r="B258" s="11">
        <v>44575</v>
      </c>
      <c r="C258" s="13" t="s">
        <v>521</v>
      </c>
      <c r="D258" s="13" t="s">
        <v>522</v>
      </c>
      <c r="E258" s="8">
        <v>6500</v>
      </c>
      <c r="F258" s="13" t="s">
        <v>70</v>
      </c>
      <c r="G258" s="14">
        <v>44581</v>
      </c>
      <c r="H258" s="13" t="s">
        <v>9</v>
      </c>
    </row>
    <row r="259" spans="1:8" ht="14.4" x14ac:dyDescent="0.3">
      <c r="A259" s="8">
        <v>79750251</v>
      </c>
      <c r="B259" s="11">
        <v>44575</v>
      </c>
      <c r="C259" s="13" t="s">
        <v>523</v>
      </c>
      <c r="D259" s="13" t="s">
        <v>524</v>
      </c>
      <c r="E259" s="8">
        <v>46894.85</v>
      </c>
      <c r="F259" s="13" t="s">
        <v>70</v>
      </c>
      <c r="G259" s="14">
        <v>44582</v>
      </c>
      <c r="H259" s="13" t="s">
        <v>9</v>
      </c>
    </row>
    <row r="260" spans="1:8" ht="14.4" x14ac:dyDescent="0.3">
      <c r="A260" s="8">
        <v>79750252</v>
      </c>
      <c r="B260" s="11">
        <v>44575</v>
      </c>
      <c r="C260" s="13" t="s">
        <v>195</v>
      </c>
      <c r="D260" s="13" t="s">
        <v>525</v>
      </c>
      <c r="E260" s="8">
        <v>7200</v>
      </c>
      <c r="F260" s="13" t="s">
        <v>70</v>
      </c>
      <c r="G260" s="14">
        <v>44578</v>
      </c>
      <c r="H260" s="13" t="s">
        <v>9</v>
      </c>
    </row>
    <row r="261" spans="1:8" ht="14.4" x14ac:dyDescent="0.3">
      <c r="A261" s="8">
        <v>79750253</v>
      </c>
      <c r="B261" s="11">
        <v>44575</v>
      </c>
      <c r="C261" s="13" t="s">
        <v>526</v>
      </c>
      <c r="D261" s="13" t="s">
        <v>527</v>
      </c>
      <c r="E261" s="8">
        <v>3000</v>
      </c>
      <c r="F261" s="13" t="s">
        <v>70</v>
      </c>
      <c r="G261" s="14">
        <v>44579</v>
      </c>
      <c r="H261" s="13" t="s">
        <v>9</v>
      </c>
    </row>
    <row r="262" spans="1:8" ht="14.4" x14ac:dyDescent="0.3">
      <c r="A262" s="8">
        <v>79750254</v>
      </c>
      <c r="B262" s="11">
        <v>44575</v>
      </c>
      <c r="C262" s="13" t="s">
        <v>528</v>
      </c>
      <c r="D262" s="13" t="s">
        <v>529</v>
      </c>
      <c r="E262" s="8">
        <v>5000</v>
      </c>
      <c r="F262" s="13" t="s">
        <v>70</v>
      </c>
      <c r="G262" s="14">
        <v>44582</v>
      </c>
      <c r="H262" s="13" t="s">
        <v>9</v>
      </c>
    </row>
    <row r="263" spans="1:8" ht="14.4" x14ac:dyDescent="0.3">
      <c r="A263" s="8">
        <v>79750255</v>
      </c>
      <c r="B263" s="11">
        <v>44575</v>
      </c>
      <c r="C263" s="13" t="s">
        <v>530</v>
      </c>
      <c r="D263" s="13" t="s">
        <v>529</v>
      </c>
      <c r="E263" s="8">
        <v>3000</v>
      </c>
      <c r="F263" s="13" t="s">
        <v>70</v>
      </c>
      <c r="G263" s="14">
        <v>44582</v>
      </c>
      <c r="H263" s="13" t="s">
        <v>9</v>
      </c>
    </row>
    <row r="264" spans="1:8" ht="14.4" x14ac:dyDescent="0.3">
      <c r="A264" s="8">
        <v>79750256</v>
      </c>
      <c r="B264" s="11">
        <v>44575</v>
      </c>
      <c r="C264" s="13" t="s">
        <v>531</v>
      </c>
      <c r="D264" s="13" t="s">
        <v>302</v>
      </c>
      <c r="E264" s="8">
        <v>10000</v>
      </c>
      <c r="F264" s="13" t="s">
        <v>70</v>
      </c>
      <c r="G264" s="14">
        <v>44579</v>
      </c>
      <c r="H264" s="13" t="s">
        <v>9</v>
      </c>
    </row>
    <row r="265" spans="1:8" ht="14.4" x14ac:dyDescent="0.3">
      <c r="A265" s="8">
        <v>79750257</v>
      </c>
      <c r="B265" s="11">
        <v>44575</v>
      </c>
      <c r="C265" s="13" t="s">
        <v>532</v>
      </c>
      <c r="D265" s="13" t="s">
        <v>302</v>
      </c>
      <c r="E265" s="8">
        <v>10000</v>
      </c>
      <c r="F265" s="13" t="s">
        <v>70</v>
      </c>
      <c r="G265" s="14">
        <v>44579</v>
      </c>
      <c r="H265" s="13" t="s">
        <v>9</v>
      </c>
    </row>
    <row r="266" spans="1:8" ht="14.4" x14ac:dyDescent="0.3">
      <c r="A266" s="8">
        <v>79750258</v>
      </c>
      <c r="B266" s="11">
        <v>44575</v>
      </c>
      <c r="C266" s="13" t="s">
        <v>97</v>
      </c>
      <c r="D266" s="13" t="s">
        <v>302</v>
      </c>
      <c r="E266" s="8">
        <v>5000</v>
      </c>
      <c r="F266" s="13" t="s">
        <v>70</v>
      </c>
      <c r="G266" s="14">
        <v>44581</v>
      </c>
      <c r="H266" s="13" t="s">
        <v>9</v>
      </c>
    </row>
    <row r="267" spans="1:8" ht="14.4" x14ac:dyDescent="0.3">
      <c r="A267" s="8">
        <v>79750259</v>
      </c>
      <c r="B267" s="11">
        <v>44575</v>
      </c>
      <c r="C267" s="13" t="s">
        <v>533</v>
      </c>
      <c r="D267" s="13" t="s">
        <v>302</v>
      </c>
      <c r="E267" s="8">
        <v>3000</v>
      </c>
      <c r="F267" s="13" t="s">
        <v>70</v>
      </c>
      <c r="G267" s="14">
        <v>44582</v>
      </c>
      <c r="H267" s="13" t="s">
        <v>9</v>
      </c>
    </row>
    <row r="268" spans="1:8" ht="14.4" x14ac:dyDescent="0.3">
      <c r="A268" s="8">
        <v>79750260</v>
      </c>
      <c r="B268" s="11">
        <v>44575</v>
      </c>
      <c r="C268" s="13" t="s">
        <v>534</v>
      </c>
      <c r="D268" s="13" t="s">
        <v>527</v>
      </c>
      <c r="E268" s="8">
        <v>20000</v>
      </c>
      <c r="F268" s="13" t="s">
        <v>70</v>
      </c>
      <c r="G268" s="14">
        <v>44579</v>
      </c>
      <c r="H268" s="13" t="s">
        <v>9</v>
      </c>
    </row>
    <row r="269" spans="1:8" ht="14.4" x14ac:dyDescent="0.3">
      <c r="A269" s="8">
        <v>79750261</v>
      </c>
      <c r="B269" s="11">
        <v>44575</v>
      </c>
      <c r="C269" s="13" t="s">
        <v>535</v>
      </c>
      <c r="D269" s="13" t="s">
        <v>527</v>
      </c>
      <c r="E269" s="8">
        <v>10000</v>
      </c>
      <c r="F269" s="13" t="s">
        <v>70</v>
      </c>
      <c r="G269" s="14">
        <v>44579</v>
      </c>
      <c r="H269" s="13" t="s">
        <v>9</v>
      </c>
    </row>
    <row r="270" spans="1:8" ht="14.4" x14ac:dyDescent="0.3">
      <c r="A270" s="8">
        <v>79750262</v>
      </c>
      <c r="B270" s="11">
        <v>44575</v>
      </c>
      <c r="C270" s="13" t="s">
        <v>536</v>
      </c>
      <c r="D270" s="13" t="s">
        <v>527</v>
      </c>
      <c r="E270" s="8">
        <v>5000</v>
      </c>
      <c r="F270" s="13" t="s">
        <v>70</v>
      </c>
      <c r="G270" s="14">
        <v>44579</v>
      </c>
      <c r="H270" s="13" t="s">
        <v>9</v>
      </c>
    </row>
    <row r="271" spans="1:8" ht="14.4" x14ac:dyDescent="0.3">
      <c r="A271" s="8">
        <v>79750263</v>
      </c>
      <c r="B271" s="11">
        <v>44575</v>
      </c>
      <c r="C271" s="13" t="s">
        <v>537</v>
      </c>
      <c r="D271" s="13" t="s">
        <v>538</v>
      </c>
      <c r="E271" s="8">
        <v>15000</v>
      </c>
      <c r="F271" s="13" t="s">
        <v>70</v>
      </c>
      <c r="G271" s="14">
        <v>44581</v>
      </c>
      <c r="H271" s="13" t="s">
        <v>9</v>
      </c>
    </row>
    <row r="272" spans="1:8" ht="14.4" x14ac:dyDescent="0.3">
      <c r="A272" s="8">
        <v>79750264</v>
      </c>
      <c r="B272" s="11">
        <v>44575</v>
      </c>
      <c r="C272" s="13" t="s">
        <v>539</v>
      </c>
      <c r="D272" s="13" t="s">
        <v>540</v>
      </c>
      <c r="E272" s="8">
        <v>6000</v>
      </c>
      <c r="F272" s="13" t="s">
        <v>70</v>
      </c>
      <c r="G272" s="14">
        <v>44579</v>
      </c>
      <c r="H272" s="13" t="s">
        <v>9</v>
      </c>
    </row>
    <row r="273" spans="1:8" ht="14.4" x14ac:dyDescent="0.3">
      <c r="A273" s="8">
        <v>79750265</v>
      </c>
      <c r="B273" s="11">
        <v>44575</v>
      </c>
      <c r="C273" s="13" t="s">
        <v>541</v>
      </c>
      <c r="D273" s="13" t="s">
        <v>540</v>
      </c>
      <c r="E273" s="8">
        <v>4500</v>
      </c>
      <c r="F273" s="13" t="s">
        <v>70</v>
      </c>
      <c r="G273" s="14">
        <v>44579</v>
      </c>
      <c r="H273" s="13" t="s">
        <v>9</v>
      </c>
    </row>
    <row r="274" spans="1:8" ht="14.4" x14ac:dyDescent="0.3">
      <c r="A274" s="8">
        <v>79750266</v>
      </c>
      <c r="B274" s="11">
        <v>44575</v>
      </c>
      <c r="C274" s="13" t="s">
        <v>542</v>
      </c>
      <c r="D274" s="13" t="s">
        <v>540</v>
      </c>
      <c r="E274" s="8">
        <v>4500</v>
      </c>
      <c r="F274" s="13" t="s">
        <v>70</v>
      </c>
      <c r="G274" s="14">
        <v>44579</v>
      </c>
      <c r="H274" s="13" t="s">
        <v>9</v>
      </c>
    </row>
    <row r="275" spans="1:8" ht="14.4" x14ac:dyDescent="0.3">
      <c r="A275" s="8">
        <v>79750267</v>
      </c>
      <c r="B275" s="11">
        <v>44575</v>
      </c>
      <c r="C275" s="13" t="s">
        <v>543</v>
      </c>
      <c r="D275" s="13" t="s">
        <v>540</v>
      </c>
      <c r="E275" s="8">
        <v>4500</v>
      </c>
      <c r="F275" s="13" t="s">
        <v>70</v>
      </c>
      <c r="G275" s="14">
        <v>44579</v>
      </c>
      <c r="H275" s="13" t="s">
        <v>9</v>
      </c>
    </row>
    <row r="276" spans="1:8" ht="14.4" x14ac:dyDescent="0.3">
      <c r="A276" s="8">
        <v>79750268</v>
      </c>
      <c r="B276" s="11">
        <v>44575</v>
      </c>
      <c r="C276" s="13" t="s">
        <v>544</v>
      </c>
      <c r="D276" s="13" t="s">
        <v>540</v>
      </c>
      <c r="E276" s="8">
        <v>4500</v>
      </c>
      <c r="F276" s="13" t="s">
        <v>70</v>
      </c>
      <c r="G276" s="14">
        <v>44579</v>
      </c>
      <c r="H276" s="13" t="s">
        <v>9</v>
      </c>
    </row>
    <row r="277" spans="1:8" ht="14.4" x14ac:dyDescent="0.3">
      <c r="A277" s="8">
        <v>79750269</v>
      </c>
      <c r="B277" s="11">
        <v>44575</v>
      </c>
      <c r="C277" s="13" t="s">
        <v>545</v>
      </c>
      <c r="D277" s="13" t="s">
        <v>546</v>
      </c>
      <c r="E277" s="8">
        <v>10000</v>
      </c>
      <c r="F277" s="13" t="s">
        <v>70</v>
      </c>
      <c r="G277" s="14">
        <v>44585</v>
      </c>
      <c r="H277" s="13" t="s">
        <v>9</v>
      </c>
    </row>
    <row r="278" spans="1:8" ht="14.4" x14ac:dyDescent="0.3">
      <c r="A278" s="8">
        <v>79750270</v>
      </c>
      <c r="B278" s="11">
        <v>44575</v>
      </c>
      <c r="C278" s="13" t="s">
        <v>547</v>
      </c>
      <c r="D278" s="13" t="s">
        <v>546</v>
      </c>
      <c r="E278" s="8">
        <v>3000</v>
      </c>
      <c r="F278" s="13" t="s">
        <v>70</v>
      </c>
      <c r="G278" s="14">
        <v>44585</v>
      </c>
      <c r="H278" s="13" t="s">
        <v>9</v>
      </c>
    </row>
    <row r="279" spans="1:8" ht="14.4" x14ac:dyDescent="0.3">
      <c r="A279" s="8">
        <v>79750271</v>
      </c>
      <c r="B279" s="11">
        <v>44575</v>
      </c>
      <c r="C279" s="13" t="s">
        <v>548</v>
      </c>
      <c r="D279" s="13" t="s">
        <v>546</v>
      </c>
      <c r="E279" s="8">
        <v>3000</v>
      </c>
      <c r="F279" s="13" t="s">
        <v>70</v>
      </c>
      <c r="G279" s="14">
        <v>44585</v>
      </c>
      <c r="H279" s="13" t="s">
        <v>9</v>
      </c>
    </row>
    <row r="280" spans="1:8" ht="14.4" x14ac:dyDescent="0.3">
      <c r="A280" s="8">
        <v>79750272</v>
      </c>
      <c r="B280" s="11">
        <v>44575</v>
      </c>
      <c r="C280" s="13" t="s">
        <v>549</v>
      </c>
      <c r="D280" s="13" t="s">
        <v>546</v>
      </c>
      <c r="E280" s="8">
        <v>3000</v>
      </c>
      <c r="F280" s="13" t="s">
        <v>70</v>
      </c>
      <c r="G280" s="14">
        <v>44585</v>
      </c>
      <c r="H280" s="13" t="s">
        <v>9</v>
      </c>
    </row>
    <row r="281" spans="1:8" ht="14.4" x14ac:dyDescent="0.3">
      <c r="A281" s="8">
        <v>79750273</v>
      </c>
      <c r="B281" s="11">
        <v>44575</v>
      </c>
      <c r="C281" s="13" t="s">
        <v>550</v>
      </c>
      <c r="D281" s="13" t="s">
        <v>546</v>
      </c>
      <c r="E281" s="8">
        <v>3000</v>
      </c>
      <c r="F281" s="13" t="s">
        <v>70</v>
      </c>
      <c r="G281" s="14">
        <v>44585</v>
      </c>
      <c r="H281" s="13" t="s">
        <v>9</v>
      </c>
    </row>
    <row r="282" spans="1:8" ht="14.4" x14ac:dyDescent="0.3">
      <c r="A282" s="8">
        <v>79750274</v>
      </c>
      <c r="B282" s="11">
        <v>44575</v>
      </c>
      <c r="C282" s="13" t="s">
        <v>265</v>
      </c>
      <c r="D282" s="13" t="s">
        <v>551</v>
      </c>
      <c r="E282" s="8">
        <v>6000</v>
      </c>
      <c r="F282" s="13" t="s">
        <v>70</v>
      </c>
      <c r="G282" s="14">
        <v>44579</v>
      </c>
      <c r="H282" s="13" t="s">
        <v>9</v>
      </c>
    </row>
    <row r="283" spans="1:8" ht="14.4" x14ac:dyDescent="0.3">
      <c r="A283" s="8">
        <v>79750275</v>
      </c>
      <c r="B283" s="11">
        <v>44575</v>
      </c>
      <c r="C283" s="13" t="s">
        <v>552</v>
      </c>
      <c r="D283" s="13" t="s">
        <v>546</v>
      </c>
      <c r="E283" s="8">
        <v>3000</v>
      </c>
      <c r="F283" s="13" t="s">
        <v>70</v>
      </c>
      <c r="G283" s="14">
        <v>44585</v>
      </c>
      <c r="H283" s="13" t="s">
        <v>9</v>
      </c>
    </row>
    <row r="284" spans="1:8" ht="14.4" x14ac:dyDescent="0.3">
      <c r="A284" s="8">
        <v>79750276</v>
      </c>
      <c r="B284" s="11">
        <v>44575</v>
      </c>
      <c r="C284" s="13" t="s">
        <v>553</v>
      </c>
      <c r="D284" s="13" t="s">
        <v>546</v>
      </c>
      <c r="E284" s="8">
        <v>3000</v>
      </c>
      <c r="F284" s="13" t="s">
        <v>70</v>
      </c>
      <c r="G284" s="14">
        <v>44585</v>
      </c>
      <c r="H284" s="13" t="s">
        <v>9</v>
      </c>
    </row>
    <row r="285" spans="1:8" ht="14.4" x14ac:dyDescent="0.3">
      <c r="A285" s="8">
        <v>79750277</v>
      </c>
      <c r="B285" s="11">
        <v>44575</v>
      </c>
      <c r="C285" s="13" t="s">
        <v>554</v>
      </c>
      <c r="D285" s="13" t="s">
        <v>546</v>
      </c>
      <c r="E285" s="8">
        <v>3000</v>
      </c>
      <c r="F285" s="13" t="s">
        <v>70</v>
      </c>
      <c r="G285" s="14">
        <v>44585</v>
      </c>
      <c r="H285" s="13" t="s">
        <v>9</v>
      </c>
    </row>
    <row r="286" spans="1:8" ht="14.4" x14ac:dyDescent="0.3">
      <c r="A286" s="8">
        <v>79750278</v>
      </c>
      <c r="B286" s="11">
        <v>44575</v>
      </c>
      <c r="C286" s="13" t="s">
        <v>555</v>
      </c>
      <c r="D286" s="13" t="s">
        <v>546</v>
      </c>
      <c r="E286" s="8">
        <v>3000</v>
      </c>
      <c r="F286" s="13" t="s">
        <v>70</v>
      </c>
      <c r="G286" s="14">
        <v>44585</v>
      </c>
      <c r="H286" s="13" t="s">
        <v>9</v>
      </c>
    </row>
    <row r="287" spans="1:8" ht="14.4" x14ac:dyDescent="0.3">
      <c r="A287" s="8">
        <v>79750279</v>
      </c>
      <c r="B287" s="11">
        <v>44575</v>
      </c>
      <c r="C287" s="13" t="s">
        <v>556</v>
      </c>
      <c r="D287" s="13" t="s">
        <v>546</v>
      </c>
      <c r="E287" s="8">
        <v>3000</v>
      </c>
      <c r="F287" s="13" t="s">
        <v>70</v>
      </c>
      <c r="G287" s="14">
        <v>44585</v>
      </c>
      <c r="H287" s="13" t="s">
        <v>9</v>
      </c>
    </row>
    <row r="288" spans="1:8" ht="14.4" x14ac:dyDescent="0.3">
      <c r="A288" s="8">
        <v>79750280</v>
      </c>
      <c r="B288" s="11">
        <v>44575</v>
      </c>
      <c r="C288" s="13" t="s">
        <v>557</v>
      </c>
      <c r="D288" s="13" t="s">
        <v>546</v>
      </c>
      <c r="E288" s="8">
        <v>3000</v>
      </c>
      <c r="F288" s="13" t="s">
        <v>70</v>
      </c>
      <c r="G288" s="14">
        <v>44585</v>
      </c>
      <c r="H288" s="13" t="s">
        <v>9</v>
      </c>
    </row>
    <row r="289" spans="1:8" ht="14.4" x14ac:dyDescent="0.3">
      <c r="A289" s="8">
        <v>79750281</v>
      </c>
      <c r="B289" s="11">
        <v>44575</v>
      </c>
      <c r="C289" s="13" t="s">
        <v>558</v>
      </c>
      <c r="D289" s="13" t="s">
        <v>546</v>
      </c>
      <c r="E289" s="8">
        <v>3000</v>
      </c>
      <c r="F289" s="13" t="s">
        <v>70</v>
      </c>
      <c r="G289" s="14">
        <v>44585</v>
      </c>
      <c r="H289" s="13" t="s">
        <v>9</v>
      </c>
    </row>
    <row r="290" spans="1:8" ht="14.4" x14ac:dyDescent="0.3">
      <c r="A290" s="8">
        <v>79750282</v>
      </c>
      <c r="B290" s="11">
        <v>44575</v>
      </c>
      <c r="C290" s="13" t="s">
        <v>559</v>
      </c>
      <c r="D290" s="13" t="s">
        <v>546</v>
      </c>
      <c r="E290" s="8">
        <v>3000</v>
      </c>
      <c r="F290" s="13" t="s">
        <v>70</v>
      </c>
      <c r="G290" s="14">
        <v>44585</v>
      </c>
      <c r="H290" s="13" t="s">
        <v>9</v>
      </c>
    </row>
    <row r="291" spans="1:8" ht="14.4" x14ac:dyDescent="0.3">
      <c r="A291" s="8">
        <v>79750283</v>
      </c>
      <c r="B291" s="11">
        <v>44575</v>
      </c>
      <c r="C291" s="13" t="s">
        <v>560</v>
      </c>
      <c r="D291" s="13" t="s">
        <v>561</v>
      </c>
      <c r="E291" s="8">
        <v>11214</v>
      </c>
      <c r="F291" s="13" t="s">
        <v>70</v>
      </c>
      <c r="G291" s="14">
        <v>44580</v>
      </c>
      <c r="H291" s="13" t="s">
        <v>9</v>
      </c>
    </row>
    <row r="292" spans="1:8" ht="14.4" x14ac:dyDescent="0.3">
      <c r="A292" s="8">
        <v>79750284</v>
      </c>
      <c r="B292" s="11">
        <v>44575</v>
      </c>
      <c r="C292" s="13" t="s">
        <v>562</v>
      </c>
      <c r="D292" s="13" t="s">
        <v>302</v>
      </c>
      <c r="E292" s="8">
        <v>6000</v>
      </c>
      <c r="F292" s="13" t="s">
        <v>70</v>
      </c>
      <c r="G292" s="14">
        <v>44579</v>
      </c>
      <c r="H292" s="13" t="s">
        <v>9</v>
      </c>
    </row>
    <row r="293" spans="1:8" ht="14.4" x14ac:dyDescent="0.3">
      <c r="A293" s="8">
        <v>79750285</v>
      </c>
      <c r="B293" s="11">
        <v>44575</v>
      </c>
      <c r="C293" s="13" t="s">
        <v>563</v>
      </c>
      <c r="D293" s="13" t="s">
        <v>564</v>
      </c>
      <c r="E293" s="8">
        <v>5000</v>
      </c>
      <c r="F293" s="13" t="s">
        <v>70</v>
      </c>
      <c r="G293" s="14">
        <v>44582</v>
      </c>
      <c r="H293" s="13" t="s">
        <v>9</v>
      </c>
    </row>
    <row r="294" spans="1:8" ht="14.4" x14ac:dyDescent="0.3">
      <c r="A294" s="8">
        <v>79750286</v>
      </c>
      <c r="B294" s="11">
        <v>44575</v>
      </c>
      <c r="C294" s="13" t="s">
        <v>565</v>
      </c>
      <c r="D294" s="13" t="s">
        <v>566</v>
      </c>
      <c r="E294" s="8">
        <v>6000</v>
      </c>
      <c r="F294" s="13" t="s">
        <v>70</v>
      </c>
      <c r="G294" s="14">
        <v>44592</v>
      </c>
      <c r="H294" s="13" t="s">
        <v>9</v>
      </c>
    </row>
    <row r="295" spans="1:8" ht="14.4" x14ac:dyDescent="0.3">
      <c r="A295" s="8">
        <v>79750287</v>
      </c>
      <c r="B295" s="11">
        <v>44575</v>
      </c>
      <c r="C295" s="13" t="s">
        <v>567</v>
      </c>
      <c r="D295" s="13" t="s">
        <v>566</v>
      </c>
      <c r="E295" s="8">
        <v>6000</v>
      </c>
      <c r="F295" s="13" t="s">
        <v>70</v>
      </c>
      <c r="G295" s="14">
        <v>44588</v>
      </c>
      <c r="H295" s="13" t="s">
        <v>9</v>
      </c>
    </row>
    <row r="296" spans="1:8" ht="14.4" x14ac:dyDescent="0.3">
      <c r="A296" s="8">
        <v>79750288</v>
      </c>
      <c r="B296" s="11">
        <v>44575</v>
      </c>
      <c r="C296" s="13" t="s">
        <v>176</v>
      </c>
      <c r="D296" s="13" t="s">
        <v>568</v>
      </c>
      <c r="E296" s="8">
        <v>153000</v>
      </c>
      <c r="F296" s="13" t="s">
        <v>70</v>
      </c>
      <c r="G296" s="14">
        <v>44579</v>
      </c>
      <c r="H296" s="13" t="s">
        <v>9</v>
      </c>
    </row>
    <row r="297" spans="1:8" ht="14.4" x14ac:dyDescent="0.3">
      <c r="A297" s="8">
        <v>79750289</v>
      </c>
      <c r="B297" s="11">
        <v>44575</v>
      </c>
      <c r="C297" s="13" t="s">
        <v>569</v>
      </c>
      <c r="D297" s="13" t="s">
        <v>570</v>
      </c>
      <c r="E297" s="8">
        <v>47000</v>
      </c>
      <c r="F297" s="13" t="s">
        <v>70</v>
      </c>
      <c r="G297" s="14">
        <v>44579</v>
      </c>
      <c r="H297" s="13" t="s">
        <v>9</v>
      </c>
    </row>
    <row r="298" spans="1:8" ht="14.4" x14ac:dyDescent="0.3">
      <c r="A298" s="8">
        <v>79750290</v>
      </c>
      <c r="B298" s="11">
        <v>44575</v>
      </c>
      <c r="C298" s="13" t="s">
        <v>571</v>
      </c>
      <c r="D298" s="13" t="s">
        <v>572</v>
      </c>
      <c r="E298" s="8">
        <v>5600</v>
      </c>
      <c r="F298" s="13" t="s">
        <v>70</v>
      </c>
      <c r="G298" s="14">
        <v>44581</v>
      </c>
      <c r="H298" s="13" t="s">
        <v>9</v>
      </c>
    </row>
    <row r="299" spans="1:8" ht="14.4" x14ac:dyDescent="0.3">
      <c r="A299" s="8">
        <v>79750291</v>
      </c>
      <c r="B299" s="11">
        <v>44575</v>
      </c>
      <c r="C299" s="13" t="s">
        <v>573</v>
      </c>
      <c r="D299" s="13" t="s">
        <v>574</v>
      </c>
      <c r="E299" s="8">
        <v>8000</v>
      </c>
      <c r="F299" s="13" t="s">
        <v>70</v>
      </c>
      <c r="G299" s="14">
        <v>44582</v>
      </c>
      <c r="H299" s="13" t="s">
        <v>9</v>
      </c>
    </row>
    <row r="300" spans="1:8" ht="14.4" x14ac:dyDescent="0.3">
      <c r="A300" s="8">
        <v>79750292</v>
      </c>
      <c r="B300" s="11">
        <v>44575</v>
      </c>
      <c r="C300" s="13" t="s">
        <v>575</v>
      </c>
      <c r="D300" s="13" t="s">
        <v>576</v>
      </c>
      <c r="E300" s="8">
        <v>10000</v>
      </c>
      <c r="F300" s="13" t="s">
        <v>70</v>
      </c>
      <c r="G300" s="14">
        <v>44585</v>
      </c>
      <c r="H300" s="13" t="s">
        <v>9</v>
      </c>
    </row>
    <row r="301" spans="1:8" ht="14.4" x14ac:dyDescent="0.3">
      <c r="A301" s="8">
        <v>79750293</v>
      </c>
      <c r="B301" s="11">
        <v>44575</v>
      </c>
      <c r="C301" s="13" t="s">
        <v>577</v>
      </c>
      <c r="D301" s="13" t="s">
        <v>578</v>
      </c>
      <c r="E301" s="8">
        <v>25000</v>
      </c>
      <c r="F301" s="13" t="s">
        <v>70</v>
      </c>
      <c r="G301" s="14">
        <v>44582</v>
      </c>
      <c r="H301" s="13" t="s">
        <v>9</v>
      </c>
    </row>
    <row r="302" spans="1:8" ht="14.4" x14ac:dyDescent="0.3">
      <c r="A302" s="8">
        <v>79750294</v>
      </c>
      <c r="B302" s="11">
        <v>44575</v>
      </c>
      <c r="C302" s="13" t="s">
        <v>579</v>
      </c>
      <c r="D302" s="13" t="s">
        <v>580</v>
      </c>
      <c r="E302" s="8">
        <v>40000</v>
      </c>
      <c r="F302" s="13" t="s">
        <v>70</v>
      </c>
      <c r="G302" s="14">
        <v>44585</v>
      </c>
      <c r="H302" s="13" t="s">
        <v>9</v>
      </c>
    </row>
    <row r="303" spans="1:8" ht="14.4" x14ac:dyDescent="0.3">
      <c r="A303" s="8">
        <v>79750295</v>
      </c>
      <c r="B303" s="11">
        <v>44575</v>
      </c>
      <c r="C303" s="13" t="s">
        <v>581</v>
      </c>
      <c r="D303" s="13" t="s">
        <v>582</v>
      </c>
      <c r="E303" s="8">
        <v>10000</v>
      </c>
      <c r="F303" s="13" t="s">
        <v>70</v>
      </c>
      <c r="G303" s="14">
        <v>44579</v>
      </c>
      <c r="H303" s="13" t="s">
        <v>9</v>
      </c>
    </row>
    <row r="304" spans="1:8" ht="14.4" x14ac:dyDescent="0.3">
      <c r="A304" s="8">
        <v>79750296</v>
      </c>
      <c r="B304" s="11">
        <v>44575</v>
      </c>
      <c r="C304" s="13" t="s">
        <v>583</v>
      </c>
      <c r="D304" s="13" t="s">
        <v>584</v>
      </c>
      <c r="E304" s="8">
        <v>14000</v>
      </c>
      <c r="F304" s="13" t="s">
        <v>70</v>
      </c>
      <c r="G304" s="14">
        <v>44579</v>
      </c>
      <c r="H304" s="13" t="s">
        <v>9</v>
      </c>
    </row>
    <row r="305" spans="1:8" ht="14.4" x14ac:dyDescent="0.3">
      <c r="A305" s="8">
        <v>79750297</v>
      </c>
      <c r="B305" s="11">
        <v>44575</v>
      </c>
      <c r="C305" s="13" t="s">
        <v>585</v>
      </c>
      <c r="D305" s="13" t="s">
        <v>586</v>
      </c>
      <c r="E305" s="8">
        <v>15000</v>
      </c>
      <c r="F305" s="13" t="s">
        <v>70</v>
      </c>
      <c r="G305" s="14">
        <v>44582</v>
      </c>
      <c r="H305" s="13" t="s">
        <v>9</v>
      </c>
    </row>
    <row r="306" spans="1:8" ht="14.4" x14ac:dyDescent="0.3">
      <c r="A306" s="8">
        <v>79750298</v>
      </c>
      <c r="B306" s="11">
        <v>44575</v>
      </c>
      <c r="C306" s="13" t="s">
        <v>587</v>
      </c>
      <c r="D306" s="13" t="s">
        <v>588</v>
      </c>
      <c r="E306" s="8">
        <v>20000</v>
      </c>
      <c r="F306" s="13" t="s">
        <v>70</v>
      </c>
      <c r="G306" s="14">
        <v>44582</v>
      </c>
      <c r="H306" s="13" t="s">
        <v>9</v>
      </c>
    </row>
    <row r="307" spans="1:8" ht="14.4" x14ac:dyDescent="0.3">
      <c r="A307" s="8">
        <v>79750299</v>
      </c>
      <c r="B307" s="11">
        <v>44575</v>
      </c>
      <c r="C307" s="13" t="s">
        <v>589</v>
      </c>
      <c r="D307" s="13" t="s">
        <v>590</v>
      </c>
      <c r="E307" s="8">
        <v>15000</v>
      </c>
      <c r="F307" s="13" t="s">
        <v>70</v>
      </c>
      <c r="G307" s="14">
        <v>44585</v>
      </c>
      <c r="H307" s="13" t="s">
        <v>9</v>
      </c>
    </row>
    <row r="308" spans="1:8" ht="14.4" x14ac:dyDescent="0.3">
      <c r="A308" s="8">
        <v>79750300</v>
      </c>
      <c r="B308" s="11">
        <v>44575</v>
      </c>
      <c r="C308" s="13" t="s">
        <v>591</v>
      </c>
      <c r="D308" s="13" t="s">
        <v>592</v>
      </c>
      <c r="E308" s="8">
        <v>11000</v>
      </c>
      <c r="F308" s="13" t="s">
        <v>70</v>
      </c>
      <c r="G308" s="14">
        <v>44588</v>
      </c>
      <c r="H308" s="13" t="s">
        <v>9</v>
      </c>
    </row>
    <row r="309" spans="1:8" ht="14.4" x14ac:dyDescent="0.3">
      <c r="A309" s="8">
        <v>79750301</v>
      </c>
      <c r="B309" s="11">
        <v>44575</v>
      </c>
      <c r="C309" s="13" t="s">
        <v>593</v>
      </c>
      <c r="D309" s="13" t="s">
        <v>594</v>
      </c>
      <c r="E309" s="8">
        <v>7254</v>
      </c>
      <c r="F309" s="13" t="s">
        <v>70</v>
      </c>
      <c r="G309" s="14">
        <v>44581</v>
      </c>
      <c r="H309" s="13" t="s">
        <v>9</v>
      </c>
    </row>
    <row r="310" spans="1:8" ht="14.4" x14ac:dyDescent="0.3">
      <c r="A310" s="8">
        <v>79750302</v>
      </c>
      <c r="B310" s="11">
        <v>44575</v>
      </c>
      <c r="C310" s="13" t="s">
        <v>595</v>
      </c>
      <c r="D310" s="13" t="s">
        <v>596</v>
      </c>
      <c r="E310" s="8">
        <v>10300</v>
      </c>
      <c r="F310" s="13" t="s">
        <v>70</v>
      </c>
      <c r="G310" s="14">
        <v>44585</v>
      </c>
      <c r="H310" s="13" t="s">
        <v>9</v>
      </c>
    </row>
    <row r="311" spans="1:8" ht="14.4" x14ac:dyDescent="0.3">
      <c r="A311" s="8">
        <v>79750303</v>
      </c>
      <c r="B311" s="11">
        <v>44575</v>
      </c>
      <c r="C311" s="13" t="s">
        <v>597</v>
      </c>
      <c r="D311" s="13" t="s">
        <v>598</v>
      </c>
      <c r="E311" s="8">
        <v>5900</v>
      </c>
      <c r="F311" s="13" t="s">
        <v>70</v>
      </c>
      <c r="G311" s="14">
        <v>44582</v>
      </c>
      <c r="H311" s="13" t="s">
        <v>9</v>
      </c>
    </row>
    <row r="312" spans="1:8" ht="14.4" x14ac:dyDescent="0.3">
      <c r="A312" s="8">
        <v>79750304</v>
      </c>
      <c r="B312" s="11">
        <v>44575</v>
      </c>
      <c r="C312" s="13" t="s">
        <v>599</v>
      </c>
      <c r="D312" s="13" t="s">
        <v>600</v>
      </c>
      <c r="E312" s="8">
        <v>14000</v>
      </c>
      <c r="F312" s="13" t="s">
        <v>70</v>
      </c>
      <c r="G312" s="14">
        <v>44606</v>
      </c>
      <c r="H312" s="13" t="s">
        <v>9</v>
      </c>
    </row>
    <row r="313" spans="1:8" ht="14.4" x14ac:dyDescent="0.3">
      <c r="A313" s="8">
        <v>79750305</v>
      </c>
      <c r="B313" s="11">
        <v>44575</v>
      </c>
      <c r="C313" s="13" t="s">
        <v>601</v>
      </c>
      <c r="D313" s="13" t="s">
        <v>602</v>
      </c>
      <c r="E313" s="8">
        <v>43125</v>
      </c>
      <c r="F313" s="13" t="s">
        <v>70</v>
      </c>
      <c r="G313" s="14">
        <v>44582</v>
      </c>
      <c r="H313" s="13" t="s">
        <v>9</v>
      </c>
    </row>
    <row r="314" spans="1:8" ht="14.4" x14ac:dyDescent="0.3">
      <c r="A314" s="8">
        <v>79750306</v>
      </c>
      <c r="B314" s="11">
        <v>44575</v>
      </c>
      <c r="C314" s="13" t="s">
        <v>44</v>
      </c>
      <c r="D314" s="13" t="s">
        <v>603</v>
      </c>
      <c r="E314" s="8">
        <v>2544.64</v>
      </c>
      <c r="F314" s="13" t="s">
        <v>70</v>
      </c>
      <c r="G314" s="14">
        <v>44580</v>
      </c>
      <c r="H314" s="13" t="s">
        <v>9</v>
      </c>
    </row>
    <row r="315" spans="1:8" ht="14.4" x14ac:dyDescent="0.3">
      <c r="A315" s="8">
        <v>79750307</v>
      </c>
      <c r="B315" s="11">
        <v>44575</v>
      </c>
      <c r="C315" s="13" t="s">
        <v>604</v>
      </c>
      <c r="D315" s="13" t="s">
        <v>605</v>
      </c>
      <c r="E315" s="8">
        <v>83420</v>
      </c>
      <c r="F315" s="13" t="s">
        <v>70</v>
      </c>
      <c r="G315" s="14">
        <v>44585</v>
      </c>
      <c r="H315" s="13" t="s">
        <v>9</v>
      </c>
    </row>
    <row r="316" spans="1:8" ht="14.4" x14ac:dyDescent="0.3">
      <c r="A316" s="8">
        <v>79750309</v>
      </c>
      <c r="B316" s="11">
        <v>44575</v>
      </c>
      <c r="C316" s="13" t="s">
        <v>606</v>
      </c>
      <c r="D316" s="13" t="s">
        <v>529</v>
      </c>
      <c r="E316" s="8">
        <v>10000</v>
      </c>
      <c r="F316" s="13" t="s">
        <v>70</v>
      </c>
      <c r="G316" s="14">
        <v>44582</v>
      </c>
      <c r="H316" s="13" t="s">
        <v>9</v>
      </c>
    </row>
    <row r="317" spans="1:8" ht="14.4" x14ac:dyDescent="0.3">
      <c r="A317" s="8">
        <v>79750310</v>
      </c>
      <c r="B317" s="11">
        <v>44575</v>
      </c>
      <c r="C317" s="13" t="s">
        <v>607</v>
      </c>
      <c r="D317" s="13" t="s">
        <v>608</v>
      </c>
      <c r="E317" s="8">
        <v>6900</v>
      </c>
      <c r="F317" s="13" t="s">
        <v>70</v>
      </c>
      <c r="G317" s="14">
        <v>44608</v>
      </c>
      <c r="H317" s="13" t="s">
        <v>9</v>
      </c>
    </row>
    <row r="318" spans="1:8" ht="14.4" x14ac:dyDescent="0.3">
      <c r="A318" s="8">
        <v>79750311</v>
      </c>
      <c r="B318" s="11">
        <v>44575</v>
      </c>
      <c r="C318" s="13" t="s">
        <v>609</v>
      </c>
      <c r="D318" s="13" t="s">
        <v>610</v>
      </c>
      <c r="E318" s="8">
        <v>15000</v>
      </c>
      <c r="F318" s="13" t="s">
        <v>70</v>
      </c>
      <c r="G318" s="14">
        <v>44579</v>
      </c>
      <c r="H318" s="13" t="s">
        <v>9</v>
      </c>
    </row>
    <row r="319" spans="1:8" ht="14.4" x14ac:dyDescent="0.3">
      <c r="A319" s="8">
        <v>79750312</v>
      </c>
      <c r="B319" s="11">
        <v>44575</v>
      </c>
      <c r="C319" s="13" t="s">
        <v>611</v>
      </c>
      <c r="D319" s="13" t="s">
        <v>612</v>
      </c>
      <c r="E319" s="8">
        <v>23269.919999999998</v>
      </c>
      <c r="F319" s="13" t="s">
        <v>70</v>
      </c>
      <c r="G319" s="14">
        <v>44589</v>
      </c>
      <c r="H319" s="13" t="s">
        <v>9</v>
      </c>
    </row>
    <row r="320" spans="1:8" ht="14.4" x14ac:dyDescent="0.3">
      <c r="A320" s="8">
        <v>79750313</v>
      </c>
      <c r="B320" s="11">
        <v>44575</v>
      </c>
      <c r="C320" s="13" t="s">
        <v>613</v>
      </c>
      <c r="D320" s="13" t="s">
        <v>614</v>
      </c>
      <c r="E320" s="8">
        <v>40994.5</v>
      </c>
      <c r="F320" s="13" t="s">
        <v>70</v>
      </c>
      <c r="G320" s="14">
        <v>44579</v>
      </c>
      <c r="H320" s="13" t="s">
        <v>9</v>
      </c>
    </row>
    <row r="321" spans="1:8" ht="14.4" x14ac:dyDescent="0.3">
      <c r="A321" s="8">
        <v>79750314</v>
      </c>
      <c r="B321" s="11">
        <v>44575</v>
      </c>
      <c r="C321" s="13" t="s">
        <v>615</v>
      </c>
      <c r="D321" s="13" t="s">
        <v>616</v>
      </c>
      <c r="E321" s="8">
        <v>3763.72</v>
      </c>
      <c r="F321" s="13" t="s">
        <v>70</v>
      </c>
      <c r="G321" s="14">
        <v>44578</v>
      </c>
      <c r="H321" s="13" t="s">
        <v>9</v>
      </c>
    </row>
    <row r="322" spans="1:8" ht="14.4" x14ac:dyDescent="0.3">
      <c r="A322" s="8">
        <v>79750315</v>
      </c>
      <c r="B322" s="11">
        <v>44575</v>
      </c>
      <c r="C322" s="13" t="s">
        <v>617</v>
      </c>
      <c r="D322" s="13" t="s">
        <v>618</v>
      </c>
      <c r="E322" s="8">
        <v>25000</v>
      </c>
      <c r="F322" s="13" t="s">
        <v>70</v>
      </c>
      <c r="G322" s="14">
        <v>44582</v>
      </c>
      <c r="H322" s="13" t="s">
        <v>9</v>
      </c>
    </row>
    <row r="323" spans="1:8" ht="14.4" x14ac:dyDescent="0.3">
      <c r="A323" s="8">
        <v>79750317</v>
      </c>
      <c r="B323" s="11">
        <v>44575</v>
      </c>
      <c r="C323" s="13" t="s">
        <v>619</v>
      </c>
      <c r="D323" s="13" t="s">
        <v>302</v>
      </c>
      <c r="E323" s="8">
        <v>5000</v>
      </c>
      <c r="F323" s="13" t="s">
        <v>70</v>
      </c>
      <c r="G323" s="14">
        <v>44582</v>
      </c>
      <c r="H323" s="13" t="s">
        <v>9</v>
      </c>
    </row>
    <row r="324" spans="1:8" ht="14.4" x14ac:dyDescent="0.3">
      <c r="A324" s="8">
        <v>79750321</v>
      </c>
      <c r="B324" s="11">
        <v>44575</v>
      </c>
      <c r="C324" s="13" t="s">
        <v>617</v>
      </c>
      <c r="D324" s="13" t="s">
        <v>620</v>
      </c>
      <c r="E324" s="8">
        <v>6867</v>
      </c>
      <c r="F324" s="13" t="s">
        <v>70</v>
      </c>
      <c r="G324" s="14">
        <v>44582</v>
      </c>
      <c r="H324" s="13" t="s">
        <v>9</v>
      </c>
    </row>
    <row r="325" spans="1:8" ht="14.4" x14ac:dyDescent="0.3">
      <c r="A325" s="8">
        <v>79750322</v>
      </c>
      <c r="B325" s="11">
        <v>44575</v>
      </c>
      <c r="C325" s="13" t="s">
        <v>621</v>
      </c>
      <c r="D325" s="13" t="s">
        <v>622</v>
      </c>
      <c r="E325" s="8">
        <v>33908</v>
      </c>
      <c r="F325" s="13" t="s">
        <v>70</v>
      </c>
      <c r="G325" s="14">
        <v>44594</v>
      </c>
      <c r="H325" s="13" t="s">
        <v>9</v>
      </c>
    </row>
    <row r="326" spans="1:8" ht="14.4" x14ac:dyDescent="0.3">
      <c r="A326" s="8">
        <v>79750323</v>
      </c>
      <c r="B326" s="11">
        <v>44575</v>
      </c>
      <c r="C326" s="13" t="s">
        <v>623</v>
      </c>
      <c r="D326" s="13" t="s">
        <v>624</v>
      </c>
      <c r="E326" s="8">
        <v>20000</v>
      </c>
      <c r="F326" s="13" t="s">
        <v>70</v>
      </c>
      <c r="G326" s="14">
        <v>44582</v>
      </c>
      <c r="H326" s="13" t="s">
        <v>9</v>
      </c>
    </row>
    <row r="327" spans="1:8" ht="14.4" x14ac:dyDescent="0.3">
      <c r="A327" s="8">
        <v>79750324</v>
      </c>
      <c r="B327" s="11">
        <v>44575</v>
      </c>
      <c r="C327" s="13" t="s">
        <v>625</v>
      </c>
      <c r="D327" s="13" t="s">
        <v>626</v>
      </c>
      <c r="E327" s="8">
        <v>10000</v>
      </c>
      <c r="F327" s="13" t="s">
        <v>70</v>
      </c>
      <c r="G327" s="14">
        <v>44589</v>
      </c>
      <c r="H327" s="13" t="s">
        <v>9</v>
      </c>
    </row>
    <row r="328" spans="1:8" ht="14.4" x14ac:dyDescent="0.3">
      <c r="A328" s="8">
        <v>79750325</v>
      </c>
      <c r="B328" s="11">
        <v>44575</v>
      </c>
      <c r="C328" s="13" t="s">
        <v>627</v>
      </c>
      <c r="D328" s="13" t="s">
        <v>628</v>
      </c>
      <c r="E328" s="8">
        <v>40000</v>
      </c>
      <c r="F328" s="13" t="s">
        <v>70</v>
      </c>
      <c r="G328" s="14">
        <v>44581</v>
      </c>
      <c r="H328" s="13" t="s">
        <v>9</v>
      </c>
    </row>
    <row r="329" spans="1:8" ht="14.4" x14ac:dyDescent="0.3">
      <c r="A329" s="8">
        <v>79750326</v>
      </c>
      <c r="B329" s="11">
        <v>44575</v>
      </c>
      <c r="C329" s="13" t="s">
        <v>629</v>
      </c>
      <c r="D329" s="13" t="s">
        <v>630</v>
      </c>
      <c r="E329" s="8">
        <v>35000</v>
      </c>
      <c r="F329" s="13" t="s">
        <v>70</v>
      </c>
      <c r="G329" s="14">
        <v>44579</v>
      </c>
      <c r="H329" s="13" t="s">
        <v>9</v>
      </c>
    </row>
    <row r="330" spans="1:8" ht="14.4" x14ac:dyDescent="0.3">
      <c r="A330" s="8">
        <v>79750327</v>
      </c>
      <c r="B330" s="11">
        <v>44575</v>
      </c>
      <c r="C330" s="13" t="s">
        <v>631</v>
      </c>
      <c r="D330" s="13" t="s">
        <v>632</v>
      </c>
      <c r="E330" s="8">
        <v>10000</v>
      </c>
      <c r="F330" s="13" t="s">
        <v>70</v>
      </c>
      <c r="G330" s="14">
        <v>44585</v>
      </c>
      <c r="H330" s="13" t="s">
        <v>9</v>
      </c>
    </row>
    <row r="331" spans="1:8" ht="14.4" x14ac:dyDescent="0.3">
      <c r="A331" s="8">
        <v>79750328</v>
      </c>
      <c r="B331" s="11">
        <v>44575</v>
      </c>
      <c r="C331" s="13" t="s">
        <v>633</v>
      </c>
      <c r="D331" s="13" t="s">
        <v>634</v>
      </c>
      <c r="E331" s="8">
        <v>8000</v>
      </c>
      <c r="F331" s="13" t="s">
        <v>70</v>
      </c>
      <c r="G331" s="14">
        <v>44582</v>
      </c>
      <c r="H331" s="13" t="s">
        <v>9</v>
      </c>
    </row>
    <row r="332" spans="1:8" ht="14.4" x14ac:dyDescent="0.3">
      <c r="A332" s="8">
        <v>79750329</v>
      </c>
      <c r="B332" s="11">
        <v>44575</v>
      </c>
      <c r="C332" s="13" t="s">
        <v>635</v>
      </c>
      <c r="D332" s="13" t="s">
        <v>636</v>
      </c>
      <c r="E332" s="8">
        <v>19000</v>
      </c>
      <c r="F332" s="13" t="s">
        <v>70</v>
      </c>
      <c r="G332" s="14">
        <v>44580</v>
      </c>
      <c r="H332" s="13" t="s">
        <v>9</v>
      </c>
    </row>
    <row r="333" spans="1:8" ht="14.4" x14ac:dyDescent="0.3">
      <c r="A333" s="8">
        <v>79750330</v>
      </c>
      <c r="B333" s="11">
        <v>44575</v>
      </c>
      <c r="C333" s="13" t="s">
        <v>637</v>
      </c>
      <c r="D333" s="13" t="s">
        <v>638</v>
      </c>
      <c r="E333" s="8">
        <v>50000</v>
      </c>
      <c r="F333" s="13" t="s">
        <v>70</v>
      </c>
      <c r="G333" s="14">
        <v>44585</v>
      </c>
      <c r="H333" s="13" t="s">
        <v>9</v>
      </c>
    </row>
    <row r="334" spans="1:8" ht="14.4" x14ac:dyDescent="0.3">
      <c r="A334" s="8">
        <v>79750331</v>
      </c>
      <c r="B334" s="11">
        <v>44575</v>
      </c>
      <c r="C334" s="13" t="s">
        <v>639</v>
      </c>
      <c r="D334" s="13" t="s">
        <v>640</v>
      </c>
      <c r="E334" s="8">
        <v>15000</v>
      </c>
      <c r="F334" s="13" t="s">
        <v>70</v>
      </c>
      <c r="G334" s="14">
        <v>44582</v>
      </c>
      <c r="H334" s="13" t="s">
        <v>9</v>
      </c>
    </row>
    <row r="335" spans="1:8" ht="14.4" x14ac:dyDescent="0.3">
      <c r="A335" s="8">
        <v>79750332</v>
      </c>
      <c r="B335" s="11">
        <v>44575</v>
      </c>
      <c r="C335" s="13" t="s">
        <v>641</v>
      </c>
      <c r="D335" s="13" t="s">
        <v>642</v>
      </c>
      <c r="E335" s="8">
        <v>20000</v>
      </c>
      <c r="F335" s="13" t="s">
        <v>70</v>
      </c>
      <c r="G335" s="14">
        <v>44579</v>
      </c>
      <c r="H335" s="13" t="s">
        <v>9</v>
      </c>
    </row>
    <row r="336" spans="1:8" ht="14.4" x14ac:dyDescent="0.3">
      <c r="A336" s="8">
        <v>79750333</v>
      </c>
      <c r="B336" s="11">
        <v>44575</v>
      </c>
      <c r="C336" s="13" t="s">
        <v>643</v>
      </c>
      <c r="D336" s="13" t="s">
        <v>644</v>
      </c>
      <c r="E336" s="8">
        <v>20000</v>
      </c>
      <c r="F336" s="13" t="s">
        <v>70</v>
      </c>
      <c r="G336" s="14">
        <v>44585</v>
      </c>
      <c r="H336" s="13" t="s">
        <v>9</v>
      </c>
    </row>
    <row r="337" spans="1:8" ht="14.4" x14ac:dyDescent="0.3">
      <c r="A337" s="8">
        <v>79750334</v>
      </c>
      <c r="B337" s="11">
        <v>44575</v>
      </c>
      <c r="C337" s="13" t="s">
        <v>645</v>
      </c>
      <c r="D337" s="13" t="s">
        <v>646</v>
      </c>
      <c r="E337" s="8">
        <v>12000</v>
      </c>
      <c r="F337" s="13" t="s">
        <v>70</v>
      </c>
      <c r="G337" s="14">
        <v>44581</v>
      </c>
      <c r="H337" s="13" t="s">
        <v>9</v>
      </c>
    </row>
    <row r="338" spans="1:8" ht="14.4" x14ac:dyDescent="0.3">
      <c r="A338" s="8">
        <v>79750335</v>
      </c>
      <c r="B338" s="11">
        <v>44575</v>
      </c>
      <c r="C338" s="13" t="s">
        <v>647</v>
      </c>
      <c r="D338" s="13" t="s">
        <v>648</v>
      </c>
      <c r="E338" s="8">
        <v>11000</v>
      </c>
      <c r="F338" s="13" t="s">
        <v>70</v>
      </c>
      <c r="G338" s="14">
        <v>44582</v>
      </c>
      <c r="H338" s="13" t="s">
        <v>9</v>
      </c>
    </row>
    <row r="339" spans="1:8" ht="14.4" x14ac:dyDescent="0.3">
      <c r="A339" s="8">
        <v>79750336</v>
      </c>
      <c r="B339" s="11">
        <v>44575</v>
      </c>
      <c r="C339" s="13" t="s">
        <v>649</v>
      </c>
      <c r="D339" s="13" t="s">
        <v>650</v>
      </c>
      <c r="E339" s="8">
        <v>8000</v>
      </c>
      <c r="F339" s="13" t="s">
        <v>70</v>
      </c>
      <c r="G339" s="14">
        <v>44581</v>
      </c>
      <c r="H339" s="13" t="s">
        <v>9</v>
      </c>
    </row>
    <row r="340" spans="1:8" ht="14.4" x14ac:dyDescent="0.3">
      <c r="A340" s="8">
        <v>79750337</v>
      </c>
      <c r="B340" s="11">
        <v>44575</v>
      </c>
      <c r="C340" s="13" t="s">
        <v>651</v>
      </c>
      <c r="D340" s="13" t="s">
        <v>652</v>
      </c>
      <c r="E340" s="8">
        <v>50000</v>
      </c>
      <c r="F340" s="13" t="s">
        <v>70</v>
      </c>
      <c r="G340" s="14">
        <v>44581</v>
      </c>
      <c r="H340" s="13" t="s">
        <v>9</v>
      </c>
    </row>
    <row r="341" spans="1:8" ht="14.4" x14ac:dyDescent="0.3">
      <c r="A341" s="8">
        <v>79750338</v>
      </c>
      <c r="B341" s="11">
        <v>44575</v>
      </c>
      <c r="C341" s="13" t="s">
        <v>653</v>
      </c>
      <c r="D341" s="13" t="s">
        <v>654</v>
      </c>
      <c r="E341" s="8">
        <v>9000</v>
      </c>
      <c r="F341" s="13" t="s">
        <v>70</v>
      </c>
      <c r="G341" s="14">
        <v>44582</v>
      </c>
      <c r="H341" s="13" t="s">
        <v>9</v>
      </c>
    </row>
    <row r="342" spans="1:8" ht="14.4" x14ac:dyDescent="0.3">
      <c r="A342" s="8">
        <v>79750339</v>
      </c>
      <c r="B342" s="11">
        <v>44575</v>
      </c>
      <c r="C342" s="13" t="s">
        <v>655</v>
      </c>
      <c r="D342" s="13" t="s">
        <v>656</v>
      </c>
      <c r="E342" s="8">
        <v>9000</v>
      </c>
      <c r="F342" s="13" t="s">
        <v>70</v>
      </c>
      <c r="G342" s="14">
        <v>44581</v>
      </c>
      <c r="H342" s="13" t="s">
        <v>9</v>
      </c>
    </row>
    <row r="343" spans="1:8" ht="14.4" x14ac:dyDescent="0.3">
      <c r="A343" s="8">
        <v>79750340</v>
      </c>
      <c r="B343" s="11">
        <v>44575</v>
      </c>
      <c r="C343" s="13" t="s">
        <v>657</v>
      </c>
      <c r="D343" s="13" t="s">
        <v>658</v>
      </c>
      <c r="E343" s="8">
        <v>10000</v>
      </c>
      <c r="F343" s="13" t="s">
        <v>70</v>
      </c>
      <c r="G343" s="14">
        <v>44581</v>
      </c>
      <c r="H343" s="13" t="s">
        <v>9</v>
      </c>
    </row>
    <row r="344" spans="1:8" ht="14.4" x14ac:dyDescent="0.3">
      <c r="A344" s="8">
        <v>79750341</v>
      </c>
      <c r="B344" s="11">
        <v>44575</v>
      </c>
      <c r="C344" s="13" t="s">
        <v>659</v>
      </c>
      <c r="D344" s="13" t="s">
        <v>660</v>
      </c>
      <c r="E344" s="8">
        <v>10000</v>
      </c>
      <c r="F344" s="13" t="s">
        <v>70</v>
      </c>
      <c r="G344" s="14">
        <v>44582</v>
      </c>
      <c r="H344" s="13" t="s">
        <v>9</v>
      </c>
    </row>
    <row r="345" spans="1:8" ht="14.4" x14ac:dyDescent="0.3">
      <c r="A345" s="8">
        <v>79750342</v>
      </c>
      <c r="B345" s="11">
        <v>44575</v>
      </c>
      <c r="C345" s="13" t="s">
        <v>661</v>
      </c>
      <c r="D345" s="13" t="s">
        <v>662</v>
      </c>
      <c r="E345" s="8">
        <v>12000</v>
      </c>
      <c r="F345" s="13" t="s">
        <v>70</v>
      </c>
      <c r="G345" s="14">
        <v>44582</v>
      </c>
      <c r="H345" s="13" t="s">
        <v>9</v>
      </c>
    </row>
    <row r="346" spans="1:8" ht="14.4" x14ac:dyDescent="0.3">
      <c r="A346" s="8">
        <v>79750343</v>
      </c>
      <c r="B346" s="11">
        <v>44575</v>
      </c>
      <c r="C346" s="13" t="s">
        <v>663</v>
      </c>
      <c r="D346" s="13" t="s">
        <v>664</v>
      </c>
      <c r="E346" s="8">
        <v>8000</v>
      </c>
      <c r="F346" s="13" t="s">
        <v>70</v>
      </c>
      <c r="G346" s="14">
        <v>44585</v>
      </c>
      <c r="H346" s="13" t="s">
        <v>9</v>
      </c>
    </row>
    <row r="347" spans="1:8" ht="14.4" x14ac:dyDescent="0.3">
      <c r="A347" s="8">
        <v>79750344</v>
      </c>
      <c r="B347" s="11">
        <v>44575</v>
      </c>
      <c r="C347" s="13" t="s">
        <v>665</v>
      </c>
      <c r="D347" s="13" t="s">
        <v>666</v>
      </c>
      <c r="E347" s="8">
        <v>10000</v>
      </c>
      <c r="F347" s="13" t="s">
        <v>70</v>
      </c>
      <c r="G347" s="14">
        <v>44582</v>
      </c>
      <c r="H347" s="13" t="s">
        <v>9</v>
      </c>
    </row>
    <row r="348" spans="1:8" ht="14.4" x14ac:dyDescent="0.3">
      <c r="A348" s="8">
        <v>79750345</v>
      </c>
      <c r="B348" s="11">
        <v>44575</v>
      </c>
      <c r="C348" s="13" t="s">
        <v>667</v>
      </c>
      <c r="D348" s="13" t="s">
        <v>668</v>
      </c>
      <c r="E348" s="8">
        <v>28000</v>
      </c>
      <c r="F348" s="13" t="s">
        <v>70</v>
      </c>
      <c r="G348" s="14">
        <v>44581</v>
      </c>
      <c r="H348" s="13" t="s">
        <v>9</v>
      </c>
    </row>
    <row r="349" spans="1:8" ht="14.4" x14ac:dyDescent="0.3">
      <c r="A349" s="8">
        <v>79750346</v>
      </c>
      <c r="B349" s="11">
        <v>44575</v>
      </c>
      <c r="C349" s="13" t="s">
        <v>669</v>
      </c>
      <c r="D349" s="13" t="s">
        <v>670</v>
      </c>
      <c r="E349" s="8">
        <v>63200</v>
      </c>
      <c r="F349" s="13" t="s">
        <v>70</v>
      </c>
      <c r="G349" s="14">
        <v>44579</v>
      </c>
      <c r="H349" s="13" t="s">
        <v>9</v>
      </c>
    </row>
    <row r="350" spans="1:8" ht="14.4" x14ac:dyDescent="0.3">
      <c r="A350" s="8">
        <v>79750348</v>
      </c>
      <c r="B350" s="11">
        <v>44575</v>
      </c>
      <c r="C350" s="13" t="s">
        <v>671</v>
      </c>
      <c r="D350" s="13" t="s">
        <v>529</v>
      </c>
      <c r="E350" s="8">
        <v>20000</v>
      </c>
      <c r="F350" s="13" t="s">
        <v>70</v>
      </c>
      <c r="G350" s="14">
        <v>44582</v>
      </c>
      <c r="H350" s="13" t="s">
        <v>9</v>
      </c>
    </row>
    <row r="351" spans="1:8" ht="14.4" x14ac:dyDescent="0.3">
      <c r="A351" s="8">
        <v>79750349</v>
      </c>
      <c r="B351" s="11">
        <v>44578</v>
      </c>
      <c r="C351" s="13" t="s">
        <v>421</v>
      </c>
      <c r="D351" s="13" t="s">
        <v>672</v>
      </c>
      <c r="E351" s="8">
        <v>5000</v>
      </c>
      <c r="F351" s="13" t="s">
        <v>70</v>
      </c>
      <c r="G351" s="14">
        <v>44585</v>
      </c>
      <c r="H351" s="13" t="s">
        <v>9</v>
      </c>
    </row>
    <row r="352" spans="1:8" ht="14.4" x14ac:dyDescent="0.3">
      <c r="A352" s="8">
        <v>79750350</v>
      </c>
      <c r="B352" s="11">
        <v>44578</v>
      </c>
      <c r="C352" s="13" t="s">
        <v>673</v>
      </c>
      <c r="D352" s="13" t="s">
        <v>674</v>
      </c>
      <c r="E352" s="8">
        <v>44055</v>
      </c>
      <c r="F352" s="13" t="s">
        <v>70</v>
      </c>
      <c r="G352" s="14">
        <v>44581</v>
      </c>
      <c r="H352" s="13" t="s">
        <v>9</v>
      </c>
    </row>
    <row r="353" spans="1:8" ht="14.4" x14ac:dyDescent="0.3">
      <c r="A353" s="8">
        <v>79750351</v>
      </c>
      <c r="B353" s="11">
        <v>44578</v>
      </c>
      <c r="C353" s="13" t="s">
        <v>675</v>
      </c>
      <c r="D353" s="13" t="s">
        <v>676</v>
      </c>
      <c r="E353" s="8">
        <v>6852</v>
      </c>
      <c r="F353" s="13" t="s">
        <v>70</v>
      </c>
      <c r="G353" s="14">
        <v>44580</v>
      </c>
      <c r="H353" s="13" t="s">
        <v>9</v>
      </c>
    </row>
    <row r="354" spans="1:8" ht="14.4" x14ac:dyDescent="0.3">
      <c r="A354" s="8">
        <v>79750352</v>
      </c>
      <c r="B354" s="11">
        <v>44578</v>
      </c>
      <c r="C354" s="13" t="s">
        <v>677</v>
      </c>
      <c r="D354" s="13" t="s">
        <v>678</v>
      </c>
      <c r="E354" s="8">
        <v>23660.720000000001</v>
      </c>
      <c r="F354" s="13" t="s">
        <v>70</v>
      </c>
      <c r="G354" s="14">
        <v>44582</v>
      </c>
      <c r="H354" s="13" t="s">
        <v>9</v>
      </c>
    </row>
    <row r="355" spans="1:8" ht="14.4" x14ac:dyDescent="0.3">
      <c r="A355" s="8">
        <v>79750353</v>
      </c>
      <c r="B355" s="11">
        <v>44578</v>
      </c>
      <c r="C355" s="13" t="s">
        <v>125</v>
      </c>
      <c r="D355" s="13" t="s">
        <v>679</v>
      </c>
      <c r="E355" s="8">
        <v>135397.5</v>
      </c>
      <c r="F355" s="13" t="s">
        <v>70</v>
      </c>
      <c r="G355" s="14">
        <v>44599</v>
      </c>
      <c r="H355" s="13" t="s">
        <v>9</v>
      </c>
    </row>
    <row r="356" spans="1:8" ht="14.4" x14ac:dyDescent="0.3">
      <c r="A356" s="8">
        <v>79750354</v>
      </c>
      <c r="B356" s="11">
        <v>44578</v>
      </c>
      <c r="C356" s="13" t="s">
        <v>44</v>
      </c>
      <c r="D356" s="13" t="s">
        <v>680</v>
      </c>
      <c r="E356" s="8">
        <v>11302.52</v>
      </c>
      <c r="F356" s="13" t="s">
        <v>70</v>
      </c>
      <c r="G356" s="14">
        <v>44580</v>
      </c>
      <c r="H356" s="13" t="s">
        <v>9</v>
      </c>
    </row>
    <row r="357" spans="1:8" ht="14.4" x14ac:dyDescent="0.3">
      <c r="A357" s="8">
        <v>79750355</v>
      </c>
      <c r="B357" s="11">
        <v>44578</v>
      </c>
      <c r="C357" s="13" t="s">
        <v>85</v>
      </c>
      <c r="D357" s="13" t="s">
        <v>681</v>
      </c>
      <c r="E357" s="8">
        <v>1996787.3</v>
      </c>
      <c r="F357" s="13" t="s">
        <v>70</v>
      </c>
      <c r="G357" s="14">
        <v>44599</v>
      </c>
      <c r="H357" s="13" t="s">
        <v>9</v>
      </c>
    </row>
    <row r="358" spans="1:8" ht="14.4" x14ac:dyDescent="0.3">
      <c r="A358" s="8">
        <v>79750356</v>
      </c>
      <c r="B358" s="11">
        <v>44578</v>
      </c>
      <c r="C358" s="13" t="s">
        <v>682</v>
      </c>
      <c r="D358" s="13" t="s">
        <v>683</v>
      </c>
      <c r="E358" s="8">
        <v>17000</v>
      </c>
      <c r="F358" s="13" t="s">
        <v>70</v>
      </c>
      <c r="G358" s="14">
        <v>44585</v>
      </c>
      <c r="H358" s="13" t="s">
        <v>9</v>
      </c>
    </row>
    <row r="359" spans="1:8" ht="14.4" x14ac:dyDescent="0.3">
      <c r="A359" s="8">
        <v>79750357</v>
      </c>
      <c r="B359" s="11">
        <v>44578</v>
      </c>
      <c r="C359" s="13" t="s">
        <v>162</v>
      </c>
      <c r="D359" s="13" t="s">
        <v>684</v>
      </c>
      <c r="E359" s="8">
        <v>4657.6899999999996</v>
      </c>
      <c r="F359" s="13" t="s">
        <v>70</v>
      </c>
      <c r="G359" s="14">
        <v>44586</v>
      </c>
      <c r="H359" s="13" t="s">
        <v>9</v>
      </c>
    </row>
    <row r="360" spans="1:8" ht="14.4" x14ac:dyDescent="0.3">
      <c r="A360" s="8">
        <v>79750358</v>
      </c>
      <c r="B360" s="11">
        <v>44578</v>
      </c>
      <c r="C360" s="13" t="s">
        <v>162</v>
      </c>
      <c r="D360" s="13" t="s">
        <v>685</v>
      </c>
      <c r="E360" s="8">
        <v>4325.55</v>
      </c>
      <c r="F360" s="13" t="s">
        <v>70</v>
      </c>
      <c r="G360" s="14">
        <v>44582</v>
      </c>
      <c r="H360" s="13" t="s">
        <v>9</v>
      </c>
    </row>
    <row r="361" spans="1:8" ht="14.4" x14ac:dyDescent="0.3">
      <c r="A361" s="8">
        <v>79750359</v>
      </c>
      <c r="B361" s="11">
        <v>44578</v>
      </c>
      <c r="C361" s="13" t="s">
        <v>162</v>
      </c>
      <c r="D361" s="13" t="s">
        <v>686</v>
      </c>
      <c r="E361" s="8">
        <v>2462</v>
      </c>
      <c r="F361" s="13" t="s">
        <v>70</v>
      </c>
      <c r="G361" s="14">
        <v>44582</v>
      </c>
      <c r="H361" s="13" t="s">
        <v>9</v>
      </c>
    </row>
    <row r="362" spans="1:8" ht="14.4" x14ac:dyDescent="0.3">
      <c r="A362" s="8">
        <v>79750360</v>
      </c>
      <c r="B362" s="11">
        <v>44578</v>
      </c>
      <c r="C362" s="13" t="s">
        <v>162</v>
      </c>
      <c r="D362" s="13" t="s">
        <v>687</v>
      </c>
      <c r="E362" s="8">
        <v>4442.0600000000004</v>
      </c>
      <c r="F362" s="13" t="s">
        <v>70</v>
      </c>
      <c r="G362" s="14">
        <v>44586</v>
      </c>
      <c r="H362" s="13" t="s">
        <v>9</v>
      </c>
    </row>
    <row r="363" spans="1:8" ht="14.4" x14ac:dyDescent="0.3">
      <c r="A363" s="8">
        <v>79750361</v>
      </c>
      <c r="B363" s="11">
        <v>44578</v>
      </c>
      <c r="C363" s="13" t="s">
        <v>48</v>
      </c>
      <c r="D363" s="13" t="s">
        <v>688</v>
      </c>
      <c r="E363" s="8">
        <v>56260</v>
      </c>
      <c r="F363" s="13" t="s">
        <v>70</v>
      </c>
      <c r="G363" s="14">
        <v>44581</v>
      </c>
      <c r="H363" s="13" t="s">
        <v>9</v>
      </c>
    </row>
    <row r="364" spans="1:8" ht="14.4" x14ac:dyDescent="0.3">
      <c r="A364" s="8">
        <v>79750362</v>
      </c>
      <c r="B364" s="11">
        <v>44578</v>
      </c>
      <c r="C364" s="13" t="s">
        <v>162</v>
      </c>
      <c r="D364" s="13" t="s">
        <v>689</v>
      </c>
      <c r="E364" s="8">
        <v>84.94</v>
      </c>
      <c r="F364" s="13" t="s">
        <v>70</v>
      </c>
      <c r="G364" s="14">
        <v>44586</v>
      </c>
      <c r="H364" s="13" t="s">
        <v>9</v>
      </c>
    </row>
    <row r="365" spans="1:8" ht="14.4" x14ac:dyDescent="0.3">
      <c r="A365" s="8">
        <v>79750363</v>
      </c>
      <c r="B365" s="11">
        <v>44578</v>
      </c>
      <c r="C365" s="13" t="s">
        <v>186</v>
      </c>
      <c r="D365" s="13" t="s">
        <v>690</v>
      </c>
      <c r="E365" s="8">
        <v>480</v>
      </c>
      <c r="F365" s="13" t="s">
        <v>70</v>
      </c>
      <c r="G365" s="14">
        <v>44580</v>
      </c>
      <c r="H365" s="13" t="s">
        <v>9</v>
      </c>
    </row>
    <row r="366" spans="1:8" ht="14.4" x14ac:dyDescent="0.3">
      <c r="A366" s="8">
        <v>79750364</v>
      </c>
      <c r="B366" s="11">
        <v>44578</v>
      </c>
      <c r="C366" s="13" t="s">
        <v>186</v>
      </c>
      <c r="D366" s="13" t="s">
        <v>690</v>
      </c>
      <c r="E366" s="8">
        <v>480</v>
      </c>
      <c r="F366" s="13" t="s">
        <v>70</v>
      </c>
      <c r="G366" s="14">
        <v>44580</v>
      </c>
      <c r="H366" s="13" t="s">
        <v>9</v>
      </c>
    </row>
    <row r="367" spans="1:8" ht="14.4" x14ac:dyDescent="0.3">
      <c r="A367" s="8">
        <v>79750365</v>
      </c>
      <c r="B367" s="11">
        <v>44578</v>
      </c>
      <c r="C367" s="13" t="s">
        <v>162</v>
      </c>
      <c r="D367" s="13" t="s">
        <v>691</v>
      </c>
      <c r="E367" s="8">
        <v>36146.629999999997</v>
      </c>
      <c r="F367" s="13" t="s">
        <v>70</v>
      </c>
      <c r="G367" s="14">
        <v>44586</v>
      </c>
      <c r="H367" s="13" t="s">
        <v>9</v>
      </c>
    </row>
    <row r="368" spans="1:8" ht="14.4" x14ac:dyDescent="0.3">
      <c r="A368" s="8">
        <v>79750366</v>
      </c>
      <c r="B368" s="11">
        <v>44578</v>
      </c>
      <c r="C368" s="13" t="s">
        <v>162</v>
      </c>
      <c r="D368" s="13" t="s">
        <v>692</v>
      </c>
      <c r="E368" s="8">
        <v>30292.18</v>
      </c>
      <c r="F368" s="13" t="s">
        <v>70</v>
      </c>
      <c r="G368" s="14">
        <v>44586</v>
      </c>
      <c r="H368" s="13" t="s">
        <v>9</v>
      </c>
    </row>
    <row r="369" spans="1:8" ht="14.4" x14ac:dyDescent="0.3">
      <c r="A369" s="8">
        <v>79750368</v>
      </c>
      <c r="B369" s="11">
        <v>44578</v>
      </c>
      <c r="C369" s="13" t="s">
        <v>162</v>
      </c>
      <c r="D369" s="13" t="s">
        <v>693</v>
      </c>
      <c r="E369" s="8">
        <v>881211.26</v>
      </c>
      <c r="F369" s="13" t="s">
        <v>70</v>
      </c>
      <c r="G369" s="14">
        <v>44594</v>
      </c>
      <c r="H369" s="13" t="s">
        <v>9</v>
      </c>
    </row>
    <row r="370" spans="1:8" ht="14.4" x14ac:dyDescent="0.3">
      <c r="A370" s="8">
        <v>79750369</v>
      </c>
      <c r="B370" s="11">
        <v>44578</v>
      </c>
      <c r="C370" s="13" t="s">
        <v>44</v>
      </c>
      <c r="D370" s="13" t="s">
        <v>694</v>
      </c>
      <c r="E370" s="8">
        <v>585.27</v>
      </c>
      <c r="F370" s="13" t="s">
        <v>70</v>
      </c>
      <c r="G370" s="14">
        <v>44580</v>
      </c>
      <c r="H370" s="13" t="s">
        <v>9</v>
      </c>
    </row>
    <row r="371" spans="1:8" ht="14.4" x14ac:dyDescent="0.3">
      <c r="A371" s="8">
        <v>79750370</v>
      </c>
      <c r="B371" s="11">
        <v>44578</v>
      </c>
      <c r="C371" s="13" t="s">
        <v>695</v>
      </c>
      <c r="D371" s="13" t="s">
        <v>696</v>
      </c>
      <c r="E371" s="8">
        <v>329.25</v>
      </c>
      <c r="F371" s="13" t="s">
        <v>70</v>
      </c>
      <c r="G371" s="14">
        <v>44588</v>
      </c>
      <c r="H371" s="13" t="s">
        <v>9</v>
      </c>
    </row>
    <row r="372" spans="1:8" ht="14.4" x14ac:dyDescent="0.3">
      <c r="A372" s="8">
        <v>79750371</v>
      </c>
      <c r="B372" s="11">
        <v>44578</v>
      </c>
      <c r="C372" s="13" t="s">
        <v>697</v>
      </c>
      <c r="D372" s="13" t="s">
        <v>698</v>
      </c>
      <c r="E372" s="8">
        <v>1944.85</v>
      </c>
      <c r="F372" s="13" t="s">
        <v>70</v>
      </c>
      <c r="G372" s="14">
        <v>44586</v>
      </c>
      <c r="H372" s="13" t="s">
        <v>9</v>
      </c>
    </row>
    <row r="373" spans="1:8" ht="14.4" x14ac:dyDescent="0.3">
      <c r="A373" s="8">
        <v>79750372</v>
      </c>
      <c r="B373" s="11">
        <v>44578</v>
      </c>
      <c r="C373" s="13" t="s">
        <v>43</v>
      </c>
      <c r="D373" s="13" t="s">
        <v>699</v>
      </c>
      <c r="E373" s="8">
        <v>279351.65000000002</v>
      </c>
      <c r="F373" s="13" t="s">
        <v>70</v>
      </c>
      <c r="G373" s="14">
        <v>44582</v>
      </c>
      <c r="H373" s="13" t="s">
        <v>9</v>
      </c>
    </row>
    <row r="374" spans="1:8" ht="14.4" x14ac:dyDescent="0.3">
      <c r="A374" s="8">
        <v>79750373</v>
      </c>
      <c r="B374" s="11">
        <v>44578</v>
      </c>
      <c r="C374" s="13" t="s">
        <v>44</v>
      </c>
      <c r="D374" s="13" t="s">
        <v>700</v>
      </c>
      <c r="E374" s="8">
        <v>12075</v>
      </c>
      <c r="F374" s="13" t="s">
        <v>70</v>
      </c>
      <c r="G374" s="14">
        <v>44580</v>
      </c>
      <c r="H374" s="13" t="s">
        <v>9</v>
      </c>
    </row>
    <row r="375" spans="1:8" ht="14.4" x14ac:dyDescent="0.3">
      <c r="A375" s="8">
        <v>79750374</v>
      </c>
      <c r="B375" s="11">
        <v>44578</v>
      </c>
      <c r="C375" s="13" t="s">
        <v>701</v>
      </c>
      <c r="D375" s="13" t="s">
        <v>702</v>
      </c>
      <c r="E375" s="8">
        <v>3000</v>
      </c>
      <c r="F375" s="13" t="s">
        <v>70</v>
      </c>
      <c r="G375" s="14">
        <v>44580</v>
      </c>
      <c r="H375" s="13" t="s">
        <v>9</v>
      </c>
    </row>
    <row r="376" spans="1:8" ht="14.4" x14ac:dyDescent="0.3">
      <c r="A376" s="8">
        <v>79750375</v>
      </c>
      <c r="B376" s="11">
        <v>44578</v>
      </c>
      <c r="C376" s="13" t="s">
        <v>703</v>
      </c>
      <c r="D376" s="13" t="s">
        <v>704</v>
      </c>
      <c r="E376" s="8">
        <v>21000</v>
      </c>
      <c r="F376" s="13" t="s">
        <v>70</v>
      </c>
      <c r="G376" s="14">
        <v>44582</v>
      </c>
      <c r="H376" s="13" t="s">
        <v>9</v>
      </c>
    </row>
    <row r="377" spans="1:8" ht="14.4" x14ac:dyDescent="0.3">
      <c r="A377" s="8">
        <v>79750376</v>
      </c>
      <c r="B377" s="11">
        <v>44578</v>
      </c>
      <c r="C377" s="13" t="s">
        <v>705</v>
      </c>
      <c r="D377" s="13" t="s">
        <v>706</v>
      </c>
      <c r="E377" s="8">
        <v>8000</v>
      </c>
      <c r="F377" s="13" t="s">
        <v>70</v>
      </c>
      <c r="G377" s="14">
        <v>44582</v>
      </c>
      <c r="H377" s="13" t="s">
        <v>9</v>
      </c>
    </row>
    <row r="378" spans="1:8" ht="14.4" x14ac:dyDescent="0.3">
      <c r="A378" s="8">
        <v>79750377</v>
      </c>
      <c r="B378" s="11">
        <v>44578</v>
      </c>
      <c r="C378" s="13" t="s">
        <v>707</v>
      </c>
      <c r="D378" s="13" t="s">
        <v>708</v>
      </c>
      <c r="E378" s="8">
        <v>18000</v>
      </c>
      <c r="F378" s="13" t="s">
        <v>70</v>
      </c>
      <c r="G378" s="14">
        <v>44581</v>
      </c>
      <c r="H378" s="13" t="s">
        <v>9</v>
      </c>
    </row>
    <row r="379" spans="1:8" ht="14.4" x14ac:dyDescent="0.3">
      <c r="A379" s="8">
        <v>79750379</v>
      </c>
      <c r="B379" s="11">
        <v>44578</v>
      </c>
      <c r="C379" s="13" t="s">
        <v>506</v>
      </c>
      <c r="D379" s="13" t="s">
        <v>568</v>
      </c>
      <c r="E379" s="8">
        <v>23000</v>
      </c>
      <c r="F379" s="13" t="s">
        <v>70</v>
      </c>
      <c r="G379" s="14">
        <v>44579</v>
      </c>
      <c r="H379" s="13" t="s">
        <v>9</v>
      </c>
    </row>
    <row r="380" spans="1:8" ht="14.4" x14ac:dyDescent="0.3">
      <c r="A380" s="8">
        <v>79750380</v>
      </c>
      <c r="B380" s="11">
        <v>44578</v>
      </c>
      <c r="C380" s="13" t="s">
        <v>74</v>
      </c>
      <c r="D380" s="13" t="s">
        <v>709</v>
      </c>
      <c r="E380" s="8">
        <v>10000</v>
      </c>
      <c r="F380" s="13" t="s">
        <v>70</v>
      </c>
      <c r="G380" s="14">
        <v>44579</v>
      </c>
      <c r="H380" s="13" t="s">
        <v>9</v>
      </c>
    </row>
    <row r="381" spans="1:8" ht="14.4" x14ac:dyDescent="0.3">
      <c r="A381" s="8">
        <v>79750381</v>
      </c>
      <c r="B381" s="11">
        <v>44578</v>
      </c>
      <c r="C381" s="13" t="s">
        <v>710</v>
      </c>
      <c r="D381" s="13" t="s">
        <v>711</v>
      </c>
      <c r="E381" s="8">
        <v>20000</v>
      </c>
      <c r="F381" s="13" t="s">
        <v>70</v>
      </c>
      <c r="G381" s="14">
        <v>44582</v>
      </c>
      <c r="H381" s="13" t="s">
        <v>9</v>
      </c>
    </row>
    <row r="382" spans="1:8" ht="14.4" x14ac:dyDescent="0.3">
      <c r="A382" s="8">
        <v>79750383</v>
      </c>
      <c r="B382" s="11">
        <v>44578</v>
      </c>
      <c r="C382" s="13" t="s">
        <v>712</v>
      </c>
      <c r="D382" s="13" t="s">
        <v>713</v>
      </c>
      <c r="E382" s="8">
        <v>15000</v>
      </c>
      <c r="F382" s="13" t="s">
        <v>70</v>
      </c>
      <c r="G382" s="14">
        <v>44581</v>
      </c>
      <c r="H382" s="13" t="s">
        <v>9</v>
      </c>
    </row>
    <row r="383" spans="1:8" ht="14.4" x14ac:dyDescent="0.3">
      <c r="A383" s="8">
        <v>79750384</v>
      </c>
      <c r="B383" s="11">
        <v>44578</v>
      </c>
      <c r="C383" s="13" t="s">
        <v>714</v>
      </c>
      <c r="D383" s="13" t="s">
        <v>715</v>
      </c>
      <c r="E383" s="8">
        <v>7200</v>
      </c>
      <c r="F383" s="13" t="s">
        <v>70</v>
      </c>
      <c r="G383" s="14">
        <v>44581</v>
      </c>
      <c r="H383" s="13" t="s">
        <v>9</v>
      </c>
    </row>
    <row r="384" spans="1:8" ht="14.4" x14ac:dyDescent="0.3">
      <c r="A384" s="8">
        <v>79750385</v>
      </c>
      <c r="B384" s="11">
        <v>44578</v>
      </c>
      <c r="C384" s="13" t="s">
        <v>716</v>
      </c>
      <c r="D384" s="13" t="s">
        <v>717</v>
      </c>
      <c r="E384" s="8">
        <v>6500</v>
      </c>
      <c r="F384" s="13" t="s">
        <v>70</v>
      </c>
      <c r="G384" s="14">
        <v>44582</v>
      </c>
      <c r="H384" s="13" t="s">
        <v>9</v>
      </c>
    </row>
    <row r="385" spans="1:8" ht="14.4" x14ac:dyDescent="0.3">
      <c r="A385" s="8">
        <v>79750386</v>
      </c>
      <c r="B385" s="11">
        <v>44578</v>
      </c>
      <c r="C385" s="13" t="s">
        <v>718</v>
      </c>
      <c r="D385" s="13" t="s">
        <v>719</v>
      </c>
      <c r="E385" s="8">
        <v>10000</v>
      </c>
      <c r="F385" s="13" t="s">
        <v>70</v>
      </c>
      <c r="G385" s="14">
        <v>44581</v>
      </c>
      <c r="H385" s="13" t="s">
        <v>9</v>
      </c>
    </row>
    <row r="386" spans="1:8" ht="14.4" x14ac:dyDescent="0.3">
      <c r="A386" s="8">
        <v>79750387</v>
      </c>
      <c r="B386" s="11">
        <v>44578</v>
      </c>
      <c r="C386" s="13" t="s">
        <v>720</v>
      </c>
      <c r="D386" s="13" t="s">
        <v>721</v>
      </c>
      <c r="E386" s="8">
        <v>50000</v>
      </c>
      <c r="F386" s="13" t="s">
        <v>70</v>
      </c>
      <c r="G386" s="14">
        <v>44581</v>
      </c>
      <c r="H386" s="13" t="s">
        <v>9</v>
      </c>
    </row>
    <row r="387" spans="1:8" ht="14.4" x14ac:dyDescent="0.3">
      <c r="A387" s="8">
        <v>79750388</v>
      </c>
      <c r="B387" s="11">
        <v>44578</v>
      </c>
      <c r="C387" s="13" t="s">
        <v>722</v>
      </c>
      <c r="D387" s="13" t="s">
        <v>723</v>
      </c>
      <c r="E387" s="8">
        <v>20000</v>
      </c>
      <c r="F387" s="13" t="s">
        <v>70</v>
      </c>
      <c r="G387" s="14">
        <v>44581</v>
      </c>
      <c r="H387" s="13" t="s">
        <v>9</v>
      </c>
    </row>
    <row r="388" spans="1:8" ht="14.4" x14ac:dyDescent="0.3">
      <c r="A388" s="8">
        <v>79750389</v>
      </c>
      <c r="B388" s="11">
        <v>44578</v>
      </c>
      <c r="C388" s="13" t="s">
        <v>724</v>
      </c>
      <c r="D388" s="13" t="s">
        <v>725</v>
      </c>
      <c r="E388" s="8">
        <v>15000</v>
      </c>
      <c r="F388" s="13" t="s">
        <v>70</v>
      </c>
      <c r="G388" s="14">
        <v>44582</v>
      </c>
      <c r="H388" s="13" t="s">
        <v>9</v>
      </c>
    </row>
    <row r="389" spans="1:8" ht="14.4" x14ac:dyDescent="0.3">
      <c r="A389" s="8">
        <v>79750390</v>
      </c>
      <c r="B389" s="11">
        <v>44578</v>
      </c>
      <c r="C389" s="13" t="s">
        <v>726</v>
      </c>
      <c r="D389" s="13" t="s">
        <v>727</v>
      </c>
      <c r="E389" s="8">
        <v>50000</v>
      </c>
      <c r="F389" s="13" t="s">
        <v>70</v>
      </c>
      <c r="G389" s="14">
        <v>44582</v>
      </c>
      <c r="H389" s="13" t="s">
        <v>9</v>
      </c>
    </row>
    <row r="390" spans="1:8" ht="14.4" x14ac:dyDescent="0.3">
      <c r="A390" s="8">
        <v>79750391</v>
      </c>
      <c r="B390" s="11">
        <v>44578</v>
      </c>
      <c r="C390" s="13" t="s">
        <v>728</v>
      </c>
      <c r="D390" s="13" t="s">
        <v>729</v>
      </c>
      <c r="E390" s="8">
        <v>10000</v>
      </c>
      <c r="F390" s="13" t="s">
        <v>70</v>
      </c>
      <c r="G390" s="14">
        <v>44581</v>
      </c>
      <c r="H390" s="13" t="s">
        <v>9</v>
      </c>
    </row>
    <row r="391" spans="1:8" ht="14.4" x14ac:dyDescent="0.3">
      <c r="A391" s="8">
        <v>79750392</v>
      </c>
      <c r="B391" s="11">
        <v>44578</v>
      </c>
      <c r="C391" s="13" t="s">
        <v>730</v>
      </c>
      <c r="D391" s="13" t="s">
        <v>731</v>
      </c>
      <c r="E391" s="8">
        <v>10000</v>
      </c>
      <c r="F391" s="13" t="s">
        <v>70</v>
      </c>
      <c r="G391" s="14">
        <v>44582</v>
      </c>
      <c r="H391" s="13" t="s">
        <v>9</v>
      </c>
    </row>
    <row r="392" spans="1:8" ht="14.4" x14ac:dyDescent="0.3">
      <c r="A392" s="8">
        <v>79750393</v>
      </c>
      <c r="B392" s="11">
        <v>44578</v>
      </c>
      <c r="C392" s="13" t="s">
        <v>732</v>
      </c>
      <c r="D392" s="13" t="s">
        <v>733</v>
      </c>
      <c r="E392" s="8">
        <v>20000</v>
      </c>
      <c r="F392" s="13" t="s">
        <v>70</v>
      </c>
      <c r="G392" s="14">
        <v>44581</v>
      </c>
      <c r="H392" s="13" t="s">
        <v>9</v>
      </c>
    </row>
    <row r="393" spans="1:8" ht="14.4" x14ac:dyDescent="0.3">
      <c r="A393" s="8">
        <v>79750394</v>
      </c>
      <c r="B393" s="11">
        <v>44578</v>
      </c>
      <c r="C393" s="13" t="s">
        <v>734</v>
      </c>
      <c r="D393" s="13" t="s">
        <v>735</v>
      </c>
      <c r="E393" s="8">
        <v>30000</v>
      </c>
      <c r="F393" s="13" t="s">
        <v>70</v>
      </c>
      <c r="G393" s="14">
        <v>44581</v>
      </c>
      <c r="H393" s="13" t="s">
        <v>9</v>
      </c>
    </row>
    <row r="394" spans="1:8" ht="14.4" x14ac:dyDescent="0.3">
      <c r="A394" s="8">
        <v>79750395</v>
      </c>
      <c r="B394" s="11">
        <v>44578</v>
      </c>
      <c r="C394" s="13" t="s">
        <v>736</v>
      </c>
      <c r="D394" s="13" t="s">
        <v>737</v>
      </c>
      <c r="E394" s="8">
        <v>8000</v>
      </c>
      <c r="F394" s="13" t="s">
        <v>70</v>
      </c>
      <c r="G394" s="14">
        <v>44582</v>
      </c>
      <c r="H394" s="13" t="s">
        <v>9</v>
      </c>
    </row>
    <row r="395" spans="1:8" ht="14.4" x14ac:dyDescent="0.3">
      <c r="A395" s="8">
        <v>79750396</v>
      </c>
      <c r="B395" s="11">
        <v>44578</v>
      </c>
      <c r="C395" s="13" t="s">
        <v>738</v>
      </c>
      <c r="D395" s="13" t="s">
        <v>739</v>
      </c>
      <c r="E395" s="8">
        <v>27000</v>
      </c>
      <c r="F395" s="13" t="s">
        <v>70</v>
      </c>
      <c r="G395" s="14">
        <v>44581</v>
      </c>
      <c r="H395" s="13" t="s">
        <v>9</v>
      </c>
    </row>
    <row r="396" spans="1:8" ht="14.4" x14ac:dyDescent="0.3">
      <c r="A396" s="8">
        <v>79750397</v>
      </c>
      <c r="B396" s="11">
        <v>44578</v>
      </c>
      <c r="C396" s="13" t="s">
        <v>740</v>
      </c>
      <c r="D396" s="13" t="s">
        <v>741</v>
      </c>
      <c r="E396" s="8">
        <v>10000</v>
      </c>
      <c r="F396" s="13" t="s">
        <v>70</v>
      </c>
      <c r="G396" s="14">
        <v>44581</v>
      </c>
      <c r="H396" s="13" t="s">
        <v>9</v>
      </c>
    </row>
    <row r="397" spans="1:8" ht="14.4" x14ac:dyDescent="0.3">
      <c r="A397" s="8">
        <v>79750398</v>
      </c>
      <c r="B397" s="11">
        <v>44578</v>
      </c>
      <c r="C397" s="13" t="s">
        <v>742</v>
      </c>
      <c r="D397" s="13" t="s">
        <v>743</v>
      </c>
      <c r="E397" s="8">
        <v>8000</v>
      </c>
      <c r="F397" s="13" t="s">
        <v>70</v>
      </c>
      <c r="G397" s="14">
        <v>44585</v>
      </c>
      <c r="H397" s="13" t="s">
        <v>9</v>
      </c>
    </row>
    <row r="398" spans="1:8" ht="14.4" x14ac:dyDescent="0.3">
      <c r="A398" s="8">
        <v>79750399</v>
      </c>
      <c r="B398" s="11">
        <v>44578</v>
      </c>
      <c r="C398" s="13" t="s">
        <v>744</v>
      </c>
      <c r="D398" s="13" t="s">
        <v>745</v>
      </c>
      <c r="E398" s="8">
        <v>11000</v>
      </c>
      <c r="F398" s="13" t="s">
        <v>70</v>
      </c>
      <c r="G398" s="14">
        <v>44582</v>
      </c>
      <c r="H398" s="13" t="s">
        <v>9</v>
      </c>
    </row>
    <row r="399" spans="1:8" ht="14.4" x14ac:dyDescent="0.3">
      <c r="A399" s="8">
        <v>79750400</v>
      </c>
      <c r="B399" s="11">
        <v>44578</v>
      </c>
      <c r="C399" s="13" t="s">
        <v>162</v>
      </c>
      <c r="D399" s="13" t="s">
        <v>746</v>
      </c>
      <c r="E399" s="8">
        <v>1447</v>
      </c>
      <c r="F399" s="13" t="s">
        <v>70</v>
      </c>
      <c r="G399" s="14">
        <v>44586</v>
      </c>
      <c r="H399" s="13" t="s">
        <v>9</v>
      </c>
    </row>
    <row r="400" spans="1:8" ht="14.4" x14ac:dyDescent="0.3">
      <c r="A400" s="8">
        <v>79750401</v>
      </c>
      <c r="B400" s="11">
        <v>44578</v>
      </c>
      <c r="C400" s="13" t="s">
        <v>162</v>
      </c>
      <c r="D400" s="13" t="s">
        <v>747</v>
      </c>
      <c r="E400" s="8">
        <v>37083.370000000003</v>
      </c>
      <c r="F400" s="13" t="s">
        <v>70</v>
      </c>
      <c r="G400" s="14">
        <v>44586</v>
      </c>
      <c r="H400" s="13" t="s">
        <v>9</v>
      </c>
    </row>
    <row r="401" spans="1:8" ht="14.4" x14ac:dyDescent="0.3">
      <c r="A401" s="8">
        <v>79750403</v>
      </c>
      <c r="B401" s="11">
        <v>44578</v>
      </c>
      <c r="C401" s="13" t="s">
        <v>186</v>
      </c>
      <c r="D401" s="13" t="s">
        <v>690</v>
      </c>
      <c r="E401" s="8">
        <v>480</v>
      </c>
      <c r="F401" s="13" t="s">
        <v>70</v>
      </c>
      <c r="G401" s="14">
        <v>44580</v>
      </c>
      <c r="H401" s="13" t="s">
        <v>9</v>
      </c>
    </row>
    <row r="402" spans="1:8" ht="14.4" x14ac:dyDescent="0.3">
      <c r="A402" s="8">
        <v>79750404</v>
      </c>
      <c r="B402" s="11">
        <v>44578</v>
      </c>
      <c r="C402" s="13" t="s">
        <v>748</v>
      </c>
      <c r="D402" s="13" t="s">
        <v>749</v>
      </c>
      <c r="E402" s="8">
        <v>4687.5</v>
      </c>
      <c r="F402" s="13" t="s">
        <v>70</v>
      </c>
      <c r="G402" s="14">
        <v>44582</v>
      </c>
      <c r="H402" s="13" t="s">
        <v>9</v>
      </c>
    </row>
    <row r="403" spans="1:8" ht="14.4" x14ac:dyDescent="0.3">
      <c r="A403" s="8">
        <v>79750405</v>
      </c>
      <c r="B403" s="11">
        <v>44578</v>
      </c>
      <c r="C403" s="13" t="s">
        <v>44</v>
      </c>
      <c r="D403" s="13" t="s">
        <v>750</v>
      </c>
      <c r="E403" s="8">
        <v>12075</v>
      </c>
      <c r="F403" s="13" t="s">
        <v>70</v>
      </c>
      <c r="G403" s="14">
        <v>44580</v>
      </c>
      <c r="H403" s="13" t="s">
        <v>9</v>
      </c>
    </row>
    <row r="404" spans="1:8" ht="14.4" x14ac:dyDescent="0.3">
      <c r="A404" s="8">
        <v>79750406</v>
      </c>
      <c r="B404" s="11">
        <v>44578</v>
      </c>
      <c r="C404" s="13" t="s">
        <v>44</v>
      </c>
      <c r="D404" s="13" t="s">
        <v>751</v>
      </c>
      <c r="E404" s="8">
        <v>12075</v>
      </c>
      <c r="F404" s="13" t="s">
        <v>70</v>
      </c>
      <c r="G404" s="14">
        <v>44580</v>
      </c>
      <c r="H404" s="13" t="s">
        <v>9</v>
      </c>
    </row>
    <row r="405" spans="1:8" ht="14.4" x14ac:dyDescent="0.3">
      <c r="A405" s="8">
        <v>79750407</v>
      </c>
      <c r="B405" s="11">
        <v>44578</v>
      </c>
      <c r="C405" s="13" t="s">
        <v>748</v>
      </c>
      <c r="D405" s="13" t="s">
        <v>752</v>
      </c>
      <c r="E405" s="8">
        <v>3972.18</v>
      </c>
      <c r="F405" s="13" t="s">
        <v>70</v>
      </c>
      <c r="G405" s="14">
        <v>44582</v>
      </c>
      <c r="H405" s="13" t="s">
        <v>9</v>
      </c>
    </row>
    <row r="406" spans="1:8" ht="14.4" x14ac:dyDescent="0.3">
      <c r="A406" s="8">
        <v>79750408</v>
      </c>
      <c r="B406" s="11">
        <v>44578</v>
      </c>
      <c r="C406" s="13" t="s">
        <v>125</v>
      </c>
      <c r="D406" s="13" t="s">
        <v>753</v>
      </c>
      <c r="E406" s="8">
        <v>32886</v>
      </c>
      <c r="F406" s="13" t="s">
        <v>70</v>
      </c>
      <c r="G406" s="14">
        <v>44592</v>
      </c>
      <c r="H406" s="13" t="s">
        <v>9</v>
      </c>
    </row>
    <row r="407" spans="1:8" ht="14.4" x14ac:dyDescent="0.3">
      <c r="A407" s="8">
        <v>79750409</v>
      </c>
      <c r="B407" s="11">
        <v>44578</v>
      </c>
      <c r="C407" s="13" t="s">
        <v>748</v>
      </c>
      <c r="D407" s="13" t="s">
        <v>754</v>
      </c>
      <c r="E407" s="8">
        <v>4124.07</v>
      </c>
      <c r="F407" s="13" t="s">
        <v>70</v>
      </c>
      <c r="G407" s="14">
        <v>44582</v>
      </c>
      <c r="H407" s="13" t="s">
        <v>9</v>
      </c>
    </row>
    <row r="408" spans="1:8" ht="14.4" x14ac:dyDescent="0.3">
      <c r="A408" s="8">
        <v>79750410</v>
      </c>
      <c r="B408" s="11">
        <v>44578</v>
      </c>
      <c r="C408" s="13" t="s">
        <v>159</v>
      </c>
      <c r="D408" s="13" t="s">
        <v>755</v>
      </c>
      <c r="E408" s="8">
        <v>305700</v>
      </c>
      <c r="F408" s="13" t="s">
        <v>70</v>
      </c>
      <c r="G408" s="14">
        <v>44585</v>
      </c>
      <c r="H408" s="13" t="s">
        <v>9</v>
      </c>
    </row>
    <row r="409" spans="1:8" ht="14.4" x14ac:dyDescent="0.3">
      <c r="A409" s="8">
        <v>79750411</v>
      </c>
      <c r="B409" s="11">
        <v>44578</v>
      </c>
      <c r="C409" s="13" t="s">
        <v>756</v>
      </c>
      <c r="D409" s="13" t="s">
        <v>757</v>
      </c>
      <c r="E409" s="8">
        <v>316350</v>
      </c>
      <c r="F409" s="13" t="s">
        <v>70</v>
      </c>
      <c r="G409" s="14">
        <v>44589</v>
      </c>
      <c r="H409" s="13" t="s">
        <v>9</v>
      </c>
    </row>
    <row r="410" spans="1:8" ht="14.4" x14ac:dyDescent="0.3">
      <c r="A410" s="8">
        <v>79750412</v>
      </c>
      <c r="B410" s="11">
        <v>44578</v>
      </c>
      <c r="C410" s="13" t="s">
        <v>758</v>
      </c>
      <c r="D410" s="13" t="s">
        <v>759</v>
      </c>
      <c r="E410" s="8">
        <v>15000</v>
      </c>
      <c r="F410" s="13" t="s">
        <v>70</v>
      </c>
      <c r="G410" s="14">
        <v>44582</v>
      </c>
      <c r="H410" s="13" t="s">
        <v>9</v>
      </c>
    </row>
    <row r="411" spans="1:8" ht="14.4" x14ac:dyDescent="0.3">
      <c r="A411" s="8">
        <v>79750413</v>
      </c>
      <c r="B411" s="11">
        <v>44578</v>
      </c>
      <c r="C411" s="13" t="s">
        <v>186</v>
      </c>
      <c r="D411" s="13" t="s">
        <v>760</v>
      </c>
      <c r="E411" s="8">
        <v>1440</v>
      </c>
      <c r="F411" s="13" t="s">
        <v>70</v>
      </c>
      <c r="G411" s="14">
        <v>44580</v>
      </c>
      <c r="H411" s="13" t="s">
        <v>9</v>
      </c>
    </row>
    <row r="412" spans="1:8" ht="14.4" x14ac:dyDescent="0.3">
      <c r="A412" s="8">
        <v>79750414</v>
      </c>
      <c r="B412" s="11">
        <v>44578</v>
      </c>
      <c r="C412" s="13" t="s">
        <v>761</v>
      </c>
      <c r="D412" s="13" t="s">
        <v>762</v>
      </c>
      <c r="E412" s="8">
        <v>8000</v>
      </c>
      <c r="F412" s="13" t="s">
        <v>70</v>
      </c>
      <c r="G412" s="14">
        <v>44585</v>
      </c>
      <c r="H412" s="13" t="s">
        <v>9</v>
      </c>
    </row>
    <row r="413" spans="1:8" ht="14.4" x14ac:dyDescent="0.3">
      <c r="A413" s="8">
        <v>79750415</v>
      </c>
      <c r="B413" s="11">
        <v>44578</v>
      </c>
      <c r="C413" s="13" t="s">
        <v>763</v>
      </c>
      <c r="D413" s="13" t="s">
        <v>764</v>
      </c>
      <c r="E413" s="8">
        <v>10000</v>
      </c>
      <c r="F413" s="13" t="s">
        <v>70</v>
      </c>
      <c r="G413" s="14">
        <v>44585</v>
      </c>
      <c r="H413" s="13" t="s">
        <v>9</v>
      </c>
    </row>
    <row r="414" spans="1:8" ht="14.4" x14ac:dyDescent="0.3">
      <c r="A414" s="8">
        <v>79750416</v>
      </c>
      <c r="B414" s="11">
        <v>44578</v>
      </c>
      <c r="C414" s="13" t="s">
        <v>765</v>
      </c>
      <c r="D414" s="13" t="s">
        <v>766</v>
      </c>
      <c r="E414" s="8">
        <v>10000</v>
      </c>
      <c r="F414" s="13" t="s">
        <v>70</v>
      </c>
      <c r="G414" s="14">
        <v>44581</v>
      </c>
      <c r="H414" s="13" t="s">
        <v>9</v>
      </c>
    </row>
    <row r="415" spans="1:8" ht="14.4" x14ac:dyDescent="0.3">
      <c r="A415" s="8">
        <v>79750417</v>
      </c>
      <c r="B415" s="11">
        <v>44578</v>
      </c>
      <c r="C415" s="13" t="s">
        <v>767</v>
      </c>
      <c r="D415" s="13" t="s">
        <v>768</v>
      </c>
      <c r="E415" s="8">
        <v>30000</v>
      </c>
      <c r="F415" s="13" t="s">
        <v>70</v>
      </c>
      <c r="G415" s="14">
        <v>44582</v>
      </c>
      <c r="H415" s="13" t="s">
        <v>9</v>
      </c>
    </row>
    <row r="416" spans="1:8" ht="14.4" x14ac:dyDescent="0.3">
      <c r="A416" s="8">
        <v>79750418</v>
      </c>
      <c r="B416" s="11">
        <v>44578</v>
      </c>
      <c r="C416" s="13" t="s">
        <v>769</v>
      </c>
      <c r="D416" s="13" t="s">
        <v>770</v>
      </c>
      <c r="E416" s="8">
        <v>12000</v>
      </c>
      <c r="F416" s="13" t="s">
        <v>70</v>
      </c>
      <c r="G416" s="14">
        <v>44592</v>
      </c>
      <c r="H416" s="13" t="s">
        <v>9</v>
      </c>
    </row>
    <row r="417" spans="1:8" ht="14.4" x14ac:dyDescent="0.3">
      <c r="A417" s="8">
        <v>79750419</v>
      </c>
      <c r="B417" s="11">
        <v>44578</v>
      </c>
      <c r="C417" s="13" t="s">
        <v>217</v>
      </c>
      <c r="D417" s="13" t="s">
        <v>771</v>
      </c>
      <c r="E417" s="8">
        <v>52545.87</v>
      </c>
      <c r="F417" s="13" t="s">
        <v>70</v>
      </c>
      <c r="G417" s="14">
        <v>44589</v>
      </c>
      <c r="H417" s="13" t="s">
        <v>9</v>
      </c>
    </row>
    <row r="418" spans="1:8" ht="14.4" x14ac:dyDescent="0.3">
      <c r="A418" s="8">
        <v>79750420</v>
      </c>
      <c r="B418" s="11">
        <v>44578</v>
      </c>
      <c r="C418" s="13" t="s">
        <v>156</v>
      </c>
      <c r="D418" s="13" t="s">
        <v>772</v>
      </c>
      <c r="E418" s="8">
        <v>20000</v>
      </c>
      <c r="F418" s="13" t="s">
        <v>70</v>
      </c>
      <c r="G418" s="14">
        <v>44579</v>
      </c>
      <c r="H418" s="13" t="s">
        <v>9</v>
      </c>
    </row>
    <row r="419" spans="1:8" ht="14.4" x14ac:dyDescent="0.3">
      <c r="A419" s="8">
        <v>79750421</v>
      </c>
      <c r="B419" s="11">
        <v>44578</v>
      </c>
      <c r="C419" s="13" t="s">
        <v>773</v>
      </c>
      <c r="D419" s="13" t="s">
        <v>774</v>
      </c>
      <c r="E419" s="8">
        <v>20000</v>
      </c>
      <c r="F419" s="13" t="s">
        <v>70</v>
      </c>
      <c r="G419" s="14">
        <v>44580</v>
      </c>
      <c r="H419" s="13" t="s">
        <v>9</v>
      </c>
    </row>
    <row r="420" spans="1:8" ht="14.4" x14ac:dyDescent="0.3">
      <c r="A420" s="8">
        <v>79750422</v>
      </c>
      <c r="B420" s="11">
        <v>44578</v>
      </c>
      <c r="C420" s="13" t="s">
        <v>775</v>
      </c>
      <c r="D420" s="13" t="s">
        <v>776</v>
      </c>
      <c r="E420" s="8">
        <v>30000</v>
      </c>
      <c r="F420" s="13" t="s">
        <v>70</v>
      </c>
      <c r="G420" s="14">
        <v>44580</v>
      </c>
      <c r="H420" s="13" t="s">
        <v>9</v>
      </c>
    </row>
    <row r="421" spans="1:8" ht="14.4" x14ac:dyDescent="0.3">
      <c r="A421" s="8">
        <v>79750423</v>
      </c>
      <c r="B421" s="11">
        <v>44578</v>
      </c>
      <c r="C421" s="13" t="s">
        <v>777</v>
      </c>
      <c r="D421" s="13" t="s">
        <v>778</v>
      </c>
      <c r="E421" s="8">
        <v>5335</v>
      </c>
      <c r="F421" s="13" t="s">
        <v>70</v>
      </c>
      <c r="G421" s="14">
        <v>44581</v>
      </c>
      <c r="H421" s="13" t="s">
        <v>9</v>
      </c>
    </row>
    <row r="422" spans="1:8" ht="14.4" x14ac:dyDescent="0.3">
      <c r="A422" s="8">
        <v>79750424</v>
      </c>
      <c r="B422" s="11">
        <v>44578</v>
      </c>
      <c r="C422" s="13" t="s">
        <v>376</v>
      </c>
      <c r="D422" s="13" t="s">
        <v>779</v>
      </c>
      <c r="E422" s="8">
        <v>35427</v>
      </c>
      <c r="F422" s="13" t="s">
        <v>70</v>
      </c>
      <c r="G422" s="14">
        <v>44581</v>
      </c>
      <c r="H422" s="13" t="s">
        <v>9</v>
      </c>
    </row>
    <row r="423" spans="1:8" ht="14.4" x14ac:dyDescent="0.3">
      <c r="A423" s="8">
        <v>79750425</v>
      </c>
      <c r="B423" s="11">
        <v>44578</v>
      </c>
      <c r="C423" s="13" t="s">
        <v>53</v>
      </c>
      <c r="D423" s="13" t="s">
        <v>780</v>
      </c>
      <c r="E423" s="8">
        <v>169902.6</v>
      </c>
      <c r="F423" s="13" t="s">
        <v>70</v>
      </c>
      <c r="G423" s="14">
        <v>44581</v>
      </c>
      <c r="H423" s="13" t="s">
        <v>9</v>
      </c>
    </row>
    <row r="424" spans="1:8" ht="14.4" x14ac:dyDescent="0.3">
      <c r="A424" s="8">
        <v>79750426</v>
      </c>
      <c r="B424" s="11">
        <v>44578</v>
      </c>
      <c r="C424" s="13" t="s">
        <v>52</v>
      </c>
      <c r="D424" s="13" t="s">
        <v>781</v>
      </c>
      <c r="E424" s="8">
        <v>84232.15</v>
      </c>
      <c r="F424" s="13" t="s">
        <v>70</v>
      </c>
      <c r="G424" s="14">
        <v>44589</v>
      </c>
      <c r="H424" s="13" t="s">
        <v>9</v>
      </c>
    </row>
    <row r="425" spans="1:8" ht="14.4" x14ac:dyDescent="0.3">
      <c r="A425" s="8">
        <v>79750427</v>
      </c>
      <c r="B425" s="11">
        <v>44578</v>
      </c>
      <c r="C425" s="13" t="s">
        <v>374</v>
      </c>
      <c r="D425" s="13" t="s">
        <v>782</v>
      </c>
      <c r="E425" s="8">
        <v>283220</v>
      </c>
      <c r="F425" s="13" t="s">
        <v>70</v>
      </c>
      <c r="G425" s="14">
        <v>44581</v>
      </c>
      <c r="H425" s="13" t="s">
        <v>9</v>
      </c>
    </row>
    <row r="426" spans="1:8" ht="14.4" x14ac:dyDescent="0.3">
      <c r="A426" s="8">
        <v>79750428</v>
      </c>
      <c r="B426" s="11">
        <v>44578</v>
      </c>
      <c r="C426" s="13" t="s">
        <v>374</v>
      </c>
      <c r="D426" s="13" t="s">
        <v>783</v>
      </c>
      <c r="E426" s="8">
        <v>283220</v>
      </c>
      <c r="F426" s="13" t="s">
        <v>70</v>
      </c>
      <c r="G426" s="14">
        <v>44581</v>
      </c>
      <c r="H426" s="13" t="s">
        <v>9</v>
      </c>
    </row>
    <row r="427" spans="1:8" ht="14.4" x14ac:dyDescent="0.3">
      <c r="A427" s="8">
        <v>79750429</v>
      </c>
      <c r="B427" s="11">
        <v>44578</v>
      </c>
      <c r="C427" s="13" t="s">
        <v>191</v>
      </c>
      <c r="D427" s="13" t="s">
        <v>784</v>
      </c>
      <c r="E427" s="8">
        <v>20395.54</v>
      </c>
      <c r="F427" s="13" t="s">
        <v>70</v>
      </c>
      <c r="G427" s="14">
        <v>44580</v>
      </c>
      <c r="H427" s="13" t="s">
        <v>9</v>
      </c>
    </row>
    <row r="428" spans="1:8" ht="14.4" x14ac:dyDescent="0.3">
      <c r="A428" s="8">
        <v>79750430</v>
      </c>
      <c r="B428" s="11">
        <v>44578</v>
      </c>
      <c r="C428" s="13" t="s">
        <v>191</v>
      </c>
      <c r="D428" s="13" t="s">
        <v>785</v>
      </c>
      <c r="E428" s="8">
        <v>20034</v>
      </c>
      <c r="F428" s="13" t="s">
        <v>70</v>
      </c>
      <c r="G428" s="14">
        <v>44580</v>
      </c>
      <c r="H428" s="13" t="s">
        <v>9</v>
      </c>
    </row>
    <row r="429" spans="1:8" ht="14.4" x14ac:dyDescent="0.3">
      <c r="A429" s="8">
        <v>79750431</v>
      </c>
      <c r="B429" s="11">
        <v>44578</v>
      </c>
      <c r="C429" s="13" t="s">
        <v>52</v>
      </c>
      <c r="D429" s="13" t="s">
        <v>786</v>
      </c>
      <c r="E429" s="8">
        <v>80446.429999999993</v>
      </c>
      <c r="F429" s="13" t="s">
        <v>70</v>
      </c>
      <c r="G429" s="14">
        <v>44589</v>
      </c>
      <c r="H429" s="13" t="s">
        <v>9</v>
      </c>
    </row>
    <row r="430" spans="1:8" ht="14.4" x14ac:dyDescent="0.3">
      <c r="A430" s="8">
        <v>79750432</v>
      </c>
      <c r="B430" s="11">
        <v>44578</v>
      </c>
      <c r="C430" s="13" t="s">
        <v>376</v>
      </c>
      <c r="D430" s="13" t="s">
        <v>779</v>
      </c>
      <c r="E430" s="8">
        <v>35427</v>
      </c>
      <c r="F430" s="13" t="s">
        <v>70</v>
      </c>
      <c r="G430" s="14">
        <v>44581</v>
      </c>
      <c r="H430" s="13" t="s">
        <v>9</v>
      </c>
    </row>
    <row r="431" spans="1:8" ht="14.4" x14ac:dyDescent="0.3">
      <c r="A431" s="8">
        <v>79750433</v>
      </c>
      <c r="B431" s="11">
        <v>44578</v>
      </c>
      <c r="C431" s="13" t="s">
        <v>191</v>
      </c>
      <c r="D431" s="13" t="s">
        <v>787</v>
      </c>
      <c r="E431" s="8">
        <v>17923.46</v>
      </c>
      <c r="F431" s="13" t="s">
        <v>70</v>
      </c>
      <c r="G431" s="14">
        <v>44580</v>
      </c>
      <c r="H431" s="13" t="s">
        <v>9</v>
      </c>
    </row>
    <row r="432" spans="1:8" ht="14.4" x14ac:dyDescent="0.3">
      <c r="A432" s="8">
        <v>79750434</v>
      </c>
      <c r="B432" s="11">
        <v>44578</v>
      </c>
      <c r="C432" s="13" t="s">
        <v>180</v>
      </c>
      <c r="D432" s="13" t="s">
        <v>788</v>
      </c>
      <c r="E432" s="8">
        <v>300711.14</v>
      </c>
      <c r="F432" s="13" t="s">
        <v>70</v>
      </c>
      <c r="G432" s="14">
        <v>44579</v>
      </c>
      <c r="H432" s="13" t="s">
        <v>9</v>
      </c>
    </row>
    <row r="433" spans="1:8" ht="14.4" x14ac:dyDescent="0.3">
      <c r="A433" s="8">
        <v>79750435</v>
      </c>
      <c r="B433" s="11">
        <v>44578</v>
      </c>
      <c r="C433" s="13" t="s">
        <v>161</v>
      </c>
      <c r="D433" s="13" t="s">
        <v>335</v>
      </c>
      <c r="E433" s="8">
        <v>6000</v>
      </c>
      <c r="F433" s="13" t="s">
        <v>70</v>
      </c>
      <c r="G433" s="14">
        <v>44599</v>
      </c>
      <c r="H433" s="13" t="s">
        <v>9</v>
      </c>
    </row>
    <row r="434" spans="1:8" ht="14.4" x14ac:dyDescent="0.3">
      <c r="A434" s="8">
        <v>79750436</v>
      </c>
      <c r="B434" s="11">
        <v>44578</v>
      </c>
      <c r="C434" s="13" t="s">
        <v>789</v>
      </c>
      <c r="D434" s="13" t="s">
        <v>790</v>
      </c>
      <c r="E434" s="8">
        <v>6000</v>
      </c>
      <c r="F434" s="13" t="s">
        <v>70</v>
      </c>
      <c r="G434" s="14">
        <v>44585</v>
      </c>
      <c r="H434" s="13" t="s">
        <v>9</v>
      </c>
    </row>
    <row r="435" spans="1:8" ht="14.4" x14ac:dyDescent="0.3">
      <c r="A435" s="8">
        <v>79750437</v>
      </c>
      <c r="B435" s="11">
        <v>44578</v>
      </c>
      <c r="C435" s="13" t="s">
        <v>791</v>
      </c>
      <c r="D435" s="13" t="s">
        <v>335</v>
      </c>
      <c r="E435" s="8">
        <v>6000</v>
      </c>
      <c r="F435" s="13" t="s">
        <v>70</v>
      </c>
      <c r="G435" s="14">
        <v>44581</v>
      </c>
      <c r="H435" s="13" t="s">
        <v>9</v>
      </c>
    </row>
    <row r="436" spans="1:8" ht="14.4" x14ac:dyDescent="0.3">
      <c r="A436" s="8">
        <v>79750438</v>
      </c>
      <c r="B436" s="11">
        <v>44578</v>
      </c>
      <c r="C436" s="13" t="s">
        <v>792</v>
      </c>
      <c r="D436" s="13" t="s">
        <v>793</v>
      </c>
      <c r="E436" s="8">
        <v>11400</v>
      </c>
      <c r="F436" s="13" t="s">
        <v>70</v>
      </c>
      <c r="G436" s="14">
        <v>44581</v>
      </c>
      <c r="H436" s="13" t="s">
        <v>9</v>
      </c>
    </row>
    <row r="437" spans="1:8" ht="14.4" x14ac:dyDescent="0.3">
      <c r="A437" s="8">
        <v>79750439</v>
      </c>
      <c r="B437" s="11">
        <v>44578</v>
      </c>
      <c r="C437" s="13" t="s">
        <v>794</v>
      </c>
      <c r="D437" s="13" t="s">
        <v>793</v>
      </c>
      <c r="E437" s="8">
        <v>9000</v>
      </c>
      <c r="F437" s="13" t="s">
        <v>70</v>
      </c>
      <c r="G437" s="14">
        <v>44581</v>
      </c>
      <c r="H437" s="13" t="s">
        <v>9</v>
      </c>
    </row>
    <row r="438" spans="1:8" ht="14.4" x14ac:dyDescent="0.3">
      <c r="A438" s="8">
        <v>79750440</v>
      </c>
      <c r="B438" s="11">
        <v>44578</v>
      </c>
      <c r="C438" s="13" t="s">
        <v>795</v>
      </c>
      <c r="D438" s="13" t="s">
        <v>796</v>
      </c>
      <c r="E438" s="8">
        <v>23100</v>
      </c>
      <c r="F438" s="13" t="s">
        <v>70</v>
      </c>
      <c r="G438" s="14">
        <v>44581</v>
      </c>
      <c r="H438" s="13" t="s">
        <v>9</v>
      </c>
    </row>
    <row r="439" spans="1:8" ht="14.4" x14ac:dyDescent="0.3">
      <c r="A439" s="8">
        <v>79750441</v>
      </c>
      <c r="B439" s="11">
        <v>44578</v>
      </c>
      <c r="C439" s="13" t="s">
        <v>797</v>
      </c>
      <c r="D439" s="13" t="s">
        <v>798</v>
      </c>
      <c r="E439" s="8">
        <v>1100.55</v>
      </c>
      <c r="F439" s="13" t="s">
        <v>70</v>
      </c>
      <c r="G439" s="14">
        <v>44579</v>
      </c>
      <c r="H439" s="13" t="s">
        <v>9</v>
      </c>
    </row>
    <row r="440" spans="1:8" ht="14.4" x14ac:dyDescent="0.3">
      <c r="A440" s="8">
        <v>79750442</v>
      </c>
      <c r="B440" s="11">
        <v>44579</v>
      </c>
      <c r="C440" s="13" t="s">
        <v>799</v>
      </c>
      <c r="D440" s="13" t="s">
        <v>800</v>
      </c>
      <c r="E440" s="8">
        <v>12000</v>
      </c>
      <c r="F440" s="13" t="s">
        <v>70</v>
      </c>
      <c r="G440" s="14">
        <v>44580</v>
      </c>
      <c r="H440" s="13" t="s">
        <v>9</v>
      </c>
    </row>
    <row r="441" spans="1:8" ht="14.4" x14ac:dyDescent="0.3">
      <c r="A441" s="8">
        <v>79750443</v>
      </c>
      <c r="B441" s="11">
        <v>44579</v>
      </c>
      <c r="C441" s="13" t="s">
        <v>801</v>
      </c>
      <c r="D441" s="13" t="s">
        <v>802</v>
      </c>
      <c r="E441" s="8">
        <v>35000</v>
      </c>
      <c r="F441" s="13" t="s">
        <v>70</v>
      </c>
      <c r="G441" s="14">
        <v>44592</v>
      </c>
      <c r="H441" s="13" t="s">
        <v>9</v>
      </c>
    </row>
    <row r="442" spans="1:8" ht="14.4" x14ac:dyDescent="0.3">
      <c r="A442" s="8">
        <v>79750444</v>
      </c>
      <c r="B442" s="11">
        <v>44579</v>
      </c>
      <c r="C442" s="13" t="s">
        <v>803</v>
      </c>
      <c r="D442" s="13" t="s">
        <v>804</v>
      </c>
      <c r="E442" s="8">
        <v>15000</v>
      </c>
      <c r="F442" s="13" t="s">
        <v>70</v>
      </c>
      <c r="G442" s="14">
        <v>44592</v>
      </c>
      <c r="H442" s="13" t="s">
        <v>9</v>
      </c>
    </row>
    <row r="443" spans="1:8" ht="14.4" x14ac:dyDescent="0.3">
      <c r="A443" s="8">
        <v>79750445</v>
      </c>
      <c r="B443" s="11">
        <v>44579</v>
      </c>
      <c r="C443" s="13" t="s">
        <v>805</v>
      </c>
      <c r="D443" s="13" t="s">
        <v>806</v>
      </c>
      <c r="E443" s="8">
        <v>20000</v>
      </c>
      <c r="F443" s="13" t="s">
        <v>70</v>
      </c>
      <c r="G443" s="14">
        <v>44592</v>
      </c>
      <c r="H443" s="13" t="s">
        <v>9</v>
      </c>
    </row>
    <row r="444" spans="1:8" ht="14.4" x14ac:dyDescent="0.3">
      <c r="A444" s="8">
        <v>79750446</v>
      </c>
      <c r="B444" s="11">
        <v>44579</v>
      </c>
      <c r="C444" s="13" t="s">
        <v>807</v>
      </c>
      <c r="D444" s="13" t="s">
        <v>808</v>
      </c>
      <c r="E444" s="8">
        <v>40000</v>
      </c>
      <c r="F444" s="13" t="s">
        <v>70</v>
      </c>
      <c r="G444" s="14">
        <v>44592</v>
      </c>
      <c r="H444" s="13" t="s">
        <v>9</v>
      </c>
    </row>
    <row r="445" spans="1:8" ht="14.4" x14ac:dyDescent="0.3">
      <c r="A445" s="8">
        <v>79750447</v>
      </c>
      <c r="B445" s="11">
        <v>44579</v>
      </c>
      <c r="C445" s="13" t="s">
        <v>809</v>
      </c>
      <c r="D445" s="13" t="s">
        <v>810</v>
      </c>
      <c r="E445" s="8">
        <v>50000</v>
      </c>
      <c r="F445" s="13" t="s">
        <v>70</v>
      </c>
      <c r="G445" s="14">
        <v>44592</v>
      </c>
      <c r="H445" s="13" t="s">
        <v>9</v>
      </c>
    </row>
    <row r="446" spans="1:8" ht="14.4" x14ac:dyDescent="0.3">
      <c r="A446" s="8">
        <v>79750448</v>
      </c>
      <c r="B446" s="11">
        <v>44579</v>
      </c>
      <c r="C446" s="13" t="s">
        <v>811</v>
      </c>
      <c r="D446" s="13" t="s">
        <v>812</v>
      </c>
      <c r="E446" s="8">
        <v>9000</v>
      </c>
      <c r="F446" s="13" t="s">
        <v>70</v>
      </c>
      <c r="G446" s="14">
        <v>44592</v>
      </c>
      <c r="H446" s="13" t="s">
        <v>9</v>
      </c>
    </row>
    <row r="447" spans="1:8" ht="14.4" x14ac:dyDescent="0.3">
      <c r="A447" s="8">
        <v>79750449</v>
      </c>
      <c r="B447" s="11">
        <v>44579</v>
      </c>
      <c r="C447" s="13" t="s">
        <v>813</v>
      </c>
      <c r="D447" s="13" t="s">
        <v>814</v>
      </c>
      <c r="E447" s="8">
        <v>10000</v>
      </c>
      <c r="F447" s="13" t="s">
        <v>70</v>
      </c>
      <c r="G447" s="14">
        <v>44592</v>
      </c>
      <c r="H447" s="13" t="s">
        <v>9</v>
      </c>
    </row>
    <row r="448" spans="1:8" ht="14.4" x14ac:dyDescent="0.3">
      <c r="A448" s="8">
        <v>79750450</v>
      </c>
      <c r="B448" s="11">
        <v>44579</v>
      </c>
      <c r="C448" s="13" t="s">
        <v>815</v>
      </c>
      <c r="D448" s="13" t="s">
        <v>816</v>
      </c>
      <c r="E448" s="8">
        <v>12000</v>
      </c>
      <c r="F448" s="13" t="s">
        <v>70</v>
      </c>
      <c r="G448" s="14">
        <v>44592</v>
      </c>
      <c r="H448" s="13" t="s">
        <v>9</v>
      </c>
    </row>
    <row r="449" spans="1:8" ht="14.4" x14ac:dyDescent="0.3">
      <c r="A449" s="8">
        <v>79750451</v>
      </c>
      <c r="B449" s="11">
        <v>44579</v>
      </c>
      <c r="C449" s="13" t="s">
        <v>817</v>
      </c>
      <c r="D449" s="13" t="s">
        <v>818</v>
      </c>
      <c r="E449" s="8">
        <v>14000</v>
      </c>
      <c r="F449" s="13" t="s">
        <v>70</v>
      </c>
      <c r="G449" s="14">
        <v>44589</v>
      </c>
      <c r="H449" s="13" t="s">
        <v>9</v>
      </c>
    </row>
    <row r="450" spans="1:8" ht="14.4" x14ac:dyDescent="0.3">
      <c r="A450" s="8">
        <v>79750452</v>
      </c>
      <c r="B450" s="11">
        <v>44579</v>
      </c>
      <c r="C450" s="13" t="s">
        <v>819</v>
      </c>
      <c r="D450" s="13" t="s">
        <v>820</v>
      </c>
      <c r="E450" s="8">
        <v>11000</v>
      </c>
      <c r="F450" s="13" t="s">
        <v>70</v>
      </c>
      <c r="G450" s="14">
        <v>44582</v>
      </c>
      <c r="H450" s="13" t="s">
        <v>9</v>
      </c>
    </row>
    <row r="451" spans="1:8" ht="14.4" x14ac:dyDescent="0.3">
      <c r="A451" s="8">
        <v>79750453</v>
      </c>
      <c r="B451" s="11">
        <v>44579</v>
      </c>
      <c r="C451" s="13" t="s">
        <v>821</v>
      </c>
      <c r="D451" s="13" t="s">
        <v>822</v>
      </c>
      <c r="E451" s="8">
        <v>18000</v>
      </c>
      <c r="F451" s="13" t="s">
        <v>70</v>
      </c>
      <c r="G451" s="14">
        <v>44711</v>
      </c>
      <c r="H451" s="13" t="s">
        <v>9</v>
      </c>
    </row>
    <row r="452" spans="1:8" ht="14.4" x14ac:dyDescent="0.3">
      <c r="A452" s="8">
        <v>79750454</v>
      </c>
      <c r="B452" s="11">
        <v>44579</v>
      </c>
      <c r="C452" s="13" t="s">
        <v>823</v>
      </c>
      <c r="D452" s="13" t="s">
        <v>824</v>
      </c>
      <c r="E452" s="8">
        <v>50000</v>
      </c>
      <c r="F452" s="13" t="s">
        <v>70</v>
      </c>
      <c r="G452" s="14">
        <v>44592</v>
      </c>
      <c r="H452" s="13" t="s">
        <v>9</v>
      </c>
    </row>
    <row r="453" spans="1:8" ht="14.4" x14ac:dyDescent="0.3">
      <c r="A453" s="8">
        <v>79750455</v>
      </c>
      <c r="B453" s="11">
        <v>44579</v>
      </c>
      <c r="C453" s="13" t="s">
        <v>825</v>
      </c>
      <c r="D453" s="13" t="s">
        <v>826</v>
      </c>
      <c r="E453" s="8">
        <v>15000</v>
      </c>
      <c r="F453" s="13" t="s">
        <v>70</v>
      </c>
      <c r="G453" s="14">
        <v>44592</v>
      </c>
      <c r="H453" s="13" t="s">
        <v>9</v>
      </c>
    </row>
    <row r="454" spans="1:8" ht="14.4" x14ac:dyDescent="0.3">
      <c r="A454" s="8">
        <v>79750456</v>
      </c>
      <c r="B454" s="11">
        <v>44579</v>
      </c>
      <c r="C454" s="13" t="s">
        <v>827</v>
      </c>
      <c r="D454" s="13" t="s">
        <v>828</v>
      </c>
      <c r="E454" s="8">
        <v>5000</v>
      </c>
      <c r="F454" s="13" t="s">
        <v>70</v>
      </c>
      <c r="G454" s="14">
        <v>44599</v>
      </c>
      <c r="H454" s="13" t="s">
        <v>9</v>
      </c>
    </row>
    <row r="455" spans="1:8" ht="14.4" x14ac:dyDescent="0.3">
      <c r="A455" s="8">
        <v>79750457</v>
      </c>
      <c r="B455" s="11">
        <v>44579</v>
      </c>
      <c r="C455" s="13" t="s">
        <v>829</v>
      </c>
      <c r="D455" s="13" t="s">
        <v>830</v>
      </c>
      <c r="E455" s="8">
        <v>6000</v>
      </c>
      <c r="F455" s="13" t="s">
        <v>70</v>
      </c>
      <c r="G455" s="14">
        <v>44686</v>
      </c>
      <c r="H455" s="13" t="s">
        <v>9</v>
      </c>
    </row>
    <row r="456" spans="1:8" ht="14.4" x14ac:dyDescent="0.3">
      <c r="A456" s="8">
        <v>79750458</v>
      </c>
      <c r="B456" s="11">
        <v>44579</v>
      </c>
      <c r="C456" s="13" t="s">
        <v>831</v>
      </c>
      <c r="D456" s="13" t="s">
        <v>832</v>
      </c>
      <c r="E456" s="8">
        <v>10000</v>
      </c>
      <c r="F456" s="13" t="s">
        <v>70</v>
      </c>
      <c r="G456" s="14">
        <v>44582</v>
      </c>
      <c r="H456" s="13" t="s">
        <v>9</v>
      </c>
    </row>
    <row r="457" spans="1:8" ht="14.4" x14ac:dyDescent="0.3">
      <c r="A457" s="8">
        <v>79750459</v>
      </c>
      <c r="B457" s="11">
        <v>44579</v>
      </c>
      <c r="C457" s="13" t="s">
        <v>833</v>
      </c>
      <c r="D457" s="13" t="s">
        <v>832</v>
      </c>
      <c r="E457" s="8">
        <v>10000</v>
      </c>
      <c r="F457" s="13" t="s">
        <v>70</v>
      </c>
      <c r="G457" s="14">
        <v>44582</v>
      </c>
      <c r="H457" s="13" t="s">
        <v>9</v>
      </c>
    </row>
    <row r="458" spans="1:8" ht="14.4" x14ac:dyDescent="0.3">
      <c r="A458" s="8">
        <v>79750460</v>
      </c>
      <c r="B458" s="11">
        <v>44579</v>
      </c>
      <c r="C458" s="13" t="s">
        <v>834</v>
      </c>
      <c r="D458" s="13" t="s">
        <v>835</v>
      </c>
      <c r="E458" s="8">
        <v>10000</v>
      </c>
      <c r="F458" s="13" t="s">
        <v>70</v>
      </c>
      <c r="G458" s="14">
        <v>44582</v>
      </c>
      <c r="H458" s="13" t="s">
        <v>9</v>
      </c>
    </row>
    <row r="459" spans="1:8" ht="14.4" x14ac:dyDescent="0.3">
      <c r="A459" s="8">
        <v>79750461</v>
      </c>
      <c r="B459" s="11">
        <v>44579</v>
      </c>
      <c r="C459" s="13" t="s">
        <v>836</v>
      </c>
      <c r="D459" s="13" t="s">
        <v>837</v>
      </c>
      <c r="E459" s="8">
        <v>2000</v>
      </c>
      <c r="F459" s="13" t="s">
        <v>70</v>
      </c>
      <c r="G459" s="14">
        <v>44602</v>
      </c>
      <c r="H459" s="13" t="s">
        <v>9</v>
      </c>
    </row>
    <row r="460" spans="1:8" ht="14.4" x14ac:dyDescent="0.3">
      <c r="A460" s="8">
        <v>79750462</v>
      </c>
      <c r="B460" s="11">
        <v>44579</v>
      </c>
      <c r="C460" s="13" t="s">
        <v>838</v>
      </c>
      <c r="D460" s="13" t="s">
        <v>302</v>
      </c>
      <c r="E460" s="8">
        <v>10000</v>
      </c>
      <c r="F460" s="13" t="s">
        <v>70</v>
      </c>
      <c r="G460" s="14">
        <v>44582</v>
      </c>
      <c r="H460" s="13" t="s">
        <v>9</v>
      </c>
    </row>
    <row r="461" spans="1:8" ht="14.4" x14ac:dyDescent="0.3">
      <c r="A461" s="8">
        <v>79750463</v>
      </c>
      <c r="B461" s="11">
        <v>44579</v>
      </c>
      <c r="C461" s="13" t="s">
        <v>839</v>
      </c>
      <c r="D461" s="13" t="s">
        <v>302</v>
      </c>
      <c r="E461" s="8">
        <v>10000</v>
      </c>
      <c r="F461" s="13" t="s">
        <v>70</v>
      </c>
      <c r="G461" s="14">
        <v>44582</v>
      </c>
      <c r="H461" s="13" t="s">
        <v>9</v>
      </c>
    </row>
    <row r="462" spans="1:8" ht="14.4" x14ac:dyDescent="0.3">
      <c r="A462" s="8">
        <v>79750464</v>
      </c>
      <c r="B462" s="11">
        <v>44579</v>
      </c>
      <c r="C462" s="13" t="s">
        <v>840</v>
      </c>
      <c r="D462" s="13" t="s">
        <v>302</v>
      </c>
      <c r="E462" s="8">
        <v>10000</v>
      </c>
      <c r="F462" s="13" t="s">
        <v>70</v>
      </c>
      <c r="G462" s="14">
        <v>44582</v>
      </c>
      <c r="H462" s="13" t="s">
        <v>9</v>
      </c>
    </row>
    <row r="463" spans="1:8" ht="14.4" x14ac:dyDescent="0.3">
      <c r="A463" s="8">
        <v>79750465</v>
      </c>
      <c r="B463" s="11">
        <v>44579</v>
      </c>
      <c r="C463" s="13" t="s">
        <v>841</v>
      </c>
      <c r="D463" s="13" t="s">
        <v>302</v>
      </c>
      <c r="E463" s="8">
        <v>10000</v>
      </c>
      <c r="F463" s="13" t="s">
        <v>70</v>
      </c>
      <c r="G463" s="14">
        <v>44582</v>
      </c>
      <c r="H463" s="13" t="s">
        <v>9</v>
      </c>
    </row>
    <row r="464" spans="1:8" ht="14.4" x14ac:dyDescent="0.3">
      <c r="A464" s="8">
        <v>79750466</v>
      </c>
      <c r="B464" s="11">
        <v>44579</v>
      </c>
      <c r="C464" s="13" t="s">
        <v>842</v>
      </c>
      <c r="D464" s="13" t="s">
        <v>843</v>
      </c>
      <c r="E464" s="8">
        <v>15000</v>
      </c>
      <c r="F464" s="13" t="s">
        <v>70</v>
      </c>
      <c r="G464" s="14">
        <v>44582</v>
      </c>
      <c r="H464" s="13" t="s">
        <v>9</v>
      </c>
    </row>
    <row r="465" spans="1:8" ht="14.4" x14ac:dyDescent="0.3">
      <c r="A465" s="8">
        <v>79750467</v>
      </c>
      <c r="B465" s="11">
        <v>44579</v>
      </c>
      <c r="C465" s="13" t="s">
        <v>844</v>
      </c>
      <c r="D465" s="13" t="s">
        <v>845</v>
      </c>
      <c r="E465" s="8">
        <v>2000</v>
      </c>
      <c r="F465" s="13" t="s">
        <v>70</v>
      </c>
      <c r="G465" s="14">
        <v>44602</v>
      </c>
      <c r="H465" s="13" t="s">
        <v>9</v>
      </c>
    </row>
    <row r="466" spans="1:8" ht="14.4" x14ac:dyDescent="0.3">
      <c r="A466" s="8">
        <v>79750468</v>
      </c>
      <c r="B466" s="11">
        <v>44579</v>
      </c>
      <c r="C466" s="13" t="s">
        <v>846</v>
      </c>
      <c r="D466" s="13" t="s">
        <v>845</v>
      </c>
      <c r="E466" s="8">
        <v>2000</v>
      </c>
      <c r="F466" s="13" t="s">
        <v>70</v>
      </c>
      <c r="G466" s="14">
        <v>44602</v>
      </c>
      <c r="H466" s="13" t="s">
        <v>9</v>
      </c>
    </row>
    <row r="467" spans="1:8" ht="14.4" x14ac:dyDescent="0.3">
      <c r="A467" s="8">
        <v>79750469</v>
      </c>
      <c r="B467" s="11">
        <v>44579</v>
      </c>
      <c r="C467" s="13" t="s">
        <v>847</v>
      </c>
      <c r="D467" s="13" t="s">
        <v>845</v>
      </c>
      <c r="E467" s="8">
        <v>2000</v>
      </c>
      <c r="F467" s="13" t="s">
        <v>70</v>
      </c>
      <c r="G467" s="14">
        <v>44602</v>
      </c>
      <c r="H467" s="13" t="s">
        <v>9</v>
      </c>
    </row>
    <row r="468" spans="1:8" ht="14.4" x14ac:dyDescent="0.3">
      <c r="A468" s="8">
        <v>79750470</v>
      </c>
      <c r="B468" s="11">
        <v>44579</v>
      </c>
      <c r="C468" s="13" t="s">
        <v>848</v>
      </c>
      <c r="D468" s="13" t="s">
        <v>845</v>
      </c>
      <c r="E468" s="8">
        <v>2000</v>
      </c>
      <c r="F468" s="13" t="s">
        <v>70</v>
      </c>
      <c r="G468" s="14">
        <v>44602</v>
      </c>
      <c r="H468" s="13" t="s">
        <v>9</v>
      </c>
    </row>
    <row r="469" spans="1:8" ht="14.4" x14ac:dyDescent="0.3">
      <c r="A469" s="8">
        <v>79750471</v>
      </c>
      <c r="B469" s="11">
        <v>44579</v>
      </c>
      <c r="C469" s="13" t="s">
        <v>849</v>
      </c>
      <c r="D469" s="13" t="s">
        <v>845</v>
      </c>
      <c r="E469" s="8">
        <v>2000</v>
      </c>
      <c r="F469" s="13" t="s">
        <v>70</v>
      </c>
      <c r="G469" s="14">
        <v>44602</v>
      </c>
      <c r="H469" s="13" t="s">
        <v>9</v>
      </c>
    </row>
    <row r="470" spans="1:8" ht="14.4" x14ac:dyDescent="0.3">
      <c r="A470" s="8">
        <v>79750472</v>
      </c>
      <c r="B470" s="11">
        <v>44579</v>
      </c>
      <c r="C470" s="13" t="s">
        <v>850</v>
      </c>
      <c r="D470" s="13" t="s">
        <v>845</v>
      </c>
      <c r="E470" s="8">
        <v>2000</v>
      </c>
      <c r="F470" s="13" t="s">
        <v>70</v>
      </c>
      <c r="G470" s="14">
        <v>44602</v>
      </c>
      <c r="H470" s="13" t="s">
        <v>9</v>
      </c>
    </row>
    <row r="471" spans="1:8" ht="14.4" x14ac:dyDescent="0.3">
      <c r="A471" s="8">
        <v>79750473</v>
      </c>
      <c r="B471" s="11">
        <v>44579</v>
      </c>
      <c r="C471" s="13" t="s">
        <v>851</v>
      </c>
      <c r="D471" s="13" t="s">
        <v>845</v>
      </c>
      <c r="E471" s="8">
        <v>2000</v>
      </c>
      <c r="F471" s="13" t="s">
        <v>70</v>
      </c>
      <c r="G471" s="14">
        <v>44602</v>
      </c>
      <c r="H471" s="13" t="s">
        <v>9</v>
      </c>
    </row>
    <row r="472" spans="1:8" ht="14.4" x14ac:dyDescent="0.3">
      <c r="A472" s="8">
        <v>79750474</v>
      </c>
      <c r="B472" s="11">
        <v>44579</v>
      </c>
      <c r="C472" s="13" t="s">
        <v>852</v>
      </c>
      <c r="D472" s="13" t="s">
        <v>845</v>
      </c>
      <c r="E472" s="8">
        <v>2000</v>
      </c>
      <c r="F472" s="13" t="s">
        <v>70</v>
      </c>
      <c r="G472" s="14">
        <v>44602</v>
      </c>
      <c r="H472" s="13" t="s">
        <v>9</v>
      </c>
    </row>
    <row r="473" spans="1:8" ht="14.4" x14ac:dyDescent="0.3">
      <c r="A473" s="8">
        <v>79750475</v>
      </c>
      <c r="B473" s="11">
        <v>44579</v>
      </c>
      <c r="C473" s="13" t="s">
        <v>853</v>
      </c>
      <c r="D473" s="13" t="s">
        <v>845</v>
      </c>
      <c r="E473" s="8">
        <v>2000</v>
      </c>
      <c r="F473" s="13" t="s">
        <v>70</v>
      </c>
      <c r="G473" s="14">
        <v>44602</v>
      </c>
      <c r="H473" s="13" t="s">
        <v>9</v>
      </c>
    </row>
    <row r="474" spans="1:8" ht="14.4" x14ac:dyDescent="0.3">
      <c r="A474" s="8">
        <v>79750476</v>
      </c>
      <c r="B474" s="11">
        <v>44579</v>
      </c>
      <c r="C474" s="13" t="s">
        <v>854</v>
      </c>
      <c r="D474" s="13" t="s">
        <v>845</v>
      </c>
      <c r="E474" s="8">
        <v>2000</v>
      </c>
      <c r="F474" s="13" t="s">
        <v>70</v>
      </c>
      <c r="G474" s="14">
        <v>44602</v>
      </c>
      <c r="H474" s="13" t="s">
        <v>9</v>
      </c>
    </row>
    <row r="475" spans="1:8" ht="14.4" x14ac:dyDescent="0.3">
      <c r="A475" s="8">
        <v>79750477</v>
      </c>
      <c r="B475" s="11">
        <v>44579</v>
      </c>
      <c r="C475" s="13" t="s">
        <v>855</v>
      </c>
      <c r="D475" s="13" t="s">
        <v>856</v>
      </c>
      <c r="E475" s="8">
        <v>7500</v>
      </c>
      <c r="F475" s="13" t="s">
        <v>70</v>
      </c>
      <c r="G475" s="14">
        <v>44582</v>
      </c>
      <c r="H475" s="13" t="s">
        <v>9</v>
      </c>
    </row>
    <row r="476" spans="1:8" ht="14.4" x14ac:dyDescent="0.3">
      <c r="A476" s="8">
        <v>79750478</v>
      </c>
      <c r="B476" s="11">
        <v>44579</v>
      </c>
      <c r="C476" s="13" t="s">
        <v>155</v>
      </c>
      <c r="D476" s="13" t="s">
        <v>857</v>
      </c>
      <c r="E476" s="8">
        <v>20000</v>
      </c>
      <c r="F476" s="13" t="s">
        <v>70</v>
      </c>
      <c r="G476" s="14">
        <v>44581</v>
      </c>
      <c r="H476" s="13" t="s">
        <v>9</v>
      </c>
    </row>
    <row r="477" spans="1:8" ht="14.4" x14ac:dyDescent="0.3">
      <c r="A477" s="8">
        <v>79750479</v>
      </c>
      <c r="B477" s="11">
        <v>44579</v>
      </c>
      <c r="C477" s="13" t="s">
        <v>677</v>
      </c>
      <c r="D477" s="13" t="s">
        <v>858</v>
      </c>
      <c r="E477" s="8">
        <v>20000</v>
      </c>
      <c r="F477" s="13" t="s">
        <v>70</v>
      </c>
      <c r="G477" s="14">
        <v>44582</v>
      </c>
      <c r="H477" s="13" t="s">
        <v>9</v>
      </c>
    </row>
    <row r="478" spans="1:8" ht="14.4" x14ac:dyDescent="0.3">
      <c r="A478" s="8">
        <v>79750480</v>
      </c>
      <c r="B478" s="11">
        <v>44579</v>
      </c>
      <c r="C478" s="13" t="s">
        <v>859</v>
      </c>
      <c r="D478" s="13" t="s">
        <v>860</v>
      </c>
      <c r="E478" s="8">
        <v>31783.46</v>
      </c>
      <c r="F478" s="13" t="s">
        <v>70</v>
      </c>
      <c r="G478" s="14">
        <v>44579</v>
      </c>
      <c r="H478" s="13" t="s">
        <v>9</v>
      </c>
    </row>
    <row r="479" spans="1:8" ht="14.4" x14ac:dyDescent="0.3">
      <c r="A479" s="8">
        <v>79750481</v>
      </c>
      <c r="B479" s="11">
        <v>44579</v>
      </c>
      <c r="C479" s="13" t="s">
        <v>861</v>
      </c>
      <c r="D479" s="13" t="s">
        <v>862</v>
      </c>
      <c r="E479" s="8">
        <v>47250</v>
      </c>
      <c r="F479" s="13" t="s">
        <v>70</v>
      </c>
      <c r="G479" s="14">
        <v>44581</v>
      </c>
      <c r="H479" s="13" t="s">
        <v>9</v>
      </c>
    </row>
    <row r="480" spans="1:8" ht="14.4" x14ac:dyDescent="0.3">
      <c r="A480" s="8">
        <v>79750482</v>
      </c>
      <c r="B480" s="11">
        <v>44579</v>
      </c>
      <c r="C480" s="13" t="s">
        <v>863</v>
      </c>
      <c r="D480" s="13" t="s">
        <v>864</v>
      </c>
      <c r="E480" s="8">
        <v>9000</v>
      </c>
      <c r="F480" s="13" t="s">
        <v>70</v>
      </c>
      <c r="G480" s="14">
        <v>44586</v>
      </c>
      <c r="H480" s="13" t="s">
        <v>9</v>
      </c>
    </row>
    <row r="481" spans="1:8" ht="14.4" x14ac:dyDescent="0.3">
      <c r="A481" s="8">
        <v>79750483</v>
      </c>
      <c r="B481" s="11">
        <v>44579</v>
      </c>
      <c r="C481" s="13" t="s">
        <v>863</v>
      </c>
      <c r="D481" s="13" t="s">
        <v>865</v>
      </c>
      <c r="E481" s="8">
        <v>7000</v>
      </c>
      <c r="F481" s="13" t="s">
        <v>70</v>
      </c>
      <c r="G481" s="14">
        <v>44586</v>
      </c>
      <c r="H481" s="13" t="s">
        <v>9</v>
      </c>
    </row>
    <row r="482" spans="1:8" ht="14.4" x14ac:dyDescent="0.3">
      <c r="A482" s="8">
        <v>79750484</v>
      </c>
      <c r="B482" s="11">
        <v>44579</v>
      </c>
      <c r="C482" s="13" t="s">
        <v>502</v>
      </c>
      <c r="D482" s="13" t="s">
        <v>866</v>
      </c>
      <c r="E482" s="8">
        <v>20000</v>
      </c>
      <c r="F482" s="13" t="s">
        <v>70</v>
      </c>
      <c r="G482" s="14">
        <v>44580</v>
      </c>
      <c r="H482" s="13" t="s">
        <v>9</v>
      </c>
    </row>
    <row r="483" spans="1:8" ht="14.4" x14ac:dyDescent="0.3">
      <c r="A483" s="8">
        <v>79750485</v>
      </c>
      <c r="B483" s="11">
        <v>44579</v>
      </c>
      <c r="C483" s="13" t="s">
        <v>867</v>
      </c>
      <c r="D483" s="13" t="s">
        <v>868</v>
      </c>
      <c r="E483" s="8">
        <v>9500</v>
      </c>
      <c r="F483" s="13" t="s">
        <v>70</v>
      </c>
      <c r="G483" s="14">
        <v>44586</v>
      </c>
      <c r="H483" s="13" t="s">
        <v>9</v>
      </c>
    </row>
    <row r="484" spans="1:8" ht="14.4" x14ac:dyDescent="0.3">
      <c r="A484" s="8">
        <v>79750486</v>
      </c>
      <c r="B484" s="11">
        <v>44579</v>
      </c>
      <c r="C484" s="13" t="s">
        <v>869</v>
      </c>
      <c r="D484" s="13" t="s">
        <v>870</v>
      </c>
      <c r="E484" s="8">
        <v>790885.37</v>
      </c>
      <c r="F484" s="13" t="s">
        <v>70</v>
      </c>
      <c r="G484" s="14">
        <v>44592</v>
      </c>
      <c r="H484" s="13" t="s">
        <v>9</v>
      </c>
    </row>
    <row r="485" spans="1:8" ht="14.4" x14ac:dyDescent="0.3">
      <c r="A485" s="8">
        <v>79750487</v>
      </c>
      <c r="B485" s="11">
        <v>44579</v>
      </c>
      <c r="C485" s="13" t="s">
        <v>871</v>
      </c>
      <c r="D485" s="13" t="s">
        <v>790</v>
      </c>
      <c r="E485" s="8">
        <v>9790</v>
      </c>
      <c r="F485" s="13" t="s">
        <v>70</v>
      </c>
      <c r="G485" s="14">
        <v>44582</v>
      </c>
      <c r="H485" s="13" t="s">
        <v>9</v>
      </c>
    </row>
    <row r="486" spans="1:8" ht="14.4" x14ac:dyDescent="0.3">
      <c r="A486" s="8">
        <v>79750488</v>
      </c>
      <c r="B486" s="11">
        <v>44579</v>
      </c>
      <c r="C486" s="13" t="s">
        <v>872</v>
      </c>
      <c r="D486" s="13" t="s">
        <v>790</v>
      </c>
      <c r="E486" s="8">
        <v>10000</v>
      </c>
      <c r="F486" s="13" t="s">
        <v>70</v>
      </c>
      <c r="G486" s="14">
        <v>44624</v>
      </c>
      <c r="H486" s="13" t="s">
        <v>9</v>
      </c>
    </row>
    <row r="487" spans="1:8" ht="14.4" x14ac:dyDescent="0.3">
      <c r="A487" s="8">
        <v>79750489</v>
      </c>
      <c r="B487" s="11">
        <v>44579</v>
      </c>
      <c r="C487" s="13" t="s">
        <v>873</v>
      </c>
      <c r="D487" s="13" t="s">
        <v>874</v>
      </c>
      <c r="E487" s="8">
        <v>20000</v>
      </c>
      <c r="F487" s="13" t="s">
        <v>70</v>
      </c>
      <c r="G487" s="14">
        <v>44580</v>
      </c>
      <c r="H487" s="13" t="s">
        <v>9</v>
      </c>
    </row>
    <row r="488" spans="1:8" ht="14.4" x14ac:dyDescent="0.3">
      <c r="A488" s="8">
        <v>79750490</v>
      </c>
      <c r="B488" s="11">
        <v>44579</v>
      </c>
      <c r="C488" s="13" t="s">
        <v>158</v>
      </c>
      <c r="D488" s="13" t="s">
        <v>875</v>
      </c>
      <c r="E488" s="8">
        <v>20000</v>
      </c>
      <c r="F488" s="13" t="s">
        <v>70</v>
      </c>
      <c r="G488" s="14">
        <v>44580</v>
      </c>
      <c r="H488" s="13" t="s">
        <v>9</v>
      </c>
    </row>
    <row r="489" spans="1:8" ht="14.4" x14ac:dyDescent="0.3">
      <c r="A489" s="8">
        <v>79750491</v>
      </c>
      <c r="B489" s="11">
        <v>44579</v>
      </c>
      <c r="C489" s="13" t="s">
        <v>876</v>
      </c>
      <c r="D489" s="13" t="s">
        <v>877</v>
      </c>
      <c r="E489" s="8">
        <v>20000</v>
      </c>
      <c r="F489" s="13" t="s">
        <v>70</v>
      </c>
      <c r="G489" s="14">
        <v>44588</v>
      </c>
      <c r="H489" s="13" t="s">
        <v>9</v>
      </c>
    </row>
    <row r="490" spans="1:8" ht="14.4" x14ac:dyDescent="0.3">
      <c r="A490" s="8">
        <v>79750492</v>
      </c>
      <c r="B490" s="11">
        <v>44579</v>
      </c>
      <c r="C490" s="13" t="s">
        <v>878</v>
      </c>
      <c r="D490" s="13" t="s">
        <v>879</v>
      </c>
      <c r="E490" s="8">
        <v>20000</v>
      </c>
      <c r="F490" s="13" t="s">
        <v>70</v>
      </c>
      <c r="G490" s="14">
        <v>44580</v>
      </c>
      <c r="H490" s="13" t="s">
        <v>9</v>
      </c>
    </row>
    <row r="491" spans="1:8" ht="14.4" x14ac:dyDescent="0.3">
      <c r="A491" s="8">
        <v>79750493</v>
      </c>
      <c r="B491" s="11">
        <v>44579</v>
      </c>
      <c r="C491" s="13" t="s">
        <v>880</v>
      </c>
      <c r="D491" s="13" t="s">
        <v>881</v>
      </c>
      <c r="E491" s="8">
        <v>20000</v>
      </c>
      <c r="F491" s="13" t="s">
        <v>70</v>
      </c>
      <c r="G491" s="14">
        <v>44580</v>
      </c>
      <c r="H491" s="13" t="s">
        <v>9</v>
      </c>
    </row>
    <row r="492" spans="1:8" ht="14.4" x14ac:dyDescent="0.3">
      <c r="A492" s="8">
        <v>79750494</v>
      </c>
      <c r="B492" s="11">
        <v>44579</v>
      </c>
      <c r="C492" s="13" t="s">
        <v>882</v>
      </c>
      <c r="D492" s="13" t="s">
        <v>883</v>
      </c>
      <c r="E492" s="8">
        <v>20000</v>
      </c>
      <c r="F492" s="13" t="s">
        <v>70</v>
      </c>
      <c r="G492" s="14">
        <v>44580</v>
      </c>
      <c r="H492" s="13" t="s">
        <v>9</v>
      </c>
    </row>
    <row r="493" spans="1:8" ht="14.4" x14ac:dyDescent="0.3">
      <c r="A493" s="8">
        <v>79750495</v>
      </c>
      <c r="B493" s="11">
        <v>44579</v>
      </c>
      <c r="C493" s="13" t="s">
        <v>884</v>
      </c>
      <c r="D493" s="13" t="s">
        <v>885</v>
      </c>
      <c r="E493" s="8">
        <v>51615</v>
      </c>
      <c r="F493" s="13" t="s">
        <v>70</v>
      </c>
      <c r="G493" s="14">
        <v>44579</v>
      </c>
      <c r="H493" s="13" t="s">
        <v>9</v>
      </c>
    </row>
    <row r="494" spans="1:8" ht="14.4" x14ac:dyDescent="0.3">
      <c r="A494" s="8">
        <v>79750496</v>
      </c>
      <c r="B494" s="11">
        <v>44579</v>
      </c>
      <c r="C494" s="13" t="s">
        <v>886</v>
      </c>
      <c r="D494" s="13" t="s">
        <v>887</v>
      </c>
      <c r="E494" s="8">
        <v>20000</v>
      </c>
      <c r="F494" s="13" t="s">
        <v>70</v>
      </c>
      <c r="G494" s="14">
        <v>44581</v>
      </c>
      <c r="H494" s="13" t="s">
        <v>9</v>
      </c>
    </row>
    <row r="495" spans="1:8" ht="14.4" x14ac:dyDescent="0.3">
      <c r="A495" s="8">
        <v>79750497</v>
      </c>
      <c r="B495" s="11">
        <v>44579</v>
      </c>
      <c r="C495" s="13" t="s">
        <v>888</v>
      </c>
      <c r="D495" s="13" t="s">
        <v>889</v>
      </c>
      <c r="E495" s="8">
        <v>4124.07</v>
      </c>
      <c r="F495" s="13" t="s">
        <v>70</v>
      </c>
      <c r="G495" s="14">
        <v>44582</v>
      </c>
      <c r="H495" s="13" t="s">
        <v>9</v>
      </c>
    </row>
    <row r="496" spans="1:8" ht="14.4" x14ac:dyDescent="0.3">
      <c r="A496" s="8">
        <v>79750498</v>
      </c>
      <c r="B496" s="11">
        <v>44579</v>
      </c>
      <c r="C496" s="13" t="s">
        <v>888</v>
      </c>
      <c r="D496" s="13" t="s">
        <v>889</v>
      </c>
      <c r="E496" s="8">
        <v>4687.5</v>
      </c>
      <c r="F496" s="13" t="s">
        <v>70</v>
      </c>
      <c r="G496" s="14">
        <v>44582</v>
      </c>
      <c r="H496" s="13" t="s">
        <v>9</v>
      </c>
    </row>
    <row r="497" spans="1:8" ht="14.4" x14ac:dyDescent="0.3">
      <c r="A497" s="8">
        <v>79750499</v>
      </c>
      <c r="B497" s="11">
        <v>44579</v>
      </c>
      <c r="C497" s="13" t="s">
        <v>888</v>
      </c>
      <c r="D497" s="13" t="s">
        <v>889</v>
      </c>
      <c r="E497" s="8">
        <v>3972.18</v>
      </c>
      <c r="F497" s="13" t="s">
        <v>70</v>
      </c>
      <c r="G497" s="14">
        <v>44582</v>
      </c>
      <c r="H497" s="13" t="s">
        <v>9</v>
      </c>
    </row>
    <row r="498" spans="1:8" ht="14.4" x14ac:dyDescent="0.3">
      <c r="A498" s="8">
        <v>79750500</v>
      </c>
      <c r="B498" s="11">
        <v>44579</v>
      </c>
      <c r="C498" s="13" t="s">
        <v>265</v>
      </c>
      <c r="D498" s="13" t="s">
        <v>890</v>
      </c>
      <c r="E498" s="8">
        <v>19800</v>
      </c>
      <c r="F498" s="13" t="s">
        <v>70</v>
      </c>
      <c r="G498" s="14">
        <v>44581</v>
      </c>
      <c r="H498" s="13" t="s">
        <v>9</v>
      </c>
    </row>
    <row r="499" spans="1:8" ht="14.4" x14ac:dyDescent="0.3">
      <c r="A499" s="8">
        <v>79750501</v>
      </c>
      <c r="B499" s="11">
        <v>44579</v>
      </c>
      <c r="C499" s="13" t="s">
        <v>863</v>
      </c>
      <c r="D499" s="13" t="s">
        <v>891</v>
      </c>
      <c r="E499" s="8">
        <v>10000</v>
      </c>
      <c r="F499" s="13" t="s">
        <v>70</v>
      </c>
      <c r="G499" s="14">
        <v>44586</v>
      </c>
      <c r="H499" s="13" t="s">
        <v>9</v>
      </c>
    </row>
    <row r="500" spans="1:8" ht="14.4" x14ac:dyDescent="0.3">
      <c r="A500" s="8">
        <v>79750502</v>
      </c>
      <c r="B500" s="11">
        <v>44579</v>
      </c>
      <c r="C500" s="13" t="s">
        <v>863</v>
      </c>
      <c r="D500" s="13" t="s">
        <v>892</v>
      </c>
      <c r="E500" s="8">
        <v>8000</v>
      </c>
      <c r="F500" s="13" t="s">
        <v>70</v>
      </c>
      <c r="G500" s="14">
        <v>44586</v>
      </c>
      <c r="H500" s="13" t="s">
        <v>9</v>
      </c>
    </row>
    <row r="501" spans="1:8" ht="14.4" x14ac:dyDescent="0.3">
      <c r="A501" s="8">
        <v>79750503</v>
      </c>
      <c r="B501" s="11">
        <v>44579</v>
      </c>
      <c r="C501" s="13" t="s">
        <v>893</v>
      </c>
      <c r="D501" s="13" t="s">
        <v>894</v>
      </c>
      <c r="E501" s="8">
        <v>227700</v>
      </c>
      <c r="F501" s="13" t="s">
        <v>70</v>
      </c>
      <c r="G501" s="14">
        <v>44599</v>
      </c>
      <c r="H501" s="13" t="s">
        <v>9</v>
      </c>
    </row>
    <row r="502" spans="1:8" ht="14.4" x14ac:dyDescent="0.3">
      <c r="A502" s="8">
        <v>79750504</v>
      </c>
      <c r="B502" s="11">
        <v>44579</v>
      </c>
      <c r="C502" s="13" t="s">
        <v>863</v>
      </c>
      <c r="D502" s="13" t="s">
        <v>895</v>
      </c>
      <c r="E502" s="8">
        <v>8000</v>
      </c>
      <c r="F502" s="13" t="s">
        <v>70</v>
      </c>
      <c r="G502" s="14">
        <v>44586</v>
      </c>
      <c r="H502" s="13" t="s">
        <v>9</v>
      </c>
    </row>
    <row r="503" spans="1:8" ht="14.4" x14ac:dyDescent="0.3">
      <c r="A503" s="8">
        <v>79750505</v>
      </c>
      <c r="B503" s="11">
        <v>44579</v>
      </c>
      <c r="C503" s="13" t="s">
        <v>863</v>
      </c>
      <c r="D503" s="13" t="s">
        <v>896</v>
      </c>
      <c r="E503" s="8">
        <v>9000</v>
      </c>
      <c r="F503" s="13" t="s">
        <v>70</v>
      </c>
      <c r="G503" s="14">
        <v>44586</v>
      </c>
      <c r="H503" s="13" t="s">
        <v>9</v>
      </c>
    </row>
    <row r="504" spans="1:8" ht="14.4" x14ac:dyDescent="0.3">
      <c r="A504" s="8">
        <v>79750506</v>
      </c>
      <c r="B504" s="11">
        <v>44579</v>
      </c>
      <c r="C504" s="13" t="s">
        <v>893</v>
      </c>
      <c r="D504" s="13" t="s">
        <v>897</v>
      </c>
      <c r="E504" s="8">
        <v>272000</v>
      </c>
      <c r="F504" s="13" t="s">
        <v>70</v>
      </c>
      <c r="G504" s="14">
        <v>44599</v>
      </c>
      <c r="H504" s="13" t="s">
        <v>9</v>
      </c>
    </row>
    <row r="505" spans="1:8" ht="14.4" x14ac:dyDescent="0.3">
      <c r="A505" s="8">
        <v>79750507</v>
      </c>
      <c r="B505" s="11">
        <v>44579</v>
      </c>
      <c r="C505" s="13" t="s">
        <v>898</v>
      </c>
      <c r="D505" s="13" t="s">
        <v>899</v>
      </c>
      <c r="E505" s="8">
        <v>2853.55</v>
      </c>
      <c r="F505" s="13" t="s">
        <v>70</v>
      </c>
      <c r="G505" s="14">
        <v>44582</v>
      </c>
      <c r="H505" s="13" t="s">
        <v>9</v>
      </c>
    </row>
    <row r="506" spans="1:8" ht="14.4" x14ac:dyDescent="0.3">
      <c r="A506" s="8">
        <v>79750508</v>
      </c>
      <c r="B506" s="11">
        <v>44579</v>
      </c>
      <c r="C506" s="13" t="s">
        <v>898</v>
      </c>
      <c r="D506" s="13" t="s">
        <v>900</v>
      </c>
      <c r="E506" s="8">
        <v>3795.73</v>
      </c>
      <c r="F506" s="13" t="s">
        <v>70</v>
      </c>
      <c r="G506" s="14">
        <v>44582</v>
      </c>
      <c r="H506" s="13" t="s">
        <v>9</v>
      </c>
    </row>
    <row r="507" spans="1:8" ht="14.4" x14ac:dyDescent="0.3">
      <c r="A507" s="8">
        <v>79750509</v>
      </c>
      <c r="B507" s="11">
        <v>44579</v>
      </c>
      <c r="C507" s="13" t="s">
        <v>180</v>
      </c>
      <c r="D507" s="13" t="s">
        <v>901</v>
      </c>
      <c r="E507" s="8">
        <v>298946.56</v>
      </c>
      <c r="F507" s="13" t="s">
        <v>70</v>
      </c>
      <c r="G507" s="14">
        <v>44581</v>
      </c>
      <c r="H507" s="13" t="s">
        <v>9</v>
      </c>
    </row>
    <row r="508" spans="1:8" ht="14.4" x14ac:dyDescent="0.3">
      <c r="A508" s="8">
        <v>79750510</v>
      </c>
      <c r="B508" s="11">
        <v>44579</v>
      </c>
      <c r="C508" s="13" t="s">
        <v>902</v>
      </c>
      <c r="D508" s="13" t="s">
        <v>903</v>
      </c>
      <c r="E508" s="8">
        <v>50000</v>
      </c>
      <c r="F508" s="13" t="s">
        <v>70</v>
      </c>
      <c r="G508" s="14">
        <v>44596</v>
      </c>
      <c r="H508" s="13" t="s">
        <v>9</v>
      </c>
    </row>
    <row r="509" spans="1:8" ht="14.4" x14ac:dyDescent="0.3">
      <c r="A509" s="8">
        <v>79750512</v>
      </c>
      <c r="B509" s="11">
        <v>44579</v>
      </c>
      <c r="C509" s="13" t="s">
        <v>904</v>
      </c>
      <c r="D509" s="13" t="s">
        <v>905</v>
      </c>
      <c r="E509" s="8">
        <v>27000</v>
      </c>
      <c r="F509" s="13" t="s">
        <v>70</v>
      </c>
      <c r="G509" s="14">
        <v>44589</v>
      </c>
      <c r="H509" s="13" t="s">
        <v>9</v>
      </c>
    </row>
    <row r="510" spans="1:8" ht="14.4" x14ac:dyDescent="0.3">
      <c r="A510" s="8">
        <v>79750513</v>
      </c>
      <c r="B510" s="11">
        <v>44579</v>
      </c>
      <c r="C510" s="13" t="s">
        <v>906</v>
      </c>
      <c r="D510" s="13" t="s">
        <v>907</v>
      </c>
      <c r="E510" s="8">
        <v>18000</v>
      </c>
      <c r="F510" s="13" t="s">
        <v>70</v>
      </c>
      <c r="G510" s="14">
        <v>44592</v>
      </c>
      <c r="H510" s="13" t="s">
        <v>9</v>
      </c>
    </row>
    <row r="511" spans="1:8" ht="14.4" x14ac:dyDescent="0.3">
      <c r="A511" s="8">
        <v>79750514</v>
      </c>
      <c r="B511" s="11">
        <v>44579</v>
      </c>
      <c r="C511" s="13" t="s">
        <v>908</v>
      </c>
      <c r="D511" s="13" t="s">
        <v>909</v>
      </c>
      <c r="E511" s="8">
        <v>40000</v>
      </c>
      <c r="F511" s="13" t="s">
        <v>70</v>
      </c>
      <c r="G511" s="14">
        <v>44586</v>
      </c>
      <c r="H511" s="13" t="s">
        <v>9</v>
      </c>
    </row>
    <row r="512" spans="1:8" ht="14.4" x14ac:dyDescent="0.3">
      <c r="A512" s="8">
        <v>79750515</v>
      </c>
      <c r="B512" s="11">
        <v>44579</v>
      </c>
      <c r="C512" s="13" t="s">
        <v>910</v>
      </c>
      <c r="D512" s="13" t="s">
        <v>911</v>
      </c>
      <c r="E512" s="8">
        <v>11000</v>
      </c>
      <c r="F512" s="13" t="s">
        <v>70</v>
      </c>
      <c r="G512" s="14">
        <v>44592</v>
      </c>
      <c r="H512" s="13" t="s">
        <v>9</v>
      </c>
    </row>
    <row r="513" spans="1:8" ht="14.4" x14ac:dyDescent="0.3">
      <c r="A513" s="8">
        <v>79750516</v>
      </c>
      <c r="B513" s="11">
        <v>44579</v>
      </c>
      <c r="C513" s="13" t="s">
        <v>912</v>
      </c>
      <c r="D513" s="13" t="s">
        <v>913</v>
      </c>
      <c r="E513" s="8">
        <v>9000</v>
      </c>
      <c r="F513" s="13" t="s">
        <v>70</v>
      </c>
      <c r="G513" s="14">
        <v>44589</v>
      </c>
      <c r="H513" s="13" t="s">
        <v>9</v>
      </c>
    </row>
    <row r="514" spans="1:8" ht="14.4" x14ac:dyDescent="0.3">
      <c r="A514" s="8">
        <v>79750517</v>
      </c>
      <c r="B514" s="11">
        <v>44579</v>
      </c>
      <c r="C514" s="13" t="s">
        <v>914</v>
      </c>
      <c r="D514" s="13" t="s">
        <v>915</v>
      </c>
      <c r="E514" s="8">
        <v>50000</v>
      </c>
      <c r="F514" s="13" t="s">
        <v>70</v>
      </c>
      <c r="G514" s="14">
        <v>44592</v>
      </c>
      <c r="H514" s="13" t="s">
        <v>9</v>
      </c>
    </row>
    <row r="515" spans="1:8" ht="14.4" x14ac:dyDescent="0.3">
      <c r="A515" s="8">
        <v>79750518</v>
      </c>
      <c r="B515" s="11">
        <v>44579</v>
      </c>
      <c r="C515" s="13" t="s">
        <v>916</v>
      </c>
      <c r="D515" s="13" t="s">
        <v>917</v>
      </c>
      <c r="E515" s="8">
        <v>10000</v>
      </c>
      <c r="F515" s="13" t="s">
        <v>70</v>
      </c>
      <c r="G515" s="14">
        <v>44594</v>
      </c>
      <c r="H515" s="13" t="s">
        <v>9</v>
      </c>
    </row>
    <row r="516" spans="1:8" ht="14.4" x14ac:dyDescent="0.3">
      <c r="A516" s="8">
        <v>79750519</v>
      </c>
      <c r="B516" s="11">
        <v>44579</v>
      </c>
      <c r="C516" s="13" t="s">
        <v>918</v>
      </c>
      <c r="D516" s="13" t="s">
        <v>919</v>
      </c>
      <c r="E516" s="8">
        <v>35000</v>
      </c>
      <c r="F516" s="13" t="s">
        <v>70</v>
      </c>
      <c r="G516" s="14">
        <v>44595</v>
      </c>
      <c r="H516" s="13" t="s">
        <v>9</v>
      </c>
    </row>
    <row r="517" spans="1:8" ht="14.4" x14ac:dyDescent="0.3">
      <c r="A517" s="8">
        <v>79750520</v>
      </c>
      <c r="B517" s="11">
        <v>44579</v>
      </c>
      <c r="C517" s="13" t="s">
        <v>920</v>
      </c>
      <c r="D517" s="13" t="s">
        <v>921</v>
      </c>
      <c r="E517" s="8">
        <v>50000</v>
      </c>
      <c r="F517" s="13" t="s">
        <v>70</v>
      </c>
      <c r="G517" s="14">
        <v>44592</v>
      </c>
      <c r="H517" s="13" t="s">
        <v>9</v>
      </c>
    </row>
    <row r="518" spans="1:8" ht="14.4" x14ac:dyDescent="0.3">
      <c r="A518" s="8">
        <v>79750521</v>
      </c>
      <c r="B518" s="11">
        <v>44579</v>
      </c>
      <c r="C518" s="13" t="s">
        <v>922</v>
      </c>
      <c r="D518" s="13" t="s">
        <v>923</v>
      </c>
      <c r="E518" s="8">
        <v>10000</v>
      </c>
      <c r="F518" s="13" t="s">
        <v>70</v>
      </c>
      <c r="G518" s="14">
        <v>44588</v>
      </c>
      <c r="H518" s="13" t="s">
        <v>9</v>
      </c>
    </row>
    <row r="519" spans="1:8" ht="14.4" x14ac:dyDescent="0.3">
      <c r="A519" s="8">
        <v>79750522</v>
      </c>
      <c r="B519" s="11">
        <v>44579</v>
      </c>
      <c r="C519" s="13" t="s">
        <v>924</v>
      </c>
      <c r="D519" s="13" t="s">
        <v>925</v>
      </c>
      <c r="E519" s="8">
        <v>30000</v>
      </c>
      <c r="F519" s="13" t="s">
        <v>70</v>
      </c>
      <c r="G519" s="14">
        <v>44594</v>
      </c>
      <c r="H519" s="13" t="s">
        <v>9</v>
      </c>
    </row>
    <row r="520" spans="1:8" ht="14.4" x14ac:dyDescent="0.3">
      <c r="A520" s="8">
        <v>79750523</v>
      </c>
      <c r="B520" s="11">
        <v>44579</v>
      </c>
      <c r="C520" s="13" t="s">
        <v>926</v>
      </c>
      <c r="D520" s="13" t="s">
        <v>927</v>
      </c>
      <c r="E520" s="8">
        <v>7000</v>
      </c>
      <c r="F520" s="13" t="s">
        <v>70</v>
      </c>
      <c r="G520" s="14">
        <v>44592</v>
      </c>
      <c r="H520" s="13" t="s">
        <v>9</v>
      </c>
    </row>
    <row r="521" spans="1:8" ht="14.4" x14ac:dyDescent="0.3">
      <c r="A521" s="8">
        <v>79750524</v>
      </c>
      <c r="B521" s="11">
        <v>44579</v>
      </c>
      <c r="C521" s="13" t="s">
        <v>928</v>
      </c>
      <c r="D521" s="13" t="s">
        <v>929</v>
      </c>
      <c r="E521" s="8">
        <v>50000</v>
      </c>
      <c r="F521" s="13" t="s">
        <v>70</v>
      </c>
      <c r="G521" s="14">
        <v>44582</v>
      </c>
      <c r="H521" s="13" t="s">
        <v>9</v>
      </c>
    </row>
    <row r="522" spans="1:8" ht="14.4" x14ac:dyDescent="0.3">
      <c r="A522" s="8">
        <v>79750525</v>
      </c>
      <c r="B522" s="11">
        <v>44579</v>
      </c>
      <c r="C522" s="13" t="s">
        <v>930</v>
      </c>
      <c r="D522" s="13" t="s">
        <v>931</v>
      </c>
      <c r="E522" s="8">
        <v>30000</v>
      </c>
      <c r="F522" s="13" t="s">
        <v>70</v>
      </c>
      <c r="G522" s="14">
        <v>44589</v>
      </c>
      <c r="H522" s="13" t="s">
        <v>9</v>
      </c>
    </row>
    <row r="523" spans="1:8" ht="14.4" x14ac:dyDescent="0.3">
      <c r="A523" s="8">
        <v>79750526</v>
      </c>
      <c r="B523" s="11">
        <v>44579</v>
      </c>
      <c r="C523" s="13" t="s">
        <v>932</v>
      </c>
      <c r="D523" s="13" t="s">
        <v>933</v>
      </c>
      <c r="E523" s="8">
        <v>18000</v>
      </c>
      <c r="F523" s="13" t="s">
        <v>70</v>
      </c>
      <c r="G523" s="14">
        <v>44581</v>
      </c>
      <c r="H523" s="13" t="s">
        <v>9</v>
      </c>
    </row>
    <row r="524" spans="1:8" ht="14.4" x14ac:dyDescent="0.3">
      <c r="A524" s="8">
        <v>79750527</v>
      </c>
      <c r="B524" s="11">
        <v>44579</v>
      </c>
      <c r="C524" s="13" t="s">
        <v>934</v>
      </c>
      <c r="D524" s="13" t="s">
        <v>935</v>
      </c>
      <c r="E524" s="8">
        <v>30000</v>
      </c>
      <c r="F524" s="13" t="s">
        <v>70</v>
      </c>
      <c r="G524" s="14">
        <v>44581</v>
      </c>
      <c r="H524" s="13" t="s">
        <v>9</v>
      </c>
    </row>
    <row r="525" spans="1:8" ht="14.4" x14ac:dyDescent="0.3">
      <c r="A525" s="8">
        <v>79750528</v>
      </c>
      <c r="B525" s="11">
        <v>44579</v>
      </c>
      <c r="C525" s="13" t="s">
        <v>48</v>
      </c>
      <c r="D525" s="13" t="s">
        <v>936</v>
      </c>
      <c r="E525" s="8">
        <v>38800</v>
      </c>
      <c r="F525" s="13" t="s">
        <v>70</v>
      </c>
      <c r="G525" s="14">
        <v>44581</v>
      </c>
      <c r="H525" s="13" t="s">
        <v>9</v>
      </c>
    </row>
    <row r="526" spans="1:8" ht="14.4" x14ac:dyDescent="0.3">
      <c r="A526" s="8">
        <v>79750529</v>
      </c>
      <c r="B526" s="11">
        <v>44579</v>
      </c>
      <c r="C526" s="13" t="s">
        <v>937</v>
      </c>
      <c r="D526" s="13" t="s">
        <v>938</v>
      </c>
      <c r="E526" s="8">
        <v>18000</v>
      </c>
      <c r="F526" s="13" t="s">
        <v>70</v>
      </c>
      <c r="G526" s="14">
        <v>44596</v>
      </c>
      <c r="H526" s="13" t="s">
        <v>9</v>
      </c>
    </row>
    <row r="527" spans="1:8" ht="14.4" x14ac:dyDescent="0.3">
      <c r="A527" s="8">
        <v>79750530</v>
      </c>
      <c r="B527" s="11">
        <v>44579</v>
      </c>
      <c r="C527" s="13" t="s">
        <v>939</v>
      </c>
      <c r="D527" s="13" t="s">
        <v>940</v>
      </c>
      <c r="E527" s="8">
        <v>10000</v>
      </c>
      <c r="F527" s="13" t="s">
        <v>70</v>
      </c>
      <c r="G527" s="14">
        <v>44585</v>
      </c>
      <c r="H527" s="13" t="s">
        <v>9</v>
      </c>
    </row>
    <row r="528" spans="1:8" ht="14.4" x14ac:dyDescent="0.3">
      <c r="A528" s="8">
        <v>79750531</v>
      </c>
      <c r="B528" s="11">
        <v>44579</v>
      </c>
      <c r="C528" s="13" t="s">
        <v>941</v>
      </c>
      <c r="D528" s="13" t="s">
        <v>942</v>
      </c>
      <c r="E528" s="8">
        <v>10000</v>
      </c>
      <c r="F528" s="13" t="s">
        <v>70</v>
      </c>
      <c r="G528" s="14">
        <v>44589</v>
      </c>
      <c r="H528" s="13" t="s">
        <v>9</v>
      </c>
    </row>
    <row r="529" spans="1:8" ht="14.4" x14ac:dyDescent="0.3">
      <c r="A529" s="8">
        <v>79750532</v>
      </c>
      <c r="B529" s="11">
        <v>44579</v>
      </c>
      <c r="C529" s="13" t="s">
        <v>943</v>
      </c>
      <c r="D529" s="13" t="s">
        <v>944</v>
      </c>
      <c r="E529" s="8">
        <v>25000</v>
      </c>
      <c r="F529" s="13" t="s">
        <v>70</v>
      </c>
      <c r="G529" s="14">
        <v>44589</v>
      </c>
      <c r="H529" s="13" t="s">
        <v>9</v>
      </c>
    </row>
    <row r="530" spans="1:8" ht="14.4" x14ac:dyDescent="0.3">
      <c r="A530" s="8">
        <v>79750533</v>
      </c>
      <c r="B530" s="11">
        <v>44580</v>
      </c>
      <c r="C530" s="13" t="s">
        <v>945</v>
      </c>
      <c r="D530" s="13" t="s">
        <v>946</v>
      </c>
      <c r="E530" s="8">
        <v>10000</v>
      </c>
      <c r="F530" s="13" t="s">
        <v>70</v>
      </c>
      <c r="G530" s="14">
        <v>44589</v>
      </c>
      <c r="H530" s="13" t="s">
        <v>9</v>
      </c>
    </row>
    <row r="531" spans="1:8" ht="14.4" x14ac:dyDescent="0.3">
      <c r="A531" s="8">
        <v>79750534</v>
      </c>
      <c r="B531" s="11">
        <v>44580</v>
      </c>
      <c r="C531" s="13" t="s">
        <v>506</v>
      </c>
      <c r="D531" s="13" t="s">
        <v>947</v>
      </c>
      <c r="E531" s="8">
        <v>41000</v>
      </c>
      <c r="F531" s="13" t="s">
        <v>70</v>
      </c>
      <c r="G531" s="14">
        <v>44599</v>
      </c>
      <c r="H531" s="13" t="s">
        <v>9</v>
      </c>
    </row>
    <row r="532" spans="1:8" ht="14.4" x14ac:dyDescent="0.3">
      <c r="A532" s="8">
        <v>79750535</v>
      </c>
      <c r="B532" s="11">
        <v>44580</v>
      </c>
      <c r="C532" s="13" t="s">
        <v>827</v>
      </c>
      <c r="D532" s="13" t="s">
        <v>948</v>
      </c>
      <c r="E532" s="8">
        <v>27000</v>
      </c>
      <c r="F532" s="13" t="s">
        <v>70</v>
      </c>
      <c r="G532" s="14">
        <v>44599</v>
      </c>
      <c r="H532" s="13" t="s">
        <v>9</v>
      </c>
    </row>
    <row r="533" spans="1:8" ht="14.4" x14ac:dyDescent="0.3">
      <c r="A533" s="8">
        <v>79750536</v>
      </c>
      <c r="B533" s="11">
        <v>44580</v>
      </c>
      <c r="C533" s="13" t="s">
        <v>669</v>
      </c>
      <c r="D533" s="13" t="s">
        <v>949</v>
      </c>
      <c r="E533" s="8">
        <v>98000</v>
      </c>
      <c r="F533" s="13" t="s">
        <v>70</v>
      </c>
      <c r="G533" s="14">
        <v>44599</v>
      </c>
      <c r="H533" s="13" t="s">
        <v>9</v>
      </c>
    </row>
    <row r="534" spans="1:8" ht="14.4" x14ac:dyDescent="0.3">
      <c r="A534" s="8">
        <v>79750537</v>
      </c>
      <c r="B534" s="11">
        <v>44580</v>
      </c>
      <c r="C534" s="13" t="s">
        <v>176</v>
      </c>
      <c r="D534" s="13" t="s">
        <v>950</v>
      </c>
      <c r="E534" s="8">
        <v>70000</v>
      </c>
      <c r="F534" s="13" t="s">
        <v>70</v>
      </c>
      <c r="G534" s="14">
        <v>44599</v>
      </c>
      <c r="H534" s="13" t="s">
        <v>9</v>
      </c>
    </row>
    <row r="535" spans="1:8" ht="14.4" x14ac:dyDescent="0.3">
      <c r="A535" s="8">
        <v>79750538</v>
      </c>
      <c r="B535" s="11">
        <v>44580</v>
      </c>
      <c r="C535" s="13" t="s">
        <v>884</v>
      </c>
      <c r="D535" s="13" t="s">
        <v>951</v>
      </c>
      <c r="E535" s="8">
        <v>18000</v>
      </c>
      <c r="F535" s="13" t="s">
        <v>70</v>
      </c>
      <c r="G535" s="14">
        <v>44581</v>
      </c>
      <c r="H535" s="13" t="s">
        <v>9</v>
      </c>
    </row>
    <row r="536" spans="1:8" ht="14.4" x14ac:dyDescent="0.3">
      <c r="A536" s="8">
        <v>79750539</v>
      </c>
      <c r="B536" s="11">
        <v>44580</v>
      </c>
      <c r="C536" s="13" t="s">
        <v>152</v>
      </c>
      <c r="D536" s="13" t="s">
        <v>952</v>
      </c>
      <c r="E536" s="8">
        <v>6000</v>
      </c>
      <c r="F536" s="13" t="s">
        <v>70</v>
      </c>
      <c r="G536" s="14">
        <v>44586</v>
      </c>
      <c r="H536" s="13" t="s">
        <v>9</v>
      </c>
    </row>
    <row r="537" spans="1:8" ht="14.4" x14ac:dyDescent="0.3">
      <c r="A537" s="8">
        <v>79750541</v>
      </c>
      <c r="B537" s="11">
        <v>44580</v>
      </c>
      <c r="C537" s="13" t="s">
        <v>175</v>
      </c>
      <c r="D537" s="13" t="s">
        <v>953</v>
      </c>
      <c r="E537" s="8">
        <v>23467.5</v>
      </c>
      <c r="F537" s="13" t="s">
        <v>70</v>
      </c>
      <c r="G537" s="14">
        <v>44686</v>
      </c>
      <c r="H537" s="13" t="s">
        <v>9</v>
      </c>
    </row>
    <row r="538" spans="1:8" ht="14.4" x14ac:dyDescent="0.3">
      <c r="A538" s="8">
        <v>79750542</v>
      </c>
      <c r="B538" s="11">
        <v>44580</v>
      </c>
      <c r="C538" s="13" t="s">
        <v>748</v>
      </c>
      <c r="D538" s="13" t="s">
        <v>954</v>
      </c>
      <c r="E538" s="8">
        <v>30286.76</v>
      </c>
      <c r="F538" s="13" t="s">
        <v>70</v>
      </c>
      <c r="G538" s="14">
        <v>44585</v>
      </c>
      <c r="H538" s="13" t="s">
        <v>9</v>
      </c>
    </row>
    <row r="539" spans="1:8" ht="14.4" x14ac:dyDescent="0.3">
      <c r="A539" s="8">
        <v>79750543</v>
      </c>
      <c r="B539" s="11">
        <v>44580</v>
      </c>
      <c r="C539" s="13" t="s">
        <v>124</v>
      </c>
      <c r="D539" s="13" t="s">
        <v>955</v>
      </c>
      <c r="E539" s="8">
        <v>10850.06</v>
      </c>
      <c r="F539" s="13" t="s">
        <v>70</v>
      </c>
      <c r="G539" s="14">
        <v>44588</v>
      </c>
      <c r="H539" s="13" t="s">
        <v>9</v>
      </c>
    </row>
    <row r="540" spans="1:8" ht="14.4" x14ac:dyDescent="0.3">
      <c r="A540" s="8">
        <v>79750544</v>
      </c>
      <c r="B540" s="11">
        <v>44580</v>
      </c>
      <c r="C540" s="13" t="s">
        <v>217</v>
      </c>
      <c r="D540" s="13" t="s">
        <v>956</v>
      </c>
      <c r="E540" s="8">
        <v>10390</v>
      </c>
      <c r="F540" s="13" t="s">
        <v>70</v>
      </c>
      <c r="G540" s="14">
        <v>44589</v>
      </c>
      <c r="H540" s="13" t="s">
        <v>9</v>
      </c>
    </row>
    <row r="541" spans="1:8" ht="14.4" x14ac:dyDescent="0.3">
      <c r="A541" s="8">
        <v>79750545</v>
      </c>
      <c r="B541" s="11">
        <v>44580</v>
      </c>
      <c r="C541" s="13" t="s">
        <v>957</v>
      </c>
      <c r="D541" s="13" t="s">
        <v>958</v>
      </c>
      <c r="E541" s="8">
        <v>2250</v>
      </c>
      <c r="F541" s="13" t="s">
        <v>70</v>
      </c>
      <c r="G541" s="14">
        <v>44582</v>
      </c>
      <c r="H541" s="13" t="s">
        <v>9</v>
      </c>
    </row>
    <row r="542" spans="1:8" ht="14.4" x14ac:dyDescent="0.3">
      <c r="A542" s="8">
        <v>79750546</v>
      </c>
      <c r="B542" s="11">
        <v>44580</v>
      </c>
      <c r="C542" s="13" t="s">
        <v>44</v>
      </c>
      <c r="D542" s="13" t="s">
        <v>959</v>
      </c>
      <c r="E542" s="8">
        <v>6310.68</v>
      </c>
      <c r="F542" s="13" t="s">
        <v>70</v>
      </c>
      <c r="G542" s="14">
        <v>44582</v>
      </c>
      <c r="H542" s="13" t="s">
        <v>9</v>
      </c>
    </row>
    <row r="543" spans="1:8" ht="14.4" x14ac:dyDescent="0.3">
      <c r="A543" s="8">
        <v>79750547</v>
      </c>
      <c r="B543" s="11">
        <v>44580</v>
      </c>
      <c r="C543" s="13" t="s">
        <v>44</v>
      </c>
      <c r="D543" s="13" t="s">
        <v>960</v>
      </c>
      <c r="E543" s="8">
        <v>72450</v>
      </c>
      <c r="F543" s="13" t="s">
        <v>70</v>
      </c>
      <c r="G543" s="14">
        <v>44582</v>
      </c>
      <c r="H543" s="13" t="s">
        <v>9</v>
      </c>
    </row>
    <row r="544" spans="1:8" ht="14.4" x14ac:dyDescent="0.3">
      <c r="A544" s="8">
        <v>79750548</v>
      </c>
      <c r="B544" s="11">
        <v>44580</v>
      </c>
      <c r="C544" s="13" t="s">
        <v>961</v>
      </c>
      <c r="D544" s="13" t="s">
        <v>962</v>
      </c>
      <c r="E544" s="8">
        <v>12000</v>
      </c>
      <c r="F544" s="13" t="s">
        <v>70</v>
      </c>
      <c r="G544" s="14">
        <v>44592</v>
      </c>
      <c r="H544" s="13" t="s">
        <v>9</v>
      </c>
    </row>
    <row r="545" spans="1:8" ht="14.4" x14ac:dyDescent="0.3">
      <c r="A545" s="8">
        <v>79750549</v>
      </c>
      <c r="B545" s="11">
        <v>44580</v>
      </c>
      <c r="C545" s="13" t="s">
        <v>963</v>
      </c>
      <c r="D545" s="13" t="s">
        <v>964</v>
      </c>
      <c r="E545" s="8">
        <v>7000</v>
      </c>
      <c r="F545" s="13" t="s">
        <v>70</v>
      </c>
      <c r="G545" s="14">
        <v>44592</v>
      </c>
      <c r="H545" s="13" t="s">
        <v>9</v>
      </c>
    </row>
    <row r="546" spans="1:8" ht="14.4" x14ac:dyDescent="0.3">
      <c r="A546" s="8">
        <v>79750550</v>
      </c>
      <c r="B546" s="11">
        <v>44580</v>
      </c>
      <c r="C546" s="13" t="s">
        <v>965</v>
      </c>
      <c r="D546" s="13" t="s">
        <v>966</v>
      </c>
      <c r="E546" s="8">
        <v>10000</v>
      </c>
      <c r="F546" s="13" t="s">
        <v>70</v>
      </c>
      <c r="G546" s="14">
        <v>44592</v>
      </c>
      <c r="H546" s="13" t="s">
        <v>9</v>
      </c>
    </row>
    <row r="547" spans="1:8" ht="14.4" x14ac:dyDescent="0.3">
      <c r="A547" s="8">
        <v>79750551</v>
      </c>
      <c r="B547" s="11">
        <v>44580</v>
      </c>
      <c r="C547" s="13" t="s">
        <v>967</v>
      </c>
      <c r="D547" s="13" t="s">
        <v>968</v>
      </c>
      <c r="E547" s="8">
        <v>25000</v>
      </c>
      <c r="F547" s="13" t="s">
        <v>70</v>
      </c>
      <c r="G547" s="14">
        <v>44592</v>
      </c>
      <c r="H547" s="13" t="s">
        <v>9</v>
      </c>
    </row>
    <row r="548" spans="1:8" ht="14.4" x14ac:dyDescent="0.3">
      <c r="A548" s="8">
        <v>79750552</v>
      </c>
      <c r="B548" s="11">
        <v>44580</v>
      </c>
      <c r="C548" s="13" t="s">
        <v>969</v>
      </c>
      <c r="D548" s="13" t="s">
        <v>970</v>
      </c>
      <c r="E548" s="8">
        <v>20000</v>
      </c>
      <c r="F548" s="13" t="s">
        <v>70</v>
      </c>
      <c r="G548" s="14">
        <v>44592</v>
      </c>
      <c r="H548" s="13" t="s">
        <v>9</v>
      </c>
    </row>
    <row r="549" spans="1:8" ht="14.4" x14ac:dyDescent="0.3">
      <c r="A549" s="8">
        <v>79750553</v>
      </c>
      <c r="B549" s="11">
        <v>44580</v>
      </c>
      <c r="C549" s="13" t="s">
        <v>971</v>
      </c>
      <c r="D549" s="13" t="s">
        <v>972</v>
      </c>
      <c r="E549" s="8">
        <v>16000</v>
      </c>
      <c r="F549" s="13" t="s">
        <v>70</v>
      </c>
      <c r="G549" s="14">
        <v>44592</v>
      </c>
      <c r="H549" s="13" t="s">
        <v>9</v>
      </c>
    </row>
    <row r="550" spans="1:8" ht="14.4" x14ac:dyDescent="0.3">
      <c r="A550" s="8">
        <v>79750554</v>
      </c>
      <c r="B550" s="11">
        <v>44580</v>
      </c>
      <c r="C550" s="13" t="s">
        <v>50</v>
      </c>
      <c r="D550" s="13" t="s">
        <v>973</v>
      </c>
      <c r="E550" s="8">
        <v>48000</v>
      </c>
      <c r="F550" s="13" t="s">
        <v>70</v>
      </c>
      <c r="G550" s="14">
        <v>44588</v>
      </c>
      <c r="H550" s="13" t="s">
        <v>9</v>
      </c>
    </row>
    <row r="551" spans="1:8" ht="14.4" x14ac:dyDescent="0.3">
      <c r="A551" s="8">
        <v>79750555</v>
      </c>
      <c r="B551" s="11">
        <v>44580</v>
      </c>
      <c r="C551" s="13" t="s">
        <v>974</v>
      </c>
      <c r="D551" s="13" t="s">
        <v>975</v>
      </c>
      <c r="E551" s="8">
        <v>10000</v>
      </c>
      <c r="F551" s="13" t="s">
        <v>70</v>
      </c>
      <c r="G551" s="14">
        <v>44592</v>
      </c>
      <c r="H551" s="13" t="s">
        <v>9</v>
      </c>
    </row>
    <row r="552" spans="1:8" ht="14.4" x14ac:dyDescent="0.3">
      <c r="A552" s="8">
        <v>79750556</v>
      </c>
      <c r="B552" s="11">
        <v>44580</v>
      </c>
      <c r="C552" s="13" t="s">
        <v>50</v>
      </c>
      <c r="D552" s="13" t="s">
        <v>976</v>
      </c>
      <c r="E552" s="8">
        <v>60000</v>
      </c>
      <c r="F552" s="13" t="s">
        <v>70</v>
      </c>
      <c r="G552" s="14">
        <v>44588</v>
      </c>
      <c r="H552" s="13" t="s">
        <v>9</v>
      </c>
    </row>
    <row r="553" spans="1:8" ht="14.4" x14ac:dyDescent="0.3">
      <c r="A553" s="8">
        <v>79750557</v>
      </c>
      <c r="B553" s="11">
        <v>44580</v>
      </c>
      <c r="C553" s="13" t="s">
        <v>977</v>
      </c>
      <c r="D553" s="13" t="s">
        <v>978</v>
      </c>
      <c r="E553" s="8">
        <v>15000</v>
      </c>
      <c r="F553" s="13" t="s">
        <v>70</v>
      </c>
      <c r="G553" s="14">
        <v>44592</v>
      </c>
      <c r="H553" s="13" t="s">
        <v>9</v>
      </c>
    </row>
    <row r="554" spans="1:8" ht="14.4" x14ac:dyDescent="0.3">
      <c r="A554" s="8">
        <v>79750558</v>
      </c>
      <c r="B554" s="11">
        <v>44580</v>
      </c>
      <c r="C554" s="13" t="s">
        <v>979</v>
      </c>
      <c r="D554" s="13" t="s">
        <v>980</v>
      </c>
      <c r="E554" s="8">
        <v>10000</v>
      </c>
      <c r="F554" s="13" t="s">
        <v>70</v>
      </c>
      <c r="G554" s="14">
        <v>44592</v>
      </c>
      <c r="H554" s="13" t="s">
        <v>9</v>
      </c>
    </row>
    <row r="555" spans="1:8" ht="14.4" x14ac:dyDescent="0.3">
      <c r="A555" s="8">
        <v>79750560</v>
      </c>
      <c r="B555" s="11">
        <v>44580</v>
      </c>
      <c r="C555" s="13" t="s">
        <v>748</v>
      </c>
      <c r="D555" s="13" t="s">
        <v>981</v>
      </c>
      <c r="E555" s="8">
        <v>129097.61</v>
      </c>
      <c r="F555" s="13" t="s">
        <v>70</v>
      </c>
      <c r="G555" s="14">
        <v>44586</v>
      </c>
      <c r="H555" s="13" t="s">
        <v>9</v>
      </c>
    </row>
    <row r="556" spans="1:8" ht="14.4" x14ac:dyDescent="0.3">
      <c r="A556" s="8">
        <v>79750562</v>
      </c>
      <c r="B556" s="11">
        <v>44580</v>
      </c>
      <c r="C556" s="13" t="s">
        <v>44</v>
      </c>
      <c r="D556" s="13" t="s">
        <v>982</v>
      </c>
      <c r="E556" s="8">
        <v>715.89</v>
      </c>
      <c r="F556" s="13" t="s">
        <v>70</v>
      </c>
      <c r="G556" s="14">
        <v>44585</v>
      </c>
      <c r="H556" s="13" t="s">
        <v>9</v>
      </c>
    </row>
    <row r="557" spans="1:8" ht="14.4" x14ac:dyDescent="0.3">
      <c r="A557" s="8">
        <v>79750563</v>
      </c>
      <c r="B557" s="11">
        <v>44580</v>
      </c>
      <c r="C557" s="13" t="s">
        <v>44</v>
      </c>
      <c r="D557" s="13" t="s">
        <v>983</v>
      </c>
      <c r="E557" s="8">
        <v>944.34</v>
      </c>
      <c r="F557" s="13" t="s">
        <v>70</v>
      </c>
      <c r="G557" s="14">
        <v>44585</v>
      </c>
      <c r="H557" s="13" t="s">
        <v>9</v>
      </c>
    </row>
    <row r="558" spans="1:8" ht="14.4" x14ac:dyDescent="0.3">
      <c r="A558" s="8">
        <v>79750564</v>
      </c>
      <c r="B558" s="11">
        <v>44580</v>
      </c>
      <c r="C558" s="13" t="s">
        <v>44</v>
      </c>
      <c r="D558" s="13" t="s">
        <v>984</v>
      </c>
      <c r="E558" s="8">
        <v>12075</v>
      </c>
      <c r="F558" s="13" t="s">
        <v>70</v>
      </c>
      <c r="G558" s="14">
        <v>44585</v>
      </c>
      <c r="H558" s="13" t="s">
        <v>9</v>
      </c>
    </row>
    <row r="559" spans="1:8" ht="14.4" x14ac:dyDescent="0.3">
      <c r="A559" s="8">
        <v>79750565</v>
      </c>
      <c r="B559" s="11">
        <v>44580</v>
      </c>
      <c r="C559" s="13" t="s">
        <v>44</v>
      </c>
      <c r="D559" s="13" t="s">
        <v>985</v>
      </c>
      <c r="E559" s="8">
        <v>12075</v>
      </c>
      <c r="F559" s="13" t="s">
        <v>70</v>
      </c>
      <c r="G559" s="14">
        <v>44585</v>
      </c>
      <c r="H559" s="13" t="s">
        <v>9</v>
      </c>
    </row>
    <row r="560" spans="1:8" ht="14.4" x14ac:dyDescent="0.3">
      <c r="A560" s="8">
        <v>79750566</v>
      </c>
      <c r="B560" s="11">
        <v>44580</v>
      </c>
      <c r="C560" s="13" t="s">
        <v>986</v>
      </c>
      <c r="D560" s="13" t="s">
        <v>987</v>
      </c>
      <c r="E560" s="8">
        <v>100000</v>
      </c>
      <c r="F560" s="13" t="s">
        <v>70</v>
      </c>
      <c r="G560" s="14">
        <v>44586</v>
      </c>
      <c r="H560" s="13" t="s">
        <v>9</v>
      </c>
    </row>
    <row r="561" spans="1:8" ht="14.4" x14ac:dyDescent="0.3">
      <c r="A561" s="8">
        <v>79750567</v>
      </c>
      <c r="B561" s="11">
        <v>44580</v>
      </c>
      <c r="C561" s="13" t="s">
        <v>988</v>
      </c>
      <c r="D561" s="13" t="s">
        <v>989</v>
      </c>
      <c r="E561" s="8">
        <v>102900</v>
      </c>
      <c r="F561" s="13" t="s">
        <v>70</v>
      </c>
      <c r="G561" s="14">
        <v>44628</v>
      </c>
      <c r="H561" s="13" t="s">
        <v>9</v>
      </c>
    </row>
    <row r="562" spans="1:8" ht="14.4" x14ac:dyDescent="0.3">
      <c r="A562" s="8">
        <v>79750568</v>
      </c>
      <c r="B562" s="11">
        <v>44580</v>
      </c>
      <c r="C562" s="13" t="s">
        <v>990</v>
      </c>
      <c r="D562" s="13" t="s">
        <v>991</v>
      </c>
      <c r="E562" s="8">
        <v>6375</v>
      </c>
      <c r="F562" s="13" t="s">
        <v>70</v>
      </c>
      <c r="G562" s="14">
        <v>44586</v>
      </c>
      <c r="H562" s="13" t="s">
        <v>9</v>
      </c>
    </row>
    <row r="563" spans="1:8" ht="14.4" x14ac:dyDescent="0.3">
      <c r="A563" s="8">
        <v>79750569</v>
      </c>
      <c r="B563" s="11">
        <v>44580</v>
      </c>
      <c r="C563" s="13" t="s">
        <v>992</v>
      </c>
      <c r="D563" s="13" t="s">
        <v>993</v>
      </c>
      <c r="E563" s="8">
        <v>3000</v>
      </c>
      <c r="F563" s="13" t="s">
        <v>70</v>
      </c>
      <c r="G563" s="14">
        <v>44586</v>
      </c>
      <c r="H563" s="13" t="s">
        <v>9</v>
      </c>
    </row>
    <row r="564" spans="1:8" ht="14.4" x14ac:dyDescent="0.3">
      <c r="A564" s="8">
        <v>79750570</v>
      </c>
      <c r="B564" s="11">
        <v>44581</v>
      </c>
      <c r="C564" s="13" t="s">
        <v>994</v>
      </c>
      <c r="D564" s="13"/>
      <c r="E564" s="8">
        <v>4031.25</v>
      </c>
      <c r="F564" s="13" t="s">
        <v>70</v>
      </c>
      <c r="G564" s="14">
        <v>44592</v>
      </c>
      <c r="H564" s="13" t="s">
        <v>9</v>
      </c>
    </row>
    <row r="565" spans="1:8" ht="14.4" x14ac:dyDescent="0.3">
      <c r="A565" s="8">
        <v>79750571</v>
      </c>
      <c r="B565" s="11">
        <v>44581</v>
      </c>
      <c r="C565" s="13" t="s">
        <v>44</v>
      </c>
      <c r="D565" s="13" t="s">
        <v>995</v>
      </c>
      <c r="E565" s="8">
        <v>12075</v>
      </c>
      <c r="F565" s="13" t="s">
        <v>70</v>
      </c>
      <c r="G565" s="14">
        <v>44586</v>
      </c>
      <c r="H565" s="13" t="s">
        <v>9</v>
      </c>
    </row>
    <row r="566" spans="1:8" ht="14.4" x14ac:dyDescent="0.3">
      <c r="A566" s="8">
        <v>79750572</v>
      </c>
      <c r="B566" s="11">
        <v>44581</v>
      </c>
      <c r="C566" s="13" t="s">
        <v>44</v>
      </c>
      <c r="D566" s="13" t="s">
        <v>996</v>
      </c>
      <c r="E566" s="8">
        <v>12075</v>
      </c>
      <c r="F566" s="13" t="s">
        <v>70</v>
      </c>
      <c r="G566" s="14">
        <v>44586</v>
      </c>
      <c r="H566" s="13" t="s">
        <v>9</v>
      </c>
    </row>
    <row r="567" spans="1:8" ht="14.4" x14ac:dyDescent="0.3">
      <c r="A567" s="8">
        <v>79750573</v>
      </c>
      <c r="B567" s="11">
        <v>44581</v>
      </c>
      <c r="C567" s="13" t="s">
        <v>44</v>
      </c>
      <c r="D567" s="13" t="s">
        <v>997</v>
      </c>
      <c r="E567" s="8">
        <v>12075</v>
      </c>
      <c r="F567" s="13" t="s">
        <v>70</v>
      </c>
      <c r="G567" s="14">
        <v>44586</v>
      </c>
      <c r="H567" s="13" t="s">
        <v>9</v>
      </c>
    </row>
    <row r="568" spans="1:8" ht="14.4" x14ac:dyDescent="0.3">
      <c r="A568" s="8">
        <v>79750574</v>
      </c>
      <c r="B568" s="11">
        <v>44581</v>
      </c>
      <c r="C568" s="13" t="s">
        <v>998</v>
      </c>
      <c r="D568" s="13" t="s">
        <v>999</v>
      </c>
      <c r="E568" s="8">
        <v>150000</v>
      </c>
      <c r="F568" s="13" t="s">
        <v>70</v>
      </c>
      <c r="G568" s="14">
        <v>44586</v>
      </c>
      <c r="H568" s="13" t="s">
        <v>9</v>
      </c>
    </row>
    <row r="569" spans="1:8" ht="14.4" x14ac:dyDescent="0.3">
      <c r="A569" s="8">
        <v>79750575</v>
      </c>
      <c r="B569" s="11">
        <v>44581</v>
      </c>
      <c r="C569" s="13" t="s">
        <v>1000</v>
      </c>
      <c r="D569" s="13" t="s">
        <v>1001</v>
      </c>
      <c r="E569" s="8">
        <v>21760</v>
      </c>
      <c r="F569" s="13" t="s">
        <v>70</v>
      </c>
      <c r="G569" s="14">
        <v>44586</v>
      </c>
      <c r="H569" s="13" t="s">
        <v>9</v>
      </c>
    </row>
    <row r="570" spans="1:8" ht="14.4" x14ac:dyDescent="0.3">
      <c r="A570" s="8">
        <v>79750576</v>
      </c>
      <c r="B570" s="11">
        <v>44581</v>
      </c>
      <c r="C570" s="13" t="s">
        <v>1000</v>
      </c>
      <c r="D570" s="13" t="s">
        <v>1002</v>
      </c>
      <c r="E570" s="8">
        <v>209555.35</v>
      </c>
      <c r="F570" s="13" t="s">
        <v>70</v>
      </c>
      <c r="G570" s="14">
        <v>44586</v>
      </c>
      <c r="H570" s="13" t="s">
        <v>9</v>
      </c>
    </row>
    <row r="571" spans="1:8" ht="14.4" x14ac:dyDescent="0.3">
      <c r="A571" s="8">
        <v>79750577</v>
      </c>
      <c r="B571" s="11">
        <v>44581</v>
      </c>
      <c r="C571" s="13" t="s">
        <v>1003</v>
      </c>
      <c r="D571" s="13" t="s">
        <v>1004</v>
      </c>
      <c r="E571" s="8">
        <v>15000</v>
      </c>
      <c r="F571" s="13" t="s">
        <v>70</v>
      </c>
      <c r="G571" s="14">
        <v>44585</v>
      </c>
      <c r="H571" s="13" t="s">
        <v>9</v>
      </c>
    </row>
    <row r="572" spans="1:8" ht="14.4" x14ac:dyDescent="0.3">
      <c r="A572" s="8">
        <v>79750578</v>
      </c>
      <c r="B572" s="11">
        <v>44581</v>
      </c>
      <c r="C572" s="13" t="s">
        <v>1005</v>
      </c>
      <c r="D572" s="13" t="s">
        <v>1006</v>
      </c>
      <c r="E572" s="8">
        <v>18000</v>
      </c>
      <c r="F572" s="13" t="s">
        <v>70</v>
      </c>
      <c r="G572" s="14">
        <v>44594</v>
      </c>
      <c r="H572" s="13" t="s">
        <v>9</v>
      </c>
    </row>
    <row r="573" spans="1:8" ht="14.4" x14ac:dyDescent="0.3">
      <c r="A573" s="8">
        <v>79750579</v>
      </c>
      <c r="B573" s="11">
        <v>44581</v>
      </c>
      <c r="C573" s="13" t="s">
        <v>1007</v>
      </c>
      <c r="D573" s="13" t="s">
        <v>1008</v>
      </c>
      <c r="E573" s="8">
        <v>12000</v>
      </c>
      <c r="F573" s="13" t="s">
        <v>70</v>
      </c>
      <c r="G573" s="14">
        <v>44592</v>
      </c>
      <c r="H573" s="13" t="s">
        <v>9</v>
      </c>
    </row>
    <row r="574" spans="1:8" ht="14.4" x14ac:dyDescent="0.3">
      <c r="A574" s="8">
        <v>79750580</v>
      </c>
      <c r="B574" s="11">
        <v>44581</v>
      </c>
      <c r="C574" s="13" t="s">
        <v>1009</v>
      </c>
      <c r="D574" s="13" t="s">
        <v>1010</v>
      </c>
      <c r="E574" s="8">
        <v>13000</v>
      </c>
      <c r="F574" s="13" t="s">
        <v>70</v>
      </c>
      <c r="G574" s="14">
        <v>44592</v>
      </c>
      <c r="H574" s="13" t="s">
        <v>9</v>
      </c>
    </row>
    <row r="575" spans="1:8" ht="14.4" x14ac:dyDescent="0.3">
      <c r="A575" s="8">
        <v>79750581</v>
      </c>
      <c r="B575" s="11">
        <v>44581</v>
      </c>
      <c r="C575" s="13" t="s">
        <v>1011</v>
      </c>
      <c r="D575" s="13" t="s">
        <v>1012</v>
      </c>
      <c r="E575" s="8">
        <v>14000</v>
      </c>
      <c r="F575" s="13" t="s">
        <v>70</v>
      </c>
      <c r="G575" s="14">
        <v>44589</v>
      </c>
      <c r="H575" s="13" t="s">
        <v>9</v>
      </c>
    </row>
    <row r="576" spans="1:8" ht="14.4" x14ac:dyDescent="0.3">
      <c r="A576" s="8">
        <v>79750582</v>
      </c>
      <c r="B576" s="11">
        <v>44581</v>
      </c>
      <c r="C576" s="13" t="s">
        <v>1013</v>
      </c>
      <c r="D576" s="13" t="s">
        <v>1014</v>
      </c>
      <c r="E576" s="8">
        <v>10000</v>
      </c>
      <c r="F576" s="13" t="s">
        <v>70</v>
      </c>
      <c r="G576" s="14">
        <v>44592</v>
      </c>
      <c r="H576" s="13" t="s">
        <v>9</v>
      </c>
    </row>
    <row r="577" spans="1:8" ht="14.4" x14ac:dyDescent="0.3">
      <c r="A577" s="8">
        <v>79750583</v>
      </c>
      <c r="B577" s="11">
        <v>44581</v>
      </c>
      <c r="C577" s="13" t="s">
        <v>1015</v>
      </c>
      <c r="D577" s="13" t="s">
        <v>1016</v>
      </c>
      <c r="E577" s="8">
        <v>39000</v>
      </c>
      <c r="F577" s="13" t="s">
        <v>70</v>
      </c>
      <c r="G577" s="14">
        <v>44592</v>
      </c>
      <c r="H577" s="13" t="s">
        <v>9</v>
      </c>
    </row>
    <row r="578" spans="1:8" ht="14.4" x14ac:dyDescent="0.3">
      <c r="A578" s="8">
        <v>79750584</v>
      </c>
      <c r="B578" s="11">
        <v>44581</v>
      </c>
      <c r="C578" s="13" t="s">
        <v>1017</v>
      </c>
      <c r="D578" s="13" t="s">
        <v>1018</v>
      </c>
      <c r="E578" s="8">
        <v>12000</v>
      </c>
      <c r="F578" s="13" t="s">
        <v>70</v>
      </c>
      <c r="G578" s="14">
        <v>44589</v>
      </c>
      <c r="H578" s="13" t="s">
        <v>9</v>
      </c>
    </row>
    <row r="579" spans="1:8" ht="14.4" x14ac:dyDescent="0.3">
      <c r="A579" s="8">
        <v>79750586</v>
      </c>
      <c r="B579" s="11">
        <v>44581</v>
      </c>
      <c r="C579" s="13" t="s">
        <v>1019</v>
      </c>
      <c r="D579" s="13" t="s">
        <v>1020</v>
      </c>
      <c r="E579" s="8">
        <v>15000</v>
      </c>
      <c r="F579" s="13" t="s">
        <v>70</v>
      </c>
      <c r="G579" s="14">
        <v>44592</v>
      </c>
      <c r="H579" s="13" t="s">
        <v>9</v>
      </c>
    </row>
    <row r="580" spans="1:8" ht="14.4" x14ac:dyDescent="0.3">
      <c r="A580" s="8">
        <v>79750587</v>
      </c>
      <c r="B580" s="11">
        <v>44581</v>
      </c>
      <c r="C580" s="13" t="s">
        <v>1021</v>
      </c>
      <c r="D580" s="13" t="s">
        <v>1022</v>
      </c>
      <c r="E580" s="8">
        <v>8000</v>
      </c>
      <c r="F580" s="13" t="s">
        <v>70</v>
      </c>
      <c r="G580" s="14">
        <v>44609</v>
      </c>
      <c r="H580" s="13" t="s">
        <v>9</v>
      </c>
    </row>
    <row r="581" spans="1:8" ht="14.4" x14ac:dyDescent="0.3">
      <c r="A581" s="8">
        <v>79750588</v>
      </c>
      <c r="B581" s="11">
        <v>44581</v>
      </c>
      <c r="C581" s="13" t="s">
        <v>1023</v>
      </c>
      <c r="D581" s="13" t="s">
        <v>1024</v>
      </c>
      <c r="E581" s="8">
        <v>15000</v>
      </c>
      <c r="F581" s="13" t="s">
        <v>70</v>
      </c>
      <c r="G581" s="14">
        <v>44587</v>
      </c>
      <c r="H581" s="13" t="s">
        <v>9</v>
      </c>
    </row>
    <row r="582" spans="1:8" ht="14.4" x14ac:dyDescent="0.3">
      <c r="A582" s="8">
        <v>79750589</v>
      </c>
      <c r="B582" s="11">
        <v>44581</v>
      </c>
      <c r="C582" s="13" t="s">
        <v>1025</v>
      </c>
      <c r="D582" s="13" t="s">
        <v>1026</v>
      </c>
      <c r="E582" s="8">
        <v>29000</v>
      </c>
      <c r="F582" s="13" t="s">
        <v>70</v>
      </c>
      <c r="G582" s="14">
        <v>44592</v>
      </c>
      <c r="H582" s="13" t="s">
        <v>9</v>
      </c>
    </row>
    <row r="583" spans="1:8" ht="14.4" x14ac:dyDescent="0.3">
      <c r="A583" s="8">
        <v>79750590</v>
      </c>
      <c r="B583" s="11">
        <v>44581</v>
      </c>
      <c r="C583" s="13" t="s">
        <v>1027</v>
      </c>
      <c r="D583" s="13" t="s">
        <v>1028</v>
      </c>
      <c r="E583" s="8">
        <v>10000</v>
      </c>
      <c r="F583" s="13" t="s">
        <v>70</v>
      </c>
      <c r="G583" s="14">
        <v>44600</v>
      </c>
      <c r="H583" s="13" t="s">
        <v>9</v>
      </c>
    </row>
    <row r="584" spans="1:8" ht="14.4" x14ac:dyDescent="0.3">
      <c r="A584" s="8">
        <v>79750591</v>
      </c>
      <c r="B584" s="11">
        <v>44581</v>
      </c>
      <c r="C584" s="13" t="s">
        <v>1029</v>
      </c>
      <c r="D584" s="13" t="s">
        <v>1030</v>
      </c>
      <c r="E584" s="8">
        <v>18000</v>
      </c>
      <c r="F584" s="13" t="s">
        <v>70</v>
      </c>
      <c r="G584" s="14">
        <v>44592</v>
      </c>
      <c r="H584" s="13" t="s">
        <v>9</v>
      </c>
    </row>
    <row r="585" spans="1:8" ht="14.4" x14ac:dyDescent="0.3">
      <c r="A585" s="8">
        <v>79750592</v>
      </c>
      <c r="B585" s="11">
        <v>44581</v>
      </c>
      <c r="C585" s="13" t="s">
        <v>1031</v>
      </c>
      <c r="D585" s="13" t="s">
        <v>1032</v>
      </c>
      <c r="E585" s="8">
        <v>40000</v>
      </c>
      <c r="F585" s="13" t="s">
        <v>70</v>
      </c>
      <c r="G585" s="14">
        <v>44582</v>
      </c>
      <c r="H585" s="13" t="s">
        <v>9</v>
      </c>
    </row>
    <row r="586" spans="1:8" ht="14.4" x14ac:dyDescent="0.3">
      <c r="A586" s="8">
        <v>79750593</v>
      </c>
      <c r="B586" s="11">
        <v>44581</v>
      </c>
      <c r="C586" s="13" t="s">
        <v>1033</v>
      </c>
      <c r="D586" s="13" t="s">
        <v>1034</v>
      </c>
      <c r="E586" s="8">
        <v>30000</v>
      </c>
      <c r="F586" s="13" t="s">
        <v>70</v>
      </c>
      <c r="G586" s="14">
        <v>44594</v>
      </c>
      <c r="H586" s="13" t="s">
        <v>9</v>
      </c>
    </row>
    <row r="587" spans="1:8" ht="14.4" x14ac:dyDescent="0.3">
      <c r="A587" s="8">
        <v>79750594</v>
      </c>
      <c r="B587" s="11">
        <v>44581</v>
      </c>
      <c r="C587" s="13" t="s">
        <v>1035</v>
      </c>
      <c r="D587" s="13" t="s">
        <v>1036</v>
      </c>
      <c r="E587" s="8">
        <v>12000</v>
      </c>
      <c r="F587" s="13" t="s">
        <v>70</v>
      </c>
      <c r="G587" s="14">
        <v>44592</v>
      </c>
      <c r="H587" s="13" t="s">
        <v>9</v>
      </c>
    </row>
    <row r="588" spans="1:8" ht="14.4" x14ac:dyDescent="0.3">
      <c r="A588" s="8">
        <v>79750595</v>
      </c>
      <c r="B588" s="11">
        <v>44581</v>
      </c>
      <c r="C588" s="13" t="s">
        <v>1037</v>
      </c>
      <c r="D588" s="13" t="s">
        <v>1038</v>
      </c>
      <c r="E588" s="8">
        <v>22000</v>
      </c>
      <c r="F588" s="13" t="s">
        <v>70</v>
      </c>
      <c r="G588" s="14">
        <v>44592</v>
      </c>
      <c r="H588" s="13" t="s">
        <v>9</v>
      </c>
    </row>
    <row r="589" spans="1:8" ht="14.4" x14ac:dyDescent="0.3">
      <c r="A589" s="8">
        <v>79750596</v>
      </c>
      <c r="B589" s="11">
        <v>44581</v>
      </c>
      <c r="C589" s="13" t="s">
        <v>1039</v>
      </c>
      <c r="D589" s="13" t="s">
        <v>1040</v>
      </c>
      <c r="E589" s="8">
        <v>8000</v>
      </c>
      <c r="F589" s="13" t="s">
        <v>70</v>
      </c>
      <c r="G589" s="14">
        <v>44586</v>
      </c>
      <c r="H589" s="13" t="s">
        <v>9</v>
      </c>
    </row>
    <row r="590" spans="1:8" ht="14.4" x14ac:dyDescent="0.3">
      <c r="A590" s="8">
        <v>79750597</v>
      </c>
      <c r="B590" s="11">
        <v>44581</v>
      </c>
      <c r="C590" s="13" t="s">
        <v>1041</v>
      </c>
      <c r="D590" s="13" t="s">
        <v>1042</v>
      </c>
      <c r="E590" s="8">
        <v>17000</v>
      </c>
      <c r="F590" s="13" t="s">
        <v>70</v>
      </c>
      <c r="G590" s="14">
        <v>44586</v>
      </c>
      <c r="H590" s="13" t="s">
        <v>9</v>
      </c>
    </row>
    <row r="591" spans="1:8" ht="14.4" x14ac:dyDescent="0.3">
      <c r="A591" s="8">
        <v>79750598</v>
      </c>
      <c r="B591" s="11">
        <v>44581</v>
      </c>
      <c r="C591" s="13" t="s">
        <v>1043</v>
      </c>
      <c r="D591" s="13" t="s">
        <v>1044</v>
      </c>
      <c r="E591" s="8">
        <v>17000</v>
      </c>
      <c r="F591" s="13" t="s">
        <v>70</v>
      </c>
      <c r="G591" s="14">
        <v>44594</v>
      </c>
      <c r="H591" s="13" t="s">
        <v>9</v>
      </c>
    </row>
    <row r="592" spans="1:8" ht="14.4" x14ac:dyDescent="0.3">
      <c r="A592" s="8">
        <v>79750599</v>
      </c>
      <c r="B592" s="11">
        <v>44581</v>
      </c>
      <c r="C592" s="13" t="s">
        <v>1045</v>
      </c>
      <c r="D592" s="13" t="s">
        <v>1046</v>
      </c>
      <c r="E592" s="8">
        <v>10700</v>
      </c>
      <c r="F592" s="13" t="s">
        <v>70</v>
      </c>
      <c r="G592" s="14">
        <v>44592</v>
      </c>
      <c r="H592" s="13" t="s">
        <v>9</v>
      </c>
    </row>
    <row r="593" spans="1:8" ht="14.4" x14ac:dyDescent="0.3">
      <c r="A593" s="8">
        <v>79750600</v>
      </c>
      <c r="B593" s="11">
        <v>44581</v>
      </c>
      <c r="C593" s="13" t="s">
        <v>1047</v>
      </c>
      <c r="D593" s="13" t="s">
        <v>1048</v>
      </c>
      <c r="E593" s="8">
        <v>30000</v>
      </c>
      <c r="F593" s="13" t="s">
        <v>70</v>
      </c>
      <c r="G593" s="14">
        <v>44592</v>
      </c>
      <c r="H593" s="13" t="s">
        <v>9</v>
      </c>
    </row>
    <row r="594" spans="1:8" ht="14.4" x14ac:dyDescent="0.3">
      <c r="A594" s="8">
        <v>79750601</v>
      </c>
      <c r="B594" s="11">
        <v>44581</v>
      </c>
      <c r="C594" s="13" t="s">
        <v>1049</v>
      </c>
      <c r="D594" s="13" t="s">
        <v>1050</v>
      </c>
      <c r="E594" s="8">
        <v>40000</v>
      </c>
      <c r="F594" s="13" t="s">
        <v>70</v>
      </c>
      <c r="G594" s="14">
        <v>44592</v>
      </c>
      <c r="H594" s="13" t="s">
        <v>9</v>
      </c>
    </row>
    <row r="595" spans="1:8" ht="14.4" x14ac:dyDescent="0.3">
      <c r="A595" s="8">
        <v>79750602</v>
      </c>
      <c r="B595" s="11">
        <v>44581</v>
      </c>
      <c r="C595" s="13" t="s">
        <v>1051</v>
      </c>
      <c r="D595" s="13" t="s">
        <v>1052</v>
      </c>
      <c r="E595" s="8">
        <v>15000</v>
      </c>
      <c r="F595" s="13" t="s">
        <v>70</v>
      </c>
      <c r="G595" s="14">
        <v>44586</v>
      </c>
      <c r="H595" s="13" t="s">
        <v>9</v>
      </c>
    </row>
    <row r="596" spans="1:8" ht="14.4" x14ac:dyDescent="0.3">
      <c r="A596" s="8">
        <v>79750603</v>
      </c>
      <c r="B596" s="11">
        <v>44581</v>
      </c>
      <c r="C596" s="13" t="s">
        <v>1053</v>
      </c>
      <c r="D596" s="13" t="s">
        <v>1054</v>
      </c>
      <c r="E596" s="8">
        <v>20000</v>
      </c>
      <c r="F596" s="13" t="s">
        <v>70</v>
      </c>
      <c r="G596" s="14">
        <v>44596</v>
      </c>
      <c r="H596" s="13" t="s">
        <v>9</v>
      </c>
    </row>
    <row r="597" spans="1:8" ht="14.4" x14ac:dyDescent="0.3">
      <c r="A597" s="8">
        <v>79750604</v>
      </c>
      <c r="B597" s="11">
        <v>44581</v>
      </c>
      <c r="C597" s="13" t="s">
        <v>1055</v>
      </c>
      <c r="D597" s="13" t="s">
        <v>1056</v>
      </c>
      <c r="E597" s="8">
        <v>14200</v>
      </c>
      <c r="F597" s="13" t="s">
        <v>70</v>
      </c>
      <c r="G597" s="14">
        <v>44588</v>
      </c>
      <c r="H597" s="13" t="s">
        <v>9</v>
      </c>
    </row>
    <row r="598" spans="1:8" ht="14.4" x14ac:dyDescent="0.3">
      <c r="A598" s="8">
        <v>79750605</v>
      </c>
      <c r="B598" s="11">
        <v>44581</v>
      </c>
      <c r="C598" s="13" t="s">
        <v>1057</v>
      </c>
      <c r="D598" s="13" t="s">
        <v>1058</v>
      </c>
      <c r="E598" s="8">
        <v>8000</v>
      </c>
      <c r="F598" s="13" t="s">
        <v>70</v>
      </c>
      <c r="G598" s="14">
        <v>44592</v>
      </c>
      <c r="H598" s="13" t="s">
        <v>9</v>
      </c>
    </row>
    <row r="599" spans="1:8" ht="14.4" x14ac:dyDescent="0.3">
      <c r="A599" s="8">
        <v>79750606</v>
      </c>
      <c r="B599" s="11">
        <v>44581</v>
      </c>
      <c r="C599" s="13" t="s">
        <v>1059</v>
      </c>
      <c r="D599" s="13" t="s">
        <v>1060</v>
      </c>
      <c r="E599" s="8">
        <v>16000</v>
      </c>
      <c r="F599" s="13" t="s">
        <v>70</v>
      </c>
      <c r="G599" s="14">
        <v>44589</v>
      </c>
      <c r="H599" s="13" t="s">
        <v>9</v>
      </c>
    </row>
    <row r="600" spans="1:8" ht="14.4" x14ac:dyDescent="0.3">
      <c r="A600" s="8">
        <v>79750607</v>
      </c>
      <c r="B600" s="11">
        <v>44581</v>
      </c>
      <c r="C600" s="13" t="s">
        <v>1061</v>
      </c>
      <c r="D600" s="13" t="s">
        <v>1062</v>
      </c>
      <c r="E600" s="8">
        <v>20000</v>
      </c>
      <c r="F600" s="13" t="s">
        <v>70</v>
      </c>
      <c r="G600" s="14">
        <v>44592</v>
      </c>
      <c r="H600" s="13" t="s">
        <v>9</v>
      </c>
    </row>
    <row r="601" spans="1:8" ht="14.4" x14ac:dyDescent="0.3">
      <c r="A601" s="8">
        <v>79750608</v>
      </c>
      <c r="B601" s="11">
        <v>44581</v>
      </c>
      <c r="C601" s="13" t="s">
        <v>1063</v>
      </c>
      <c r="D601" s="13" t="s">
        <v>1064</v>
      </c>
      <c r="E601" s="8">
        <v>20000</v>
      </c>
      <c r="F601" s="13" t="s">
        <v>70</v>
      </c>
      <c r="G601" s="14">
        <v>44592</v>
      </c>
      <c r="H601" s="13" t="s">
        <v>9</v>
      </c>
    </row>
    <row r="602" spans="1:8" ht="14.4" x14ac:dyDescent="0.3">
      <c r="A602" s="8">
        <v>79750609</v>
      </c>
      <c r="B602" s="11">
        <v>44581</v>
      </c>
      <c r="C602" s="13" t="s">
        <v>1065</v>
      </c>
      <c r="D602" s="13" t="s">
        <v>1066</v>
      </c>
      <c r="E602" s="8">
        <v>50000</v>
      </c>
      <c r="F602" s="13" t="s">
        <v>70</v>
      </c>
      <c r="G602" s="14">
        <v>44627</v>
      </c>
      <c r="H602" s="13" t="s">
        <v>9</v>
      </c>
    </row>
    <row r="603" spans="1:8" ht="14.4" x14ac:dyDescent="0.3">
      <c r="A603" s="8">
        <v>79750610</v>
      </c>
      <c r="B603" s="11">
        <v>44581</v>
      </c>
      <c r="C603" s="13" t="s">
        <v>1067</v>
      </c>
      <c r="D603" s="13" t="s">
        <v>1068</v>
      </c>
      <c r="E603" s="8">
        <v>8000</v>
      </c>
      <c r="F603" s="13" t="s">
        <v>70</v>
      </c>
      <c r="G603" s="14">
        <v>44592</v>
      </c>
      <c r="H603" s="13" t="s">
        <v>9</v>
      </c>
    </row>
    <row r="604" spans="1:8" ht="14.4" x14ac:dyDescent="0.3">
      <c r="A604" s="8">
        <v>79750611</v>
      </c>
      <c r="B604" s="11">
        <v>44581</v>
      </c>
      <c r="C604" s="13" t="s">
        <v>1069</v>
      </c>
      <c r="D604" s="13" t="s">
        <v>1070</v>
      </c>
      <c r="E604" s="8">
        <v>36000</v>
      </c>
      <c r="F604" s="13" t="s">
        <v>70</v>
      </c>
      <c r="G604" s="14">
        <v>44589</v>
      </c>
      <c r="H604" s="13" t="s">
        <v>9</v>
      </c>
    </row>
    <row r="605" spans="1:8" ht="14.4" x14ac:dyDescent="0.3">
      <c r="A605" s="8">
        <v>79750612</v>
      </c>
      <c r="B605" s="11">
        <v>44581</v>
      </c>
      <c r="C605" s="13" t="s">
        <v>1071</v>
      </c>
      <c r="D605" s="13" t="s">
        <v>1072</v>
      </c>
      <c r="E605" s="8">
        <v>18000</v>
      </c>
      <c r="F605" s="13" t="s">
        <v>70</v>
      </c>
      <c r="G605" s="14">
        <v>44588</v>
      </c>
      <c r="H605" s="13" t="s">
        <v>9</v>
      </c>
    </row>
    <row r="606" spans="1:8" ht="14.4" x14ac:dyDescent="0.3">
      <c r="A606" s="8">
        <v>79750613</v>
      </c>
      <c r="B606" s="11">
        <v>44581</v>
      </c>
      <c r="C606" s="13" t="s">
        <v>1073</v>
      </c>
      <c r="D606" s="13" t="s">
        <v>1074</v>
      </c>
      <c r="E606" s="8">
        <v>10000</v>
      </c>
      <c r="F606" s="13" t="s">
        <v>70</v>
      </c>
      <c r="G606" s="14">
        <v>44594</v>
      </c>
      <c r="H606" s="13" t="s">
        <v>9</v>
      </c>
    </row>
    <row r="607" spans="1:8" ht="14.4" x14ac:dyDescent="0.3">
      <c r="A607" s="8">
        <v>79750614</v>
      </c>
      <c r="B607" s="11">
        <v>44581</v>
      </c>
      <c r="C607" s="13" t="s">
        <v>1075</v>
      </c>
      <c r="D607" s="13" t="s">
        <v>1076</v>
      </c>
      <c r="E607" s="8">
        <v>13000</v>
      </c>
      <c r="F607" s="13" t="s">
        <v>70</v>
      </c>
      <c r="G607" s="14">
        <v>44587</v>
      </c>
      <c r="H607" s="13" t="s">
        <v>9</v>
      </c>
    </row>
    <row r="608" spans="1:8" ht="14.4" x14ac:dyDescent="0.3">
      <c r="A608" s="8">
        <v>79750615</v>
      </c>
      <c r="B608" s="11">
        <v>44581</v>
      </c>
      <c r="C608" s="13" t="s">
        <v>1077</v>
      </c>
      <c r="D608" s="13" t="s">
        <v>1078</v>
      </c>
      <c r="E608" s="8">
        <v>9000</v>
      </c>
      <c r="F608" s="13" t="s">
        <v>70</v>
      </c>
      <c r="G608" s="14">
        <v>44592</v>
      </c>
      <c r="H608" s="13" t="s">
        <v>9</v>
      </c>
    </row>
    <row r="609" spans="1:8" ht="14.4" x14ac:dyDescent="0.3">
      <c r="A609" s="8">
        <v>79750616</v>
      </c>
      <c r="B609" s="11">
        <v>44581</v>
      </c>
      <c r="C609" s="13" t="s">
        <v>1079</v>
      </c>
      <c r="D609" s="13" t="s">
        <v>1080</v>
      </c>
      <c r="E609" s="8">
        <v>50000</v>
      </c>
      <c r="F609" s="13" t="s">
        <v>70</v>
      </c>
      <c r="G609" s="14">
        <v>44592</v>
      </c>
      <c r="H609" s="13" t="s">
        <v>9</v>
      </c>
    </row>
    <row r="610" spans="1:8" ht="14.4" x14ac:dyDescent="0.3">
      <c r="A610" s="8">
        <v>79750617</v>
      </c>
      <c r="B610" s="11">
        <v>44581</v>
      </c>
      <c r="C610" s="13" t="s">
        <v>1081</v>
      </c>
      <c r="D610" s="13" t="s">
        <v>1082</v>
      </c>
      <c r="E610" s="8">
        <v>6000</v>
      </c>
      <c r="F610" s="13" t="s">
        <v>70</v>
      </c>
      <c r="G610" s="14">
        <v>44595</v>
      </c>
      <c r="H610" s="13" t="s">
        <v>9</v>
      </c>
    </row>
    <row r="611" spans="1:8" ht="14.4" x14ac:dyDescent="0.3">
      <c r="A611" s="8">
        <v>79750618</v>
      </c>
      <c r="B611" s="11">
        <v>44581</v>
      </c>
      <c r="C611" s="13" t="s">
        <v>1083</v>
      </c>
      <c r="D611" s="13" t="s">
        <v>1084</v>
      </c>
      <c r="E611" s="8">
        <v>8000</v>
      </c>
      <c r="F611" s="13" t="s">
        <v>70</v>
      </c>
      <c r="G611" s="14">
        <v>44592</v>
      </c>
      <c r="H611" s="13" t="s">
        <v>9</v>
      </c>
    </row>
    <row r="612" spans="1:8" ht="14.4" x14ac:dyDescent="0.3">
      <c r="A612" s="8">
        <v>79750619</v>
      </c>
      <c r="B612" s="11">
        <v>44581</v>
      </c>
      <c r="C612" s="13" t="s">
        <v>1085</v>
      </c>
      <c r="D612" s="13" t="s">
        <v>1086</v>
      </c>
      <c r="E612" s="8">
        <v>15000</v>
      </c>
      <c r="F612" s="13" t="s">
        <v>70</v>
      </c>
      <c r="G612" s="14">
        <v>44588</v>
      </c>
      <c r="H612" s="13" t="s">
        <v>9</v>
      </c>
    </row>
    <row r="613" spans="1:8" ht="14.4" x14ac:dyDescent="0.3">
      <c r="A613" s="8">
        <v>79750620</v>
      </c>
      <c r="B613" s="11">
        <v>44581</v>
      </c>
      <c r="C613" s="13" t="s">
        <v>1087</v>
      </c>
      <c r="D613" s="13" t="s">
        <v>1088</v>
      </c>
      <c r="E613" s="8">
        <v>6000</v>
      </c>
      <c r="F613" s="13" t="s">
        <v>70</v>
      </c>
      <c r="G613" s="14">
        <v>44596</v>
      </c>
      <c r="H613" s="13" t="s">
        <v>9</v>
      </c>
    </row>
    <row r="614" spans="1:8" ht="14.4" x14ac:dyDescent="0.3">
      <c r="A614" s="8">
        <v>79750621</v>
      </c>
      <c r="B614" s="11">
        <v>44581</v>
      </c>
      <c r="C614" s="13" t="s">
        <v>275</v>
      </c>
      <c r="D614" s="13" t="s">
        <v>1089</v>
      </c>
      <c r="E614" s="8">
        <v>226674.38</v>
      </c>
      <c r="F614" s="13" t="s">
        <v>70</v>
      </c>
      <c r="G614" s="14">
        <v>44582</v>
      </c>
      <c r="H614" s="13" t="s">
        <v>9</v>
      </c>
    </row>
    <row r="615" spans="1:8" ht="14.4" x14ac:dyDescent="0.3">
      <c r="A615" s="8">
        <v>79750622</v>
      </c>
      <c r="B615" s="11">
        <v>44582</v>
      </c>
      <c r="C615" s="13" t="s">
        <v>1090</v>
      </c>
      <c r="D615" s="13" t="s">
        <v>1091</v>
      </c>
      <c r="E615" s="8">
        <v>6000</v>
      </c>
      <c r="F615" s="13" t="s">
        <v>70</v>
      </c>
      <c r="G615" s="14">
        <v>44586</v>
      </c>
      <c r="H615" s="13" t="s">
        <v>9</v>
      </c>
    </row>
    <row r="616" spans="1:8" ht="14.4" x14ac:dyDescent="0.3">
      <c r="A616" s="8">
        <v>79750623</v>
      </c>
      <c r="B616" s="11">
        <v>44582</v>
      </c>
      <c r="C616" s="13" t="s">
        <v>1092</v>
      </c>
      <c r="D616" s="13" t="s">
        <v>1093</v>
      </c>
      <c r="E616" s="8">
        <v>156000</v>
      </c>
      <c r="F616" s="13" t="s">
        <v>70</v>
      </c>
      <c r="G616" s="14">
        <v>44585</v>
      </c>
      <c r="H616" s="13" t="s">
        <v>9</v>
      </c>
    </row>
    <row r="617" spans="1:8" ht="14.4" x14ac:dyDescent="0.3">
      <c r="A617" s="8">
        <v>79750624</v>
      </c>
      <c r="B617" s="11">
        <v>44582</v>
      </c>
      <c r="C617" s="13" t="s">
        <v>44</v>
      </c>
      <c r="D617" s="13" t="s">
        <v>1094</v>
      </c>
      <c r="E617" s="8">
        <v>12075</v>
      </c>
      <c r="F617" s="13" t="s">
        <v>70</v>
      </c>
      <c r="G617" s="14">
        <v>44586</v>
      </c>
      <c r="H617" s="13" t="s">
        <v>9</v>
      </c>
    </row>
    <row r="618" spans="1:8" ht="14.4" x14ac:dyDescent="0.3">
      <c r="A618" s="8">
        <v>79750625</v>
      </c>
      <c r="B618" s="11">
        <v>44582</v>
      </c>
      <c r="C618" s="13" t="s">
        <v>1095</v>
      </c>
      <c r="D618" s="13" t="s">
        <v>683</v>
      </c>
      <c r="E618" s="8">
        <v>15000</v>
      </c>
      <c r="F618" s="13" t="s">
        <v>70</v>
      </c>
      <c r="G618" s="14">
        <v>44585</v>
      </c>
      <c r="H618" s="13" t="s">
        <v>9</v>
      </c>
    </row>
    <row r="619" spans="1:8" ht="14.4" x14ac:dyDescent="0.3">
      <c r="A619" s="8">
        <v>79750626</v>
      </c>
      <c r="B619" s="11">
        <v>44582</v>
      </c>
      <c r="C619" s="13" t="s">
        <v>1096</v>
      </c>
      <c r="D619" s="13" t="s">
        <v>1097</v>
      </c>
      <c r="E619" s="8">
        <v>10000</v>
      </c>
      <c r="F619" s="13" t="s">
        <v>70</v>
      </c>
      <c r="G619" s="14">
        <v>44592</v>
      </c>
      <c r="H619" s="13" t="s">
        <v>9</v>
      </c>
    </row>
    <row r="620" spans="1:8" ht="14.4" x14ac:dyDescent="0.3">
      <c r="A620" s="8">
        <v>79750627</v>
      </c>
      <c r="B620" s="11">
        <v>44582</v>
      </c>
      <c r="C620" s="13" t="s">
        <v>1098</v>
      </c>
      <c r="D620" s="13" t="s">
        <v>1099</v>
      </c>
      <c r="E620" s="8">
        <v>17000</v>
      </c>
      <c r="F620" s="13" t="s">
        <v>70</v>
      </c>
      <c r="G620" s="14">
        <v>44589</v>
      </c>
      <c r="H620" s="13" t="s">
        <v>9</v>
      </c>
    </row>
    <row r="621" spans="1:8" ht="14.4" x14ac:dyDescent="0.3">
      <c r="A621" s="8">
        <v>79750628</v>
      </c>
      <c r="B621" s="11">
        <v>44582</v>
      </c>
      <c r="C621" s="13" t="s">
        <v>1100</v>
      </c>
      <c r="D621" s="13" t="s">
        <v>1101</v>
      </c>
      <c r="E621" s="8">
        <v>25000</v>
      </c>
      <c r="F621" s="13" t="s">
        <v>70</v>
      </c>
      <c r="G621" s="14">
        <v>44592</v>
      </c>
      <c r="H621" s="13" t="s">
        <v>9</v>
      </c>
    </row>
    <row r="622" spans="1:8" ht="14.4" x14ac:dyDescent="0.3">
      <c r="A622" s="8">
        <v>79750629</v>
      </c>
      <c r="B622" s="11">
        <v>44582</v>
      </c>
      <c r="C622" s="13" t="s">
        <v>1102</v>
      </c>
      <c r="D622" s="13" t="s">
        <v>1103</v>
      </c>
      <c r="E622" s="8">
        <v>20000</v>
      </c>
      <c r="F622" s="13" t="s">
        <v>70</v>
      </c>
      <c r="G622" s="14">
        <v>44594</v>
      </c>
      <c r="H622" s="13" t="s">
        <v>9</v>
      </c>
    </row>
    <row r="623" spans="1:8" ht="14.4" x14ac:dyDescent="0.3">
      <c r="A623" s="8">
        <v>79750630</v>
      </c>
      <c r="B623" s="11">
        <v>44582</v>
      </c>
      <c r="C623" s="13" t="s">
        <v>1104</v>
      </c>
      <c r="D623" s="13" t="s">
        <v>47</v>
      </c>
      <c r="E623" s="8">
        <v>10000</v>
      </c>
      <c r="F623" s="13" t="s">
        <v>70</v>
      </c>
      <c r="G623" s="14">
        <v>44594</v>
      </c>
      <c r="H623" s="13" t="s">
        <v>9</v>
      </c>
    </row>
    <row r="624" spans="1:8" ht="14.4" x14ac:dyDescent="0.3">
      <c r="A624" s="8">
        <v>79750631</v>
      </c>
      <c r="B624" s="11">
        <v>44582</v>
      </c>
      <c r="C624" s="13" t="s">
        <v>1105</v>
      </c>
      <c r="D624" s="13" t="s">
        <v>1106</v>
      </c>
      <c r="E624" s="8">
        <v>50000</v>
      </c>
      <c r="F624" s="13" t="s">
        <v>70</v>
      </c>
      <c r="G624" s="14">
        <v>44589</v>
      </c>
      <c r="H624" s="13" t="s">
        <v>9</v>
      </c>
    </row>
    <row r="625" spans="1:8" ht="14.4" x14ac:dyDescent="0.3">
      <c r="A625" s="8">
        <v>79750632</v>
      </c>
      <c r="B625" s="11">
        <v>44582</v>
      </c>
      <c r="C625" s="13" t="s">
        <v>1107</v>
      </c>
      <c r="D625" s="13" t="s">
        <v>1108</v>
      </c>
      <c r="E625" s="8">
        <v>10000</v>
      </c>
      <c r="F625" s="13" t="s">
        <v>70</v>
      </c>
      <c r="G625" s="14">
        <v>44594</v>
      </c>
      <c r="H625" s="13" t="s">
        <v>9</v>
      </c>
    </row>
    <row r="626" spans="1:8" ht="14.4" x14ac:dyDescent="0.3">
      <c r="A626" s="8">
        <v>79750633</v>
      </c>
      <c r="B626" s="11">
        <v>44582</v>
      </c>
      <c r="C626" s="13" t="s">
        <v>1109</v>
      </c>
      <c r="D626" s="13" t="s">
        <v>1110</v>
      </c>
      <c r="E626" s="8">
        <v>20000</v>
      </c>
      <c r="F626" s="13" t="s">
        <v>70</v>
      </c>
      <c r="G626" s="14">
        <v>44586</v>
      </c>
      <c r="H626" s="13" t="s">
        <v>9</v>
      </c>
    </row>
    <row r="627" spans="1:8" ht="14.4" x14ac:dyDescent="0.3">
      <c r="A627" s="8">
        <v>79750634</v>
      </c>
      <c r="B627" s="11">
        <v>44582</v>
      </c>
      <c r="C627" s="13" t="s">
        <v>1111</v>
      </c>
      <c r="D627" s="13" t="s">
        <v>1112</v>
      </c>
      <c r="E627" s="8">
        <v>15000</v>
      </c>
      <c r="F627" s="13" t="s">
        <v>70</v>
      </c>
      <c r="G627" s="14">
        <v>44587</v>
      </c>
      <c r="H627" s="13" t="s">
        <v>9</v>
      </c>
    </row>
    <row r="628" spans="1:8" ht="14.4" x14ac:dyDescent="0.3">
      <c r="A628" s="8">
        <v>79750635</v>
      </c>
      <c r="B628" s="11">
        <v>44582</v>
      </c>
      <c r="C628" s="13" t="s">
        <v>1113</v>
      </c>
      <c r="D628" s="13" t="s">
        <v>1114</v>
      </c>
      <c r="E628" s="8">
        <v>10000</v>
      </c>
      <c r="F628" s="13" t="s">
        <v>70</v>
      </c>
      <c r="G628" s="14">
        <v>44599</v>
      </c>
      <c r="H628" s="13" t="s">
        <v>9</v>
      </c>
    </row>
    <row r="629" spans="1:8" ht="14.4" x14ac:dyDescent="0.3">
      <c r="A629" s="8">
        <v>79750636</v>
      </c>
      <c r="B629" s="11">
        <v>44582</v>
      </c>
      <c r="C629" s="13" t="s">
        <v>1115</v>
      </c>
      <c r="D629" s="13" t="s">
        <v>1116</v>
      </c>
      <c r="E629" s="8">
        <v>15000</v>
      </c>
      <c r="F629" s="13" t="s">
        <v>70</v>
      </c>
      <c r="G629" s="14">
        <v>44587</v>
      </c>
      <c r="H629" s="13" t="s">
        <v>9</v>
      </c>
    </row>
    <row r="630" spans="1:8" ht="14.4" x14ac:dyDescent="0.3">
      <c r="A630" s="8">
        <v>79750637</v>
      </c>
      <c r="B630" s="11">
        <v>44582</v>
      </c>
      <c r="C630" s="13" t="s">
        <v>1117</v>
      </c>
      <c r="D630" s="13" t="s">
        <v>1118</v>
      </c>
      <c r="E630" s="8">
        <v>7000</v>
      </c>
      <c r="F630" s="13" t="s">
        <v>70</v>
      </c>
      <c r="G630" s="14">
        <v>44594</v>
      </c>
      <c r="H630" s="13" t="s">
        <v>9</v>
      </c>
    </row>
    <row r="631" spans="1:8" ht="14.4" x14ac:dyDescent="0.3">
      <c r="A631" s="8">
        <v>79750638</v>
      </c>
      <c r="B631" s="11">
        <v>44582</v>
      </c>
      <c r="C631" s="13" t="s">
        <v>1119</v>
      </c>
      <c r="D631" s="13" t="s">
        <v>1120</v>
      </c>
      <c r="E631" s="8">
        <v>20000</v>
      </c>
      <c r="F631" s="13" t="s">
        <v>70</v>
      </c>
      <c r="G631" s="14">
        <v>44592</v>
      </c>
      <c r="H631" s="13" t="s">
        <v>9</v>
      </c>
    </row>
    <row r="632" spans="1:8" ht="14.4" x14ac:dyDescent="0.3">
      <c r="A632" s="8">
        <v>79750639</v>
      </c>
      <c r="B632" s="11">
        <v>44582</v>
      </c>
      <c r="C632" s="13" t="s">
        <v>1121</v>
      </c>
      <c r="D632" s="13" t="s">
        <v>1122</v>
      </c>
      <c r="E632" s="8">
        <v>20000</v>
      </c>
      <c r="F632" s="13" t="s">
        <v>70</v>
      </c>
      <c r="G632" s="14">
        <v>44586</v>
      </c>
      <c r="H632" s="13" t="s">
        <v>9</v>
      </c>
    </row>
    <row r="633" spans="1:8" ht="14.4" x14ac:dyDescent="0.3">
      <c r="A633" s="8">
        <v>79750640</v>
      </c>
      <c r="B633" s="11">
        <v>44582</v>
      </c>
      <c r="C633" s="13" t="s">
        <v>1123</v>
      </c>
      <c r="D633" s="13" t="s">
        <v>1124</v>
      </c>
      <c r="E633" s="8">
        <v>30000</v>
      </c>
      <c r="F633" s="13" t="s">
        <v>70</v>
      </c>
      <c r="G633" s="14">
        <v>44586</v>
      </c>
      <c r="H633" s="13" t="s">
        <v>9</v>
      </c>
    </row>
    <row r="634" spans="1:8" ht="14.4" x14ac:dyDescent="0.3">
      <c r="A634" s="8">
        <v>79750641</v>
      </c>
      <c r="B634" s="11">
        <v>44582</v>
      </c>
      <c r="C634" s="13" t="s">
        <v>1125</v>
      </c>
      <c r="D634" s="13" t="s">
        <v>1126</v>
      </c>
      <c r="E634" s="8">
        <v>30000</v>
      </c>
      <c r="F634" s="13" t="s">
        <v>70</v>
      </c>
      <c r="G634" s="14">
        <v>44592</v>
      </c>
      <c r="H634" s="13" t="s">
        <v>9</v>
      </c>
    </row>
    <row r="635" spans="1:8" ht="14.4" x14ac:dyDescent="0.3">
      <c r="A635" s="8">
        <v>79750642</v>
      </c>
      <c r="B635" s="11">
        <v>44582</v>
      </c>
      <c r="C635" s="13" t="s">
        <v>1127</v>
      </c>
      <c r="D635" s="13" t="s">
        <v>1128</v>
      </c>
      <c r="E635" s="8">
        <v>35000</v>
      </c>
      <c r="F635" s="13" t="s">
        <v>70</v>
      </c>
      <c r="G635" s="14">
        <v>44594</v>
      </c>
      <c r="H635" s="13" t="s">
        <v>9</v>
      </c>
    </row>
    <row r="636" spans="1:8" ht="14.4" x14ac:dyDescent="0.3">
      <c r="A636" s="8">
        <v>79750643</v>
      </c>
      <c r="B636" s="11">
        <v>44582</v>
      </c>
      <c r="C636" s="13" t="s">
        <v>1129</v>
      </c>
      <c r="D636" s="13" t="s">
        <v>1130</v>
      </c>
      <c r="E636" s="15">
        <v>23000</v>
      </c>
      <c r="F636" s="13" t="s">
        <v>70</v>
      </c>
      <c r="G636" s="14">
        <v>44594</v>
      </c>
      <c r="H636" s="13" t="s">
        <v>9</v>
      </c>
    </row>
    <row r="637" spans="1:8" ht="14.4" x14ac:dyDescent="0.3">
      <c r="A637" s="8">
        <v>79750644</v>
      </c>
      <c r="B637" s="11">
        <v>44582</v>
      </c>
      <c r="C637" s="13" t="s">
        <v>1131</v>
      </c>
      <c r="D637" s="13" t="s">
        <v>1132</v>
      </c>
      <c r="E637" s="8">
        <v>17000</v>
      </c>
      <c r="F637" s="13" t="s">
        <v>70</v>
      </c>
      <c r="G637" s="14">
        <v>44592</v>
      </c>
      <c r="H637" s="13" t="s">
        <v>9</v>
      </c>
    </row>
    <row r="638" spans="1:8" ht="14.4" x14ac:dyDescent="0.3">
      <c r="A638" s="8">
        <v>79750645</v>
      </c>
      <c r="B638" s="11">
        <v>44582</v>
      </c>
      <c r="C638" s="13" t="s">
        <v>1133</v>
      </c>
      <c r="D638" s="13" t="s">
        <v>1134</v>
      </c>
      <c r="E638" s="8">
        <v>8000</v>
      </c>
      <c r="F638" s="13" t="s">
        <v>70</v>
      </c>
      <c r="G638" s="14">
        <v>44594</v>
      </c>
      <c r="H638" s="13" t="s">
        <v>9</v>
      </c>
    </row>
    <row r="639" spans="1:8" ht="14.4" x14ac:dyDescent="0.3">
      <c r="A639" s="8">
        <v>79750646</v>
      </c>
      <c r="B639" s="11">
        <v>44582</v>
      </c>
      <c r="C639" s="13" t="s">
        <v>1135</v>
      </c>
      <c r="D639" s="13" t="s">
        <v>1136</v>
      </c>
      <c r="E639" s="8">
        <v>11000</v>
      </c>
      <c r="F639" s="13" t="s">
        <v>70</v>
      </c>
      <c r="G639" s="14">
        <v>44592</v>
      </c>
      <c r="H639" s="13" t="s">
        <v>9</v>
      </c>
    </row>
    <row r="640" spans="1:8" ht="14.4" x14ac:dyDescent="0.3">
      <c r="A640" s="8">
        <v>79750647</v>
      </c>
      <c r="B640" s="11">
        <v>44582</v>
      </c>
      <c r="C640" s="13" t="s">
        <v>1137</v>
      </c>
      <c r="D640" s="13" t="s">
        <v>1138</v>
      </c>
      <c r="E640" s="8">
        <v>11000</v>
      </c>
      <c r="F640" s="13" t="s">
        <v>70</v>
      </c>
      <c r="G640" s="14">
        <v>44592</v>
      </c>
      <c r="H640" s="13" t="s">
        <v>9</v>
      </c>
    </row>
    <row r="641" spans="1:8" ht="14.4" x14ac:dyDescent="0.3">
      <c r="A641" s="8">
        <v>79750648</v>
      </c>
      <c r="B641" s="11">
        <v>44582</v>
      </c>
      <c r="C641" s="13" t="s">
        <v>1139</v>
      </c>
      <c r="D641" s="13" t="s">
        <v>1140</v>
      </c>
      <c r="E641" s="8">
        <v>8000</v>
      </c>
      <c r="F641" s="13" t="s">
        <v>70</v>
      </c>
      <c r="G641" s="14">
        <v>44589</v>
      </c>
      <c r="H641" s="13" t="s">
        <v>9</v>
      </c>
    </row>
    <row r="642" spans="1:8" ht="14.4" x14ac:dyDescent="0.3">
      <c r="A642" s="8">
        <v>79750649</v>
      </c>
      <c r="B642" s="11">
        <v>44582</v>
      </c>
      <c r="C642" s="13" t="s">
        <v>1141</v>
      </c>
      <c r="D642" s="13" t="s">
        <v>1142</v>
      </c>
      <c r="E642" s="8">
        <v>8000</v>
      </c>
      <c r="F642" s="13" t="s">
        <v>70</v>
      </c>
      <c r="G642" s="14">
        <v>44595</v>
      </c>
      <c r="H642" s="13" t="s">
        <v>9</v>
      </c>
    </row>
    <row r="643" spans="1:8" ht="14.4" x14ac:dyDescent="0.3">
      <c r="A643" s="8">
        <v>79750650</v>
      </c>
      <c r="B643" s="11">
        <v>44582</v>
      </c>
      <c r="C643" s="13" t="s">
        <v>893</v>
      </c>
      <c r="D643" s="13" t="s">
        <v>1143</v>
      </c>
      <c r="E643" s="8">
        <v>195917.02</v>
      </c>
      <c r="F643" s="13" t="s">
        <v>70</v>
      </c>
      <c r="G643" s="14">
        <v>44599</v>
      </c>
      <c r="H643" s="13" t="s">
        <v>9</v>
      </c>
    </row>
    <row r="644" spans="1:8" ht="14.4" x14ac:dyDescent="0.3">
      <c r="A644" s="8">
        <v>79750651</v>
      </c>
      <c r="B644" s="11">
        <v>44582</v>
      </c>
      <c r="C644" s="13" t="s">
        <v>1144</v>
      </c>
      <c r="D644" s="13" t="s">
        <v>1145</v>
      </c>
      <c r="E644" s="8">
        <v>10000</v>
      </c>
      <c r="F644" s="13" t="s">
        <v>70</v>
      </c>
      <c r="G644" s="14">
        <v>44589</v>
      </c>
      <c r="H644" s="13" t="s">
        <v>9</v>
      </c>
    </row>
    <row r="645" spans="1:8" ht="14.4" x14ac:dyDescent="0.3">
      <c r="A645" s="8">
        <v>79750652</v>
      </c>
      <c r="B645" s="11">
        <v>44582</v>
      </c>
      <c r="C645" s="13" t="s">
        <v>1146</v>
      </c>
      <c r="D645" s="13" t="s">
        <v>1147</v>
      </c>
      <c r="E645" s="8">
        <v>30000</v>
      </c>
      <c r="F645" s="13" t="s">
        <v>70</v>
      </c>
      <c r="G645" s="14">
        <v>44592</v>
      </c>
      <c r="H645" s="13" t="s">
        <v>9</v>
      </c>
    </row>
    <row r="646" spans="1:8" ht="14.4" x14ac:dyDescent="0.3">
      <c r="A646" s="8">
        <v>79750653</v>
      </c>
      <c r="B646" s="11">
        <v>44582</v>
      </c>
      <c r="C646" s="13" t="s">
        <v>1148</v>
      </c>
      <c r="D646" s="13" t="s">
        <v>1149</v>
      </c>
      <c r="E646" s="8">
        <v>20000</v>
      </c>
      <c r="F646" s="13" t="s">
        <v>70</v>
      </c>
      <c r="G646" s="14">
        <v>44592</v>
      </c>
      <c r="H646" s="13" t="s">
        <v>9</v>
      </c>
    </row>
    <row r="647" spans="1:8" ht="14.4" x14ac:dyDescent="0.3">
      <c r="A647" s="8">
        <v>79750654</v>
      </c>
      <c r="B647" s="11">
        <v>44582</v>
      </c>
      <c r="C647" s="13" t="s">
        <v>1150</v>
      </c>
      <c r="D647" s="13" t="s">
        <v>150</v>
      </c>
      <c r="E647" s="8">
        <v>8000</v>
      </c>
      <c r="F647" s="13" t="s">
        <v>70</v>
      </c>
      <c r="G647" s="14">
        <v>44586</v>
      </c>
      <c r="H647" s="13" t="s">
        <v>9</v>
      </c>
    </row>
    <row r="648" spans="1:8" ht="14.4" x14ac:dyDescent="0.3">
      <c r="A648" s="8">
        <v>79750655</v>
      </c>
      <c r="B648" s="11">
        <v>44582</v>
      </c>
      <c r="C648" s="13" t="s">
        <v>1151</v>
      </c>
      <c r="D648" s="13" t="s">
        <v>1152</v>
      </c>
      <c r="E648" s="8">
        <v>15000</v>
      </c>
      <c r="F648" s="13" t="s">
        <v>70</v>
      </c>
      <c r="G648" s="14">
        <v>44592</v>
      </c>
      <c r="H648" s="13" t="s">
        <v>9</v>
      </c>
    </row>
    <row r="649" spans="1:8" ht="14.4" x14ac:dyDescent="0.3">
      <c r="A649" s="8">
        <v>79750656</v>
      </c>
      <c r="B649" s="11">
        <v>44582</v>
      </c>
      <c r="C649" s="13" t="s">
        <v>1153</v>
      </c>
      <c r="D649" s="13" t="s">
        <v>1154</v>
      </c>
      <c r="E649" s="8">
        <v>8000</v>
      </c>
      <c r="F649" s="13" t="s">
        <v>70</v>
      </c>
      <c r="G649" s="14">
        <v>44592</v>
      </c>
      <c r="H649" s="13" t="s">
        <v>9</v>
      </c>
    </row>
    <row r="650" spans="1:8" ht="14.4" x14ac:dyDescent="0.3">
      <c r="A650" s="8">
        <v>79750657</v>
      </c>
      <c r="B650" s="11">
        <v>44582</v>
      </c>
      <c r="C650" s="13" t="s">
        <v>1155</v>
      </c>
      <c r="D650" s="13" t="s">
        <v>1156</v>
      </c>
      <c r="E650" s="8">
        <v>12000</v>
      </c>
      <c r="F650" s="13" t="s">
        <v>70</v>
      </c>
      <c r="G650" s="14">
        <v>44592</v>
      </c>
      <c r="H650" s="13" t="s">
        <v>9</v>
      </c>
    </row>
    <row r="651" spans="1:8" ht="14.4" x14ac:dyDescent="0.3">
      <c r="A651" s="8">
        <v>79750658</v>
      </c>
      <c r="B651" s="11">
        <v>44582</v>
      </c>
      <c r="C651" s="13" t="s">
        <v>1157</v>
      </c>
      <c r="D651" s="13" t="s">
        <v>1158</v>
      </c>
      <c r="E651" s="8">
        <v>30000</v>
      </c>
      <c r="F651" s="13" t="s">
        <v>70</v>
      </c>
      <c r="G651" s="14">
        <v>44592</v>
      </c>
      <c r="H651" s="13" t="s">
        <v>9</v>
      </c>
    </row>
    <row r="652" spans="1:8" ht="14.4" x14ac:dyDescent="0.3">
      <c r="A652" s="8">
        <v>79750659</v>
      </c>
      <c r="B652" s="11">
        <v>44582</v>
      </c>
      <c r="C652" s="13" t="s">
        <v>1159</v>
      </c>
      <c r="D652" s="13" t="s">
        <v>1160</v>
      </c>
      <c r="E652" s="8">
        <v>11000</v>
      </c>
      <c r="F652" s="13" t="s">
        <v>70</v>
      </c>
      <c r="G652" s="14">
        <v>44594</v>
      </c>
      <c r="H652" s="13" t="s">
        <v>9</v>
      </c>
    </row>
    <row r="653" spans="1:8" ht="14.4" x14ac:dyDescent="0.3">
      <c r="A653" s="8">
        <v>79750660</v>
      </c>
      <c r="B653" s="11">
        <v>44582</v>
      </c>
      <c r="C653" s="13" t="s">
        <v>1161</v>
      </c>
      <c r="D653" s="13" t="s">
        <v>1162</v>
      </c>
      <c r="E653" s="8">
        <v>30000</v>
      </c>
      <c r="F653" s="13" t="s">
        <v>70</v>
      </c>
      <c r="G653" s="14">
        <v>44586</v>
      </c>
      <c r="H653" s="13" t="s">
        <v>9</v>
      </c>
    </row>
    <row r="654" spans="1:8" ht="14.4" x14ac:dyDescent="0.3">
      <c r="A654" s="8">
        <v>79750661</v>
      </c>
      <c r="B654" s="11">
        <v>44582</v>
      </c>
      <c r="C654" s="13" t="s">
        <v>1163</v>
      </c>
      <c r="D654" s="13" t="s">
        <v>1164</v>
      </c>
      <c r="E654" s="8">
        <v>20000</v>
      </c>
      <c r="F654" s="13" t="s">
        <v>70</v>
      </c>
      <c r="G654" s="14">
        <v>44587</v>
      </c>
      <c r="H654" s="13" t="s">
        <v>9</v>
      </c>
    </row>
    <row r="655" spans="1:8" ht="14.4" x14ac:dyDescent="0.3">
      <c r="A655" s="8">
        <v>79750662</v>
      </c>
      <c r="B655" s="11">
        <v>44582</v>
      </c>
      <c r="C655" s="13" t="s">
        <v>1165</v>
      </c>
      <c r="D655" s="13" t="s">
        <v>1166</v>
      </c>
      <c r="E655" s="8">
        <v>7000</v>
      </c>
      <c r="F655" s="13" t="s">
        <v>70</v>
      </c>
      <c r="G655" s="14">
        <v>44592</v>
      </c>
      <c r="H655" s="13" t="s">
        <v>9</v>
      </c>
    </row>
    <row r="656" spans="1:8" ht="14.4" x14ac:dyDescent="0.3">
      <c r="A656" s="8">
        <v>79750663</v>
      </c>
      <c r="B656" s="11">
        <v>44582</v>
      </c>
      <c r="C656" s="13" t="s">
        <v>1167</v>
      </c>
      <c r="D656" s="13" t="s">
        <v>100</v>
      </c>
      <c r="E656" s="8">
        <v>8000</v>
      </c>
      <c r="F656" s="13" t="s">
        <v>70</v>
      </c>
      <c r="G656" s="14">
        <v>44595</v>
      </c>
      <c r="H656" s="13" t="s">
        <v>9</v>
      </c>
    </row>
    <row r="657" spans="1:8" ht="14.4" x14ac:dyDescent="0.3">
      <c r="A657" s="8">
        <v>79750664</v>
      </c>
      <c r="B657" s="11">
        <v>44582</v>
      </c>
      <c r="C657" s="13" t="s">
        <v>1168</v>
      </c>
      <c r="D657" s="13" t="s">
        <v>1169</v>
      </c>
      <c r="E657" s="8">
        <v>20000</v>
      </c>
      <c r="F657" s="13" t="s">
        <v>70</v>
      </c>
      <c r="G657" s="14">
        <v>44592</v>
      </c>
      <c r="H657" s="13" t="s">
        <v>9</v>
      </c>
    </row>
    <row r="658" spans="1:8" ht="14.4" x14ac:dyDescent="0.3">
      <c r="A658" s="8">
        <v>79750665</v>
      </c>
      <c r="B658" s="11">
        <v>44582</v>
      </c>
      <c r="C658" s="13" t="s">
        <v>1170</v>
      </c>
      <c r="D658" s="13" t="s">
        <v>1171</v>
      </c>
      <c r="E658" s="8">
        <v>10000</v>
      </c>
      <c r="F658" s="13" t="s">
        <v>70</v>
      </c>
      <c r="G658" s="14">
        <v>44592</v>
      </c>
      <c r="H658" s="13" t="s">
        <v>9</v>
      </c>
    </row>
    <row r="659" spans="1:8" ht="14.4" x14ac:dyDescent="0.3">
      <c r="A659" s="8">
        <v>79750666</v>
      </c>
      <c r="B659" s="11">
        <v>44582</v>
      </c>
      <c r="C659" s="13" t="s">
        <v>1172</v>
      </c>
      <c r="D659" s="13" t="s">
        <v>1173</v>
      </c>
      <c r="E659" s="8">
        <v>50000</v>
      </c>
      <c r="F659" s="13" t="s">
        <v>70</v>
      </c>
      <c r="G659" s="14">
        <v>44588</v>
      </c>
      <c r="H659" s="13" t="s">
        <v>9</v>
      </c>
    </row>
    <row r="660" spans="1:8" ht="14.4" x14ac:dyDescent="0.3">
      <c r="A660" s="8">
        <v>79750667</v>
      </c>
      <c r="B660" s="11">
        <v>44582</v>
      </c>
      <c r="C660" s="13" t="s">
        <v>1174</v>
      </c>
      <c r="D660" s="13" t="s">
        <v>1175</v>
      </c>
      <c r="E660" s="8">
        <v>7000</v>
      </c>
      <c r="F660" s="13" t="s">
        <v>70</v>
      </c>
      <c r="G660" s="14">
        <v>44592</v>
      </c>
      <c r="H660" s="13" t="s">
        <v>9</v>
      </c>
    </row>
    <row r="661" spans="1:8" ht="14.4" x14ac:dyDescent="0.3">
      <c r="A661" s="8">
        <v>79750668</v>
      </c>
      <c r="B661" s="11">
        <v>44582</v>
      </c>
      <c r="C661" s="13" t="s">
        <v>1033</v>
      </c>
      <c r="D661" s="13" t="s">
        <v>1176</v>
      </c>
      <c r="E661" s="8">
        <v>8000</v>
      </c>
      <c r="F661" s="13" t="s">
        <v>70</v>
      </c>
      <c r="G661" s="14">
        <v>44594</v>
      </c>
      <c r="H661" s="13" t="s">
        <v>9</v>
      </c>
    </row>
    <row r="662" spans="1:8" ht="14.4" x14ac:dyDescent="0.3">
      <c r="A662" s="8">
        <v>79750669</v>
      </c>
      <c r="B662" s="11">
        <v>44582</v>
      </c>
      <c r="C662" s="13" t="s">
        <v>1177</v>
      </c>
      <c r="D662" s="13" t="s">
        <v>1178</v>
      </c>
      <c r="E662" s="8">
        <v>15000</v>
      </c>
      <c r="F662" s="13" t="s">
        <v>70</v>
      </c>
      <c r="G662" s="14">
        <v>44592</v>
      </c>
      <c r="H662" s="13" t="s">
        <v>9</v>
      </c>
    </row>
    <row r="663" spans="1:8" ht="14.4" x14ac:dyDescent="0.3">
      <c r="A663" s="8">
        <v>79750670</v>
      </c>
      <c r="B663" s="11">
        <v>44582</v>
      </c>
      <c r="C663" s="13" t="s">
        <v>1179</v>
      </c>
      <c r="D663" s="13" t="s">
        <v>1180</v>
      </c>
      <c r="E663" s="8">
        <v>15000</v>
      </c>
      <c r="F663" s="13" t="s">
        <v>70</v>
      </c>
      <c r="G663" s="14">
        <v>44592</v>
      </c>
      <c r="H663" s="13" t="s">
        <v>9</v>
      </c>
    </row>
    <row r="664" spans="1:8" ht="14.4" x14ac:dyDescent="0.3">
      <c r="A664" s="8">
        <v>79750671</v>
      </c>
      <c r="B664" s="11">
        <v>44582</v>
      </c>
      <c r="C664" s="13" t="s">
        <v>1181</v>
      </c>
      <c r="D664" s="13" t="s">
        <v>1182</v>
      </c>
      <c r="E664" s="8">
        <v>9000</v>
      </c>
      <c r="F664" s="13" t="s">
        <v>70</v>
      </c>
      <c r="G664" s="14">
        <v>44587</v>
      </c>
      <c r="H664" s="13" t="s">
        <v>9</v>
      </c>
    </row>
    <row r="665" spans="1:8" ht="14.4" x14ac:dyDescent="0.3">
      <c r="A665" s="8">
        <v>79750672</v>
      </c>
      <c r="B665" s="11">
        <v>44582</v>
      </c>
      <c r="C665" s="13" t="s">
        <v>1183</v>
      </c>
      <c r="D665" s="13" t="s">
        <v>1184</v>
      </c>
      <c r="E665" s="8">
        <v>16000</v>
      </c>
      <c r="F665" s="13" t="s">
        <v>70</v>
      </c>
      <c r="G665" s="14">
        <v>44592</v>
      </c>
      <c r="H665" s="13" t="s">
        <v>9</v>
      </c>
    </row>
    <row r="666" spans="1:8" ht="14.4" x14ac:dyDescent="0.3">
      <c r="A666" s="8">
        <v>79750673</v>
      </c>
      <c r="B666" s="11">
        <v>44582</v>
      </c>
      <c r="C666" s="13" t="s">
        <v>1185</v>
      </c>
      <c r="D666" s="13" t="s">
        <v>1186</v>
      </c>
      <c r="E666" s="8">
        <v>27000</v>
      </c>
      <c r="F666" s="13" t="s">
        <v>70</v>
      </c>
      <c r="G666" s="14">
        <v>44594</v>
      </c>
      <c r="H666" s="13" t="s">
        <v>9</v>
      </c>
    </row>
    <row r="667" spans="1:8" ht="14.4" x14ac:dyDescent="0.3">
      <c r="A667" s="8">
        <v>79750674</v>
      </c>
      <c r="B667" s="11">
        <v>44582</v>
      </c>
      <c r="C667" s="13" t="s">
        <v>1187</v>
      </c>
      <c r="D667" s="13" t="s">
        <v>1188</v>
      </c>
      <c r="E667" s="8">
        <v>11000</v>
      </c>
      <c r="F667" s="13" t="s">
        <v>70</v>
      </c>
      <c r="G667" s="14">
        <v>44594</v>
      </c>
      <c r="H667" s="13" t="s">
        <v>9</v>
      </c>
    </row>
    <row r="668" spans="1:8" ht="14.4" x14ac:dyDescent="0.3">
      <c r="A668" s="8">
        <v>79750676</v>
      </c>
      <c r="B668" s="11">
        <v>44582</v>
      </c>
      <c r="C668" s="13" t="s">
        <v>1189</v>
      </c>
      <c r="D668" s="13" t="s">
        <v>1190</v>
      </c>
      <c r="E668" s="8">
        <v>14000</v>
      </c>
      <c r="F668" s="13" t="s">
        <v>70</v>
      </c>
      <c r="G668" s="14">
        <v>44592</v>
      </c>
      <c r="H668" s="13" t="s">
        <v>9</v>
      </c>
    </row>
    <row r="669" spans="1:8" ht="14.4" x14ac:dyDescent="0.3">
      <c r="A669" s="8">
        <v>79750677</v>
      </c>
      <c r="B669" s="11">
        <v>44582</v>
      </c>
      <c r="C669" s="13" t="s">
        <v>893</v>
      </c>
      <c r="D669" s="13" t="s">
        <v>1191</v>
      </c>
      <c r="E669" s="8">
        <v>155300</v>
      </c>
      <c r="F669" s="13" t="s">
        <v>70</v>
      </c>
      <c r="G669" s="14">
        <v>44599</v>
      </c>
      <c r="H669" s="13" t="s">
        <v>9</v>
      </c>
    </row>
    <row r="670" spans="1:8" ht="14.4" x14ac:dyDescent="0.3">
      <c r="A670" s="8">
        <v>79750678</v>
      </c>
      <c r="B670" s="11">
        <v>44582</v>
      </c>
      <c r="C670" s="13" t="s">
        <v>669</v>
      </c>
      <c r="D670" s="13" t="s">
        <v>1192</v>
      </c>
      <c r="E670" s="8">
        <v>48800</v>
      </c>
      <c r="F670" s="13" t="s">
        <v>70</v>
      </c>
      <c r="G670" s="14">
        <v>44599</v>
      </c>
      <c r="H670" s="13" t="s">
        <v>9</v>
      </c>
    </row>
    <row r="671" spans="1:8" ht="14.4" x14ac:dyDescent="0.3">
      <c r="A671" s="8">
        <v>79750679</v>
      </c>
      <c r="B671" s="11">
        <v>44582</v>
      </c>
      <c r="C671" s="13" t="s">
        <v>1193</v>
      </c>
      <c r="D671" s="13" t="s">
        <v>1194</v>
      </c>
      <c r="E671" s="8">
        <v>6000</v>
      </c>
      <c r="F671" s="13" t="s">
        <v>70</v>
      </c>
      <c r="G671" s="14">
        <v>44599</v>
      </c>
      <c r="H671" s="13" t="s">
        <v>9</v>
      </c>
    </row>
    <row r="672" spans="1:8" ht="14.4" x14ac:dyDescent="0.3">
      <c r="A672" s="8">
        <v>79750680</v>
      </c>
      <c r="B672" s="11">
        <v>44582</v>
      </c>
      <c r="C672" s="13" t="s">
        <v>74</v>
      </c>
      <c r="D672" s="13" t="s">
        <v>1195</v>
      </c>
      <c r="E672" s="8">
        <v>19000</v>
      </c>
      <c r="F672" s="13" t="s">
        <v>70</v>
      </c>
      <c r="G672" s="14">
        <v>44599</v>
      </c>
      <c r="H672" s="13" t="s">
        <v>9</v>
      </c>
    </row>
    <row r="673" spans="1:8" ht="14.4" x14ac:dyDescent="0.3">
      <c r="A673" s="8">
        <v>79750681</v>
      </c>
      <c r="B673" s="11">
        <v>44582</v>
      </c>
      <c r="C673" s="13" t="s">
        <v>265</v>
      </c>
      <c r="D673" s="13" t="s">
        <v>1196</v>
      </c>
      <c r="E673" s="8">
        <v>50060</v>
      </c>
      <c r="F673" s="13" t="s">
        <v>70</v>
      </c>
      <c r="G673" s="14">
        <v>44586</v>
      </c>
      <c r="H673" s="13" t="s">
        <v>9</v>
      </c>
    </row>
    <row r="674" spans="1:8" ht="14.4" x14ac:dyDescent="0.3">
      <c r="A674" s="8">
        <v>79750682</v>
      </c>
      <c r="B674" s="11">
        <v>44582</v>
      </c>
      <c r="C674" s="13" t="s">
        <v>893</v>
      </c>
      <c r="D674" s="13" t="s">
        <v>1197</v>
      </c>
      <c r="E674" s="8">
        <v>124200</v>
      </c>
      <c r="F674" s="13" t="s">
        <v>70</v>
      </c>
      <c r="G674" s="14">
        <v>44599</v>
      </c>
      <c r="H674" s="13" t="s">
        <v>9</v>
      </c>
    </row>
    <row r="675" spans="1:8" ht="14.4" x14ac:dyDescent="0.3">
      <c r="A675" s="8">
        <v>79750683</v>
      </c>
      <c r="B675" s="11">
        <v>44582</v>
      </c>
      <c r="C675" s="13" t="s">
        <v>506</v>
      </c>
      <c r="D675" s="13" t="s">
        <v>1198</v>
      </c>
      <c r="E675" s="8">
        <v>86000</v>
      </c>
      <c r="F675" s="13" t="s">
        <v>70</v>
      </c>
      <c r="G675" s="14">
        <v>44599</v>
      </c>
      <c r="H675" s="13" t="s">
        <v>9</v>
      </c>
    </row>
    <row r="676" spans="1:8" ht="14.4" x14ac:dyDescent="0.3">
      <c r="A676" s="8">
        <v>79750684</v>
      </c>
      <c r="B676" s="11">
        <v>44582</v>
      </c>
      <c r="C676" s="13" t="s">
        <v>99</v>
      </c>
      <c r="D676" s="13" t="s">
        <v>1199</v>
      </c>
      <c r="E676" s="8">
        <v>15000</v>
      </c>
      <c r="F676" s="13" t="s">
        <v>70</v>
      </c>
      <c r="G676" s="14">
        <v>44594</v>
      </c>
      <c r="H676" s="13" t="s">
        <v>9</v>
      </c>
    </row>
    <row r="677" spans="1:8" ht="14.4" x14ac:dyDescent="0.3">
      <c r="A677" s="8">
        <v>79750685</v>
      </c>
      <c r="B677" s="11">
        <v>44582</v>
      </c>
      <c r="C677" s="13" t="s">
        <v>1200</v>
      </c>
      <c r="D677" s="13" t="s">
        <v>1201</v>
      </c>
      <c r="E677" s="8">
        <v>30000</v>
      </c>
      <c r="F677" s="13" t="s">
        <v>70</v>
      </c>
      <c r="G677" s="14">
        <v>44592</v>
      </c>
      <c r="H677" s="13" t="s">
        <v>9</v>
      </c>
    </row>
    <row r="678" spans="1:8" ht="14.4" x14ac:dyDescent="0.3">
      <c r="A678" s="8">
        <v>79750686</v>
      </c>
      <c r="B678" s="11">
        <v>44582</v>
      </c>
      <c r="C678" s="13" t="s">
        <v>1202</v>
      </c>
      <c r="D678" s="13" t="s">
        <v>1203</v>
      </c>
      <c r="E678" s="8">
        <v>10000</v>
      </c>
      <c r="F678" s="13" t="s">
        <v>70</v>
      </c>
      <c r="G678" s="14">
        <v>44592</v>
      </c>
      <c r="H678" s="13" t="s">
        <v>9</v>
      </c>
    </row>
    <row r="679" spans="1:8" ht="14.4" x14ac:dyDescent="0.3">
      <c r="A679" s="8">
        <v>79750687</v>
      </c>
      <c r="B679" s="11">
        <v>44582</v>
      </c>
      <c r="C679" s="13" t="s">
        <v>601</v>
      </c>
      <c r="D679" s="13" t="s">
        <v>1204</v>
      </c>
      <c r="E679" s="8">
        <v>15000</v>
      </c>
      <c r="F679" s="13" t="s">
        <v>70</v>
      </c>
      <c r="G679" s="14">
        <v>44586</v>
      </c>
      <c r="H679" s="13" t="s">
        <v>9</v>
      </c>
    </row>
    <row r="680" spans="1:8" ht="14.4" x14ac:dyDescent="0.3">
      <c r="A680" s="8">
        <v>79750688</v>
      </c>
      <c r="B680" s="11">
        <v>44582</v>
      </c>
      <c r="C680" s="13" t="s">
        <v>1205</v>
      </c>
      <c r="D680" s="13" t="s">
        <v>1206</v>
      </c>
      <c r="E680" s="8">
        <v>35000</v>
      </c>
      <c r="F680" s="13" t="s">
        <v>70</v>
      </c>
      <c r="G680" s="14">
        <v>44589</v>
      </c>
      <c r="H680" s="13" t="s">
        <v>9</v>
      </c>
    </row>
    <row r="681" spans="1:8" ht="14.4" x14ac:dyDescent="0.3">
      <c r="A681" s="8">
        <v>79750689</v>
      </c>
      <c r="B681" s="11">
        <v>44582</v>
      </c>
      <c r="C681" s="13" t="s">
        <v>1207</v>
      </c>
      <c r="D681" s="13" t="s">
        <v>1208</v>
      </c>
      <c r="E681" s="8">
        <v>10000</v>
      </c>
      <c r="F681" s="13" t="s">
        <v>70</v>
      </c>
      <c r="G681" s="14">
        <v>44594</v>
      </c>
      <c r="H681" s="13" t="s">
        <v>9</v>
      </c>
    </row>
    <row r="682" spans="1:8" ht="14.4" x14ac:dyDescent="0.3">
      <c r="A682" s="8">
        <v>79750690</v>
      </c>
      <c r="B682" s="11">
        <v>44582</v>
      </c>
      <c r="C682" s="13" t="s">
        <v>506</v>
      </c>
      <c r="D682" s="13" t="s">
        <v>1209</v>
      </c>
      <c r="E682" s="8">
        <v>40000</v>
      </c>
      <c r="F682" s="13" t="s">
        <v>70</v>
      </c>
      <c r="G682" s="14">
        <v>44599</v>
      </c>
      <c r="H682" s="13" t="s">
        <v>9</v>
      </c>
    </row>
    <row r="683" spans="1:8" ht="14.4" x14ac:dyDescent="0.3">
      <c r="A683" s="8">
        <v>79750691</v>
      </c>
      <c r="B683" s="11">
        <v>44582</v>
      </c>
      <c r="C683" s="13" t="s">
        <v>176</v>
      </c>
      <c r="D683" s="13" t="s">
        <v>1210</v>
      </c>
      <c r="E683" s="8">
        <v>112500</v>
      </c>
      <c r="F683" s="13" t="s">
        <v>70</v>
      </c>
      <c r="G683" s="14">
        <v>44599</v>
      </c>
      <c r="H683" s="13" t="s">
        <v>9</v>
      </c>
    </row>
    <row r="684" spans="1:8" ht="14.4" x14ac:dyDescent="0.3">
      <c r="A684" s="8">
        <v>79750692</v>
      </c>
      <c r="B684" s="11">
        <v>44582</v>
      </c>
      <c r="C684" s="13" t="s">
        <v>1211</v>
      </c>
      <c r="D684" s="13" t="s">
        <v>1212</v>
      </c>
      <c r="E684" s="8">
        <v>15000</v>
      </c>
      <c r="F684" s="13" t="s">
        <v>70</v>
      </c>
      <c r="G684" s="14">
        <v>44595</v>
      </c>
      <c r="H684" s="13" t="s">
        <v>9</v>
      </c>
    </row>
    <row r="685" spans="1:8" ht="14.4" x14ac:dyDescent="0.3">
      <c r="A685" s="8">
        <v>79750693</v>
      </c>
      <c r="B685" s="11">
        <v>44582</v>
      </c>
      <c r="C685" s="13" t="s">
        <v>1213</v>
      </c>
      <c r="D685" s="13" t="s">
        <v>1214</v>
      </c>
      <c r="E685" s="8">
        <v>50000</v>
      </c>
      <c r="F685" s="13" t="s">
        <v>70</v>
      </c>
      <c r="G685" s="14">
        <v>44594</v>
      </c>
      <c r="H685" s="13" t="s">
        <v>9</v>
      </c>
    </row>
    <row r="686" spans="1:8" ht="14.4" x14ac:dyDescent="0.3">
      <c r="A686" s="8">
        <v>79750694</v>
      </c>
      <c r="B686" s="11">
        <v>44582</v>
      </c>
      <c r="C686" s="13" t="s">
        <v>1215</v>
      </c>
      <c r="D686" s="13" t="s">
        <v>1216</v>
      </c>
      <c r="E686" s="8">
        <v>30000</v>
      </c>
      <c r="F686" s="13" t="s">
        <v>70</v>
      </c>
      <c r="G686" s="14">
        <v>44595</v>
      </c>
      <c r="H686" s="13" t="s">
        <v>9</v>
      </c>
    </row>
    <row r="687" spans="1:8" ht="14.4" x14ac:dyDescent="0.3">
      <c r="A687" s="8">
        <v>79750695</v>
      </c>
      <c r="B687" s="11">
        <v>44582</v>
      </c>
      <c r="C687" s="13" t="s">
        <v>1217</v>
      </c>
      <c r="D687" s="13" t="s">
        <v>1218</v>
      </c>
      <c r="E687" s="8">
        <v>45000</v>
      </c>
      <c r="F687" s="13" t="s">
        <v>70</v>
      </c>
      <c r="G687" s="14">
        <v>44594</v>
      </c>
      <c r="H687" s="13" t="s">
        <v>9</v>
      </c>
    </row>
    <row r="688" spans="1:8" ht="14.4" x14ac:dyDescent="0.3">
      <c r="A688" s="8">
        <v>79750696</v>
      </c>
      <c r="B688" s="11">
        <v>44582</v>
      </c>
      <c r="C688" s="13" t="s">
        <v>1219</v>
      </c>
      <c r="D688" s="13" t="s">
        <v>1220</v>
      </c>
      <c r="E688" s="8">
        <v>28000</v>
      </c>
      <c r="F688" s="13" t="s">
        <v>70</v>
      </c>
      <c r="G688" s="14">
        <v>44589</v>
      </c>
      <c r="H688" s="13" t="s">
        <v>9</v>
      </c>
    </row>
    <row r="689" spans="1:8" ht="14.4" x14ac:dyDescent="0.3">
      <c r="A689" s="8">
        <v>79750697</v>
      </c>
      <c r="B689" s="11">
        <v>44582</v>
      </c>
      <c r="C689" s="13" t="s">
        <v>1221</v>
      </c>
      <c r="D689" s="13" t="s">
        <v>1222</v>
      </c>
      <c r="E689" s="8">
        <v>10000</v>
      </c>
      <c r="F689" s="13" t="s">
        <v>70</v>
      </c>
      <c r="G689" s="14">
        <v>44594</v>
      </c>
      <c r="H689" s="13" t="s">
        <v>9</v>
      </c>
    </row>
    <row r="690" spans="1:8" ht="14.4" x14ac:dyDescent="0.3">
      <c r="A690" s="8">
        <v>79750698</v>
      </c>
      <c r="B690" s="11">
        <v>44582</v>
      </c>
      <c r="C690" s="13" t="s">
        <v>1223</v>
      </c>
      <c r="D690" s="13" t="s">
        <v>1224</v>
      </c>
      <c r="E690" s="8">
        <v>20000</v>
      </c>
      <c r="F690" s="13" t="s">
        <v>70</v>
      </c>
      <c r="G690" s="14">
        <v>44595</v>
      </c>
      <c r="H690" s="13" t="s">
        <v>9</v>
      </c>
    </row>
    <row r="691" spans="1:8" ht="14.4" x14ac:dyDescent="0.3">
      <c r="A691" s="8">
        <v>79750699</v>
      </c>
      <c r="B691" s="11">
        <v>44582</v>
      </c>
      <c r="C691" s="13" t="s">
        <v>1225</v>
      </c>
      <c r="D691" s="13" t="s">
        <v>1226</v>
      </c>
      <c r="E691" s="8">
        <v>50000</v>
      </c>
      <c r="F691" s="13" t="s">
        <v>70</v>
      </c>
      <c r="G691" s="14">
        <v>44592</v>
      </c>
      <c r="H691" s="13" t="s">
        <v>9</v>
      </c>
    </row>
    <row r="692" spans="1:8" ht="14.4" x14ac:dyDescent="0.3">
      <c r="A692" s="8">
        <v>79750700</v>
      </c>
      <c r="B692" s="11">
        <v>44582</v>
      </c>
      <c r="C692" s="13" t="s">
        <v>1227</v>
      </c>
      <c r="D692" s="13" t="s">
        <v>1228</v>
      </c>
      <c r="E692" s="8">
        <v>7000</v>
      </c>
      <c r="F692" s="13" t="s">
        <v>70</v>
      </c>
      <c r="G692" s="14">
        <v>44594</v>
      </c>
      <c r="H692" s="13" t="s">
        <v>9</v>
      </c>
    </row>
    <row r="693" spans="1:8" ht="14.4" x14ac:dyDescent="0.3">
      <c r="A693" s="8">
        <v>79750701</v>
      </c>
      <c r="B693" s="11">
        <v>44582</v>
      </c>
      <c r="C693" s="13" t="s">
        <v>1229</v>
      </c>
      <c r="D693" s="13" t="s">
        <v>1230</v>
      </c>
      <c r="E693" s="8">
        <v>7000</v>
      </c>
      <c r="F693" s="13" t="s">
        <v>70</v>
      </c>
      <c r="G693" s="14">
        <v>44595</v>
      </c>
      <c r="H693" s="13" t="s">
        <v>9</v>
      </c>
    </row>
    <row r="694" spans="1:8" ht="14.4" x14ac:dyDescent="0.3">
      <c r="A694" s="8">
        <v>79750702</v>
      </c>
      <c r="B694" s="11">
        <v>44582</v>
      </c>
      <c r="C694" s="13" t="s">
        <v>265</v>
      </c>
      <c r="D694" s="13" t="s">
        <v>1231</v>
      </c>
      <c r="E694" s="8">
        <v>153267.68</v>
      </c>
      <c r="F694" s="13" t="s">
        <v>70</v>
      </c>
      <c r="G694" s="14">
        <v>44586</v>
      </c>
      <c r="H694" s="13" t="s">
        <v>9</v>
      </c>
    </row>
    <row r="695" spans="1:8" ht="14.4" x14ac:dyDescent="0.3">
      <c r="A695" s="8">
        <v>79750704</v>
      </c>
      <c r="B695" s="11">
        <v>44582</v>
      </c>
      <c r="C695" s="13" t="s">
        <v>748</v>
      </c>
      <c r="D695" s="13" t="s">
        <v>1232</v>
      </c>
      <c r="E695" s="8">
        <v>55374.720000000001</v>
      </c>
      <c r="F695" s="13" t="s">
        <v>70</v>
      </c>
      <c r="G695" s="14">
        <v>44585</v>
      </c>
      <c r="H695" s="13" t="s">
        <v>9</v>
      </c>
    </row>
    <row r="696" spans="1:8" ht="14.4" x14ac:dyDescent="0.3">
      <c r="A696" s="8">
        <v>79750705</v>
      </c>
      <c r="B696" s="11">
        <v>44582</v>
      </c>
      <c r="C696" s="13" t="s">
        <v>748</v>
      </c>
      <c r="D696" s="13" t="s">
        <v>1233</v>
      </c>
      <c r="E696" s="8">
        <v>25926.240000000002</v>
      </c>
      <c r="F696" s="13" t="s">
        <v>70</v>
      </c>
      <c r="G696" s="14">
        <v>44585</v>
      </c>
      <c r="H696" s="13" t="s">
        <v>9</v>
      </c>
    </row>
    <row r="697" spans="1:8" ht="14.4" x14ac:dyDescent="0.3">
      <c r="A697" s="8">
        <v>79750706</v>
      </c>
      <c r="B697" s="11">
        <v>44610</v>
      </c>
      <c r="C697" s="13" t="s">
        <v>1234</v>
      </c>
      <c r="D697" s="13" t="s">
        <v>1235</v>
      </c>
      <c r="E697" s="8">
        <v>50000</v>
      </c>
      <c r="F697" s="13" t="s">
        <v>70</v>
      </c>
      <c r="G697" s="14">
        <v>44615</v>
      </c>
      <c r="H697" s="13" t="s">
        <v>9</v>
      </c>
    </row>
    <row r="698" spans="1:8" ht="14.4" x14ac:dyDescent="0.3">
      <c r="A698" s="8">
        <v>79750707</v>
      </c>
      <c r="B698" s="11">
        <v>44610</v>
      </c>
      <c r="C698" s="13" t="s">
        <v>1236</v>
      </c>
      <c r="D698" s="13" t="s">
        <v>1237</v>
      </c>
      <c r="E698" s="8">
        <v>19000</v>
      </c>
      <c r="F698" s="13" t="s">
        <v>70</v>
      </c>
      <c r="G698" s="14">
        <v>44614</v>
      </c>
      <c r="H698" s="13" t="s">
        <v>9</v>
      </c>
    </row>
    <row r="699" spans="1:8" ht="14.4" x14ac:dyDescent="0.3">
      <c r="A699" s="8">
        <v>79750708</v>
      </c>
      <c r="B699" s="11">
        <v>44610</v>
      </c>
      <c r="C699" s="13" t="s">
        <v>1238</v>
      </c>
      <c r="D699" s="13" t="s">
        <v>1239</v>
      </c>
      <c r="E699" s="8">
        <v>7000</v>
      </c>
      <c r="F699" s="13" t="s">
        <v>70</v>
      </c>
      <c r="G699" s="14">
        <v>44614</v>
      </c>
      <c r="H699" s="13" t="s">
        <v>9</v>
      </c>
    </row>
    <row r="700" spans="1:8" ht="14.4" x14ac:dyDescent="0.3">
      <c r="A700" s="8">
        <v>79750709</v>
      </c>
      <c r="B700" s="11">
        <v>44610</v>
      </c>
      <c r="C700" s="13" t="s">
        <v>1240</v>
      </c>
      <c r="D700" s="13" t="s">
        <v>1241</v>
      </c>
      <c r="E700" s="8">
        <v>30000</v>
      </c>
      <c r="F700" s="13" t="s">
        <v>70</v>
      </c>
      <c r="G700" s="14">
        <v>44614</v>
      </c>
      <c r="H700" s="13" t="s">
        <v>9</v>
      </c>
    </row>
    <row r="701" spans="1:8" ht="14.4" x14ac:dyDescent="0.3">
      <c r="A701" s="8">
        <v>79750710</v>
      </c>
      <c r="B701" s="11">
        <v>44610</v>
      </c>
      <c r="C701" s="13" t="s">
        <v>1242</v>
      </c>
      <c r="D701" s="13" t="s">
        <v>1243</v>
      </c>
      <c r="E701" s="8">
        <v>16000</v>
      </c>
      <c r="F701" s="13" t="s">
        <v>70</v>
      </c>
      <c r="G701" s="14">
        <v>44614</v>
      </c>
      <c r="H701" s="13" t="s">
        <v>9</v>
      </c>
    </row>
    <row r="702" spans="1:8" ht="14.4" x14ac:dyDescent="0.3">
      <c r="A702" s="8">
        <v>79750711</v>
      </c>
      <c r="B702" s="11">
        <v>44610</v>
      </c>
      <c r="C702" s="13" t="s">
        <v>1244</v>
      </c>
      <c r="D702" s="13" t="s">
        <v>1245</v>
      </c>
      <c r="E702" s="8">
        <v>15000</v>
      </c>
      <c r="F702" s="13" t="s">
        <v>70</v>
      </c>
      <c r="G702" s="14">
        <v>44615</v>
      </c>
      <c r="H702" s="13" t="s">
        <v>9</v>
      </c>
    </row>
    <row r="703" spans="1:8" ht="14.4" x14ac:dyDescent="0.3">
      <c r="A703" s="8">
        <v>79750712</v>
      </c>
      <c r="B703" s="11">
        <v>44610</v>
      </c>
      <c r="C703" s="13" t="s">
        <v>1246</v>
      </c>
      <c r="D703" s="13" t="s">
        <v>1247</v>
      </c>
      <c r="E703" s="8">
        <v>21000</v>
      </c>
      <c r="F703" s="13" t="s">
        <v>70</v>
      </c>
      <c r="G703" s="14">
        <v>44614</v>
      </c>
      <c r="H703" s="13" t="s">
        <v>9</v>
      </c>
    </row>
    <row r="704" spans="1:8" ht="14.4" x14ac:dyDescent="0.3">
      <c r="A704" s="8">
        <v>79750713</v>
      </c>
      <c r="B704" s="11">
        <v>44610</v>
      </c>
      <c r="C704" s="13" t="s">
        <v>1248</v>
      </c>
      <c r="D704" s="13" t="s">
        <v>1249</v>
      </c>
      <c r="E704" s="8">
        <v>27900</v>
      </c>
      <c r="F704" s="13" t="s">
        <v>70</v>
      </c>
      <c r="G704" s="14">
        <v>44614</v>
      </c>
      <c r="H704" s="13" t="s">
        <v>9</v>
      </c>
    </row>
    <row r="705" spans="1:8" ht="14.4" x14ac:dyDescent="0.3">
      <c r="A705" s="8">
        <v>79750714</v>
      </c>
      <c r="B705" s="11">
        <v>44610</v>
      </c>
      <c r="C705" s="13" t="s">
        <v>1250</v>
      </c>
      <c r="D705" s="13" t="s">
        <v>1251</v>
      </c>
      <c r="E705" s="8">
        <v>13500</v>
      </c>
      <c r="F705" s="13" t="s">
        <v>70</v>
      </c>
      <c r="G705" s="14">
        <v>44615</v>
      </c>
      <c r="H705" s="13" t="s">
        <v>9</v>
      </c>
    </row>
    <row r="706" spans="1:8" ht="14.4" x14ac:dyDescent="0.3">
      <c r="A706" s="8">
        <v>79750715</v>
      </c>
      <c r="B706" s="11">
        <v>44610</v>
      </c>
      <c r="C706" s="13" t="s">
        <v>1252</v>
      </c>
      <c r="D706" s="13" t="s">
        <v>1253</v>
      </c>
      <c r="E706" s="8">
        <v>10000</v>
      </c>
      <c r="F706" s="13" t="s">
        <v>70</v>
      </c>
      <c r="G706" s="14">
        <v>44614</v>
      </c>
      <c r="H706" s="13" t="s">
        <v>9</v>
      </c>
    </row>
    <row r="707" spans="1:8" ht="14.4" x14ac:dyDescent="0.3">
      <c r="A707" s="8">
        <v>79750716</v>
      </c>
      <c r="B707" s="11">
        <v>44610</v>
      </c>
      <c r="C707" s="13" t="s">
        <v>1254</v>
      </c>
      <c r="D707" s="13" t="s">
        <v>1255</v>
      </c>
      <c r="E707" s="8">
        <v>20000</v>
      </c>
      <c r="F707" s="13" t="s">
        <v>70</v>
      </c>
      <c r="G707" s="14">
        <v>44614</v>
      </c>
      <c r="H707" s="13" t="s">
        <v>9</v>
      </c>
    </row>
    <row r="708" spans="1:8" ht="14.4" x14ac:dyDescent="0.3">
      <c r="A708" s="8">
        <v>79750717</v>
      </c>
      <c r="B708" s="11">
        <v>44610</v>
      </c>
      <c r="C708" s="13" t="s">
        <v>1256</v>
      </c>
      <c r="D708" s="13" t="s">
        <v>1257</v>
      </c>
      <c r="E708" s="8">
        <v>26000</v>
      </c>
      <c r="F708" s="13" t="s">
        <v>70</v>
      </c>
      <c r="G708" s="14">
        <v>44615</v>
      </c>
      <c r="H708" s="13" t="s">
        <v>9</v>
      </c>
    </row>
    <row r="709" spans="1:8" ht="14.4" x14ac:dyDescent="0.3">
      <c r="A709" s="8">
        <v>79750718</v>
      </c>
      <c r="B709" s="11">
        <v>44610</v>
      </c>
      <c r="C709" s="13" t="s">
        <v>1258</v>
      </c>
      <c r="D709" s="13" t="s">
        <v>1259</v>
      </c>
      <c r="E709" s="8">
        <v>20000</v>
      </c>
      <c r="F709" s="13" t="s">
        <v>70</v>
      </c>
      <c r="G709" s="14">
        <v>44614</v>
      </c>
      <c r="H709" s="13" t="s">
        <v>9</v>
      </c>
    </row>
    <row r="710" spans="1:8" ht="14.4" x14ac:dyDescent="0.3">
      <c r="A710" s="8">
        <v>79750719</v>
      </c>
      <c r="B710" s="11">
        <v>44610</v>
      </c>
      <c r="C710" s="13" t="s">
        <v>1260</v>
      </c>
      <c r="D710" s="13" t="s">
        <v>1261</v>
      </c>
      <c r="E710" s="8">
        <v>14000</v>
      </c>
      <c r="F710" s="13" t="s">
        <v>70</v>
      </c>
      <c r="G710" s="14">
        <v>44614</v>
      </c>
      <c r="H710" s="13" t="s">
        <v>9</v>
      </c>
    </row>
    <row r="711" spans="1:8" ht="14.4" x14ac:dyDescent="0.3">
      <c r="A711" s="8">
        <v>79750720</v>
      </c>
      <c r="B711" s="11">
        <v>44610</v>
      </c>
      <c r="C711" s="13" t="s">
        <v>1262</v>
      </c>
      <c r="D711" s="13" t="s">
        <v>1263</v>
      </c>
      <c r="E711" s="8">
        <v>8000</v>
      </c>
      <c r="F711" s="13" t="s">
        <v>70</v>
      </c>
      <c r="G711" s="14">
        <v>44614</v>
      </c>
      <c r="H711" s="13" t="s">
        <v>9</v>
      </c>
    </row>
    <row r="712" spans="1:8" ht="14.4" x14ac:dyDescent="0.3">
      <c r="A712" s="8">
        <v>79750721</v>
      </c>
      <c r="B712" s="11">
        <v>44610</v>
      </c>
      <c r="C712" s="13" t="s">
        <v>1264</v>
      </c>
      <c r="D712" s="13" t="s">
        <v>1265</v>
      </c>
      <c r="E712" s="8">
        <v>10000</v>
      </c>
      <c r="F712" s="13" t="s">
        <v>70</v>
      </c>
      <c r="G712" s="14">
        <v>44615</v>
      </c>
      <c r="H712" s="13" t="s">
        <v>9</v>
      </c>
    </row>
    <row r="713" spans="1:8" ht="14.4" x14ac:dyDescent="0.3">
      <c r="A713" s="8">
        <v>79750722</v>
      </c>
      <c r="B713" s="11">
        <v>44610</v>
      </c>
      <c r="C713" s="13" t="s">
        <v>1266</v>
      </c>
      <c r="D713" s="13" t="s">
        <v>1267</v>
      </c>
      <c r="E713" s="8">
        <v>25000</v>
      </c>
      <c r="F713" s="13" t="s">
        <v>70</v>
      </c>
      <c r="G713" s="14">
        <v>44614</v>
      </c>
      <c r="H713" s="13" t="s">
        <v>9</v>
      </c>
    </row>
    <row r="714" spans="1:8" ht="14.4" x14ac:dyDescent="0.3">
      <c r="A714" s="8">
        <v>79750723</v>
      </c>
      <c r="B714" s="11">
        <v>44610</v>
      </c>
      <c r="C714" s="13" t="s">
        <v>1268</v>
      </c>
      <c r="D714" s="13" t="s">
        <v>1269</v>
      </c>
      <c r="E714" s="8">
        <v>20000</v>
      </c>
      <c r="F714" s="13" t="s">
        <v>70</v>
      </c>
      <c r="G714" s="14">
        <v>44614</v>
      </c>
      <c r="H714" s="13" t="s">
        <v>9</v>
      </c>
    </row>
    <row r="715" spans="1:8" ht="14.4" x14ac:dyDescent="0.3">
      <c r="A715" s="8">
        <v>79750724</v>
      </c>
      <c r="B715" s="11">
        <v>44610</v>
      </c>
      <c r="C715" s="13" t="s">
        <v>1270</v>
      </c>
      <c r="D715" s="13" t="s">
        <v>1271</v>
      </c>
      <c r="E715" s="8">
        <v>14000</v>
      </c>
      <c r="F715" s="13" t="s">
        <v>70</v>
      </c>
      <c r="G715" s="14">
        <v>44614</v>
      </c>
      <c r="H715" s="13" t="s">
        <v>9</v>
      </c>
    </row>
    <row r="716" spans="1:8" ht="14.4" x14ac:dyDescent="0.3">
      <c r="A716" s="8">
        <v>79750725</v>
      </c>
      <c r="B716" s="11">
        <v>44610</v>
      </c>
      <c r="C716" s="13" t="s">
        <v>1272</v>
      </c>
      <c r="D716" s="13" t="s">
        <v>1273</v>
      </c>
      <c r="E716" s="8">
        <v>20500</v>
      </c>
      <c r="F716" s="13" t="s">
        <v>70</v>
      </c>
      <c r="G716" s="14">
        <v>44614</v>
      </c>
      <c r="H716" s="13" t="s">
        <v>9</v>
      </c>
    </row>
    <row r="717" spans="1:8" ht="14.4" x14ac:dyDescent="0.3">
      <c r="A717" s="8">
        <v>79750726</v>
      </c>
      <c r="B717" s="11">
        <v>44610</v>
      </c>
      <c r="C717" s="13" t="s">
        <v>1274</v>
      </c>
      <c r="D717" s="13" t="s">
        <v>1275</v>
      </c>
      <c r="E717" s="8">
        <v>15000</v>
      </c>
      <c r="F717" s="13" t="s">
        <v>70</v>
      </c>
      <c r="G717" s="14">
        <v>44614</v>
      </c>
      <c r="H717" s="13" t="s">
        <v>9</v>
      </c>
    </row>
    <row r="718" spans="1:8" ht="14.4" x14ac:dyDescent="0.3">
      <c r="A718" s="8">
        <v>79750727</v>
      </c>
      <c r="B718" s="11">
        <v>44610</v>
      </c>
      <c r="C718" s="13" t="s">
        <v>1276</v>
      </c>
      <c r="D718" s="13" t="s">
        <v>1277</v>
      </c>
      <c r="E718" s="8">
        <v>20000</v>
      </c>
      <c r="F718" s="13" t="s">
        <v>70</v>
      </c>
      <c r="G718" s="14">
        <v>44614</v>
      </c>
      <c r="H718" s="13" t="s">
        <v>9</v>
      </c>
    </row>
    <row r="719" spans="1:8" ht="14.4" x14ac:dyDescent="0.3">
      <c r="A719" s="8">
        <v>79750728</v>
      </c>
      <c r="B719" s="11">
        <v>44610</v>
      </c>
      <c r="C719" s="13" t="s">
        <v>1278</v>
      </c>
      <c r="D719" s="13" t="s">
        <v>1279</v>
      </c>
      <c r="E719" s="8">
        <v>7000</v>
      </c>
      <c r="F719" s="13" t="s">
        <v>70</v>
      </c>
      <c r="G719" s="14">
        <v>44614</v>
      </c>
      <c r="H719" s="13" t="s">
        <v>9</v>
      </c>
    </row>
    <row r="720" spans="1:8" ht="14.4" x14ac:dyDescent="0.3">
      <c r="A720" s="8">
        <v>79750729</v>
      </c>
      <c r="B720" s="11">
        <v>44610</v>
      </c>
      <c r="C720" s="13" t="s">
        <v>1280</v>
      </c>
      <c r="D720" s="13" t="s">
        <v>1281</v>
      </c>
      <c r="E720" s="8">
        <v>16886.09</v>
      </c>
      <c r="F720" s="13" t="s">
        <v>70</v>
      </c>
      <c r="G720" s="14">
        <v>44613</v>
      </c>
      <c r="H720" s="13" t="s">
        <v>9</v>
      </c>
    </row>
    <row r="721" spans="1:8" ht="14.4" x14ac:dyDescent="0.3">
      <c r="A721" s="8">
        <v>79750730</v>
      </c>
      <c r="B721" s="11">
        <v>44610</v>
      </c>
      <c r="C721" s="13" t="s">
        <v>1282</v>
      </c>
      <c r="D721" s="13" t="s">
        <v>1281</v>
      </c>
      <c r="E721" s="8">
        <v>16886.09</v>
      </c>
      <c r="F721" s="13" t="s">
        <v>70</v>
      </c>
      <c r="G721" s="14">
        <v>44613</v>
      </c>
      <c r="H721" s="13" t="s">
        <v>9</v>
      </c>
    </row>
    <row r="722" spans="1:8" ht="14.4" x14ac:dyDescent="0.3">
      <c r="A722" s="8">
        <v>79750731</v>
      </c>
      <c r="B722" s="11">
        <v>44610</v>
      </c>
      <c r="C722" s="13" t="s">
        <v>1283</v>
      </c>
      <c r="D722" s="13" t="s">
        <v>1284</v>
      </c>
      <c r="E722" s="8">
        <v>15868.11</v>
      </c>
      <c r="F722" s="13" t="s">
        <v>70</v>
      </c>
      <c r="G722" s="14">
        <v>44614</v>
      </c>
      <c r="H722" s="13" t="s">
        <v>9</v>
      </c>
    </row>
    <row r="723" spans="1:8" ht="14.4" x14ac:dyDescent="0.3">
      <c r="A723" s="8">
        <v>79750732</v>
      </c>
      <c r="B723" s="11">
        <v>44610</v>
      </c>
      <c r="C723" s="13" t="s">
        <v>1285</v>
      </c>
      <c r="D723" s="13" t="s">
        <v>1281</v>
      </c>
      <c r="E723" s="8">
        <v>13218.86</v>
      </c>
      <c r="F723" s="13" t="s">
        <v>70</v>
      </c>
      <c r="G723" s="14">
        <v>44613</v>
      </c>
      <c r="H723" s="13" t="s">
        <v>9</v>
      </c>
    </row>
    <row r="724" spans="1:8" ht="14.4" x14ac:dyDescent="0.3">
      <c r="A724" s="8">
        <v>79750733</v>
      </c>
      <c r="B724" s="11">
        <v>44610</v>
      </c>
      <c r="C724" s="13" t="s">
        <v>1286</v>
      </c>
      <c r="D724" s="13" t="s">
        <v>1287</v>
      </c>
      <c r="E724" s="8">
        <v>38682.400000000001</v>
      </c>
      <c r="F724" s="13" t="s">
        <v>70</v>
      </c>
      <c r="G724" s="14">
        <v>44620</v>
      </c>
      <c r="H724" s="13" t="s">
        <v>9</v>
      </c>
    </row>
    <row r="725" spans="1:8" ht="14.4" x14ac:dyDescent="0.3">
      <c r="A725" s="8">
        <v>79750734</v>
      </c>
      <c r="B725" s="11">
        <v>44610</v>
      </c>
      <c r="C725" s="13" t="s">
        <v>153</v>
      </c>
      <c r="D725" s="13" t="s">
        <v>1288</v>
      </c>
      <c r="E725" s="8">
        <v>83577</v>
      </c>
      <c r="F725" s="13" t="s">
        <v>70</v>
      </c>
      <c r="G725" s="14">
        <v>44615</v>
      </c>
      <c r="H725" s="13" t="s">
        <v>9</v>
      </c>
    </row>
    <row r="726" spans="1:8" ht="14.4" x14ac:dyDescent="0.3">
      <c r="A726" s="8">
        <v>79750735</v>
      </c>
      <c r="B726" s="11">
        <v>44610</v>
      </c>
      <c r="C726" s="13" t="s">
        <v>265</v>
      </c>
      <c r="D726" s="13" t="s">
        <v>1289</v>
      </c>
      <c r="E726" s="8">
        <v>10500</v>
      </c>
      <c r="F726" s="13" t="s">
        <v>70</v>
      </c>
      <c r="G726" s="14">
        <v>44614</v>
      </c>
      <c r="H726" s="13" t="s">
        <v>9</v>
      </c>
    </row>
    <row r="727" spans="1:8" ht="14.4" x14ac:dyDescent="0.3">
      <c r="A727" s="8">
        <v>79750736</v>
      </c>
      <c r="B727" s="11">
        <v>44610</v>
      </c>
      <c r="C727" s="13" t="s">
        <v>186</v>
      </c>
      <c r="D727" s="13" t="s">
        <v>1290</v>
      </c>
      <c r="E727" s="8">
        <v>480</v>
      </c>
      <c r="F727" s="13" t="s">
        <v>70</v>
      </c>
      <c r="G727" s="14">
        <v>44616</v>
      </c>
      <c r="H727" s="13" t="s">
        <v>9</v>
      </c>
    </row>
    <row r="728" spans="1:8" ht="14.4" x14ac:dyDescent="0.3">
      <c r="A728" s="8">
        <v>79750737</v>
      </c>
      <c r="B728" s="11">
        <v>44610</v>
      </c>
      <c r="C728" s="13" t="s">
        <v>265</v>
      </c>
      <c r="D728" s="13" t="s">
        <v>1291</v>
      </c>
      <c r="E728" s="8">
        <v>41660</v>
      </c>
      <c r="F728" s="13" t="s">
        <v>70</v>
      </c>
      <c r="G728" s="14">
        <v>44614</v>
      </c>
      <c r="H728" s="13" t="s">
        <v>9</v>
      </c>
    </row>
    <row r="729" spans="1:8" ht="14.4" x14ac:dyDescent="0.3">
      <c r="A729" s="8">
        <v>79750738</v>
      </c>
      <c r="B729" s="11">
        <v>44610</v>
      </c>
      <c r="C729" s="13" t="s">
        <v>1286</v>
      </c>
      <c r="D729" s="13" t="s">
        <v>1292</v>
      </c>
      <c r="E729" s="8">
        <v>118327.66</v>
      </c>
      <c r="F729" s="13" t="s">
        <v>70</v>
      </c>
      <c r="G729" s="14">
        <v>44620</v>
      </c>
      <c r="H729" s="13" t="s">
        <v>9</v>
      </c>
    </row>
    <row r="730" spans="1:8" ht="14.4" x14ac:dyDescent="0.3">
      <c r="A730" s="8">
        <v>79750739</v>
      </c>
      <c r="B730" s="11">
        <v>44610</v>
      </c>
      <c r="C730" s="13" t="s">
        <v>1286</v>
      </c>
      <c r="D730" s="13" t="s">
        <v>1293</v>
      </c>
      <c r="E730" s="8">
        <v>60945.64</v>
      </c>
      <c r="F730" s="13" t="s">
        <v>70</v>
      </c>
      <c r="G730" s="14">
        <v>44620</v>
      </c>
      <c r="H730" s="13" t="s">
        <v>9</v>
      </c>
    </row>
    <row r="731" spans="1:8" ht="14.4" x14ac:dyDescent="0.3">
      <c r="A731" s="8">
        <v>79750740</v>
      </c>
      <c r="B731" s="11">
        <v>44610</v>
      </c>
      <c r="C731" s="13" t="s">
        <v>1294</v>
      </c>
      <c r="D731" s="13" t="s">
        <v>1295</v>
      </c>
      <c r="E731" s="8">
        <v>120</v>
      </c>
      <c r="F731" s="13" t="s">
        <v>70</v>
      </c>
      <c r="G731" s="14">
        <v>44664</v>
      </c>
      <c r="H731" s="13" t="s">
        <v>9</v>
      </c>
    </row>
    <row r="732" spans="1:8" ht="14.4" x14ac:dyDescent="0.3">
      <c r="A732" s="8">
        <v>79750741</v>
      </c>
      <c r="B732" s="11">
        <v>44610</v>
      </c>
      <c r="C732" s="13" t="s">
        <v>1296</v>
      </c>
      <c r="D732" s="13" t="s">
        <v>1297</v>
      </c>
      <c r="E732" s="8">
        <v>30763.64</v>
      </c>
      <c r="F732" s="13" t="s">
        <v>70</v>
      </c>
      <c r="G732" s="14">
        <v>44613</v>
      </c>
      <c r="H732" s="13" t="s">
        <v>9</v>
      </c>
    </row>
    <row r="733" spans="1:8" ht="14.4" x14ac:dyDescent="0.3">
      <c r="A733" s="8">
        <v>79750743</v>
      </c>
      <c r="B733" s="11">
        <v>44613</v>
      </c>
      <c r="C733" s="13" t="s">
        <v>1298</v>
      </c>
      <c r="D733" s="13" t="s">
        <v>1299</v>
      </c>
      <c r="E733" s="8">
        <v>307500</v>
      </c>
      <c r="F733" s="13" t="s">
        <v>70</v>
      </c>
      <c r="G733" s="14">
        <v>44624</v>
      </c>
      <c r="H733" s="13" t="s">
        <v>9</v>
      </c>
    </row>
    <row r="734" spans="1:8" ht="14.4" x14ac:dyDescent="0.3">
      <c r="A734" s="8">
        <v>79750744</v>
      </c>
      <c r="B734" s="11">
        <v>44613</v>
      </c>
      <c r="C734" s="13" t="s">
        <v>1300</v>
      </c>
      <c r="D734" s="13" t="s">
        <v>1301</v>
      </c>
      <c r="E734" s="8">
        <v>20000</v>
      </c>
      <c r="F734" s="13" t="s">
        <v>70</v>
      </c>
      <c r="G734" s="14">
        <v>44622</v>
      </c>
      <c r="H734" s="13" t="s">
        <v>9</v>
      </c>
    </row>
    <row r="735" spans="1:8" ht="14.4" x14ac:dyDescent="0.3">
      <c r="A735" s="8">
        <v>79750745</v>
      </c>
      <c r="B735" s="11">
        <v>44613</v>
      </c>
      <c r="C735" s="13" t="s">
        <v>180</v>
      </c>
      <c r="D735" s="13" t="s">
        <v>1302</v>
      </c>
      <c r="E735" s="8">
        <v>370640.57</v>
      </c>
      <c r="F735" s="13" t="s">
        <v>70</v>
      </c>
      <c r="G735" s="14">
        <v>44613</v>
      </c>
      <c r="H735" s="13" t="s">
        <v>9</v>
      </c>
    </row>
    <row r="736" spans="1:8" ht="14.4" x14ac:dyDescent="0.3">
      <c r="A736" s="8">
        <v>79750746</v>
      </c>
      <c r="B736" s="11">
        <v>44613</v>
      </c>
      <c r="C736" s="13" t="s">
        <v>1303</v>
      </c>
      <c r="D736" s="13" t="s">
        <v>1304</v>
      </c>
      <c r="E736" s="8">
        <v>13765.18</v>
      </c>
      <c r="F736" s="13" t="s">
        <v>70</v>
      </c>
      <c r="G736" s="14">
        <v>44616</v>
      </c>
      <c r="H736" s="13" t="s">
        <v>9</v>
      </c>
    </row>
    <row r="737" spans="1:8" ht="14.4" x14ac:dyDescent="0.3">
      <c r="A737" s="8">
        <v>79750747</v>
      </c>
      <c r="B737" s="11">
        <v>44613</v>
      </c>
      <c r="C737" s="13" t="s">
        <v>1276</v>
      </c>
      <c r="D737" s="13" t="s">
        <v>1305</v>
      </c>
      <c r="E737" s="8">
        <v>29100</v>
      </c>
      <c r="F737" s="13" t="s">
        <v>70</v>
      </c>
      <c r="G737" s="14">
        <v>44628</v>
      </c>
      <c r="H737" s="13" t="s">
        <v>9</v>
      </c>
    </row>
    <row r="738" spans="1:8" ht="14.4" x14ac:dyDescent="0.3">
      <c r="A738" s="8">
        <v>79750748</v>
      </c>
      <c r="B738" s="11">
        <v>44613</v>
      </c>
      <c r="C738" s="13" t="s">
        <v>50</v>
      </c>
      <c r="D738" s="13" t="s">
        <v>1306</v>
      </c>
      <c r="E738" s="8">
        <v>58200</v>
      </c>
      <c r="F738" s="13" t="s">
        <v>70</v>
      </c>
      <c r="G738" s="14">
        <v>44624</v>
      </c>
      <c r="H738" s="13" t="s">
        <v>9</v>
      </c>
    </row>
    <row r="739" spans="1:8" ht="14.4" x14ac:dyDescent="0.3">
      <c r="A739" s="8">
        <v>79750749</v>
      </c>
      <c r="B739" s="11">
        <v>44613</v>
      </c>
      <c r="C739" s="13" t="s">
        <v>122</v>
      </c>
      <c r="D739" s="13" t="s">
        <v>1307</v>
      </c>
      <c r="E739" s="8">
        <v>275480</v>
      </c>
      <c r="F739" s="13" t="s">
        <v>70</v>
      </c>
      <c r="G739" s="14">
        <v>44616</v>
      </c>
      <c r="H739" s="13" t="s">
        <v>9</v>
      </c>
    </row>
    <row r="740" spans="1:8" ht="14.4" x14ac:dyDescent="0.3">
      <c r="A740" s="8">
        <v>79750750</v>
      </c>
      <c r="B740" s="11">
        <v>44613</v>
      </c>
      <c r="C740" s="13" t="s">
        <v>1308</v>
      </c>
      <c r="D740" s="13" t="s">
        <v>1309</v>
      </c>
      <c r="E740" s="8">
        <v>37500</v>
      </c>
      <c r="F740" s="13" t="s">
        <v>70</v>
      </c>
      <c r="G740" s="14">
        <v>44629</v>
      </c>
      <c r="H740" s="13" t="s">
        <v>9</v>
      </c>
    </row>
    <row r="741" spans="1:8" ht="14.4" x14ac:dyDescent="0.3">
      <c r="A741" s="8">
        <v>79750751</v>
      </c>
      <c r="B741" s="11">
        <v>44613</v>
      </c>
      <c r="C741" s="13" t="s">
        <v>1310</v>
      </c>
      <c r="D741" s="13" t="s">
        <v>1311</v>
      </c>
      <c r="E741" s="8">
        <v>90051.34</v>
      </c>
      <c r="F741" s="13" t="s">
        <v>70</v>
      </c>
      <c r="G741" s="14">
        <v>44614</v>
      </c>
      <c r="H741" s="13" t="s">
        <v>9</v>
      </c>
    </row>
    <row r="742" spans="1:8" ht="14.4" x14ac:dyDescent="0.3">
      <c r="A742" s="8">
        <v>79750753</v>
      </c>
      <c r="B742" s="11">
        <v>44613</v>
      </c>
      <c r="C742" s="13" t="s">
        <v>677</v>
      </c>
      <c r="D742" s="13" t="s">
        <v>1312</v>
      </c>
      <c r="E742" s="8">
        <v>20000</v>
      </c>
      <c r="F742" s="13" t="s">
        <v>70</v>
      </c>
      <c r="G742" s="14">
        <v>44615</v>
      </c>
      <c r="H742" s="13" t="s">
        <v>9</v>
      </c>
    </row>
    <row r="743" spans="1:8" ht="14.4" x14ac:dyDescent="0.3">
      <c r="A743" s="8">
        <v>79750754</v>
      </c>
      <c r="B743" s="11">
        <v>44613</v>
      </c>
      <c r="C743" s="13" t="s">
        <v>775</v>
      </c>
      <c r="D743" s="13" t="s">
        <v>1313</v>
      </c>
      <c r="E743" s="8">
        <v>30000</v>
      </c>
      <c r="F743" s="13" t="s">
        <v>70</v>
      </c>
      <c r="G743" s="14">
        <v>44621</v>
      </c>
      <c r="H743" s="13" t="s">
        <v>9</v>
      </c>
    </row>
    <row r="744" spans="1:8" ht="14.4" x14ac:dyDescent="0.3">
      <c r="A744" s="8">
        <v>79750755</v>
      </c>
      <c r="B744" s="11">
        <v>44613</v>
      </c>
      <c r="C744" s="13" t="s">
        <v>217</v>
      </c>
      <c r="D744" s="13" t="s">
        <v>1314</v>
      </c>
      <c r="E744" s="8">
        <v>39520</v>
      </c>
      <c r="F744" s="13" t="s">
        <v>70</v>
      </c>
      <c r="G744" s="14">
        <v>44628</v>
      </c>
      <c r="H744" s="13" t="s">
        <v>9</v>
      </c>
    </row>
    <row r="745" spans="1:8" ht="14.4" x14ac:dyDescent="0.3">
      <c r="A745" s="8">
        <v>79750756</v>
      </c>
      <c r="B745" s="11">
        <v>44613</v>
      </c>
      <c r="C745" s="13" t="s">
        <v>502</v>
      </c>
      <c r="D745" s="13" t="s">
        <v>1315</v>
      </c>
      <c r="E745" s="8">
        <v>6000</v>
      </c>
      <c r="F745" s="13" t="s">
        <v>70</v>
      </c>
      <c r="G745" s="14">
        <v>44627</v>
      </c>
      <c r="H745" s="13" t="s">
        <v>9</v>
      </c>
    </row>
    <row r="746" spans="1:8" ht="14.4" x14ac:dyDescent="0.3">
      <c r="A746" s="8">
        <v>79750757</v>
      </c>
      <c r="B746" s="11">
        <v>44613</v>
      </c>
      <c r="C746" s="13" t="s">
        <v>492</v>
      </c>
      <c r="D746" s="13" t="s">
        <v>1316</v>
      </c>
      <c r="E746" s="8">
        <v>31331.4</v>
      </c>
      <c r="F746" s="13" t="s">
        <v>70</v>
      </c>
      <c r="G746" s="14">
        <v>44616</v>
      </c>
      <c r="H746" s="13" t="s">
        <v>9</v>
      </c>
    </row>
    <row r="747" spans="1:8" ht="14.4" x14ac:dyDescent="0.3">
      <c r="A747" s="8">
        <v>79750758</v>
      </c>
      <c r="B747" s="11">
        <v>44613</v>
      </c>
      <c r="C747" s="13" t="s">
        <v>186</v>
      </c>
      <c r="D747" s="13" t="s">
        <v>1317</v>
      </c>
      <c r="E747" s="8">
        <v>480</v>
      </c>
      <c r="F747" s="13" t="s">
        <v>70</v>
      </c>
      <c r="G747" s="14">
        <v>44616</v>
      </c>
      <c r="H747" s="13" t="s">
        <v>9</v>
      </c>
    </row>
    <row r="748" spans="1:8" ht="14.4" x14ac:dyDescent="0.3">
      <c r="A748" s="8">
        <v>79750759</v>
      </c>
      <c r="B748" s="11">
        <v>44613</v>
      </c>
      <c r="C748" s="13" t="s">
        <v>186</v>
      </c>
      <c r="D748" s="13" t="s">
        <v>1318</v>
      </c>
      <c r="E748" s="8">
        <v>1392</v>
      </c>
      <c r="F748" s="13" t="s">
        <v>70</v>
      </c>
      <c r="G748" s="14">
        <v>44616</v>
      </c>
      <c r="H748" s="13" t="s">
        <v>9</v>
      </c>
    </row>
    <row r="749" spans="1:8" ht="14.4" x14ac:dyDescent="0.3">
      <c r="A749" s="8">
        <v>79750761</v>
      </c>
      <c r="B749" s="11">
        <v>44613</v>
      </c>
      <c r="C749" s="13" t="s">
        <v>186</v>
      </c>
      <c r="D749" s="13" t="s">
        <v>1319</v>
      </c>
      <c r="E749" s="8">
        <v>480</v>
      </c>
      <c r="F749" s="13" t="s">
        <v>70</v>
      </c>
      <c r="G749" s="14">
        <v>44616</v>
      </c>
      <c r="H749" s="13" t="s">
        <v>9</v>
      </c>
    </row>
    <row r="750" spans="1:8" ht="14.4" x14ac:dyDescent="0.3">
      <c r="A750" s="8">
        <v>79750762</v>
      </c>
      <c r="B750" s="11">
        <v>44613</v>
      </c>
      <c r="C750" s="13" t="s">
        <v>748</v>
      </c>
      <c r="D750" s="13" t="s">
        <v>1320</v>
      </c>
      <c r="E750" s="8">
        <v>4687.5</v>
      </c>
      <c r="F750" s="13" t="s">
        <v>70</v>
      </c>
      <c r="G750" s="14">
        <v>44620</v>
      </c>
      <c r="H750" s="13" t="s">
        <v>9</v>
      </c>
    </row>
    <row r="751" spans="1:8" ht="14.4" x14ac:dyDescent="0.3">
      <c r="A751" s="8">
        <v>79750763</v>
      </c>
      <c r="B751" s="11">
        <v>44613</v>
      </c>
      <c r="C751" s="13" t="s">
        <v>265</v>
      </c>
      <c r="D751" s="13" t="s">
        <v>1321</v>
      </c>
      <c r="E751" s="8">
        <v>35140</v>
      </c>
      <c r="F751" s="13" t="s">
        <v>70</v>
      </c>
      <c r="G751" s="14">
        <v>44616</v>
      </c>
      <c r="H751" s="13" t="s">
        <v>9</v>
      </c>
    </row>
    <row r="752" spans="1:8" ht="14.4" x14ac:dyDescent="0.3">
      <c r="A752" s="8">
        <v>79750764</v>
      </c>
      <c r="B752" s="11">
        <v>44613</v>
      </c>
      <c r="C752" s="13" t="s">
        <v>1322</v>
      </c>
      <c r="D752" s="13" t="s">
        <v>1323</v>
      </c>
      <c r="E752" s="8">
        <v>333.68</v>
      </c>
      <c r="F752" s="13" t="s">
        <v>70</v>
      </c>
      <c r="G752" s="14">
        <v>44629</v>
      </c>
      <c r="H752" s="13" t="s">
        <v>9</v>
      </c>
    </row>
    <row r="753" spans="1:8" ht="14.4" x14ac:dyDescent="0.3">
      <c r="A753" s="8">
        <v>79750765</v>
      </c>
      <c r="B753" s="11">
        <v>44613</v>
      </c>
      <c r="C753" s="13" t="s">
        <v>1324</v>
      </c>
      <c r="D753" s="13" t="s">
        <v>1325</v>
      </c>
      <c r="E753" s="8">
        <v>2000</v>
      </c>
      <c r="F753" s="13" t="s">
        <v>70</v>
      </c>
      <c r="G753" s="14">
        <v>44615</v>
      </c>
      <c r="H753" s="13" t="s">
        <v>9</v>
      </c>
    </row>
    <row r="754" spans="1:8" ht="14.4" x14ac:dyDescent="0.3">
      <c r="A754" s="8">
        <v>79750766</v>
      </c>
      <c r="B754" s="11">
        <v>44613</v>
      </c>
      <c r="C754" s="13" t="s">
        <v>1326</v>
      </c>
      <c r="D754" s="13" t="s">
        <v>1327</v>
      </c>
      <c r="E754" s="8">
        <v>3750</v>
      </c>
      <c r="F754" s="13" t="s">
        <v>70</v>
      </c>
      <c r="G754" s="14">
        <v>44624</v>
      </c>
      <c r="H754" s="13" t="s">
        <v>9</v>
      </c>
    </row>
    <row r="755" spans="1:8" ht="14.4" x14ac:dyDescent="0.3">
      <c r="A755" s="8">
        <v>79750768</v>
      </c>
      <c r="B755" s="11">
        <v>44613</v>
      </c>
      <c r="C755" s="13" t="s">
        <v>265</v>
      </c>
      <c r="D755" s="13" t="s">
        <v>1328</v>
      </c>
      <c r="E755" s="8">
        <v>37290</v>
      </c>
      <c r="F755" s="13" t="s">
        <v>70</v>
      </c>
      <c r="G755" s="14">
        <v>44616</v>
      </c>
      <c r="H755" s="13" t="s">
        <v>9</v>
      </c>
    </row>
    <row r="756" spans="1:8" ht="14.4" x14ac:dyDescent="0.3">
      <c r="A756" s="8">
        <v>79750769</v>
      </c>
      <c r="B756" s="11">
        <v>44613</v>
      </c>
      <c r="C756" s="13" t="s">
        <v>876</v>
      </c>
      <c r="D756" s="13" t="s">
        <v>1329</v>
      </c>
      <c r="E756" s="8">
        <v>20000</v>
      </c>
      <c r="F756" s="13" t="s">
        <v>70</v>
      </c>
      <c r="G756" s="14">
        <v>44620</v>
      </c>
      <c r="H756" s="13" t="s">
        <v>9</v>
      </c>
    </row>
    <row r="757" spans="1:8" ht="14.4" x14ac:dyDescent="0.3">
      <c r="A757" s="8">
        <v>79750770</v>
      </c>
      <c r="B757" s="11">
        <v>44613</v>
      </c>
      <c r="C757" s="13" t="s">
        <v>1330</v>
      </c>
      <c r="D757" s="13" t="s">
        <v>1331</v>
      </c>
      <c r="E757" s="8">
        <v>2000</v>
      </c>
      <c r="F757" s="13" t="s">
        <v>70</v>
      </c>
      <c r="G757" s="14">
        <v>44615</v>
      </c>
      <c r="H757" s="13" t="s">
        <v>9</v>
      </c>
    </row>
    <row r="758" spans="1:8" ht="14.4" x14ac:dyDescent="0.3">
      <c r="A758" s="8">
        <v>79750771</v>
      </c>
      <c r="B758" s="11">
        <v>44613</v>
      </c>
      <c r="C758" s="13" t="s">
        <v>361</v>
      </c>
      <c r="D758" s="13" t="s">
        <v>1332</v>
      </c>
      <c r="E758" s="8">
        <v>31952.240000000002</v>
      </c>
      <c r="F758" s="13" t="s">
        <v>70</v>
      </c>
      <c r="G758" s="14">
        <v>44615</v>
      </c>
      <c r="H758" s="13" t="s">
        <v>9</v>
      </c>
    </row>
    <row r="759" spans="1:8" ht="14.4" x14ac:dyDescent="0.3">
      <c r="A759" s="8">
        <v>79750772</v>
      </c>
      <c r="B759" s="11">
        <v>44613</v>
      </c>
      <c r="C759" s="13" t="s">
        <v>1286</v>
      </c>
      <c r="D759" s="13" t="s">
        <v>1333</v>
      </c>
      <c r="E759" s="8">
        <v>11146.01</v>
      </c>
      <c r="F759" s="13" t="s">
        <v>70</v>
      </c>
      <c r="G759" s="14">
        <v>44620</v>
      </c>
      <c r="H759" s="13" t="s">
        <v>9</v>
      </c>
    </row>
    <row r="760" spans="1:8" ht="14.4" x14ac:dyDescent="0.3">
      <c r="A760" s="8">
        <v>79750773</v>
      </c>
      <c r="B760" s="11">
        <v>44613</v>
      </c>
      <c r="C760" s="13" t="s">
        <v>1286</v>
      </c>
      <c r="D760" s="13" t="s">
        <v>1334</v>
      </c>
      <c r="E760" s="8">
        <v>11386.22</v>
      </c>
      <c r="F760" s="13" t="s">
        <v>70</v>
      </c>
      <c r="G760" s="14">
        <v>44620</v>
      </c>
      <c r="H760" s="13" t="s">
        <v>9</v>
      </c>
    </row>
    <row r="761" spans="1:8" ht="14.4" x14ac:dyDescent="0.3">
      <c r="A761" s="8">
        <v>79750774</v>
      </c>
      <c r="B761" s="11">
        <v>44613</v>
      </c>
      <c r="C761" s="13" t="s">
        <v>159</v>
      </c>
      <c r="D761" s="13" t="s">
        <v>1335</v>
      </c>
      <c r="E761" s="8">
        <v>363050</v>
      </c>
      <c r="F761" s="13" t="s">
        <v>70</v>
      </c>
      <c r="G761" s="14">
        <v>44614</v>
      </c>
      <c r="H761" s="13" t="s">
        <v>9</v>
      </c>
    </row>
    <row r="762" spans="1:8" ht="14.4" x14ac:dyDescent="0.3">
      <c r="A762" s="8">
        <v>79750775</v>
      </c>
      <c r="B762" s="11">
        <v>44613</v>
      </c>
      <c r="C762" s="13" t="s">
        <v>32</v>
      </c>
      <c r="D762" s="13" t="s">
        <v>901</v>
      </c>
      <c r="E762" s="8">
        <v>430750.92</v>
      </c>
      <c r="F762" s="13" t="s">
        <v>70</v>
      </c>
      <c r="G762" s="14">
        <v>44614</v>
      </c>
      <c r="H762" s="13" t="s">
        <v>9</v>
      </c>
    </row>
    <row r="763" spans="1:8" ht="14.4" x14ac:dyDescent="0.3">
      <c r="A763" s="8">
        <v>79750776</v>
      </c>
      <c r="B763" s="11">
        <v>44614</v>
      </c>
      <c r="C763" s="13" t="s">
        <v>1330</v>
      </c>
      <c r="D763" s="13" t="s">
        <v>1336</v>
      </c>
      <c r="E763" s="8">
        <v>2000</v>
      </c>
      <c r="F763" s="13" t="s">
        <v>70</v>
      </c>
      <c r="G763" s="14">
        <v>44615</v>
      </c>
      <c r="H763" s="13" t="s">
        <v>9</v>
      </c>
    </row>
    <row r="764" spans="1:8" ht="14.4" x14ac:dyDescent="0.3">
      <c r="A764" s="8">
        <v>79750777</v>
      </c>
      <c r="B764" s="11">
        <v>44614</v>
      </c>
      <c r="C764" s="13" t="s">
        <v>506</v>
      </c>
      <c r="D764" s="13" t="s">
        <v>1337</v>
      </c>
      <c r="E764" s="8">
        <v>15000</v>
      </c>
      <c r="F764" s="13" t="s">
        <v>70</v>
      </c>
      <c r="G764" s="14">
        <v>44624</v>
      </c>
      <c r="H764" s="13" t="s">
        <v>9</v>
      </c>
    </row>
    <row r="765" spans="1:8" ht="14.4" x14ac:dyDescent="0.3">
      <c r="A765" s="8">
        <v>79750778</v>
      </c>
      <c r="B765" s="11">
        <v>44614</v>
      </c>
      <c r="C765" s="13" t="s">
        <v>1193</v>
      </c>
      <c r="D765" s="13" t="s">
        <v>1338</v>
      </c>
      <c r="E765" s="8">
        <v>30000</v>
      </c>
      <c r="F765" s="13" t="s">
        <v>70</v>
      </c>
      <c r="G765" s="14">
        <v>44627</v>
      </c>
      <c r="H765" s="13" t="s">
        <v>9</v>
      </c>
    </row>
    <row r="766" spans="1:8" ht="14.4" x14ac:dyDescent="0.3">
      <c r="A766" s="8">
        <v>79750779</v>
      </c>
      <c r="B766" s="11">
        <v>44614</v>
      </c>
      <c r="C766" s="13" t="s">
        <v>1339</v>
      </c>
      <c r="D766" s="13" t="s">
        <v>1340</v>
      </c>
      <c r="E766" s="8">
        <v>30000</v>
      </c>
      <c r="F766" s="13" t="s">
        <v>70</v>
      </c>
      <c r="G766" s="14">
        <v>44621</v>
      </c>
      <c r="H766" s="13" t="s">
        <v>9</v>
      </c>
    </row>
    <row r="767" spans="1:8" ht="14.4" x14ac:dyDescent="0.3">
      <c r="A767" s="8">
        <v>79750780</v>
      </c>
      <c r="B767" s="11">
        <v>44614</v>
      </c>
      <c r="C767" s="13" t="s">
        <v>669</v>
      </c>
      <c r="D767" s="13" t="s">
        <v>1341</v>
      </c>
      <c r="E767" s="8">
        <v>129000</v>
      </c>
      <c r="F767" s="13" t="s">
        <v>70</v>
      </c>
      <c r="G767" s="14">
        <v>44624</v>
      </c>
      <c r="H767" s="13" t="s">
        <v>9</v>
      </c>
    </row>
    <row r="768" spans="1:8" ht="14.4" x14ac:dyDescent="0.3">
      <c r="A768" s="8">
        <v>79750781</v>
      </c>
      <c r="B768" s="11">
        <v>44614</v>
      </c>
      <c r="C768" s="13" t="s">
        <v>1342</v>
      </c>
      <c r="D768" s="13" t="s">
        <v>1343</v>
      </c>
      <c r="E768" s="8">
        <v>195142.5</v>
      </c>
      <c r="F768" s="13" t="s">
        <v>70</v>
      </c>
      <c r="G768" s="14">
        <v>44616</v>
      </c>
      <c r="H768" s="13" t="s">
        <v>9</v>
      </c>
    </row>
    <row r="769" spans="1:8" ht="14.4" x14ac:dyDescent="0.3">
      <c r="A769" s="8">
        <v>79750782</v>
      </c>
      <c r="B769" s="11">
        <v>44614</v>
      </c>
      <c r="C769" s="13" t="s">
        <v>1344</v>
      </c>
      <c r="D769" s="13" t="s">
        <v>1345</v>
      </c>
      <c r="E769" s="8">
        <v>87300</v>
      </c>
      <c r="F769" s="13" t="s">
        <v>70</v>
      </c>
      <c r="G769" s="14">
        <v>44616</v>
      </c>
      <c r="H769" s="13" t="s">
        <v>9</v>
      </c>
    </row>
    <row r="770" spans="1:8" ht="14.4" x14ac:dyDescent="0.3">
      <c r="A770" s="8">
        <v>79750783</v>
      </c>
      <c r="B770" s="11">
        <v>44614</v>
      </c>
      <c r="C770" s="13" t="s">
        <v>1346</v>
      </c>
      <c r="D770" s="13" t="s">
        <v>1347</v>
      </c>
      <c r="E770" s="8">
        <v>820180.93</v>
      </c>
      <c r="F770" s="13" t="s">
        <v>70</v>
      </c>
      <c r="G770" s="14">
        <v>44620</v>
      </c>
      <c r="H770" s="13" t="s">
        <v>9</v>
      </c>
    </row>
    <row r="771" spans="1:8" ht="14.4" x14ac:dyDescent="0.3">
      <c r="A771" s="8">
        <v>79750784</v>
      </c>
      <c r="B771" s="11">
        <v>44614</v>
      </c>
      <c r="C771" s="13" t="s">
        <v>1346</v>
      </c>
      <c r="D771" s="13" t="s">
        <v>1348</v>
      </c>
      <c r="E771" s="8">
        <v>1638040.91</v>
      </c>
      <c r="F771" s="13" t="s">
        <v>70</v>
      </c>
      <c r="G771" s="14">
        <v>44620</v>
      </c>
      <c r="H771" s="13" t="s">
        <v>9</v>
      </c>
    </row>
    <row r="772" spans="1:8" ht="14.4" x14ac:dyDescent="0.3">
      <c r="A772" s="8">
        <v>79750785</v>
      </c>
      <c r="B772" s="11">
        <v>44614</v>
      </c>
      <c r="C772" s="13" t="s">
        <v>1349</v>
      </c>
      <c r="D772" s="13" t="s">
        <v>1350</v>
      </c>
      <c r="E772" s="8">
        <v>10000</v>
      </c>
      <c r="F772" s="13" t="s">
        <v>70</v>
      </c>
      <c r="G772" s="14">
        <v>44620</v>
      </c>
      <c r="H772" s="13" t="s">
        <v>9</v>
      </c>
    </row>
    <row r="773" spans="1:8" ht="14.4" x14ac:dyDescent="0.3">
      <c r="A773" s="8">
        <v>79750786</v>
      </c>
      <c r="B773" s="11">
        <v>44614</v>
      </c>
      <c r="C773" s="13" t="s">
        <v>1351</v>
      </c>
      <c r="D773" s="13" t="s">
        <v>1352</v>
      </c>
      <c r="E773" s="8">
        <v>10000</v>
      </c>
      <c r="F773" s="13" t="s">
        <v>70</v>
      </c>
      <c r="G773" s="14">
        <v>44629</v>
      </c>
      <c r="H773" s="13" t="s">
        <v>9</v>
      </c>
    </row>
    <row r="774" spans="1:8" ht="14.4" x14ac:dyDescent="0.3">
      <c r="A774" s="8">
        <v>79750787</v>
      </c>
      <c r="B774" s="11">
        <v>44614</v>
      </c>
      <c r="C774" s="13" t="s">
        <v>1353</v>
      </c>
      <c r="D774" s="13" t="s">
        <v>1354</v>
      </c>
      <c r="E774" s="8">
        <v>30000</v>
      </c>
      <c r="F774" s="13" t="s">
        <v>70</v>
      </c>
      <c r="G774" s="14">
        <v>44621</v>
      </c>
      <c r="H774" s="13" t="s">
        <v>9</v>
      </c>
    </row>
    <row r="775" spans="1:8" ht="14.4" x14ac:dyDescent="0.3">
      <c r="A775" s="8">
        <v>79750788</v>
      </c>
      <c r="B775" s="11">
        <v>44614</v>
      </c>
      <c r="C775" s="13" t="s">
        <v>1355</v>
      </c>
      <c r="D775" s="13" t="s">
        <v>1356</v>
      </c>
      <c r="E775" s="8">
        <v>8000</v>
      </c>
      <c r="F775" s="13" t="s">
        <v>70</v>
      </c>
      <c r="G775" s="14">
        <v>44616</v>
      </c>
      <c r="H775" s="13" t="s">
        <v>9</v>
      </c>
    </row>
    <row r="776" spans="1:8" ht="14.4" x14ac:dyDescent="0.3">
      <c r="A776" s="8">
        <v>79750789</v>
      </c>
      <c r="B776" s="11">
        <v>44614</v>
      </c>
      <c r="C776" s="13" t="s">
        <v>1357</v>
      </c>
      <c r="D776" s="13" t="s">
        <v>1358</v>
      </c>
      <c r="E776" s="8">
        <v>16800</v>
      </c>
      <c r="F776" s="13" t="s">
        <v>70</v>
      </c>
      <c r="G776" s="14">
        <v>44622</v>
      </c>
      <c r="H776" s="13" t="s">
        <v>9</v>
      </c>
    </row>
    <row r="777" spans="1:8" ht="14.4" x14ac:dyDescent="0.3">
      <c r="A777" s="8">
        <v>79750790</v>
      </c>
      <c r="B777" s="11">
        <v>44614</v>
      </c>
      <c r="C777" s="13" t="s">
        <v>1359</v>
      </c>
      <c r="D777" s="13" t="s">
        <v>1360</v>
      </c>
      <c r="E777" s="8">
        <v>18000</v>
      </c>
      <c r="F777" s="13" t="s">
        <v>70</v>
      </c>
      <c r="G777" s="14">
        <v>44620</v>
      </c>
      <c r="H777" s="13" t="s">
        <v>9</v>
      </c>
    </row>
    <row r="778" spans="1:8" ht="14.4" x14ac:dyDescent="0.3">
      <c r="A778" s="8">
        <v>79750791</v>
      </c>
      <c r="B778" s="11">
        <v>44614</v>
      </c>
      <c r="C778" s="13" t="s">
        <v>1361</v>
      </c>
      <c r="D778" s="13" t="s">
        <v>1362</v>
      </c>
      <c r="E778" s="8">
        <v>8000</v>
      </c>
      <c r="F778" s="13" t="s">
        <v>70</v>
      </c>
      <c r="G778" s="14">
        <v>44620</v>
      </c>
      <c r="H778" s="13" t="s">
        <v>9</v>
      </c>
    </row>
    <row r="779" spans="1:8" ht="14.4" x14ac:dyDescent="0.3">
      <c r="A779" s="8">
        <v>79750792</v>
      </c>
      <c r="B779" s="11">
        <v>44614</v>
      </c>
      <c r="C779" s="13" t="s">
        <v>1363</v>
      </c>
      <c r="D779" s="13" t="s">
        <v>1364</v>
      </c>
      <c r="E779" s="8">
        <v>14000</v>
      </c>
      <c r="F779" s="13" t="s">
        <v>70</v>
      </c>
      <c r="G779" s="14">
        <v>44621</v>
      </c>
      <c r="H779" s="13" t="s">
        <v>9</v>
      </c>
    </row>
    <row r="780" spans="1:8" ht="14.4" x14ac:dyDescent="0.3">
      <c r="A780" s="8">
        <v>79750793</v>
      </c>
      <c r="B780" s="11">
        <v>44614</v>
      </c>
      <c r="C780" s="13" t="s">
        <v>1365</v>
      </c>
      <c r="D780" s="13" t="s">
        <v>1366</v>
      </c>
      <c r="E780" s="8">
        <v>40000</v>
      </c>
      <c r="F780" s="13" t="s">
        <v>70</v>
      </c>
      <c r="G780" s="14">
        <v>44622</v>
      </c>
      <c r="H780" s="13" t="s">
        <v>9</v>
      </c>
    </row>
    <row r="781" spans="1:8" ht="14.4" x14ac:dyDescent="0.3">
      <c r="A781" s="8">
        <v>79750794</v>
      </c>
      <c r="B781" s="11">
        <v>44614</v>
      </c>
      <c r="C781" s="13" t="s">
        <v>1367</v>
      </c>
      <c r="D781" s="13" t="s">
        <v>1368</v>
      </c>
      <c r="E781" s="8">
        <v>15000</v>
      </c>
      <c r="F781" s="13" t="s">
        <v>70</v>
      </c>
      <c r="G781" s="14">
        <v>44620</v>
      </c>
      <c r="H781" s="13" t="s">
        <v>9</v>
      </c>
    </row>
    <row r="782" spans="1:8" ht="14.4" x14ac:dyDescent="0.3">
      <c r="A782" s="8">
        <v>79750795</v>
      </c>
      <c r="B782" s="11">
        <v>44614</v>
      </c>
      <c r="C782" s="13" t="s">
        <v>1369</v>
      </c>
      <c r="D782" s="13" t="s">
        <v>1370</v>
      </c>
      <c r="E782" s="8">
        <v>10000</v>
      </c>
      <c r="F782" s="13" t="s">
        <v>70</v>
      </c>
      <c r="G782" s="14">
        <v>44638</v>
      </c>
      <c r="H782" s="13" t="s">
        <v>9</v>
      </c>
    </row>
    <row r="783" spans="1:8" ht="14.4" x14ac:dyDescent="0.3">
      <c r="A783" s="8">
        <v>79750796</v>
      </c>
      <c r="B783" s="11">
        <v>44614</v>
      </c>
      <c r="C783" s="13" t="s">
        <v>1371</v>
      </c>
      <c r="D783" s="13" t="s">
        <v>1372</v>
      </c>
      <c r="E783" s="8">
        <v>30000</v>
      </c>
      <c r="F783" s="13" t="s">
        <v>70</v>
      </c>
      <c r="G783" s="14">
        <v>44621</v>
      </c>
      <c r="H783" s="13" t="s">
        <v>9</v>
      </c>
    </row>
    <row r="784" spans="1:8" ht="14.4" x14ac:dyDescent="0.3">
      <c r="A784" s="8">
        <v>79750797</v>
      </c>
      <c r="B784" s="11">
        <v>44614</v>
      </c>
      <c r="C784" s="13" t="s">
        <v>1373</v>
      </c>
      <c r="D784" s="13" t="s">
        <v>1374</v>
      </c>
      <c r="E784" s="8">
        <v>8000</v>
      </c>
      <c r="F784" s="13" t="s">
        <v>70</v>
      </c>
      <c r="G784" s="14">
        <v>44622</v>
      </c>
      <c r="H784" s="13" t="s">
        <v>9</v>
      </c>
    </row>
    <row r="785" spans="1:8" ht="14.4" x14ac:dyDescent="0.3">
      <c r="A785" s="8">
        <v>79750798</v>
      </c>
      <c r="B785" s="11">
        <v>44614</v>
      </c>
      <c r="C785" s="13" t="s">
        <v>1375</v>
      </c>
      <c r="D785" s="13" t="s">
        <v>1376</v>
      </c>
      <c r="E785" s="8">
        <v>10000</v>
      </c>
      <c r="F785" s="13" t="s">
        <v>70</v>
      </c>
      <c r="G785" s="14">
        <v>44620</v>
      </c>
      <c r="H785" s="13" t="s">
        <v>9</v>
      </c>
    </row>
    <row r="786" spans="1:8" ht="14.4" x14ac:dyDescent="0.3">
      <c r="A786" s="8">
        <v>79750799</v>
      </c>
      <c r="B786" s="11">
        <v>44614</v>
      </c>
      <c r="C786" s="13" t="s">
        <v>1377</v>
      </c>
      <c r="D786" s="13" t="s">
        <v>1378</v>
      </c>
      <c r="E786" s="8">
        <v>10000</v>
      </c>
      <c r="F786" s="13" t="s">
        <v>70</v>
      </c>
      <c r="G786" s="14">
        <v>44616</v>
      </c>
      <c r="H786" s="13" t="s">
        <v>9</v>
      </c>
    </row>
    <row r="787" spans="1:8" ht="14.4" x14ac:dyDescent="0.3">
      <c r="A787" s="8">
        <v>79750800</v>
      </c>
      <c r="B787" s="11">
        <v>44614</v>
      </c>
      <c r="C787" s="13" t="s">
        <v>265</v>
      </c>
      <c r="D787" s="13" t="s">
        <v>1379</v>
      </c>
      <c r="E787" s="8">
        <v>30000</v>
      </c>
      <c r="F787" s="13" t="s">
        <v>70</v>
      </c>
      <c r="G787" s="14">
        <v>44616</v>
      </c>
      <c r="H787" s="13" t="s">
        <v>9</v>
      </c>
    </row>
    <row r="788" spans="1:8" ht="14.4" x14ac:dyDescent="0.3">
      <c r="A788" s="8">
        <v>79750801</v>
      </c>
      <c r="B788" s="11">
        <v>44614</v>
      </c>
      <c r="C788" s="13" t="s">
        <v>1380</v>
      </c>
      <c r="D788" s="13" t="s">
        <v>1381</v>
      </c>
      <c r="E788" s="8">
        <v>561.55999999999995</v>
      </c>
      <c r="F788" s="13" t="s">
        <v>70</v>
      </c>
      <c r="G788" s="14">
        <v>44620</v>
      </c>
      <c r="H788" s="13" t="s">
        <v>9</v>
      </c>
    </row>
    <row r="789" spans="1:8" ht="14.4" x14ac:dyDescent="0.3">
      <c r="A789" s="8">
        <v>79750802</v>
      </c>
      <c r="B789" s="11">
        <v>44614</v>
      </c>
      <c r="C789" s="13" t="s">
        <v>1382</v>
      </c>
      <c r="D789" s="13" t="s">
        <v>1383</v>
      </c>
      <c r="E789" s="8">
        <v>75000</v>
      </c>
      <c r="F789" s="13" t="s">
        <v>70</v>
      </c>
      <c r="G789" s="14">
        <v>44623</v>
      </c>
      <c r="H789" s="13" t="s">
        <v>9</v>
      </c>
    </row>
    <row r="790" spans="1:8" ht="14.4" x14ac:dyDescent="0.3">
      <c r="A790" s="8">
        <v>79750803</v>
      </c>
      <c r="B790" s="11">
        <v>44614</v>
      </c>
      <c r="C790" s="13" t="s">
        <v>1382</v>
      </c>
      <c r="D790" s="13" t="s">
        <v>1384</v>
      </c>
      <c r="E790" s="8">
        <v>71741.25</v>
      </c>
      <c r="F790" s="13" t="s">
        <v>70</v>
      </c>
      <c r="G790" s="14">
        <v>44623</v>
      </c>
      <c r="H790" s="13" t="s">
        <v>9</v>
      </c>
    </row>
    <row r="791" spans="1:8" ht="14.4" x14ac:dyDescent="0.3">
      <c r="A791" s="8">
        <v>79750804</v>
      </c>
      <c r="B791" s="11">
        <v>44614</v>
      </c>
      <c r="C791" s="13" t="s">
        <v>1382</v>
      </c>
      <c r="D791" s="13" t="s">
        <v>1385</v>
      </c>
      <c r="E791" s="8">
        <v>14062.5</v>
      </c>
      <c r="F791" s="13" t="s">
        <v>70</v>
      </c>
      <c r="G791" s="14">
        <v>44623</v>
      </c>
      <c r="H791" s="13" t="s">
        <v>9</v>
      </c>
    </row>
    <row r="792" spans="1:8" ht="14.4" x14ac:dyDescent="0.3">
      <c r="A792" s="8">
        <v>79750805</v>
      </c>
      <c r="B792" s="11">
        <v>44614</v>
      </c>
      <c r="C792" s="13" t="s">
        <v>1386</v>
      </c>
      <c r="D792" s="13" t="s">
        <v>1387</v>
      </c>
      <c r="E792" s="8">
        <v>20000</v>
      </c>
      <c r="F792" s="13" t="s">
        <v>70</v>
      </c>
      <c r="G792" s="14">
        <v>44621</v>
      </c>
      <c r="H792" s="13" t="s">
        <v>9</v>
      </c>
    </row>
    <row r="793" spans="1:8" ht="14.4" x14ac:dyDescent="0.3">
      <c r="A793" s="8">
        <v>79750806</v>
      </c>
      <c r="B793" s="11">
        <v>44614</v>
      </c>
      <c r="C793" s="13" t="s">
        <v>1342</v>
      </c>
      <c r="D793" s="13" t="s">
        <v>1388</v>
      </c>
      <c r="E793" s="8">
        <v>6125</v>
      </c>
      <c r="F793" s="13" t="s">
        <v>70</v>
      </c>
      <c r="G793" s="14">
        <v>44616</v>
      </c>
      <c r="H793" s="13" t="s">
        <v>9</v>
      </c>
    </row>
    <row r="794" spans="1:8" ht="14.4" x14ac:dyDescent="0.3">
      <c r="A794" s="8">
        <v>79750807</v>
      </c>
      <c r="B794" s="11">
        <v>44614</v>
      </c>
      <c r="C794" s="13" t="s">
        <v>1000</v>
      </c>
      <c r="D794" s="13" t="s">
        <v>1389</v>
      </c>
      <c r="E794" s="8">
        <v>158859.06</v>
      </c>
      <c r="F794" s="13" t="s">
        <v>70</v>
      </c>
      <c r="G794" s="14">
        <v>44616</v>
      </c>
      <c r="H794" s="13" t="s">
        <v>9</v>
      </c>
    </row>
    <row r="795" spans="1:8" ht="14.4" x14ac:dyDescent="0.3">
      <c r="A795" s="8">
        <v>79750808</v>
      </c>
      <c r="B795" s="11">
        <v>44614</v>
      </c>
      <c r="C795" s="13" t="s">
        <v>1390</v>
      </c>
      <c r="D795" s="13" t="s">
        <v>1391</v>
      </c>
      <c r="E795" s="8">
        <v>26687.5</v>
      </c>
      <c r="F795" s="13" t="s">
        <v>70</v>
      </c>
      <c r="G795" s="14">
        <v>44616</v>
      </c>
      <c r="H795" s="13" t="s">
        <v>9</v>
      </c>
    </row>
    <row r="796" spans="1:8" ht="14.4" x14ac:dyDescent="0.3">
      <c r="A796" s="8">
        <v>79750809</v>
      </c>
      <c r="B796" s="11">
        <v>44614</v>
      </c>
      <c r="C796" s="13" t="s">
        <v>217</v>
      </c>
      <c r="D796" s="13" t="s">
        <v>1392</v>
      </c>
      <c r="E796" s="8">
        <v>23754</v>
      </c>
      <c r="F796" s="13" t="s">
        <v>70</v>
      </c>
      <c r="G796" s="14">
        <v>44634</v>
      </c>
      <c r="H796" s="13" t="s">
        <v>9</v>
      </c>
    </row>
    <row r="797" spans="1:8" ht="14.4" x14ac:dyDescent="0.3">
      <c r="A797" s="8">
        <v>79750810</v>
      </c>
      <c r="B797" s="11">
        <v>44614</v>
      </c>
      <c r="C797" s="13" t="s">
        <v>1393</v>
      </c>
      <c r="D797" s="13" t="s">
        <v>1394</v>
      </c>
      <c r="E797" s="8">
        <v>43837.35</v>
      </c>
      <c r="F797" s="13" t="s">
        <v>70</v>
      </c>
      <c r="G797" s="14">
        <v>44628</v>
      </c>
      <c r="H797" s="13" t="s">
        <v>9</v>
      </c>
    </row>
    <row r="798" spans="1:8" ht="14.4" x14ac:dyDescent="0.3">
      <c r="A798" s="8">
        <v>79750811</v>
      </c>
      <c r="B798" s="11">
        <v>44614</v>
      </c>
      <c r="C798" s="13" t="s">
        <v>1395</v>
      </c>
      <c r="D798" s="13" t="s">
        <v>1396</v>
      </c>
      <c r="E798" s="8">
        <v>6000</v>
      </c>
      <c r="F798" s="13" t="s">
        <v>70</v>
      </c>
      <c r="G798" s="14">
        <v>44620</v>
      </c>
      <c r="H798" s="13" t="s">
        <v>9</v>
      </c>
    </row>
    <row r="799" spans="1:8" ht="14.4" x14ac:dyDescent="0.3">
      <c r="A799" s="8">
        <v>79750812</v>
      </c>
      <c r="B799" s="11">
        <v>44614</v>
      </c>
      <c r="C799" s="13" t="s">
        <v>1397</v>
      </c>
      <c r="D799" s="13" t="s">
        <v>1398</v>
      </c>
      <c r="E799" s="8">
        <v>848750</v>
      </c>
      <c r="F799" s="13" t="s">
        <v>70</v>
      </c>
      <c r="G799" s="14">
        <v>44624</v>
      </c>
      <c r="H799" s="13" t="s">
        <v>9</v>
      </c>
    </row>
    <row r="800" spans="1:8" ht="14.4" x14ac:dyDescent="0.3">
      <c r="A800" s="8">
        <v>79750813</v>
      </c>
      <c r="B800" s="11">
        <v>44614</v>
      </c>
      <c r="C800" s="13" t="s">
        <v>1399</v>
      </c>
      <c r="D800" s="13" t="s">
        <v>1400</v>
      </c>
      <c r="E800" s="8">
        <v>153751.29</v>
      </c>
      <c r="F800" s="13" t="s">
        <v>70</v>
      </c>
      <c r="G800" s="14">
        <v>44615</v>
      </c>
      <c r="H800" s="13" t="s">
        <v>9</v>
      </c>
    </row>
    <row r="801" spans="1:8" ht="14.4" x14ac:dyDescent="0.3">
      <c r="A801" s="8">
        <v>79750814</v>
      </c>
      <c r="B801" s="11">
        <v>44614</v>
      </c>
      <c r="C801" s="13" t="s">
        <v>1401</v>
      </c>
      <c r="D801" s="13" t="s">
        <v>1402</v>
      </c>
      <c r="E801" s="8">
        <v>17570.93</v>
      </c>
      <c r="F801" s="13" t="s">
        <v>70</v>
      </c>
      <c r="G801" s="14">
        <v>44615</v>
      </c>
      <c r="H801" s="13" t="s">
        <v>9</v>
      </c>
    </row>
    <row r="802" spans="1:8" ht="14.4" x14ac:dyDescent="0.3">
      <c r="A802" s="8">
        <v>79750815</v>
      </c>
      <c r="B802" s="11">
        <v>44614</v>
      </c>
      <c r="C802" s="13" t="s">
        <v>1403</v>
      </c>
      <c r="D802" s="13" t="s">
        <v>1304</v>
      </c>
      <c r="E802" s="8">
        <v>18594.91</v>
      </c>
      <c r="F802" s="13" t="s">
        <v>70</v>
      </c>
      <c r="G802" s="14">
        <v>44615</v>
      </c>
      <c r="H802" s="13" t="s">
        <v>9</v>
      </c>
    </row>
    <row r="803" spans="1:8" ht="14.4" x14ac:dyDescent="0.3">
      <c r="A803" s="8">
        <v>79750816</v>
      </c>
      <c r="B803" s="11">
        <v>44615</v>
      </c>
      <c r="C803" s="13" t="s">
        <v>176</v>
      </c>
      <c r="D803" s="13" t="s">
        <v>1404</v>
      </c>
      <c r="E803" s="8">
        <v>130000</v>
      </c>
      <c r="F803" s="13" t="s">
        <v>70</v>
      </c>
      <c r="G803" s="14">
        <v>44624</v>
      </c>
      <c r="H803" s="13" t="s">
        <v>9</v>
      </c>
    </row>
    <row r="804" spans="1:8" ht="14.4" x14ac:dyDescent="0.3">
      <c r="A804" s="8">
        <v>79750817</v>
      </c>
      <c r="B804" s="11">
        <v>44615</v>
      </c>
      <c r="C804" s="13" t="s">
        <v>1405</v>
      </c>
      <c r="D804" s="13" t="s">
        <v>1406</v>
      </c>
      <c r="E804" s="8">
        <v>21500</v>
      </c>
      <c r="F804" s="13" t="s">
        <v>70</v>
      </c>
      <c r="G804" s="14">
        <v>44630</v>
      </c>
      <c r="H804" s="13" t="s">
        <v>9</v>
      </c>
    </row>
    <row r="805" spans="1:8" ht="14.4" x14ac:dyDescent="0.3">
      <c r="A805" s="8">
        <v>79750818</v>
      </c>
      <c r="B805" s="11">
        <v>44615</v>
      </c>
      <c r="C805" s="13" t="s">
        <v>202</v>
      </c>
      <c r="D805" s="13" t="s">
        <v>34</v>
      </c>
      <c r="E805" s="8">
        <v>17191.580000000002</v>
      </c>
      <c r="F805" s="13" t="s">
        <v>70</v>
      </c>
      <c r="G805" s="14">
        <v>44637</v>
      </c>
      <c r="H805" s="13" t="s">
        <v>9</v>
      </c>
    </row>
    <row r="806" spans="1:8" ht="14.4" x14ac:dyDescent="0.3">
      <c r="A806" s="8">
        <v>79750819</v>
      </c>
      <c r="B806" s="11">
        <v>44615</v>
      </c>
      <c r="C806" s="13" t="s">
        <v>1407</v>
      </c>
      <c r="D806" s="13" t="s">
        <v>1408</v>
      </c>
      <c r="E806" s="8">
        <v>5000</v>
      </c>
      <c r="F806" s="13" t="s">
        <v>70</v>
      </c>
      <c r="G806" s="14">
        <v>44622</v>
      </c>
      <c r="H806" s="13" t="s">
        <v>9</v>
      </c>
    </row>
    <row r="807" spans="1:8" ht="14.4" x14ac:dyDescent="0.3">
      <c r="A807" s="8">
        <v>79750820</v>
      </c>
      <c r="B807" s="11">
        <v>44615</v>
      </c>
      <c r="C807" s="13" t="s">
        <v>159</v>
      </c>
      <c r="D807" s="13" t="s">
        <v>1409</v>
      </c>
      <c r="E807" s="8">
        <v>325000</v>
      </c>
      <c r="F807" s="13" t="s">
        <v>70</v>
      </c>
      <c r="G807" s="14">
        <v>44616</v>
      </c>
      <c r="H807" s="13" t="s">
        <v>9</v>
      </c>
    </row>
    <row r="808" spans="1:8" ht="14.4" x14ac:dyDescent="0.3">
      <c r="A808" s="8">
        <v>79750821</v>
      </c>
      <c r="B808" s="11">
        <v>44616</v>
      </c>
      <c r="C808" s="13" t="s">
        <v>275</v>
      </c>
      <c r="D808" s="13" t="s">
        <v>1410</v>
      </c>
      <c r="E808" s="8">
        <v>232377.04</v>
      </c>
      <c r="F808" s="13" t="s">
        <v>70</v>
      </c>
      <c r="G808" s="14">
        <v>44620</v>
      </c>
      <c r="H808" s="13" t="s">
        <v>9</v>
      </c>
    </row>
    <row r="809" spans="1:8" ht="14.4" x14ac:dyDescent="0.3">
      <c r="A809" s="8">
        <v>79750822</v>
      </c>
      <c r="B809" s="11">
        <v>44616</v>
      </c>
      <c r="C809" s="13" t="s">
        <v>208</v>
      </c>
      <c r="D809" s="13" t="s">
        <v>1411</v>
      </c>
      <c r="E809" s="8">
        <v>5325</v>
      </c>
      <c r="F809" s="13" t="s">
        <v>70</v>
      </c>
      <c r="G809" s="14">
        <v>44628</v>
      </c>
      <c r="H809" s="13" t="s">
        <v>9</v>
      </c>
    </row>
    <row r="810" spans="1:8" ht="14.4" x14ac:dyDescent="0.3">
      <c r="A810" s="8">
        <v>79750823</v>
      </c>
      <c r="B810" s="11">
        <v>44616</v>
      </c>
      <c r="C810" s="13" t="s">
        <v>1412</v>
      </c>
      <c r="D810" s="13" t="s">
        <v>1413</v>
      </c>
      <c r="E810" s="8">
        <v>7265.63</v>
      </c>
      <c r="F810" s="13" t="s">
        <v>70</v>
      </c>
      <c r="G810" s="14">
        <v>44620</v>
      </c>
      <c r="H810" s="13" t="s">
        <v>9</v>
      </c>
    </row>
    <row r="811" spans="1:8" ht="14.4" x14ac:dyDescent="0.3">
      <c r="A811" s="8">
        <v>79750824</v>
      </c>
      <c r="B811" s="11">
        <v>44616</v>
      </c>
      <c r="C811" s="13" t="s">
        <v>1414</v>
      </c>
      <c r="D811" s="13" t="s">
        <v>34</v>
      </c>
      <c r="E811" s="8">
        <v>184297.21</v>
      </c>
      <c r="F811" s="13" t="s">
        <v>70</v>
      </c>
      <c r="G811" s="14">
        <v>44638</v>
      </c>
      <c r="H811" s="13" t="s">
        <v>9</v>
      </c>
    </row>
    <row r="812" spans="1:8" ht="14.4" x14ac:dyDescent="0.3">
      <c r="A812" s="8">
        <v>79750825</v>
      </c>
      <c r="B812" s="11">
        <v>44616</v>
      </c>
      <c r="C812" s="13" t="s">
        <v>1415</v>
      </c>
      <c r="D812" s="13" t="s">
        <v>1416</v>
      </c>
      <c r="E812" s="8">
        <v>265624.15999999997</v>
      </c>
      <c r="F812" s="13" t="s">
        <v>70</v>
      </c>
      <c r="G812" s="14">
        <v>44620</v>
      </c>
      <c r="H812" s="13" t="s">
        <v>9</v>
      </c>
    </row>
    <row r="813" spans="1:8" ht="14.4" x14ac:dyDescent="0.3">
      <c r="A813" s="8">
        <v>79750826</v>
      </c>
      <c r="B813" s="11">
        <v>44616</v>
      </c>
      <c r="C813" s="13" t="s">
        <v>1417</v>
      </c>
      <c r="D813" s="13" t="s">
        <v>1418</v>
      </c>
      <c r="E813" s="8">
        <v>1800</v>
      </c>
      <c r="F813" s="13" t="s">
        <v>70</v>
      </c>
      <c r="G813" s="14">
        <v>44624</v>
      </c>
      <c r="H813" s="13" t="s">
        <v>9</v>
      </c>
    </row>
    <row r="814" spans="1:8" ht="14.4" x14ac:dyDescent="0.3">
      <c r="A814" s="8">
        <v>79750827</v>
      </c>
      <c r="B814" s="11">
        <v>44616</v>
      </c>
      <c r="C814" s="13" t="s">
        <v>217</v>
      </c>
      <c r="D814" s="13" t="s">
        <v>1419</v>
      </c>
      <c r="E814" s="8">
        <v>426498.25</v>
      </c>
      <c r="F814" s="13" t="s">
        <v>70</v>
      </c>
      <c r="G814" s="14">
        <v>44628</v>
      </c>
      <c r="H814" s="13" t="s">
        <v>9</v>
      </c>
    </row>
    <row r="815" spans="1:8" ht="14.4" x14ac:dyDescent="0.3">
      <c r="A815" s="8">
        <v>79750828</v>
      </c>
      <c r="B815" s="11">
        <v>44616</v>
      </c>
      <c r="C815" s="13" t="s">
        <v>1420</v>
      </c>
      <c r="D815" s="13" t="s">
        <v>34</v>
      </c>
      <c r="E815" s="8">
        <v>12171.5</v>
      </c>
      <c r="F815" s="13" t="s">
        <v>70</v>
      </c>
      <c r="G815" s="14">
        <v>44638</v>
      </c>
      <c r="H815" s="13" t="s">
        <v>9</v>
      </c>
    </row>
    <row r="816" spans="1:8" ht="14.4" x14ac:dyDescent="0.3">
      <c r="A816" s="8">
        <v>79750829</v>
      </c>
      <c r="B816" s="11">
        <v>44616</v>
      </c>
      <c r="C816" s="13" t="s">
        <v>36</v>
      </c>
      <c r="D816" s="13" t="s">
        <v>1421</v>
      </c>
      <c r="E816" s="8">
        <v>670</v>
      </c>
      <c r="F816" s="13" t="s">
        <v>70</v>
      </c>
      <c r="G816" s="14">
        <v>44677</v>
      </c>
      <c r="H816" s="13" t="s">
        <v>9</v>
      </c>
    </row>
    <row r="817" spans="1:8" ht="14.4" x14ac:dyDescent="0.3">
      <c r="A817" s="8">
        <v>79750830</v>
      </c>
      <c r="B817" s="11">
        <v>44616</v>
      </c>
      <c r="C817" s="13" t="s">
        <v>1422</v>
      </c>
      <c r="D817" s="13" t="s">
        <v>1423</v>
      </c>
      <c r="E817" s="8">
        <v>198500</v>
      </c>
      <c r="F817" s="13" t="s">
        <v>70</v>
      </c>
      <c r="G817" s="14">
        <v>44624</v>
      </c>
      <c r="H817" s="13" t="s">
        <v>9</v>
      </c>
    </row>
    <row r="818" spans="1:8" ht="14.4" x14ac:dyDescent="0.3">
      <c r="A818" s="8">
        <v>79750831</v>
      </c>
      <c r="B818" s="11">
        <v>44616</v>
      </c>
      <c r="C818" s="13" t="s">
        <v>1424</v>
      </c>
      <c r="D818" s="13" t="s">
        <v>1425</v>
      </c>
      <c r="E818" s="8">
        <v>96204.46</v>
      </c>
      <c r="F818" s="13" t="s">
        <v>70</v>
      </c>
      <c r="G818" s="14">
        <v>44622</v>
      </c>
      <c r="H818" s="13" t="s">
        <v>9</v>
      </c>
    </row>
    <row r="819" spans="1:8" ht="14.4" x14ac:dyDescent="0.3">
      <c r="A819" s="8">
        <v>79750832</v>
      </c>
      <c r="B819" s="11">
        <v>44616</v>
      </c>
      <c r="C819" s="13" t="s">
        <v>180</v>
      </c>
      <c r="D819" s="13" t="s">
        <v>901</v>
      </c>
      <c r="E819" s="8">
        <v>455252.26</v>
      </c>
      <c r="F819" s="13" t="s">
        <v>70</v>
      </c>
      <c r="G819" s="14">
        <v>44616</v>
      </c>
      <c r="H819" s="13" t="s">
        <v>9</v>
      </c>
    </row>
    <row r="820" spans="1:8" ht="14.4" x14ac:dyDescent="0.3">
      <c r="A820" s="8">
        <v>79750833</v>
      </c>
      <c r="B820" s="11">
        <v>44616</v>
      </c>
      <c r="C820" s="13" t="s">
        <v>1426</v>
      </c>
      <c r="D820" s="13" t="s">
        <v>1336</v>
      </c>
      <c r="E820" s="8">
        <v>2000</v>
      </c>
      <c r="F820" s="13" t="s">
        <v>70</v>
      </c>
      <c r="G820" s="14">
        <v>44616</v>
      </c>
      <c r="H820" s="13" t="s">
        <v>9</v>
      </c>
    </row>
    <row r="821" spans="1:8" ht="14.4" x14ac:dyDescent="0.3">
      <c r="A821" s="8">
        <v>79750834</v>
      </c>
      <c r="B821" s="11">
        <v>44616</v>
      </c>
      <c r="C821" s="13" t="s">
        <v>1426</v>
      </c>
      <c r="D821" s="13" t="s">
        <v>1427</v>
      </c>
      <c r="E821" s="8">
        <v>2000</v>
      </c>
      <c r="F821" s="13" t="s">
        <v>70</v>
      </c>
      <c r="G821" s="14">
        <v>44623</v>
      </c>
      <c r="H821" s="13" t="s">
        <v>9</v>
      </c>
    </row>
    <row r="822" spans="1:8" ht="14.4" x14ac:dyDescent="0.3">
      <c r="A822" s="8">
        <v>79750835</v>
      </c>
      <c r="B822" s="11">
        <v>44616</v>
      </c>
      <c r="C822" s="13" t="s">
        <v>1428</v>
      </c>
      <c r="D822" s="13" t="s">
        <v>1429</v>
      </c>
      <c r="E822" s="8">
        <v>61343.040000000001</v>
      </c>
      <c r="F822" s="13" t="s">
        <v>70</v>
      </c>
      <c r="G822" s="14">
        <v>44616</v>
      </c>
      <c r="H822" s="13" t="s">
        <v>9</v>
      </c>
    </row>
    <row r="823" spans="1:8" ht="14.4" x14ac:dyDescent="0.3">
      <c r="A823" s="8">
        <v>79750836</v>
      </c>
      <c r="B823" s="11">
        <v>44616</v>
      </c>
      <c r="C823" s="13" t="s">
        <v>1430</v>
      </c>
      <c r="D823" s="13" t="s">
        <v>1431</v>
      </c>
      <c r="E823" s="8">
        <v>10239.65</v>
      </c>
      <c r="F823" s="13" t="s">
        <v>70</v>
      </c>
      <c r="G823" s="14">
        <v>44627</v>
      </c>
      <c r="H823" s="13" t="s">
        <v>9</v>
      </c>
    </row>
    <row r="824" spans="1:8" ht="14.4" x14ac:dyDescent="0.3">
      <c r="A824" s="8">
        <v>79750837</v>
      </c>
      <c r="B824" s="11">
        <v>44616</v>
      </c>
      <c r="C824" s="13" t="s">
        <v>1286</v>
      </c>
      <c r="D824" s="13" t="s">
        <v>1432</v>
      </c>
      <c r="E824" s="8">
        <v>57819.34</v>
      </c>
      <c r="F824" s="13" t="s">
        <v>70</v>
      </c>
      <c r="G824" s="14">
        <v>44620</v>
      </c>
      <c r="H824" s="13" t="s">
        <v>9</v>
      </c>
    </row>
    <row r="825" spans="1:8" ht="14.4" x14ac:dyDescent="0.3">
      <c r="A825" s="8">
        <v>79750838</v>
      </c>
      <c r="B825" s="11">
        <v>44616</v>
      </c>
      <c r="C825" s="13" t="s">
        <v>601</v>
      </c>
      <c r="D825" s="13" t="s">
        <v>1433</v>
      </c>
      <c r="E825" s="8">
        <v>46875</v>
      </c>
      <c r="F825" s="13" t="s">
        <v>70</v>
      </c>
      <c r="G825" s="14">
        <v>44635</v>
      </c>
      <c r="H825" s="13" t="s">
        <v>9</v>
      </c>
    </row>
    <row r="826" spans="1:8" ht="14.4" x14ac:dyDescent="0.3">
      <c r="A826" s="8">
        <v>79750839</v>
      </c>
      <c r="B826" s="11">
        <v>44616</v>
      </c>
      <c r="C826" s="13" t="s">
        <v>48</v>
      </c>
      <c r="D826" s="13" t="s">
        <v>1434</v>
      </c>
      <c r="E826" s="8">
        <v>38800</v>
      </c>
      <c r="F826" s="13" t="s">
        <v>70</v>
      </c>
      <c r="G826" s="14">
        <v>44623</v>
      </c>
      <c r="H826" s="13" t="s">
        <v>9</v>
      </c>
    </row>
    <row r="827" spans="1:8" ht="14.4" x14ac:dyDescent="0.3">
      <c r="A827" s="8">
        <v>79750840</v>
      </c>
      <c r="B827" s="11">
        <v>44616</v>
      </c>
      <c r="C827" s="13" t="s">
        <v>1033</v>
      </c>
      <c r="D827" s="13" t="s">
        <v>1435</v>
      </c>
      <c r="E827" s="8">
        <v>48500</v>
      </c>
      <c r="F827" s="13" t="s">
        <v>70</v>
      </c>
      <c r="G827" s="14">
        <v>44635</v>
      </c>
      <c r="H827" s="13" t="s">
        <v>9</v>
      </c>
    </row>
    <row r="828" spans="1:8" ht="14.4" x14ac:dyDescent="0.3">
      <c r="A828" s="8">
        <v>79750841</v>
      </c>
      <c r="B828" s="11">
        <v>44616</v>
      </c>
      <c r="C828" s="13" t="s">
        <v>180</v>
      </c>
      <c r="D828" s="13" t="s">
        <v>901</v>
      </c>
      <c r="E828" s="8">
        <v>72263.570000000007</v>
      </c>
      <c r="F828" s="13" t="s">
        <v>70</v>
      </c>
      <c r="G828" s="14">
        <v>44616</v>
      </c>
      <c r="H828" s="13" t="s">
        <v>9</v>
      </c>
    </row>
    <row r="829" spans="1:8" ht="14.4" x14ac:dyDescent="0.3">
      <c r="A829" s="8">
        <v>79750842</v>
      </c>
      <c r="B829" s="11">
        <v>44616</v>
      </c>
      <c r="C829" s="13" t="s">
        <v>1436</v>
      </c>
      <c r="D829" s="13" t="s">
        <v>1437</v>
      </c>
      <c r="E829" s="8">
        <v>20000</v>
      </c>
      <c r="F829" s="13" t="s">
        <v>70</v>
      </c>
      <c r="G829" s="14">
        <v>44624</v>
      </c>
      <c r="H829" s="13" t="s">
        <v>9</v>
      </c>
    </row>
    <row r="830" spans="1:8" ht="14.4" x14ac:dyDescent="0.3">
      <c r="A830" s="8">
        <v>79750843</v>
      </c>
      <c r="B830" s="11">
        <v>44616</v>
      </c>
      <c r="C830" s="13" t="s">
        <v>1438</v>
      </c>
      <c r="D830" s="13" t="s">
        <v>1439</v>
      </c>
      <c r="E830" s="8">
        <v>9600</v>
      </c>
      <c r="F830" s="13" t="s">
        <v>70</v>
      </c>
      <c r="G830" s="14">
        <v>44621</v>
      </c>
      <c r="H830" s="13" t="s">
        <v>9</v>
      </c>
    </row>
    <row r="831" spans="1:8" ht="14.4" x14ac:dyDescent="0.3">
      <c r="A831" s="8">
        <v>79750844</v>
      </c>
      <c r="B831" s="11">
        <v>44616</v>
      </c>
      <c r="C831" s="13" t="s">
        <v>1440</v>
      </c>
      <c r="D831" s="13" t="s">
        <v>1441</v>
      </c>
      <c r="E831" s="8">
        <v>25000</v>
      </c>
      <c r="F831" s="13" t="s">
        <v>70</v>
      </c>
      <c r="G831" s="14">
        <v>44647</v>
      </c>
      <c r="H831" s="13" t="s">
        <v>9</v>
      </c>
    </row>
    <row r="832" spans="1:8" ht="14.4" x14ac:dyDescent="0.3">
      <c r="A832" s="8">
        <v>79750845</v>
      </c>
      <c r="B832" s="11">
        <v>44616</v>
      </c>
      <c r="C832" s="13" t="s">
        <v>1442</v>
      </c>
      <c r="D832" s="13" t="s">
        <v>1443</v>
      </c>
      <c r="E832" s="8">
        <v>15000</v>
      </c>
      <c r="F832" s="13" t="s">
        <v>70</v>
      </c>
      <c r="G832" s="14">
        <v>44622</v>
      </c>
      <c r="H832" s="13" t="s">
        <v>9</v>
      </c>
    </row>
    <row r="833" spans="1:8" ht="14.4" x14ac:dyDescent="0.3">
      <c r="A833" s="8">
        <v>79750846</v>
      </c>
      <c r="B833" s="11">
        <v>44616</v>
      </c>
      <c r="C833" s="13" t="s">
        <v>1444</v>
      </c>
      <c r="D833" s="13" t="s">
        <v>1445</v>
      </c>
      <c r="E833" s="8">
        <v>27000</v>
      </c>
      <c r="F833" s="13" t="s">
        <v>70</v>
      </c>
      <c r="G833" s="14">
        <v>44622</v>
      </c>
      <c r="H833" s="13" t="s">
        <v>9</v>
      </c>
    </row>
    <row r="834" spans="1:8" ht="14.4" x14ac:dyDescent="0.3">
      <c r="A834" s="8">
        <v>79750847</v>
      </c>
      <c r="B834" s="11">
        <v>44616</v>
      </c>
      <c r="C834" s="13" t="s">
        <v>1446</v>
      </c>
      <c r="D834" s="13" t="s">
        <v>1447</v>
      </c>
      <c r="E834" s="8">
        <v>42000</v>
      </c>
      <c r="F834" s="13" t="s">
        <v>70</v>
      </c>
      <c r="G834" s="14">
        <v>44621</v>
      </c>
      <c r="H834" s="13" t="s">
        <v>9</v>
      </c>
    </row>
    <row r="835" spans="1:8" ht="14.4" x14ac:dyDescent="0.3">
      <c r="A835" s="8">
        <v>79750849</v>
      </c>
      <c r="B835" s="11">
        <v>44616</v>
      </c>
      <c r="C835" s="13" t="s">
        <v>1448</v>
      </c>
      <c r="D835" s="13" t="s">
        <v>150</v>
      </c>
      <c r="E835" s="8">
        <v>15000</v>
      </c>
      <c r="F835" s="13" t="s">
        <v>70</v>
      </c>
      <c r="G835" s="14">
        <v>44622</v>
      </c>
      <c r="H835" s="13" t="s">
        <v>9</v>
      </c>
    </row>
    <row r="836" spans="1:8" ht="14.4" x14ac:dyDescent="0.3">
      <c r="A836" s="8">
        <v>79750850</v>
      </c>
      <c r="B836" s="11">
        <v>44616</v>
      </c>
      <c r="C836" s="13" t="s">
        <v>1449</v>
      </c>
      <c r="D836" s="13" t="s">
        <v>1450</v>
      </c>
      <c r="E836" s="8">
        <v>40000</v>
      </c>
      <c r="F836" s="13" t="s">
        <v>70</v>
      </c>
      <c r="G836" s="14">
        <v>44621</v>
      </c>
      <c r="H836" s="13" t="s">
        <v>9</v>
      </c>
    </row>
    <row r="837" spans="1:8" ht="14.4" x14ac:dyDescent="0.3">
      <c r="A837" s="8">
        <v>79750851</v>
      </c>
      <c r="B837" s="11">
        <v>44616</v>
      </c>
      <c r="C837" s="13" t="s">
        <v>1451</v>
      </c>
      <c r="D837" s="13" t="s">
        <v>1452</v>
      </c>
      <c r="E837" s="8">
        <v>30000</v>
      </c>
      <c r="F837" s="13" t="s">
        <v>70</v>
      </c>
      <c r="G837" s="14">
        <v>44622</v>
      </c>
      <c r="H837" s="13" t="s">
        <v>9</v>
      </c>
    </row>
    <row r="838" spans="1:8" ht="14.4" x14ac:dyDescent="0.3">
      <c r="A838" s="8">
        <v>79750852</v>
      </c>
      <c r="B838" s="11">
        <v>44616</v>
      </c>
      <c r="C838" s="13" t="s">
        <v>1453</v>
      </c>
      <c r="D838" s="13" t="s">
        <v>1454</v>
      </c>
      <c r="E838" s="8">
        <v>20000</v>
      </c>
      <c r="F838" s="13" t="s">
        <v>70</v>
      </c>
      <c r="G838" s="14">
        <v>44622</v>
      </c>
      <c r="H838" s="13" t="s">
        <v>9</v>
      </c>
    </row>
    <row r="839" spans="1:8" ht="14.4" x14ac:dyDescent="0.3">
      <c r="A839" s="8">
        <v>79750853</v>
      </c>
      <c r="B839" s="11">
        <v>44616</v>
      </c>
      <c r="C839" s="13" t="s">
        <v>188</v>
      </c>
      <c r="D839" s="13" t="s">
        <v>1455</v>
      </c>
      <c r="E839" s="8">
        <v>579967.53</v>
      </c>
      <c r="F839" s="13" t="s">
        <v>70</v>
      </c>
      <c r="G839" s="14">
        <v>44620</v>
      </c>
      <c r="H839" s="13" t="s">
        <v>9</v>
      </c>
    </row>
    <row r="840" spans="1:8" ht="14.4" x14ac:dyDescent="0.3">
      <c r="A840" s="8">
        <v>79750854</v>
      </c>
      <c r="B840" s="11">
        <v>44616</v>
      </c>
      <c r="C840" s="13" t="s">
        <v>1415</v>
      </c>
      <c r="D840" s="13" t="s">
        <v>1456</v>
      </c>
      <c r="E840" s="8">
        <v>49350.15</v>
      </c>
      <c r="F840" s="13" t="s">
        <v>70</v>
      </c>
      <c r="G840" s="14">
        <v>44631</v>
      </c>
      <c r="H840" s="13" t="s">
        <v>9</v>
      </c>
    </row>
    <row r="841" spans="1:8" ht="14.4" x14ac:dyDescent="0.3">
      <c r="A841" s="8">
        <v>79750855</v>
      </c>
      <c r="B841" s="11">
        <v>44616</v>
      </c>
      <c r="C841" s="13" t="s">
        <v>1415</v>
      </c>
      <c r="D841" s="13" t="s">
        <v>1457</v>
      </c>
      <c r="E841" s="8">
        <v>10382.09</v>
      </c>
      <c r="F841" s="13" t="s">
        <v>70</v>
      </c>
      <c r="G841" s="14">
        <v>44631</v>
      </c>
      <c r="H841" s="13" t="s">
        <v>9</v>
      </c>
    </row>
    <row r="842" spans="1:8" ht="14.4" x14ac:dyDescent="0.3">
      <c r="A842" s="8">
        <v>79750856</v>
      </c>
      <c r="B842" s="11">
        <v>44616</v>
      </c>
      <c r="C842" s="13" t="s">
        <v>1415</v>
      </c>
      <c r="D842" s="13" t="s">
        <v>1458</v>
      </c>
      <c r="E842" s="8">
        <v>71504.009999999995</v>
      </c>
      <c r="F842" s="13" t="s">
        <v>70</v>
      </c>
      <c r="G842" s="14">
        <v>44631</v>
      </c>
      <c r="H842" s="13" t="s">
        <v>9</v>
      </c>
    </row>
    <row r="843" spans="1:8" ht="14.4" x14ac:dyDescent="0.3">
      <c r="A843" s="8">
        <v>79750857</v>
      </c>
      <c r="B843" s="11">
        <v>44616</v>
      </c>
      <c r="C843" s="13" t="s">
        <v>1415</v>
      </c>
      <c r="D843" s="13" t="s">
        <v>1459</v>
      </c>
      <c r="E843" s="8">
        <v>11590.47</v>
      </c>
      <c r="F843" s="13" t="s">
        <v>70</v>
      </c>
      <c r="G843" s="14">
        <v>44631</v>
      </c>
      <c r="H843" s="13" t="s">
        <v>9</v>
      </c>
    </row>
    <row r="844" spans="1:8" ht="14.4" x14ac:dyDescent="0.3">
      <c r="A844" s="8">
        <v>79750858</v>
      </c>
      <c r="B844" s="11">
        <v>44616</v>
      </c>
      <c r="C844" s="13" t="s">
        <v>1415</v>
      </c>
      <c r="D844" s="13" t="s">
        <v>1460</v>
      </c>
      <c r="E844" s="8">
        <v>28776.51</v>
      </c>
      <c r="F844" s="13" t="s">
        <v>70</v>
      </c>
      <c r="G844" s="14">
        <v>44631</v>
      </c>
      <c r="H844" s="13" t="s">
        <v>9</v>
      </c>
    </row>
    <row r="845" spans="1:8" ht="14.4" x14ac:dyDescent="0.3">
      <c r="A845" s="8">
        <v>79750859</v>
      </c>
      <c r="B845" s="11">
        <v>44616</v>
      </c>
      <c r="C845" s="13" t="s">
        <v>1461</v>
      </c>
      <c r="D845" s="13" t="s">
        <v>1462</v>
      </c>
      <c r="E845" s="8">
        <v>14000</v>
      </c>
      <c r="F845" s="13" t="s">
        <v>70</v>
      </c>
      <c r="G845" s="14">
        <v>44623</v>
      </c>
      <c r="H845" s="13" t="s">
        <v>9</v>
      </c>
    </row>
    <row r="846" spans="1:8" ht="14.4" x14ac:dyDescent="0.3">
      <c r="A846" s="8">
        <v>79750860</v>
      </c>
      <c r="B846" s="11">
        <v>44616</v>
      </c>
      <c r="C846" s="13" t="s">
        <v>1463</v>
      </c>
      <c r="D846" s="13" t="s">
        <v>1464</v>
      </c>
      <c r="E846" s="8">
        <v>20000</v>
      </c>
      <c r="F846" s="13" t="s">
        <v>70</v>
      </c>
      <c r="G846" s="14">
        <v>44621</v>
      </c>
      <c r="H846" s="13" t="s">
        <v>9</v>
      </c>
    </row>
    <row r="847" spans="1:8" ht="14.4" x14ac:dyDescent="0.3">
      <c r="A847" s="8">
        <v>79750861</v>
      </c>
      <c r="B847" s="11">
        <v>44616</v>
      </c>
      <c r="C847" s="13" t="s">
        <v>1465</v>
      </c>
      <c r="D847" s="13" t="s">
        <v>1466</v>
      </c>
      <c r="E847" s="8">
        <v>11214</v>
      </c>
      <c r="F847" s="13" t="s">
        <v>70</v>
      </c>
      <c r="G847" s="14">
        <v>44630</v>
      </c>
      <c r="H847" s="13" t="s">
        <v>9</v>
      </c>
    </row>
    <row r="848" spans="1:8" ht="14.4" x14ac:dyDescent="0.3">
      <c r="A848" s="8">
        <v>79750862</v>
      </c>
      <c r="B848" s="11">
        <v>44616</v>
      </c>
      <c r="C848" s="13" t="s">
        <v>152</v>
      </c>
      <c r="D848" s="13" t="s">
        <v>1467</v>
      </c>
      <c r="E848" s="8">
        <v>39832</v>
      </c>
      <c r="F848" s="13" t="s">
        <v>70</v>
      </c>
      <c r="G848" s="14">
        <v>44621</v>
      </c>
      <c r="H848" s="13" t="s">
        <v>9</v>
      </c>
    </row>
    <row r="849" spans="1:8" ht="14.4" x14ac:dyDescent="0.3">
      <c r="A849" s="8">
        <v>79750863</v>
      </c>
      <c r="B849" s="11">
        <v>44616</v>
      </c>
      <c r="C849" s="13" t="s">
        <v>1468</v>
      </c>
      <c r="D849" s="13" t="s">
        <v>1469</v>
      </c>
      <c r="E849" s="8">
        <v>33889.81</v>
      </c>
      <c r="F849" s="13" t="s">
        <v>70</v>
      </c>
      <c r="G849" s="14">
        <v>44627</v>
      </c>
      <c r="H849" s="13" t="s">
        <v>9</v>
      </c>
    </row>
    <row r="850" spans="1:8" ht="14.4" x14ac:dyDescent="0.3">
      <c r="A850" s="8">
        <v>79750864</v>
      </c>
      <c r="B850" s="11">
        <v>44630</v>
      </c>
      <c r="C850" s="13" t="s">
        <v>44</v>
      </c>
      <c r="D850" s="13" t="s">
        <v>1470</v>
      </c>
      <c r="E850" s="8">
        <v>6310.68</v>
      </c>
      <c r="F850" s="13" t="s">
        <v>70</v>
      </c>
      <c r="G850" s="14">
        <v>44634</v>
      </c>
      <c r="H850" s="13" t="s">
        <v>9</v>
      </c>
    </row>
    <row r="851" spans="1:8" ht="14.4" x14ac:dyDescent="0.3">
      <c r="A851" s="8">
        <v>79750865</v>
      </c>
      <c r="B851" s="11">
        <v>44659</v>
      </c>
      <c r="C851" s="13" t="s">
        <v>275</v>
      </c>
      <c r="D851" s="13" t="s">
        <v>1471</v>
      </c>
      <c r="E851" s="8">
        <v>227448.79</v>
      </c>
      <c r="F851" s="13" t="s">
        <v>70</v>
      </c>
      <c r="G851" s="14">
        <v>44662</v>
      </c>
      <c r="H851" s="13" t="s">
        <v>9</v>
      </c>
    </row>
    <row r="852" spans="1:8" ht="14.4" x14ac:dyDescent="0.3">
      <c r="A852" s="8">
        <v>79750866</v>
      </c>
      <c r="B852" s="11">
        <v>44659</v>
      </c>
      <c r="C852" s="13" t="s">
        <v>1472</v>
      </c>
      <c r="D852" s="13" t="s">
        <v>1473</v>
      </c>
      <c r="E852" s="8">
        <v>18903.21</v>
      </c>
      <c r="F852" s="13" t="s">
        <v>70</v>
      </c>
      <c r="G852" s="14">
        <v>44663</v>
      </c>
      <c r="H852" s="13" t="s">
        <v>9</v>
      </c>
    </row>
    <row r="853" spans="1:8" ht="14.4" x14ac:dyDescent="0.3">
      <c r="A853" s="8">
        <v>79750867</v>
      </c>
      <c r="B853" s="11">
        <v>44659</v>
      </c>
      <c r="C853" s="13" t="s">
        <v>403</v>
      </c>
      <c r="D853" s="13" t="s">
        <v>1474</v>
      </c>
      <c r="E853" s="8">
        <v>32434.03</v>
      </c>
      <c r="F853" s="13" t="s">
        <v>70</v>
      </c>
      <c r="G853" s="14">
        <v>44662</v>
      </c>
      <c r="H853" s="13" t="s">
        <v>9</v>
      </c>
    </row>
    <row r="854" spans="1:8" ht="14.4" x14ac:dyDescent="0.3">
      <c r="A854" s="8">
        <v>79750868</v>
      </c>
      <c r="B854" s="11">
        <v>44659</v>
      </c>
      <c r="C854" s="13" t="s">
        <v>180</v>
      </c>
      <c r="D854" s="13" t="s">
        <v>181</v>
      </c>
      <c r="E854" s="8">
        <v>320509.05</v>
      </c>
      <c r="F854" s="13" t="s">
        <v>70</v>
      </c>
      <c r="G854" s="14">
        <v>44659</v>
      </c>
      <c r="H854" s="13" t="s">
        <v>9</v>
      </c>
    </row>
    <row r="855" spans="1:8" ht="14.4" x14ac:dyDescent="0.3">
      <c r="A855" s="8">
        <v>79750869</v>
      </c>
      <c r="B855" s="11">
        <v>44659</v>
      </c>
      <c r="C855" s="13" t="s">
        <v>1475</v>
      </c>
      <c r="D855" s="13" t="s">
        <v>1476</v>
      </c>
      <c r="E855" s="8">
        <v>66860</v>
      </c>
      <c r="F855" s="13" t="s">
        <v>70</v>
      </c>
      <c r="G855" s="14">
        <v>44663</v>
      </c>
      <c r="H855" s="13" t="s">
        <v>9</v>
      </c>
    </row>
    <row r="856" spans="1:8" ht="14.4" x14ac:dyDescent="0.3">
      <c r="A856" s="8">
        <v>79750870</v>
      </c>
      <c r="B856" s="11">
        <v>44659</v>
      </c>
      <c r="C856" s="13" t="s">
        <v>1475</v>
      </c>
      <c r="D856" s="13" t="s">
        <v>1477</v>
      </c>
      <c r="E856" s="8">
        <v>160266.20000000001</v>
      </c>
      <c r="F856" s="13" t="s">
        <v>70</v>
      </c>
      <c r="G856" s="14">
        <v>44663</v>
      </c>
      <c r="H856" s="13" t="s">
        <v>9</v>
      </c>
    </row>
    <row r="857" spans="1:8" ht="14.4" x14ac:dyDescent="0.3">
      <c r="A857" s="8">
        <v>79750871</v>
      </c>
      <c r="B857" s="11">
        <v>44659</v>
      </c>
      <c r="C857" s="13" t="s">
        <v>153</v>
      </c>
      <c r="D857" s="13" t="s">
        <v>1478</v>
      </c>
      <c r="E857" s="8">
        <v>59477.5</v>
      </c>
      <c r="F857" s="13" t="s">
        <v>70</v>
      </c>
      <c r="G857" s="14">
        <v>44663</v>
      </c>
      <c r="H857" s="13" t="s">
        <v>9</v>
      </c>
    </row>
    <row r="858" spans="1:8" ht="14.4" x14ac:dyDescent="0.3">
      <c r="A858" s="8">
        <v>79750872</v>
      </c>
      <c r="B858" s="11">
        <v>44659</v>
      </c>
      <c r="C858" s="13" t="s">
        <v>113</v>
      </c>
      <c r="D858" s="13" t="s">
        <v>1479</v>
      </c>
      <c r="E858" s="8">
        <v>20000</v>
      </c>
      <c r="F858" s="13" t="s">
        <v>70</v>
      </c>
      <c r="G858" s="14">
        <v>44673</v>
      </c>
      <c r="H858" s="13" t="s">
        <v>9</v>
      </c>
    </row>
    <row r="859" spans="1:8" ht="14.4" x14ac:dyDescent="0.3">
      <c r="A859" s="8">
        <v>79750873</v>
      </c>
      <c r="B859" s="11">
        <v>44659</v>
      </c>
      <c r="C859" s="13" t="s">
        <v>114</v>
      </c>
      <c r="D859" s="13" t="s">
        <v>1480</v>
      </c>
      <c r="E859" s="8">
        <v>10000</v>
      </c>
      <c r="F859" s="13" t="s">
        <v>70</v>
      </c>
      <c r="G859" s="14">
        <v>44673</v>
      </c>
      <c r="H859" s="13" t="s">
        <v>9</v>
      </c>
    </row>
    <row r="860" spans="1:8" ht="14.4" x14ac:dyDescent="0.3">
      <c r="A860" s="8">
        <v>79750874</v>
      </c>
      <c r="B860" s="11">
        <v>44659</v>
      </c>
      <c r="C860" s="13" t="s">
        <v>115</v>
      </c>
      <c r="D860" s="13" t="s">
        <v>1480</v>
      </c>
      <c r="E860" s="8">
        <v>5000</v>
      </c>
      <c r="F860" s="13" t="s">
        <v>70</v>
      </c>
      <c r="G860" s="14">
        <v>44676</v>
      </c>
      <c r="H860" s="13" t="s">
        <v>9</v>
      </c>
    </row>
    <row r="861" spans="1:8" ht="14.4" x14ac:dyDescent="0.3">
      <c r="A861" s="8">
        <v>79750875</v>
      </c>
      <c r="B861" s="11">
        <v>44659</v>
      </c>
      <c r="C861" s="13" t="s">
        <v>1481</v>
      </c>
      <c r="D861" s="13" t="s">
        <v>1480</v>
      </c>
      <c r="E861" s="8">
        <v>5000</v>
      </c>
      <c r="F861" s="13" t="s">
        <v>70</v>
      </c>
      <c r="G861" s="14">
        <v>44697</v>
      </c>
      <c r="H861" s="13" t="s">
        <v>9</v>
      </c>
    </row>
    <row r="862" spans="1:8" ht="14.4" x14ac:dyDescent="0.3">
      <c r="A862" s="8">
        <v>79750876</v>
      </c>
      <c r="B862" s="11">
        <v>44659</v>
      </c>
      <c r="C862" s="13" t="s">
        <v>117</v>
      </c>
      <c r="D862" s="13" t="s">
        <v>1480</v>
      </c>
      <c r="E862" s="8">
        <v>3000</v>
      </c>
      <c r="F862" s="13" t="s">
        <v>70</v>
      </c>
      <c r="G862" s="14">
        <v>44671</v>
      </c>
      <c r="H862" s="13" t="s">
        <v>9</v>
      </c>
    </row>
    <row r="863" spans="1:8" ht="14.4" x14ac:dyDescent="0.3">
      <c r="A863" s="8">
        <v>79750877</v>
      </c>
      <c r="B863" s="11">
        <v>44659</v>
      </c>
      <c r="C863" s="13" t="s">
        <v>75</v>
      </c>
      <c r="D863" s="13" t="s">
        <v>1480</v>
      </c>
      <c r="E863" s="8">
        <v>15000</v>
      </c>
      <c r="F863" s="13" t="s">
        <v>70</v>
      </c>
      <c r="G863" s="14">
        <v>44662</v>
      </c>
      <c r="H863" s="13" t="s">
        <v>9</v>
      </c>
    </row>
    <row r="864" spans="1:8" ht="14.4" x14ac:dyDescent="0.3">
      <c r="A864" s="8">
        <v>79750878</v>
      </c>
      <c r="B864" s="11">
        <v>44659</v>
      </c>
      <c r="C864" s="13" t="s">
        <v>77</v>
      </c>
      <c r="D864" s="13" t="s">
        <v>1480</v>
      </c>
      <c r="E864" s="8">
        <v>10000</v>
      </c>
      <c r="F864" s="13" t="s">
        <v>70</v>
      </c>
      <c r="G864" s="14">
        <v>44662</v>
      </c>
      <c r="H864" s="13" t="s">
        <v>9</v>
      </c>
    </row>
    <row r="865" spans="1:8" ht="14.4" x14ac:dyDescent="0.3">
      <c r="A865" s="8">
        <v>79750879</v>
      </c>
      <c r="B865" s="11">
        <v>44659</v>
      </c>
      <c r="C865" s="13" t="s">
        <v>78</v>
      </c>
      <c r="D865" s="13" t="s">
        <v>1480</v>
      </c>
      <c r="E865" s="8">
        <v>10000</v>
      </c>
      <c r="F865" s="13" t="s">
        <v>70</v>
      </c>
      <c r="G865" s="14">
        <v>44662</v>
      </c>
      <c r="H865" s="13" t="s">
        <v>9</v>
      </c>
    </row>
    <row r="866" spans="1:8" ht="14.4" x14ac:dyDescent="0.3">
      <c r="A866" s="8">
        <v>79750881</v>
      </c>
      <c r="B866" s="11">
        <v>44659</v>
      </c>
      <c r="C866" s="13" t="s">
        <v>1482</v>
      </c>
      <c r="D866" s="13" t="s">
        <v>1480</v>
      </c>
      <c r="E866" s="8">
        <v>10000</v>
      </c>
      <c r="F866" s="13" t="s">
        <v>70</v>
      </c>
      <c r="G866" s="14">
        <v>44662</v>
      </c>
      <c r="H866" s="13" t="s">
        <v>9</v>
      </c>
    </row>
    <row r="867" spans="1:8" ht="14.4" x14ac:dyDescent="0.3">
      <c r="A867" s="8">
        <v>79750882</v>
      </c>
      <c r="B867" s="11">
        <v>44662</v>
      </c>
      <c r="C867" s="13" t="s">
        <v>1483</v>
      </c>
      <c r="D867" s="13" t="s">
        <v>1484</v>
      </c>
      <c r="E867" s="8">
        <v>204576.27</v>
      </c>
      <c r="F867" s="13" t="s">
        <v>70</v>
      </c>
      <c r="G867" s="14">
        <v>44664</v>
      </c>
      <c r="H867" s="13" t="s">
        <v>9</v>
      </c>
    </row>
    <row r="868" spans="1:8" ht="14.4" x14ac:dyDescent="0.3">
      <c r="A868" s="8">
        <v>79750883</v>
      </c>
      <c r="B868" s="11">
        <v>44662</v>
      </c>
      <c r="C868" s="13" t="s">
        <v>530</v>
      </c>
      <c r="D868" s="13" t="s">
        <v>1485</v>
      </c>
      <c r="E868" s="8">
        <v>3000</v>
      </c>
      <c r="F868" s="13" t="s">
        <v>70</v>
      </c>
      <c r="G868" s="14">
        <v>44670</v>
      </c>
      <c r="H868" s="13" t="s">
        <v>9</v>
      </c>
    </row>
    <row r="869" spans="1:8" ht="14.4" x14ac:dyDescent="0.3">
      <c r="A869" s="8">
        <v>79750884</v>
      </c>
      <c r="B869" s="11">
        <v>44662</v>
      </c>
      <c r="C869" s="13" t="s">
        <v>567</v>
      </c>
      <c r="D869" s="13" t="s">
        <v>1480</v>
      </c>
      <c r="E869" s="8">
        <v>6000</v>
      </c>
      <c r="F869" s="13" t="s">
        <v>70</v>
      </c>
      <c r="G869" s="14">
        <v>44672</v>
      </c>
      <c r="H869" s="13" t="s">
        <v>9</v>
      </c>
    </row>
    <row r="870" spans="1:8" ht="14.4" x14ac:dyDescent="0.3">
      <c r="A870" s="8">
        <v>79750886</v>
      </c>
      <c r="B870" s="11">
        <v>44662</v>
      </c>
      <c r="C870" s="13" t="s">
        <v>606</v>
      </c>
      <c r="D870" s="13" t="s">
        <v>1485</v>
      </c>
      <c r="E870" s="8">
        <v>10000</v>
      </c>
      <c r="F870" s="13" t="s">
        <v>70</v>
      </c>
      <c r="G870" s="14">
        <v>44670</v>
      </c>
      <c r="H870" s="13" t="s">
        <v>9</v>
      </c>
    </row>
    <row r="871" spans="1:8" ht="14.4" x14ac:dyDescent="0.3">
      <c r="A871" s="8">
        <v>79750887</v>
      </c>
      <c r="B871" s="11">
        <v>44662</v>
      </c>
      <c r="C871" s="13" t="s">
        <v>528</v>
      </c>
      <c r="D871" s="13" t="s">
        <v>1485</v>
      </c>
      <c r="E871" s="8">
        <v>5000</v>
      </c>
      <c r="F871" s="13" t="s">
        <v>70</v>
      </c>
      <c r="G871" s="14">
        <v>44670</v>
      </c>
      <c r="H871" s="13" t="s">
        <v>9</v>
      </c>
    </row>
    <row r="872" spans="1:8" ht="14.4" x14ac:dyDescent="0.3">
      <c r="A872" s="8">
        <v>79750890</v>
      </c>
      <c r="B872" s="11">
        <v>44662</v>
      </c>
      <c r="C872" s="13" t="s">
        <v>1486</v>
      </c>
      <c r="D872" s="13" t="s">
        <v>1487</v>
      </c>
      <c r="E872" s="8">
        <v>17004.919999999998</v>
      </c>
      <c r="F872" s="13" t="s">
        <v>70</v>
      </c>
      <c r="G872" s="14">
        <v>44663</v>
      </c>
      <c r="H872" s="13" t="s">
        <v>9</v>
      </c>
    </row>
    <row r="873" spans="1:8" ht="14.4" x14ac:dyDescent="0.3">
      <c r="A873" s="8">
        <v>79750891</v>
      </c>
      <c r="B873" s="11">
        <v>44662</v>
      </c>
      <c r="C873" s="13" t="s">
        <v>1488</v>
      </c>
      <c r="D873" s="13" t="s">
        <v>1489</v>
      </c>
      <c r="E873" s="8">
        <v>15318.74</v>
      </c>
      <c r="F873" s="13" t="s">
        <v>70</v>
      </c>
      <c r="G873" s="14">
        <v>44663</v>
      </c>
      <c r="H873" s="13" t="s">
        <v>9</v>
      </c>
    </row>
    <row r="874" spans="1:8" ht="14.4" x14ac:dyDescent="0.3">
      <c r="A874" s="8">
        <v>79750892</v>
      </c>
      <c r="B874" s="11">
        <v>44662</v>
      </c>
      <c r="C874" s="13" t="s">
        <v>1490</v>
      </c>
      <c r="D874" s="13" t="s">
        <v>1489</v>
      </c>
      <c r="E874" s="8">
        <v>15318.74</v>
      </c>
      <c r="F874" s="13" t="s">
        <v>70</v>
      </c>
      <c r="G874" s="14">
        <v>44663</v>
      </c>
      <c r="H874" s="13" t="s">
        <v>9</v>
      </c>
    </row>
    <row r="875" spans="1:8" ht="14.4" x14ac:dyDescent="0.3">
      <c r="A875" s="8">
        <v>79750893</v>
      </c>
      <c r="B875" s="11">
        <v>44662</v>
      </c>
      <c r="C875" s="13" t="s">
        <v>1491</v>
      </c>
      <c r="D875" s="13" t="s">
        <v>1492</v>
      </c>
      <c r="E875" s="8">
        <v>166143.51</v>
      </c>
      <c r="F875" s="13" t="s">
        <v>70</v>
      </c>
      <c r="G875" s="14">
        <v>44670</v>
      </c>
      <c r="H875" s="13" t="s">
        <v>9</v>
      </c>
    </row>
    <row r="876" spans="1:8" ht="14.4" x14ac:dyDescent="0.3">
      <c r="A876" s="8">
        <v>79750894</v>
      </c>
      <c r="B876" s="11">
        <v>44662</v>
      </c>
      <c r="C876" s="13" t="s">
        <v>26</v>
      </c>
      <c r="D876" s="13" t="s">
        <v>1493</v>
      </c>
      <c r="E876" s="8">
        <v>14062.5</v>
      </c>
      <c r="F876" s="13" t="s">
        <v>70</v>
      </c>
      <c r="G876" s="14">
        <v>44672</v>
      </c>
      <c r="H876" s="13" t="s">
        <v>9</v>
      </c>
    </row>
    <row r="877" spans="1:8" ht="14.4" x14ac:dyDescent="0.3">
      <c r="A877" s="8">
        <v>79750895</v>
      </c>
      <c r="B877" s="11">
        <v>44662</v>
      </c>
      <c r="C877" s="13" t="s">
        <v>26</v>
      </c>
      <c r="D877" s="13" t="s">
        <v>1494</v>
      </c>
      <c r="E877" s="8">
        <v>75000</v>
      </c>
      <c r="F877" s="13" t="s">
        <v>70</v>
      </c>
      <c r="G877" s="14">
        <v>44672</v>
      </c>
      <c r="H877" s="13" t="s">
        <v>9</v>
      </c>
    </row>
    <row r="878" spans="1:8" ht="14.4" x14ac:dyDescent="0.3">
      <c r="A878" s="8">
        <v>79750896</v>
      </c>
      <c r="B878" s="11">
        <v>44662</v>
      </c>
      <c r="C878" s="13" t="s">
        <v>26</v>
      </c>
      <c r="D878" s="13" t="s">
        <v>1495</v>
      </c>
      <c r="E878" s="8">
        <v>71741.25</v>
      </c>
      <c r="F878" s="13" t="s">
        <v>70</v>
      </c>
      <c r="G878" s="14">
        <v>44672</v>
      </c>
      <c r="H878" s="13" t="s">
        <v>9</v>
      </c>
    </row>
    <row r="879" spans="1:8" ht="14.4" x14ac:dyDescent="0.3">
      <c r="A879" s="8">
        <v>79750897</v>
      </c>
      <c r="B879" s="11">
        <v>44662</v>
      </c>
      <c r="C879" s="13" t="s">
        <v>361</v>
      </c>
      <c r="D879" s="13" t="s">
        <v>1496</v>
      </c>
      <c r="E879" s="8">
        <v>6290.63</v>
      </c>
      <c r="F879" s="13" t="s">
        <v>70</v>
      </c>
      <c r="G879" s="14">
        <v>44671</v>
      </c>
      <c r="H879" s="13" t="s">
        <v>9</v>
      </c>
    </row>
    <row r="880" spans="1:8" ht="14.4" x14ac:dyDescent="0.3">
      <c r="A880" s="8">
        <v>79750898</v>
      </c>
      <c r="B880" s="11">
        <v>44662</v>
      </c>
      <c r="C880" s="13" t="s">
        <v>1497</v>
      </c>
      <c r="D880" s="13" t="s">
        <v>1498</v>
      </c>
      <c r="E880" s="8">
        <v>128870</v>
      </c>
      <c r="F880" s="13" t="s">
        <v>70</v>
      </c>
      <c r="G880" s="14">
        <v>44679</v>
      </c>
      <c r="H880" s="13" t="s">
        <v>9</v>
      </c>
    </row>
    <row r="881" spans="1:8" ht="14.4" x14ac:dyDescent="0.3">
      <c r="A881" s="8">
        <v>79750899</v>
      </c>
      <c r="B881" s="11">
        <v>44662</v>
      </c>
      <c r="C881" s="13" t="s">
        <v>1499</v>
      </c>
      <c r="D881" s="13" t="s">
        <v>1485</v>
      </c>
      <c r="E881" s="8">
        <v>20000</v>
      </c>
      <c r="F881" s="13" t="s">
        <v>70</v>
      </c>
      <c r="G881" s="14">
        <v>44670</v>
      </c>
      <c r="H881" s="13" t="s">
        <v>9</v>
      </c>
    </row>
    <row r="882" spans="1:8" ht="14.4" x14ac:dyDescent="0.3">
      <c r="A882" s="8">
        <v>79750900</v>
      </c>
      <c r="B882" s="11">
        <v>44662</v>
      </c>
      <c r="C882" s="13" t="s">
        <v>180</v>
      </c>
      <c r="D882" s="13" t="s">
        <v>901</v>
      </c>
      <c r="E882" s="8">
        <v>91957.98</v>
      </c>
      <c r="F882" s="13" t="s">
        <v>70</v>
      </c>
      <c r="G882" s="14">
        <v>44662</v>
      </c>
      <c r="H882" s="13" t="s">
        <v>9</v>
      </c>
    </row>
    <row r="883" spans="1:8" ht="14.4" x14ac:dyDescent="0.3">
      <c r="A883" s="8">
        <v>79750901</v>
      </c>
      <c r="B883" s="11">
        <v>44662</v>
      </c>
      <c r="C883" s="13" t="s">
        <v>1500</v>
      </c>
      <c r="D883" s="13" t="s">
        <v>1501</v>
      </c>
      <c r="E883" s="8">
        <v>6559.51</v>
      </c>
      <c r="F883" s="13" t="s">
        <v>70</v>
      </c>
      <c r="G883" s="14">
        <v>44663</v>
      </c>
      <c r="H883" s="13" t="s">
        <v>9</v>
      </c>
    </row>
    <row r="884" spans="1:8" ht="14.4" x14ac:dyDescent="0.3">
      <c r="A884" s="8">
        <v>79750902</v>
      </c>
      <c r="B884" s="11">
        <v>44662</v>
      </c>
      <c r="C884" s="13" t="s">
        <v>107</v>
      </c>
      <c r="D884" s="13" t="s">
        <v>1480</v>
      </c>
      <c r="E884" s="8">
        <v>6000</v>
      </c>
      <c r="F884" s="13" t="s">
        <v>70</v>
      </c>
      <c r="G884" s="14">
        <v>44669</v>
      </c>
      <c r="H884" s="13" t="s">
        <v>9</v>
      </c>
    </row>
    <row r="885" spans="1:8" ht="14.4" x14ac:dyDescent="0.3">
      <c r="A885" s="8">
        <v>79750903</v>
      </c>
      <c r="B885" s="11">
        <v>44662</v>
      </c>
      <c r="C885" s="13" t="s">
        <v>1502</v>
      </c>
      <c r="D885" s="13" t="s">
        <v>1503</v>
      </c>
      <c r="E885" s="8">
        <v>40714.550000000003</v>
      </c>
      <c r="F885" s="13" t="s">
        <v>70</v>
      </c>
      <c r="G885" s="14">
        <v>44671</v>
      </c>
      <c r="H885" s="13" t="s">
        <v>9</v>
      </c>
    </row>
    <row r="886" spans="1:8" ht="14.4" x14ac:dyDescent="0.3">
      <c r="A886" s="8">
        <v>79750904</v>
      </c>
      <c r="B886" s="11">
        <v>44662</v>
      </c>
      <c r="C886" s="13" t="s">
        <v>1504</v>
      </c>
      <c r="D886" s="13" t="s">
        <v>1505</v>
      </c>
      <c r="E886" s="8">
        <v>11230751.4</v>
      </c>
      <c r="F886" s="13" t="s">
        <v>70</v>
      </c>
      <c r="G886" s="14">
        <v>44664</v>
      </c>
      <c r="H886" s="13" t="s">
        <v>9</v>
      </c>
    </row>
    <row r="887" spans="1:8" ht="14.4" x14ac:dyDescent="0.3">
      <c r="A887" s="8">
        <v>79750905</v>
      </c>
      <c r="B887" s="11">
        <v>44662</v>
      </c>
      <c r="C887" s="13" t="s">
        <v>1504</v>
      </c>
      <c r="D887" s="13" t="s">
        <v>1506</v>
      </c>
      <c r="E887" s="8">
        <v>5759744.2400000002</v>
      </c>
      <c r="F887" s="13" t="s">
        <v>70</v>
      </c>
      <c r="G887" s="14">
        <v>44664</v>
      </c>
      <c r="H887" s="13" t="s">
        <v>9</v>
      </c>
    </row>
    <row r="888" spans="1:8" ht="14.4" x14ac:dyDescent="0.3">
      <c r="A888" s="8">
        <v>79750906</v>
      </c>
      <c r="B888" s="11">
        <v>44662</v>
      </c>
      <c r="C888" s="13" t="s">
        <v>1507</v>
      </c>
      <c r="D888" s="13" t="s">
        <v>1508</v>
      </c>
      <c r="E888" s="8">
        <v>9174</v>
      </c>
      <c r="F888" s="13" t="s">
        <v>70</v>
      </c>
      <c r="G888" s="14">
        <v>44664</v>
      </c>
      <c r="H888" s="13" t="s">
        <v>9</v>
      </c>
    </row>
    <row r="889" spans="1:8" ht="14.4" x14ac:dyDescent="0.3">
      <c r="A889" s="8">
        <v>79750907</v>
      </c>
      <c r="B889" s="11">
        <v>44662</v>
      </c>
      <c r="C889" s="13" t="s">
        <v>1509</v>
      </c>
      <c r="D889" s="13" t="s">
        <v>1508</v>
      </c>
      <c r="E889" s="8">
        <v>22519.5</v>
      </c>
      <c r="F889" s="13" t="s">
        <v>70</v>
      </c>
      <c r="G889" s="14">
        <v>44663</v>
      </c>
      <c r="H889" s="13" t="s">
        <v>9</v>
      </c>
    </row>
    <row r="890" spans="1:8" ht="14.4" x14ac:dyDescent="0.3">
      <c r="A890" s="8">
        <v>79750908</v>
      </c>
      <c r="B890" s="11">
        <v>44662</v>
      </c>
      <c r="C890" s="13" t="s">
        <v>1510</v>
      </c>
      <c r="D890" s="13" t="s">
        <v>1508</v>
      </c>
      <c r="E890" s="8">
        <v>6023.64</v>
      </c>
      <c r="F890" s="13" t="s">
        <v>70</v>
      </c>
      <c r="G890" s="14">
        <v>44663</v>
      </c>
      <c r="H890" s="13" t="s">
        <v>9</v>
      </c>
    </row>
    <row r="891" spans="1:8" ht="14.4" x14ac:dyDescent="0.3">
      <c r="A891" s="8">
        <v>79750909</v>
      </c>
      <c r="B891" s="11">
        <v>44662</v>
      </c>
      <c r="C891" s="13" t="s">
        <v>1511</v>
      </c>
      <c r="D891" s="13" t="s">
        <v>1508</v>
      </c>
      <c r="E891" s="8">
        <v>22912.6</v>
      </c>
      <c r="F891" s="13" t="s">
        <v>70</v>
      </c>
      <c r="G891" s="14">
        <v>44670</v>
      </c>
      <c r="H891" s="13" t="s">
        <v>9</v>
      </c>
    </row>
    <row r="892" spans="1:8" ht="14.4" x14ac:dyDescent="0.3">
      <c r="A892" s="8">
        <v>79750910</v>
      </c>
      <c r="B892" s="11">
        <v>44662</v>
      </c>
      <c r="C892" s="13" t="s">
        <v>96</v>
      </c>
      <c r="D892" s="13" t="s">
        <v>1508</v>
      </c>
      <c r="E892" s="8">
        <v>18806.939999999999</v>
      </c>
      <c r="F892" s="13" t="s">
        <v>70</v>
      </c>
      <c r="G892" s="14">
        <v>44673</v>
      </c>
      <c r="H892" s="13" t="s">
        <v>9</v>
      </c>
    </row>
    <row r="893" spans="1:8" ht="14.4" x14ac:dyDescent="0.3">
      <c r="A893" s="8">
        <v>79750911</v>
      </c>
      <c r="B893" s="11">
        <v>44662</v>
      </c>
      <c r="C893" s="13" t="s">
        <v>1512</v>
      </c>
      <c r="D893" s="13" t="s">
        <v>1508</v>
      </c>
      <c r="E893" s="8">
        <v>20488.68</v>
      </c>
      <c r="F893" s="13" t="s">
        <v>70</v>
      </c>
      <c r="G893" s="14">
        <v>44663</v>
      </c>
      <c r="H893" s="13" t="s">
        <v>9</v>
      </c>
    </row>
    <row r="894" spans="1:8" ht="14.4" x14ac:dyDescent="0.3">
      <c r="A894" s="8">
        <v>79750912</v>
      </c>
      <c r="B894" s="11">
        <v>44662</v>
      </c>
      <c r="C894" s="13" t="s">
        <v>1513</v>
      </c>
      <c r="D894" s="13" t="s">
        <v>1508</v>
      </c>
      <c r="E894" s="8">
        <v>20326.939999999999</v>
      </c>
      <c r="F894" s="13" t="s">
        <v>70</v>
      </c>
      <c r="G894" s="14">
        <v>44663</v>
      </c>
      <c r="H894" s="13" t="s">
        <v>9</v>
      </c>
    </row>
    <row r="895" spans="1:8" ht="14.4" x14ac:dyDescent="0.3">
      <c r="A895" s="8">
        <v>79750913</v>
      </c>
      <c r="B895" s="11">
        <v>44662</v>
      </c>
      <c r="C895" s="13" t="s">
        <v>1514</v>
      </c>
      <c r="D895" s="13" t="s">
        <v>1508</v>
      </c>
      <c r="E895" s="8">
        <v>20818.14</v>
      </c>
      <c r="F895" s="13" t="s">
        <v>70</v>
      </c>
      <c r="G895" s="14">
        <v>44664</v>
      </c>
      <c r="H895" s="13" t="s">
        <v>9</v>
      </c>
    </row>
    <row r="896" spans="1:8" ht="14.4" x14ac:dyDescent="0.3">
      <c r="A896" s="8">
        <v>79750914</v>
      </c>
      <c r="B896" s="11">
        <v>44662</v>
      </c>
      <c r="C896" s="13" t="s">
        <v>95</v>
      </c>
      <c r="D896" s="13" t="s">
        <v>1508</v>
      </c>
      <c r="E896" s="8">
        <v>22970.1</v>
      </c>
      <c r="F896" s="13" t="s">
        <v>70</v>
      </c>
      <c r="G896" s="14">
        <v>44671</v>
      </c>
      <c r="H896" s="13" t="s">
        <v>9</v>
      </c>
    </row>
    <row r="897" spans="1:8" ht="14.4" x14ac:dyDescent="0.3">
      <c r="A897" s="8">
        <v>79750915</v>
      </c>
      <c r="B897" s="11">
        <v>44662</v>
      </c>
      <c r="C897" s="13" t="s">
        <v>52</v>
      </c>
      <c r="D897" s="13" t="s">
        <v>1515</v>
      </c>
      <c r="E897" s="8">
        <v>41105.279999999999</v>
      </c>
      <c r="F897" s="13" t="s">
        <v>70</v>
      </c>
      <c r="G897" s="14">
        <v>44664</v>
      </c>
      <c r="H897" s="13" t="s">
        <v>9</v>
      </c>
    </row>
    <row r="898" spans="1:8" ht="14.4" x14ac:dyDescent="0.3">
      <c r="A898" s="8">
        <v>79750917</v>
      </c>
      <c r="B898" s="11">
        <v>44662</v>
      </c>
      <c r="C898" s="13" t="s">
        <v>1516</v>
      </c>
      <c r="D898" s="13" t="s">
        <v>1517</v>
      </c>
      <c r="E898" s="8">
        <v>7341.17</v>
      </c>
      <c r="F898" s="13" t="s">
        <v>70</v>
      </c>
      <c r="G898" s="14">
        <v>44670</v>
      </c>
      <c r="H898" s="13" t="s">
        <v>9</v>
      </c>
    </row>
    <row r="899" spans="1:8" ht="14.4" x14ac:dyDescent="0.3">
      <c r="A899" s="8">
        <v>79750918</v>
      </c>
      <c r="B899" s="11">
        <v>44662</v>
      </c>
      <c r="C899" s="13" t="s">
        <v>52</v>
      </c>
      <c r="D899" s="13" t="s">
        <v>1518</v>
      </c>
      <c r="E899" s="8">
        <v>31201.85</v>
      </c>
      <c r="F899" s="13" t="s">
        <v>70</v>
      </c>
      <c r="G899" s="14">
        <v>44664</v>
      </c>
      <c r="H899" s="13" t="s">
        <v>9</v>
      </c>
    </row>
    <row r="900" spans="1:8" ht="14.4" x14ac:dyDescent="0.3">
      <c r="A900" s="8">
        <v>79750919</v>
      </c>
      <c r="B900" s="11">
        <v>44662</v>
      </c>
      <c r="C900" s="13" t="s">
        <v>52</v>
      </c>
      <c r="D900" s="13" t="s">
        <v>1519</v>
      </c>
      <c r="E900" s="8">
        <v>31201.85</v>
      </c>
      <c r="F900" s="13" t="s">
        <v>70</v>
      </c>
      <c r="G900" s="14">
        <v>44664</v>
      </c>
      <c r="H900" s="13" t="s">
        <v>9</v>
      </c>
    </row>
    <row r="901" spans="1:8" ht="14.4" x14ac:dyDescent="0.3">
      <c r="A901" s="8">
        <v>79750920</v>
      </c>
      <c r="B901" s="11">
        <v>44662</v>
      </c>
      <c r="C901" s="13" t="s">
        <v>52</v>
      </c>
      <c r="D901" s="13" t="s">
        <v>1520</v>
      </c>
      <c r="E901" s="8">
        <v>40791.07</v>
      </c>
      <c r="F901" s="13" t="s">
        <v>70</v>
      </c>
      <c r="G901" s="14">
        <v>44664</v>
      </c>
      <c r="H901" s="13" t="s">
        <v>9</v>
      </c>
    </row>
    <row r="902" spans="1:8" ht="14.4" x14ac:dyDescent="0.3">
      <c r="A902" s="8">
        <v>79750921</v>
      </c>
      <c r="B902" s="11">
        <v>44662</v>
      </c>
      <c r="C902" s="13" t="s">
        <v>52</v>
      </c>
      <c r="D902" s="13" t="s">
        <v>1521</v>
      </c>
      <c r="E902" s="8">
        <v>26358.04</v>
      </c>
      <c r="F902" s="13" t="s">
        <v>70</v>
      </c>
      <c r="G902" s="14">
        <v>44664</v>
      </c>
      <c r="H902" s="13" t="s">
        <v>9</v>
      </c>
    </row>
    <row r="903" spans="1:8" ht="14.4" x14ac:dyDescent="0.3">
      <c r="A903" s="8">
        <v>79750922</v>
      </c>
      <c r="B903" s="11">
        <v>44662</v>
      </c>
      <c r="C903" s="13" t="s">
        <v>1522</v>
      </c>
      <c r="D903" s="13" t="s">
        <v>1523</v>
      </c>
      <c r="E903" s="8">
        <v>14550</v>
      </c>
      <c r="F903" s="13" t="s">
        <v>70</v>
      </c>
      <c r="G903" s="14">
        <v>44679</v>
      </c>
      <c r="H903" s="13" t="s">
        <v>9</v>
      </c>
    </row>
    <row r="904" spans="1:8" ht="14.4" x14ac:dyDescent="0.3">
      <c r="A904" s="8">
        <v>79750923</v>
      </c>
      <c r="B904" s="11">
        <v>44662</v>
      </c>
      <c r="C904" s="13" t="s">
        <v>1524</v>
      </c>
      <c r="D904" s="13" t="s">
        <v>1525</v>
      </c>
      <c r="E904" s="8">
        <v>371777.12</v>
      </c>
      <c r="F904" s="13" t="s">
        <v>70</v>
      </c>
      <c r="G904" s="14">
        <v>44672</v>
      </c>
      <c r="H904" s="13" t="s">
        <v>9</v>
      </c>
    </row>
    <row r="905" spans="1:8" ht="14.4" x14ac:dyDescent="0.3">
      <c r="A905" s="8">
        <v>79750924</v>
      </c>
      <c r="B905" s="11">
        <v>44662</v>
      </c>
      <c r="C905" s="13" t="s">
        <v>1286</v>
      </c>
      <c r="D905" s="13" t="s">
        <v>1526</v>
      </c>
      <c r="E905" s="8">
        <v>33878.11</v>
      </c>
      <c r="F905" s="13" t="s">
        <v>70</v>
      </c>
      <c r="G905" s="14">
        <v>44663</v>
      </c>
      <c r="H905" s="13" t="s">
        <v>9</v>
      </c>
    </row>
    <row r="906" spans="1:8" ht="14.4" x14ac:dyDescent="0.3">
      <c r="A906" s="8">
        <v>79750925</v>
      </c>
      <c r="B906" s="11">
        <v>44662</v>
      </c>
      <c r="C906" s="13" t="s">
        <v>180</v>
      </c>
      <c r="D906" s="13" t="s">
        <v>1527</v>
      </c>
      <c r="E906" s="8">
        <v>19080.740000000002</v>
      </c>
      <c r="F906" s="13" t="s">
        <v>70</v>
      </c>
      <c r="G906" s="14">
        <v>44663</v>
      </c>
      <c r="H906" s="13" t="s">
        <v>9</v>
      </c>
    </row>
    <row r="907" spans="1:8" ht="14.4" x14ac:dyDescent="0.3">
      <c r="A907" s="8">
        <v>79750926</v>
      </c>
      <c r="B907" s="11">
        <v>44662</v>
      </c>
      <c r="C907" s="13" t="s">
        <v>1528</v>
      </c>
      <c r="D907" s="13" t="s">
        <v>1529</v>
      </c>
      <c r="E907" s="8">
        <v>50529545.049999997</v>
      </c>
      <c r="F907" s="13" t="s">
        <v>70</v>
      </c>
      <c r="G907" s="14">
        <v>44664</v>
      </c>
      <c r="H907" s="13" t="s">
        <v>9</v>
      </c>
    </row>
    <row r="908" spans="1:8" ht="14.4" x14ac:dyDescent="0.3">
      <c r="A908" s="8">
        <v>79750927</v>
      </c>
      <c r="B908" s="11">
        <v>44662</v>
      </c>
      <c r="C908" s="13" t="s">
        <v>748</v>
      </c>
      <c r="D908" s="13" t="s">
        <v>1530</v>
      </c>
      <c r="E908" s="8">
        <v>936.56</v>
      </c>
      <c r="F908" s="13" t="s">
        <v>70</v>
      </c>
      <c r="G908" s="14">
        <v>44669</v>
      </c>
      <c r="H908" s="13" t="s">
        <v>9</v>
      </c>
    </row>
    <row r="909" spans="1:8" ht="14.4" x14ac:dyDescent="0.3">
      <c r="A909" s="8">
        <v>79750928</v>
      </c>
      <c r="B909" s="11">
        <v>44662</v>
      </c>
      <c r="C909" s="13" t="s">
        <v>1531</v>
      </c>
      <c r="D909" s="13" t="s">
        <v>1532</v>
      </c>
      <c r="E909" s="8">
        <v>3046.87</v>
      </c>
      <c r="F909" s="13" t="s">
        <v>70</v>
      </c>
      <c r="G909" s="14">
        <v>44669</v>
      </c>
      <c r="H909" s="13" t="s">
        <v>9</v>
      </c>
    </row>
    <row r="910" spans="1:8" ht="14.4" x14ac:dyDescent="0.3">
      <c r="A910" s="8">
        <v>79750929</v>
      </c>
      <c r="B910" s="11">
        <v>44662</v>
      </c>
      <c r="C910" s="13" t="s">
        <v>1533</v>
      </c>
      <c r="D910" s="13" t="s">
        <v>1534</v>
      </c>
      <c r="E910" s="8">
        <v>12000</v>
      </c>
      <c r="F910" s="13" t="s">
        <v>70</v>
      </c>
      <c r="G910" s="14">
        <v>44663</v>
      </c>
      <c r="H910" s="13" t="s">
        <v>9</v>
      </c>
    </row>
    <row r="911" spans="1:8" ht="14.4" x14ac:dyDescent="0.3">
      <c r="A911" s="8">
        <v>79750930</v>
      </c>
      <c r="B911" s="11">
        <v>44662</v>
      </c>
      <c r="C911" s="13" t="s">
        <v>988</v>
      </c>
      <c r="D911" s="13" t="s">
        <v>1535</v>
      </c>
      <c r="E911" s="8">
        <v>102900</v>
      </c>
      <c r="F911" s="13" t="s">
        <v>70</v>
      </c>
      <c r="G911" s="14">
        <v>44720</v>
      </c>
      <c r="H911" s="13" t="s">
        <v>9</v>
      </c>
    </row>
    <row r="912" spans="1:8" ht="14.4" x14ac:dyDescent="0.3">
      <c r="A912" s="8">
        <v>79750931</v>
      </c>
      <c r="B912" s="11">
        <v>44662</v>
      </c>
      <c r="C912" s="13" t="s">
        <v>1536</v>
      </c>
      <c r="D912" s="13" t="s">
        <v>1537</v>
      </c>
      <c r="E912" s="8">
        <v>20000</v>
      </c>
      <c r="F912" s="13" t="s">
        <v>70</v>
      </c>
      <c r="G912" s="14">
        <v>44663</v>
      </c>
      <c r="H912" s="13" t="s">
        <v>9</v>
      </c>
    </row>
    <row r="913" spans="1:8" ht="14.4" x14ac:dyDescent="0.3">
      <c r="A913" s="8">
        <v>79750932</v>
      </c>
      <c r="B913" s="11">
        <v>44662</v>
      </c>
      <c r="C913" s="13" t="s">
        <v>1538</v>
      </c>
      <c r="D913" s="13" t="s">
        <v>1539</v>
      </c>
      <c r="E913" s="8">
        <v>27795.09</v>
      </c>
      <c r="F913" s="13" t="s">
        <v>70</v>
      </c>
      <c r="G913" s="14">
        <v>44663</v>
      </c>
      <c r="H913" s="13" t="s">
        <v>9</v>
      </c>
    </row>
    <row r="914" spans="1:8" ht="14.4" x14ac:dyDescent="0.3">
      <c r="A914" s="8">
        <v>79750933</v>
      </c>
      <c r="B914" s="11">
        <v>44662</v>
      </c>
      <c r="C914" s="13" t="s">
        <v>1424</v>
      </c>
      <c r="D914" s="13" t="s">
        <v>1425</v>
      </c>
      <c r="E914" s="8">
        <v>44505.8</v>
      </c>
      <c r="F914" s="13" t="s">
        <v>70</v>
      </c>
      <c r="G914" s="14">
        <v>44678</v>
      </c>
      <c r="H914" s="13" t="s">
        <v>9</v>
      </c>
    </row>
    <row r="915" spans="1:8" ht="14.4" x14ac:dyDescent="0.3">
      <c r="A915" s="8">
        <v>79750935</v>
      </c>
      <c r="B915" s="11">
        <v>44662</v>
      </c>
      <c r="C915" s="13" t="s">
        <v>1540</v>
      </c>
      <c r="D915" s="13" t="s">
        <v>1541</v>
      </c>
      <c r="E915" s="8">
        <v>357375.22</v>
      </c>
      <c r="F915" s="13" t="s">
        <v>70</v>
      </c>
      <c r="G915" s="14">
        <v>44663</v>
      </c>
      <c r="H915" s="13" t="s">
        <v>9</v>
      </c>
    </row>
    <row r="916" spans="1:8" ht="14.4" x14ac:dyDescent="0.3">
      <c r="A916" s="8">
        <v>79750936</v>
      </c>
      <c r="B916" s="11">
        <v>44662</v>
      </c>
      <c r="C916" s="13" t="s">
        <v>1542</v>
      </c>
      <c r="D916" s="13" t="s">
        <v>1543</v>
      </c>
      <c r="E916" s="8">
        <v>74258.78</v>
      </c>
      <c r="F916" s="13" t="s">
        <v>70</v>
      </c>
      <c r="G916" s="14">
        <v>44676</v>
      </c>
      <c r="H916" s="13" t="s">
        <v>9</v>
      </c>
    </row>
    <row r="917" spans="1:8" ht="14.4" x14ac:dyDescent="0.3">
      <c r="A917" s="8">
        <v>79750937</v>
      </c>
      <c r="B917" s="11">
        <v>44662</v>
      </c>
      <c r="C917" s="13" t="s">
        <v>1286</v>
      </c>
      <c r="D917" s="13" t="s">
        <v>1544</v>
      </c>
      <c r="E917" s="8">
        <v>16563</v>
      </c>
      <c r="F917" s="13" t="s">
        <v>70</v>
      </c>
      <c r="G917" s="14">
        <v>44663</v>
      </c>
      <c r="H917" s="13" t="s">
        <v>9</v>
      </c>
    </row>
    <row r="918" spans="1:8" ht="14.4" x14ac:dyDescent="0.3">
      <c r="A918" s="8">
        <v>79750938</v>
      </c>
      <c r="B918" s="11">
        <v>44662</v>
      </c>
      <c r="C918" s="13" t="s">
        <v>1286</v>
      </c>
      <c r="D918" s="13" t="s">
        <v>1545</v>
      </c>
      <c r="E918" s="8">
        <v>63934.23</v>
      </c>
      <c r="F918" s="13" t="s">
        <v>70</v>
      </c>
      <c r="G918" s="14">
        <v>44663</v>
      </c>
      <c r="H918" s="13" t="s">
        <v>9</v>
      </c>
    </row>
    <row r="919" spans="1:8" ht="14.4" x14ac:dyDescent="0.3">
      <c r="A919" s="8">
        <v>79750939</v>
      </c>
      <c r="B919" s="11">
        <v>44662</v>
      </c>
      <c r="C919" s="13" t="s">
        <v>1286</v>
      </c>
      <c r="D919" s="13" t="s">
        <v>1546</v>
      </c>
      <c r="E919" s="8">
        <v>95490.69</v>
      </c>
      <c r="F919" s="13" t="s">
        <v>70</v>
      </c>
      <c r="G919" s="14">
        <v>44663</v>
      </c>
      <c r="H919" s="13" t="s">
        <v>9</v>
      </c>
    </row>
    <row r="920" spans="1:8" ht="14.4" x14ac:dyDescent="0.3">
      <c r="A920" s="8">
        <v>79750940</v>
      </c>
      <c r="B920" s="11">
        <v>44662</v>
      </c>
      <c r="C920" s="13" t="s">
        <v>1547</v>
      </c>
      <c r="D920" s="13" t="s">
        <v>1548</v>
      </c>
      <c r="E920" s="8">
        <v>143076.14000000001</v>
      </c>
      <c r="F920" s="13" t="s">
        <v>70</v>
      </c>
      <c r="G920" s="14">
        <v>44663</v>
      </c>
      <c r="H920" s="13" t="s">
        <v>9</v>
      </c>
    </row>
    <row r="921" spans="1:8" ht="14.4" x14ac:dyDescent="0.3">
      <c r="A921" s="8">
        <v>79750941</v>
      </c>
      <c r="B921" s="11">
        <v>44663</v>
      </c>
      <c r="C921" s="13" t="s">
        <v>188</v>
      </c>
      <c r="D921" s="13" t="s">
        <v>1549</v>
      </c>
      <c r="E921" s="8">
        <v>35400</v>
      </c>
      <c r="F921" s="13" t="s">
        <v>70</v>
      </c>
      <c r="G921" s="14">
        <v>44664</v>
      </c>
      <c r="H921" s="13" t="s">
        <v>9</v>
      </c>
    </row>
    <row r="922" spans="1:8" ht="14.4" x14ac:dyDescent="0.3">
      <c r="A922" s="8">
        <v>79750942</v>
      </c>
      <c r="B922" s="11">
        <v>44663</v>
      </c>
      <c r="C922" s="13" t="s">
        <v>188</v>
      </c>
      <c r="D922" s="13" t="s">
        <v>1549</v>
      </c>
      <c r="E922" s="8">
        <v>48072</v>
      </c>
      <c r="F922" s="13" t="s">
        <v>70</v>
      </c>
      <c r="G922" s="14">
        <v>44664</v>
      </c>
      <c r="H922" s="13" t="s">
        <v>9</v>
      </c>
    </row>
    <row r="923" spans="1:8" ht="14.4" x14ac:dyDescent="0.3">
      <c r="A923" s="8">
        <v>79750943</v>
      </c>
      <c r="B923" s="11">
        <v>44663</v>
      </c>
      <c r="C923" s="13" t="s">
        <v>1286</v>
      </c>
      <c r="D923" s="13" t="s">
        <v>1550</v>
      </c>
      <c r="E923" s="8">
        <v>246846.63</v>
      </c>
      <c r="F923" s="13" t="s">
        <v>70</v>
      </c>
      <c r="G923" s="14">
        <v>44663</v>
      </c>
      <c r="H923" s="13" t="s">
        <v>9</v>
      </c>
    </row>
    <row r="924" spans="1:8" ht="14.4" x14ac:dyDescent="0.3">
      <c r="A924" s="8">
        <v>79750944</v>
      </c>
      <c r="B924" s="11">
        <v>44663</v>
      </c>
      <c r="C924" s="13" t="s">
        <v>1551</v>
      </c>
      <c r="D924" s="13" t="s">
        <v>1480</v>
      </c>
      <c r="E924" s="8">
        <v>15000</v>
      </c>
      <c r="F924" s="13" t="s">
        <v>70</v>
      </c>
      <c r="G924" s="14">
        <v>44673</v>
      </c>
      <c r="H924" s="13" t="s">
        <v>9</v>
      </c>
    </row>
    <row r="925" spans="1:8" ht="14.4" x14ac:dyDescent="0.3">
      <c r="A925" s="8">
        <v>79750945</v>
      </c>
      <c r="B925" s="11">
        <v>44663</v>
      </c>
      <c r="C925" s="13" t="s">
        <v>402</v>
      </c>
      <c r="D925" s="13" t="s">
        <v>1480</v>
      </c>
      <c r="E925" s="8">
        <v>15000</v>
      </c>
      <c r="F925" s="13" t="s">
        <v>70</v>
      </c>
      <c r="G925" s="14">
        <v>44678</v>
      </c>
      <c r="H925" s="13" t="s">
        <v>9</v>
      </c>
    </row>
    <row r="926" spans="1:8" ht="14.4" x14ac:dyDescent="0.3">
      <c r="A926" s="8">
        <v>79750946</v>
      </c>
      <c r="B926" s="11">
        <v>44663</v>
      </c>
      <c r="C926" s="13" t="s">
        <v>1552</v>
      </c>
      <c r="D926" s="13" t="s">
        <v>1553</v>
      </c>
      <c r="E926" s="8">
        <v>15000</v>
      </c>
      <c r="F926" s="13" t="s">
        <v>70</v>
      </c>
      <c r="G926" s="14">
        <v>44677</v>
      </c>
      <c r="H926" s="13" t="s">
        <v>9</v>
      </c>
    </row>
    <row r="927" spans="1:8" ht="14.4" x14ac:dyDescent="0.3">
      <c r="A927" s="8">
        <v>79750947</v>
      </c>
      <c r="B927" s="11">
        <v>44663</v>
      </c>
      <c r="C927" s="13" t="s">
        <v>121</v>
      </c>
      <c r="D927" s="13" t="s">
        <v>1480</v>
      </c>
      <c r="E927" s="8">
        <v>15000</v>
      </c>
      <c r="F927" s="13" t="s">
        <v>70</v>
      </c>
      <c r="G927" s="14">
        <v>44677</v>
      </c>
      <c r="H927" s="13" t="s">
        <v>9</v>
      </c>
    </row>
    <row r="928" spans="1:8" ht="14.4" x14ac:dyDescent="0.3">
      <c r="A928" s="8">
        <v>79750948</v>
      </c>
      <c r="B928" s="11">
        <v>44663</v>
      </c>
      <c r="C928" s="13" t="s">
        <v>1554</v>
      </c>
      <c r="D928" s="13" t="s">
        <v>1480</v>
      </c>
      <c r="E928" s="8">
        <v>15000</v>
      </c>
      <c r="F928" s="13" t="s">
        <v>70</v>
      </c>
      <c r="G928" s="14">
        <v>44685</v>
      </c>
      <c r="H928" s="13" t="s">
        <v>9</v>
      </c>
    </row>
    <row r="929" spans="1:8" ht="14.4" x14ac:dyDescent="0.3">
      <c r="A929" s="8">
        <v>79750949</v>
      </c>
      <c r="B929" s="11">
        <v>44663</v>
      </c>
      <c r="C929" s="13" t="s">
        <v>399</v>
      </c>
      <c r="D929" s="13" t="s">
        <v>1555</v>
      </c>
      <c r="E929" s="8">
        <v>15000</v>
      </c>
      <c r="F929" s="13" t="s">
        <v>70</v>
      </c>
      <c r="G929" s="14">
        <v>44663</v>
      </c>
      <c r="H929" s="13" t="s">
        <v>9</v>
      </c>
    </row>
    <row r="930" spans="1:8" ht="14.4" x14ac:dyDescent="0.3">
      <c r="A930" s="8">
        <v>79750950</v>
      </c>
      <c r="B930" s="11">
        <v>44663</v>
      </c>
      <c r="C930" s="13" t="s">
        <v>120</v>
      </c>
      <c r="D930" s="13" t="s">
        <v>1480</v>
      </c>
      <c r="E930" s="8">
        <v>15000</v>
      </c>
      <c r="F930" s="13" t="s">
        <v>70</v>
      </c>
      <c r="G930" s="14">
        <v>44669</v>
      </c>
      <c r="H930" s="13" t="s">
        <v>9</v>
      </c>
    </row>
    <row r="931" spans="1:8" ht="14.4" x14ac:dyDescent="0.3">
      <c r="A931" s="8">
        <v>79750951</v>
      </c>
      <c r="B931" s="11">
        <v>44663</v>
      </c>
      <c r="C931" s="13" t="s">
        <v>400</v>
      </c>
      <c r="D931" s="13" t="s">
        <v>1556</v>
      </c>
      <c r="E931" s="8">
        <v>15000</v>
      </c>
      <c r="F931" s="13" t="s">
        <v>70</v>
      </c>
      <c r="G931" s="14">
        <v>44673</v>
      </c>
      <c r="H931" s="13" t="s">
        <v>9</v>
      </c>
    </row>
    <row r="932" spans="1:8" ht="14.4" x14ac:dyDescent="0.3">
      <c r="A932" s="8">
        <v>79750952</v>
      </c>
      <c r="B932" s="11">
        <v>44663</v>
      </c>
      <c r="C932" s="13" t="s">
        <v>1286</v>
      </c>
      <c r="D932" s="13" t="s">
        <v>1557</v>
      </c>
      <c r="E932" s="8">
        <v>99133.31</v>
      </c>
      <c r="F932" s="13" t="s">
        <v>70</v>
      </c>
      <c r="G932" s="14">
        <v>44672</v>
      </c>
      <c r="H932" s="13" t="s">
        <v>9</v>
      </c>
    </row>
    <row r="933" spans="1:8" ht="14.4" x14ac:dyDescent="0.3">
      <c r="A933" s="8">
        <v>79750953</v>
      </c>
      <c r="B933" s="11">
        <v>44663</v>
      </c>
      <c r="C933" s="13" t="s">
        <v>534</v>
      </c>
      <c r="D933" s="13" t="s">
        <v>1558</v>
      </c>
      <c r="E933" s="8">
        <v>20000</v>
      </c>
      <c r="F933" s="13" t="s">
        <v>70</v>
      </c>
      <c r="G933" s="14">
        <v>44669</v>
      </c>
      <c r="H933" s="13" t="s">
        <v>9</v>
      </c>
    </row>
    <row r="934" spans="1:8" ht="14.4" x14ac:dyDescent="0.3">
      <c r="A934" s="8">
        <v>79750954</v>
      </c>
      <c r="B934" s="11">
        <v>44663</v>
      </c>
      <c r="C934" s="13" t="s">
        <v>535</v>
      </c>
      <c r="D934" s="13" t="s">
        <v>1558</v>
      </c>
      <c r="E934" s="8">
        <v>10000</v>
      </c>
      <c r="F934" s="13" t="s">
        <v>70</v>
      </c>
      <c r="G934" s="14">
        <v>44669</v>
      </c>
      <c r="H934" s="13" t="s">
        <v>9</v>
      </c>
    </row>
    <row r="935" spans="1:8" ht="14.4" x14ac:dyDescent="0.3">
      <c r="A935" s="8">
        <v>79750955</v>
      </c>
      <c r="B935" s="11">
        <v>44663</v>
      </c>
      <c r="C935" s="13" t="s">
        <v>536</v>
      </c>
      <c r="D935" s="13" t="s">
        <v>1558</v>
      </c>
      <c r="E935" s="8">
        <v>5000</v>
      </c>
      <c r="F935" s="13" t="s">
        <v>70</v>
      </c>
      <c r="G935" s="14">
        <v>44669</v>
      </c>
      <c r="H935" s="13" t="s">
        <v>9</v>
      </c>
    </row>
    <row r="936" spans="1:8" ht="14.4" x14ac:dyDescent="0.3">
      <c r="A936" s="8">
        <v>79750956</v>
      </c>
      <c r="B936" s="11">
        <v>44663</v>
      </c>
      <c r="C936" s="13" t="s">
        <v>526</v>
      </c>
      <c r="D936" s="13" t="s">
        <v>1558</v>
      </c>
      <c r="E936" s="8">
        <v>3000</v>
      </c>
      <c r="F936" s="13" t="s">
        <v>70</v>
      </c>
      <c r="G936" s="14">
        <v>44669</v>
      </c>
      <c r="H936" s="13" t="s">
        <v>9</v>
      </c>
    </row>
    <row r="937" spans="1:8" ht="14.4" x14ac:dyDescent="0.3">
      <c r="A937" s="8">
        <v>79750957</v>
      </c>
      <c r="B937" s="11">
        <v>44663</v>
      </c>
      <c r="C937" s="13" t="s">
        <v>1559</v>
      </c>
      <c r="D937" s="13" t="s">
        <v>1560</v>
      </c>
      <c r="E937" s="8">
        <v>10000</v>
      </c>
      <c r="F937" s="13" t="s">
        <v>70</v>
      </c>
      <c r="G937" s="14">
        <v>44680</v>
      </c>
      <c r="H937" s="13" t="s">
        <v>9</v>
      </c>
    </row>
    <row r="938" spans="1:8" ht="14.4" x14ac:dyDescent="0.3">
      <c r="A938" s="8">
        <v>79750958</v>
      </c>
      <c r="B938" s="11">
        <v>44663</v>
      </c>
      <c r="C938" s="13" t="s">
        <v>547</v>
      </c>
      <c r="D938" s="13" t="s">
        <v>1561</v>
      </c>
      <c r="E938" s="8">
        <v>3000</v>
      </c>
      <c r="F938" s="13" t="s">
        <v>70</v>
      </c>
      <c r="G938" s="14">
        <v>44680</v>
      </c>
      <c r="H938" s="13" t="s">
        <v>9</v>
      </c>
    </row>
    <row r="939" spans="1:8" ht="14.4" x14ac:dyDescent="0.3">
      <c r="A939" s="8">
        <v>79750959</v>
      </c>
      <c r="B939" s="11">
        <v>44663</v>
      </c>
      <c r="C939" s="13" t="s">
        <v>548</v>
      </c>
      <c r="D939" s="13" t="s">
        <v>1562</v>
      </c>
      <c r="E939" s="8">
        <v>3000</v>
      </c>
      <c r="F939" s="13" t="s">
        <v>70</v>
      </c>
      <c r="G939" s="14">
        <v>44680</v>
      </c>
      <c r="H939" s="13" t="s">
        <v>9</v>
      </c>
    </row>
    <row r="940" spans="1:8" ht="14.4" x14ac:dyDescent="0.3">
      <c r="A940" s="8">
        <v>79750960</v>
      </c>
      <c r="B940" s="11">
        <v>44663</v>
      </c>
      <c r="C940" s="13" t="s">
        <v>549</v>
      </c>
      <c r="D940" s="13" t="s">
        <v>1562</v>
      </c>
      <c r="E940" s="8">
        <v>3000</v>
      </c>
      <c r="F940" s="13" t="s">
        <v>70</v>
      </c>
      <c r="G940" s="14">
        <v>44680</v>
      </c>
      <c r="H940" s="13" t="s">
        <v>9</v>
      </c>
    </row>
    <row r="941" spans="1:8" ht="14.4" x14ac:dyDescent="0.3">
      <c r="A941" s="8">
        <v>79750961</v>
      </c>
      <c r="B941" s="11">
        <v>44663</v>
      </c>
      <c r="C941" s="13" t="s">
        <v>550</v>
      </c>
      <c r="D941" s="13" t="s">
        <v>1562</v>
      </c>
      <c r="E941" s="8">
        <v>3000</v>
      </c>
      <c r="F941" s="13" t="s">
        <v>70</v>
      </c>
      <c r="G941" s="14">
        <v>44680</v>
      </c>
      <c r="H941" s="13" t="s">
        <v>9</v>
      </c>
    </row>
    <row r="942" spans="1:8" ht="14.4" x14ac:dyDescent="0.3">
      <c r="A942" s="8">
        <v>79750962</v>
      </c>
      <c r="B942" s="11">
        <v>44663</v>
      </c>
      <c r="C942" s="13" t="s">
        <v>1563</v>
      </c>
      <c r="D942" s="13" t="s">
        <v>1562</v>
      </c>
      <c r="E942" s="8">
        <v>3000</v>
      </c>
      <c r="F942" s="13" t="s">
        <v>70</v>
      </c>
      <c r="G942" s="14">
        <v>44680</v>
      </c>
      <c r="H942" s="13" t="s">
        <v>9</v>
      </c>
    </row>
    <row r="943" spans="1:8" ht="14.4" x14ac:dyDescent="0.3">
      <c r="A943" s="8">
        <v>79750963</v>
      </c>
      <c r="B943" s="11">
        <v>44663</v>
      </c>
      <c r="C943" s="13" t="s">
        <v>553</v>
      </c>
      <c r="D943" s="13" t="s">
        <v>1562</v>
      </c>
      <c r="E943" s="8">
        <v>3000</v>
      </c>
      <c r="F943" s="13" t="s">
        <v>70</v>
      </c>
      <c r="G943" s="14">
        <v>44680</v>
      </c>
      <c r="H943" s="13" t="s">
        <v>9</v>
      </c>
    </row>
    <row r="944" spans="1:8" ht="14.4" x14ac:dyDescent="0.3">
      <c r="A944" s="8">
        <v>79750964</v>
      </c>
      <c r="B944" s="11">
        <v>44663</v>
      </c>
      <c r="C944" s="13" t="s">
        <v>554</v>
      </c>
      <c r="D944" s="13" t="s">
        <v>1562</v>
      </c>
      <c r="E944" s="8">
        <v>3000</v>
      </c>
      <c r="F944" s="13" t="s">
        <v>70</v>
      </c>
      <c r="G944" s="14">
        <v>44680</v>
      </c>
      <c r="H944" s="13" t="s">
        <v>9</v>
      </c>
    </row>
    <row r="945" spans="1:8" ht="14.4" x14ac:dyDescent="0.3">
      <c r="A945" s="8">
        <v>79750965</v>
      </c>
      <c r="B945" s="11">
        <v>44663</v>
      </c>
      <c r="C945" s="13" t="s">
        <v>555</v>
      </c>
      <c r="D945" s="13" t="s">
        <v>1562</v>
      </c>
      <c r="E945" s="8">
        <v>3000</v>
      </c>
      <c r="F945" s="13" t="s">
        <v>70</v>
      </c>
      <c r="G945" s="14">
        <v>44680</v>
      </c>
      <c r="H945" s="13" t="s">
        <v>9</v>
      </c>
    </row>
    <row r="946" spans="1:8" ht="14.4" x14ac:dyDescent="0.3">
      <c r="A946" s="8">
        <v>79750966</v>
      </c>
      <c r="B946" s="11">
        <v>44663</v>
      </c>
      <c r="C946" s="13" t="s">
        <v>556</v>
      </c>
      <c r="D946" s="13" t="s">
        <v>1562</v>
      </c>
      <c r="E946" s="8">
        <v>3000</v>
      </c>
      <c r="F946" s="13" t="s">
        <v>70</v>
      </c>
      <c r="G946" s="14">
        <v>44680</v>
      </c>
      <c r="H946" s="13" t="s">
        <v>9</v>
      </c>
    </row>
    <row r="947" spans="1:8" ht="14.4" x14ac:dyDescent="0.3">
      <c r="A947" s="8">
        <v>79750967</v>
      </c>
      <c r="B947" s="11">
        <v>44663</v>
      </c>
      <c r="C947" s="13" t="s">
        <v>557</v>
      </c>
      <c r="D947" s="13" t="s">
        <v>1562</v>
      </c>
      <c r="E947" s="8">
        <v>3000</v>
      </c>
      <c r="F947" s="13" t="s">
        <v>70</v>
      </c>
      <c r="G947" s="14">
        <v>44680</v>
      </c>
      <c r="H947" s="13" t="s">
        <v>9</v>
      </c>
    </row>
    <row r="948" spans="1:8" ht="14.4" x14ac:dyDescent="0.3">
      <c r="A948" s="8">
        <v>79750968</v>
      </c>
      <c r="B948" s="11">
        <v>44663</v>
      </c>
      <c r="C948" s="13" t="s">
        <v>558</v>
      </c>
      <c r="D948" s="13" t="s">
        <v>1562</v>
      </c>
      <c r="E948" s="8">
        <v>3000</v>
      </c>
      <c r="F948" s="13" t="s">
        <v>70</v>
      </c>
      <c r="G948" s="14">
        <v>44680</v>
      </c>
      <c r="H948" s="13" t="s">
        <v>9</v>
      </c>
    </row>
    <row r="949" spans="1:8" ht="14.4" x14ac:dyDescent="0.3">
      <c r="A949" s="8">
        <v>79750969</v>
      </c>
      <c r="B949" s="11">
        <v>44663</v>
      </c>
      <c r="C949" s="13" t="s">
        <v>559</v>
      </c>
      <c r="D949" s="13" t="s">
        <v>1562</v>
      </c>
      <c r="E949" s="8">
        <v>3000</v>
      </c>
      <c r="F949" s="13" t="s">
        <v>70</v>
      </c>
      <c r="G949" s="14">
        <v>44680</v>
      </c>
      <c r="H949" s="13" t="s">
        <v>9</v>
      </c>
    </row>
    <row r="950" spans="1:8" ht="14.4" x14ac:dyDescent="0.3">
      <c r="A950" s="8">
        <v>79750970</v>
      </c>
      <c r="B950" s="11">
        <v>44663</v>
      </c>
      <c r="C950" s="13" t="s">
        <v>562</v>
      </c>
      <c r="D950" s="13" t="s">
        <v>1480</v>
      </c>
      <c r="E950" s="8">
        <v>6000</v>
      </c>
      <c r="F950" s="13" t="s">
        <v>70</v>
      </c>
      <c r="G950" s="14">
        <v>44669</v>
      </c>
      <c r="H950" s="13" t="s">
        <v>9</v>
      </c>
    </row>
    <row r="951" spans="1:8" ht="14.4" x14ac:dyDescent="0.3">
      <c r="A951" s="8">
        <v>79750971</v>
      </c>
      <c r="B951" s="11">
        <v>44664</v>
      </c>
      <c r="C951" s="13" t="s">
        <v>275</v>
      </c>
      <c r="D951" s="13" t="s">
        <v>1089</v>
      </c>
      <c r="E951" s="8">
        <v>194411</v>
      </c>
      <c r="F951" s="13" t="s">
        <v>70</v>
      </c>
      <c r="G951" s="14">
        <v>44664</v>
      </c>
      <c r="H951" s="13" t="s">
        <v>9</v>
      </c>
    </row>
    <row r="952" spans="1:8" ht="14.4" x14ac:dyDescent="0.3">
      <c r="A952" s="8">
        <v>79750972</v>
      </c>
      <c r="B952" s="11">
        <v>44664</v>
      </c>
      <c r="C952" s="13" t="s">
        <v>1564</v>
      </c>
      <c r="D952" s="13" t="s">
        <v>1565</v>
      </c>
      <c r="E952" s="8">
        <v>3500</v>
      </c>
      <c r="F952" s="13" t="s">
        <v>70</v>
      </c>
      <c r="G952" s="14">
        <v>44671</v>
      </c>
      <c r="H952" s="13" t="s">
        <v>9</v>
      </c>
    </row>
    <row r="953" spans="1:8" ht="14.4" x14ac:dyDescent="0.3">
      <c r="A953" s="8">
        <v>79750973</v>
      </c>
      <c r="B953" s="11">
        <v>44664</v>
      </c>
      <c r="C953" s="13" t="s">
        <v>1566</v>
      </c>
      <c r="D953" s="13" t="s">
        <v>1567</v>
      </c>
      <c r="E953" s="8">
        <v>8000</v>
      </c>
      <c r="F953" s="13" t="s">
        <v>70</v>
      </c>
      <c r="G953" s="14">
        <v>44671</v>
      </c>
      <c r="H953" s="13" t="s">
        <v>9</v>
      </c>
    </row>
    <row r="954" spans="1:8" ht="14.4" x14ac:dyDescent="0.3">
      <c r="A954" s="8">
        <v>79750974</v>
      </c>
      <c r="B954" s="11">
        <v>44664</v>
      </c>
      <c r="C954" s="13" t="s">
        <v>265</v>
      </c>
      <c r="D954" s="13" t="s">
        <v>1568</v>
      </c>
      <c r="E954" s="8">
        <v>73096</v>
      </c>
      <c r="F954" s="13" t="s">
        <v>70</v>
      </c>
      <c r="G954" s="14">
        <v>44669</v>
      </c>
      <c r="H954" s="13" t="s">
        <v>9</v>
      </c>
    </row>
    <row r="955" spans="1:8" ht="14.4" x14ac:dyDescent="0.3">
      <c r="A955" s="8">
        <v>79750975</v>
      </c>
      <c r="B955" s="11">
        <v>44664</v>
      </c>
      <c r="C955" s="13" t="s">
        <v>1569</v>
      </c>
      <c r="D955" s="13" t="s">
        <v>1570</v>
      </c>
      <c r="E955" s="8">
        <v>24239.63</v>
      </c>
      <c r="F955" s="13" t="s">
        <v>70</v>
      </c>
      <c r="G955" s="14">
        <v>44698</v>
      </c>
      <c r="H955" s="13" t="s">
        <v>9</v>
      </c>
    </row>
    <row r="956" spans="1:8" ht="14.4" x14ac:dyDescent="0.3">
      <c r="A956" s="8">
        <v>79750976</v>
      </c>
      <c r="B956" s="11">
        <v>44664</v>
      </c>
      <c r="C956" s="13" t="s">
        <v>395</v>
      </c>
      <c r="D956" s="13" t="s">
        <v>1571</v>
      </c>
      <c r="E956" s="8">
        <v>29363</v>
      </c>
      <c r="F956" s="13" t="s">
        <v>70</v>
      </c>
      <c r="G956" s="14">
        <v>44669</v>
      </c>
      <c r="H956" s="13" t="s">
        <v>9</v>
      </c>
    </row>
    <row r="957" spans="1:8" ht="14.4" x14ac:dyDescent="0.3">
      <c r="A957" s="8">
        <v>79750977</v>
      </c>
      <c r="B957" s="11">
        <v>44664</v>
      </c>
      <c r="C957" s="13" t="s">
        <v>265</v>
      </c>
      <c r="D957" s="13" t="s">
        <v>1572</v>
      </c>
      <c r="E957" s="8">
        <v>161260.5</v>
      </c>
      <c r="F957" s="13" t="s">
        <v>70</v>
      </c>
      <c r="G957" s="14">
        <v>44669</v>
      </c>
      <c r="H957" s="13" t="s">
        <v>9</v>
      </c>
    </row>
    <row r="958" spans="1:8" ht="14.4" x14ac:dyDescent="0.3">
      <c r="A958" s="8">
        <v>79750978</v>
      </c>
      <c r="B958" s="11">
        <v>44664</v>
      </c>
      <c r="C958" s="13" t="s">
        <v>1573</v>
      </c>
      <c r="D958" s="13" t="s">
        <v>1574</v>
      </c>
      <c r="E958" s="8">
        <v>15000</v>
      </c>
      <c r="F958" s="13" t="s">
        <v>70</v>
      </c>
      <c r="G958" s="14">
        <v>44669</v>
      </c>
      <c r="H958" s="13" t="s">
        <v>9</v>
      </c>
    </row>
    <row r="959" spans="1:8" ht="14.4" x14ac:dyDescent="0.3">
      <c r="A959" s="8">
        <v>79750979</v>
      </c>
      <c r="B959" s="11">
        <v>44664</v>
      </c>
      <c r="C959" s="13" t="s">
        <v>180</v>
      </c>
      <c r="D959" s="13" t="s">
        <v>33</v>
      </c>
      <c r="E959" s="8">
        <v>86126.12</v>
      </c>
      <c r="F959" s="13" t="s">
        <v>70</v>
      </c>
      <c r="G959" s="14">
        <v>44669</v>
      </c>
      <c r="H959" s="13" t="s">
        <v>9</v>
      </c>
    </row>
    <row r="960" spans="1:8" ht="14.4" x14ac:dyDescent="0.3">
      <c r="A960" s="8">
        <v>79750980</v>
      </c>
      <c r="B960" s="11">
        <v>44669</v>
      </c>
      <c r="C960" s="13" t="s">
        <v>880</v>
      </c>
      <c r="D960" s="13" t="s">
        <v>1575</v>
      </c>
      <c r="E960" s="8">
        <v>20000</v>
      </c>
      <c r="F960" s="13" t="s">
        <v>70</v>
      </c>
      <c r="G960" s="14">
        <v>44672</v>
      </c>
      <c r="H960" s="13" t="s">
        <v>9</v>
      </c>
    </row>
    <row r="961" spans="1:8" ht="14.4" x14ac:dyDescent="0.3">
      <c r="A961" s="8">
        <v>79750981</v>
      </c>
      <c r="B961" s="11">
        <v>44670</v>
      </c>
      <c r="C961" s="13" t="s">
        <v>1386</v>
      </c>
      <c r="D961" s="13" t="s">
        <v>1576</v>
      </c>
      <c r="E961" s="8">
        <v>20000</v>
      </c>
      <c r="F961" s="13" t="s">
        <v>70</v>
      </c>
      <c r="G961" s="14">
        <v>44671</v>
      </c>
      <c r="H961" s="13" t="s">
        <v>9</v>
      </c>
    </row>
    <row r="962" spans="1:8" ht="14.4" x14ac:dyDescent="0.3">
      <c r="A962" s="8">
        <v>79750982</v>
      </c>
      <c r="B962" s="11">
        <v>44671</v>
      </c>
      <c r="C962" s="13" t="s">
        <v>155</v>
      </c>
      <c r="D962" s="13" t="s">
        <v>1577</v>
      </c>
      <c r="E962" s="8">
        <v>20000</v>
      </c>
      <c r="F962" s="13" t="s">
        <v>70</v>
      </c>
      <c r="G962" s="14">
        <v>44672</v>
      </c>
      <c r="H962" s="13" t="s">
        <v>9</v>
      </c>
    </row>
    <row r="963" spans="1:8" ht="14.4" x14ac:dyDescent="0.3">
      <c r="A963" s="8">
        <v>79750983</v>
      </c>
      <c r="B963" s="11">
        <v>44671</v>
      </c>
      <c r="C963" s="13" t="s">
        <v>1578</v>
      </c>
      <c r="D963" s="13" t="s">
        <v>1579</v>
      </c>
      <c r="E963" s="8">
        <v>16530.02</v>
      </c>
      <c r="F963" s="13" t="s">
        <v>70</v>
      </c>
      <c r="G963" s="14">
        <v>44672</v>
      </c>
      <c r="H963" s="13" t="s">
        <v>9</v>
      </c>
    </row>
    <row r="964" spans="1:8" ht="14.4" x14ac:dyDescent="0.3">
      <c r="A964" s="8">
        <v>79750984</v>
      </c>
      <c r="B964" s="11">
        <v>44671</v>
      </c>
      <c r="C964" s="13" t="s">
        <v>186</v>
      </c>
      <c r="D964" s="13" t="s">
        <v>1580</v>
      </c>
      <c r="E964" s="8">
        <v>1656</v>
      </c>
      <c r="F964" s="13" t="s">
        <v>70</v>
      </c>
      <c r="G964" s="14">
        <v>44673</v>
      </c>
      <c r="H964" s="13" t="s">
        <v>9</v>
      </c>
    </row>
    <row r="965" spans="1:8" ht="14.4" x14ac:dyDescent="0.3">
      <c r="A965" s="8">
        <v>79750985</v>
      </c>
      <c r="B965" s="11">
        <v>44672</v>
      </c>
      <c r="C965" s="13" t="s">
        <v>1581</v>
      </c>
      <c r="D965" s="13" t="s">
        <v>1582</v>
      </c>
      <c r="E965" s="8">
        <v>20442.849999999999</v>
      </c>
      <c r="F965" s="13" t="s">
        <v>70</v>
      </c>
      <c r="G965" s="14">
        <v>44673</v>
      </c>
      <c r="H965" s="13" t="s">
        <v>9</v>
      </c>
    </row>
    <row r="966" spans="1:8" ht="14.4" x14ac:dyDescent="0.3">
      <c r="A966" s="8">
        <v>79750986</v>
      </c>
      <c r="B966" s="11">
        <v>44672</v>
      </c>
      <c r="C966" s="13" t="s">
        <v>1581</v>
      </c>
      <c r="D966" s="13" t="s">
        <v>1583</v>
      </c>
      <c r="E966" s="8">
        <v>20442.849999999999</v>
      </c>
      <c r="F966" s="13" t="s">
        <v>70</v>
      </c>
      <c r="G966" s="14">
        <v>44673</v>
      </c>
      <c r="H966" s="13" t="s">
        <v>9</v>
      </c>
    </row>
    <row r="967" spans="1:8" ht="14.4" x14ac:dyDescent="0.3">
      <c r="A967" s="8">
        <v>79750987</v>
      </c>
      <c r="B967" s="11">
        <v>44672</v>
      </c>
      <c r="C967" s="13" t="s">
        <v>1584</v>
      </c>
      <c r="D967" s="13" t="s">
        <v>1585</v>
      </c>
      <c r="E967" s="8">
        <v>10174.11</v>
      </c>
      <c r="F967" s="13" t="s">
        <v>70</v>
      </c>
      <c r="G967" s="14">
        <v>44678</v>
      </c>
      <c r="H967" s="13" t="s">
        <v>9</v>
      </c>
    </row>
    <row r="968" spans="1:8" ht="14.4" x14ac:dyDescent="0.3">
      <c r="A968" s="8">
        <v>79750988</v>
      </c>
      <c r="B968" s="11">
        <v>44672</v>
      </c>
      <c r="C968" s="13" t="s">
        <v>259</v>
      </c>
      <c r="D968" s="13" t="s">
        <v>1586</v>
      </c>
      <c r="E968" s="8">
        <v>46375</v>
      </c>
      <c r="F968" s="13" t="s">
        <v>70</v>
      </c>
      <c r="G968" s="14">
        <v>44676</v>
      </c>
      <c r="H968" s="13" t="s">
        <v>9</v>
      </c>
    </row>
    <row r="969" spans="1:8" ht="14.4" x14ac:dyDescent="0.3">
      <c r="A969" s="8">
        <v>79750989</v>
      </c>
      <c r="B969" s="11">
        <v>44672</v>
      </c>
      <c r="C969" s="13" t="s">
        <v>1587</v>
      </c>
      <c r="D969" s="13" t="s">
        <v>1588</v>
      </c>
      <c r="E969" s="8">
        <v>6625</v>
      </c>
      <c r="F969" s="13" t="s">
        <v>70</v>
      </c>
      <c r="G969" s="14">
        <v>44680</v>
      </c>
      <c r="H969" s="13" t="s">
        <v>9</v>
      </c>
    </row>
    <row r="970" spans="1:8" ht="14.4" x14ac:dyDescent="0.3">
      <c r="A970" s="8">
        <v>79750990</v>
      </c>
      <c r="B970" s="11">
        <v>44672</v>
      </c>
      <c r="C970" s="13" t="s">
        <v>1581</v>
      </c>
      <c r="D970" s="13" t="s">
        <v>1589</v>
      </c>
      <c r="E970" s="8">
        <v>16657.150000000001</v>
      </c>
      <c r="F970" s="13" t="s">
        <v>70</v>
      </c>
      <c r="G970" s="14">
        <v>44673</v>
      </c>
      <c r="H970" s="13" t="s">
        <v>9</v>
      </c>
    </row>
    <row r="971" spans="1:8" ht="14.4" x14ac:dyDescent="0.3">
      <c r="A971" s="8">
        <v>79750991</v>
      </c>
      <c r="B971" s="11">
        <v>44673</v>
      </c>
      <c r="C971" s="13" t="s">
        <v>775</v>
      </c>
      <c r="D971" s="13" t="s">
        <v>1590</v>
      </c>
      <c r="E971" s="8">
        <v>30000</v>
      </c>
      <c r="F971" s="13" t="s">
        <v>70</v>
      </c>
      <c r="G971" s="14">
        <v>44679</v>
      </c>
      <c r="H971" s="13" t="s">
        <v>9</v>
      </c>
    </row>
    <row r="972" spans="1:8" ht="14.4" x14ac:dyDescent="0.3">
      <c r="A972" s="8">
        <v>79750992</v>
      </c>
      <c r="B972" s="11">
        <v>44673</v>
      </c>
      <c r="C972" s="13" t="s">
        <v>282</v>
      </c>
      <c r="D972" s="13" t="s">
        <v>1591</v>
      </c>
      <c r="E972" s="8">
        <v>20000</v>
      </c>
      <c r="F972" s="13" t="s">
        <v>70</v>
      </c>
      <c r="G972" s="14">
        <v>44676</v>
      </c>
      <c r="H972" s="13" t="s">
        <v>9</v>
      </c>
    </row>
    <row r="973" spans="1:8" ht="14.4" x14ac:dyDescent="0.3">
      <c r="A973" s="8">
        <v>79750993</v>
      </c>
      <c r="B973" s="11">
        <v>44673</v>
      </c>
      <c r="C973" s="13" t="s">
        <v>1592</v>
      </c>
      <c r="D973" s="13" t="s">
        <v>1593</v>
      </c>
      <c r="E973" s="8">
        <v>20000</v>
      </c>
      <c r="F973" s="13" t="s">
        <v>70</v>
      </c>
      <c r="G973" s="14">
        <v>44676</v>
      </c>
      <c r="H973" s="13" t="s">
        <v>9</v>
      </c>
    </row>
    <row r="974" spans="1:8" ht="14.4" x14ac:dyDescent="0.3">
      <c r="A974" s="8">
        <v>79750994</v>
      </c>
      <c r="B974" s="11">
        <v>44673</v>
      </c>
      <c r="C974" s="13" t="s">
        <v>1594</v>
      </c>
      <c r="D974" s="13" t="s">
        <v>1595</v>
      </c>
      <c r="E974" s="8">
        <v>122282.57</v>
      </c>
      <c r="F974" s="13" t="s">
        <v>70</v>
      </c>
      <c r="G974" s="14">
        <v>44676</v>
      </c>
      <c r="H974" s="13" t="s">
        <v>9</v>
      </c>
    </row>
    <row r="975" spans="1:8" ht="14.4" x14ac:dyDescent="0.3">
      <c r="A975" s="8">
        <v>79750995</v>
      </c>
      <c r="B975" s="11">
        <v>44676</v>
      </c>
      <c r="C975" s="13" t="s">
        <v>1596</v>
      </c>
      <c r="D975" s="13" t="s">
        <v>1597</v>
      </c>
      <c r="E975" s="8">
        <v>940.8</v>
      </c>
      <c r="F975" s="13" t="s">
        <v>70</v>
      </c>
      <c r="G975" s="14">
        <v>44677</v>
      </c>
      <c r="H975" s="13" t="s">
        <v>9</v>
      </c>
    </row>
    <row r="976" spans="1:8" ht="14.4" x14ac:dyDescent="0.3">
      <c r="A976" s="8">
        <v>79750996</v>
      </c>
      <c r="B976" s="11">
        <v>44676</v>
      </c>
      <c r="C976" s="13" t="s">
        <v>1596</v>
      </c>
      <c r="D976" s="13" t="s">
        <v>1598</v>
      </c>
      <c r="E976" s="8">
        <v>110617.5</v>
      </c>
      <c r="F976" s="13" t="s">
        <v>70</v>
      </c>
      <c r="G976" s="14">
        <v>44677</v>
      </c>
      <c r="H976" s="13" t="s">
        <v>9</v>
      </c>
    </row>
    <row r="977" spans="1:8" ht="14.4" x14ac:dyDescent="0.3">
      <c r="A977" s="8">
        <v>79750997</v>
      </c>
      <c r="B977" s="11">
        <v>44676</v>
      </c>
      <c r="C977" s="13" t="s">
        <v>1322</v>
      </c>
      <c r="D977" s="13" t="s">
        <v>1599</v>
      </c>
      <c r="E977" s="8">
        <v>333.68</v>
      </c>
      <c r="F977" s="13" t="s">
        <v>70</v>
      </c>
      <c r="G977" s="14">
        <v>44698</v>
      </c>
      <c r="H977" s="13" t="s">
        <v>9</v>
      </c>
    </row>
    <row r="978" spans="1:8" ht="14.4" x14ac:dyDescent="0.3">
      <c r="A978" s="8">
        <v>79750998</v>
      </c>
      <c r="B978" s="11">
        <v>44676</v>
      </c>
      <c r="C978" s="13" t="s">
        <v>1600</v>
      </c>
      <c r="D978" s="13" t="s">
        <v>1601</v>
      </c>
      <c r="E978" s="8">
        <v>1935.62</v>
      </c>
      <c r="F978" s="13" t="s">
        <v>70</v>
      </c>
      <c r="G978" s="14">
        <v>44680</v>
      </c>
      <c r="H978" s="13" t="s">
        <v>9</v>
      </c>
    </row>
    <row r="979" spans="1:8" ht="14.4" x14ac:dyDescent="0.3">
      <c r="A979" s="8">
        <v>79750999</v>
      </c>
      <c r="B979" s="11">
        <v>44676</v>
      </c>
      <c r="C979" s="13" t="s">
        <v>1602</v>
      </c>
      <c r="D979" s="13" t="s">
        <v>1603</v>
      </c>
      <c r="E979" s="8">
        <v>1437.28</v>
      </c>
      <c r="F979" s="13" t="s">
        <v>70</v>
      </c>
      <c r="G979" s="14">
        <v>44679</v>
      </c>
      <c r="H979" s="13" t="s">
        <v>9</v>
      </c>
    </row>
    <row r="980" spans="1:8" ht="14.4" x14ac:dyDescent="0.3">
      <c r="A980" s="8">
        <v>79751000</v>
      </c>
      <c r="B980" s="11">
        <v>44676</v>
      </c>
      <c r="C980" s="13" t="s">
        <v>1604</v>
      </c>
      <c r="D980" s="13" t="s">
        <v>1603</v>
      </c>
      <c r="E980" s="8">
        <v>15568.45</v>
      </c>
      <c r="F980" s="13" t="s">
        <v>70</v>
      </c>
      <c r="G980" s="14">
        <v>44677</v>
      </c>
      <c r="H980" s="13" t="s">
        <v>9</v>
      </c>
    </row>
    <row r="981" spans="1:8" ht="14.4" x14ac:dyDescent="0.3">
      <c r="A981" s="8">
        <v>79751001</v>
      </c>
      <c r="B981" s="11">
        <v>44676</v>
      </c>
      <c r="C981" s="13" t="s">
        <v>773</v>
      </c>
      <c r="D981" s="13" t="s">
        <v>1605</v>
      </c>
      <c r="E981" s="8">
        <v>20000</v>
      </c>
      <c r="F981" s="13" t="s">
        <v>70</v>
      </c>
      <c r="G981" s="14">
        <v>44677</v>
      </c>
      <c r="H981" s="13" t="s">
        <v>9</v>
      </c>
    </row>
    <row r="982" spans="1:8" ht="14.4" x14ac:dyDescent="0.3">
      <c r="A982" s="8">
        <v>79751002</v>
      </c>
      <c r="B982" s="11">
        <v>44676</v>
      </c>
      <c r="C982" s="13" t="s">
        <v>1606</v>
      </c>
      <c r="D982" s="13" t="s">
        <v>1607</v>
      </c>
      <c r="E982" s="8">
        <v>20000</v>
      </c>
      <c r="F982" s="13" t="s">
        <v>70</v>
      </c>
      <c r="G982" s="14">
        <v>44680</v>
      </c>
      <c r="H982" s="13" t="s">
        <v>9</v>
      </c>
    </row>
    <row r="983" spans="1:8" ht="14.4" x14ac:dyDescent="0.3">
      <c r="A983" s="8">
        <v>79751003</v>
      </c>
      <c r="B983" s="11">
        <v>44676</v>
      </c>
      <c r="C983" s="13" t="s">
        <v>677</v>
      </c>
      <c r="D983" s="13" t="s">
        <v>1608</v>
      </c>
      <c r="E983" s="8">
        <v>19909.419999999998</v>
      </c>
      <c r="F983" s="13" t="s">
        <v>70</v>
      </c>
      <c r="G983" s="14">
        <v>44677</v>
      </c>
      <c r="H983" s="13" t="s">
        <v>9</v>
      </c>
    </row>
    <row r="984" spans="1:8" ht="14.4" x14ac:dyDescent="0.3">
      <c r="A984" s="8">
        <v>79751004</v>
      </c>
      <c r="B984" s="11">
        <v>44676</v>
      </c>
      <c r="C984" s="13" t="s">
        <v>1609</v>
      </c>
      <c r="D984" s="13" t="s">
        <v>1610</v>
      </c>
      <c r="E984" s="8">
        <v>20000</v>
      </c>
      <c r="F984" s="13" t="s">
        <v>70</v>
      </c>
      <c r="G984" s="14">
        <v>44677</v>
      </c>
      <c r="H984" s="13" t="s">
        <v>9</v>
      </c>
    </row>
    <row r="985" spans="1:8" ht="14.4" x14ac:dyDescent="0.3">
      <c r="A985" s="8">
        <v>79751005</v>
      </c>
      <c r="B985" s="11">
        <v>44676</v>
      </c>
      <c r="C985" s="13" t="s">
        <v>876</v>
      </c>
      <c r="D985" s="13" t="s">
        <v>1611</v>
      </c>
      <c r="E985" s="8">
        <v>19725.7</v>
      </c>
      <c r="F985" s="13" t="s">
        <v>70</v>
      </c>
      <c r="G985" s="14">
        <v>44678</v>
      </c>
      <c r="H985" s="13" t="s">
        <v>9</v>
      </c>
    </row>
    <row r="986" spans="1:8" ht="14.4" x14ac:dyDescent="0.3">
      <c r="A986" s="8">
        <v>79751006</v>
      </c>
      <c r="B986" s="11">
        <v>44676</v>
      </c>
      <c r="C986" s="13" t="s">
        <v>158</v>
      </c>
      <c r="D986" s="13" t="s">
        <v>1612</v>
      </c>
      <c r="E986" s="8">
        <v>20000</v>
      </c>
      <c r="F986" s="13" t="s">
        <v>70</v>
      </c>
      <c r="G986" s="14">
        <v>44677</v>
      </c>
      <c r="H986" s="13" t="s">
        <v>9</v>
      </c>
    </row>
    <row r="987" spans="1:8" ht="14.4" x14ac:dyDescent="0.3">
      <c r="A987" s="8">
        <v>79751007</v>
      </c>
      <c r="B987" s="11">
        <v>44676</v>
      </c>
      <c r="C987" s="13" t="s">
        <v>502</v>
      </c>
      <c r="D987" s="13" t="s">
        <v>1613</v>
      </c>
      <c r="E987" s="8">
        <v>20000</v>
      </c>
      <c r="F987" s="13" t="s">
        <v>70</v>
      </c>
      <c r="G987" s="14">
        <v>44679</v>
      </c>
      <c r="H987" s="13" t="s">
        <v>9</v>
      </c>
    </row>
    <row r="988" spans="1:8" ht="14.4" x14ac:dyDescent="0.3">
      <c r="A988" s="8">
        <v>79751008</v>
      </c>
      <c r="B988" s="11">
        <v>44676</v>
      </c>
      <c r="C988" s="13" t="s">
        <v>265</v>
      </c>
      <c r="D988" s="13" t="s">
        <v>1614</v>
      </c>
      <c r="E988" s="8">
        <v>32590</v>
      </c>
      <c r="F988" s="13" t="s">
        <v>70</v>
      </c>
      <c r="G988" s="14">
        <v>44677</v>
      </c>
      <c r="H988" s="13" t="s">
        <v>9</v>
      </c>
    </row>
    <row r="989" spans="1:8" ht="14.4" x14ac:dyDescent="0.3">
      <c r="A989" s="8">
        <v>79751009</v>
      </c>
      <c r="B989" s="11">
        <v>44676</v>
      </c>
      <c r="C989" s="13" t="s">
        <v>265</v>
      </c>
      <c r="D989" s="13" t="s">
        <v>1615</v>
      </c>
      <c r="E989" s="8">
        <v>163929.15</v>
      </c>
      <c r="F989" s="13" t="s">
        <v>70</v>
      </c>
      <c r="G989" s="14">
        <v>44677</v>
      </c>
      <c r="H989" s="13" t="s">
        <v>9</v>
      </c>
    </row>
    <row r="990" spans="1:8" ht="14.4" x14ac:dyDescent="0.3">
      <c r="A990" s="8">
        <v>79751010</v>
      </c>
      <c r="B990" s="11">
        <v>44676</v>
      </c>
      <c r="C990" s="13" t="s">
        <v>265</v>
      </c>
      <c r="D990" s="13" t="s">
        <v>1616</v>
      </c>
      <c r="E990" s="8">
        <v>161888.26999999999</v>
      </c>
      <c r="F990" s="13" t="s">
        <v>70</v>
      </c>
      <c r="G990" s="14">
        <v>44677</v>
      </c>
      <c r="H990" s="13" t="s">
        <v>9</v>
      </c>
    </row>
    <row r="991" spans="1:8" ht="14.4" x14ac:dyDescent="0.3">
      <c r="A991" s="8">
        <v>79751011</v>
      </c>
      <c r="B991" s="11">
        <v>44676</v>
      </c>
      <c r="C991" s="13" t="s">
        <v>395</v>
      </c>
      <c r="D991" s="13" t="s">
        <v>1617</v>
      </c>
      <c r="E991" s="8">
        <v>35374</v>
      </c>
      <c r="F991" s="13" t="s">
        <v>70</v>
      </c>
      <c r="G991" s="14">
        <v>44679</v>
      </c>
      <c r="H991" s="13" t="s">
        <v>9</v>
      </c>
    </row>
    <row r="992" spans="1:8" ht="14.4" x14ac:dyDescent="0.3">
      <c r="A992" s="8">
        <v>79751012</v>
      </c>
      <c r="B992" s="11">
        <v>44676</v>
      </c>
      <c r="C992" s="13" t="s">
        <v>153</v>
      </c>
      <c r="D992" s="13" t="s">
        <v>1618</v>
      </c>
      <c r="E992" s="8">
        <v>73160</v>
      </c>
      <c r="F992" s="13" t="s">
        <v>70</v>
      </c>
      <c r="G992" s="14">
        <v>44677</v>
      </c>
      <c r="H992" s="13" t="s">
        <v>9</v>
      </c>
    </row>
    <row r="993" spans="1:8" ht="14.4" x14ac:dyDescent="0.3">
      <c r="A993" s="8">
        <v>79751013</v>
      </c>
      <c r="B993" s="11">
        <v>44676</v>
      </c>
      <c r="C993" s="13" t="s">
        <v>152</v>
      </c>
      <c r="D993" s="13" t="s">
        <v>1619</v>
      </c>
      <c r="E993" s="8">
        <v>10000</v>
      </c>
      <c r="F993" s="13" t="s">
        <v>70</v>
      </c>
      <c r="G993" s="14">
        <v>44678</v>
      </c>
      <c r="H993" s="13" t="s">
        <v>9</v>
      </c>
    </row>
    <row r="994" spans="1:8" ht="14.4" x14ac:dyDescent="0.3">
      <c r="A994" s="8">
        <v>79751014</v>
      </c>
      <c r="B994" s="11">
        <v>44676</v>
      </c>
      <c r="C994" s="13" t="s">
        <v>152</v>
      </c>
      <c r="D994" s="13" t="s">
        <v>1620</v>
      </c>
      <c r="E994" s="8">
        <v>6000</v>
      </c>
      <c r="F994" s="13" t="s">
        <v>70</v>
      </c>
      <c r="G994" s="14">
        <v>44678</v>
      </c>
      <c r="H994" s="13" t="s">
        <v>9</v>
      </c>
    </row>
    <row r="995" spans="1:8" ht="14.4" x14ac:dyDescent="0.3">
      <c r="A995" s="8">
        <v>79751015</v>
      </c>
      <c r="B995" s="11">
        <v>44676</v>
      </c>
      <c r="C995" s="13" t="s">
        <v>748</v>
      </c>
      <c r="D995" s="13" t="s">
        <v>1621</v>
      </c>
      <c r="E995" s="8">
        <v>4687.5</v>
      </c>
      <c r="F995" s="13" t="s">
        <v>70</v>
      </c>
      <c r="G995" s="14">
        <v>44680</v>
      </c>
      <c r="H995" s="13" t="s">
        <v>9</v>
      </c>
    </row>
    <row r="996" spans="1:8" ht="14.4" x14ac:dyDescent="0.3">
      <c r="A996" s="8">
        <v>79751016</v>
      </c>
      <c r="B996" s="11">
        <v>44676</v>
      </c>
      <c r="C996" s="13" t="s">
        <v>748</v>
      </c>
      <c r="D996" s="13" t="s">
        <v>1621</v>
      </c>
      <c r="E996" s="8">
        <v>3972.18</v>
      </c>
      <c r="F996" s="13" t="s">
        <v>70</v>
      </c>
      <c r="G996" s="14">
        <v>44680</v>
      </c>
      <c r="H996" s="13" t="s">
        <v>9</v>
      </c>
    </row>
    <row r="997" spans="1:8" ht="14.4" x14ac:dyDescent="0.3">
      <c r="A997" s="8">
        <v>79751017</v>
      </c>
      <c r="B997" s="11">
        <v>44676</v>
      </c>
      <c r="C997" s="13" t="s">
        <v>748</v>
      </c>
      <c r="D997" s="13" t="s">
        <v>1621</v>
      </c>
      <c r="E997" s="8">
        <v>4124.07</v>
      </c>
      <c r="F997" s="13" t="s">
        <v>70</v>
      </c>
      <c r="G997" s="14">
        <v>44680</v>
      </c>
      <c r="H997" s="13" t="s">
        <v>9</v>
      </c>
    </row>
    <row r="998" spans="1:8" ht="14.4" x14ac:dyDescent="0.3">
      <c r="A998" s="8">
        <v>79751018</v>
      </c>
      <c r="B998" s="11">
        <v>44676</v>
      </c>
      <c r="C998" s="13" t="s">
        <v>1622</v>
      </c>
      <c r="D998" s="13" t="s">
        <v>1623</v>
      </c>
      <c r="E998" s="8">
        <v>245000</v>
      </c>
      <c r="F998" s="13" t="s">
        <v>70</v>
      </c>
      <c r="G998" s="14">
        <v>44677</v>
      </c>
      <c r="H998" s="13" t="s">
        <v>9</v>
      </c>
    </row>
    <row r="999" spans="1:8" ht="14.4" x14ac:dyDescent="0.3">
      <c r="A999" s="8">
        <v>79751019</v>
      </c>
      <c r="B999" s="11">
        <v>44676</v>
      </c>
      <c r="C999" s="13" t="s">
        <v>1622</v>
      </c>
      <c r="D999" s="13" t="s">
        <v>1624</v>
      </c>
      <c r="E999" s="8">
        <v>232750</v>
      </c>
      <c r="F999" s="13" t="s">
        <v>70</v>
      </c>
      <c r="G999" s="14">
        <v>44677</v>
      </c>
      <c r="H999" s="13" t="s">
        <v>9</v>
      </c>
    </row>
    <row r="1000" spans="1:8" ht="14.4" x14ac:dyDescent="0.3">
      <c r="A1000" s="8">
        <v>79751020</v>
      </c>
      <c r="B1000" s="11">
        <v>44676</v>
      </c>
      <c r="C1000" s="13" t="s">
        <v>1424</v>
      </c>
      <c r="D1000" s="13" t="s">
        <v>1625</v>
      </c>
      <c r="E1000" s="8">
        <v>11688.39</v>
      </c>
      <c r="F1000" s="13" t="s">
        <v>70</v>
      </c>
      <c r="G1000" s="14">
        <v>44678</v>
      </c>
      <c r="H1000" s="13" t="s">
        <v>9</v>
      </c>
    </row>
    <row r="1001" spans="1:8" ht="14.4" x14ac:dyDescent="0.3">
      <c r="A1001" s="8">
        <v>79751021</v>
      </c>
      <c r="B1001" s="11">
        <v>44677</v>
      </c>
      <c r="C1001" s="13" t="s">
        <v>279</v>
      </c>
      <c r="D1001" s="13" t="s">
        <v>1626</v>
      </c>
      <c r="E1001" s="8">
        <v>25005</v>
      </c>
      <c r="F1001" s="13" t="s">
        <v>70</v>
      </c>
      <c r="G1001" s="14">
        <v>44680</v>
      </c>
      <c r="H1001" s="13" t="s">
        <v>9</v>
      </c>
    </row>
    <row r="1002" spans="1:8" ht="14.4" x14ac:dyDescent="0.3">
      <c r="A1002" s="8">
        <v>79751022</v>
      </c>
      <c r="B1002" s="11">
        <v>44677</v>
      </c>
      <c r="C1002" s="13" t="s">
        <v>180</v>
      </c>
      <c r="D1002" s="13" t="s">
        <v>33</v>
      </c>
      <c r="E1002" s="8">
        <v>42900</v>
      </c>
      <c r="F1002" s="13" t="s">
        <v>70</v>
      </c>
      <c r="G1002" s="14">
        <v>44677</v>
      </c>
      <c r="H1002" s="13" t="s">
        <v>9</v>
      </c>
    </row>
    <row r="1003" spans="1:8" ht="14.4" x14ac:dyDescent="0.3">
      <c r="A1003" s="8">
        <v>79751023</v>
      </c>
      <c r="B1003" s="11">
        <v>44677</v>
      </c>
      <c r="C1003" s="13" t="s">
        <v>275</v>
      </c>
      <c r="D1003" s="13" t="s">
        <v>1627</v>
      </c>
      <c r="E1003" s="8">
        <v>164862.41</v>
      </c>
      <c r="F1003" s="13" t="s">
        <v>70</v>
      </c>
      <c r="G1003" s="14">
        <v>44677</v>
      </c>
      <c r="H1003" s="13" t="s">
        <v>9</v>
      </c>
    </row>
    <row r="1004" spans="1:8" ht="14.4" x14ac:dyDescent="0.3">
      <c r="A1004" s="8">
        <v>79751024</v>
      </c>
      <c r="B1004" s="11">
        <v>44677</v>
      </c>
      <c r="C1004" s="13" t="s">
        <v>1628</v>
      </c>
      <c r="D1004" s="13" t="s">
        <v>1629</v>
      </c>
      <c r="E1004" s="8">
        <v>18594.91</v>
      </c>
      <c r="F1004" s="13" t="s">
        <v>70</v>
      </c>
      <c r="G1004" s="14">
        <v>44678</v>
      </c>
      <c r="H1004" s="13" t="s">
        <v>9</v>
      </c>
    </row>
    <row r="1005" spans="1:8" ht="14.4" x14ac:dyDescent="0.3">
      <c r="A1005" s="8">
        <v>79751025</v>
      </c>
      <c r="B1005" s="11">
        <v>44677</v>
      </c>
      <c r="C1005" s="13" t="s">
        <v>1630</v>
      </c>
      <c r="D1005" s="13" t="s">
        <v>1595</v>
      </c>
      <c r="E1005" s="8">
        <v>25829.7</v>
      </c>
      <c r="F1005" s="13" t="s">
        <v>70</v>
      </c>
      <c r="G1005" s="14">
        <v>44678</v>
      </c>
      <c r="H1005" s="13" t="s">
        <v>9</v>
      </c>
    </row>
    <row r="1006" spans="1:8" ht="14.4" x14ac:dyDescent="0.3">
      <c r="A1006" s="8">
        <v>79751026</v>
      </c>
      <c r="B1006" s="11">
        <v>44677</v>
      </c>
      <c r="C1006" s="13" t="s">
        <v>1286</v>
      </c>
      <c r="D1006" s="13" t="s">
        <v>1631</v>
      </c>
      <c r="E1006" s="8">
        <v>1681.7</v>
      </c>
      <c r="F1006" s="13" t="s">
        <v>70</v>
      </c>
      <c r="G1006" s="14">
        <v>44687</v>
      </c>
      <c r="H1006" s="13" t="s">
        <v>9</v>
      </c>
    </row>
    <row r="1007" spans="1:8" ht="14.4" x14ac:dyDescent="0.3">
      <c r="A1007" s="8">
        <v>79751027</v>
      </c>
      <c r="B1007" s="11">
        <v>44677</v>
      </c>
      <c r="C1007" s="13" t="s">
        <v>265</v>
      </c>
      <c r="D1007" s="13" t="s">
        <v>1632</v>
      </c>
      <c r="E1007" s="8">
        <v>25000</v>
      </c>
      <c r="F1007" s="13" t="s">
        <v>70</v>
      </c>
      <c r="G1007" s="14">
        <v>44683</v>
      </c>
      <c r="H1007" s="13" t="s">
        <v>9</v>
      </c>
    </row>
    <row r="1008" spans="1:8" ht="14.4" x14ac:dyDescent="0.3">
      <c r="A1008" s="8">
        <v>79751028</v>
      </c>
      <c r="B1008" s="11">
        <v>44677</v>
      </c>
      <c r="C1008" s="13" t="s">
        <v>376</v>
      </c>
      <c r="D1008" s="13" t="s">
        <v>1633</v>
      </c>
      <c r="E1008" s="8">
        <v>56105</v>
      </c>
      <c r="F1008" s="13" t="s">
        <v>70</v>
      </c>
      <c r="G1008" s="14">
        <v>44683</v>
      </c>
      <c r="H1008" s="13" t="s">
        <v>9</v>
      </c>
    </row>
    <row r="1009" spans="1:8" ht="14.4" x14ac:dyDescent="0.3">
      <c r="A1009" s="8">
        <v>79751029</v>
      </c>
      <c r="B1009" s="11">
        <v>44677</v>
      </c>
      <c r="C1009" s="13" t="s">
        <v>1634</v>
      </c>
      <c r="D1009" s="13" t="s">
        <v>1635</v>
      </c>
      <c r="E1009" s="8">
        <v>2223.58</v>
      </c>
      <c r="F1009" s="13" t="s">
        <v>70</v>
      </c>
      <c r="G1009" s="14">
        <v>44683</v>
      </c>
      <c r="H1009" s="13" t="s">
        <v>9</v>
      </c>
    </row>
    <row r="1010" spans="1:8" ht="14.4" x14ac:dyDescent="0.3">
      <c r="A1010" s="8">
        <v>79751030</v>
      </c>
      <c r="B1010" s="11">
        <v>44677</v>
      </c>
      <c r="C1010" s="13" t="s">
        <v>374</v>
      </c>
      <c r="D1010" s="13" t="s">
        <v>1636</v>
      </c>
      <c r="E1010" s="8">
        <v>580797</v>
      </c>
      <c r="F1010" s="13" t="s">
        <v>70</v>
      </c>
      <c r="G1010" s="14">
        <v>44683</v>
      </c>
      <c r="H1010" s="13" t="s">
        <v>9</v>
      </c>
    </row>
    <row r="1011" spans="1:8" ht="14.4" x14ac:dyDescent="0.3">
      <c r="A1011" s="8">
        <v>79751031</v>
      </c>
      <c r="B1011" s="11">
        <v>44677</v>
      </c>
      <c r="C1011" s="13" t="s">
        <v>1637</v>
      </c>
      <c r="D1011" s="13" t="s">
        <v>1638</v>
      </c>
      <c r="E1011" s="8">
        <v>5850</v>
      </c>
      <c r="F1011" s="13" t="s">
        <v>70</v>
      </c>
      <c r="G1011" s="14">
        <v>44691</v>
      </c>
      <c r="H1011" s="13" t="s">
        <v>9</v>
      </c>
    </row>
    <row r="1012" spans="1:8" ht="14.4" x14ac:dyDescent="0.3">
      <c r="A1012" s="8">
        <v>79751032</v>
      </c>
      <c r="B1012" s="11">
        <v>44677</v>
      </c>
      <c r="C1012" s="13" t="s">
        <v>53</v>
      </c>
      <c r="D1012" s="13" t="s">
        <v>1639</v>
      </c>
      <c r="E1012" s="8">
        <v>266760.90000000002</v>
      </c>
      <c r="F1012" s="13" t="s">
        <v>70</v>
      </c>
      <c r="G1012" s="14">
        <v>44683</v>
      </c>
      <c r="H1012" s="13" t="s">
        <v>9</v>
      </c>
    </row>
    <row r="1013" spans="1:8" ht="14.4" x14ac:dyDescent="0.3">
      <c r="A1013" s="8">
        <v>79751033</v>
      </c>
      <c r="B1013" s="11">
        <v>44678</v>
      </c>
      <c r="C1013" s="13" t="s">
        <v>1640</v>
      </c>
      <c r="D1013" s="13" t="s">
        <v>1641</v>
      </c>
      <c r="E1013" s="8">
        <v>4685.91</v>
      </c>
      <c r="F1013" s="13" t="s">
        <v>70</v>
      </c>
      <c r="G1013" s="14">
        <v>44680</v>
      </c>
      <c r="H1013" s="13" t="s">
        <v>9</v>
      </c>
    </row>
    <row r="1014" spans="1:8" ht="14.4" x14ac:dyDescent="0.3">
      <c r="A1014" s="8">
        <v>79751034</v>
      </c>
      <c r="B1014" s="11">
        <v>44678</v>
      </c>
      <c r="C1014" s="13" t="s">
        <v>1642</v>
      </c>
      <c r="D1014" s="13" t="s">
        <v>1643</v>
      </c>
      <c r="E1014" s="8">
        <v>11717.73</v>
      </c>
      <c r="F1014" s="13" t="s">
        <v>70</v>
      </c>
      <c r="G1014" s="14">
        <v>44679</v>
      </c>
      <c r="H1014" s="13" t="s">
        <v>9</v>
      </c>
    </row>
    <row r="1015" spans="1:8" ht="14.4" x14ac:dyDescent="0.3">
      <c r="A1015" s="8">
        <v>79751035</v>
      </c>
      <c r="B1015" s="11">
        <v>44678</v>
      </c>
      <c r="C1015" s="13" t="s">
        <v>180</v>
      </c>
      <c r="D1015" s="13" t="s">
        <v>1644</v>
      </c>
      <c r="E1015" s="8">
        <v>25383.24</v>
      </c>
      <c r="F1015" s="13" t="s">
        <v>70</v>
      </c>
      <c r="G1015" s="14">
        <v>44679</v>
      </c>
      <c r="H1015" s="13" t="s">
        <v>9</v>
      </c>
    </row>
    <row r="1016" spans="1:8" ht="14.4" x14ac:dyDescent="0.3">
      <c r="A1016" s="8">
        <v>79751036</v>
      </c>
      <c r="B1016" s="11">
        <v>44678</v>
      </c>
      <c r="C1016" s="13" t="s">
        <v>1645</v>
      </c>
      <c r="D1016" s="13" t="s">
        <v>1646</v>
      </c>
      <c r="E1016" s="8">
        <v>1000</v>
      </c>
      <c r="F1016" s="13" t="s">
        <v>70</v>
      </c>
      <c r="G1016" s="14">
        <v>44680</v>
      </c>
      <c r="H1016" s="13" t="s">
        <v>9</v>
      </c>
    </row>
    <row r="1017" spans="1:8" ht="14.4" x14ac:dyDescent="0.3">
      <c r="A1017" s="8">
        <v>79751037</v>
      </c>
      <c r="B1017" s="11">
        <v>44678</v>
      </c>
      <c r="C1017" s="13" t="s">
        <v>265</v>
      </c>
      <c r="D1017" s="13" t="s">
        <v>1647</v>
      </c>
      <c r="E1017" s="8">
        <v>160029.65</v>
      </c>
      <c r="F1017" s="13" t="s">
        <v>70</v>
      </c>
      <c r="G1017" s="14">
        <v>44683</v>
      </c>
      <c r="H1017" s="13" t="s">
        <v>9</v>
      </c>
    </row>
    <row r="1018" spans="1:8" ht="14.4" x14ac:dyDescent="0.3">
      <c r="A1018" s="8">
        <v>79751038</v>
      </c>
      <c r="B1018" s="11">
        <v>44678</v>
      </c>
      <c r="C1018" s="13" t="s">
        <v>153</v>
      </c>
      <c r="D1018" s="13" t="s">
        <v>1648</v>
      </c>
      <c r="E1018" s="8">
        <v>72709</v>
      </c>
      <c r="F1018" s="13" t="s">
        <v>70</v>
      </c>
      <c r="G1018" s="14">
        <v>44685</v>
      </c>
      <c r="H1018" s="13" t="s">
        <v>9</v>
      </c>
    </row>
    <row r="1019" spans="1:8" ht="14.4" x14ac:dyDescent="0.3">
      <c r="A1019" s="8">
        <v>79751039</v>
      </c>
      <c r="B1019" s="11">
        <v>44678</v>
      </c>
      <c r="C1019" s="13" t="s">
        <v>265</v>
      </c>
      <c r="D1019" s="13" t="s">
        <v>1649</v>
      </c>
      <c r="E1019" s="8">
        <v>67790</v>
      </c>
      <c r="F1019" s="13" t="s">
        <v>70</v>
      </c>
      <c r="G1019" s="14">
        <v>44683</v>
      </c>
      <c r="H1019" s="13" t="s">
        <v>9</v>
      </c>
    </row>
    <row r="1020" spans="1:8" ht="14.4" x14ac:dyDescent="0.3">
      <c r="A1020" s="8">
        <v>79751040</v>
      </c>
      <c r="B1020" s="11">
        <v>44678</v>
      </c>
      <c r="C1020" s="13" t="s">
        <v>395</v>
      </c>
      <c r="D1020" s="13" t="s">
        <v>1650</v>
      </c>
      <c r="E1020" s="8">
        <v>31758</v>
      </c>
      <c r="F1020" s="13" t="s">
        <v>70</v>
      </c>
      <c r="G1020" s="14">
        <v>44679</v>
      </c>
      <c r="H1020" s="13" t="s">
        <v>9</v>
      </c>
    </row>
    <row r="1021" spans="1:8" ht="14.4" x14ac:dyDescent="0.3">
      <c r="A1021" s="8">
        <v>79751041</v>
      </c>
      <c r="B1021" s="11">
        <v>44678</v>
      </c>
      <c r="C1021" s="13" t="s">
        <v>1651</v>
      </c>
      <c r="D1021" s="13" t="s">
        <v>1652</v>
      </c>
      <c r="E1021" s="8">
        <v>580414.74</v>
      </c>
      <c r="F1021" s="13" t="s">
        <v>70</v>
      </c>
      <c r="G1021" s="14">
        <v>44679</v>
      </c>
      <c r="H1021" s="13" t="s">
        <v>9</v>
      </c>
    </row>
    <row r="1022" spans="1:8" ht="14.4" x14ac:dyDescent="0.3">
      <c r="A1022" s="8">
        <v>79751042</v>
      </c>
      <c r="B1022" s="11">
        <v>44679</v>
      </c>
      <c r="C1022" s="13" t="s">
        <v>1653</v>
      </c>
      <c r="D1022" s="13" t="s">
        <v>1654</v>
      </c>
      <c r="E1022" s="8">
        <v>53437.54</v>
      </c>
      <c r="F1022" s="13" t="s">
        <v>70</v>
      </c>
      <c r="G1022" s="14">
        <v>44683</v>
      </c>
      <c r="H1022" s="13" t="s">
        <v>9</v>
      </c>
    </row>
    <row r="1023" spans="1:8" ht="14.4" x14ac:dyDescent="0.3">
      <c r="A1023" s="8">
        <v>79751043</v>
      </c>
      <c r="B1023" s="11">
        <v>44679</v>
      </c>
      <c r="C1023" s="13" t="s">
        <v>1655</v>
      </c>
      <c r="D1023" s="13" t="s">
        <v>1656</v>
      </c>
      <c r="E1023" s="8">
        <v>62523.22</v>
      </c>
      <c r="F1023" s="13" t="s">
        <v>70</v>
      </c>
      <c r="G1023" s="14">
        <v>44686</v>
      </c>
      <c r="H1023" s="13" t="s">
        <v>9</v>
      </c>
    </row>
    <row r="1024" spans="1:8" ht="14.4" x14ac:dyDescent="0.3">
      <c r="A1024" s="8">
        <v>79751044</v>
      </c>
      <c r="B1024" s="11">
        <v>44679</v>
      </c>
      <c r="C1024" s="13" t="s">
        <v>1657</v>
      </c>
      <c r="D1024" s="13" t="s">
        <v>1658</v>
      </c>
      <c r="E1024" s="8">
        <v>5999</v>
      </c>
      <c r="F1024" s="13" t="s">
        <v>70</v>
      </c>
      <c r="G1024" s="14">
        <v>44683</v>
      </c>
      <c r="H1024" s="13" t="s">
        <v>9</v>
      </c>
    </row>
    <row r="1025" spans="1:8" ht="14.4" x14ac:dyDescent="0.3">
      <c r="A1025" s="8">
        <v>79751045</v>
      </c>
      <c r="B1025" s="11">
        <v>44679</v>
      </c>
      <c r="C1025" s="13" t="s">
        <v>275</v>
      </c>
      <c r="D1025" s="13" t="s">
        <v>1659</v>
      </c>
      <c r="E1025" s="8">
        <v>203732.43</v>
      </c>
      <c r="F1025" s="13" t="s">
        <v>70</v>
      </c>
      <c r="G1025" s="14">
        <v>44680</v>
      </c>
      <c r="H1025" s="13" t="s">
        <v>9</v>
      </c>
    </row>
    <row r="1026" spans="1:8" ht="14.4" x14ac:dyDescent="0.3">
      <c r="A1026" s="8">
        <v>79751046</v>
      </c>
      <c r="B1026" s="11">
        <v>44679</v>
      </c>
      <c r="C1026" s="13" t="s">
        <v>1660</v>
      </c>
      <c r="D1026" s="13" t="s">
        <v>1661</v>
      </c>
      <c r="E1026" s="8">
        <v>3852.48</v>
      </c>
      <c r="F1026" s="13" t="s">
        <v>70</v>
      </c>
      <c r="G1026" s="14">
        <v>44680</v>
      </c>
      <c r="H1026" s="13" t="s">
        <v>9</v>
      </c>
    </row>
    <row r="1027" spans="1:8" ht="14.4" x14ac:dyDescent="0.3">
      <c r="A1027" s="8">
        <v>79751047</v>
      </c>
      <c r="B1027" s="11">
        <v>44679</v>
      </c>
      <c r="C1027" s="13" t="s">
        <v>1662</v>
      </c>
      <c r="D1027" s="13" t="s">
        <v>1663</v>
      </c>
      <c r="E1027" s="8">
        <v>2000</v>
      </c>
      <c r="F1027" s="13" t="s">
        <v>70</v>
      </c>
      <c r="G1027" s="14">
        <v>44707</v>
      </c>
      <c r="H1027" s="13" t="s">
        <v>9</v>
      </c>
    </row>
    <row r="1028" spans="1:8" ht="14.4" x14ac:dyDescent="0.3">
      <c r="A1028" s="8">
        <v>79751048</v>
      </c>
      <c r="B1028" s="11">
        <v>44679</v>
      </c>
      <c r="C1028" s="13" t="s">
        <v>1664</v>
      </c>
      <c r="D1028" s="13" t="s">
        <v>1665</v>
      </c>
      <c r="E1028" s="8">
        <v>4500</v>
      </c>
      <c r="F1028" s="13" t="s">
        <v>70</v>
      </c>
      <c r="G1028" s="14">
        <v>44693</v>
      </c>
      <c r="H1028" s="13" t="s">
        <v>9</v>
      </c>
    </row>
    <row r="1029" spans="1:8" ht="14.4" x14ac:dyDescent="0.3">
      <c r="A1029" s="8">
        <v>79751049</v>
      </c>
      <c r="B1029" s="11">
        <v>44679</v>
      </c>
      <c r="C1029" s="13" t="s">
        <v>565</v>
      </c>
      <c r="D1029" s="13" t="s">
        <v>1666</v>
      </c>
      <c r="E1029" s="8">
        <v>6000</v>
      </c>
      <c r="F1029" s="13" t="s">
        <v>70</v>
      </c>
      <c r="G1029" s="14">
        <v>44699</v>
      </c>
      <c r="H1029" s="13" t="s">
        <v>9</v>
      </c>
    </row>
    <row r="1030" spans="1:8" ht="14.4" x14ac:dyDescent="0.3">
      <c r="A1030" s="8">
        <v>79751050</v>
      </c>
      <c r="B1030" s="11">
        <v>44679</v>
      </c>
      <c r="C1030" s="13" t="s">
        <v>180</v>
      </c>
      <c r="D1030" s="13" t="s">
        <v>1667</v>
      </c>
      <c r="E1030" s="8">
        <v>141618.54999999999</v>
      </c>
      <c r="F1030" s="13" t="s">
        <v>70</v>
      </c>
      <c r="G1030" s="14">
        <v>44680</v>
      </c>
      <c r="H1030" s="13" t="s">
        <v>9</v>
      </c>
    </row>
    <row r="1031" spans="1:8" ht="14.4" x14ac:dyDescent="0.3">
      <c r="A1031" s="8">
        <v>79751051</v>
      </c>
      <c r="B1031" s="11">
        <v>44680</v>
      </c>
      <c r="C1031" s="13" t="s">
        <v>1668</v>
      </c>
      <c r="D1031" s="13" t="s">
        <v>1669</v>
      </c>
      <c r="E1031" s="8">
        <v>20000</v>
      </c>
      <c r="F1031" s="13" t="s">
        <v>70</v>
      </c>
      <c r="G1031" s="14">
        <v>44686</v>
      </c>
      <c r="H1031" s="13" t="s">
        <v>9</v>
      </c>
    </row>
    <row r="1032" spans="1:8" ht="14.4" x14ac:dyDescent="0.3">
      <c r="A1032" s="8">
        <v>79751052</v>
      </c>
      <c r="B1032" s="11">
        <v>44680</v>
      </c>
      <c r="C1032" s="13" t="s">
        <v>1670</v>
      </c>
      <c r="D1032" s="13" t="s">
        <v>1671</v>
      </c>
      <c r="E1032" s="8">
        <v>11214</v>
      </c>
      <c r="F1032" s="13" t="s">
        <v>70</v>
      </c>
      <c r="G1032" s="14">
        <v>44692</v>
      </c>
      <c r="H1032" s="13" t="s">
        <v>9</v>
      </c>
    </row>
    <row r="1033" spans="1:8" ht="14.4" x14ac:dyDescent="0.3">
      <c r="A1033" s="8">
        <v>79751053</v>
      </c>
      <c r="B1033" s="11">
        <v>44680</v>
      </c>
      <c r="C1033" s="13" t="s">
        <v>162</v>
      </c>
      <c r="D1033" s="13" t="s">
        <v>1672</v>
      </c>
      <c r="E1033" s="8">
        <v>21599.02</v>
      </c>
      <c r="F1033" s="13" t="s">
        <v>70</v>
      </c>
      <c r="G1033" s="14">
        <v>44692</v>
      </c>
      <c r="H1033" s="13" t="s">
        <v>9</v>
      </c>
    </row>
    <row r="1034" spans="1:8" ht="14.4" x14ac:dyDescent="0.3">
      <c r="A1034" s="8">
        <v>79751054</v>
      </c>
      <c r="B1034" s="11">
        <v>44680</v>
      </c>
      <c r="C1034" s="13" t="s">
        <v>162</v>
      </c>
      <c r="D1034" s="13" t="s">
        <v>1673</v>
      </c>
      <c r="E1034" s="8">
        <v>6735.65</v>
      </c>
      <c r="F1034" s="13" t="s">
        <v>70</v>
      </c>
      <c r="G1034" s="14">
        <v>44692</v>
      </c>
      <c r="H1034" s="13" t="s">
        <v>9</v>
      </c>
    </row>
    <row r="1035" spans="1:8" ht="14.4" x14ac:dyDescent="0.3">
      <c r="A1035" s="8">
        <v>79751055</v>
      </c>
      <c r="B1035" s="11">
        <v>44680</v>
      </c>
      <c r="C1035" s="13" t="s">
        <v>162</v>
      </c>
      <c r="D1035" s="13" t="s">
        <v>1674</v>
      </c>
      <c r="E1035" s="8">
        <v>3878.75</v>
      </c>
      <c r="F1035" s="13" t="s">
        <v>70</v>
      </c>
      <c r="G1035" s="14">
        <v>44692</v>
      </c>
      <c r="H1035" s="13" t="s">
        <v>9</v>
      </c>
    </row>
    <row r="1036" spans="1:8" ht="14.4" x14ac:dyDescent="0.3">
      <c r="A1036" s="8">
        <v>79751056</v>
      </c>
      <c r="B1036" s="11">
        <v>44680</v>
      </c>
      <c r="C1036" s="13" t="s">
        <v>162</v>
      </c>
      <c r="D1036" s="13" t="s">
        <v>1675</v>
      </c>
      <c r="E1036" s="8">
        <v>315230.05</v>
      </c>
      <c r="F1036" s="13" t="s">
        <v>70</v>
      </c>
      <c r="G1036" s="14">
        <v>44680</v>
      </c>
      <c r="H1036" s="13" t="s">
        <v>9</v>
      </c>
    </row>
    <row r="1037" spans="1:8" ht="14.4" x14ac:dyDescent="0.3">
      <c r="A1037" s="8">
        <v>79751057</v>
      </c>
      <c r="B1037" s="11">
        <v>44680</v>
      </c>
      <c r="C1037" s="13" t="s">
        <v>43</v>
      </c>
      <c r="D1037" s="13" t="s">
        <v>1676</v>
      </c>
      <c r="E1037" s="8">
        <v>8903.41</v>
      </c>
      <c r="F1037" s="13" t="s">
        <v>70</v>
      </c>
      <c r="G1037" s="14">
        <v>44699</v>
      </c>
      <c r="H1037" s="13" t="s">
        <v>9</v>
      </c>
    </row>
    <row r="1038" spans="1:8" ht="14.4" x14ac:dyDescent="0.3">
      <c r="A1038" s="8">
        <v>79751058</v>
      </c>
      <c r="B1038" s="11">
        <v>44680</v>
      </c>
      <c r="C1038" s="13" t="s">
        <v>43</v>
      </c>
      <c r="D1038" s="13" t="s">
        <v>1676</v>
      </c>
      <c r="E1038" s="8">
        <v>235507.21</v>
      </c>
      <c r="F1038" s="13" t="s">
        <v>70</v>
      </c>
      <c r="G1038" s="14">
        <v>44699</v>
      </c>
      <c r="H1038" s="13" t="s">
        <v>9</v>
      </c>
    </row>
    <row r="1039" spans="1:8" ht="14.4" x14ac:dyDescent="0.3">
      <c r="A1039" s="8">
        <v>79751059</v>
      </c>
      <c r="B1039" s="11">
        <v>44680</v>
      </c>
      <c r="C1039" s="13" t="s">
        <v>162</v>
      </c>
      <c r="D1039" s="13" t="s">
        <v>1677</v>
      </c>
      <c r="E1039" s="8">
        <v>2980.44</v>
      </c>
      <c r="F1039" s="13" t="s">
        <v>70</v>
      </c>
      <c r="G1039" s="14">
        <v>44686</v>
      </c>
      <c r="H1039" s="13" t="s">
        <v>9</v>
      </c>
    </row>
    <row r="1040" spans="1:8" ht="14.4" x14ac:dyDescent="0.3">
      <c r="A1040" s="8">
        <v>79751060</v>
      </c>
      <c r="B1040" s="11">
        <v>44680</v>
      </c>
      <c r="C1040" s="13" t="s">
        <v>162</v>
      </c>
      <c r="D1040" s="13" t="s">
        <v>1678</v>
      </c>
      <c r="E1040" s="8">
        <v>95052.97</v>
      </c>
      <c r="F1040" s="13" t="s">
        <v>70</v>
      </c>
      <c r="G1040" s="14">
        <v>44686</v>
      </c>
      <c r="H1040" s="13" t="s">
        <v>9</v>
      </c>
    </row>
    <row r="1041" spans="1:8" ht="14.4" x14ac:dyDescent="0.3">
      <c r="A1041" s="8">
        <v>79751061</v>
      </c>
      <c r="B1041" s="11">
        <v>44680</v>
      </c>
      <c r="C1041" s="13" t="s">
        <v>162</v>
      </c>
      <c r="D1041" s="13" t="s">
        <v>1679</v>
      </c>
      <c r="E1041" s="8">
        <v>69370.47</v>
      </c>
      <c r="F1041" s="13" t="s">
        <v>70</v>
      </c>
      <c r="G1041" s="14">
        <v>44686</v>
      </c>
      <c r="H1041" s="13" t="s">
        <v>9</v>
      </c>
    </row>
    <row r="1042" spans="1:8" ht="14.4" x14ac:dyDescent="0.3">
      <c r="A1042" s="8">
        <v>79751062</v>
      </c>
      <c r="B1042" s="11">
        <v>44680</v>
      </c>
      <c r="C1042" s="13" t="s">
        <v>44</v>
      </c>
      <c r="D1042" s="13" t="s">
        <v>1680</v>
      </c>
      <c r="E1042" s="8">
        <v>2061.56</v>
      </c>
      <c r="F1042" s="13" t="s">
        <v>70</v>
      </c>
      <c r="G1042" s="14">
        <v>44686</v>
      </c>
      <c r="H1042" s="13" t="s">
        <v>9</v>
      </c>
    </row>
    <row r="1043" spans="1:8" ht="14.4" x14ac:dyDescent="0.3">
      <c r="A1043" s="8">
        <v>79751063</v>
      </c>
      <c r="B1043" s="11">
        <v>44680</v>
      </c>
      <c r="C1043" s="13" t="s">
        <v>162</v>
      </c>
      <c r="D1043" s="13" t="s">
        <v>1681</v>
      </c>
      <c r="E1043" s="8">
        <v>4617.1400000000003</v>
      </c>
      <c r="F1043" s="13" t="s">
        <v>70</v>
      </c>
      <c r="G1043" s="14">
        <v>44686</v>
      </c>
      <c r="H1043" s="13" t="s">
        <v>9</v>
      </c>
    </row>
    <row r="1044" spans="1:8" ht="14.4" x14ac:dyDescent="0.3">
      <c r="A1044" s="8">
        <v>79751064</v>
      </c>
      <c r="B1044" s="11">
        <v>44680</v>
      </c>
      <c r="C1044" s="13" t="s">
        <v>162</v>
      </c>
      <c r="D1044" s="13" t="s">
        <v>1682</v>
      </c>
      <c r="E1044" s="8">
        <v>18192.97</v>
      </c>
      <c r="F1044" s="13" t="s">
        <v>70</v>
      </c>
      <c r="G1044" s="14">
        <v>44686</v>
      </c>
      <c r="H1044" s="13" t="s">
        <v>9</v>
      </c>
    </row>
    <row r="1045" spans="1:8" ht="14.4" x14ac:dyDescent="0.3">
      <c r="A1045" s="8">
        <v>79751065</v>
      </c>
      <c r="B1045" s="11">
        <v>44680</v>
      </c>
      <c r="C1045" s="13" t="s">
        <v>162</v>
      </c>
      <c r="D1045" s="13" t="s">
        <v>1683</v>
      </c>
      <c r="E1045" s="8">
        <v>16640.55</v>
      </c>
      <c r="F1045" s="13" t="s">
        <v>70</v>
      </c>
      <c r="G1045" s="14">
        <v>44686</v>
      </c>
      <c r="H1045" s="13" t="s">
        <v>9</v>
      </c>
    </row>
    <row r="1046" spans="1:8" ht="14.4" x14ac:dyDescent="0.3">
      <c r="A1046" s="8">
        <v>79751066</v>
      </c>
      <c r="B1046" s="11">
        <v>44680</v>
      </c>
      <c r="C1046" s="13" t="s">
        <v>1684</v>
      </c>
      <c r="D1046" s="13" t="s">
        <v>1629</v>
      </c>
      <c r="E1046" s="8">
        <v>14626.24</v>
      </c>
      <c r="F1046" s="13" t="s">
        <v>70</v>
      </c>
      <c r="G1046" s="14">
        <v>44685</v>
      </c>
      <c r="H1046" s="13" t="s">
        <v>9</v>
      </c>
    </row>
    <row r="1047" spans="1:8" ht="14.4" x14ac:dyDescent="0.3">
      <c r="A1047" s="8">
        <v>79751067</v>
      </c>
      <c r="B1047" s="11">
        <v>44680</v>
      </c>
      <c r="C1047" s="13" t="s">
        <v>1685</v>
      </c>
      <c r="D1047" s="13" t="s">
        <v>1686</v>
      </c>
      <c r="E1047" s="8">
        <v>13636.27</v>
      </c>
      <c r="F1047" s="13" t="s">
        <v>70</v>
      </c>
      <c r="G1047" s="14">
        <v>44691</v>
      </c>
      <c r="H1047" s="13" t="s">
        <v>9</v>
      </c>
    </row>
    <row r="1048" spans="1:8" ht="14.4" x14ac:dyDescent="0.3">
      <c r="A1048" s="8">
        <v>79751068</v>
      </c>
      <c r="B1048" s="11">
        <v>44680</v>
      </c>
      <c r="C1048" s="13" t="s">
        <v>1687</v>
      </c>
      <c r="D1048" s="13" t="s">
        <v>1688</v>
      </c>
      <c r="E1048" s="8">
        <v>8000</v>
      </c>
      <c r="F1048" s="13" t="s">
        <v>70</v>
      </c>
      <c r="G1048" s="14">
        <v>44701</v>
      </c>
      <c r="H1048" s="13" t="s">
        <v>9</v>
      </c>
    </row>
    <row r="1049" spans="1:8" ht="14.4" x14ac:dyDescent="0.3">
      <c r="A1049" s="8">
        <v>79751069</v>
      </c>
      <c r="B1049" s="11">
        <v>44680</v>
      </c>
      <c r="C1049" s="13" t="s">
        <v>1689</v>
      </c>
      <c r="D1049" s="13" t="s">
        <v>1690</v>
      </c>
      <c r="E1049" s="8">
        <v>4200</v>
      </c>
      <c r="F1049" s="13" t="s">
        <v>70</v>
      </c>
      <c r="G1049" s="14">
        <v>44693</v>
      </c>
      <c r="H1049" s="13" t="s">
        <v>9</v>
      </c>
    </row>
    <row r="1050" spans="1:8" ht="14.4" x14ac:dyDescent="0.3">
      <c r="A1050" s="8">
        <v>79751070</v>
      </c>
      <c r="B1050" s="11">
        <v>44680</v>
      </c>
      <c r="C1050" s="13" t="s">
        <v>44</v>
      </c>
      <c r="D1050" s="13" t="s">
        <v>1691</v>
      </c>
      <c r="E1050" s="8">
        <v>2535.0700000000002</v>
      </c>
      <c r="F1050" s="13" t="s">
        <v>70</v>
      </c>
      <c r="G1050" s="14">
        <v>44686</v>
      </c>
      <c r="H1050" s="13" t="s">
        <v>9</v>
      </c>
    </row>
    <row r="1051" spans="1:8" ht="14.4" x14ac:dyDescent="0.3">
      <c r="A1051" s="8">
        <v>79751071</v>
      </c>
      <c r="B1051" s="11">
        <v>44680</v>
      </c>
      <c r="C1051" s="13" t="s">
        <v>1692</v>
      </c>
      <c r="D1051" s="13" t="s">
        <v>1693</v>
      </c>
      <c r="E1051" s="8">
        <v>32273.08</v>
      </c>
      <c r="F1051" s="13" t="s">
        <v>70</v>
      </c>
      <c r="G1051" s="14">
        <v>44683</v>
      </c>
      <c r="H1051" s="13" t="s">
        <v>9</v>
      </c>
    </row>
    <row r="1052" spans="1:8" ht="14.4" x14ac:dyDescent="0.3">
      <c r="A1052" s="8">
        <v>79751072</v>
      </c>
      <c r="B1052" s="11">
        <v>44683</v>
      </c>
      <c r="C1052" s="13" t="s">
        <v>1694</v>
      </c>
      <c r="D1052" s="13" t="s">
        <v>1695</v>
      </c>
      <c r="E1052" s="8">
        <v>18909.98</v>
      </c>
      <c r="F1052" s="13" t="s">
        <v>70</v>
      </c>
      <c r="G1052" s="14">
        <v>44683</v>
      </c>
      <c r="H1052" s="13" t="s">
        <v>9</v>
      </c>
    </row>
    <row r="1053" spans="1:8" ht="14.4" x14ac:dyDescent="0.3">
      <c r="A1053" s="8">
        <v>79751073</v>
      </c>
      <c r="B1053" s="11">
        <v>44683</v>
      </c>
      <c r="C1053" s="13" t="s">
        <v>1696</v>
      </c>
      <c r="D1053" s="13" t="s">
        <v>1695</v>
      </c>
      <c r="E1053" s="8">
        <v>17959.43</v>
      </c>
      <c r="F1053" s="13" t="s">
        <v>70</v>
      </c>
      <c r="G1053" s="14">
        <v>44683</v>
      </c>
      <c r="H1053" s="13" t="s">
        <v>9</v>
      </c>
    </row>
    <row r="1054" spans="1:8" ht="14.4" x14ac:dyDescent="0.3">
      <c r="A1054" s="8">
        <v>79751074</v>
      </c>
      <c r="B1054" s="11">
        <v>44683</v>
      </c>
      <c r="C1054" s="13" t="s">
        <v>1697</v>
      </c>
      <c r="D1054" s="13" t="s">
        <v>1698</v>
      </c>
      <c r="E1054" s="8">
        <v>18909.98</v>
      </c>
      <c r="F1054" s="13" t="s">
        <v>70</v>
      </c>
      <c r="G1054" s="14">
        <v>44683</v>
      </c>
      <c r="H1054" s="13" t="s">
        <v>9</v>
      </c>
    </row>
    <row r="1055" spans="1:8" ht="14.4" x14ac:dyDescent="0.3">
      <c r="A1055" s="8">
        <v>79751075</v>
      </c>
      <c r="B1055" s="11">
        <v>44683</v>
      </c>
      <c r="C1055" s="13" t="s">
        <v>1699</v>
      </c>
      <c r="D1055" s="13" t="s">
        <v>1695</v>
      </c>
      <c r="E1055" s="8">
        <v>18909.98</v>
      </c>
      <c r="F1055" s="13" t="s">
        <v>70</v>
      </c>
      <c r="G1055" s="14">
        <v>44683</v>
      </c>
      <c r="H1055" s="13" t="s">
        <v>9</v>
      </c>
    </row>
    <row r="1056" spans="1:8" ht="14.4" x14ac:dyDescent="0.3">
      <c r="A1056" s="8">
        <v>79751076</v>
      </c>
      <c r="B1056" s="11">
        <v>44683</v>
      </c>
      <c r="C1056" s="13" t="s">
        <v>1700</v>
      </c>
      <c r="D1056" s="13" t="s">
        <v>1695</v>
      </c>
      <c r="E1056" s="8">
        <v>18909.98</v>
      </c>
      <c r="F1056" s="13" t="s">
        <v>70</v>
      </c>
      <c r="G1056" s="14">
        <v>44683</v>
      </c>
      <c r="H1056" s="13" t="s">
        <v>9</v>
      </c>
    </row>
    <row r="1057" spans="1:8" ht="14.4" x14ac:dyDescent="0.3">
      <c r="A1057" s="8">
        <v>79751077</v>
      </c>
      <c r="B1057" s="11">
        <v>44683</v>
      </c>
      <c r="C1057" s="13" t="s">
        <v>1701</v>
      </c>
      <c r="D1057" s="13" t="s">
        <v>1702</v>
      </c>
      <c r="E1057" s="8">
        <v>4171.4399999999996</v>
      </c>
      <c r="F1057" s="13" t="s">
        <v>70</v>
      </c>
      <c r="G1057" s="14">
        <v>44701</v>
      </c>
      <c r="H1057" s="13" t="s">
        <v>9</v>
      </c>
    </row>
    <row r="1058" spans="1:8" ht="14.4" x14ac:dyDescent="0.3">
      <c r="A1058" s="8">
        <v>79751078</v>
      </c>
      <c r="B1058" s="11">
        <v>44683</v>
      </c>
      <c r="C1058" s="13" t="s">
        <v>1703</v>
      </c>
      <c r="D1058" s="13" t="s">
        <v>1704</v>
      </c>
      <c r="E1058" s="8">
        <v>24558.720000000001</v>
      </c>
      <c r="F1058" s="13" t="s">
        <v>70</v>
      </c>
      <c r="G1058" s="14">
        <v>44685</v>
      </c>
      <c r="H1058" s="13" t="s">
        <v>9</v>
      </c>
    </row>
    <row r="1059" spans="1:8" ht="14.4" x14ac:dyDescent="0.3">
      <c r="A1059" s="8">
        <v>79751079</v>
      </c>
      <c r="B1059" s="11">
        <v>44683</v>
      </c>
      <c r="C1059" s="13" t="s">
        <v>162</v>
      </c>
      <c r="D1059" s="13" t="s">
        <v>1705</v>
      </c>
      <c r="E1059" s="8">
        <v>573405.21</v>
      </c>
      <c r="F1059" s="13" t="s">
        <v>70</v>
      </c>
      <c r="G1059" s="14">
        <v>44692</v>
      </c>
      <c r="H1059" s="13" t="s">
        <v>9</v>
      </c>
    </row>
    <row r="1060" spans="1:8" ht="14.4" x14ac:dyDescent="0.3">
      <c r="A1060" s="8">
        <v>79751080</v>
      </c>
      <c r="B1060" s="11">
        <v>44683</v>
      </c>
      <c r="C1060" s="13" t="s">
        <v>162</v>
      </c>
      <c r="D1060" s="13" t="s">
        <v>1706</v>
      </c>
      <c r="E1060" s="8">
        <v>585461.9</v>
      </c>
      <c r="F1060" s="13" t="s">
        <v>70</v>
      </c>
      <c r="G1060" s="14">
        <v>44692</v>
      </c>
      <c r="H1060" s="13" t="s">
        <v>9</v>
      </c>
    </row>
    <row r="1061" spans="1:8" ht="14.4" x14ac:dyDescent="0.3">
      <c r="A1061" s="8">
        <v>79751081</v>
      </c>
      <c r="B1061" s="11">
        <v>44683</v>
      </c>
      <c r="C1061" s="13" t="s">
        <v>162</v>
      </c>
      <c r="D1061" s="13" t="s">
        <v>1707</v>
      </c>
      <c r="E1061" s="8">
        <v>33352.410000000003</v>
      </c>
      <c r="F1061" s="13" t="s">
        <v>70</v>
      </c>
      <c r="G1061" s="14">
        <v>44692</v>
      </c>
      <c r="H1061" s="13" t="s">
        <v>9</v>
      </c>
    </row>
    <row r="1062" spans="1:8" ht="14.4" x14ac:dyDescent="0.3">
      <c r="A1062" s="8">
        <v>79751082</v>
      </c>
      <c r="B1062" s="11">
        <v>44683</v>
      </c>
      <c r="C1062" s="13" t="s">
        <v>1708</v>
      </c>
      <c r="D1062" s="13" t="s">
        <v>1695</v>
      </c>
      <c r="E1062" s="8">
        <v>19916.16</v>
      </c>
      <c r="F1062" s="13" t="s">
        <v>70</v>
      </c>
      <c r="G1062" s="14">
        <v>44683</v>
      </c>
      <c r="H1062" s="13" t="s">
        <v>9</v>
      </c>
    </row>
    <row r="1063" spans="1:8" ht="14.4" x14ac:dyDescent="0.3">
      <c r="A1063" s="8">
        <v>79751083</v>
      </c>
      <c r="B1063" s="11">
        <v>44683</v>
      </c>
      <c r="C1063" s="13" t="s">
        <v>162</v>
      </c>
      <c r="D1063" s="13" t="s">
        <v>1709</v>
      </c>
      <c r="E1063" s="8">
        <v>3606.55</v>
      </c>
      <c r="F1063" s="13" t="s">
        <v>70</v>
      </c>
      <c r="G1063" s="14">
        <v>44692</v>
      </c>
      <c r="H1063" s="13" t="s">
        <v>9</v>
      </c>
    </row>
    <row r="1064" spans="1:8" ht="14.4" x14ac:dyDescent="0.3">
      <c r="A1064" s="8">
        <v>79751084</v>
      </c>
      <c r="B1064" s="11">
        <v>44683</v>
      </c>
      <c r="C1064" s="13" t="s">
        <v>162</v>
      </c>
      <c r="D1064" s="13" t="s">
        <v>1710</v>
      </c>
      <c r="E1064" s="8">
        <v>1442.21</v>
      </c>
      <c r="F1064" s="13" t="s">
        <v>70</v>
      </c>
      <c r="G1064" s="14">
        <v>44692</v>
      </c>
      <c r="H1064" s="13" t="s">
        <v>9</v>
      </c>
    </row>
    <row r="1065" spans="1:8" ht="14.4" x14ac:dyDescent="0.3">
      <c r="A1065" s="8">
        <v>79751085</v>
      </c>
      <c r="B1065" s="11">
        <v>44683</v>
      </c>
      <c r="C1065" s="13" t="s">
        <v>162</v>
      </c>
      <c r="D1065" s="13" t="s">
        <v>1711</v>
      </c>
      <c r="E1065" s="8">
        <v>812868.69</v>
      </c>
      <c r="F1065" s="13" t="s">
        <v>70</v>
      </c>
      <c r="G1065" s="14">
        <v>44692</v>
      </c>
      <c r="H1065" s="13" t="s">
        <v>9</v>
      </c>
    </row>
    <row r="1066" spans="1:8" ht="14.4" x14ac:dyDescent="0.3">
      <c r="A1066" s="8">
        <v>79751086</v>
      </c>
      <c r="B1066" s="11">
        <v>44683</v>
      </c>
      <c r="C1066" s="13" t="s">
        <v>162</v>
      </c>
      <c r="D1066" s="13" t="s">
        <v>1712</v>
      </c>
      <c r="E1066" s="8">
        <v>331331.98</v>
      </c>
      <c r="F1066" s="13" t="s">
        <v>70</v>
      </c>
      <c r="G1066" s="14">
        <v>44692</v>
      </c>
      <c r="H1066" s="13" t="s">
        <v>9</v>
      </c>
    </row>
    <row r="1067" spans="1:8" ht="14.4" x14ac:dyDescent="0.3">
      <c r="A1067" s="8">
        <v>79751087</v>
      </c>
      <c r="B1067" s="11">
        <v>44683</v>
      </c>
      <c r="C1067" s="13" t="s">
        <v>162</v>
      </c>
      <c r="D1067" s="13" t="s">
        <v>1713</v>
      </c>
      <c r="E1067" s="8">
        <v>6667.79</v>
      </c>
      <c r="F1067" s="13" t="s">
        <v>70</v>
      </c>
      <c r="G1067" s="14">
        <v>44692</v>
      </c>
      <c r="H1067" s="13" t="s">
        <v>9</v>
      </c>
    </row>
    <row r="1068" spans="1:8" ht="14.4" x14ac:dyDescent="0.3">
      <c r="A1068" s="8">
        <v>79751091</v>
      </c>
      <c r="B1068" s="11">
        <v>44683</v>
      </c>
      <c r="C1068" s="13" t="s">
        <v>44</v>
      </c>
      <c r="D1068" s="13" t="s">
        <v>1714</v>
      </c>
      <c r="E1068" s="8">
        <v>6310.68</v>
      </c>
      <c r="F1068" s="13" t="s">
        <v>70</v>
      </c>
      <c r="G1068" s="14">
        <v>44691</v>
      </c>
      <c r="H1068" s="13" t="s">
        <v>9</v>
      </c>
    </row>
    <row r="1069" spans="1:8" ht="14.4" x14ac:dyDescent="0.3">
      <c r="A1069" s="8">
        <v>79751092</v>
      </c>
      <c r="B1069" s="11">
        <v>44683</v>
      </c>
      <c r="C1069" s="13" t="s">
        <v>152</v>
      </c>
      <c r="D1069" s="13" t="s">
        <v>1715</v>
      </c>
      <c r="E1069" s="8">
        <v>96794.15</v>
      </c>
      <c r="F1069" s="13" t="s">
        <v>70</v>
      </c>
      <c r="G1069" s="14">
        <v>44686</v>
      </c>
      <c r="H1069" s="13" t="s">
        <v>9</v>
      </c>
    </row>
    <row r="1070" spans="1:8" ht="14.4" x14ac:dyDescent="0.3">
      <c r="A1070" s="8">
        <v>79751093</v>
      </c>
      <c r="B1070" s="11">
        <v>44683</v>
      </c>
      <c r="C1070" s="13" t="s">
        <v>1716</v>
      </c>
      <c r="D1070" s="13" t="s">
        <v>1717</v>
      </c>
      <c r="E1070" s="8">
        <v>35280</v>
      </c>
      <c r="F1070" s="13" t="s">
        <v>70</v>
      </c>
      <c r="G1070" s="14">
        <v>44685</v>
      </c>
      <c r="H1070" s="13" t="s">
        <v>9</v>
      </c>
    </row>
    <row r="1071" spans="1:8" ht="14.4" x14ac:dyDescent="0.3">
      <c r="A1071" s="8">
        <v>79751094</v>
      </c>
      <c r="B1071" s="11">
        <v>44683</v>
      </c>
      <c r="C1071" s="13" t="s">
        <v>1718</v>
      </c>
      <c r="D1071" s="13"/>
      <c r="E1071" s="8">
        <v>210937.5</v>
      </c>
      <c r="F1071" s="13" t="s">
        <v>70</v>
      </c>
      <c r="G1071" s="14">
        <v>44685</v>
      </c>
      <c r="H1071" s="13" t="s">
        <v>9</v>
      </c>
    </row>
    <row r="1072" spans="1:8" ht="14.4" x14ac:dyDescent="0.3">
      <c r="A1072" s="8">
        <v>79751095</v>
      </c>
      <c r="B1072" s="11">
        <v>44683</v>
      </c>
      <c r="C1072" s="13" t="s">
        <v>405</v>
      </c>
      <c r="D1072" s="13" t="s">
        <v>1719</v>
      </c>
      <c r="E1072" s="8">
        <v>56045.919999999998</v>
      </c>
      <c r="F1072" s="13" t="s">
        <v>70</v>
      </c>
      <c r="G1072" s="14">
        <v>44692</v>
      </c>
      <c r="H1072" s="13" t="s">
        <v>9</v>
      </c>
    </row>
    <row r="1073" spans="1:8" ht="14.4" x14ac:dyDescent="0.3">
      <c r="A1073" s="8">
        <v>79751096</v>
      </c>
      <c r="B1073" s="11">
        <v>44683</v>
      </c>
      <c r="C1073" s="13" t="s">
        <v>52</v>
      </c>
      <c r="D1073" s="13" t="s">
        <v>1720</v>
      </c>
      <c r="E1073" s="8">
        <v>1082347.55</v>
      </c>
      <c r="F1073" s="13" t="s">
        <v>70</v>
      </c>
      <c r="G1073" s="14">
        <v>44685</v>
      </c>
      <c r="H1073" s="13" t="s">
        <v>9</v>
      </c>
    </row>
    <row r="1074" spans="1:8" ht="14.4" x14ac:dyDescent="0.3">
      <c r="A1074" s="8">
        <v>79751097</v>
      </c>
      <c r="B1074" s="11">
        <v>44683</v>
      </c>
      <c r="C1074" s="13" t="s">
        <v>1721</v>
      </c>
      <c r="D1074" s="13" t="s">
        <v>1722</v>
      </c>
      <c r="E1074" s="8">
        <v>62740.72</v>
      </c>
      <c r="F1074" s="13" t="s">
        <v>70</v>
      </c>
      <c r="G1074" s="14">
        <v>44693</v>
      </c>
      <c r="H1074" s="13" t="s">
        <v>9</v>
      </c>
    </row>
    <row r="1075" spans="1:8" ht="14.4" x14ac:dyDescent="0.3">
      <c r="A1075" s="8">
        <v>79751098</v>
      </c>
      <c r="B1075" s="11">
        <v>44683</v>
      </c>
      <c r="C1075" s="13" t="s">
        <v>1723</v>
      </c>
      <c r="D1075" s="13" t="s">
        <v>1724</v>
      </c>
      <c r="E1075" s="8">
        <v>32436</v>
      </c>
      <c r="F1075" s="13" t="s">
        <v>70</v>
      </c>
      <c r="G1075" s="14">
        <v>44701</v>
      </c>
      <c r="H1075" s="13" t="s">
        <v>9</v>
      </c>
    </row>
    <row r="1076" spans="1:8" ht="14.4" x14ac:dyDescent="0.3">
      <c r="A1076" s="8">
        <v>79751099</v>
      </c>
      <c r="B1076" s="11">
        <v>44683</v>
      </c>
      <c r="C1076" s="13" t="s">
        <v>25</v>
      </c>
      <c r="D1076" s="13" t="s">
        <v>1725</v>
      </c>
      <c r="E1076" s="8">
        <v>60867.85</v>
      </c>
      <c r="F1076" s="13" t="s">
        <v>70</v>
      </c>
      <c r="G1076" s="14">
        <v>44686</v>
      </c>
      <c r="H1076" s="13" t="s">
        <v>9</v>
      </c>
    </row>
    <row r="1077" spans="1:8" ht="14.4" x14ac:dyDescent="0.3">
      <c r="A1077" s="8">
        <v>79751100</v>
      </c>
      <c r="B1077" s="11">
        <v>44683</v>
      </c>
      <c r="C1077" s="13" t="s">
        <v>1726</v>
      </c>
      <c r="D1077" s="13" t="s">
        <v>1727</v>
      </c>
      <c r="E1077" s="8">
        <v>83420</v>
      </c>
      <c r="F1077" s="13" t="s">
        <v>70</v>
      </c>
      <c r="G1077" s="14">
        <v>44686</v>
      </c>
      <c r="H1077" s="13" t="s">
        <v>9</v>
      </c>
    </row>
    <row r="1078" spans="1:8" ht="14.4" x14ac:dyDescent="0.3">
      <c r="A1078" s="8">
        <v>79751101</v>
      </c>
      <c r="B1078" s="11">
        <v>44683</v>
      </c>
      <c r="C1078" s="13" t="s">
        <v>1728</v>
      </c>
      <c r="D1078" s="13" t="s">
        <v>1729</v>
      </c>
      <c r="E1078" s="8">
        <v>58800</v>
      </c>
      <c r="F1078" s="13" t="s">
        <v>70</v>
      </c>
      <c r="G1078" s="14">
        <v>44693</v>
      </c>
      <c r="H1078" s="13" t="s">
        <v>9</v>
      </c>
    </row>
    <row r="1079" spans="1:8" ht="14.4" x14ac:dyDescent="0.3">
      <c r="A1079" s="8">
        <v>79751102</v>
      </c>
      <c r="B1079" s="11">
        <v>44683</v>
      </c>
      <c r="C1079" s="13" t="s">
        <v>1581</v>
      </c>
      <c r="D1079" s="13" t="s">
        <v>1730</v>
      </c>
      <c r="E1079" s="8">
        <v>54277.68</v>
      </c>
      <c r="F1079" s="13" t="s">
        <v>70</v>
      </c>
      <c r="G1079" s="14">
        <v>44687</v>
      </c>
      <c r="H1079" s="13" t="s">
        <v>9</v>
      </c>
    </row>
    <row r="1080" spans="1:8" ht="14.4" x14ac:dyDescent="0.3">
      <c r="A1080" s="8">
        <v>79751103</v>
      </c>
      <c r="B1080" s="11">
        <v>44683</v>
      </c>
      <c r="C1080" s="13" t="s">
        <v>1728</v>
      </c>
      <c r="D1080" s="13" t="s">
        <v>1731</v>
      </c>
      <c r="E1080" s="8">
        <v>64680</v>
      </c>
      <c r="F1080" s="13" t="s">
        <v>70</v>
      </c>
      <c r="G1080" s="14">
        <v>44693</v>
      </c>
      <c r="H1080" s="13" t="s">
        <v>9</v>
      </c>
    </row>
    <row r="1081" spans="1:8" ht="14.4" x14ac:dyDescent="0.3">
      <c r="A1081" s="8">
        <v>79751105</v>
      </c>
      <c r="B1081" s="11">
        <v>44683</v>
      </c>
      <c r="C1081" s="13" t="s">
        <v>201</v>
      </c>
      <c r="D1081" s="13" t="s">
        <v>1732</v>
      </c>
      <c r="E1081" s="8">
        <v>79234.03</v>
      </c>
      <c r="F1081" s="13" t="s">
        <v>70</v>
      </c>
      <c r="G1081" s="14">
        <v>44686</v>
      </c>
      <c r="H1081" s="13" t="s">
        <v>9</v>
      </c>
    </row>
    <row r="1082" spans="1:8" ht="14.4" x14ac:dyDescent="0.3">
      <c r="A1082" s="8">
        <v>79751106</v>
      </c>
      <c r="B1082" s="11">
        <v>44683</v>
      </c>
      <c r="C1082" s="13" t="s">
        <v>1733</v>
      </c>
      <c r="D1082" s="13" t="s">
        <v>1734</v>
      </c>
      <c r="E1082" s="8">
        <v>58200</v>
      </c>
      <c r="F1082" s="13" t="s">
        <v>70</v>
      </c>
      <c r="G1082" s="14">
        <v>44699</v>
      </c>
      <c r="H1082" s="13" t="s">
        <v>9</v>
      </c>
    </row>
    <row r="1083" spans="1:8" ht="14.4" x14ac:dyDescent="0.3">
      <c r="A1083" s="8">
        <v>79751107</v>
      </c>
      <c r="B1083" s="11">
        <v>44683</v>
      </c>
      <c r="C1083" s="13" t="s">
        <v>1581</v>
      </c>
      <c r="D1083" s="13" t="s">
        <v>1735</v>
      </c>
      <c r="E1083" s="8">
        <v>15970.98</v>
      </c>
      <c r="F1083" s="13" t="s">
        <v>70</v>
      </c>
      <c r="G1083" s="14">
        <v>44687</v>
      </c>
      <c r="H1083" s="13" t="s">
        <v>9</v>
      </c>
    </row>
    <row r="1084" spans="1:8" ht="14.4" x14ac:dyDescent="0.3">
      <c r="A1084" s="8">
        <v>79751108</v>
      </c>
      <c r="B1084" s="11">
        <v>44683</v>
      </c>
      <c r="C1084" s="13" t="s">
        <v>1736</v>
      </c>
      <c r="D1084" s="13" t="s">
        <v>1737</v>
      </c>
      <c r="E1084" s="8">
        <v>206192</v>
      </c>
      <c r="F1084" s="13" t="s">
        <v>70</v>
      </c>
      <c r="G1084" s="14">
        <v>44687</v>
      </c>
      <c r="H1084" s="13" t="s">
        <v>9</v>
      </c>
    </row>
    <row r="1085" spans="1:8" ht="14.4" x14ac:dyDescent="0.3">
      <c r="A1085" s="8">
        <v>79751109</v>
      </c>
      <c r="B1085" s="11">
        <v>44683</v>
      </c>
      <c r="C1085" s="13" t="s">
        <v>1587</v>
      </c>
      <c r="D1085" s="13" t="s">
        <v>1738</v>
      </c>
      <c r="E1085" s="8">
        <v>6057.15</v>
      </c>
      <c r="F1085" s="13" t="s">
        <v>70</v>
      </c>
      <c r="G1085" s="14">
        <v>44714</v>
      </c>
      <c r="H1085" s="13" t="s">
        <v>9</v>
      </c>
    </row>
    <row r="1086" spans="1:8" ht="14.4" x14ac:dyDescent="0.3">
      <c r="A1086" s="8">
        <v>79751110</v>
      </c>
      <c r="B1086" s="11">
        <v>44683</v>
      </c>
      <c r="C1086" s="13" t="s">
        <v>405</v>
      </c>
      <c r="D1086" s="13" t="s">
        <v>1739</v>
      </c>
      <c r="E1086" s="8">
        <v>24149.06</v>
      </c>
      <c r="F1086" s="13" t="s">
        <v>70</v>
      </c>
      <c r="G1086" s="14">
        <v>44692</v>
      </c>
      <c r="H1086" s="13" t="s">
        <v>9</v>
      </c>
    </row>
    <row r="1087" spans="1:8" ht="14.4" x14ac:dyDescent="0.3">
      <c r="A1087" s="8">
        <v>79751111</v>
      </c>
      <c r="B1087" s="11">
        <v>44683</v>
      </c>
      <c r="C1087" s="13" t="s">
        <v>405</v>
      </c>
      <c r="D1087" s="13" t="s">
        <v>1740</v>
      </c>
      <c r="E1087" s="8">
        <v>37215.72</v>
      </c>
      <c r="F1087" s="13" t="s">
        <v>70</v>
      </c>
      <c r="G1087" s="14">
        <v>44692</v>
      </c>
      <c r="H1087" s="13" t="s">
        <v>9</v>
      </c>
    </row>
    <row r="1088" spans="1:8" ht="14.4" x14ac:dyDescent="0.3">
      <c r="A1088" s="8">
        <v>79751112</v>
      </c>
      <c r="B1088" s="11">
        <v>44683</v>
      </c>
      <c r="C1088" s="13" t="s">
        <v>1736</v>
      </c>
      <c r="D1088" s="13" t="s">
        <v>1741</v>
      </c>
      <c r="E1088" s="8">
        <v>154056</v>
      </c>
      <c r="F1088" s="13" t="s">
        <v>70</v>
      </c>
      <c r="G1088" s="14">
        <v>44687</v>
      </c>
      <c r="H1088" s="13" t="s">
        <v>9</v>
      </c>
    </row>
    <row r="1089" spans="1:8" ht="14.4" x14ac:dyDescent="0.3">
      <c r="A1089" s="8">
        <v>79751113</v>
      </c>
      <c r="B1089" s="11">
        <v>44683</v>
      </c>
      <c r="C1089" s="13" t="s">
        <v>52</v>
      </c>
      <c r="D1089" s="13" t="s">
        <v>1742</v>
      </c>
      <c r="E1089" s="8">
        <v>210696.43</v>
      </c>
      <c r="F1089" s="13" t="s">
        <v>70</v>
      </c>
      <c r="G1089" s="14">
        <v>44685</v>
      </c>
      <c r="H1089" s="13" t="s">
        <v>9</v>
      </c>
    </row>
    <row r="1090" spans="1:8" ht="14.4" x14ac:dyDescent="0.3">
      <c r="A1090" s="8">
        <v>79751114</v>
      </c>
      <c r="B1090" s="11">
        <v>44683</v>
      </c>
      <c r="C1090" s="13" t="s">
        <v>1743</v>
      </c>
      <c r="D1090" s="13" t="s">
        <v>1744</v>
      </c>
      <c r="E1090" s="8">
        <v>16170</v>
      </c>
      <c r="F1090" s="13" t="s">
        <v>70</v>
      </c>
      <c r="G1090" s="14">
        <v>44687</v>
      </c>
      <c r="H1090" s="13" t="s">
        <v>9</v>
      </c>
    </row>
    <row r="1091" spans="1:8" ht="14.4" x14ac:dyDescent="0.3">
      <c r="A1091" s="8">
        <v>79751115</v>
      </c>
      <c r="B1091" s="11">
        <v>44683</v>
      </c>
      <c r="C1091" s="13" t="s">
        <v>1745</v>
      </c>
      <c r="D1091" s="13" t="s">
        <v>1746</v>
      </c>
      <c r="E1091" s="8">
        <v>5047</v>
      </c>
      <c r="F1091" s="13" t="s">
        <v>70</v>
      </c>
      <c r="G1091" s="14">
        <v>44686</v>
      </c>
      <c r="H1091" s="13" t="s">
        <v>9</v>
      </c>
    </row>
    <row r="1092" spans="1:8" ht="14.4" x14ac:dyDescent="0.3">
      <c r="A1092" s="8">
        <v>79751116</v>
      </c>
      <c r="B1092" s="11">
        <v>44683</v>
      </c>
      <c r="C1092" s="13" t="s">
        <v>1581</v>
      </c>
      <c r="D1092" s="13" t="s">
        <v>1747</v>
      </c>
      <c r="E1092" s="8">
        <v>18550</v>
      </c>
      <c r="F1092" s="13" t="s">
        <v>70</v>
      </c>
      <c r="G1092" s="14">
        <v>44687</v>
      </c>
      <c r="H1092" s="13" t="s">
        <v>9</v>
      </c>
    </row>
    <row r="1093" spans="1:8" ht="14.4" x14ac:dyDescent="0.3">
      <c r="A1093" s="8">
        <v>79751117</v>
      </c>
      <c r="B1093" s="11">
        <v>44685</v>
      </c>
      <c r="C1093" s="13" t="s">
        <v>184</v>
      </c>
      <c r="D1093" s="13" t="s">
        <v>1748</v>
      </c>
      <c r="E1093" s="8">
        <v>164500</v>
      </c>
      <c r="F1093" s="13" t="s">
        <v>70</v>
      </c>
      <c r="G1093" s="14">
        <v>44685</v>
      </c>
      <c r="H1093" s="13" t="s">
        <v>9</v>
      </c>
    </row>
    <row r="1094" spans="1:8" ht="14.4" x14ac:dyDescent="0.3">
      <c r="A1094" s="8">
        <v>79751119</v>
      </c>
      <c r="B1094" s="11">
        <v>44685</v>
      </c>
      <c r="C1094" s="13" t="s">
        <v>188</v>
      </c>
      <c r="D1094" s="13" t="s">
        <v>1749</v>
      </c>
      <c r="E1094" s="8">
        <v>1752.6</v>
      </c>
      <c r="F1094" s="13" t="s">
        <v>70</v>
      </c>
      <c r="G1094" s="14">
        <v>44685</v>
      </c>
      <c r="H1094" s="13" t="s">
        <v>9</v>
      </c>
    </row>
    <row r="1095" spans="1:8" ht="14.4" x14ac:dyDescent="0.3">
      <c r="A1095" s="8">
        <v>79751120</v>
      </c>
      <c r="B1095" s="11">
        <v>44685</v>
      </c>
      <c r="C1095" s="13" t="s">
        <v>188</v>
      </c>
      <c r="D1095" s="13" t="s">
        <v>1750</v>
      </c>
      <c r="E1095" s="8">
        <v>24483.33</v>
      </c>
      <c r="F1095" s="13" t="s">
        <v>70</v>
      </c>
      <c r="G1095" s="14">
        <v>44685</v>
      </c>
      <c r="H1095" s="13" t="s">
        <v>9</v>
      </c>
    </row>
    <row r="1096" spans="1:8" ht="14.4" x14ac:dyDescent="0.3">
      <c r="A1096" s="8">
        <v>79751121</v>
      </c>
      <c r="B1096" s="11">
        <v>44685</v>
      </c>
      <c r="C1096" s="13" t="s">
        <v>71</v>
      </c>
      <c r="D1096" s="13" t="s">
        <v>1751</v>
      </c>
      <c r="E1096" s="8">
        <v>8738044.2699999996</v>
      </c>
      <c r="F1096" s="13" t="s">
        <v>70</v>
      </c>
      <c r="G1096" s="14">
        <v>44686</v>
      </c>
      <c r="H1096" s="13" t="s">
        <v>9</v>
      </c>
    </row>
    <row r="1097" spans="1:8" ht="14.4" x14ac:dyDescent="0.3">
      <c r="A1097" s="8">
        <v>79751122</v>
      </c>
      <c r="B1097" s="11">
        <v>44685</v>
      </c>
      <c r="C1097" s="13" t="s">
        <v>1752</v>
      </c>
      <c r="D1097" s="13" t="s">
        <v>1753</v>
      </c>
      <c r="E1097" s="8">
        <v>1796575.62</v>
      </c>
      <c r="F1097" s="13" t="s">
        <v>70</v>
      </c>
      <c r="G1097" s="14">
        <v>44685</v>
      </c>
      <c r="H1097" s="13" t="s">
        <v>9</v>
      </c>
    </row>
    <row r="1098" spans="1:8" ht="14.4" x14ac:dyDescent="0.3">
      <c r="A1098" s="8">
        <v>79751123</v>
      </c>
      <c r="B1098" s="11">
        <v>44685</v>
      </c>
      <c r="C1098" s="13" t="s">
        <v>197</v>
      </c>
      <c r="D1098" s="13" t="s">
        <v>1753</v>
      </c>
      <c r="E1098" s="8">
        <v>1734495</v>
      </c>
      <c r="F1098" s="13" t="s">
        <v>70</v>
      </c>
      <c r="G1098" s="14">
        <v>44685</v>
      </c>
      <c r="H1098" s="13" t="s">
        <v>9</v>
      </c>
    </row>
    <row r="1099" spans="1:8" ht="14.4" x14ac:dyDescent="0.3">
      <c r="A1099" s="8">
        <v>79751124</v>
      </c>
      <c r="B1099" s="11">
        <v>44685</v>
      </c>
      <c r="C1099" s="13" t="s">
        <v>1645</v>
      </c>
      <c r="D1099" s="13" t="s">
        <v>1753</v>
      </c>
      <c r="E1099" s="8">
        <v>217665</v>
      </c>
      <c r="F1099" s="13" t="s">
        <v>70</v>
      </c>
      <c r="G1099" s="14">
        <v>44685</v>
      </c>
      <c r="H1099" s="13" t="s">
        <v>9</v>
      </c>
    </row>
    <row r="1100" spans="1:8" ht="14.4" x14ac:dyDescent="0.3">
      <c r="A1100" s="8">
        <v>79751125</v>
      </c>
      <c r="B1100" s="11">
        <v>44685</v>
      </c>
      <c r="C1100" s="13" t="s">
        <v>1651</v>
      </c>
      <c r="D1100" s="13" t="s">
        <v>1754</v>
      </c>
      <c r="E1100" s="8">
        <v>2240.83</v>
      </c>
      <c r="F1100" s="13" t="s">
        <v>70</v>
      </c>
      <c r="G1100" s="14">
        <v>44685</v>
      </c>
      <c r="H1100" s="13" t="s">
        <v>9</v>
      </c>
    </row>
    <row r="1101" spans="1:8" ht="14.4" x14ac:dyDescent="0.3">
      <c r="A1101" s="8">
        <v>79751126</v>
      </c>
      <c r="B1101" s="11">
        <v>44685</v>
      </c>
      <c r="C1101" s="13" t="s">
        <v>1755</v>
      </c>
      <c r="D1101" s="13" t="s">
        <v>1756</v>
      </c>
      <c r="E1101" s="8">
        <v>86077.68</v>
      </c>
      <c r="F1101" s="13" t="s">
        <v>70</v>
      </c>
      <c r="G1101" s="14">
        <v>44686</v>
      </c>
      <c r="H1101" s="13" t="s">
        <v>9</v>
      </c>
    </row>
    <row r="1102" spans="1:8" ht="14.4" x14ac:dyDescent="0.3">
      <c r="A1102" s="8">
        <v>79751127</v>
      </c>
      <c r="B1102" s="11">
        <v>44685</v>
      </c>
      <c r="C1102" s="13" t="s">
        <v>1755</v>
      </c>
      <c r="D1102" s="13" t="s">
        <v>1757</v>
      </c>
      <c r="E1102" s="8">
        <v>53009.46</v>
      </c>
      <c r="F1102" s="13" t="s">
        <v>70</v>
      </c>
      <c r="G1102" s="14">
        <v>44686</v>
      </c>
      <c r="H1102" s="13" t="s">
        <v>9</v>
      </c>
    </row>
    <row r="1103" spans="1:8" ht="14.4" x14ac:dyDescent="0.3">
      <c r="A1103" s="8">
        <v>79751128</v>
      </c>
      <c r="B1103" s="11">
        <v>44685</v>
      </c>
      <c r="C1103" s="13" t="s">
        <v>52</v>
      </c>
      <c r="D1103" s="13" t="s">
        <v>1758</v>
      </c>
      <c r="E1103" s="8">
        <v>33577.39</v>
      </c>
      <c r="F1103" s="13" t="s">
        <v>70</v>
      </c>
      <c r="G1103" s="14">
        <v>44709</v>
      </c>
      <c r="H1103" s="13" t="s">
        <v>9</v>
      </c>
    </row>
    <row r="1104" spans="1:8" ht="14.4" x14ac:dyDescent="0.3">
      <c r="A1104" s="8">
        <v>79751129</v>
      </c>
      <c r="B1104" s="11">
        <v>44685</v>
      </c>
      <c r="C1104" s="13" t="s">
        <v>1755</v>
      </c>
      <c r="D1104" s="13" t="s">
        <v>1759</v>
      </c>
      <c r="E1104" s="8">
        <v>37828.74</v>
      </c>
      <c r="F1104" s="13" t="s">
        <v>70</v>
      </c>
      <c r="G1104" s="14">
        <v>44687</v>
      </c>
      <c r="H1104" s="13" t="s">
        <v>9</v>
      </c>
    </row>
    <row r="1105" spans="1:8" ht="14.4" x14ac:dyDescent="0.3">
      <c r="A1105" s="8">
        <v>79751130</v>
      </c>
      <c r="B1105" s="11">
        <v>44685</v>
      </c>
      <c r="C1105" s="13" t="s">
        <v>376</v>
      </c>
      <c r="D1105" s="13" t="s">
        <v>1760</v>
      </c>
      <c r="E1105" s="8">
        <v>38582.6</v>
      </c>
      <c r="F1105" s="13" t="s">
        <v>70</v>
      </c>
      <c r="G1105" s="14">
        <v>44687</v>
      </c>
      <c r="H1105" s="13" t="s">
        <v>9</v>
      </c>
    </row>
    <row r="1106" spans="1:8" ht="14.4" x14ac:dyDescent="0.3">
      <c r="A1106" s="8">
        <v>79751131</v>
      </c>
      <c r="B1106" s="11">
        <v>44685</v>
      </c>
      <c r="C1106" s="13" t="s">
        <v>52</v>
      </c>
      <c r="D1106" s="13" t="s">
        <v>1761</v>
      </c>
      <c r="E1106" s="8">
        <v>29214.35</v>
      </c>
      <c r="F1106" s="13" t="s">
        <v>70</v>
      </c>
      <c r="G1106" s="14">
        <v>44687</v>
      </c>
      <c r="H1106" s="13" t="s">
        <v>9</v>
      </c>
    </row>
    <row r="1107" spans="1:8" ht="14.4" x14ac:dyDescent="0.3">
      <c r="A1107" s="8">
        <v>79751132</v>
      </c>
      <c r="B1107" s="11">
        <v>44685</v>
      </c>
      <c r="C1107" s="13" t="s">
        <v>52</v>
      </c>
      <c r="D1107" s="13" t="s">
        <v>1762</v>
      </c>
      <c r="E1107" s="8">
        <v>34379.019999999997</v>
      </c>
      <c r="F1107" s="13" t="s">
        <v>70</v>
      </c>
      <c r="G1107" s="14">
        <v>44687</v>
      </c>
      <c r="H1107" s="13" t="s">
        <v>9</v>
      </c>
    </row>
    <row r="1108" spans="1:8" ht="14.4" x14ac:dyDescent="0.3">
      <c r="A1108" s="8">
        <v>79751133</v>
      </c>
      <c r="B1108" s="11">
        <v>44685</v>
      </c>
      <c r="C1108" s="13" t="s">
        <v>1755</v>
      </c>
      <c r="D1108" s="13" t="s">
        <v>1763</v>
      </c>
      <c r="E1108" s="8">
        <v>49924.11</v>
      </c>
      <c r="F1108" s="13" t="s">
        <v>70</v>
      </c>
      <c r="G1108" s="14">
        <v>44686</v>
      </c>
      <c r="H1108" s="13" t="s">
        <v>9</v>
      </c>
    </row>
    <row r="1109" spans="1:8" ht="14.4" x14ac:dyDescent="0.3">
      <c r="A1109" s="8">
        <v>79751134</v>
      </c>
      <c r="B1109" s="11">
        <v>44685</v>
      </c>
      <c r="C1109" s="13" t="s">
        <v>376</v>
      </c>
      <c r="D1109" s="13" t="s">
        <v>1764</v>
      </c>
      <c r="E1109" s="8">
        <v>44864.4</v>
      </c>
      <c r="F1109" s="13" t="s">
        <v>70</v>
      </c>
      <c r="G1109" s="14">
        <v>44687</v>
      </c>
      <c r="H1109" s="13" t="s">
        <v>9</v>
      </c>
    </row>
    <row r="1110" spans="1:8" ht="14.4" x14ac:dyDescent="0.3">
      <c r="A1110" s="8">
        <v>79751135</v>
      </c>
      <c r="B1110" s="11">
        <v>44685</v>
      </c>
      <c r="C1110" s="13" t="s">
        <v>376</v>
      </c>
      <c r="D1110" s="13" t="s">
        <v>1765</v>
      </c>
      <c r="E1110" s="8">
        <v>51959.6</v>
      </c>
      <c r="F1110" s="13" t="s">
        <v>70</v>
      </c>
      <c r="G1110" s="14">
        <v>44687</v>
      </c>
      <c r="H1110" s="13" t="s">
        <v>9</v>
      </c>
    </row>
    <row r="1111" spans="1:8" ht="14.4" x14ac:dyDescent="0.3">
      <c r="A1111" s="8">
        <v>79751136</v>
      </c>
      <c r="B1111" s="11">
        <v>44685</v>
      </c>
      <c r="C1111" s="13" t="s">
        <v>52</v>
      </c>
      <c r="D1111" s="13" t="s">
        <v>1766</v>
      </c>
      <c r="E1111" s="8">
        <v>49574.87</v>
      </c>
      <c r="F1111" s="13" t="s">
        <v>70</v>
      </c>
      <c r="G1111" s="14">
        <v>44687</v>
      </c>
      <c r="H1111" s="13" t="s">
        <v>9</v>
      </c>
    </row>
    <row r="1112" spans="1:8" ht="14.4" x14ac:dyDescent="0.3">
      <c r="A1112" s="8">
        <v>79751137</v>
      </c>
      <c r="B1112" s="11">
        <v>44685</v>
      </c>
      <c r="C1112" s="13" t="s">
        <v>1755</v>
      </c>
      <c r="D1112" s="13" t="s">
        <v>1767</v>
      </c>
      <c r="E1112" s="8">
        <v>72581.61</v>
      </c>
      <c r="F1112" s="13" t="s">
        <v>70</v>
      </c>
      <c r="G1112" s="14">
        <v>44686</v>
      </c>
      <c r="H1112" s="13" t="s">
        <v>9</v>
      </c>
    </row>
    <row r="1113" spans="1:8" ht="14.4" x14ac:dyDescent="0.3">
      <c r="A1113" s="8">
        <v>79751138</v>
      </c>
      <c r="B1113" s="11">
        <v>44685</v>
      </c>
      <c r="C1113" s="13" t="s">
        <v>1755</v>
      </c>
      <c r="D1113" s="13" t="s">
        <v>1768</v>
      </c>
      <c r="E1113" s="8">
        <v>47018.57</v>
      </c>
      <c r="F1113" s="13" t="s">
        <v>70</v>
      </c>
      <c r="G1113" s="14">
        <v>44687</v>
      </c>
      <c r="H1113" s="13" t="s">
        <v>9</v>
      </c>
    </row>
    <row r="1114" spans="1:8" ht="14.4" x14ac:dyDescent="0.3">
      <c r="A1114" s="8">
        <v>79751139</v>
      </c>
      <c r="B1114" s="11">
        <v>44685</v>
      </c>
      <c r="C1114" s="13" t="s">
        <v>376</v>
      </c>
      <c r="D1114" s="13" t="s">
        <v>1769</v>
      </c>
      <c r="E1114" s="8">
        <v>59456.6</v>
      </c>
      <c r="F1114" s="13" t="s">
        <v>70</v>
      </c>
      <c r="G1114" s="14">
        <v>44687</v>
      </c>
      <c r="H1114" s="13" t="s">
        <v>9</v>
      </c>
    </row>
    <row r="1115" spans="1:8" ht="14.4" x14ac:dyDescent="0.3">
      <c r="A1115" s="8">
        <v>79751140</v>
      </c>
      <c r="B1115" s="11">
        <v>44685</v>
      </c>
      <c r="C1115" s="13" t="s">
        <v>52</v>
      </c>
      <c r="D1115" s="13" t="s">
        <v>1770</v>
      </c>
      <c r="E1115" s="8">
        <v>52221.09</v>
      </c>
      <c r="F1115" s="13" t="s">
        <v>70</v>
      </c>
      <c r="G1115" s="14">
        <v>44687</v>
      </c>
      <c r="H1115" s="13" t="s">
        <v>9</v>
      </c>
    </row>
    <row r="1116" spans="1:8" ht="14.4" x14ac:dyDescent="0.3">
      <c r="A1116" s="8">
        <v>79751141</v>
      </c>
      <c r="B1116" s="11">
        <v>44685</v>
      </c>
      <c r="C1116" s="13" t="s">
        <v>52</v>
      </c>
      <c r="D1116" s="13" t="s">
        <v>1771</v>
      </c>
      <c r="E1116" s="8">
        <v>105908.2</v>
      </c>
      <c r="F1116" s="13" t="s">
        <v>70</v>
      </c>
      <c r="G1116" s="14">
        <v>44687</v>
      </c>
      <c r="H1116" s="13" t="s">
        <v>9</v>
      </c>
    </row>
    <row r="1117" spans="1:8" ht="14.4" x14ac:dyDescent="0.3">
      <c r="A1117" s="8">
        <v>79751142</v>
      </c>
      <c r="B1117" s="11">
        <v>44685</v>
      </c>
      <c r="C1117" s="13" t="s">
        <v>1755</v>
      </c>
      <c r="D1117" s="13" t="s">
        <v>1772</v>
      </c>
      <c r="E1117" s="8">
        <v>161829.82</v>
      </c>
      <c r="F1117" s="13" t="s">
        <v>70</v>
      </c>
      <c r="G1117" s="14">
        <v>44686</v>
      </c>
      <c r="H1117" s="13" t="s">
        <v>9</v>
      </c>
    </row>
    <row r="1118" spans="1:8" ht="14.4" x14ac:dyDescent="0.3">
      <c r="A1118" s="8">
        <v>79751143</v>
      </c>
      <c r="B1118" s="11">
        <v>44685</v>
      </c>
      <c r="C1118" s="13" t="s">
        <v>254</v>
      </c>
      <c r="D1118" s="13" t="s">
        <v>1773</v>
      </c>
      <c r="E1118" s="8">
        <v>84278.57</v>
      </c>
      <c r="F1118" s="13" t="s">
        <v>70</v>
      </c>
      <c r="G1118" s="14">
        <v>44687</v>
      </c>
      <c r="H1118" s="13" t="s">
        <v>9</v>
      </c>
    </row>
    <row r="1119" spans="1:8" ht="14.4" x14ac:dyDescent="0.3">
      <c r="A1119" s="8">
        <v>79751144</v>
      </c>
      <c r="B1119" s="11">
        <v>44685</v>
      </c>
      <c r="C1119" s="13" t="s">
        <v>1755</v>
      </c>
      <c r="D1119" s="13" t="s">
        <v>1774</v>
      </c>
      <c r="E1119" s="8">
        <v>108374.59</v>
      </c>
      <c r="F1119" s="13" t="s">
        <v>70</v>
      </c>
      <c r="G1119" s="14">
        <v>44686</v>
      </c>
      <c r="H1119" s="13" t="s">
        <v>9</v>
      </c>
    </row>
    <row r="1120" spans="1:8" ht="14.4" x14ac:dyDescent="0.3">
      <c r="A1120" s="8">
        <v>79751145</v>
      </c>
      <c r="B1120" s="11">
        <v>44685</v>
      </c>
      <c r="C1120" s="13" t="s">
        <v>1755</v>
      </c>
      <c r="D1120" s="13" t="s">
        <v>1775</v>
      </c>
      <c r="E1120" s="8">
        <v>114555.72</v>
      </c>
      <c r="F1120" s="13" t="s">
        <v>70</v>
      </c>
      <c r="G1120" s="14">
        <v>44686</v>
      </c>
      <c r="H1120" s="13" t="s">
        <v>9</v>
      </c>
    </row>
    <row r="1121" spans="1:8" ht="14.4" x14ac:dyDescent="0.3">
      <c r="A1121" s="8">
        <v>79751146</v>
      </c>
      <c r="B1121" s="11">
        <v>44685</v>
      </c>
      <c r="C1121" s="13" t="s">
        <v>1755</v>
      </c>
      <c r="D1121" s="13" t="s">
        <v>1775</v>
      </c>
      <c r="E1121" s="8">
        <v>71071.11</v>
      </c>
      <c r="F1121" s="13" t="s">
        <v>70</v>
      </c>
      <c r="G1121" s="14">
        <v>44686</v>
      </c>
      <c r="H1121" s="13" t="s">
        <v>9</v>
      </c>
    </row>
    <row r="1122" spans="1:8" ht="14.4" x14ac:dyDescent="0.3">
      <c r="A1122" s="8">
        <v>79751147</v>
      </c>
      <c r="B1122" s="11">
        <v>44685</v>
      </c>
      <c r="C1122" s="13" t="s">
        <v>376</v>
      </c>
      <c r="D1122" s="13" t="s">
        <v>1776</v>
      </c>
      <c r="E1122" s="8">
        <v>94418.1</v>
      </c>
      <c r="F1122" s="13" t="s">
        <v>70</v>
      </c>
      <c r="G1122" s="14">
        <v>44687</v>
      </c>
      <c r="H1122" s="13" t="s">
        <v>9</v>
      </c>
    </row>
    <row r="1123" spans="1:8" ht="14.4" x14ac:dyDescent="0.3">
      <c r="A1123" s="8">
        <v>79751148</v>
      </c>
      <c r="B1123" s="11">
        <v>44685</v>
      </c>
      <c r="C1123" s="13" t="s">
        <v>1755</v>
      </c>
      <c r="D1123" s="13" t="s">
        <v>1777</v>
      </c>
      <c r="E1123" s="8">
        <v>99337.15</v>
      </c>
      <c r="F1123" s="13" t="s">
        <v>70</v>
      </c>
      <c r="G1123" s="14">
        <v>44686</v>
      </c>
      <c r="H1123" s="13" t="s">
        <v>9</v>
      </c>
    </row>
    <row r="1124" spans="1:8" ht="14.4" x14ac:dyDescent="0.3">
      <c r="A1124" s="8">
        <v>79751149</v>
      </c>
      <c r="B1124" s="11">
        <v>44685</v>
      </c>
      <c r="C1124" s="13" t="s">
        <v>1584</v>
      </c>
      <c r="D1124" s="13" t="s">
        <v>1778</v>
      </c>
      <c r="E1124" s="8">
        <v>14007.15</v>
      </c>
      <c r="F1124" s="13" t="s">
        <v>70</v>
      </c>
      <c r="G1124" s="14">
        <v>44687</v>
      </c>
      <c r="H1124" s="13" t="s">
        <v>9</v>
      </c>
    </row>
    <row r="1125" spans="1:8" ht="14.4" x14ac:dyDescent="0.3">
      <c r="A1125" s="8">
        <v>79751150</v>
      </c>
      <c r="B1125" s="11">
        <v>44685</v>
      </c>
      <c r="C1125" s="13" t="s">
        <v>59</v>
      </c>
      <c r="D1125" s="13" t="s">
        <v>1779</v>
      </c>
      <c r="E1125" s="8">
        <v>15843.75</v>
      </c>
      <c r="F1125" s="13" t="s">
        <v>70</v>
      </c>
      <c r="G1125" s="14">
        <v>44698</v>
      </c>
      <c r="H1125" s="13" t="s">
        <v>9</v>
      </c>
    </row>
    <row r="1126" spans="1:8" ht="14.4" x14ac:dyDescent="0.3">
      <c r="A1126" s="8">
        <v>79751151</v>
      </c>
      <c r="B1126" s="11">
        <v>44685</v>
      </c>
      <c r="C1126" s="13" t="s">
        <v>405</v>
      </c>
      <c r="D1126" s="13" t="s">
        <v>1780</v>
      </c>
      <c r="E1126" s="8">
        <v>32459.66</v>
      </c>
      <c r="F1126" s="13" t="s">
        <v>70</v>
      </c>
      <c r="G1126" s="14">
        <v>44692</v>
      </c>
      <c r="H1126" s="13" t="s">
        <v>9</v>
      </c>
    </row>
    <row r="1127" spans="1:8" ht="14.4" x14ac:dyDescent="0.3">
      <c r="A1127" s="8">
        <v>79751152</v>
      </c>
      <c r="B1127" s="11">
        <v>44685</v>
      </c>
      <c r="C1127" s="13" t="s">
        <v>405</v>
      </c>
      <c r="D1127" s="13" t="s">
        <v>1781</v>
      </c>
      <c r="E1127" s="8">
        <v>25438.98</v>
      </c>
      <c r="F1127" s="13" t="s">
        <v>70</v>
      </c>
      <c r="G1127" s="14">
        <v>44692</v>
      </c>
      <c r="H1127" s="13" t="s">
        <v>9</v>
      </c>
    </row>
    <row r="1128" spans="1:8" ht="14.4" x14ac:dyDescent="0.3">
      <c r="A1128" s="8">
        <v>79751153</v>
      </c>
      <c r="B1128" s="11">
        <v>44685</v>
      </c>
      <c r="C1128" s="13" t="s">
        <v>1743</v>
      </c>
      <c r="D1128" s="13" t="s">
        <v>1782</v>
      </c>
      <c r="E1128" s="8">
        <v>16170</v>
      </c>
      <c r="F1128" s="13" t="s">
        <v>70</v>
      </c>
      <c r="G1128" s="14">
        <v>44687</v>
      </c>
      <c r="H1128" s="13" t="s">
        <v>9</v>
      </c>
    </row>
    <row r="1129" spans="1:8" ht="14.4" x14ac:dyDescent="0.3">
      <c r="A1129" s="8">
        <v>79751154</v>
      </c>
      <c r="B1129" s="11">
        <v>44685</v>
      </c>
      <c r="C1129" s="13" t="s">
        <v>1755</v>
      </c>
      <c r="D1129" s="13" t="s">
        <v>1783</v>
      </c>
      <c r="E1129" s="8">
        <v>80815.539999999994</v>
      </c>
      <c r="F1129" s="13" t="s">
        <v>70</v>
      </c>
      <c r="G1129" s="14">
        <v>44686</v>
      </c>
      <c r="H1129" s="13" t="s">
        <v>9</v>
      </c>
    </row>
    <row r="1130" spans="1:8" ht="14.4" x14ac:dyDescent="0.3">
      <c r="A1130" s="8">
        <v>79751155</v>
      </c>
      <c r="B1130" s="11">
        <v>44685</v>
      </c>
      <c r="C1130" s="13" t="s">
        <v>1784</v>
      </c>
      <c r="D1130" s="13" t="s">
        <v>1785</v>
      </c>
      <c r="E1130" s="8">
        <v>10000</v>
      </c>
      <c r="F1130" s="13" t="s">
        <v>70</v>
      </c>
      <c r="G1130" s="14">
        <v>44693</v>
      </c>
      <c r="H1130" s="13" t="s">
        <v>9</v>
      </c>
    </row>
    <row r="1131" spans="1:8" ht="14.4" x14ac:dyDescent="0.3">
      <c r="A1131" s="8">
        <v>79751156</v>
      </c>
      <c r="B1131" s="11">
        <v>44685</v>
      </c>
      <c r="C1131" s="13" t="s">
        <v>201</v>
      </c>
      <c r="D1131" s="13" t="s">
        <v>1786</v>
      </c>
      <c r="E1131" s="8">
        <v>11641.07</v>
      </c>
      <c r="F1131" s="13" t="s">
        <v>70</v>
      </c>
      <c r="G1131" s="14">
        <v>44687</v>
      </c>
      <c r="H1131" s="13" t="s">
        <v>9</v>
      </c>
    </row>
    <row r="1132" spans="1:8" ht="14.4" x14ac:dyDescent="0.3">
      <c r="A1132" s="8">
        <v>79751157</v>
      </c>
      <c r="B1132" s="11">
        <v>44685</v>
      </c>
      <c r="C1132" s="13" t="s">
        <v>1581</v>
      </c>
      <c r="D1132" s="13" t="s">
        <v>1787</v>
      </c>
      <c r="E1132" s="8">
        <v>8281.24</v>
      </c>
      <c r="F1132" s="13" t="s">
        <v>70</v>
      </c>
      <c r="G1132" s="14">
        <v>44687</v>
      </c>
      <c r="H1132" s="13" t="s">
        <v>9</v>
      </c>
    </row>
    <row r="1133" spans="1:8" ht="14.4" x14ac:dyDescent="0.3">
      <c r="A1133" s="8">
        <v>79751158</v>
      </c>
      <c r="B1133" s="11">
        <v>44685</v>
      </c>
      <c r="C1133" s="13" t="s">
        <v>1788</v>
      </c>
      <c r="D1133" s="13" t="s">
        <v>1789</v>
      </c>
      <c r="E1133" s="8">
        <v>7865.67</v>
      </c>
      <c r="F1133" s="13" t="s">
        <v>70</v>
      </c>
      <c r="G1133" s="14">
        <v>44687</v>
      </c>
      <c r="H1133" s="13" t="s">
        <v>9</v>
      </c>
    </row>
    <row r="1134" spans="1:8" ht="14.4" x14ac:dyDescent="0.3">
      <c r="A1134" s="8">
        <v>79751159</v>
      </c>
      <c r="B1134" s="11">
        <v>44685</v>
      </c>
      <c r="C1134" s="13" t="s">
        <v>1790</v>
      </c>
      <c r="D1134" s="13" t="s">
        <v>1791</v>
      </c>
      <c r="E1134" s="8">
        <v>89000</v>
      </c>
      <c r="F1134" s="13" t="s">
        <v>70</v>
      </c>
      <c r="G1134" s="14">
        <v>44686</v>
      </c>
      <c r="H1134" s="13" t="s">
        <v>9</v>
      </c>
    </row>
    <row r="1135" spans="1:8" ht="14.4" x14ac:dyDescent="0.3">
      <c r="A1135" s="8">
        <v>79751160</v>
      </c>
      <c r="B1135" s="11">
        <v>44685</v>
      </c>
      <c r="C1135" s="13" t="s">
        <v>1792</v>
      </c>
      <c r="D1135" s="13" t="s">
        <v>1793</v>
      </c>
      <c r="E1135" s="8">
        <v>82366.13</v>
      </c>
      <c r="F1135" s="13" t="s">
        <v>70</v>
      </c>
      <c r="G1135" s="14">
        <v>44705</v>
      </c>
      <c r="H1135" s="13" t="s">
        <v>9</v>
      </c>
    </row>
    <row r="1136" spans="1:8" ht="14.4" x14ac:dyDescent="0.3">
      <c r="A1136" s="8">
        <v>79751161</v>
      </c>
      <c r="B1136" s="11">
        <v>44685</v>
      </c>
      <c r="C1136" s="13" t="s">
        <v>1524</v>
      </c>
      <c r="D1136" s="13" t="s">
        <v>1794</v>
      </c>
      <c r="E1136" s="8">
        <v>1200</v>
      </c>
      <c r="F1136" s="13" t="s">
        <v>70</v>
      </c>
      <c r="G1136" s="14">
        <v>44686</v>
      </c>
      <c r="H1136" s="13" t="s">
        <v>9</v>
      </c>
    </row>
    <row r="1137" spans="1:8" ht="14.4" x14ac:dyDescent="0.3">
      <c r="A1137" s="8">
        <v>79751162</v>
      </c>
      <c r="B1137" s="11">
        <v>44685</v>
      </c>
      <c r="C1137" s="13" t="s">
        <v>124</v>
      </c>
      <c r="D1137" s="13" t="s">
        <v>1795</v>
      </c>
      <c r="E1137" s="8">
        <v>151.9</v>
      </c>
      <c r="F1137" s="13" t="s">
        <v>70</v>
      </c>
      <c r="G1137" s="14">
        <v>44692</v>
      </c>
      <c r="H1137" s="13" t="s">
        <v>9</v>
      </c>
    </row>
    <row r="1138" spans="1:8" ht="14.4" x14ac:dyDescent="0.3">
      <c r="A1138" s="8">
        <v>79751163</v>
      </c>
      <c r="B1138" s="11">
        <v>44685</v>
      </c>
      <c r="C1138" s="13" t="s">
        <v>124</v>
      </c>
      <c r="D1138" s="13" t="s">
        <v>1796</v>
      </c>
      <c r="E1138" s="8">
        <v>151.9</v>
      </c>
      <c r="F1138" s="13" t="s">
        <v>70</v>
      </c>
      <c r="G1138" s="14">
        <v>44692</v>
      </c>
      <c r="H1138" s="13" t="s">
        <v>9</v>
      </c>
    </row>
    <row r="1139" spans="1:8" ht="14.4" x14ac:dyDescent="0.3">
      <c r="A1139" s="8">
        <v>79751164</v>
      </c>
      <c r="B1139" s="11">
        <v>44685</v>
      </c>
      <c r="C1139" s="13" t="s">
        <v>1286</v>
      </c>
      <c r="D1139" s="13" t="s">
        <v>1797</v>
      </c>
      <c r="E1139" s="8">
        <v>2771.04</v>
      </c>
      <c r="F1139" s="13" t="s">
        <v>70</v>
      </c>
      <c r="G1139" s="14">
        <v>44687</v>
      </c>
      <c r="H1139" s="13" t="s">
        <v>9</v>
      </c>
    </row>
    <row r="1140" spans="1:8" ht="14.4" x14ac:dyDescent="0.3">
      <c r="A1140" s="8">
        <v>79751165</v>
      </c>
      <c r="B1140" s="11">
        <v>44685</v>
      </c>
      <c r="C1140" s="13" t="s">
        <v>1286</v>
      </c>
      <c r="D1140" s="13" t="s">
        <v>1798</v>
      </c>
      <c r="E1140" s="8">
        <v>27132.78</v>
      </c>
      <c r="F1140" s="13" t="s">
        <v>70</v>
      </c>
      <c r="G1140" s="14">
        <v>44687</v>
      </c>
      <c r="H1140" s="13" t="s">
        <v>9</v>
      </c>
    </row>
    <row r="1141" spans="1:8" ht="14.4" x14ac:dyDescent="0.3">
      <c r="A1141" s="8">
        <v>79751166</v>
      </c>
      <c r="B1141" s="11">
        <v>44685</v>
      </c>
      <c r="C1141" s="13" t="s">
        <v>1784</v>
      </c>
      <c r="D1141" s="13" t="s">
        <v>1799</v>
      </c>
      <c r="E1141" s="8">
        <v>2500</v>
      </c>
      <c r="F1141" s="13" t="s">
        <v>70</v>
      </c>
      <c r="G1141" s="14">
        <v>44693</v>
      </c>
      <c r="H1141" s="13" t="s">
        <v>9</v>
      </c>
    </row>
    <row r="1142" spans="1:8" ht="14.4" x14ac:dyDescent="0.3">
      <c r="A1142" s="8">
        <v>79751167</v>
      </c>
      <c r="B1142" s="11">
        <v>44685</v>
      </c>
      <c r="C1142" s="13" t="s">
        <v>67</v>
      </c>
      <c r="D1142" s="13" t="s">
        <v>1800</v>
      </c>
      <c r="E1142" s="8">
        <v>5110.72</v>
      </c>
      <c r="F1142" s="13" t="s">
        <v>70</v>
      </c>
      <c r="G1142" s="14">
        <v>44687</v>
      </c>
      <c r="H1142" s="13" t="s">
        <v>9</v>
      </c>
    </row>
    <row r="1143" spans="1:8" ht="14.4" x14ac:dyDescent="0.3">
      <c r="A1143" s="8">
        <v>79751168</v>
      </c>
      <c r="B1143" s="11">
        <v>44685</v>
      </c>
      <c r="C1143" s="13" t="s">
        <v>1801</v>
      </c>
      <c r="D1143" s="13" t="s">
        <v>1802</v>
      </c>
      <c r="E1143" s="8">
        <v>39200</v>
      </c>
      <c r="F1143" s="13" t="s">
        <v>70</v>
      </c>
      <c r="G1143" s="14">
        <v>44687</v>
      </c>
      <c r="H1143" s="13" t="s">
        <v>9</v>
      </c>
    </row>
    <row r="1144" spans="1:8" ht="14.4" x14ac:dyDescent="0.3">
      <c r="A1144" s="8">
        <v>79751169</v>
      </c>
      <c r="B1144" s="11">
        <v>44686</v>
      </c>
      <c r="C1144" s="13" t="s">
        <v>1803</v>
      </c>
      <c r="D1144" s="13" t="s">
        <v>1804</v>
      </c>
      <c r="E1144" s="8">
        <v>785498.07</v>
      </c>
      <c r="F1144" s="13" t="s">
        <v>70</v>
      </c>
      <c r="G1144" s="14">
        <v>44687</v>
      </c>
      <c r="H1144" s="13" t="s">
        <v>9</v>
      </c>
    </row>
    <row r="1145" spans="1:8" ht="14.4" x14ac:dyDescent="0.3">
      <c r="A1145" s="8">
        <v>79751170</v>
      </c>
      <c r="B1145" s="11">
        <v>44686</v>
      </c>
      <c r="C1145" s="13" t="s">
        <v>1524</v>
      </c>
      <c r="D1145" s="13" t="s">
        <v>1805</v>
      </c>
      <c r="E1145" s="8">
        <v>63770.78</v>
      </c>
      <c r="F1145" s="13" t="s">
        <v>70</v>
      </c>
      <c r="G1145" s="14">
        <v>44686</v>
      </c>
      <c r="H1145" s="13" t="s">
        <v>9</v>
      </c>
    </row>
    <row r="1146" spans="1:8" ht="14.4" x14ac:dyDescent="0.3">
      <c r="A1146" s="8">
        <v>79751171</v>
      </c>
      <c r="B1146" s="11">
        <v>44686</v>
      </c>
      <c r="C1146" s="13" t="s">
        <v>265</v>
      </c>
      <c r="D1146" s="13" t="s">
        <v>1806</v>
      </c>
      <c r="E1146" s="8">
        <v>74428</v>
      </c>
      <c r="F1146" s="13" t="s">
        <v>70</v>
      </c>
      <c r="G1146" s="14">
        <v>44687</v>
      </c>
      <c r="H1146" s="13" t="s">
        <v>9</v>
      </c>
    </row>
    <row r="1147" spans="1:8" ht="14.4" x14ac:dyDescent="0.3">
      <c r="A1147" s="8">
        <v>79751172</v>
      </c>
      <c r="B1147" s="11">
        <v>44686</v>
      </c>
      <c r="C1147" s="13" t="s">
        <v>265</v>
      </c>
      <c r="D1147" s="13" t="s">
        <v>1807</v>
      </c>
      <c r="E1147" s="8">
        <v>48020</v>
      </c>
      <c r="F1147" s="13" t="s">
        <v>70</v>
      </c>
      <c r="G1147" s="14">
        <v>44687</v>
      </c>
      <c r="H1147" s="13" t="s">
        <v>9</v>
      </c>
    </row>
    <row r="1148" spans="1:8" ht="14.4" x14ac:dyDescent="0.3">
      <c r="A1148" s="8">
        <v>79751173</v>
      </c>
      <c r="B1148" s="11">
        <v>44686</v>
      </c>
      <c r="C1148" s="13" t="s">
        <v>1424</v>
      </c>
      <c r="D1148" s="13" t="s">
        <v>1625</v>
      </c>
      <c r="E1148" s="8">
        <v>9440.6299999999992</v>
      </c>
      <c r="F1148" s="13" t="s">
        <v>70</v>
      </c>
      <c r="G1148" s="14">
        <v>44707</v>
      </c>
      <c r="H1148" s="13" t="s">
        <v>9</v>
      </c>
    </row>
    <row r="1149" spans="1:8" ht="14.4" x14ac:dyDescent="0.3">
      <c r="A1149" s="8">
        <v>79751174</v>
      </c>
      <c r="B1149" s="11">
        <v>44686</v>
      </c>
      <c r="C1149" s="13" t="s">
        <v>1286</v>
      </c>
      <c r="D1149" s="13" t="s">
        <v>1808</v>
      </c>
      <c r="E1149" s="8">
        <v>33089.75</v>
      </c>
      <c r="F1149" s="13" t="s">
        <v>70</v>
      </c>
      <c r="G1149" s="14">
        <v>44687</v>
      </c>
      <c r="H1149" s="13" t="s">
        <v>9</v>
      </c>
    </row>
    <row r="1150" spans="1:8" ht="14.4" x14ac:dyDescent="0.3">
      <c r="A1150" s="8">
        <v>79751175</v>
      </c>
      <c r="B1150" s="11">
        <v>44686</v>
      </c>
      <c r="C1150" s="13" t="s">
        <v>122</v>
      </c>
      <c r="D1150" s="13" t="s">
        <v>1809</v>
      </c>
      <c r="E1150" s="8">
        <v>306520</v>
      </c>
      <c r="F1150" s="13" t="s">
        <v>70</v>
      </c>
      <c r="G1150" s="14">
        <v>44708</v>
      </c>
      <c r="H1150" s="13" t="s">
        <v>9</v>
      </c>
    </row>
    <row r="1151" spans="1:8" ht="14.4" x14ac:dyDescent="0.3">
      <c r="A1151" s="8">
        <v>79751176</v>
      </c>
      <c r="B1151" s="11">
        <v>44686</v>
      </c>
      <c r="C1151" s="13" t="s">
        <v>1810</v>
      </c>
      <c r="D1151" s="13" t="s">
        <v>1811</v>
      </c>
      <c r="E1151" s="8">
        <v>19400</v>
      </c>
      <c r="F1151" s="13" t="s">
        <v>70</v>
      </c>
      <c r="G1151" s="14">
        <v>44699</v>
      </c>
      <c r="H1151" s="13" t="s">
        <v>9</v>
      </c>
    </row>
    <row r="1152" spans="1:8" ht="14.4" x14ac:dyDescent="0.3">
      <c r="A1152" s="8">
        <v>79751177</v>
      </c>
      <c r="B1152" s="11">
        <v>44686</v>
      </c>
      <c r="C1152" s="13" t="s">
        <v>1812</v>
      </c>
      <c r="D1152" s="13" t="s">
        <v>1813</v>
      </c>
      <c r="E1152" s="8">
        <v>6000</v>
      </c>
      <c r="F1152" s="13" t="s">
        <v>70</v>
      </c>
      <c r="G1152" s="14">
        <v>44803</v>
      </c>
      <c r="H1152" s="13" t="s">
        <v>9</v>
      </c>
    </row>
    <row r="1153" spans="1:8" ht="14.4" x14ac:dyDescent="0.3">
      <c r="A1153" s="8">
        <v>79751178</v>
      </c>
      <c r="B1153" s="11">
        <v>44686</v>
      </c>
      <c r="C1153" s="13" t="s">
        <v>601</v>
      </c>
      <c r="D1153" s="13" t="s">
        <v>1814</v>
      </c>
      <c r="E1153" s="8">
        <v>46875</v>
      </c>
      <c r="F1153" s="13" t="s">
        <v>70</v>
      </c>
      <c r="G1153" s="14">
        <v>44694</v>
      </c>
      <c r="H1153" s="13" t="s">
        <v>9</v>
      </c>
    </row>
    <row r="1154" spans="1:8" ht="14.4" x14ac:dyDescent="0.3">
      <c r="A1154" s="8">
        <v>79751179</v>
      </c>
      <c r="B1154" s="11">
        <v>44686</v>
      </c>
      <c r="C1154" s="13" t="s">
        <v>1286</v>
      </c>
      <c r="D1154" s="13" t="s">
        <v>1815</v>
      </c>
      <c r="E1154" s="8">
        <v>28998.2</v>
      </c>
      <c r="F1154" s="13" t="s">
        <v>70</v>
      </c>
      <c r="G1154" s="14">
        <v>44687</v>
      </c>
      <c r="H1154" s="13" t="s">
        <v>9</v>
      </c>
    </row>
    <row r="1155" spans="1:8" ht="14.4" x14ac:dyDescent="0.3">
      <c r="A1155" s="8">
        <v>79751180</v>
      </c>
      <c r="B1155" s="11">
        <v>44686</v>
      </c>
      <c r="C1155" s="13" t="s">
        <v>1286</v>
      </c>
      <c r="D1155" s="13" t="s">
        <v>1816</v>
      </c>
      <c r="E1155" s="8">
        <v>87605.08</v>
      </c>
      <c r="F1155" s="13" t="s">
        <v>70</v>
      </c>
      <c r="G1155" s="14">
        <v>44687</v>
      </c>
      <c r="H1155" s="13" t="s">
        <v>9</v>
      </c>
    </row>
    <row r="1156" spans="1:8" ht="14.4" x14ac:dyDescent="0.3">
      <c r="A1156" s="8">
        <v>79751181</v>
      </c>
      <c r="B1156" s="11">
        <v>44686</v>
      </c>
      <c r="C1156" s="13" t="s">
        <v>1286</v>
      </c>
      <c r="D1156" s="13" t="s">
        <v>1817</v>
      </c>
      <c r="E1156" s="8">
        <v>74457.86</v>
      </c>
      <c r="F1156" s="13" t="s">
        <v>70</v>
      </c>
      <c r="G1156" s="14">
        <v>44687</v>
      </c>
      <c r="H1156" s="13" t="s">
        <v>9</v>
      </c>
    </row>
    <row r="1157" spans="1:8" ht="14.4" x14ac:dyDescent="0.3">
      <c r="A1157" s="8">
        <v>79751182</v>
      </c>
      <c r="B1157" s="11">
        <v>44686</v>
      </c>
      <c r="C1157" s="13" t="s">
        <v>201</v>
      </c>
      <c r="D1157" s="13" t="s">
        <v>1818</v>
      </c>
      <c r="E1157" s="8">
        <v>4108.45</v>
      </c>
      <c r="F1157" s="13" t="s">
        <v>70</v>
      </c>
      <c r="G1157" s="14">
        <v>44687</v>
      </c>
      <c r="H1157" s="13" t="s">
        <v>9</v>
      </c>
    </row>
    <row r="1158" spans="1:8" ht="14.4" x14ac:dyDescent="0.3">
      <c r="A1158" s="8">
        <v>79751183</v>
      </c>
      <c r="B1158" s="11">
        <v>44686</v>
      </c>
      <c r="C1158" s="13" t="s">
        <v>1286</v>
      </c>
      <c r="D1158" s="13" t="s">
        <v>1819</v>
      </c>
      <c r="E1158" s="8">
        <v>292025.58</v>
      </c>
      <c r="F1158" s="13" t="s">
        <v>70</v>
      </c>
      <c r="G1158" s="14">
        <v>44687</v>
      </c>
      <c r="H1158" s="13" t="s">
        <v>9</v>
      </c>
    </row>
    <row r="1159" spans="1:8" ht="14.4" x14ac:dyDescent="0.3">
      <c r="A1159" s="8">
        <v>79751184</v>
      </c>
      <c r="B1159" s="11">
        <v>44686</v>
      </c>
      <c r="C1159" s="13" t="s">
        <v>1286</v>
      </c>
      <c r="D1159" s="13" t="s">
        <v>1820</v>
      </c>
      <c r="E1159" s="8">
        <v>210879.47</v>
      </c>
      <c r="F1159" s="13" t="s">
        <v>70</v>
      </c>
      <c r="G1159" s="14">
        <v>44687</v>
      </c>
      <c r="H1159" s="13" t="s">
        <v>9</v>
      </c>
    </row>
    <row r="1160" spans="1:8" ht="14.4" x14ac:dyDescent="0.3">
      <c r="A1160" s="8">
        <v>79751185</v>
      </c>
      <c r="B1160" s="11">
        <v>44686</v>
      </c>
      <c r="C1160" s="13" t="s">
        <v>1286</v>
      </c>
      <c r="D1160" s="13" t="s">
        <v>1821</v>
      </c>
      <c r="E1160" s="8">
        <v>208820.28</v>
      </c>
      <c r="F1160" s="13" t="s">
        <v>70</v>
      </c>
      <c r="G1160" s="14">
        <v>44687</v>
      </c>
      <c r="H1160" s="13" t="s">
        <v>9</v>
      </c>
    </row>
    <row r="1161" spans="1:8" ht="14.4" x14ac:dyDescent="0.3">
      <c r="A1161" s="8">
        <v>79751186</v>
      </c>
      <c r="B1161" s="11">
        <v>44686</v>
      </c>
      <c r="C1161" s="13" t="s">
        <v>1822</v>
      </c>
      <c r="D1161" s="13" t="s">
        <v>1823</v>
      </c>
      <c r="E1161" s="8">
        <v>15000</v>
      </c>
      <c r="F1161" s="13" t="s">
        <v>70</v>
      </c>
      <c r="G1161" s="14">
        <v>44693</v>
      </c>
      <c r="H1161" s="13" t="s">
        <v>9</v>
      </c>
    </row>
    <row r="1162" spans="1:8" ht="14.4" x14ac:dyDescent="0.3">
      <c r="A1162" s="8">
        <v>79751187</v>
      </c>
      <c r="B1162" s="11">
        <v>44686</v>
      </c>
      <c r="C1162" s="13" t="s">
        <v>1824</v>
      </c>
      <c r="D1162" s="13" t="s">
        <v>1825</v>
      </c>
      <c r="E1162" s="8">
        <v>10000</v>
      </c>
      <c r="F1162" s="13" t="s">
        <v>70</v>
      </c>
      <c r="G1162" s="14">
        <v>44694</v>
      </c>
      <c r="H1162" s="13" t="s">
        <v>9</v>
      </c>
    </row>
    <row r="1163" spans="1:8" ht="14.4" x14ac:dyDescent="0.3">
      <c r="A1163" s="8">
        <v>79751188</v>
      </c>
      <c r="B1163" s="11">
        <v>44686</v>
      </c>
      <c r="C1163" s="13" t="s">
        <v>1826</v>
      </c>
      <c r="D1163" s="13" t="s">
        <v>1827</v>
      </c>
      <c r="E1163" s="8">
        <v>13000</v>
      </c>
      <c r="F1163" s="13" t="s">
        <v>70</v>
      </c>
      <c r="G1163" s="14">
        <v>44694</v>
      </c>
      <c r="H1163" s="13" t="s">
        <v>9</v>
      </c>
    </row>
    <row r="1164" spans="1:8" ht="14.4" x14ac:dyDescent="0.3">
      <c r="A1164" s="8">
        <v>79751189</v>
      </c>
      <c r="B1164" s="11">
        <v>44686</v>
      </c>
      <c r="C1164" s="13" t="s">
        <v>1828</v>
      </c>
      <c r="D1164" s="13" t="s">
        <v>1829</v>
      </c>
      <c r="E1164" s="8">
        <v>9000</v>
      </c>
      <c r="F1164" s="13" t="s">
        <v>70</v>
      </c>
      <c r="G1164" s="14">
        <v>44694</v>
      </c>
      <c r="H1164" s="13" t="s">
        <v>9</v>
      </c>
    </row>
    <row r="1165" spans="1:8" ht="14.4" x14ac:dyDescent="0.3">
      <c r="A1165" s="8">
        <v>79751190</v>
      </c>
      <c r="B1165" s="11">
        <v>44686</v>
      </c>
      <c r="C1165" s="13" t="s">
        <v>1830</v>
      </c>
      <c r="D1165" s="13" t="s">
        <v>1831</v>
      </c>
      <c r="E1165" s="8">
        <v>9000</v>
      </c>
      <c r="F1165" s="13" t="s">
        <v>70</v>
      </c>
      <c r="G1165" s="14">
        <v>44694</v>
      </c>
      <c r="H1165" s="13" t="s">
        <v>9</v>
      </c>
    </row>
    <row r="1166" spans="1:8" ht="14.4" x14ac:dyDescent="0.3">
      <c r="A1166" s="8">
        <v>79751191</v>
      </c>
      <c r="B1166" s="11">
        <v>44686</v>
      </c>
      <c r="C1166" s="13" t="s">
        <v>1832</v>
      </c>
      <c r="D1166" s="13" t="s">
        <v>1833</v>
      </c>
      <c r="E1166" s="8">
        <v>8000</v>
      </c>
      <c r="F1166" s="13" t="s">
        <v>70</v>
      </c>
      <c r="G1166" s="14">
        <v>44694</v>
      </c>
      <c r="H1166" s="13" t="s">
        <v>9</v>
      </c>
    </row>
    <row r="1167" spans="1:8" ht="14.4" x14ac:dyDescent="0.3">
      <c r="A1167" s="8">
        <v>79751192</v>
      </c>
      <c r="B1167" s="11">
        <v>44686</v>
      </c>
      <c r="C1167" s="13" t="s">
        <v>1834</v>
      </c>
      <c r="D1167" s="13" t="s">
        <v>1835</v>
      </c>
      <c r="E1167" s="8">
        <v>9400</v>
      </c>
      <c r="F1167" s="13" t="s">
        <v>70</v>
      </c>
      <c r="G1167" s="14">
        <v>44697</v>
      </c>
      <c r="H1167" s="13" t="s">
        <v>9</v>
      </c>
    </row>
    <row r="1168" spans="1:8" ht="14.4" x14ac:dyDescent="0.3">
      <c r="A1168" s="8">
        <v>79751193</v>
      </c>
      <c r="B1168" s="11">
        <v>44686</v>
      </c>
      <c r="C1168" s="13" t="s">
        <v>1836</v>
      </c>
      <c r="D1168" s="13" t="s">
        <v>1837</v>
      </c>
      <c r="E1168" s="8">
        <v>22000</v>
      </c>
      <c r="F1168" s="13" t="s">
        <v>70</v>
      </c>
      <c r="G1168" s="14">
        <v>44698</v>
      </c>
      <c r="H1168" s="13" t="s">
        <v>9</v>
      </c>
    </row>
    <row r="1169" spans="1:8" ht="14.4" x14ac:dyDescent="0.3">
      <c r="A1169" s="8">
        <v>79751194</v>
      </c>
      <c r="B1169" s="11">
        <v>44686</v>
      </c>
      <c r="C1169" s="13" t="s">
        <v>643</v>
      </c>
      <c r="D1169" s="13" t="s">
        <v>1838</v>
      </c>
      <c r="E1169" s="8">
        <v>30000</v>
      </c>
      <c r="F1169" s="13" t="s">
        <v>70</v>
      </c>
      <c r="G1169" s="14">
        <v>44698</v>
      </c>
      <c r="H1169" s="13" t="s">
        <v>9</v>
      </c>
    </row>
    <row r="1170" spans="1:8" ht="14.4" x14ac:dyDescent="0.3">
      <c r="A1170" s="8">
        <v>79751195</v>
      </c>
      <c r="B1170" s="11">
        <v>44686</v>
      </c>
      <c r="C1170" s="13" t="s">
        <v>1839</v>
      </c>
      <c r="D1170" s="13" t="s">
        <v>1840</v>
      </c>
      <c r="E1170" s="8">
        <v>40000</v>
      </c>
      <c r="F1170" s="13" t="s">
        <v>70</v>
      </c>
      <c r="G1170" s="14">
        <v>44712</v>
      </c>
      <c r="H1170" s="13" t="s">
        <v>9</v>
      </c>
    </row>
    <row r="1171" spans="1:8" ht="14.4" x14ac:dyDescent="0.3">
      <c r="A1171" s="8">
        <v>79751196</v>
      </c>
      <c r="B1171" s="11">
        <v>44686</v>
      </c>
      <c r="C1171" s="13" t="s">
        <v>1841</v>
      </c>
      <c r="D1171" s="13" t="s">
        <v>1842</v>
      </c>
      <c r="E1171" s="8">
        <v>25000</v>
      </c>
      <c r="F1171" s="13" t="s">
        <v>70</v>
      </c>
      <c r="G1171" s="14">
        <v>44693</v>
      </c>
      <c r="H1171" s="13" t="s">
        <v>9</v>
      </c>
    </row>
    <row r="1172" spans="1:8" ht="14.4" x14ac:dyDescent="0.3">
      <c r="A1172" s="8">
        <v>79751197</v>
      </c>
      <c r="B1172" s="11">
        <v>44686</v>
      </c>
      <c r="C1172" s="13" t="s">
        <v>1843</v>
      </c>
      <c r="D1172" s="13" t="s">
        <v>1844</v>
      </c>
      <c r="E1172" s="8">
        <v>20000</v>
      </c>
      <c r="F1172" s="13" t="s">
        <v>70</v>
      </c>
      <c r="G1172" s="14">
        <v>44694</v>
      </c>
      <c r="H1172" s="13" t="s">
        <v>9</v>
      </c>
    </row>
    <row r="1173" spans="1:8" ht="14.4" x14ac:dyDescent="0.3">
      <c r="A1173" s="8">
        <v>79751198</v>
      </c>
      <c r="B1173" s="11">
        <v>44686</v>
      </c>
      <c r="C1173" s="13" t="s">
        <v>1845</v>
      </c>
      <c r="D1173" s="13" t="s">
        <v>1846</v>
      </c>
      <c r="E1173" s="8">
        <v>7000</v>
      </c>
      <c r="F1173" s="13" t="s">
        <v>70</v>
      </c>
      <c r="G1173" s="14">
        <v>44698</v>
      </c>
      <c r="H1173" s="13" t="s">
        <v>9</v>
      </c>
    </row>
    <row r="1174" spans="1:8" ht="14.4" x14ac:dyDescent="0.3">
      <c r="A1174" s="8">
        <v>79751199</v>
      </c>
      <c r="B1174" s="11">
        <v>44686</v>
      </c>
      <c r="C1174" s="13" t="s">
        <v>1847</v>
      </c>
      <c r="D1174" s="13" t="s">
        <v>1848</v>
      </c>
      <c r="E1174" s="8">
        <v>10000</v>
      </c>
      <c r="F1174" s="13" t="s">
        <v>70</v>
      </c>
      <c r="G1174" s="14">
        <v>44698</v>
      </c>
      <c r="H1174" s="13" t="s">
        <v>9</v>
      </c>
    </row>
    <row r="1175" spans="1:8" ht="14.4" x14ac:dyDescent="0.3">
      <c r="A1175" s="8">
        <v>79751200</v>
      </c>
      <c r="B1175" s="11">
        <v>44686</v>
      </c>
      <c r="C1175" s="13" t="s">
        <v>1849</v>
      </c>
      <c r="D1175" s="13" t="s">
        <v>1850</v>
      </c>
      <c r="E1175" s="8">
        <v>8000</v>
      </c>
      <c r="F1175" s="13" t="s">
        <v>70</v>
      </c>
      <c r="G1175" s="14">
        <v>44698</v>
      </c>
      <c r="H1175" s="13" t="s">
        <v>9</v>
      </c>
    </row>
    <row r="1176" spans="1:8" ht="14.4" x14ac:dyDescent="0.3">
      <c r="A1176" s="8">
        <v>79751201</v>
      </c>
      <c r="B1176" s="11">
        <v>44686</v>
      </c>
      <c r="C1176" s="13" t="s">
        <v>1851</v>
      </c>
      <c r="D1176" s="13" t="s">
        <v>1852</v>
      </c>
      <c r="E1176" s="8">
        <v>15000</v>
      </c>
      <c r="F1176" s="13" t="s">
        <v>70</v>
      </c>
      <c r="G1176" s="14">
        <v>44687</v>
      </c>
      <c r="H1176" s="13" t="s">
        <v>9</v>
      </c>
    </row>
    <row r="1177" spans="1:8" ht="14.4" x14ac:dyDescent="0.3">
      <c r="A1177" s="8">
        <v>79751202</v>
      </c>
      <c r="B1177" s="11">
        <v>44686</v>
      </c>
      <c r="C1177" s="13" t="s">
        <v>1596</v>
      </c>
      <c r="D1177" s="13" t="s">
        <v>1853</v>
      </c>
      <c r="E1177" s="8">
        <v>6879.6</v>
      </c>
      <c r="F1177" s="13" t="s">
        <v>70</v>
      </c>
      <c r="G1177" s="14">
        <v>44705</v>
      </c>
      <c r="H1177" s="13" t="s">
        <v>9</v>
      </c>
    </row>
    <row r="1178" spans="1:8" ht="14.4" x14ac:dyDescent="0.3">
      <c r="A1178" s="8">
        <v>79751203</v>
      </c>
      <c r="B1178" s="11">
        <v>44686</v>
      </c>
      <c r="C1178" s="13" t="s">
        <v>1854</v>
      </c>
      <c r="D1178" s="13" t="s">
        <v>1855</v>
      </c>
      <c r="E1178" s="8">
        <v>301.08999999999997</v>
      </c>
      <c r="F1178" s="13" t="s">
        <v>70</v>
      </c>
      <c r="G1178" s="14">
        <v>44701</v>
      </c>
      <c r="H1178" s="13" t="s">
        <v>9</v>
      </c>
    </row>
    <row r="1179" spans="1:8" ht="14.4" x14ac:dyDescent="0.3">
      <c r="A1179" s="8">
        <v>79751205</v>
      </c>
      <c r="B1179" s="11">
        <v>44686</v>
      </c>
      <c r="C1179" s="13" t="s">
        <v>1424</v>
      </c>
      <c r="D1179" s="13" t="s">
        <v>1856</v>
      </c>
      <c r="E1179" s="8">
        <v>53946.43</v>
      </c>
      <c r="F1179" s="13" t="s">
        <v>70</v>
      </c>
      <c r="G1179" s="14">
        <v>44707</v>
      </c>
      <c r="H1179" s="13" t="s">
        <v>9</v>
      </c>
    </row>
    <row r="1180" spans="1:8" ht="14.4" x14ac:dyDescent="0.3">
      <c r="A1180" s="8">
        <v>79751207</v>
      </c>
      <c r="B1180" s="11">
        <v>44686</v>
      </c>
      <c r="C1180" s="13" t="s">
        <v>127</v>
      </c>
      <c r="D1180" s="13" t="s">
        <v>1857</v>
      </c>
      <c r="E1180" s="8">
        <v>17475.8</v>
      </c>
      <c r="F1180" s="13" t="s">
        <v>70</v>
      </c>
      <c r="G1180" s="14">
        <v>44687</v>
      </c>
      <c r="H1180" s="13" t="s">
        <v>9</v>
      </c>
    </row>
    <row r="1181" spans="1:8" ht="14.4" x14ac:dyDescent="0.3">
      <c r="A1181" s="8">
        <v>79751208</v>
      </c>
      <c r="B1181" s="11">
        <v>44686</v>
      </c>
      <c r="C1181" s="13" t="s">
        <v>1581</v>
      </c>
      <c r="D1181" s="13" t="s">
        <v>1858</v>
      </c>
      <c r="E1181" s="8">
        <v>27683.040000000001</v>
      </c>
      <c r="F1181" s="13" t="s">
        <v>70</v>
      </c>
      <c r="G1181" s="14">
        <v>44687</v>
      </c>
      <c r="H1181" s="13" t="s">
        <v>9</v>
      </c>
    </row>
    <row r="1182" spans="1:8" ht="14.4" x14ac:dyDescent="0.3">
      <c r="A1182" s="8">
        <v>79751209</v>
      </c>
      <c r="B1182" s="11">
        <v>44686</v>
      </c>
      <c r="C1182" s="13" t="s">
        <v>265</v>
      </c>
      <c r="D1182" s="13" t="s">
        <v>1859</v>
      </c>
      <c r="E1182" s="8">
        <v>163231.5</v>
      </c>
      <c r="F1182" s="13" t="s">
        <v>70</v>
      </c>
      <c r="G1182" s="14">
        <v>44687</v>
      </c>
      <c r="H1182" s="13" t="s">
        <v>9</v>
      </c>
    </row>
    <row r="1183" spans="1:8" ht="14.4" x14ac:dyDescent="0.3">
      <c r="A1183" s="8">
        <v>79751211</v>
      </c>
      <c r="B1183" s="11">
        <v>44686</v>
      </c>
      <c r="C1183" s="13" t="s">
        <v>265</v>
      </c>
      <c r="D1183" s="13" t="s">
        <v>1860</v>
      </c>
      <c r="E1183" s="8">
        <v>160574.70000000001</v>
      </c>
      <c r="F1183" s="13" t="s">
        <v>70</v>
      </c>
      <c r="G1183" s="14">
        <v>44687</v>
      </c>
      <c r="H1183" s="13" t="s">
        <v>9</v>
      </c>
    </row>
    <row r="1184" spans="1:8" ht="14.4" x14ac:dyDescent="0.3">
      <c r="A1184" s="8">
        <v>79751212</v>
      </c>
      <c r="B1184" s="11">
        <v>44686</v>
      </c>
      <c r="C1184" s="13" t="s">
        <v>162</v>
      </c>
      <c r="D1184" s="13" t="s">
        <v>1861</v>
      </c>
      <c r="E1184" s="8">
        <v>3545.56</v>
      </c>
      <c r="F1184" s="13" t="s">
        <v>70</v>
      </c>
      <c r="G1184" s="14">
        <v>44698</v>
      </c>
      <c r="H1184" s="13" t="s">
        <v>9</v>
      </c>
    </row>
    <row r="1185" spans="1:8" ht="14.4" x14ac:dyDescent="0.3">
      <c r="A1185" s="8">
        <v>79751213</v>
      </c>
      <c r="B1185" s="11">
        <v>44686</v>
      </c>
      <c r="C1185" s="13" t="s">
        <v>162</v>
      </c>
      <c r="D1185" s="13" t="s">
        <v>1862</v>
      </c>
      <c r="E1185" s="8">
        <v>1606.09</v>
      </c>
      <c r="F1185" s="13" t="s">
        <v>70</v>
      </c>
      <c r="G1185" s="14">
        <v>44698</v>
      </c>
      <c r="H1185" s="13" t="s">
        <v>9</v>
      </c>
    </row>
    <row r="1186" spans="1:8" ht="14.4" x14ac:dyDescent="0.3">
      <c r="A1186" s="8">
        <v>79751214</v>
      </c>
      <c r="B1186" s="11">
        <v>44686</v>
      </c>
      <c r="C1186" s="13" t="s">
        <v>162</v>
      </c>
      <c r="D1186" s="13" t="s">
        <v>1863</v>
      </c>
      <c r="E1186" s="8">
        <v>84.94</v>
      </c>
      <c r="F1186" s="13" t="s">
        <v>70</v>
      </c>
      <c r="G1186" s="14">
        <v>44698</v>
      </c>
      <c r="H1186" s="13" t="s">
        <v>9</v>
      </c>
    </row>
    <row r="1187" spans="1:8" ht="14.4" x14ac:dyDescent="0.3">
      <c r="A1187" s="8">
        <v>79751215</v>
      </c>
      <c r="B1187" s="11">
        <v>44686</v>
      </c>
      <c r="C1187" s="13" t="s">
        <v>186</v>
      </c>
      <c r="D1187" s="13" t="s">
        <v>1864</v>
      </c>
      <c r="E1187" s="8">
        <v>232445.21</v>
      </c>
      <c r="F1187" s="13" t="s">
        <v>70</v>
      </c>
      <c r="G1187" s="14">
        <v>44687</v>
      </c>
      <c r="H1187" s="13" t="s">
        <v>9</v>
      </c>
    </row>
    <row r="1188" spans="1:8" ht="14.4" x14ac:dyDescent="0.3">
      <c r="A1188" s="8">
        <v>79751216</v>
      </c>
      <c r="B1188" s="11">
        <v>44686</v>
      </c>
      <c r="C1188" s="13" t="s">
        <v>235</v>
      </c>
      <c r="D1188" s="13" t="s">
        <v>1865</v>
      </c>
      <c r="E1188" s="8">
        <v>411935</v>
      </c>
      <c r="F1188" s="13" t="s">
        <v>70</v>
      </c>
      <c r="G1188" s="14">
        <v>44687</v>
      </c>
      <c r="H1188" s="13" t="s">
        <v>9</v>
      </c>
    </row>
    <row r="1189" spans="1:8" ht="14.4" x14ac:dyDescent="0.3">
      <c r="A1189" s="8">
        <v>79751217</v>
      </c>
      <c r="B1189" s="11">
        <v>44686</v>
      </c>
      <c r="C1189" s="13" t="s">
        <v>1584</v>
      </c>
      <c r="D1189" s="13" t="s">
        <v>1866</v>
      </c>
      <c r="E1189" s="8">
        <v>8754.4599999999991</v>
      </c>
      <c r="F1189" s="13" t="s">
        <v>70</v>
      </c>
      <c r="G1189" s="14">
        <v>44701</v>
      </c>
      <c r="H1189" s="13" t="s">
        <v>9</v>
      </c>
    </row>
    <row r="1190" spans="1:8" ht="14.4" x14ac:dyDescent="0.3">
      <c r="A1190" s="8">
        <v>79751218</v>
      </c>
      <c r="B1190" s="11">
        <v>44686</v>
      </c>
      <c r="C1190" s="13" t="s">
        <v>156</v>
      </c>
      <c r="D1190" s="13" t="s">
        <v>1304</v>
      </c>
      <c r="E1190" s="8">
        <v>189103.82</v>
      </c>
      <c r="F1190" s="13" t="s">
        <v>70</v>
      </c>
      <c r="G1190" s="14">
        <v>44687</v>
      </c>
      <c r="H1190" s="13" t="s">
        <v>9</v>
      </c>
    </row>
    <row r="1191" spans="1:8" ht="14.4" x14ac:dyDescent="0.3">
      <c r="A1191" s="8">
        <v>79751219</v>
      </c>
      <c r="B1191" s="11">
        <v>44686</v>
      </c>
      <c r="C1191" s="13" t="s">
        <v>395</v>
      </c>
      <c r="D1191" s="13" t="s">
        <v>1867</v>
      </c>
      <c r="E1191" s="8">
        <v>32865</v>
      </c>
      <c r="F1191" s="13" t="s">
        <v>70</v>
      </c>
      <c r="G1191" s="14">
        <v>44687</v>
      </c>
      <c r="H1191" s="13" t="s">
        <v>9</v>
      </c>
    </row>
    <row r="1192" spans="1:8" ht="14.4" x14ac:dyDescent="0.3">
      <c r="A1192" s="8">
        <v>79751220</v>
      </c>
      <c r="B1192" s="11">
        <v>44686</v>
      </c>
      <c r="C1192" s="13" t="s">
        <v>1276</v>
      </c>
      <c r="D1192" s="13" t="s">
        <v>1868</v>
      </c>
      <c r="E1192" s="8">
        <v>36000</v>
      </c>
      <c r="F1192" s="13" t="s">
        <v>70</v>
      </c>
      <c r="G1192" s="14">
        <v>44692</v>
      </c>
      <c r="H1192" s="13" t="s">
        <v>9</v>
      </c>
    </row>
    <row r="1193" spans="1:8" ht="14.4" x14ac:dyDescent="0.3">
      <c r="A1193" s="8">
        <v>79751221</v>
      </c>
      <c r="B1193" s="11">
        <v>44686</v>
      </c>
      <c r="C1193" s="13" t="s">
        <v>1869</v>
      </c>
      <c r="D1193" s="13" t="s">
        <v>1870</v>
      </c>
      <c r="E1193" s="8">
        <v>20000</v>
      </c>
      <c r="F1193" s="13" t="s">
        <v>70</v>
      </c>
      <c r="G1193" s="14">
        <v>44698</v>
      </c>
      <c r="H1193" s="13" t="s">
        <v>9</v>
      </c>
    </row>
    <row r="1194" spans="1:8" ht="14.4" x14ac:dyDescent="0.3">
      <c r="A1194" s="8">
        <v>79751222</v>
      </c>
      <c r="B1194" s="11">
        <v>44686</v>
      </c>
      <c r="C1194" s="13" t="s">
        <v>1871</v>
      </c>
      <c r="D1194" s="13" t="s">
        <v>1872</v>
      </c>
      <c r="E1194" s="8">
        <v>30000</v>
      </c>
      <c r="F1194" s="13" t="s">
        <v>70</v>
      </c>
      <c r="G1194" s="14">
        <v>44697</v>
      </c>
      <c r="H1194" s="13" t="s">
        <v>9</v>
      </c>
    </row>
    <row r="1195" spans="1:8" ht="14.4" x14ac:dyDescent="0.3">
      <c r="A1195" s="8">
        <v>79751223</v>
      </c>
      <c r="B1195" s="11">
        <v>44686</v>
      </c>
      <c r="C1195" s="13" t="s">
        <v>1873</v>
      </c>
      <c r="D1195" s="13" t="s">
        <v>1874</v>
      </c>
      <c r="E1195" s="8">
        <v>35000</v>
      </c>
      <c r="F1195" s="13" t="s">
        <v>70</v>
      </c>
      <c r="G1195" s="14">
        <v>44705</v>
      </c>
      <c r="H1195" s="13" t="s">
        <v>9</v>
      </c>
    </row>
    <row r="1196" spans="1:8" ht="14.4" x14ac:dyDescent="0.3">
      <c r="A1196" s="8">
        <v>79751224</v>
      </c>
      <c r="B1196" s="11">
        <v>44686</v>
      </c>
      <c r="C1196" s="13" t="s">
        <v>1875</v>
      </c>
      <c r="D1196" s="13" t="s">
        <v>1876</v>
      </c>
      <c r="E1196" s="8">
        <v>40000</v>
      </c>
      <c r="F1196" s="13" t="s">
        <v>70</v>
      </c>
      <c r="G1196" s="14">
        <v>44698</v>
      </c>
      <c r="H1196" s="13" t="s">
        <v>9</v>
      </c>
    </row>
    <row r="1197" spans="1:8" ht="14.4" x14ac:dyDescent="0.3">
      <c r="A1197" s="8">
        <v>79751225</v>
      </c>
      <c r="B1197" s="11">
        <v>44686</v>
      </c>
      <c r="C1197" s="13" t="s">
        <v>1877</v>
      </c>
      <c r="D1197" s="13" t="s">
        <v>1878</v>
      </c>
      <c r="E1197" s="8">
        <v>50000</v>
      </c>
      <c r="F1197" s="13" t="s">
        <v>70</v>
      </c>
      <c r="G1197" s="14">
        <v>44698</v>
      </c>
      <c r="H1197" s="13" t="s">
        <v>9</v>
      </c>
    </row>
    <row r="1198" spans="1:8" ht="14.4" x14ac:dyDescent="0.3">
      <c r="A1198" s="8">
        <v>79751226</v>
      </c>
      <c r="B1198" s="11">
        <v>44686</v>
      </c>
      <c r="C1198" s="13" t="s">
        <v>1879</v>
      </c>
      <c r="D1198" s="13" t="s">
        <v>1880</v>
      </c>
      <c r="E1198" s="8">
        <v>8000</v>
      </c>
      <c r="F1198" s="13" t="s">
        <v>70</v>
      </c>
      <c r="G1198" s="14">
        <v>44693</v>
      </c>
      <c r="H1198" s="13" t="s">
        <v>9</v>
      </c>
    </row>
    <row r="1199" spans="1:8" ht="14.4" x14ac:dyDescent="0.3">
      <c r="A1199" s="8">
        <v>79751227</v>
      </c>
      <c r="B1199" s="11">
        <v>44686</v>
      </c>
      <c r="C1199" s="13" t="s">
        <v>74</v>
      </c>
      <c r="D1199" s="13" t="s">
        <v>1881</v>
      </c>
      <c r="E1199" s="8">
        <v>6000</v>
      </c>
      <c r="F1199" s="13" t="s">
        <v>70</v>
      </c>
      <c r="G1199" s="14">
        <v>44707</v>
      </c>
      <c r="H1199" s="13" t="s">
        <v>9</v>
      </c>
    </row>
    <row r="1200" spans="1:8" ht="14.4" x14ac:dyDescent="0.3">
      <c r="A1200" s="8">
        <v>79751228</v>
      </c>
      <c r="B1200" s="11">
        <v>44686</v>
      </c>
      <c r="C1200" s="13" t="s">
        <v>1882</v>
      </c>
      <c r="D1200" s="13" t="s">
        <v>1883</v>
      </c>
      <c r="E1200" s="8">
        <v>20000</v>
      </c>
      <c r="F1200" s="13" t="s">
        <v>70</v>
      </c>
      <c r="G1200" s="14">
        <v>44693</v>
      </c>
      <c r="H1200" s="13" t="s">
        <v>9</v>
      </c>
    </row>
    <row r="1201" spans="1:8" ht="14.4" x14ac:dyDescent="0.3">
      <c r="A1201" s="8">
        <v>79751229</v>
      </c>
      <c r="B1201" s="11">
        <v>44686</v>
      </c>
      <c r="C1201" s="13" t="s">
        <v>1884</v>
      </c>
      <c r="D1201" s="13" t="s">
        <v>1885</v>
      </c>
      <c r="E1201" s="8">
        <v>10000</v>
      </c>
      <c r="F1201" s="13" t="s">
        <v>70</v>
      </c>
      <c r="G1201" s="14">
        <v>44694</v>
      </c>
      <c r="H1201" s="13" t="s">
        <v>9</v>
      </c>
    </row>
    <row r="1202" spans="1:8" ht="14.4" x14ac:dyDescent="0.3">
      <c r="A1202" s="8">
        <v>79751230</v>
      </c>
      <c r="B1202" s="11">
        <v>44686</v>
      </c>
      <c r="C1202" s="13" t="s">
        <v>1886</v>
      </c>
      <c r="D1202" s="13" t="s">
        <v>1887</v>
      </c>
      <c r="E1202" s="8">
        <v>12000</v>
      </c>
      <c r="F1202" s="13" t="s">
        <v>70</v>
      </c>
      <c r="G1202" s="14">
        <v>44694</v>
      </c>
      <c r="H1202" s="13" t="s">
        <v>9</v>
      </c>
    </row>
    <row r="1203" spans="1:8" ht="14.4" x14ac:dyDescent="0.3">
      <c r="A1203" s="8">
        <v>79751231</v>
      </c>
      <c r="B1203" s="11">
        <v>44686</v>
      </c>
      <c r="C1203" s="13" t="s">
        <v>1888</v>
      </c>
      <c r="D1203" s="13" t="s">
        <v>1889</v>
      </c>
      <c r="E1203" s="8">
        <v>15000</v>
      </c>
      <c r="F1203" s="13" t="s">
        <v>70</v>
      </c>
      <c r="G1203" s="14">
        <v>44693</v>
      </c>
      <c r="H1203" s="13" t="s">
        <v>9</v>
      </c>
    </row>
    <row r="1204" spans="1:8" ht="14.4" x14ac:dyDescent="0.3">
      <c r="A1204" s="8">
        <v>79751232</v>
      </c>
      <c r="B1204" s="11">
        <v>44686</v>
      </c>
      <c r="C1204" s="13" t="s">
        <v>1890</v>
      </c>
      <c r="D1204" s="13" t="s">
        <v>1891</v>
      </c>
      <c r="E1204" s="8">
        <v>30000</v>
      </c>
      <c r="F1204" s="13" t="s">
        <v>70</v>
      </c>
      <c r="G1204" s="14">
        <v>44693</v>
      </c>
      <c r="H1204" s="13" t="s">
        <v>9</v>
      </c>
    </row>
    <row r="1205" spans="1:8" ht="14.4" x14ac:dyDescent="0.3">
      <c r="A1205" s="8">
        <v>79751233</v>
      </c>
      <c r="B1205" s="11">
        <v>44686</v>
      </c>
      <c r="C1205" s="13" t="s">
        <v>1892</v>
      </c>
      <c r="D1205" s="13" t="s">
        <v>1893</v>
      </c>
      <c r="E1205" s="8">
        <v>50000</v>
      </c>
      <c r="F1205" s="13" t="s">
        <v>70</v>
      </c>
      <c r="G1205" s="14">
        <v>44693</v>
      </c>
      <c r="H1205" s="13" t="s">
        <v>9</v>
      </c>
    </row>
    <row r="1206" spans="1:8" ht="14.4" x14ac:dyDescent="0.3">
      <c r="A1206" s="8">
        <v>79751234</v>
      </c>
      <c r="B1206" s="11">
        <v>44686</v>
      </c>
      <c r="C1206" s="13" t="s">
        <v>1894</v>
      </c>
      <c r="D1206" s="13" t="s">
        <v>1895</v>
      </c>
      <c r="E1206" s="8">
        <v>10000</v>
      </c>
      <c r="F1206" s="13" t="s">
        <v>70</v>
      </c>
      <c r="G1206" s="14">
        <v>44693</v>
      </c>
      <c r="H1206" s="13" t="s">
        <v>9</v>
      </c>
    </row>
    <row r="1207" spans="1:8" ht="14.4" x14ac:dyDescent="0.3">
      <c r="A1207" s="8">
        <v>79751235</v>
      </c>
      <c r="B1207" s="11">
        <v>44686</v>
      </c>
      <c r="C1207" s="13" t="s">
        <v>1896</v>
      </c>
      <c r="D1207" s="13" t="s">
        <v>1897</v>
      </c>
      <c r="E1207" s="8">
        <v>10000</v>
      </c>
      <c r="F1207" s="13" t="s">
        <v>70</v>
      </c>
      <c r="G1207" s="14">
        <v>44692</v>
      </c>
      <c r="H1207" s="13" t="s">
        <v>9</v>
      </c>
    </row>
    <row r="1208" spans="1:8" ht="14.4" x14ac:dyDescent="0.3">
      <c r="A1208" s="8">
        <v>79751236</v>
      </c>
      <c r="B1208" s="11">
        <v>44686</v>
      </c>
      <c r="C1208" s="13" t="s">
        <v>1898</v>
      </c>
      <c r="D1208" s="13" t="s">
        <v>1899</v>
      </c>
      <c r="E1208" s="8">
        <v>10000</v>
      </c>
      <c r="F1208" s="13" t="s">
        <v>70</v>
      </c>
      <c r="G1208" s="14">
        <v>44694</v>
      </c>
      <c r="H1208" s="13" t="s">
        <v>9</v>
      </c>
    </row>
    <row r="1209" spans="1:8" ht="14.4" x14ac:dyDescent="0.3">
      <c r="A1209" s="8">
        <v>79751237</v>
      </c>
      <c r="B1209" s="11">
        <v>44686</v>
      </c>
      <c r="C1209" s="13" t="s">
        <v>1900</v>
      </c>
      <c r="D1209" s="13" t="s">
        <v>1901</v>
      </c>
      <c r="E1209" s="8">
        <v>15000</v>
      </c>
      <c r="F1209" s="13" t="s">
        <v>70</v>
      </c>
      <c r="G1209" s="14">
        <v>44692</v>
      </c>
      <c r="H1209" s="13" t="s">
        <v>9</v>
      </c>
    </row>
    <row r="1210" spans="1:8" ht="14.4" x14ac:dyDescent="0.3">
      <c r="A1210" s="8">
        <v>79751238</v>
      </c>
      <c r="B1210" s="11">
        <v>44686</v>
      </c>
      <c r="C1210" s="13" t="s">
        <v>1902</v>
      </c>
      <c r="D1210" s="13" t="s">
        <v>1903</v>
      </c>
      <c r="E1210" s="8">
        <v>15000</v>
      </c>
      <c r="F1210" s="13" t="s">
        <v>70</v>
      </c>
      <c r="G1210" s="14">
        <v>44693</v>
      </c>
      <c r="H1210" s="13" t="s">
        <v>9</v>
      </c>
    </row>
    <row r="1211" spans="1:8" ht="14.4" x14ac:dyDescent="0.3">
      <c r="A1211" s="8">
        <v>79751239</v>
      </c>
      <c r="B1211" s="11">
        <v>44686</v>
      </c>
      <c r="C1211" s="13" t="s">
        <v>1904</v>
      </c>
      <c r="D1211" s="13" t="s">
        <v>1905</v>
      </c>
      <c r="E1211" s="8">
        <v>7000</v>
      </c>
      <c r="F1211" s="13" t="s">
        <v>70</v>
      </c>
      <c r="G1211" s="14">
        <v>44693</v>
      </c>
      <c r="H1211" s="13" t="s">
        <v>9</v>
      </c>
    </row>
    <row r="1212" spans="1:8" ht="14.4" x14ac:dyDescent="0.3">
      <c r="A1212" s="8">
        <v>79751240</v>
      </c>
      <c r="B1212" s="11">
        <v>44686</v>
      </c>
      <c r="C1212" s="13" t="s">
        <v>1906</v>
      </c>
      <c r="D1212" s="13" t="s">
        <v>1907</v>
      </c>
      <c r="E1212" s="8">
        <v>14000</v>
      </c>
      <c r="F1212" s="13" t="s">
        <v>70</v>
      </c>
      <c r="G1212" s="14">
        <v>44693</v>
      </c>
      <c r="H1212" s="13" t="s">
        <v>9</v>
      </c>
    </row>
    <row r="1213" spans="1:8" ht="14.4" x14ac:dyDescent="0.3">
      <c r="A1213" s="8">
        <v>79751241</v>
      </c>
      <c r="B1213" s="11">
        <v>44686</v>
      </c>
      <c r="C1213" s="13" t="s">
        <v>122</v>
      </c>
      <c r="D1213" s="13" t="s">
        <v>1908</v>
      </c>
      <c r="E1213" s="8">
        <v>50000</v>
      </c>
      <c r="F1213" s="13" t="s">
        <v>70</v>
      </c>
      <c r="G1213" s="14">
        <v>44708</v>
      </c>
      <c r="H1213" s="13" t="s">
        <v>9</v>
      </c>
    </row>
    <row r="1214" spans="1:8" ht="14.4" x14ac:dyDescent="0.3">
      <c r="A1214" s="8">
        <v>79751242</v>
      </c>
      <c r="B1214" s="11">
        <v>44686</v>
      </c>
      <c r="C1214" s="13" t="s">
        <v>1286</v>
      </c>
      <c r="D1214" s="13" t="s">
        <v>1909</v>
      </c>
      <c r="E1214" s="8">
        <v>6748.7</v>
      </c>
      <c r="F1214" s="13" t="s">
        <v>70</v>
      </c>
      <c r="G1214" s="14">
        <v>44687</v>
      </c>
      <c r="H1214" s="13" t="s">
        <v>9</v>
      </c>
    </row>
    <row r="1215" spans="1:8" ht="14.4" x14ac:dyDescent="0.3">
      <c r="A1215" s="8">
        <v>79751243</v>
      </c>
      <c r="B1215" s="11">
        <v>44686</v>
      </c>
      <c r="C1215" s="13" t="s">
        <v>1286</v>
      </c>
      <c r="D1215" s="13" t="s">
        <v>1910</v>
      </c>
      <c r="E1215" s="8">
        <v>9539.07</v>
      </c>
      <c r="F1215" s="13" t="s">
        <v>70</v>
      </c>
      <c r="G1215" s="14">
        <v>44687</v>
      </c>
      <c r="H1215" s="13" t="s">
        <v>9</v>
      </c>
    </row>
    <row r="1216" spans="1:8" ht="14.4" x14ac:dyDescent="0.3">
      <c r="A1216" s="8">
        <v>79751244</v>
      </c>
      <c r="B1216" s="11">
        <v>44686</v>
      </c>
      <c r="C1216" s="13" t="s">
        <v>1286</v>
      </c>
      <c r="D1216" s="13" t="s">
        <v>1911</v>
      </c>
      <c r="E1216" s="8">
        <v>16151.54</v>
      </c>
      <c r="F1216" s="13" t="s">
        <v>70</v>
      </c>
      <c r="G1216" s="14">
        <v>44687</v>
      </c>
      <c r="H1216" s="13" t="s">
        <v>9</v>
      </c>
    </row>
    <row r="1217" spans="1:8" ht="14.4" x14ac:dyDescent="0.3">
      <c r="A1217" s="8">
        <v>79751245</v>
      </c>
      <c r="B1217" s="11">
        <v>44686</v>
      </c>
      <c r="C1217" s="13" t="s">
        <v>1286</v>
      </c>
      <c r="D1217" s="13" t="s">
        <v>1912</v>
      </c>
      <c r="E1217" s="8">
        <v>7013.73</v>
      </c>
      <c r="F1217" s="13" t="s">
        <v>70</v>
      </c>
      <c r="G1217" s="14">
        <v>44687</v>
      </c>
      <c r="H1217" s="13" t="s">
        <v>9</v>
      </c>
    </row>
    <row r="1218" spans="1:8" ht="14.4" x14ac:dyDescent="0.3">
      <c r="A1218" s="8">
        <v>79751246</v>
      </c>
      <c r="B1218" s="11">
        <v>44686</v>
      </c>
      <c r="C1218" s="13" t="s">
        <v>361</v>
      </c>
      <c r="D1218" s="13" t="s">
        <v>1913</v>
      </c>
      <c r="E1218" s="8">
        <v>25121.84</v>
      </c>
      <c r="F1218" s="13" t="s">
        <v>70</v>
      </c>
      <c r="G1218" s="14">
        <v>44691</v>
      </c>
      <c r="H1218" s="13" t="s">
        <v>9</v>
      </c>
    </row>
    <row r="1219" spans="1:8" ht="14.4" x14ac:dyDescent="0.3">
      <c r="A1219" s="8">
        <v>79751247</v>
      </c>
      <c r="B1219" s="11">
        <v>44686</v>
      </c>
      <c r="C1219" s="13" t="s">
        <v>361</v>
      </c>
      <c r="D1219" s="13" t="s">
        <v>1914</v>
      </c>
      <c r="E1219" s="8">
        <v>20932.48</v>
      </c>
      <c r="F1219" s="13" t="s">
        <v>70</v>
      </c>
      <c r="G1219" s="14">
        <v>44691</v>
      </c>
      <c r="H1219" s="13" t="s">
        <v>9</v>
      </c>
    </row>
    <row r="1220" spans="1:8" ht="14.4" x14ac:dyDescent="0.3">
      <c r="A1220" s="8">
        <v>79751248</v>
      </c>
      <c r="B1220" s="11">
        <v>44686</v>
      </c>
      <c r="C1220" s="13" t="s">
        <v>1286</v>
      </c>
      <c r="D1220" s="13" t="s">
        <v>1915</v>
      </c>
      <c r="E1220" s="8">
        <v>8959.18</v>
      </c>
      <c r="F1220" s="13" t="s">
        <v>70</v>
      </c>
      <c r="G1220" s="14">
        <v>44687</v>
      </c>
      <c r="H1220" s="13" t="s">
        <v>9</v>
      </c>
    </row>
    <row r="1221" spans="1:8" ht="14.4" x14ac:dyDescent="0.3">
      <c r="A1221" s="8">
        <v>79751249</v>
      </c>
      <c r="B1221" s="11">
        <v>44686</v>
      </c>
      <c r="C1221" s="13" t="s">
        <v>1516</v>
      </c>
      <c r="D1221" s="13" t="s">
        <v>1916</v>
      </c>
      <c r="E1221" s="8">
        <v>4042.05</v>
      </c>
      <c r="F1221" s="13" t="s">
        <v>70</v>
      </c>
      <c r="G1221" s="14">
        <v>44692</v>
      </c>
      <c r="H1221" s="13" t="s">
        <v>9</v>
      </c>
    </row>
    <row r="1222" spans="1:8" ht="14.4" x14ac:dyDescent="0.3">
      <c r="A1222" s="8">
        <v>79751250</v>
      </c>
      <c r="B1222" s="11">
        <v>44686</v>
      </c>
      <c r="C1222" s="13" t="s">
        <v>1516</v>
      </c>
      <c r="D1222" s="13" t="s">
        <v>1917</v>
      </c>
      <c r="E1222" s="8">
        <v>18120.45</v>
      </c>
      <c r="F1222" s="13" t="s">
        <v>70</v>
      </c>
      <c r="G1222" s="14">
        <v>44692</v>
      </c>
      <c r="H1222" s="13" t="s">
        <v>9</v>
      </c>
    </row>
    <row r="1223" spans="1:8" ht="14.4" x14ac:dyDescent="0.3">
      <c r="A1223" s="8">
        <v>79751251</v>
      </c>
      <c r="B1223" s="11">
        <v>44686</v>
      </c>
      <c r="C1223" s="13" t="s">
        <v>1733</v>
      </c>
      <c r="D1223" s="13" t="s">
        <v>1918</v>
      </c>
      <c r="E1223" s="8">
        <v>48500</v>
      </c>
      <c r="F1223" s="13" t="s">
        <v>70</v>
      </c>
      <c r="G1223" s="14">
        <v>44699</v>
      </c>
      <c r="H1223" s="13" t="s">
        <v>9</v>
      </c>
    </row>
    <row r="1224" spans="1:8" ht="14.4" x14ac:dyDescent="0.3">
      <c r="A1224" s="8">
        <v>79751252</v>
      </c>
      <c r="B1224" s="11">
        <v>44686</v>
      </c>
      <c r="C1224" s="13" t="s">
        <v>202</v>
      </c>
      <c r="D1224" s="13" t="s">
        <v>1919</v>
      </c>
      <c r="E1224" s="8">
        <v>1373186.35</v>
      </c>
      <c r="F1224" s="13" t="s">
        <v>70</v>
      </c>
      <c r="G1224" s="14">
        <v>44687</v>
      </c>
      <c r="H1224" s="13" t="s">
        <v>9</v>
      </c>
    </row>
    <row r="1225" spans="1:8" ht="14.4" x14ac:dyDescent="0.3">
      <c r="A1225" s="8">
        <v>79751253</v>
      </c>
      <c r="B1225" s="11">
        <v>44686</v>
      </c>
      <c r="C1225" s="13" t="s">
        <v>1516</v>
      </c>
      <c r="D1225" s="13" t="s">
        <v>1920</v>
      </c>
      <c r="E1225" s="8">
        <v>4042.05</v>
      </c>
      <c r="F1225" s="13" t="s">
        <v>70</v>
      </c>
      <c r="G1225" s="14">
        <v>44692</v>
      </c>
      <c r="H1225" s="13" t="s">
        <v>9</v>
      </c>
    </row>
    <row r="1226" spans="1:8" ht="14.4" x14ac:dyDescent="0.3">
      <c r="A1226" s="8">
        <v>79751254</v>
      </c>
      <c r="B1226" s="11">
        <v>44686</v>
      </c>
      <c r="C1226" s="13" t="s">
        <v>127</v>
      </c>
      <c r="D1226" s="13" t="s">
        <v>1779</v>
      </c>
      <c r="E1226" s="8">
        <v>36882.32</v>
      </c>
      <c r="F1226" s="13" t="s">
        <v>70</v>
      </c>
      <c r="G1226" s="14">
        <v>44687</v>
      </c>
      <c r="H1226" s="13" t="s">
        <v>9</v>
      </c>
    </row>
    <row r="1227" spans="1:8" ht="14.4" x14ac:dyDescent="0.3">
      <c r="A1227" s="8">
        <v>79751255</v>
      </c>
      <c r="B1227" s="11">
        <v>44686</v>
      </c>
      <c r="C1227" s="13" t="s">
        <v>1745</v>
      </c>
      <c r="D1227" s="13" t="s">
        <v>1921</v>
      </c>
      <c r="E1227" s="8">
        <v>25725</v>
      </c>
      <c r="F1227" s="13" t="s">
        <v>70</v>
      </c>
      <c r="G1227" s="14">
        <v>44698</v>
      </c>
      <c r="H1227" s="13" t="s">
        <v>9</v>
      </c>
    </row>
    <row r="1228" spans="1:8" ht="14.4" x14ac:dyDescent="0.3">
      <c r="A1228" s="8">
        <v>79751256</v>
      </c>
      <c r="B1228" s="11">
        <v>44686</v>
      </c>
      <c r="C1228" s="13" t="s">
        <v>405</v>
      </c>
      <c r="D1228" s="13" t="s">
        <v>1922</v>
      </c>
      <c r="E1228" s="8">
        <v>18364.97</v>
      </c>
      <c r="F1228" s="13" t="s">
        <v>70</v>
      </c>
      <c r="G1228" s="14">
        <v>44692</v>
      </c>
      <c r="H1228" s="13" t="s">
        <v>9</v>
      </c>
    </row>
    <row r="1229" spans="1:8" ht="14.4" x14ac:dyDescent="0.3">
      <c r="A1229" s="8">
        <v>79751257</v>
      </c>
      <c r="B1229" s="11">
        <v>44686</v>
      </c>
      <c r="C1229" s="13" t="s">
        <v>1581</v>
      </c>
      <c r="D1229" s="13" t="s">
        <v>1923</v>
      </c>
      <c r="E1229" s="8">
        <v>14196.43</v>
      </c>
      <c r="F1229" s="13" t="s">
        <v>70</v>
      </c>
      <c r="G1229" s="14">
        <v>44687</v>
      </c>
      <c r="H1229" s="13" t="s">
        <v>9</v>
      </c>
    </row>
    <row r="1230" spans="1:8" ht="14.4" x14ac:dyDescent="0.3">
      <c r="A1230" s="8">
        <v>79751258</v>
      </c>
      <c r="B1230" s="11">
        <v>44686</v>
      </c>
      <c r="C1230" s="13" t="s">
        <v>1924</v>
      </c>
      <c r="D1230" s="13" t="s">
        <v>1925</v>
      </c>
      <c r="E1230" s="8">
        <v>1347500</v>
      </c>
      <c r="F1230" s="13" t="s">
        <v>70</v>
      </c>
      <c r="G1230" s="14">
        <v>44691</v>
      </c>
      <c r="H1230" s="13" t="s">
        <v>9</v>
      </c>
    </row>
    <row r="1231" spans="1:8" ht="14.4" x14ac:dyDescent="0.3">
      <c r="A1231" s="8">
        <v>79751259</v>
      </c>
      <c r="B1231" s="11">
        <v>44686</v>
      </c>
      <c r="C1231" s="13" t="s">
        <v>673</v>
      </c>
      <c r="D1231" s="13" t="s">
        <v>1926</v>
      </c>
      <c r="E1231" s="8">
        <v>20776</v>
      </c>
      <c r="F1231" s="13" t="s">
        <v>70</v>
      </c>
      <c r="G1231" s="14">
        <v>44687</v>
      </c>
      <c r="H1231" s="13" t="s">
        <v>9</v>
      </c>
    </row>
    <row r="1232" spans="1:8" ht="14.4" x14ac:dyDescent="0.3">
      <c r="A1232" s="8">
        <v>79751260</v>
      </c>
      <c r="B1232" s="11">
        <v>44686</v>
      </c>
      <c r="C1232" s="13" t="s">
        <v>1927</v>
      </c>
      <c r="D1232" s="13" t="s">
        <v>1928</v>
      </c>
      <c r="E1232" s="8">
        <v>7760.72</v>
      </c>
      <c r="F1232" s="13" t="s">
        <v>70</v>
      </c>
      <c r="G1232" s="14">
        <v>44700</v>
      </c>
      <c r="H1232" s="13" t="s">
        <v>9</v>
      </c>
    </row>
    <row r="1233" spans="1:8" ht="14.4" x14ac:dyDescent="0.3">
      <c r="A1233" s="8">
        <v>79751261</v>
      </c>
      <c r="B1233" s="11">
        <v>44686</v>
      </c>
      <c r="C1233" s="13" t="s">
        <v>1743</v>
      </c>
      <c r="D1233" s="13" t="s">
        <v>1929</v>
      </c>
      <c r="E1233" s="8">
        <v>1102.5</v>
      </c>
      <c r="F1233" s="13" t="s">
        <v>70</v>
      </c>
      <c r="G1233" s="14">
        <v>44687</v>
      </c>
      <c r="H1233" s="13" t="s">
        <v>9</v>
      </c>
    </row>
    <row r="1234" spans="1:8" ht="14.4" x14ac:dyDescent="0.3">
      <c r="A1234" s="8">
        <v>79751262</v>
      </c>
      <c r="B1234" s="11">
        <v>44686</v>
      </c>
      <c r="C1234" s="13" t="s">
        <v>1743</v>
      </c>
      <c r="D1234" s="13" t="s">
        <v>1930</v>
      </c>
      <c r="E1234" s="8">
        <v>1764</v>
      </c>
      <c r="F1234" s="13" t="s">
        <v>70</v>
      </c>
      <c r="G1234" s="14">
        <v>44687</v>
      </c>
      <c r="H1234" s="13" t="s">
        <v>9</v>
      </c>
    </row>
    <row r="1235" spans="1:8" ht="14.4" x14ac:dyDescent="0.3">
      <c r="A1235" s="8">
        <v>79751263</v>
      </c>
      <c r="B1235" s="11">
        <v>44687</v>
      </c>
      <c r="C1235" s="13" t="s">
        <v>361</v>
      </c>
      <c r="D1235" s="13" t="s">
        <v>1931</v>
      </c>
      <c r="E1235" s="8">
        <v>21579.72</v>
      </c>
      <c r="F1235" s="13" t="s">
        <v>70</v>
      </c>
      <c r="G1235" s="14">
        <v>44692</v>
      </c>
      <c r="H1235" s="13" t="s">
        <v>9</v>
      </c>
    </row>
    <row r="1236" spans="1:8" ht="14.4" x14ac:dyDescent="0.3">
      <c r="A1236" s="8">
        <v>79751264</v>
      </c>
      <c r="B1236" s="11">
        <v>44687</v>
      </c>
      <c r="C1236" s="13" t="s">
        <v>1932</v>
      </c>
      <c r="D1236" s="13" t="s">
        <v>901</v>
      </c>
      <c r="E1236" s="8">
        <v>149297.63</v>
      </c>
      <c r="F1236" s="13" t="s">
        <v>70</v>
      </c>
      <c r="G1236" s="14">
        <v>44687</v>
      </c>
      <c r="H1236" s="13" t="s">
        <v>9</v>
      </c>
    </row>
    <row r="1237" spans="1:8" ht="14.4" x14ac:dyDescent="0.3">
      <c r="A1237" s="8">
        <v>79751265</v>
      </c>
      <c r="B1237" s="11">
        <v>44687</v>
      </c>
      <c r="C1237" s="13" t="s">
        <v>673</v>
      </c>
      <c r="D1237" s="13" t="s">
        <v>1933</v>
      </c>
      <c r="E1237" s="8">
        <v>15925</v>
      </c>
      <c r="F1237" s="13" t="s">
        <v>70</v>
      </c>
      <c r="G1237" s="14">
        <v>44701</v>
      </c>
      <c r="H1237" s="13" t="s">
        <v>9</v>
      </c>
    </row>
    <row r="1238" spans="1:8" ht="14.4" x14ac:dyDescent="0.3">
      <c r="A1238" s="8">
        <v>79751266</v>
      </c>
      <c r="B1238" s="11">
        <v>44687</v>
      </c>
      <c r="C1238" s="13" t="s">
        <v>152</v>
      </c>
      <c r="D1238" s="13" t="s">
        <v>1934</v>
      </c>
      <c r="E1238" s="8">
        <v>20000</v>
      </c>
      <c r="F1238" s="13" t="s">
        <v>70</v>
      </c>
      <c r="G1238" s="14">
        <v>44699</v>
      </c>
      <c r="H1238" s="13" t="s">
        <v>9</v>
      </c>
    </row>
    <row r="1239" spans="1:8" ht="14.4" x14ac:dyDescent="0.3">
      <c r="A1239" s="8">
        <v>79751267</v>
      </c>
      <c r="B1239" s="11">
        <v>44687</v>
      </c>
      <c r="C1239" s="13" t="s">
        <v>1424</v>
      </c>
      <c r="D1239" s="13" t="s">
        <v>1856</v>
      </c>
      <c r="E1239" s="8">
        <v>57992.41</v>
      </c>
      <c r="F1239" s="13" t="s">
        <v>70</v>
      </c>
      <c r="G1239" s="14">
        <v>44707</v>
      </c>
      <c r="H1239" s="13" t="s">
        <v>9</v>
      </c>
    </row>
    <row r="1240" spans="1:8" ht="14.4" x14ac:dyDescent="0.3">
      <c r="A1240" s="8">
        <v>79751268</v>
      </c>
      <c r="B1240" s="11">
        <v>44687</v>
      </c>
      <c r="C1240" s="13" t="s">
        <v>1935</v>
      </c>
      <c r="D1240" s="13" t="s">
        <v>1936</v>
      </c>
      <c r="E1240" s="8">
        <v>4704</v>
      </c>
      <c r="F1240" s="13" t="s">
        <v>70</v>
      </c>
      <c r="G1240" s="14">
        <v>44704</v>
      </c>
      <c r="H1240" s="13" t="s">
        <v>9</v>
      </c>
    </row>
    <row r="1241" spans="1:8" ht="14.4" x14ac:dyDescent="0.3">
      <c r="A1241" s="8">
        <v>79751269</v>
      </c>
      <c r="B1241" s="11">
        <v>44687</v>
      </c>
      <c r="C1241" s="13" t="s">
        <v>1937</v>
      </c>
      <c r="D1241" s="13" t="s">
        <v>1938</v>
      </c>
      <c r="E1241" s="8">
        <v>70325.78</v>
      </c>
      <c r="F1241" s="13" t="s">
        <v>70</v>
      </c>
      <c r="G1241" s="14">
        <v>44718</v>
      </c>
      <c r="H1241" s="13" t="s">
        <v>9</v>
      </c>
    </row>
    <row r="1242" spans="1:8" ht="14.4" x14ac:dyDescent="0.3">
      <c r="A1242" s="8">
        <v>79751270</v>
      </c>
      <c r="B1242" s="11">
        <v>44687</v>
      </c>
      <c r="C1242" s="13" t="s">
        <v>405</v>
      </c>
      <c r="D1242" s="13" t="s">
        <v>1939</v>
      </c>
      <c r="E1242" s="8">
        <v>57799.37</v>
      </c>
      <c r="F1242" s="13" t="s">
        <v>70</v>
      </c>
      <c r="G1242" s="14">
        <v>44692</v>
      </c>
      <c r="H1242" s="13" t="s">
        <v>9</v>
      </c>
    </row>
    <row r="1243" spans="1:8" ht="14.4" x14ac:dyDescent="0.3">
      <c r="A1243" s="8">
        <v>79751271</v>
      </c>
      <c r="B1243" s="11">
        <v>44687</v>
      </c>
      <c r="C1243" s="13" t="s">
        <v>1342</v>
      </c>
      <c r="D1243" s="13" t="s">
        <v>1940</v>
      </c>
      <c r="E1243" s="8">
        <v>22050</v>
      </c>
      <c r="F1243" s="13" t="s">
        <v>70</v>
      </c>
      <c r="G1243" s="14">
        <v>44693</v>
      </c>
      <c r="H1243" s="13" t="s">
        <v>9</v>
      </c>
    </row>
    <row r="1244" spans="1:8" ht="14.4" x14ac:dyDescent="0.3">
      <c r="A1244" s="8">
        <v>79751272</v>
      </c>
      <c r="B1244" s="11">
        <v>44687</v>
      </c>
      <c r="C1244" s="13" t="s">
        <v>1941</v>
      </c>
      <c r="D1244" s="13" t="s">
        <v>1942</v>
      </c>
      <c r="E1244" s="8">
        <v>17395.349999999999</v>
      </c>
      <c r="F1244" s="13" t="s">
        <v>70</v>
      </c>
      <c r="G1244" s="14">
        <v>44699</v>
      </c>
      <c r="H1244" s="13" t="s">
        <v>9</v>
      </c>
    </row>
    <row r="1245" spans="1:8" ht="14.4" x14ac:dyDescent="0.3">
      <c r="A1245" s="8">
        <v>79751273</v>
      </c>
      <c r="B1245" s="11">
        <v>44687</v>
      </c>
      <c r="C1245" s="13" t="s">
        <v>376</v>
      </c>
      <c r="D1245" s="13" t="s">
        <v>1943</v>
      </c>
      <c r="E1245" s="8">
        <v>56967.4</v>
      </c>
      <c r="F1245" s="13" t="s">
        <v>70</v>
      </c>
      <c r="G1245" s="14">
        <v>44693</v>
      </c>
      <c r="H1245" s="13" t="s">
        <v>9</v>
      </c>
    </row>
    <row r="1246" spans="1:8" ht="14.4" x14ac:dyDescent="0.3">
      <c r="A1246" s="8">
        <v>79751274</v>
      </c>
      <c r="B1246" s="11">
        <v>44687</v>
      </c>
      <c r="C1246" s="13" t="s">
        <v>1581</v>
      </c>
      <c r="D1246" s="13" t="s">
        <v>1944</v>
      </c>
      <c r="E1246" s="8">
        <v>5678.57</v>
      </c>
      <c r="F1246" s="13" t="s">
        <v>70</v>
      </c>
      <c r="G1246" s="14">
        <v>44694</v>
      </c>
      <c r="H1246" s="13" t="s">
        <v>9</v>
      </c>
    </row>
    <row r="1247" spans="1:8" ht="14.4" x14ac:dyDescent="0.3">
      <c r="A1247" s="8">
        <v>79751275</v>
      </c>
      <c r="B1247" s="11">
        <v>44687</v>
      </c>
      <c r="C1247" s="13" t="s">
        <v>52</v>
      </c>
      <c r="D1247" s="13" t="s">
        <v>1945</v>
      </c>
      <c r="E1247" s="8">
        <v>2839.28</v>
      </c>
      <c r="F1247" s="13" t="s">
        <v>70</v>
      </c>
      <c r="G1247" s="14">
        <v>44708</v>
      </c>
      <c r="H1247" s="13" t="s">
        <v>9</v>
      </c>
    </row>
    <row r="1248" spans="1:8" ht="14.4" x14ac:dyDescent="0.3">
      <c r="A1248" s="8">
        <v>79751276</v>
      </c>
      <c r="B1248" s="11">
        <v>44687</v>
      </c>
      <c r="C1248" s="13" t="s">
        <v>1946</v>
      </c>
      <c r="D1248" s="13" t="s">
        <v>1947</v>
      </c>
      <c r="E1248" s="8">
        <v>86151.43</v>
      </c>
      <c r="F1248" s="13" t="s">
        <v>70</v>
      </c>
      <c r="G1248" s="14">
        <v>44691</v>
      </c>
      <c r="H1248" s="13" t="s">
        <v>9</v>
      </c>
    </row>
    <row r="1249" spans="1:8" ht="14.4" x14ac:dyDescent="0.3">
      <c r="A1249" s="8">
        <v>79751279</v>
      </c>
      <c r="B1249" s="11">
        <v>44687</v>
      </c>
      <c r="C1249" s="13" t="s">
        <v>1516</v>
      </c>
      <c r="D1249" s="13" t="s">
        <v>1948</v>
      </c>
      <c r="E1249" s="8">
        <v>29890.09</v>
      </c>
      <c r="F1249" s="13" t="s">
        <v>70</v>
      </c>
      <c r="G1249" s="14">
        <v>44692</v>
      </c>
      <c r="H1249" s="13" t="s">
        <v>9</v>
      </c>
    </row>
    <row r="1250" spans="1:8" ht="14.4" x14ac:dyDescent="0.3">
      <c r="A1250" s="8">
        <v>79751280</v>
      </c>
      <c r="B1250" s="11">
        <v>44687</v>
      </c>
      <c r="C1250" s="13" t="s">
        <v>1516</v>
      </c>
      <c r="D1250" s="13" t="s">
        <v>1949</v>
      </c>
      <c r="E1250" s="8">
        <v>5917.05</v>
      </c>
      <c r="F1250" s="13" t="s">
        <v>70</v>
      </c>
      <c r="G1250" s="14">
        <v>44692</v>
      </c>
      <c r="H1250" s="13" t="s">
        <v>9</v>
      </c>
    </row>
    <row r="1251" spans="1:8" ht="14.4" x14ac:dyDescent="0.3">
      <c r="A1251" s="8">
        <v>79751281</v>
      </c>
      <c r="B1251" s="11">
        <v>44687</v>
      </c>
      <c r="C1251" s="13" t="s">
        <v>1581</v>
      </c>
      <c r="D1251" s="13" t="s">
        <v>1950</v>
      </c>
      <c r="E1251" s="8">
        <v>7453.13</v>
      </c>
      <c r="F1251" s="13" t="s">
        <v>70</v>
      </c>
      <c r="G1251" s="14">
        <v>44694</v>
      </c>
      <c r="H1251" s="13" t="s">
        <v>9</v>
      </c>
    </row>
    <row r="1252" spans="1:8" ht="14.4" x14ac:dyDescent="0.3">
      <c r="A1252" s="8">
        <v>79751282</v>
      </c>
      <c r="B1252" s="11">
        <v>44687</v>
      </c>
      <c r="C1252" s="13" t="s">
        <v>127</v>
      </c>
      <c r="D1252" s="13" t="s">
        <v>1951</v>
      </c>
      <c r="E1252" s="8">
        <v>33465.72</v>
      </c>
      <c r="F1252" s="13" t="s">
        <v>70</v>
      </c>
      <c r="G1252" s="14">
        <v>44699</v>
      </c>
      <c r="H1252" s="13" t="s">
        <v>9</v>
      </c>
    </row>
    <row r="1253" spans="1:8" ht="14.4" x14ac:dyDescent="0.3">
      <c r="A1253" s="8">
        <v>79751283</v>
      </c>
      <c r="B1253" s="11">
        <v>44687</v>
      </c>
      <c r="C1253" s="13" t="s">
        <v>405</v>
      </c>
      <c r="D1253" s="13" t="s">
        <v>1952</v>
      </c>
      <c r="E1253" s="8">
        <v>12670.08</v>
      </c>
      <c r="F1253" s="13" t="s">
        <v>70</v>
      </c>
      <c r="G1253" s="14">
        <v>44692</v>
      </c>
      <c r="H1253" s="13" t="s">
        <v>9</v>
      </c>
    </row>
    <row r="1254" spans="1:8" ht="14.4" x14ac:dyDescent="0.3">
      <c r="A1254" s="8">
        <v>79751284</v>
      </c>
      <c r="B1254" s="11">
        <v>44687</v>
      </c>
      <c r="C1254" s="13" t="s">
        <v>405</v>
      </c>
      <c r="D1254" s="13" t="s">
        <v>1953</v>
      </c>
      <c r="E1254" s="8">
        <v>24908.33</v>
      </c>
      <c r="F1254" s="13" t="s">
        <v>70</v>
      </c>
      <c r="G1254" s="14">
        <v>44692</v>
      </c>
      <c r="H1254" s="13" t="s">
        <v>9</v>
      </c>
    </row>
    <row r="1255" spans="1:8" ht="14.4" x14ac:dyDescent="0.3">
      <c r="A1255" s="8">
        <v>79751285</v>
      </c>
      <c r="B1255" s="11">
        <v>44687</v>
      </c>
      <c r="C1255" s="13" t="s">
        <v>1581</v>
      </c>
      <c r="D1255" s="13" t="s">
        <v>1954</v>
      </c>
      <c r="E1255" s="8">
        <v>18928.57</v>
      </c>
      <c r="F1255" s="13" t="s">
        <v>70</v>
      </c>
      <c r="G1255" s="14">
        <v>44694</v>
      </c>
      <c r="H1255" s="13" t="s">
        <v>9</v>
      </c>
    </row>
    <row r="1256" spans="1:8" ht="14.4" x14ac:dyDescent="0.3">
      <c r="A1256" s="8">
        <v>79751286</v>
      </c>
      <c r="B1256" s="11">
        <v>44687</v>
      </c>
      <c r="C1256" s="13" t="s">
        <v>10</v>
      </c>
      <c r="D1256" s="13" t="s">
        <v>1955</v>
      </c>
      <c r="E1256" s="8">
        <v>13640</v>
      </c>
      <c r="F1256" s="13" t="s">
        <v>70</v>
      </c>
      <c r="G1256" s="14">
        <v>44713</v>
      </c>
      <c r="H1256" s="13" t="s">
        <v>9</v>
      </c>
    </row>
    <row r="1257" spans="1:8" ht="14.4" x14ac:dyDescent="0.3">
      <c r="A1257" s="8">
        <v>79751287</v>
      </c>
      <c r="B1257" s="11">
        <v>44687</v>
      </c>
      <c r="C1257" s="13" t="s">
        <v>1956</v>
      </c>
      <c r="D1257" s="13" t="s">
        <v>1957</v>
      </c>
      <c r="E1257" s="8">
        <v>1647973.48</v>
      </c>
      <c r="F1257" s="13" t="s">
        <v>70</v>
      </c>
      <c r="G1257" s="14">
        <v>44687</v>
      </c>
      <c r="H1257" s="13" t="s">
        <v>9</v>
      </c>
    </row>
    <row r="1258" spans="1:8" ht="14.4" x14ac:dyDescent="0.3">
      <c r="A1258" s="8">
        <v>79751288</v>
      </c>
      <c r="B1258" s="11">
        <v>44687</v>
      </c>
      <c r="C1258" s="13" t="s">
        <v>1958</v>
      </c>
      <c r="D1258" s="13" t="s">
        <v>1959</v>
      </c>
      <c r="E1258" s="8">
        <v>1778881.46</v>
      </c>
      <c r="F1258" s="13" t="s">
        <v>70</v>
      </c>
      <c r="G1258" s="14">
        <v>44699</v>
      </c>
      <c r="H1258" s="13" t="s">
        <v>9</v>
      </c>
    </row>
    <row r="1259" spans="1:8" ht="14.4" x14ac:dyDescent="0.3">
      <c r="A1259" s="8">
        <v>79751289</v>
      </c>
      <c r="B1259" s="11">
        <v>44687</v>
      </c>
      <c r="C1259" s="13" t="s">
        <v>1960</v>
      </c>
      <c r="D1259" s="13" t="s">
        <v>1961</v>
      </c>
      <c r="E1259" s="8">
        <v>10000</v>
      </c>
      <c r="F1259" s="13" t="s">
        <v>70</v>
      </c>
      <c r="G1259" s="14">
        <v>44687</v>
      </c>
      <c r="H1259" s="13" t="s">
        <v>9</v>
      </c>
    </row>
    <row r="1260" spans="1:8" ht="14.4" x14ac:dyDescent="0.3">
      <c r="A1260" s="8">
        <v>79751290</v>
      </c>
      <c r="B1260" s="11">
        <v>44687</v>
      </c>
      <c r="C1260" s="13" t="s">
        <v>893</v>
      </c>
      <c r="D1260" s="13" t="s">
        <v>1962</v>
      </c>
      <c r="E1260" s="8">
        <v>347000</v>
      </c>
      <c r="F1260" s="13" t="s">
        <v>70</v>
      </c>
      <c r="G1260" s="14">
        <v>44708</v>
      </c>
      <c r="H1260" s="13" t="s">
        <v>9</v>
      </c>
    </row>
    <row r="1261" spans="1:8" ht="14.4" x14ac:dyDescent="0.3">
      <c r="A1261" s="8">
        <v>79751291</v>
      </c>
      <c r="B1261" s="11">
        <v>44687</v>
      </c>
      <c r="C1261" s="13" t="s">
        <v>1308</v>
      </c>
      <c r="D1261" s="13" t="s">
        <v>1963</v>
      </c>
      <c r="E1261" s="8">
        <v>45000</v>
      </c>
      <c r="F1261" s="13" t="s">
        <v>70</v>
      </c>
      <c r="G1261" s="14">
        <v>44721</v>
      </c>
      <c r="H1261" s="13" t="s">
        <v>9</v>
      </c>
    </row>
    <row r="1262" spans="1:8" ht="14.4" x14ac:dyDescent="0.3">
      <c r="A1262" s="8">
        <v>79751292</v>
      </c>
      <c r="B1262" s="11">
        <v>44687</v>
      </c>
      <c r="C1262" s="13" t="s">
        <v>1964</v>
      </c>
      <c r="D1262" s="13" t="s">
        <v>1965</v>
      </c>
      <c r="E1262" s="8">
        <v>12000</v>
      </c>
      <c r="F1262" s="13" t="s">
        <v>70</v>
      </c>
      <c r="G1262" s="14">
        <v>44694</v>
      </c>
      <c r="H1262" s="13" t="s">
        <v>9</v>
      </c>
    </row>
    <row r="1263" spans="1:8" ht="14.4" x14ac:dyDescent="0.3">
      <c r="A1263" s="8">
        <v>79751293</v>
      </c>
      <c r="B1263" s="11">
        <v>44687</v>
      </c>
      <c r="C1263" s="13" t="s">
        <v>1594</v>
      </c>
      <c r="D1263" s="13" t="s">
        <v>1966</v>
      </c>
      <c r="E1263" s="8">
        <v>30000</v>
      </c>
      <c r="F1263" s="13" t="s">
        <v>70</v>
      </c>
      <c r="G1263" s="14">
        <v>44687</v>
      </c>
      <c r="H1263" s="13" t="s">
        <v>9</v>
      </c>
    </row>
    <row r="1264" spans="1:8" ht="14.4" x14ac:dyDescent="0.3">
      <c r="A1264" s="8">
        <v>79751294</v>
      </c>
      <c r="B1264" s="11">
        <v>44687</v>
      </c>
      <c r="C1264" s="13" t="s">
        <v>1286</v>
      </c>
      <c r="D1264" s="13" t="s">
        <v>1967</v>
      </c>
      <c r="E1264" s="8">
        <v>1929.3</v>
      </c>
      <c r="F1264" s="13" t="s">
        <v>70</v>
      </c>
      <c r="G1264" s="14">
        <v>44697</v>
      </c>
      <c r="H1264" s="13" t="s">
        <v>9</v>
      </c>
    </row>
    <row r="1265" spans="1:8" ht="14.4" x14ac:dyDescent="0.3">
      <c r="A1265" s="8">
        <v>79751295</v>
      </c>
      <c r="B1265" s="11">
        <v>44687</v>
      </c>
      <c r="C1265" s="13" t="s">
        <v>1286</v>
      </c>
      <c r="D1265" s="13" t="s">
        <v>1631</v>
      </c>
      <c r="E1265" s="8">
        <v>4148.2</v>
      </c>
      <c r="F1265" s="13" t="s">
        <v>70</v>
      </c>
      <c r="G1265" s="14">
        <v>44697</v>
      </c>
      <c r="H1265" s="13" t="s">
        <v>9</v>
      </c>
    </row>
    <row r="1266" spans="1:8" ht="14.4" x14ac:dyDescent="0.3">
      <c r="A1266" s="8">
        <v>79751296</v>
      </c>
      <c r="B1266" s="11">
        <v>44687</v>
      </c>
      <c r="C1266" s="13" t="s">
        <v>265</v>
      </c>
      <c r="D1266" s="13" t="s">
        <v>1968</v>
      </c>
      <c r="E1266" s="8">
        <v>63178</v>
      </c>
      <c r="F1266" s="13" t="s">
        <v>70</v>
      </c>
      <c r="G1266" s="14">
        <v>44692</v>
      </c>
      <c r="H1266" s="13" t="s">
        <v>9</v>
      </c>
    </row>
    <row r="1267" spans="1:8" ht="14.4" x14ac:dyDescent="0.3">
      <c r="A1267" s="8">
        <v>79751297</v>
      </c>
      <c r="B1267" s="11">
        <v>44687</v>
      </c>
      <c r="C1267" s="13" t="s">
        <v>162</v>
      </c>
      <c r="D1267" s="13" t="s">
        <v>1969</v>
      </c>
      <c r="E1267" s="8">
        <v>15156.98</v>
      </c>
      <c r="F1267" s="13" t="s">
        <v>70</v>
      </c>
      <c r="G1267" s="14">
        <v>44698</v>
      </c>
      <c r="H1267" s="13" t="s">
        <v>9</v>
      </c>
    </row>
    <row r="1268" spans="1:8" ht="14.4" x14ac:dyDescent="0.3">
      <c r="A1268" s="8">
        <v>79751298</v>
      </c>
      <c r="B1268" s="11">
        <v>44687</v>
      </c>
      <c r="C1268" s="13" t="s">
        <v>162</v>
      </c>
      <c r="D1268" s="13" t="s">
        <v>1970</v>
      </c>
      <c r="E1268" s="8">
        <v>121668.76</v>
      </c>
      <c r="F1268" s="13" t="s">
        <v>70</v>
      </c>
      <c r="G1268" s="14">
        <v>44698</v>
      </c>
      <c r="H1268" s="13" t="s">
        <v>9</v>
      </c>
    </row>
    <row r="1269" spans="1:8" ht="14.4" x14ac:dyDescent="0.3">
      <c r="A1269" s="8">
        <v>79751299</v>
      </c>
      <c r="B1269" s="11">
        <v>44687</v>
      </c>
      <c r="C1269" s="13" t="s">
        <v>162</v>
      </c>
      <c r="D1269" s="13" t="s">
        <v>1971</v>
      </c>
      <c r="E1269" s="8">
        <v>215368.95999999999</v>
      </c>
      <c r="F1269" s="13" t="s">
        <v>70</v>
      </c>
      <c r="G1269" s="14">
        <v>44698</v>
      </c>
      <c r="H1269" s="13" t="s">
        <v>9</v>
      </c>
    </row>
    <row r="1270" spans="1:8" ht="14.4" x14ac:dyDescent="0.3">
      <c r="A1270" s="8">
        <v>79751300</v>
      </c>
      <c r="B1270" s="11">
        <v>44687</v>
      </c>
      <c r="C1270" s="13" t="s">
        <v>697</v>
      </c>
      <c r="D1270" s="13" t="s">
        <v>1972</v>
      </c>
      <c r="E1270" s="8">
        <v>4520.2</v>
      </c>
      <c r="F1270" s="13" t="s">
        <v>70</v>
      </c>
      <c r="G1270" s="14">
        <v>44711</v>
      </c>
      <c r="H1270" s="13" t="s">
        <v>9</v>
      </c>
    </row>
    <row r="1271" spans="1:8" ht="14.4" x14ac:dyDescent="0.3">
      <c r="A1271" s="8">
        <v>79751301</v>
      </c>
      <c r="B1271" s="11">
        <v>44687</v>
      </c>
      <c r="C1271" s="13" t="s">
        <v>695</v>
      </c>
      <c r="D1271" s="13" t="s">
        <v>1973</v>
      </c>
      <c r="E1271" s="8">
        <v>286.25</v>
      </c>
      <c r="F1271" s="13" t="s">
        <v>70</v>
      </c>
      <c r="G1271" s="14">
        <v>44740</v>
      </c>
      <c r="H1271" s="13" t="s">
        <v>9</v>
      </c>
    </row>
    <row r="1272" spans="1:8" ht="14.4" x14ac:dyDescent="0.3">
      <c r="A1272" s="8">
        <v>79751302</v>
      </c>
      <c r="B1272" s="11">
        <v>44687</v>
      </c>
      <c r="C1272" s="13" t="s">
        <v>1547</v>
      </c>
      <c r="D1272" s="13" t="s">
        <v>1974</v>
      </c>
      <c r="E1272" s="8">
        <v>250725.49</v>
      </c>
      <c r="F1272" s="13" t="s">
        <v>70</v>
      </c>
      <c r="G1272" s="14">
        <v>44691</v>
      </c>
      <c r="H1272" s="13" t="s">
        <v>9</v>
      </c>
    </row>
    <row r="1273" spans="1:8" ht="14.4" x14ac:dyDescent="0.3">
      <c r="A1273" s="8">
        <v>79751303</v>
      </c>
      <c r="B1273" s="11">
        <v>44687</v>
      </c>
      <c r="C1273" s="13" t="s">
        <v>159</v>
      </c>
      <c r="D1273" s="13" t="s">
        <v>1975</v>
      </c>
      <c r="E1273" s="8">
        <v>184000</v>
      </c>
      <c r="F1273" s="13" t="s">
        <v>70</v>
      </c>
      <c r="G1273" s="14">
        <v>44691</v>
      </c>
      <c r="H1273" s="13" t="s">
        <v>9</v>
      </c>
    </row>
    <row r="1274" spans="1:8" ht="14.4" x14ac:dyDescent="0.3">
      <c r="A1274" s="8">
        <v>79751304</v>
      </c>
      <c r="B1274" s="11">
        <v>44687</v>
      </c>
      <c r="C1274" s="13" t="s">
        <v>1976</v>
      </c>
      <c r="D1274" s="13" t="s">
        <v>1977</v>
      </c>
      <c r="E1274" s="8">
        <v>1353.73</v>
      </c>
      <c r="F1274" s="13" t="s">
        <v>70</v>
      </c>
      <c r="G1274" s="14">
        <v>44728</v>
      </c>
      <c r="H1274" s="13" t="s">
        <v>9</v>
      </c>
    </row>
    <row r="1275" spans="1:8" ht="14.4" x14ac:dyDescent="0.3">
      <c r="A1275" s="8">
        <v>79751305</v>
      </c>
      <c r="B1275" s="11">
        <v>44687</v>
      </c>
      <c r="C1275" s="13" t="s">
        <v>1978</v>
      </c>
      <c r="D1275" s="13" t="s">
        <v>1979</v>
      </c>
      <c r="E1275" s="8">
        <v>3212.01</v>
      </c>
      <c r="F1275" s="13" t="s">
        <v>70</v>
      </c>
      <c r="G1275" s="14">
        <v>44691</v>
      </c>
      <c r="H1275" s="13" t="s">
        <v>9</v>
      </c>
    </row>
    <row r="1276" spans="1:8" ht="14.4" x14ac:dyDescent="0.3">
      <c r="A1276" s="8">
        <v>79751306</v>
      </c>
      <c r="B1276" s="11">
        <v>44687</v>
      </c>
      <c r="C1276" s="13" t="s">
        <v>1980</v>
      </c>
      <c r="D1276" s="13" t="s">
        <v>1981</v>
      </c>
      <c r="E1276" s="8">
        <v>5138.9399999999996</v>
      </c>
      <c r="F1276" s="13" t="s">
        <v>70</v>
      </c>
      <c r="G1276" s="14">
        <v>44691</v>
      </c>
      <c r="H1276" s="13" t="s">
        <v>9</v>
      </c>
    </row>
    <row r="1277" spans="1:8" ht="14.4" x14ac:dyDescent="0.3">
      <c r="A1277" s="8">
        <v>79751307</v>
      </c>
      <c r="B1277" s="11">
        <v>44687</v>
      </c>
      <c r="C1277" s="13" t="s">
        <v>1502</v>
      </c>
      <c r="D1277" s="13" t="s">
        <v>1982</v>
      </c>
      <c r="E1277" s="8">
        <v>40714.550000000003</v>
      </c>
      <c r="F1277" s="13" t="s">
        <v>70</v>
      </c>
      <c r="G1277" s="14">
        <v>44691</v>
      </c>
      <c r="H1277" s="13" t="s">
        <v>9</v>
      </c>
    </row>
    <row r="1278" spans="1:8" ht="14.4" x14ac:dyDescent="0.3">
      <c r="A1278" s="8">
        <v>79751308</v>
      </c>
      <c r="B1278" s="11">
        <v>44687</v>
      </c>
      <c r="C1278" s="13" t="s">
        <v>1983</v>
      </c>
      <c r="D1278" s="13" t="s">
        <v>1982</v>
      </c>
      <c r="E1278" s="8">
        <v>40714.550000000003</v>
      </c>
      <c r="F1278" s="13" t="s">
        <v>70</v>
      </c>
      <c r="G1278" s="14">
        <v>44691</v>
      </c>
      <c r="H1278" s="13" t="s">
        <v>9</v>
      </c>
    </row>
    <row r="1279" spans="1:8" ht="14.4" x14ac:dyDescent="0.3">
      <c r="A1279" s="8">
        <v>79751309</v>
      </c>
      <c r="B1279" s="11">
        <v>44687</v>
      </c>
      <c r="C1279" s="13" t="s">
        <v>1984</v>
      </c>
      <c r="D1279" s="13" t="s">
        <v>1982</v>
      </c>
      <c r="E1279" s="8">
        <v>40714.550000000003</v>
      </c>
      <c r="F1279" s="13" t="s">
        <v>70</v>
      </c>
      <c r="G1279" s="14">
        <v>44691</v>
      </c>
      <c r="H1279" s="13" t="s">
        <v>9</v>
      </c>
    </row>
    <row r="1280" spans="1:8" ht="14.4" x14ac:dyDescent="0.3">
      <c r="A1280" s="8">
        <v>79751310</v>
      </c>
      <c r="B1280" s="11">
        <v>44687</v>
      </c>
      <c r="C1280" s="13" t="s">
        <v>1985</v>
      </c>
      <c r="D1280" s="13" t="s">
        <v>1986</v>
      </c>
      <c r="E1280" s="8">
        <v>12773.23</v>
      </c>
      <c r="F1280" s="13" t="s">
        <v>70</v>
      </c>
      <c r="G1280" s="14">
        <v>44691</v>
      </c>
      <c r="H1280" s="13" t="s">
        <v>9</v>
      </c>
    </row>
    <row r="1281" spans="1:8" ht="14.4" x14ac:dyDescent="0.3">
      <c r="A1281" s="8">
        <v>79751311</v>
      </c>
      <c r="B1281" s="11">
        <v>44687</v>
      </c>
      <c r="C1281" s="13" t="s">
        <v>1987</v>
      </c>
      <c r="D1281" s="13" t="s">
        <v>1986</v>
      </c>
      <c r="E1281" s="8">
        <v>18784.23</v>
      </c>
      <c r="F1281" s="13" t="s">
        <v>70</v>
      </c>
      <c r="G1281" s="14">
        <v>44692</v>
      </c>
      <c r="H1281" s="13" t="s">
        <v>9</v>
      </c>
    </row>
    <row r="1282" spans="1:8" ht="14.4" x14ac:dyDescent="0.3">
      <c r="A1282" s="8">
        <v>79751312</v>
      </c>
      <c r="B1282" s="11">
        <v>44687</v>
      </c>
      <c r="C1282" s="13" t="s">
        <v>159</v>
      </c>
      <c r="D1282" s="13" t="s">
        <v>1988</v>
      </c>
      <c r="E1282" s="8">
        <v>124200</v>
      </c>
      <c r="F1282" s="13" t="s">
        <v>70</v>
      </c>
      <c r="G1282" s="14">
        <v>44691</v>
      </c>
      <c r="H1282" s="13" t="s">
        <v>9</v>
      </c>
    </row>
    <row r="1283" spans="1:8" ht="14.4" x14ac:dyDescent="0.3">
      <c r="A1283" s="8">
        <v>79751313</v>
      </c>
      <c r="B1283" s="11">
        <v>44687</v>
      </c>
      <c r="C1283" s="13" t="s">
        <v>184</v>
      </c>
      <c r="D1283" s="13" t="s">
        <v>1989</v>
      </c>
      <c r="E1283" s="8">
        <v>171702.01</v>
      </c>
      <c r="F1283" s="13" t="s">
        <v>70</v>
      </c>
      <c r="G1283" s="14">
        <v>44691</v>
      </c>
      <c r="H1283" s="13" t="s">
        <v>9</v>
      </c>
    </row>
    <row r="1284" spans="1:8" ht="14.4" x14ac:dyDescent="0.3">
      <c r="A1284" s="8">
        <v>79751314</v>
      </c>
      <c r="B1284" s="11">
        <v>44687</v>
      </c>
      <c r="C1284" s="13" t="s">
        <v>184</v>
      </c>
      <c r="D1284" s="13" t="s">
        <v>1990</v>
      </c>
      <c r="E1284" s="8">
        <v>314680.5</v>
      </c>
      <c r="F1284" s="13" t="s">
        <v>70</v>
      </c>
      <c r="G1284" s="14">
        <v>44691</v>
      </c>
      <c r="H1284" s="13" t="s">
        <v>9</v>
      </c>
    </row>
    <row r="1285" spans="1:8" ht="14.4" x14ac:dyDescent="0.3">
      <c r="A1285" s="8">
        <v>79751315</v>
      </c>
      <c r="B1285" s="11">
        <v>44687</v>
      </c>
      <c r="C1285" s="13" t="s">
        <v>1991</v>
      </c>
      <c r="D1285" s="13" t="s">
        <v>1992</v>
      </c>
      <c r="E1285" s="8">
        <v>68128.37</v>
      </c>
      <c r="F1285" s="13" t="s">
        <v>70</v>
      </c>
      <c r="G1285" s="14">
        <v>44692</v>
      </c>
      <c r="H1285" s="13" t="s">
        <v>9</v>
      </c>
    </row>
    <row r="1286" spans="1:8" ht="14.4" x14ac:dyDescent="0.3">
      <c r="A1286" s="8">
        <v>79751316</v>
      </c>
      <c r="B1286" s="11">
        <v>44687</v>
      </c>
      <c r="C1286" s="13" t="s">
        <v>1993</v>
      </c>
      <c r="D1286" s="13" t="s">
        <v>1994</v>
      </c>
      <c r="E1286" s="8">
        <v>98074.38</v>
      </c>
      <c r="F1286" s="13" t="s">
        <v>70</v>
      </c>
      <c r="G1286" s="14">
        <v>44697</v>
      </c>
      <c r="H1286" s="13" t="s">
        <v>9</v>
      </c>
    </row>
    <row r="1287" spans="1:8" ht="14.4" x14ac:dyDescent="0.3">
      <c r="A1287" s="8">
        <v>79751317</v>
      </c>
      <c r="B1287" s="11">
        <v>44691</v>
      </c>
      <c r="C1287" s="13" t="s">
        <v>201</v>
      </c>
      <c r="D1287" s="13" t="s">
        <v>1779</v>
      </c>
      <c r="E1287" s="8">
        <v>5195.8900000000003</v>
      </c>
      <c r="F1287" s="13" t="s">
        <v>70</v>
      </c>
      <c r="G1287" s="14">
        <v>44694</v>
      </c>
      <c r="H1287" s="13" t="s">
        <v>9</v>
      </c>
    </row>
    <row r="1288" spans="1:8" ht="14.4" x14ac:dyDescent="0.3">
      <c r="A1288" s="8">
        <v>79751318</v>
      </c>
      <c r="B1288" s="11">
        <v>44691</v>
      </c>
      <c r="C1288" s="13" t="s">
        <v>44</v>
      </c>
      <c r="D1288" s="13" t="s">
        <v>1995</v>
      </c>
      <c r="E1288" s="8">
        <v>3795.73</v>
      </c>
      <c r="F1288" s="13" t="s">
        <v>70</v>
      </c>
      <c r="G1288" s="14">
        <v>44694</v>
      </c>
      <c r="H1288" s="13" t="s">
        <v>9</v>
      </c>
    </row>
    <row r="1289" spans="1:8" ht="14.4" x14ac:dyDescent="0.3">
      <c r="A1289" s="8">
        <v>79751320</v>
      </c>
      <c r="B1289" s="11">
        <v>44691</v>
      </c>
      <c r="C1289" s="13" t="s">
        <v>1996</v>
      </c>
      <c r="D1289" s="13" t="s">
        <v>1997</v>
      </c>
      <c r="E1289" s="8">
        <v>27475.29</v>
      </c>
      <c r="F1289" s="13" t="s">
        <v>70</v>
      </c>
      <c r="G1289" s="14">
        <v>44692</v>
      </c>
      <c r="H1289" s="13" t="s">
        <v>9</v>
      </c>
    </row>
    <row r="1290" spans="1:8" ht="14.4" x14ac:dyDescent="0.3">
      <c r="A1290" s="8">
        <v>79751321</v>
      </c>
      <c r="B1290" s="11">
        <v>44691</v>
      </c>
      <c r="C1290" s="13" t="s">
        <v>1728</v>
      </c>
      <c r="D1290" s="13" t="s">
        <v>1998</v>
      </c>
      <c r="E1290" s="8">
        <v>762342</v>
      </c>
      <c r="F1290" s="13" t="s">
        <v>70</v>
      </c>
      <c r="G1290" s="14">
        <v>44693</v>
      </c>
      <c r="H1290" s="13" t="s">
        <v>9</v>
      </c>
    </row>
    <row r="1291" spans="1:8" ht="14.4" x14ac:dyDescent="0.3">
      <c r="A1291" s="8">
        <v>79751322</v>
      </c>
      <c r="B1291" s="11">
        <v>44691</v>
      </c>
      <c r="C1291" s="13" t="s">
        <v>44</v>
      </c>
      <c r="D1291" s="13" t="s">
        <v>1999</v>
      </c>
      <c r="E1291" s="8">
        <v>1069.71</v>
      </c>
      <c r="F1291" s="13" t="s">
        <v>70</v>
      </c>
      <c r="G1291" s="14">
        <v>44694</v>
      </c>
      <c r="H1291" s="13" t="s">
        <v>9</v>
      </c>
    </row>
    <row r="1292" spans="1:8" ht="14.4" x14ac:dyDescent="0.3">
      <c r="A1292" s="8">
        <v>79751323</v>
      </c>
      <c r="B1292" s="11">
        <v>44691</v>
      </c>
      <c r="C1292" s="13" t="s">
        <v>74</v>
      </c>
      <c r="D1292" s="13" t="s">
        <v>2000</v>
      </c>
      <c r="E1292" s="8">
        <v>41800</v>
      </c>
      <c r="F1292" s="13" t="s">
        <v>70</v>
      </c>
      <c r="G1292" s="14">
        <v>44707</v>
      </c>
      <c r="H1292" s="13" t="s">
        <v>9</v>
      </c>
    </row>
    <row r="1293" spans="1:8" ht="14.4" x14ac:dyDescent="0.3">
      <c r="A1293" s="8">
        <v>79751324</v>
      </c>
      <c r="B1293" s="11">
        <v>44691</v>
      </c>
      <c r="C1293" s="13" t="s">
        <v>176</v>
      </c>
      <c r="D1293" s="13" t="s">
        <v>2001</v>
      </c>
      <c r="E1293" s="8">
        <v>29500</v>
      </c>
      <c r="F1293" s="13" t="s">
        <v>70</v>
      </c>
      <c r="G1293" s="14">
        <v>44707</v>
      </c>
      <c r="H1293" s="13" t="s">
        <v>9</v>
      </c>
    </row>
    <row r="1294" spans="1:8" ht="14.4" x14ac:dyDescent="0.3">
      <c r="A1294" s="8">
        <v>79751325</v>
      </c>
      <c r="B1294" s="11">
        <v>44691</v>
      </c>
      <c r="C1294" s="13" t="s">
        <v>1193</v>
      </c>
      <c r="D1294" s="13" t="s">
        <v>2002</v>
      </c>
      <c r="E1294" s="8">
        <v>9000</v>
      </c>
      <c r="F1294" s="13" t="s">
        <v>70</v>
      </c>
      <c r="G1294" s="14">
        <v>44708</v>
      </c>
      <c r="H1294" s="13" t="s">
        <v>9</v>
      </c>
    </row>
    <row r="1295" spans="1:8" ht="14.4" x14ac:dyDescent="0.3">
      <c r="A1295" s="8">
        <v>79751326</v>
      </c>
      <c r="B1295" s="11">
        <v>44691</v>
      </c>
      <c r="C1295" s="13" t="s">
        <v>2003</v>
      </c>
      <c r="D1295" s="13" t="s">
        <v>2004</v>
      </c>
      <c r="E1295" s="8">
        <v>8000</v>
      </c>
      <c r="F1295" s="13" t="s">
        <v>70</v>
      </c>
      <c r="G1295" s="14">
        <v>44692</v>
      </c>
      <c r="H1295" s="13" t="s">
        <v>9</v>
      </c>
    </row>
    <row r="1296" spans="1:8" ht="14.4" x14ac:dyDescent="0.3">
      <c r="A1296" s="8">
        <v>79751327</v>
      </c>
      <c r="B1296" s="11">
        <v>44691</v>
      </c>
      <c r="C1296" s="13" t="s">
        <v>2005</v>
      </c>
      <c r="D1296" s="13" t="s">
        <v>2006</v>
      </c>
      <c r="E1296" s="8">
        <v>10000</v>
      </c>
      <c r="F1296" s="13" t="s">
        <v>70</v>
      </c>
      <c r="G1296" s="14">
        <v>44692</v>
      </c>
      <c r="H1296" s="13" t="s">
        <v>9</v>
      </c>
    </row>
    <row r="1297" spans="1:8" ht="14.4" x14ac:dyDescent="0.3">
      <c r="A1297" s="8">
        <v>79751328</v>
      </c>
      <c r="B1297" s="11">
        <v>44691</v>
      </c>
      <c r="C1297" s="13" t="s">
        <v>2007</v>
      </c>
      <c r="D1297" s="13" t="s">
        <v>2008</v>
      </c>
      <c r="E1297" s="8">
        <v>20000</v>
      </c>
      <c r="F1297" s="13" t="s">
        <v>70</v>
      </c>
      <c r="G1297" s="14">
        <v>44693</v>
      </c>
      <c r="H1297" s="13" t="s">
        <v>9</v>
      </c>
    </row>
    <row r="1298" spans="1:8" ht="14.4" x14ac:dyDescent="0.3">
      <c r="A1298" s="8">
        <v>79751329</v>
      </c>
      <c r="B1298" s="11">
        <v>44691</v>
      </c>
      <c r="C1298" s="13" t="s">
        <v>2009</v>
      </c>
      <c r="D1298" s="13" t="s">
        <v>2010</v>
      </c>
      <c r="E1298" s="8">
        <v>10000</v>
      </c>
      <c r="F1298" s="13" t="s">
        <v>70</v>
      </c>
      <c r="G1298" s="14">
        <v>44692</v>
      </c>
      <c r="H1298" s="13" t="s">
        <v>9</v>
      </c>
    </row>
    <row r="1299" spans="1:8" ht="14.4" x14ac:dyDescent="0.3">
      <c r="A1299" s="8">
        <v>79751330</v>
      </c>
      <c r="B1299" s="11">
        <v>44691</v>
      </c>
      <c r="C1299" s="13" t="s">
        <v>2011</v>
      </c>
      <c r="D1299" s="13" t="s">
        <v>2012</v>
      </c>
      <c r="E1299" s="8">
        <v>10000</v>
      </c>
      <c r="F1299" s="13" t="s">
        <v>70</v>
      </c>
      <c r="G1299" s="14">
        <v>44692</v>
      </c>
      <c r="H1299" s="13" t="s">
        <v>9</v>
      </c>
    </row>
    <row r="1300" spans="1:8" ht="14.4" x14ac:dyDescent="0.3">
      <c r="A1300" s="8">
        <v>79751331</v>
      </c>
      <c r="B1300" s="11">
        <v>44691</v>
      </c>
      <c r="C1300" s="13" t="s">
        <v>2013</v>
      </c>
      <c r="D1300" s="13" t="s">
        <v>2014</v>
      </c>
      <c r="E1300" s="8">
        <v>20000</v>
      </c>
      <c r="F1300" s="13" t="s">
        <v>70</v>
      </c>
      <c r="G1300" s="14">
        <v>44698</v>
      </c>
      <c r="H1300" s="13" t="s">
        <v>9</v>
      </c>
    </row>
    <row r="1301" spans="1:8" ht="14.4" x14ac:dyDescent="0.3">
      <c r="A1301" s="8">
        <v>79751332</v>
      </c>
      <c r="B1301" s="11">
        <v>44691</v>
      </c>
      <c r="C1301" s="13" t="s">
        <v>2015</v>
      </c>
      <c r="D1301" s="13" t="s">
        <v>2016</v>
      </c>
      <c r="E1301" s="8">
        <v>10000</v>
      </c>
      <c r="F1301" s="13" t="s">
        <v>70</v>
      </c>
      <c r="G1301" s="14">
        <v>44693</v>
      </c>
      <c r="H1301" s="13" t="s">
        <v>9</v>
      </c>
    </row>
    <row r="1302" spans="1:8" ht="14.4" x14ac:dyDescent="0.3">
      <c r="A1302" s="8">
        <v>79751333</v>
      </c>
      <c r="B1302" s="11">
        <v>44691</v>
      </c>
      <c r="C1302" s="13" t="s">
        <v>2017</v>
      </c>
      <c r="D1302" s="13" t="s">
        <v>2018</v>
      </c>
      <c r="E1302" s="8">
        <v>50000</v>
      </c>
      <c r="F1302" s="13" t="s">
        <v>70</v>
      </c>
      <c r="G1302" s="14">
        <v>44692</v>
      </c>
      <c r="H1302" s="13" t="s">
        <v>9</v>
      </c>
    </row>
    <row r="1303" spans="1:8" ht="14.4" x14ac:dyDescent="0.3">
      <c r="A1303" s="8">
        <v>79751334</v>
      </c>
      <c r="B1303" s="11">
        <v>44691</v>
      </c>
      <c r="C1303" s="13" t="s">
        <v>2019</v>
      </c>
      <c r="D1303" s="13" t="s">
        <v>2020</v>
      </c>
      <c r="E1303" s="8">
        <v>50000</v>
      </c>
      <c r="F1303" s="13" t="s">
        <v>70</v>
      </c>
      <c r="G1303" s="14">
        <v>44693</v>
      </c>
      <c r="H1303" s="13" t="s">
        <v>9</v>
      </c>
    </row>
    <row r="1304" spans="1:8" ht="14.4" x14ac:dyDescent="0.3">
      <c r="A1304" s="8">
        <v>79751335</v>
      </c>
      <c r="B1304" s="11">
        <v>44691</v>
      </c>
      <c r="C1304" s="13" t="s">
        <v>2021</v>
      </c>
      <c r="D1304" s="13" t="s">
        <v>2022</v>
      </c>
      <c r="E1304" s="8">
        <v>17000</v>
      </c>
      <c r="F1304" s="13" t="s">
        <v>70</v>
      </c>
      <c r="G1304" s="14">
        <v>44697</v>
      </c>
      <c r="H1304" s="13" t="s">
        <v>9</v>
      </c>
    </row>
    <row r="1305" spans="1:8" ht="14.4" x14ac:dyDescent="0.3">
      <c r="A1305" s="8">
        <v>79751336</v>
      </c>
      <c r="B1305" s="11">
        <v>44691</v>
      </c>
      <c r="C1305" s="13" t="s">
        <v>2023</v>
      </c>
      <c r="D1305" s="13" t="s">
        <v>2024</v>
      </c>
      <c r="E1305" s="8">
        <v>15000</v>
      </c>
      <c r="F1305" s="13" t="s">
        <v>70</v>
      </c>
      <c r="G1305" s="14">
        <v>44692</v>
      </c>
      <c r="H1305" s="13" t="s">
        <v>9</v>
      </c>
    </row>
    <row r="1306" spans="1:8" ht="14.4" x14ac:dyDescent="0.3">
      <c r="A1306" s="8">
        <v>79751337</v>
      </c>
      <c r="B1306" s="11">
        <v>44691</v>
      </c>
      <c r="C1306" s="13" t="s">
        <v>2025</v>
      </c>
      <c r="D1306" s="13" t="s">
        <v>2026</v>
      </c>
      <c r="E1306" s="8">
        <v>30000</v>
      </c>
      <c r="F1306" s="13" t="s">
        <v>70</v>
      </c>
      <c r="G1306" s="14">
        <v>44692</v>
      </c>
      <c r="H1306" s="13" t="s">
        <v>9</v>
      </c>
    </row>
    <row r="1307" spans="1:8" ht="14.4" x14ac:dyDescent="0.3">
      <c r="A1307" s="8">
        <v>79751338</v>
      </c>
      <c r="B1307" s="11">
        <v>44691</v>
      </c>
      <c r="C1307" s="13" t="s">
        <v>2027</v>
      </c>
      <c r="D1307" s="13" t="s">
        <v>2028</v>
      </c>
      <c r="E1307" s="8">
        <v>12000</v>
      </c>
      <c r="F1307" s="13" t="s">
        <v>70</v>
      </c>
      <c r="G1307" s="14">
        <v>44692</v>
      </c>
      <c r="H1307" s="13" t="s">
        <v>9</v>
      </c>
    </row>
    <row r="1308" spans="1:8" ht="14.4" x14ac:dyDescent="0.3">
      <c r="A1308" s="8">
        <v>79751339</v>
      </c>
      <c r="B1308" s="11">
        <v>44691</v>
      </c>
      <c r="C1308" s="13" t="s">
        <v>50</v>
      </c>
      <c r="D1308" s="13" t="s">
        <v>2029</v>
      </c>
      <c r="E1308" s="8">
        <v>12000</v>
      </c>
      <c r="F1308" s="13" t="s">
        <v>70</v>
      </c>
      <c r="G1308" s="14">
        <v>44694</v>
      </c>
      <c r="H1308" s="13" t="s">
        <v>9</v>
      </c>
    </row>
    <row r="1309" spans="1:8" ht="14.4" x14ac:dyDescent="0.3">
      <c r="A1309" s="8">
        <v>79751340</v>
      </c>
      <c r="B1309" s="11">
        <v>44691</v>
      </c>
      <c r="C1309" s="13" t="s">
        <v>2030</v>
      </c>
      <c r="D1309" s="13" t="s">
        <v>2031</v>
      </c>
      <c r="E1309" s="8">
        <v>10000</v>
      </c>
      <c r="F1309" s="13" t="s">
        <v>70</v>
      </c>
      <c r="G1309" s="14">
        <v>44692</v>
      </c>
      <c r="H1309" s="13" t="s">
        <v>9</v>
      </c>
    </row>
    <row r="1310" spans="1:8" ht="14.4" x14ac:dyDescent="0.3">
      <c r="A1310" s="8">
        <v>79751341</v>
      </c>
      <c r="B1310" s="11">
        <v>44691</v>
      </c>
      <c r="C1310" s="13" t="s">
        <v>2032</v>
      </c>
      <c r="D1310" s="13" t="s">
        <v>2033</v>
      </c>
      <c r="E1310" s="8">
        <v>10000</v>
      </c>
      <c r="F1310" s="13" t="s">
        <v>70</v>
      </c>
      <c r="G1310" s="14">
        <v>44693</v>
      </c>
      <c r="H1310" s="13" t="s">
        <v>9</v>
      </c>
    </row>
    <row r="1311" spans="1:8" ht="14.4" x14ac:dyDescent="0.3">
      <c r="A1311" s="8">
        <v>79751342</v>
      </c>
      <c r="B1311" s="11">
        <v>44691</v>
      </c>
      <c r="C1311" s="13" t="s">
        <v>2034</v>
      </c>
      <c r="D1311" s="13" t="s">
        <v>2035</v>
      </c>
      <c r="E1311" s="8">
        <v>45000</v>
      </c>
      <c r="F1311" s="13" t="s">
        <v>70</v>
      </c>
      <c r="G1311" s="14">
        <v>44692</v>
      </c>
      <c r="H1311" s="13" t="s">
        <v>9</v>
      </c>
    </row>
    <row r="1312" spans="1:8" ht="14.4" x14ac:dyDescent="0.3">
      <c r="A1312" s="8">
        <v>79751343</v>
      </c>
      <c r="B1312" s="11">
        <v>44691</v>
      </c>
      <c r="C1312" s="13" t="s">
        <v>2036</v>
      </c>
      <c r="D1312" s="13" t="s">
        <v>2037</v>
      </c>
      <c r="E1312" s="8">
        <v>10000</v>
      </c>
      <c r="F1312" s="13" t="s">
        <v>70</v>
      </c>
      <c r="G1312" s="14">
        <v>44692</v>
      </c>
      <c r="H1312" s="13" t="s">
        <v>9</v>
      </c>
    </row>
    <row r="1313" spans="1:8" ht="14.4" x14ac:dyDescent="0.3">
      <c r="A1313" s="8">
        <v>79751344</v>
      </c>
      <c r="B1313" s="11">
        <v>44691</v>
      </c>
      <c r="C1313" s="13" t="s">
        <v>2038</v>
      </c>
      <c r="D1313" s="13" t="s">
        <v>2039</v>
      </c>
      <c r="E1313" s="8">
        <v>12000</v>
      </c>
      <c r="F1313" s="13" t="s">
        <v>70</v>
      </c>
      <c r="G1313" s="14">
        <v>44693</v>
      </c>
      <c r="H1313" s="13" t="s">
        <v>9</v>
      </c>
    </row>
    <row r="1314" spans="1:8" ht="14.4" x14ac:dyDescent="0.3">
      <c r="A1314" s="8">
        <v>79751345</v>
      </c>
      <c r="B1314" s="11">
        <v>44691</v>
      </c>
      <c r="C1314" s="13" t="s">
        <v>2040</v>
      </c>
      <c r="D1314" s="13" t="s">
        <v>2041</v>
      </c>
      <c r="E1314" s="8">
        <v>35000</v>
      </c>
      <c r="F1314" s="13" t="s">
        <v>70</v>
      </c>
      <c r="G1314" s="14">
        <v>44692</v>
      </c>
      <c r="H1314" s="13" t="s">
        <v>9</v>
      </c>
    </row>
    <row r="1315" spans="1:8" ht="14.4" x14ac:dyDescent="0.3">
      <c r="A1315" s="8">
        <v>79751346</v>
      </c>
      <c r="B1315" s="11">
        <v>44691</v>
      </c>
      <c r="C1315" s="13" t="s">
        <v>2042</v>
      </c>
      <c r="D1315" s="13" t="s">
        <v>2043</v>
      </c>
      <c r="E1315" s="8">
        <v>11000</v>
      </c>
      <c r="F1315" s="13" t="s">
        <v>70</v>
      </c>
      <c r="G1315" s="14">
        <v>44692</v>
      </c>
      <c r="H1315" s="13" t="s">
        <v>9</v>
      </c>
    </row>
    <row r="1316" spans="1:8" ht="14.4" x14ac:dyDescent="0.3">
      <c r="A1316" s="8">
        <v>79751347</v>
      </c>
      <c r="B1316" s="11">
        <v>44691</v>
      </c>
      <c r="C1316" s="13" t="s">
        <v>2044</v>
      </c>
      <c r="D1316" s="13" t="s">
        <v>2045</v>
      </c>
      <c r="E1316" s="8">
        <v>8000</v>
      </c>
      <c r="F1316" s="13" t="s">
        <v>70</v>
      </c>
      <c r="G1316" s="14">
        <v>44693</v>
      </c>
      <c r="H1316" s="13" t="s">
        <v>9</v>
      </c>
    </row>
    <row r="1317" spans="1:8" ht="14.4" x14ac:dyDescent="0.3">
      <c r="A1317" s="8">
        <v>79751348</v>
      </c>
      <c r="B1317" s="11">
        <v>44691</v>
      </c>
      <c r="C1317" s="13" t="s">
        <v>2046</v>
      </c>
      <c r="D1317" s="13" t="s">
        <v>2047</v>
      </c>
      <c r="E1317" s="8">
        <v>10000</v>
      </c>
      <c r="F1317" s="13" t="s">
        <v>70</v>
      </c>
      <c r="G1317" s="14">
        <v>44693</v>
      </c>
      <c r="H1317" s="13" t="s">
        <v>9</v>
      </c>
    </row>
    <row r="1318" spans="1:8" ht="14.4" x14ac:dyDescent="0.3">
      <c r="A1318" s="8">
        <v>79751349</v>
      </c>
      <c r="B1318" s="11">
        <v>44691</v>
      </c>
      <c r="C1318" s="13" t="s">
        <v>2048</v>
      </c>
      <c r="D1318" s="13" t="s">
        <v>2049</v>
      </c>
      <c r="E1318" s="8">
        <v>15000</v>
      </c>
      <c r="F1318" s="13" t="s">
        <v>70</v>
      </c>
      <c r="G1318" s="14">
        <v>44692</v>
      </c>
      <c r="H1318" s="13" t="s">
        <v>9</v>
      </c>
    </row>
    <row r="1319" spans="1:8" ht="14.4" x14ac:dyDescent="0.3">
      <c r="A1319" s="8">
        <v>79751350</v>
      </c>
      <c r="B1319" s="11">
        <v>44691</v>
      </c>
      <c r="C1319" s="13" t="s">
        <v>2050</v>
      </c>
      <c r="D1319" s="13" t="s">
        <v>2051</v>
      </c>
      <c r="E1319" s="8">
        <v>50000</v>
      </c>
      <c r="F1319" s="13" t="s">
        <v>70</v>
      </c>
      <c r="G1319" s="14">
        <v>44692</v>
      </c>
      <c r="H1319" s="13" t="s">
        <v>9</v>
      </c>
    </row>
    <row r="1320" spans="1:8" ht="14.4" x14ac:dyDescent="0.3">
      <c r="A1320" s="8">
        <v>79751351</v>
      </c>
      <c r="B1320" s="11">
        <v>44691</v>
      </c>
      <c r="C1320" s="13" t="s">
        <v>2052</v>
      </c>
      <c r="D1320" s="13" t="s">
        <v>2053</v>
      </c>
      <c r="E1320" s="8">
        <v>45000</v>
      </c>
      <c r="F1320" s="13" t="s">
        <v>70</v>
      </c>
      <c r="G1320" s="14">
        <v>44691</v>
      </c>
      <c r="H1320" s="13" t="s">
        <v>9</v>
      </c>
    </row>
    <row r="1321" spans="1:8" ht="14.4" x14ac:dyDescent="0.3">
      <c r="A1321" s="8">
        <v>79751352</v>
      </c>
      <c r="B1321" s="11">
        <v>44691</v>
      </c>
      <c r="C1321" s="13" t="s">
        <v>1956</v>
      </c>
      <c r="D1321" s="13" t="s">
        <v>2054</v>
      </c>
      <c r="E1321" s="8">
        <v>2960431.29</v>
      </c>
      <c r="F1321" s="13" t="s">
        <v>70</v>
      </c>
      <c r="G1321" s="14">
        <v>44691</v>
      </c>
      <c r="H1321" s="13" t="s">
        <v>9</v>
      </c>
    </row>
    <row r="1322" spans="1:8" ht="14.4" x14ac:dyDescent="0.3">
      <c r="A1322" s="8">
        <v>79751353</v>
      </c>
      <c r="B1322" s="11">
        <v>44691</v>
      </c>
      <c r="C1322" s="13" t="s">
        <v>492</v>
      </c>
      <c r="D1322" s="13" t="s">
        <v>2055</v>
      </c>
      <c r="E1322" s="8">
        <v>31527.1</v>
      </c>
      <c r="F1322" s="13" t="s">
        <v>70</v>
      </c>
      <c r="G1322" s="14">
        <v>44693</v>
      </c>
      <c r="H1322" s="13" t="s">
        <v>9</v>
      </c>
    </row>
    <row r="1323" spans="1:8" ht="14.4" x14ac:dyDescent="0.3">
      <c r="A1323" s="8">
        <v>79751354</v>
      </c>
      <c r="B1323" s="11">
        <v>44691</v>
      </c>
      <c r="C1323" s="13" t="s">
        <v>279</v>
      </c>
      <c r="D1323" s="13" t="s">
        <v>2056</v>
      </c>
      <c r="E1323" s="8">
        <v>22078.57</v>
      </c>
      <c r="F1323" s="13" t="s">
        <v>70</v>
      </c>
      <c r="G1323" s="14">
        <v>44701</v>
      </c>
      <c r="H1323" s="13" t="s">
        <v>9</v>
      </c>
    </row>
    <row r="1324" spans="1:8" ht="14.4" x14ac:dyDescent="0.3">
      <c r="A1324" s="8">
        <v>79751355</v>
      </c>
      <c r="B1324" s="11">
        <v>44691</v>
      </c>
      <c r="C1324" s="13" t="s">
        <v>265</v>
      </c>
      <c r="D1324" s="13" t="s">
        <v>2057</v>
      </c>
      <c r="E1324" s="8">
        <v>159880.25</v>
      </c>
      <c r="F1324" s="13" t="s">
        <v>70</v>
      </c>
      <c r="G1324" s="14">
        <v>44692</v>
      </c>
      <c r="H1324" s="13" t="s">
        <v>9</v>
      </c>
    </row>
    <row r="1325" spans="1:8" ht="14.4" x14ac:dyDescent="0.3">
      <c r="A1325" s="8">
        <v>79751356</v>
      </c>
      <c r="B1325" s="11">
        <v>44691</v>
      </c>
      <c r="C1325" s="13" t="s">
        <v>44</v>
      </c>
      <c r="D1325" s="13" t="s">
        <v>2058</v>
      </c>
      <c r="E1325" s="8">
        <v>2979.55</v>
      </c>
      <c r="F1325" s="13" t="s">
        <v>70</v>
      </c>
      <c r="G1325" s="14">
        <v>44694</v>
      </c>
      <c r="H1325" s="13" t="s">
        <v>9</v>
      </c>
    </row>
    <row r="1326" spans="1:8" ht="14.4" x14ac:dyDescent="0.3">
      <c r="A1326" s="8">
        <v>79751357</v>
      </c>
      <c r="B1326" s="11">
        <v>44691</v>
      </c>
      <c r="C1326" s="13" t="s">
        <v>44</v>
      </c>
      <c r="D1326" s="13" t="s">
        <v>2059</v>
      </c>
      <c r="E1326" s="8">
        <v>31500</v>
      </c>
      <c r="F1326" s="13" t="s">
        <v>70</v>
      </c>
      <c r="G1326" s="14">
        <v>44694</v>
      </c>
      <c r="H1326" s="13" t="s">
        <v>9</v>
      </c>
    </row>
    <row r="1327" spans="1:8" ht="14.4" x14ac:dyDescent="0.3">
      <c r="A1327" s="8">
        <v>79751358</v>
      </c>
      <c r="B1327" s="11">
        <v>44691</v>
      </c>
      <c r="C1327" s="13" t="s">
        <v>125</v>
      </c>
      <c r="D1327" s="13" t="s">
        <v>2060</v>
      </c>
      <c r="E1327" s="8">
        <v>32886</v>
      </c>
      <c r="F1327" s="13" t="s">
        <v>70</v>
      </c>
      <c r="G1327" s="14">
        <v>44699</v>
      </c>
      <c r="H1327" s="13" t="s">
        <v>9</v>
      </c>
    </row>
    <row r="1328" spans="1:8" ht="14.4" x14ac:dyDescent="0.3">
      <c r="A1328" s="8">
        <v>79751359</v>
      </c>
      <c r="B1328" s="11">
        <v>44691</v>
      </c>
      <c r="C1328" s="13" t="s">
        <v>44</v>
      </c>
      <c r="D1328" s="13" t="s">
        <v>2061</v>
      </c>
      <c r="E1328" s="8">
        <v>61950</v>
      </c>
      <c r="F1328" s="13" t="s">
        <v>70</v>
      </c>
      <c r="G1328" s="14">
        <v>44694</v>
      </c>
      <c r="H1328" s="13" t="s">
        <v>9</v>
      </c>
    </row>
    <row r="1329" spans="1:8" ht="14.4" x14ac:dyDescent="0.3">
      <c r="A1329" s="8">
        <v>79751360</v>
      </c>
      <c r="B1329" s="11">
        <v>44691</v>
      </c>
      <c r="C1329" s="13" t="s">
        <v>44</v>
      </c>
      <c r="D1329" s="13" t="s">
        <v>2062</v>
      </c>
      <c r="E1329" s="8">
        <v>5886.48</v>
      </c>
      <c r="F1329" s="13" t="s">
        <v>70</v>
      </c>
      <c r="G1329" s="14">
        <v>44694</v>
      </c>
      <c r="H1329" s="13" t="s">
        <v>9</v>
      </c>
    </row>
    <row r="1330" spans="1:8" ht="14.4" x14ac:dyDescent="0.3">
      <c r="A1330" s="8">
        <v>79751361</v>
      </c>
      <c r="B1330" s="11">
        <v>44691</v>
      </c>
      <c r="C1330" s="13" t="s">
        <v>201</v>
      </c>
      <c r="D1330" s="13" t="s">
        <v>1951</v>
      </c>
      <c r="E1330" s="8">
        <v>24598.63</v>
      </c>
      <c r="F1330" s="13" t="s">
        <v>70</v>
      </c>
      <c r="G1330" s="14">
        <v>44694</v>
      </c>
      <c r="H1330" s="13" t="s">
        <v>9</v>
      </c>
    </row>
    <row r="1331" spans="1:8" ht="14.4" x14ac:dyDescent="0.3">
      <c r="A1331" s="8">
        <v>79751362</v>
      </c>
      <c r="B1331" s="11">
        <v>44691</v>
      </c>
      <c r="C1331" s="13" t="s">
        <v>1286</v>
      </c>
      <c r="D1331" s="13" t="s">
        <v>2063</v>
      </c>
      <c r="E1331" s="8">
        <v>3643.28</v>
      </c>
      <c r="F1331" s="13" t="s">
        <v>70</v>
      </c>
      <c r="G1331" s="14">
        <v>44697</v>
      </c>
      <c r="H1331" s="13" t="s">
        <v>9</v>
      </c>
    </row>
    <row r="1332" spans="1:8" ht="14.4" x14ac:dyDescent="0.3">
      <c r="A1332" s="8">
        <v>79751363</v>
      </c>
      <c r="B1332" s="11">
        <v>44691</v>
      </c>
      <c r="C1332" s="13" t="s">
        <v>1286</v>
      </c>
      <c r="D1332" s="13" t="s">
        <v>2064</v>
      </c>
      <c r="E1332" s="8">
        <v>10747.17</v>
      </c>
      <c r="F1332" s="13" t="s">
        <v>70</v>
      </c>
      <c r="G1332" s="14">
        <v>44697</v>
      </c>
      <c r="H1332" s="13" t="s">
        <v>9</v>
      </c>
    </row>
    <row r="1333" spans="1:8" ht="14.4" x14ac:dyDescent="0.3">
      <c r="A1333" s="8">
        <v>79751364</v>
      </c>
      <c r="B1333" s="11">
        <v>44691</v>
      </c>
      <c r="C1333" s="13" t="s">
        <v>1286</v>
      </c>
      <c r="D1333" s="13" t="s">
        <v>2065</v>
      </c>
      <c r="E1333" s="8">
        <v>4538.32</v>
      </c>
      <c r="F1333" s="13" t="s">
        <v>70</v>
      </c>
      <c r="G1333" s="14">
        <v>44697</v>
      </c>
      <c r="H1333" s="13" t="s">
        <v>9</v>
      </c>
    </row>
    <row r="1334" spans="1:8" ht="14.4" x14ac:dyDescent="0.3">
      <c r="A1334" s="8">
        <v>79751365</v>
      </c>
      <c r="B1334" s="11">
        <v>44691</v>
      </c>
      <c r="C1334" s="13" t="s">
        <v>1286</v>
      </c>
      <c r="D1334" s="13" t="s">
        <v>2066</v>
      </c>
      <c r="E1334" s="8">
        <v>8800.61</v>
      </c>
      <c r="F1334" s="13" t="s">
        <v>70</v>
      </c>
      <c r="G1334" s="14">
        <v>44697</v>
      </c>
      <c r="H1334" s="13" t="s">
        <v>9</v>
      </c>
    </row>
    <row r="1335" spans="1:8" ht="14.4" x14ac:dyDescent="0.3">
      <c r="A1335" s="8">
        <v>79751366</v>
      </c>
      <c r="B1335" s="11">
        <v>44691</v>
      </c>
      <c r="C1335" s="13" t="s">
        <v>1286</v>
      </c>
      <c r="D1335" s="13" t="s">
        <v>2067</v>
      </c>
      <c r="E1335" s="8">
        <v>10212.91</v>
      </c>
      <c r="F1335" s="13" t="s">
        <v>70</v>
      </c>
      <c r="G1335" s="14">
        <v>44697</v>
      </c>
      <c r="H1335" s="13" t="s">
        <v>9</v>
      </c>
    </row>
    <row r="1336" spans="1:8" ht="14.4" x14ac:dyDescent="0.3">
      <c r="A1336" s="8">
        <v>79751367</v>
      </c>
      <c r="B1336" s="11">
        <v>44691</v>
      </c>
      <c r="C1336" s="13" t="s">
        <v>1286</v>
      </c>
      <c r="D1336" s="13" t="s">
        <v>2068</v>
      </c>
      <c r="E1336" s="8">
        <v>36032.07</v>
      </c>
      <c r="F1336" s="13" t="s">
        <v>70</v>
      </c>
      <c r="G1336" s="14">
        <v>44697</v>
      </c>
      <c r="H1336" s="13" t="s">
        <v>9</v>
      </c>
    </row>
    <row r="1337" spans="1:8" ht="14.4" x14ac:dyDescent="0.3">
      <c r="A1337" s="8">
        <v>79751368</v>
      </c>
      <c r="B1337" s="11">
        <v>44691</v>
      </c>
      <c r="C1337" s="13" t="s">
        <v>1286</v>
      </c>
      <c r="D1337" s="13" t="s">
        <v>2069</v>
      </c>
      <c r="E1337" s="8">
        <v>9773.39</v>
      </c>
      <c r="F1337" s="13" t="s">
        <v>70</v>
      </c>
      <c r="G1337" s="14">
        <v>44697</v>
      </c>
      <c r="H1337" s="13" t="s">
        <v>9</v>
      </c>
    </row>
    <row r="1338" spans="1:8" ht="14.4" x14ac:dyDescent="0.3">
      <c r="A1338" s="8">
        <v>79751369</v>
      </c>
      <c r="B1338" s="11">
        <v>44691</v>
      </c>
      <c r="C1338" s="13" t="s">
        <v>1596</v>
      </c>
      <c r="D1338" s="13" t="s">
        <v>2070</v>
      </c>
      <c r="E1338" s="8">
        <v>477064</v>
      </c>
      <c r="F1338" s="13" t="s">
        <v>70</v>
      </c>
      <c r="G1338" s="14">
        <v>44699</v>
      </c>
      <c r="H1338" s="13" t="s">
        <v>9</v>
      </c>
    </row>
    <row r="1339" spans="1:8" ht="14.4" x14ac:dyDescent="0.3">
      <c r="A1339" s="8">
        <v>79751370</v>
      </c>
      <c r="B1339" s="11">
        <v>44691</v>
      </c>
      <c r="C1339" s="13" t="s">
        <v>64</v>
      </c>
      <c r="D1339" s="13" t="s">
        <v>2071</v>
      </c>
      <c r="E1339" s="8">
        <v>107277.66</v>
      </c>
      <c r="F1339" s="13" t="s">
        <v>70</v>
      </c>
      <c r="G1339" s="14">
        <v>44704</v>
      </c>
      <c r="H1339" s="13" t="s">
        <v>9</v>
      </c>
    </row>
    <row r="1340" spans="1:8" ht="14.4" x14ac:dyDescent="0.3">
      <c r="A1340" s="8">
        <v>79751371</v>
      </c>
      <c r="B1340" s="11">
        <v>44691</v>
      </c>
      <c r="C1340" s="13" t="s">
        <v>2072</v>
      </c>
      <c r="D1340" s="13" t="s">
        <v>2073</v>
      </c>
      <c r="E1340" s="8">
        <v>30335.67</v>
      </c>
      <c r="F1340" s="13" t="s">
        <v>70</v>
      </c>
      <c r="G1340" s="14">
        <v>44698</v>
      </c>
      <c r="H1340" s="13" t="s">
        <v>9</v>
      </c>
    </row>
    <row r="1341" spans="1:8" ht="14.4" x14ac:dyDescent="0.3">
      <c r="A1341" s="8">
        <v>79751373</v>
      </c>
      <c r="B1341" s="11">
        <v>44691</v>
      </c>
      <c r="C1341" s="13" t="s">
        <v>2074</v>
      </c>
      <c r="D1341" s="13" t="s">
        <v>2075</v>
      </c>
      <c r="E1341" s="8">
        <v>35983.03</v>
      </c>
      <c r="F1341" s="13" t="s">
        <v>70</v>
      </c>
      <c r="G1341" s="14">
        <v>44705</v>
      </c>
      <c r="H1341" s="13" t="s">
        <v>9</v>
      </c>
    </row>
    <row r="1342" spans="1:8" ht="14.4" x14ac:dyDescent="0.3">
      <c r="A1342" s="8">
        <v>79751374</v>
      </c>
      <c r="B1342" s="11">
        <v>44691</v>
      </c>
      <c r="C1342" s="13" t="s">
        <v>202</v>
      </c>
      <c r="D1342" s="13" t="s">
        <v>2076</v>
      </c>
      <c r="E1342" s="8">
        <v>4258.93</v>
      </c>
      <c r="F1342" s="13" t="s">
        <v>70</v>
      </c>
      <c r="G1342" s="14">
        <v>44697</v>
      </c>
      <c r="H1342" s="13" t="s">
        <v>9</v>
      </c>
    </row>
    <row r="1343" spans="1:8" ht="14.4" x14ac:dyDescent="0.3">
      <c r="A1343" s="8">
        <v>79751375</v>
      </c>
      <c r="B1343" s="11">
        <v>44691</v>
      </c>
      <c r="C1343" s="13" t="s">
        <v>2077</v>
      </c>
      <c r="D1343" s="13" t="s">
        <v>2078</v>
      </c>
      <c r="E1343" s="8">
        <v>17756.89</v>
      </c>
      <c r="F1343" s="13" t="s">
        <v>70</v>
      </c>
      <c r="G1343" s="14">
        <v>44705</v>
      </c>
      <c r="H1343" s="13" t="s">
        <v>9</v>
      </c>
    </row>
    <row r="1344" spans="1:8" ht="14.4" x14ac:dyDescent="0.3">
      <c r="A1344" s="8">
        <v>79751376</v>
      </c>
      <c r="B1344" s="11">
        <v>44691</v>
      </c>
      <c r="C1344" s="13" t="s">
        <v>1941</v>
      </c>
      <c r="D1344" s="13" t="s">
        <v>2079</v>
      </c>
      <c r="E1344" s="8">
        <v>29731.88</v>
      </c>
      <c r="F1344" s="13" t="s">
        <v>70</v>
      </c>
      <c r="G1344" s="14">
        <v>44699</v>
      </c>
      <c r="H1344" s="13" t="s">
        <v>9</v>
      </c>
    </row>
    <row r="1345" spans="1:8" ht="14.4" x14ac:dyDescent="0.3">
      <c r="A1345" s="8">
        <v>79751377</v>
      </c>
      <c r="B1345" s="11">
        <v>44691</v>
      </c>
      <c r="C1345" s="13" t="s">
        <v>2080</v>
      </c>
      <c r="D1345" s="13" t="s">
        <v>2081</v>
      </c>
      <c r="E1345" s="8">
        <v>291263.39</v>
      </c>
      <c r="F1345" s="13" t="s">
        <v>70</v>
      </c>
      <c r="G1345" s="14">
        <v>44708</v>
      </c>
      <c r="H1345" s="13" t="s">
        <v>9</v>
      </c>
    </row>
    <row r="1346" spans="1:8" ht="14.4" x14ac:dyDescent="0.3">
      <c r="A1346" s="8">
        <v>79751378</v>
      </c>
      <c r="B1346" s="11">
        <v>44691</v>
      </c>
      <c r="C1346" s="13" t="s">
        <v>1937</v>
      </c>
      <c r="D1346" s="13" t="s">
        <v>2082</v>
      </c>
      <c r="E1346" s="8">
        <v>15407.85</v>
      </c>
      <c r="F1346" s="13" t="s">
        <v>70</v>
      </c>
      <c r="G1346" s="14">
        <v>44718</v>
      </c>
      <c r="H1346" s="13" t="s">
        <v>9</v>
      </c>
    </row>
    <row r="1347" spans="1:8" ht="14.4" x14ac:dyDescent="0.3">
      <c r="A1347" s="8">
        <v>79751379</v>
      </c>
      <c r="B1347" s="11">
        <v>44691</v>
      </c>
      <c r="C1347" s="13" t="s">
        <v>201</v>
      </c>
      <c r="D1347" s="13" t="s">
        <v>2083</v>
      </c>
      <c r="E1347" s="8">
        <v>51125.72</v>
      </c>
      <c r="F1347" s="13" t="s">
        <v>70</v>
      </c>
      <c r="G1347" s="14">
        <v>44694</v>
      </c>
      <c r="H1347" s="13" t="s">
        <v>9</v>
      </c>
    </row>
    <row r="1348" spans="1:8" ht="14.4" x14ac:dyDescent="0.3">
      <c r="A1348" s="8">
        <v>79751380</v>
      </c>
      <c r="B1348" s="11">
        <v>44691</v>
      </c>
      <c r="C1348" s="13" t="s">
        <v>1542</v>
      </c>
      <c r="D1348" s="13" t="s">
        <v>2084</v>
      </c>
      <c r="E1348" s="8">
        <v>121735.72</v>
      </c>
      <c r="F1348" s="13" t="s">
        <v>70</v>
      </c>
      <c r="G1348" s="14">
        <v>44707</v>
      </c>
      <c r="H1348" s="13" t="s">
        <v>9</v>
      </c>
    </row>
    <row r="1349" spans="1:8" ht="14.4" x14ac:dyDescent="0.3">
      <c r="A1349" s="8">
        <v>79751381</v>
      </c>
      <c r="B1349" s="11">
        <v>44691</v>
      </c>
      <c r="C1349" s="13" t="s">
        <v>1581</v>
      </c>
      <c r="D1349" s="13" t="s">
        <v>2085</v>
      </c>
      <c r="E1349" s="8">
        <v>122089.28</v>
      </c>
      <c r="F1349" s="13" t="s">
        <v>70</v>
      </c>
      <c r="G1349" s="14">
        <v>44694</v>
      </c>
      <c r="H1349" s="13" t="s">
        <v>9</v>
      </c>
    </row>
    <row r="1350" spans="1:8" ht="14.4" x14ac:dyDescent="0.3">
      <c r="A1350" s="8">
        <v>79751383</v>
      </c>
      <c r="B1350" s="11">
        <v>44691</v>
      </c>
      <c r="C1350" s="13" t="s">
        <v>2086</v>
      </c>
      <c r="D1350" s="13" t="s">
        <v>2087</v>
      </c>
      <c r="E1350" s="8">
        <v>17395.349999999999</v>
      </c>
      <c r="F1350" s="13" t="s">
        <v>70</v>
      </c>
      <c r="G1350" s="14">
        <v>44699</v>
      </c>
      <c r="H1350" s="13" t="s">
        <v>9</v>
      </c>
    </row>
    <row r="1351" spans="1:8" ht="14.4" x14ac:dyDescent="0.3">
      <c r="A1351" s="8">
        <v>79751384</v>
      </c>
      <c r="B1351" s="11">
        <v>44691</v>
      </c>
      <c r="C1351" s="13" t="s">
        <v>52</v>
      </c>
      <c r="D1351" s="13" t="s">
        <v>2088</v>
      </c>
      <c r="E1351" s="8">
        <v>131100</v>
      </c>
      <c r="F1351" s="13" t="s">
        <v>70</v>
      </c>
      <c r="G1351" s="14">
        <v>44708</v>
      </c>
      <c r="H1351" s="13" t="s">
        <v>9</v>
      </c>
    </row>
    <row r="1352" spans="1:8" ht="14.4" x14ac:dyDescent="0.3">
      <c r="A1352" s="8">
        <v>79751385</v>
      </c>
      <c r="B1352" s="11">
        <v>44691</v>
      </c>
      <c r="C1352" s="13" t="s">
        <v>127</v>
      </c>
      <c r="D1352" s="13" t="s">
        <v>2089</v>
      </c>
      <c r="E1352" s="8">
        <v>3170.54</v>
      </c>
      <c r="F1352" s="13" t="s">
        <v>70</v>
      </c>
      <c r="G1352" s="14">
        <v>44699</v>
      </c>
      <c r="H1352" s="13" t="s">
        <v>9</v>
      </c>
    </row>
    <row r="1353" spans="1:8" ht="14.4" x14ac:dyDescent="0.3">
      <c r="A1353" s="8">
        <v>79751386</v>
      </c>
      <c r="B1353" s="11">
        <v>44691</v>
      </c>
      <c r="C1353" s="13" t="s">
        <v>1733</v>
      </c>
      <c r="D1353" s="13" t="s">
        <v>2090</v>
      </c>
      <c r="E1353" s="8">
        <v>77600</v>
      </c>
      <c r="F1353" s="13" t="s">
        <v>70</v>
      </c>
      <c r="G1353" s="14">
        <v>44699</v>
      </c>
      <c r="H1353" s="13" t="s">
        <v>9</v>
      </c>
    </row>
    <row r="1354" spans="1:8" ht="14.4" x14ac:dyDescent="0.3">
      <c r="A1354" s="8">
        <v>79751387</v>
      </c>
      <c r="B1354" s="11">
        <v>44691</v>
      </c>
      <c r="C1354" s="13" t="s">
        <v>159</v>
      </c>
      <c r="D1354" s="13" t="s">
        <v>2091</v>
      </c>
      <c r="E1354" s="8">
        <v>361100</v>
      </c>
      <c r="F1354" s="13" t="s">
        <v>70</v>
      </c>
      <c r="G1354" s="14">
        <v>44692</v>
      </c>
      <c r="H1354" s="13" t="s">
        <v>9</v>
      </c>
    </row>
    <row r="1355" spans="1:8" ht="14.4" x14ac:dyDescent="0.3">
      <c r="A1355" s="8">
        <v>79751388</v>
      </c>
      <c r="B1355" s="11">
        <v>44692</v>
      </c>
      <c r="C1355" s="13" t="s">
        <v>1405</v>
      </c>
      <c r="D1355" s="13" t="s">
        <v>2092</v>
      </c>
      <c r="E1355" s="8">
        <v>19181459.109999999</v>
      </c>
      <c r="F1355" s="13" t="s">
        <v>70</v>
      </c>
      <c r="G1355" s="14">
        <v>44694</v>
      </c>
      <c r="H1355" s="13" t="s">
        <v>9</v>
      </c>
    </row>
    <row r="1356" spans="1:8" ht="14.4" x14ac:dyDescent="0.3">
      <c r="A1356" s="8">
        <v>79751389</v>
      </c>
      <c r="B1356" s="11">
        <v>44692</v>
      </c>
      <c r="C1356" s="13" t="s">
        <v>405</v>
      </c>
      <c r="D1356" s="13" t="s">
        <v>2093</v>
      </c>
      <c r="E1356" s="8">
        <v>29251.26</v>
      </c>
      <c r="F1356" s="13" t="s">
        <v>70</v>
      </c>
      <c r="G1356" s="14">
        <v>44698</v>
      </c>
      <c r="H1356" s="13" t="s">
        <v>9</v>
      </c>
    </row>
    <row r="1357" spans="1:8" ht="14.4" x14ac:dyDescent="0.3">
      <c r="A1357" s="8">
        <v>79751390</v>
      </c>
      <c r="B1357" s="11">
        <v>44692</v>
      </c>
      <c r="C1357" s="13" t="s">
        <v>1946</v>
      </c>
      <c r="D1357" s="13" t="s">
        <v>2094</v>
      </c>
      <c r="E1357" s="8">
        <v>1703.57</v>
      </c>
      <c r="F1357" s="13" t="s">
        <v>70</v>
      </c>
      <c r="G1357" s="14">
        <v>44701</v>
      </c>
      <c r="H1357" s="13" t="s">
        <v>9</v>
      </c>
    </row>
    <row r="1358" spans="1:8" ht="14.4" x14ac:dyDescent="0.3">
      <c r="A1358" s="8">
        <v>79751391</v>
      </c>
      <c r="B1358" s="11">
        <v>44692</v>
      </c>
      <c r="C1358" s="13" t="s">
        <v>405</v>
      </c>
      <c r="D1358" s="13" t="s">
        <v>2095</v>
      </c>
      <c r="E1358" s="8">
        <v>20821.43</v>
      </c>
      <c r="F1358" s="13" t="s">
        <v>70</v>
      </c>
      <c r="G1358" s="14">
        <v>44698</v>
      </c>
      <c r="H1358" s="13" t="s">
        <v>9</v>
      </c>
    </row>
    <row r="1359" spans="1:8" ht="14.4" x14ac:dyDescent="0.3">
      <c r="A1359" s="8">
        <v>79751392</v>
      </c>
      <c r="B1359" s="11">
        <v>44692</v>
      </c>
      <c r="C1359" s="13" t="s">
        <v>201</v>
      </c>
      <c r="D1359" s="13" t="s">
        <v>2096</v>
      </c>
      <c r="E1359" s="8">
        <v>4353.57</v>
      </c>
      <c r="F1359" s="13" t="s">
        <v>70</v>
      </c>
      <c r="G1359" s="14">
        <v>44694</v>
      </c>
      <c r="H1359" s="13" t="s">
        <v>9</v>
      </c>
    </row>
    <row r="1360" spans="1:8" ht="14.4" x14ac:dyDescent="0.3">
      <c r="A1360" s="8">
        <v>79751393</v>
      </c>
      <c r="B1360" s="11">
        <v>44692</v>
      </c>
      <c r="C1360" s="13" t="s">
        <v>405</v>
      </c>
      <c r="D1360" s="13" t="s">
        <v>2097</v>
      </c>
      <c r="E1360" s="8">
        <v>11862.41</v>
      </c>
      <c r="F1360" s="13" t="s">
        <v>70</v>
      </c>
      <c r="G1360" s="14">
        <v>44698</v>
      </c>
      <c r="H1360" s="13" t="s">
        <v>9</v>
      </c>
    </row>
    <row r="1361" spans="1:8" ht="14.4" x14ac:dyDescent="0.3">
      <c r="A1361" s="8">
        <v>79751394</v>
      </c>
      <c r="B1361" s="11">
        <v>44692</v>
      </c>
      <c r="C1361" s="13" t="s">
        <v>201</v>
      </c>
      <c r="D1361" s="13" t="s">
        <v>2098</v>
      </c>
      <c r="E1361" s="8">
        <v>1483979.01</v>
      </c>
      <c r="F1361" s="13" t="s">
        <v>70</v>
      </c>
      <c r="G1361" s="14">
        <v>44694</v>
      </c>
      <c r="H1361" s="13" t="s">
        <v>9</v>
      </c>
    </row>
    <row r="1362" spans="1:8" ht="14.4" x14ac:dyDescent="0.3">
      <c r="A1362" s="8">
        <v>79751395</v>
      </c>
      <c r="B1362" s="11">
        <v>44692</v>
      </c>
      <c r="C1362" s="13" t="s">
        <v>405</v>
      </c>
      <c r="D1362" s="13" t="s">
        <v>2099</v>
      </c>
      <c r="E1362" s="8">
        <v>13546.14</v>
      </c>
      <c r="F1362" s="13" t="s">
        <v>70</v>
      </c>
      <c r="G1362" s="14">
        <v>44698</v>
      </c>
      <c r="H1362" s="13" t="s">
        <v>9</v>
      </c>
    </row>
    <row r="1363" spans="1:8" ht="14.4" x14ac:dyDescent="0.3">
      <c r="A1363" s="8">
        <v>79751396</v>
      </c>
      <c r="B1363" s="11">
        <v>44692</v>
      </c>
      <c r="C1363" s="13" t="s">
        <v>201</v>
      </c>
      <c r="D1363" s="13" t="s">
        <v>2100</v>
      </c>
      <c r="E1363" s="8">
        <v>2370896.6800000002</v>
      </c>
      <c r="F1363" s="13" t="s">
        <v>70</v>
      </c>
      <c r="G1363" s="14">
        <v>44694</v>
      </c>
      <c r="H1363" s="13" t="s">
        <v>9</v>
      </c>
    </row>
    <row r="1364" spans="1:8" ht="14.4" x14ac:dyDescent="0.3">
      <c r="A1364" s="8">
        <v>79751397</v>
      </c>
      <c r="B1364" s="11">
        <v>44692</v>
      </c>
      <c r="C1364" s="13" t="s">
        <v>197</v>
      </c>
      <c r="D1364" s="13" t="s">
        <v>2101</v>
      </c>
      <c r="E1364" s="8">
        <v>15300</v>
      </c>
      <c r="F1364" s="13" t="s">
        <v>70</v>
      </c>
      <c r="G1364" s="14">
        <v>44694</v>
      </c>
      <c r="H1364" s="13" t="s">
        <v>9</v>
      </c>
    </row>
    <row r="1365" spans="1:8" ht="14.4" x14ac:dyDescent="0.3">
      <c r="A1365" s="8">
        <v>79751399</v>
      </c>
      <c r="B1365" s="11">
        <v>44692</v>
      </c>
      <c r="C1365" s="13" t="s">
        <v>2102</v>
      </c>
      <c r="D1365" s="13" t="s">
        <v>2103</v>
      </c>
      <c r="E1365" s="8">
        <v>8000</v>
      </c>
      <c r="F1365" s="13" t="s">
        <v>70</v>
      </c>
      <c r="G1365" s="14">
        <v>44707</v>
      </c>
      <c r="H1365" s="13" t="s">
        <v>9</v>
      </c>
    </row>
    <row r="1366" spans="1:8" ht="14.4" x14ac:dyDescent="0.3">
      <c r="A1366" s="8">
        <v>79751400</v>
      </c>
      <c r="B1366" s="11">
        <v>44692</v>
      </c>
      <c r="C1366" s="13" t="s">
        <v>74</v>
      </c>
      <c r="D1366" s="13" t="s">
        <v>2104</v>
      </c>
      <c r="E1366" s="8">
        <v>26000</v>
      </c>
      <c r="F1366" s="13" t="s">
        <v>70</v>
      </c>
      <c r="G1366" s="14">
        <v>44707</v>
      </c>
      <c r="H1366" s="13" t="s">
        <v>9</v>
      </c>
    </row>
    <row r="1367" spans="1:8" ht="14.4" x14ac:dyDescent="0.3">
      <c r="A1367" s="8">
        <v>79751401</v>
      </c>
      <c r="B1367" s="11">
        <v>44692</v>
      </c>
      <c r="C1367" s="13" t="s">
        <v>2105</v>
      </c>
      <c r="D1367" s="13" t="s">
        <v>2106</v>
      </c>
      <c r="E1367" s="8">
        <v>15000</v>
      </c>
      <c r="F1367" s="13" t="s">
        <v>70</v>
      </c>
      <c r="G1367" s="14">
        <v>44700</v>
      </c>
      <c r="H1367" s="13" t="s">
        <v>9</v>
      </c>
    </row>
    <row r="1368" spans="1:8" ht="14.4" x14ac:dyDescent="0.3">
      <c r="A1368" s="8">
        <v>79751402</v>
      </c>
      <c r="B1368" s="11">
        <v>44692</v>
      </c>
      <c r="C1368" s="13" t="s">
        <v>2107</v>
      </c>
      <c r="D1368" s="13" t="s">
        <v>2108</v>
      </c>
      <c r="E1368" s="8">
        <v>20000</v>
      </c>
      <c r="F1368" s="13" t="s">
        <v>70</v>
      </c>
      <c r="G1368" s="14">
        <v>44699</v>
      </c>
      <c r="H1368" s="13" t="s">
        <v>9</v>
      </c>
    </row>
    <row r="1369" spans="1:8" ht="14.4" x14ac:dyDescent="0.3">
      <c r="A1369" s="8">
        <v>79751403</v>
      </c>
      <c r="B1369" s="11">
        <v>44692</v>
      </c>
      <c r="C1369" s="13" t="s">
        <v>2109</v>
      </c>
      <c r="D1369" s="13" t="s">
        <v>2110</v>
      </c>
      <c r="E1369" s="8">
        <v>10000</v>
      </c>
      <c r="F1369" s="13" t="s">
        <v>70</v>
      </c>
      <c r="G1369" s="14">
        <v>44704</v>
      </c>
      <c r="H1369" s="13" t="s">
        <v>9</v>
      </c>
    </row>
    <row r="1370" spans="1:8" ht="14.4" x14ac:dyDescent="0.3">
      <c r="A1370" s="8">
        <v>79751404</v>
      </c>
      <c r="B1370" s="11">
        <v>44692</v>
      </c>
      <c r="C1370" s="13" t="s">
        <v>2111</v>
      </c>
      <c r="D1370" s="13" t="s">
        <v>2112</v>
      </c>
      <c r="E1370" s="8">
        <v>10000</v>
      </c>
      <c r="F1370" s="13" t="s">
        <v>70</v>
      </c>
      <c r="G1370" s="14">
        <v>44699</v>
      </c>
      <c r="H1370" s="13" t="s">
        <v>9</v>
      </c>
    </row>
    <row r="1371" spans="1:8" ht="14.4" x14ac:dyDescent="0.3">
      <c r="A1371" s="8">
        <v>79751405</v>
      </c>
      <c r="B1371" s="11">
        <v>44692</v>
      </c>
      <c r="C1371" s="13" t="s">
        <v>2113</v>
      </c>
      <c r="D1371" s="13" t="s">
        <v>2114</v>
      </c>
      <c r="E1371" s="8">
        <v>32000</v>
      </c>
      <c r="F1371" s="13" t="s">
        <v>70</v>
      </c>
      <c r="G1371" s="14">
        <v>44701</v>
      </c>
      <c r="H1371" s="13" t="s">
        <v>9</v>
      </c>
    </row>
    <row r="1372" spans="1:8" ht="14.4" x14ac:dyDescent="0.3">
      <c r="A1372" s="8">
        <v>79751406</v>
      </c>
      <c r="B1372" s="11">
        <v>44692</v>
      </c>
      <c r="C1372" s="13" t="s">
        <v>2115</v>
      </c>
      <c r="D1372" s="13" t="s">
        <v>2116</v>
      </c>
      <c r="E1372" s="8">
        <v>10000</v>
      </c>
      <c r="F1372" s="13" t="s">
        <v>70</v>
      </c>
      <c r="G1372" s="14">
        <v>44704</v>
      </c>
      <c r="H1372" s="13" t="s">
        <v>9</v>
      </c>
    </row>
    <row r="1373" spans="1:8" ht="14.4" x14ac:dyDescent="0.3">
      <c r="A1373" s="8">
        <v>79751407</v>
      </c>
      <c r="B1373" s="11">
        <v>44692</v>
      </c>
      <c r="C1373" s="13" t="s">
        <v>2117</v>
      </c>
      <c r="D1373" s="13" t="s">
        <v>2118</v>
      </c>
      <c r="E1373" s="8">
        <v>10000</v>
      </c>
      <c r="F1373" s="13" t="s">
        <v>70</v>
      </c>
      <c r="G1373" s="14">
        <v>44699</v>
      </c>
      <c r="H1373" s="13" t="s">
        <v>9</v>
      </c>
    </row>
    <row r="1374" spans="1:8" ht="14.4" x14ac:dyDescent="0.3">
      <c r="A1374" s="8">
        <v>79751408</v>
      </c>
      <c r="B1374" s="11">
        <v>44692</v>
      </c>
      <c r="C1374" s="13" t="s">
        <v>2119</v>
      </c>
      <c r="D1374" s="13" t="s">
        <v>2120</v>
      </c>
      <c r="E1374" s="8">
        <v>30000</v>
      </c>
      <c r="F1374" s="13" t="s">
        <v>70</v>
      </c>
      <c r="G1374" s="14">
        <v>44699</v>
      </c>
      <c r="H1374" s="13" t="s">
        <v>9</v>
      </c>
    </row>
    <row r="1375" spans="1:8" ht="14.4" x14ac:dyDescent="0.3">
      <c r="A1375" s="8">
        <v>79751409</v>
      </c>
      <c r="B1375" s="11">
        <v>44692</v>
      </c>
      <c r="C1375" s="13" t="s">
        <v>2121</v>
      </c>
      <c r="D1375" s="13" t="s">
        <v>2122</v>
      </c>
      <c r="E1375" s="8">
        <v>8000</v>
      </c>
      <c r="F1375" s="13" t="s">
        <v>70</v>
      </c>
      <c r="G1375" s="14">
        <v>44699</v>
      </c>
      <c r="H1375" s="13" t="s">
        <v>9</v>
      </c>
    </row>
    <row r="1376" spans="1:8" ht="14.4" x14ac:dyDescent="0.3">
      <c r="A1376" s="8">
        <v>79751410</v>
      </c>
      <c r="B1376" s="11">
        <v>44692</v>
      </c>
      <c r="C1376" s="13" t="s">
        <v>2123</v>
      </c>
      <c r="D1376" s="13" t="s">
        <v>2124</v>
      </c>
      <c r="E1376" s="8">
        <v>10000</v>
      </c>
      <c r="F1376" s="13" t="s">
        <v>70</v>
      </c>
      <c r="G1376" s="14">
        <v>44740</v>
      </c>
      <c r="H1376" s="13" t="s">
        <v>9</v>
      </c>
    </row>
    <row r="1377" spans="1:8" ht="14.4" x14ac:dyDescent="0.3">
      <c r="A1377" s="8">
        <v>79751411</v>
      </c>
      <c r="B1377" s="11">
        <v>44692</v>
      </c>
      <c r="C1377" s="13" t="s">
        <v>2125</v>
      </c>
      <c r="D1377" s="13" t="s">
        <v>2126</v>
      </c>
      <c r="E1377" s="8">
        <v>15000</v>
      </c>
      <c r="F1377" s="13" t="s">
        <v>70</v>
      </c>
      <c r="G1377" s="14">
        <v>44698</v>
      </c>
      <c r="H1377" s="13" t="s">
        <v>9</v>
      </c>
    </row>
    <row r="1378" spans="1:8" ht="14.4" x14ac:dyDescent="0.3">
      <c r="A1378" s="8">
        <v>79751412</v>
      </c>
      <c r="B1378" s="11">
        <v>44692</v>
      </c>
      <c r="C1378" s="13" t="s">
        <v>2127</v>
      </c>
      <c r="D1378" s="13" t="s">
        <v>2128</v>
      </c>
      <c r="E1378" s="8">
        <v>8000</v>
      </c>
      <c r="F1378" s="13" t="s">
        <v>70</v>
      </c>
      <c r="G1378" s="14">
        <v>44699</v>
      </c>
      <c r="H1378" s="13" t="s">
        <v>9</v>
      </c>
    </row>
    <row r="1379" spans="1:8" ht="14.4" x14ac:dyDescent="0.3">
      <c r="A1379" s="8">
        <v>79751413</v>
      </c>
      <c r="B1379" s="11">
        <v>44692</v>
      </c>
      <c r="C1379" s="13" t="s">
        <v>2129</v>
      </c>
      <c r="D1379" s="13" t="s">
        <v>2130</v>
      </c>
      <c r="E1379" s="8">
        <v>25000</v>
      </c>
      <c r="F1379" s="13" t="s">
        <v>70</v>
      </c>
      <c r="G1379" s="14">
        <v>44699</v>
      </c>
      <c r="H1379" s="13" t="s">
        <v>9</v>
      </c>
    </row>
    <row r="1380" spans="1:8" ht="14.4" x14ac:dyDescent="0.3">
      <c r="A1380" s="8">
        <v>79751414</v>
      </c>
      <c r="B1380" s="11">
        <v>44692</v>
      </c>
      <c r="C1380" s="13" t="s">
        <v>2131</v>
      </c>
      <c r="D1380" s="13" t="s">
        <v>2132</v>
      </c>
      <c r="E1380" s="8">
        <v>8000</v>
      </c>
      <c r="F1380" s="13" t="s">
        <v>70</v>
      </c>
      <c r="G1380" s="14">
        <v>44699</v>
      </c>
      <c r="H1380" s="13" t="s">
        <v>9</v>
      </c>
    </row>
    <row r="1381" spans="1:8" ht="14.4" x14ac:dyDescent="0.3">
      <c r="A1381" s="8">
        <v>79751415</v>
      </c>
      <c r="B1381" s="11">
        <v>44692</v>
      </c>
      <c r="C1381" s="13" t="s">
        <v>2133</v>
      </c>
      <c r="D1381" s="13" t="s">
        <v>2134</v>
      </c>
      <c r="E1381" s="8">
        <v>10000</v>
      </c>
      <c r="F1381" s="13" t="s">
        <v>70</v>
      </c>
      <c r="G1381" s="14">
        <v>44699</v>
      </c>
      <c r="H1381" s="13" t="s">
        <v>9</v>
      </c>
    </row>
    <row r="1382" spans="1:8" ht="14.4" x14ac:dyDescent="0.3">
      <c r="A1382" s="8">
        <v>79751416</v>
      </c>
      <c r="B1382" s="11">
        <v>44692</v>
      </c>
      <c r="C1382" s="13" t="s">
        <v>2135</v>
      </c>
      <c r="D1382" s="13" t="s">
        <v>2136</v>
      </c>
      <c r="E1382" s="8">
        <v>6000</v>
      </c>
      <c r="F1382" s="13" t="s">
        <v>70</v>
      </c>
      <c r="G1382" s="14">
        <v>44699</v>
      </c>
      <c r="H1382" s="13" t="s">
        <v>9</v>
      </c>
    </row>
    <row r="1383" spans="1:8" ht="14.4" x14ac:dyDescent="0.3">
      <c r="A1383" s="8">
        <v>79751417</v>
      </c>
      <c r="B1383" s="11">
        <v>44692</v>
      </c>
      <c r="C1383" s="13" t="s">
        <v>2137</v>
      </c>
      <c r="D1383" s="13" t="s">
        <v>2138</v>
      </c>
      <c r="E1383" s="8">
        <v>8000</v>
      </c>
      <c r="F1383" s="13" t="s">
        <v>70</v>
      </c>
      <c r="G1383" s="14">
        <v>44701</v>
      </c>
      <c r="H1383" s="13" t="s">
        <v>9</v>
      </c>
    </row>
    <row r="1384" spans="1:8" ht="14.4" x14ac:dyDescent="0.3">
      <c r="A1384" s="8">
        <v>79751418</v>
      </c>
      <c r="B1384" s="11">
        <v>44692</v>
      </c>
      <c r="C1384" s="13" t="s">
        <v>2139</v>
      </c>
      <c r="D1384" s="13" t="s">
        <v>2140</v>
      </c>
      <c r="E1384" s="8">
        <v>25000</v>
      </c>
      <c r="F1384" s="13" t="s">
        <v>70</v>
      </c>
      <c r="G1384" s="14">
        <v>44700</v>
      </c>
      <c r="H1384" s="13" t="s">
        <v>9</v>
      </c>
    </row>
    <row r="1385" spans="1:8" ht="14.4" x14ac:dyDescent="0.3">
      <c r="A1385" s="8">
        <v>79751419</v>
      </c>
      <c r="B1385" s="11">
        <v>44692</v>
      </c>
      <c r="C1385" s="13" t="s">
        <v>2141</v>
      </c>
      <c r="D1385" s="13" t="s">
        <v>2142</v>
      </c>
      <c r="E1385" s="8">
        <v>12000</v>
      </c>
      <c r="F1385" s="13" t="s">
        <v>70</v>
      </c>
      <c r="G1385" s="14">
        <v>44699</v>
      </c>
      <c r="H1385" s="13" t="s">
        <v>9</v>
      </c>
    </row>
    <row r="1386" spans="1:8" ht="14.4" x14ac:dyDescent="0.3">
      <c r="A1386" s="8">
        <v>79751420</v>
      </c>
      <c r="B1386" s="11">
        <v>44692</v>
      </c>
      <c r="C1386" s="13" t="s">
        <v>2143</v>
      </c>
      <c r="D1386" s="13" t="s">
        <v>2144</v>
      </c>
      <c r="E1386" s="8">
        <v>50000</v>
      </c>
      <c r="F1386" s="13" t="s">
        <v>70</v>
      </c>
      <c r="G1386" s="14">
        <v>44701</v>
      </c>
      <c r="H1386" s="13" t="s">
        <v>9</v>
      </c>
    </row>
    <row r="1387" spans="1:8" ht="14.4" x14ac:dyDescent="0.3">
      <c r="A1387" s="8">
        <v>79751421</v>
      </c>
      <c r="B1387" s="11">
        <v>44692</v>
      </c>
      <c r="C1387" s="13" t="s">
        <v>1007</v>
      </c>
      <c r="D1387" s="13" t="s">
        <v>2145</v>
      </c>
      <c r="E1387" s="8">
        <v>25000</v>
      </c>
      <c r="F1387" s="13" t="s">
        <v>70</v>
      </c>
      <c r="G1387" s="14">
        <v>44700</v>
      </c>
      <c r="H1387" s="13" t="s">
        <v>9</v>
      </c>
    </row>
    <row r="1388" spans="1:8" ht="14.4" x14ac:dyDescent="0.3">
      <c r="A1388" s="8">
        <v>79751422</v>
      </c>
      <c r="B1388" s="11">
        <v>44692</v>
      </c>
      <c r="C1388" s="13" t="s">
        <v>2146</v>
      </c>
      <c r="D1388" s="13" t="s">
        <v>2147</v>
      </c>
      <c r="E1388" s="8">
        <v>20000</v>
      </c>
      <c r="F1388" s="13" t="s">
        <v>70</v>
      </c>
      <c r="G1388" s="14">
        <v>44711</v>
      </c>
      <c r="H1388" s="13" t="s">
        <v>9</v>
      </c>
    </row>
    <row r="1389" spans="1:8" ht="14.4" x14ac:dyDescent="0.3">
      <c r="A1389" s="8">
        <v>79751423</v>
      </c>
      <c r="B1389" s="11">
        <v>44692</v>
      </c>
      <c r="C1389" s="13" t="s">
        <v>1276</v>
      </c>
      <c r="D1389" s="13" t="s">
        <v>2148</v>
      </c>
      <c r="E1389" s="8">
        <v>15000</v>
      </c>
      <c r="F1389" s="13" t="s">
        <v>70</v>
      </c>
      <c r="G1389" s="14">
        <v>44700</v>
      </c>
      <c r="H1389" s="13" t="s">
        <v>9</v>
      </c>
    </row>
    <row r="1390" spans="1:8" ht="14.4" x14ac:dyDescent="0.3">
      <c r="A1390" s="8">
        <v>79751424</v>
      </c>
      <c r="B1390" s="11">
        <v>44692</v>
      </c>
      <c r="C1390" s="13" t="s">
        <v>2149</v>
      </c>
      <c r="D1390" s="13" t="s">
        <v>2150</v>
      </c>
      <c r="E1390" s="8">
        <v>50000</v>
      </c>
      <c r="F1390" s="13" t="s">
        <v>70</v>
      </c>
      <c r="G1390" s="14">
        <v>44700</v>
      </c>
      <c r="H1390" s="13" t="s">
        <v>9</v>
      </c>
    </row>
    <row r="1391" spans="1:8" ht="14.4" x14ac:dyDescent="0.3">
      <c r="A1391" s="8">
        <v>79751425</v>
      </c>
      <c r="B1391" s="11">
        <v>44692</v>
      </c>
      <c r="C1391" s="13" t="s">
        <v>2151</v>
      </c>
      <c r="D1391" s="13" t="s">
        <v>2152</v>
      </c>
      <c r="E1391" s="8">
        <v>15000</v>
      </c>
      <c r="F1391" s="13" t="s">
        <v>70</v>
      </c>
      <c r="G1391" s="14">
        <v>44701</v>
      </c>
      <c r="H1391" s="13" t="s">
        <v>9</v>
      </c>
    </row>
    <row r="1392" spans="1:8" ht="14.4" x14ac:dyDescent="0.3">
      <c r="A1392" s="8">
        <v>79751426</v>
      </c>
      <c r="B1392" s="11">
        <v>44692</v>
      </c>
      <c r="C1392" s="13" t="s">
        <v>2153</v>
      </c>
      <c r="D1392" s="13" t="s">
        <v>2154</v>
      </c>
      <c r="E1392" s="8">
        <v>10500</v>
      </c>
      <c r="F1392" s="13" t="s">
        <v>70</v>
      </c>
      <c r="G1392" s="14">
        <v>44701</v>
      </c>
      <c r="H1392" s="13" t="s">
        <v>9</v>
      </c>
    </row>
    <row r="1393" spans="1:8" ht="14.4" x14ac:dyDescent="0.3">
      <c r="A1393" s="8">
        <v>79751427</v>
      </c>
      <c r="B1393" s="11">
        <v>44692</v>
      </c>
      <c r="C1393" s="13" t="s">
        <v>68</v>
      </c>
      <c r="D1393" s="13" t="s">
        <v>2155</v>
      </c>
      <c r="E1393" s="8">
        <v>15000</v>
      </c>
      <c r="F1393" s="13" t="s">
        <v>70</v>
      </c>
      <c r="G1393" s="14">
        <v>44694</v>
      </c>
      <c r="H1393" s="13" t="s">
        <v>9</v>
      </c>
    </row>
    <row r="1394" spans="1:8" ht="14.4" x14ac:dyDescent="0.3">
      <c r="A1394" s="8">
        <v>79751428</v>
      </c>
      <c r="B1394" s="11">
        <v>44692</v>
      </c>
      <c r="C1394" s="13" t="s">
        <v>2156</v>
      </c>
      <c r="D1394" s="13" t="s">
        <v>2157</v>
      </c>
      <c r="E1394" s="8">
        <v>10000</v>
      </c>
      <c r="F1394" s="13" t="s">
        <v>70</v>
      </c>
      <c r="G1394" s="14">
        <v>44700</v>
      </c>
      <c r="H1394" s="13" t="s">
        <v>9</v>
      </c>
    </row>
    <row r="1395" spans="1:8" ht="14.4" x14ac:dyDescent="0.3">
      <c r="A1395" s="8">
        <v>79751429</v>
      </c>
      <c r="B1395" s="11">
        <v>44692</v>
      </c>
      <c r="C1395" s="13" t="s">
        <v>2158</v>
      </c>
      <c r="D1395" s="13" t="s">
        <v>2159</v>
      </c>
      <c r="E1395" s="8">
        <v>8000</v>
      </c>
      <c r="F1395" s="13" t="s">
        <v>70</v>
      </c>
      <c r="G1395" s="14">
        <v>44700</v>
      </c>
      <c r="H1395" s="13" t="s">
        <v>9</v>
      </c>
    </row>
    <row r="1396" spans="1:8" ht="14.4" x14ac:dyDescent="0.3">
      <c r="A1396" s="8">
        <v>79751430</v>
      </c>
      <c r="B1396" s="11">
        <v>44692</v>
      </c>
      <c r="C1396" s="13" t="s">
        <v>2160</v>
      </c>
      <c r="D1396" s="13" t="s">
        <v>2161</v>
      </c>
      <c r="E1396" s="8">
        <v>24000</v>
      </c>
      <c r="F1396" s="13" t="s">
        <v>70</v>
      </c>
      <c r="G1396" s="14">
        <v>44699</v>
      </c>
      <c r="H1396" s="13" t="s">
        <v>9</v>
      </c>
    </row>
    <row r="1397" spans="1:8" ht="14.4" x14ac:dyDescent="0.3">
      <c r="A1397" s="8">
        <v>79751431</v>
      </c>
      <c r="B1397" s="11">
        <v>44692</v>
      </c>
      <c r="C1397" s="13" t="s">
        <v>2162</v>
      </c>
      <c r="D1397" s="13" t="s">
        <v>2163</v>
      </c>
      <c r="E1397" s="8">
        <v>7000</v>
      </c>
      <c r="F1397" s="13" t="s">
        <v>70</v>
      </c>
      <c r="G1397" s="14">
        <v>44697</v>
      </c>
      <c r="H1397" s="13" t="s">
        <v>9</v>
      </c>
    </row>
    <row r="1398" spans="1:8" ht="14.4" x14ac:dyDescent="0.3">
      <c r="A1398" s="8">
        <v>79751432</v>
      </c>
      <c r="B1398" s="11">
        <v>44692</v>
      </c>
      <c r="C1398" s="13" t="s">
        <v>2164</v>
      </c>
      <c r="D1398" s="13" t="s">
        <v>2165</v>
      </c>
      <c r="E1398" s="8">
        <v>8000</v>
      </c>
      <c r="F1398" s="13" t="s">
        <v>70</v>
      </c>
      <c r="G1398" s="14">
        <v>44700</v>
      </c>
      <c r="H1398" s="13" t="s">
        <v>9</v>
      </c>
    </row>
    <row r="1399" spans="1:8" ht="14.4" x14ac:dyDescent="0.3">
      <c r="A1399" s="8">
        <v>79751433</v>
      </c>
      <c r="B1399" s="11">
        <v>44692</v>
      </c>
      <c r="C1399" s="13" t="s">
        <v>2166</v>
      </c>
      <c r="D1399" s="13" t="s">
        <v>2167</v>
      </c>
      <c r="E1399" s="8">
        <v>15000</v>
      </c>
      <c r="F1399" s="13" t="s">
        <v>70</v>
      </c>
      <c r="G1399" s="14">
        <v>44699</v>
      </c>
      <c r="H1399" s="13" t="s">
        <v>9</v>
      </c>
    </row>
    <row r="1400" spans="1:8" ht="14.4" x14ac:dyDescent="0.3">
      <c r="A1400" s="8">
        <v>79751434</v>
      </c>
      <c r="B1400" s="11">
        <v>44692</v>
      </c>
      <c r="C1400" s="13" t="s">
        <v>2168</v>
      </c>
      <c r="D1400" s="13" t="s">
        <v>2169</v>
      </c>
      <c r="E1400" s="8">
        <v>10000</v>
      </c>
      <c r="F1400" s="13" t="s">
        <v>70</v>
      </c>
      <c r="G1400" s="14">
        <v>44700</v>
      </c>
      <c r="H1400" s="13" t="s">
        <v>9</v>
      </c>
    </row>
    <row r="1401" spans="1:8" ht="14.4" x14ac:dyDescent="0.3">
      <c r="A1401" s="8">
        <v>79751435</v>
      </c>
      <c r="B1401" s="11">
        <v>44692</v>
      </c>
      <c r="C1401" s="13" t="s">
        <v>2170</v>
      </c>
      <c r="D1401" s="13" t="s">
        <v>2171</v>
      </c>
      <c r="E1401" s="8">
        <v>12000</v>
      </c>
      <c r="F1401" s="13" t="s">
        <v>70</v>
      </c>
      <c r="G1401" s="14">
        <v>44699</v>
      </c>
      <c r="H1401" s="13" t="s">
        <v>9</v>
      </c>
    </row>
    <row r="1402" spans="1:8" ht="14.4" x14ac:dyDescent="0.3">
      <c r="A1402" s="8">
        <v>79751436</v>
      </c>
      <c r="B1402" s="11">
        <v>44692</v>
      </c>
      <c r="C1402" s="13" t="s">
        <v>2172</v>
      </c>
      <c r="D1402" s="13" t="s">
        <v>2173</v>
      </c>
      <c r="E1402" s="8">
        <v>20000</v>
      </c>
      <c r="F1402" s="13" t="s">
        <v>70</v>
      </c>
      <c r="G1402" s="14">
        <v>44699</v>
      </c>
      <c r="H1402" s="13" t="s">
        <v>9</v>
      </c>
    </row>
    <row r="1403" spans="1:8" ht="14.4" x14ac:dyDescent="0.3">
      <c r="A1403" s="8">
        <v>79751437</v>
      </c>
      <c r="B1403" s="11">
        <v>44692</v>
      </c>
      <c r="C1403" s="13" t="s">
        <v>2174</v>
      </c>
      <c r="D1403" s="13" t="s">
        <v>2175</v>
      </c>
      <c r="E1403" s="8">
        <v>30000</v>
      </c>
      <c r="F1403" s="13" t="s">
        <v>70</v>
      </c>
      <c r="G1403" s="14">
        <v>44699</v>
      </c>
      <c r="H1403" s="13" t="s">
        <v>9</v>
      </c>
    </row>
    <row r="1404" spans="1:8" ht="14.4" x14ac:dyDescent="0.3">
      <c r="A1404" s="8">
        <v>79751438</v>
      </c>
      <c r="B1404" s="11">
        <v>44692</v>
      </c>
      <c r="C1404" s="13" t="s">
        <v>2176</v>
      </c>
      <c r="D1404" s="13" t="s">
        <v>2177</v>
      </c>
      <c r="E1404" s="8">
        <v>5000</v>
      </c>
      <c r="F1404" s="13" t="s">
        <v>70</v>
      </c>
      <c r="G1404" s="14">
        <v>44693</v>
      </c>
      <c r="H1404" s="13" t="s">
        <v>9</v>
      </c>
    </row>
    <row r="1405" spans="1:8" ht="14.4" x14ac:dyDescent="0.3">
      <c r="A1405" s="8">
        <v>79751439</v>
      </c>
      <c r="B1405" s="11">
        <v>44692</v>
      </c>
      <c r="C1405" s="13" t="s">
        <v>2178</v>
      </c>
      <c r="D1405" s="13" t="s">
        <v>2177</v>
      </c>
      <c r="E1405" s="8">
        <v>3000</v>
      </c>
      <c r="F1405" s="13" t="s">
        <v>70</v>
      </c>
      <c r="G1405" s="14">
        <v>44693</v>
      </c>
      <c r="H1405" s="13" t="s">
        <v>9</v>
      </c>
    </row>
    <row r="1406" spans="1:8" ht="14.4" x14ac:dyDescent="0.3">
      <c r="A1406" s="8">
        <v>79751440</v>
      </c>
      <c r="B1406" s="11">
        <v>44692</v>
      </c>
      <c r="C1406" s="13" t="s">
        <v>2179</v>
      </c>
      <c r="D1406" s="13" t="s">
        <v>2180</v>
      </c>
      <c r="E1406" s="8">
        <v>6000</v>
      </c>
      <c r="F1406" s="13" t="s">
        <v>70</v>
      </c>
      <c r="G1406" s="14">
        <v>44693</v>
      </c>
      <c r="H1406" s="13" t="s">
        <v>9</v>
      </c>
    </row>
    <row r="1407" spans="1:8" ht="14.4" x14ac:dyDescent="0.3">
      <c r="A1407" s="8">
        <v>79751441</v>
      </c>
      <c r="B1407" s="11">
        <v>44692</v>
      </c>
      <c r="C1407" s="13" t="s">
        <v>2181</v>
      </c>
      <c r="D1407" s="13" t="s">
        <v>2182</v>
      </c>
      <c r="E1407" s="8">
        <v>4500</v>
      </c>
      <c r="F1407" s="13" t="s">
        <v>70</v>
      </c>
      <c r="G1407" s="14">
        <v>44693</v>
      </c>
      <c r="H1407" s="13" t="s">
        <v>9</v>
      </c>
    </row>
    <row r="1408" spans="1:8" ht="14.4" x14ac:dyDescent="0.3">
      <c r="A1408" s="8">
        <v>79751442</v>
      </c>
      <c r="B1408" s="11">
        <v>44692</v>
      </c>
      <c r="C1408" s="13" t="s">
        <v>2183</v>
      </c>
      <c r="D1408" s="13" t="s">
        <v>2180</v>
      </c>
      <c r="E1408" s="8">
        <v>4500</v>
      </c>
      <c r="F1408" s="13" t="s">
        <v>70</v>
      </c>
      <c r="G1408" s="14">
        <v>44693</v>
      </c>
      <c r="H1408" s="13" t="s">
        <v>9</v>
      </c>
    </row>
    <row r="1409" spans="1:8" ht="14.4" x14ac:dyDescent="0.3">
      <c r="A1409" s="8">
        <v>79751443</v>
      </c>
      <c r="B1409" s="11">
        <v>44692</v>
      </c>
      <c r="C1409" s="13" t="s">
        <v>2184</v>
      </c>
      <c r="D1409" s="13" t="s">
        <v>2180</v>
      </c>
      <c r="E1409" s="8">
        <v>4500</v>
      </c>
      <c r="F1409" s="13" t="s">
        <v>70</v>
      </c>
      <c r="G1409" s="14">
        <v>44693</v>
      </c>
      <c r="H1409" s="13" t="s">
        <v>9</v>
      </c>
    </row>
    <row r="1410" spans="1:8" ht="14.4" x14ac:dyDescent="0.3">
      <c r="A1410" s="8">
        <v>79751445</v>
      </c>
      <c r="B1410" s="11">
        <v>44692</v>
      </c>
      <c r="C1410" s="13" t="s">
        <v>2185</v>
      </c>
      <c r="D1410" s="13" t="s">
        <v>2186</v>
      </c>
      <c r="E1410" s="8">
        <v>15000</v>
      </c>
      <c r="F1410" s="13" t="s">
        <v>70</v>
      </c>
      <c r="G1410" s="14">
        <v>44699</v>
      </c>
      <c r="H1410" s="13" t="s">
        <v>9</v>
      </c>
    </row>
    <row r="1411" spans="1:8" ht="14.4" x14ac:dyDescent="0.3">
      <c r="A1411" s="8">
        <v>79751446</v>
      </c>
      <c r="B1411" s="11">
        <v>44692</v>
      </c>
      <c r="C1411" s="13" t="s">
        <v>1552</v>
      </c>
      <c r="D1411" s="13" t="s">
        <v>2187</v>
      </c>
      <c r="E1411" s="8">
        <v>15000</v>
      </c>
      <c r="F1411" s="13" t="s">
        <v>70</v>
      </c>
      <c r="G1411" s="14">
        <v>44705</v>
      </c>
      <c r="H1411" s="13" t="s">
        <v>9</v>
      </c>
    </row>
    <row r="1412" spans="1:8" ht="14.4" x14ac:dyDescent="0.3">
      <c r="A1412" s="8">
        <v>79751447</v>
      </c>
      <c r="B1412" s="11">
        <v>44692</v>
      </c>
      <c r="C1412" s="13" t="s">
        <v>2188</v>
      </c>
      <c r="D1412" s="13" t="s">
        <v>2186</v>
      </c>
      <c r="E1412" s="8">
        <v>15000</v>
      </c>
      <c r="F1412" s="13" t="s">
        <v>70</v>
      </c>
      <c r="G1412" s="14">
        <v>44701</v>
      </c>
      <c r="H1412" s="13" t="s">
        <v>9</v>
      </c>
    </row>
    <row r="1413" spans="1:8" ht="14.4" x14ac:dyDescent="0.3">
      <c r="A1413" s="8">
        <v>79751448</v>
      </c>
      <c r="B1413" s="11">
        <v>44692</v>
      </c>
      <c r="C1413" s="13" t="s">
        <v>399</v>
      </c>
      <c r="D1413" s="13" t="s">
        <v>2189</v>
      </c>
      <c r="E1413" s="8">
        <v>15000</v>
      </c>
      <c r="F1413" s="13" t="s">
        <v>70</v>
      </c>
      <c r="G1413" s="14">
        <v>44694</v>
      </c>
      <c r="H1413" s="13" t="s">
        <v>9</v>
      </c>
    </row>
    <row r="1414" spans="1:8" ht="14.4" x14ac:dyDescent="0.3">
      <c r="A1414" s="8">
        <v>79751449</v>
      </c>
      <c r="B1414" s="11">
        <v>44692</v>
      </c>
      <c r="C1414" s="13" t="s">
        <v>120</v>
      </c>
      <c r="D1414" s="13" t="s">
        <v>2186</v>
      </c>
      <c r="E1414" s="8">
        <v>15000</v>
      </c>
      <c r="F1414" s="13" t="s">
        <v>70</v>
      </c>
      <c r="G1414" s="14">
        <v>44701</v>
      </c>
      <c r="H1414" s="13" t="s">
        <v>9</v>
      </c>
    </row>
    <row r="1415" spans="1:8" ht="14.4" x14ac:dyDescent="0.3">
      <c r="A1415" s="8">
        <v>79751450</v>
      </c>
      <c r="B1415" s="11">
        <v>44692</v>
      </c>
      <c r="C1415" s="13" t="s">
        <v>2190</v>
      </c>
      <c r="D1415" s="13" t="s">
        <v>2191</v>
      </c>
      <c r="E1415" s="8">
        <v>15000</v>
      </c>
      <c r="F1415" s="13" t="s">
        <v>70</v>
      </c>
      <c r="G1415" s="14">
        <v>44694</v>
      </c>
      <c r="H1415" s="13" t="s">
        <v>9</v>
      </c>
    </row>
    <row r="1416" spans="1:8" ht="14.4" x14ac:dyDescent="0.3">
      <c r="A1416" s="8">
        <v>79751451</v>
      </c>
      <c r="B1416" s="11">
        <v>44692</v>
      </c>
      <c r="C1416" s="13" t="s">
        <v>2192</v>
      </c>
      <c r="D1416" s="13" t="s">
        <v>2186</v>
      </c>
      <c r="E1416" s="8">
        <v>15000</v>
      </c>
      <c r="F1416" s="13" t="s">
        <v>70</v>
      </c>
      <c r="G1416" s="14">
        <v>44694</v>
      </c>
      <c r="H1416" s="13" t="s">
        <v>9</v>
      </c>
    </row>
    <row r="1417" spans="1:8" ht="14.4" x14ac:dyDescent="0.3">
      <c r="A1417" s="8">
        <v>79751452</v>
      </c>
      <c r="B1417" s="11">
        <v>44692</v>
      </c>
      <c r="C1417" s="13" t="s">
        <v>402</v>
      </c>
      <c r="D1417" s="13" t="s">
        <v>2186</v>
      </c>
      <c r="E1417" s="8">
        <v>15000</v>
      </c>
      <c r="F1417" s="13" t="s">
        <v>70</v>
      </c>
      <c r="G1417" s="14">
        <v>44704</v>
      </c>
      <c r="H1417" s="13" t="s">
        <v>9</v>
      </c>
    </row>
    <row r="1418" spans="1:8" ht="14.4" x14ac:dyDescent="0.3">
      <c r="A1418" s="8">
        <v>79751453</v>
      </c>
      <c r="B1418" s="11">
        <v>44692</v>
      </c>
      <c r="C1418" s="13" t="s">
        <v>2193</v>
      </c>
      <c r="D1418" s="13" t="s">
        <v>2186</v>
      </c>
      <c r="E1418" s="8">
        <v>20000</v>
      </c>
      <c r="F1418" s="13" t="s">
        <v>70</v>
      </c>
      <c r="G1418" s="14">
        <v>44694</v>
      </c>
      <c r="H1418" s="13" t="s">
        <v>9</v>
      </c>
    </row>
    <row r="1419" spans="1:8" ht="14.4" x14ac:dyDescent="0.3">
      <c r="A1419" s="8">
        <v>79751454</v>
      </c>
      <c r="B1419" s="11">
        <v>44692</v>
      </c>
      <c r="C1419" s="13" t="s">
        <v>2194</v>
      </c>
      <c r="D1419" s="13" t="s">
        <v>2186</v>
      </c>
      <c r="E1419" s="8">
        <v>6000</v>
      </c>
      <c r="F1419" s="13" t="s">
        <v>70</v>
      </c>
      <c r="G1419" s="14">
        <v>44693</v>
      </c>
      <c r="H1419" s="13" t="s">
        <v>9</v>
      </c>
    </row>
    <row r="1420" spans="1:8" ht="14.4" x14ac:dyDescent="0.3">
      <c r="A1420" s="8">
        <v>79751455</v>
      </c>
      <c r="B1420" s="11">
        <v>44692</v>
      </c>
      <c r="C1420" s="13" t="s">
        <v>304</v>
      </c>
      <c r="D1420" s="13" t="s">
        <v>2186</v>
      </c>
      <c r="E1420" s="8">
        <v>5000</v>
      </c>
      <c r="F1420" s="13" t="s">
        <v>70</v>
      </c>
      <c r="G1420" s="14">
        <v>44693</v>
      </c>
      <c r="H1420" s="13" t="s">
        <v>9</v>
      </c>
    </row>
    <row r="1421" spans="1:8" ht="14.4" x14ac:dyDescent="0.3">
      <c r="A1421" s="8">
        <v>79751456</v>
      </c>
      <c r="B1421" s="11">
        <v>44692</v>
      </c>
      <c r="C1421" s="13" t="s">
        <v>2195</v>
      </c>
      <c r="D1421" s="13" t="s">
        <v>2186</v>
      </c>
      <c r="E1421" s="8">
        <v>3000</v>
      </c>
      <c r="F1421" s="13" t="s">
        <v>70</v>
      </c>
      <c r="G1421" s="14">
        <v>44693</v>
      </c>
      <c r="H1421" s="13" t="s">
        <v>9</v>
      </c>
    </row>
    <row r="1422" spans="1:8" ht="14.4" x14ac:dyDescent="0.3">
      <c r="A1422" s="8">
        <v>79751457</v>
      </c>
      <c r="B1422" s="11">
        <v>44692</v>
      </c>
      <c r="C1422" s="13" t="s">
        <v>2196</v>
      </c>
      <c r="D1422" s="13" t="s">
        <v>2186</v>
      </c>
      <c r="E1422" s="8">
        <v>15000</v>
      </c>
      <c r="F1422" s="13" t="s">
        <v>70</v>
      </c>
      <c r="G1422" s="14">
        <v>44694</v>
      </c>
      <c r="H1422" s="13" t="s">
        <v>9</v>
      </c>
    </row>
    <row r="1423" spans="1:8" ht="14.4" x14ac:dyDescent="0.3">
      <c r="A1423" s="8">
        <v>79751458</v>
      </c>
      <c r="B1423" s="11">
        <v>44692</v>
      </c>
      <c r="C1423" s="13" t="s">
        <v>180</v>
      </c>
      <c r="D1423" s="13" t="s">
        <v>901</v>
      </c>
      <c r="E1423" s="8">
        <v>71126.429999999993</v>
      </c>
      <c r="F1423" s="13" t="s">
        <v>70</v>
      </c>
      <c r="G1423" s="14">
        <v>44692</v>
      </c>
      <c r="H1423" s="13" t="s">
        <v>9</v>
      </c>
    </row>
    <row r="1424" spans="1:8" ht="14.4" x14ac:dyDescent="0.3">
      <c r="A1424" s="8">
        <v>79751459</v>
      </c>
      <c r="B1424" s="11">
        <v>44692</v>
      </c>
      <c r="C1424" s="13" t="s">
        <v>2197</v>
      </c>
      <c r="D1424" s="13" t="s">
        <v>2186</v>
      </c>
      <c r="E1424" s="8">
        <v>10000</v>
      </c>
      <c r="F1424" s="13" t="s">
        <v>70</v>
      </c>
      <c r="G1424" s="14">
        <v>44694</v>
      </c>
      <c r="H1424" s="13" t="s">
        <v>9</v>
      </c>
    </row>
    <row r="1425" spans="1:8" ht="14.4" x14ac:dyDescent="0.3">
      <c r="A1425" s="8">
        <v>79751460</v>
      </c>
      <c r="B1425" s="11">
        <v>44692</v>
      </c>
      <c r="C1425" s="13" t="s">
        <v>2198</v>
      </c>
      <c r="D1425" s="13" t="s">
        <v>2186</v>
      </c>
      <c r="E1425" s="8">
        <v>10000</v>
      </c>
      <c r="F1425" s="13" t="s">
        <v>70</v>
      </c>
      <c r="G1425" s="14">
        <v>44694</v>
      </c>
      <c r="H1425" s="13" t="s">
        <v>9</v>
      </c>
    </row>
    <row r="1426" spans="1:8" ht="14.4" x14ac:dyDescent="0.3">
      <c r="A1426" s="8">
        <v>79751461</v>
      </c>
      <c r="B1426" s="11">
        <v>44692</v>
      </c>
      <c r="C1426" s="13" t="s">
        <v>2199</v>
      </c>
      <c r="D1426" s="13" t="s">
        <v>2200</v>
      </c>
      <c r="E1426" s="8">
        <v>10000</v>
      </c>
      <c r="F1426" s="13" t="s">
        <v>70</v>
      </c>
      <c r="G1426" s="14">
        <v>44694</v>
      </c>
      <c r="H1426" s="13" t="s">
        <v>9</v>
      </c>
    </row>
    <row r="1427" spans="1:8" ht="14.4" x14ac:dyDescent="0.3">
      <c r="A1427" s="8">
        <v>79751462</v>
      </c>
      <c r="B1427" s="11">
        <v>44692</v>
      </c>
      <c r="C1427" s="13" t="s">
        <v>2201</v>
      </c>
      <c r="D1427" s="13" t="s">
        <v>2202</v>
      </c>
      <c r="E1427" s="8">
        <v>2811.27</v>
      </c>
      <c r="F1427" s="13" t="s">
        <v>70</v>
      </c>
      <c r="G1427" s="14">
        <v>44693</v>
      </c>
      <c r="H1427" s="13" t="s">
        <v>9</v>
      </c>
    </row>
    <row r="1428" spans="1:8" ht="14.4" x14ac:dyDescent="0.3">
      <c r="A1428" s="8">
        <v>79751463</v>
      </c>
      <c r="B1428" s="11">
        <v>44692</v>
      </c>
      <c r="C1428" s="13" t="s">
        <v>2203</v>
      </c>
      <c r="D1428" s="13" t="s">
        <v>2180</v>
      </c>
      <c r="E1428" s="8">
        <v>4500</v>
      </c>
      <c r="F1428" s="13" t="s">
        <v>70</v>
      </c>
      <c r="G1428" s="14">
        <v>44693</v>
      </c>
      <c r="H1428" s="13" t="s">
        <v>9</v>
      </c>
    </row>
    <row r="1429" spans="1:8" ht="14.4" x14ac:dyDescent="0.3">
      <c r="A1429" s="8">
        <v>79751464</v>
      </c>
      <c r="B1429" s="11">
        <v>44692</v>
      </c>
      <c r="C1429" s="13" t="s">
        <v>2204</v>
      </c>
      <c r="D1429" s="13" t="s">
        <v>2205</v>
      </c>
      <c r="E1429" s="8">
        <v>27987.24</v>
      </c>
      <c r="F1429" s="13" t="s">
        <v>70</v>
      </c>
      <c r="G1429" s="14">
        <v>44693</v>
      </c>
      <c r="H1429" s="13" t="s">
        <v>9</v>
      </c>
    </row>
    <row r="1430" spans="1:8" ht="14.4" x14ac:dyDescent="0.3">
      <c r="A1430" s="8">
        <v>79751465</v>
      </c>
      <c r="B1430" s="11">
        <v>44692</v>
      </c>
      <c r="C1430" s="13" t="s">
        <v>2206</v>
      </c>
      <c r="D1430" s="13" t="s">
        <v>2207</v>
      </c>
      <c r="E1430" s="8">
        <v>14760</v>
      </c>
      <c r="F1430" s="13" t="s">
        <v>70</v>
      </c>
      <c r="G1430" s="14">
        <v>44692</v>
      </c>
      <c r="H1430" s="13" t="s">
        <v>9</v>
      </c>
    </row>
    <row r="1431" spans="1:8" ht="14.4" x14ac:dyDescent="0.3">
      <c r="A1431" s="8">
        <v>79751467</v>
      </c>
      <c r="B1431" s="11">
        <v>44692</v>
      </c>
      <c r="C1431" s="13" t="s">
        <v>1569</v>
      </c>
      <c r="D1431" s="13" t="s">
        <v>2208</v>
      </c>
      <c r="E1431" s="8">
        <v>85377.67</v>
      </c>
      <c r="F1431" s="13" t="s">
        <v>70</v>
      </c>
      <c r="G1431" s="14">
        <v>44719</v>
      </c>
      <c r="H1431" s="13" t="s">
        <v>9</v>
      </c>
    </row>
    <row r="1432" spans="1:8" ht="14.4" x14ac:dyDescent="0.3">
      <c r="A1432" s="8">
        <v>79751468</v>
      </c>
      <c r="B1432" s="11">
        <v>44692</v>
      </c>
      <c r="C1432" s="13" t="s">
        <v>110</v>
      </c>
      <c r="D1432" s="13" t="s">
        <v>2209</v>
      </c>
      <c r="E1432" s="8">
        <v>6000</v>
      </c>
      <c r="F1432" s="13" t="s">
        <v>70</v>
      </c>
      <c r="G1432" s="14">
        <v>44701</v>
      </c>
      <c r="H1432" s="13" t="s">
        <v>9</v>
      </c>
    </row>
    <row r="1433" spans="1:8" ht="14.4" x14ac:dyDescent="0.3">
      <c r="A1433" s="8">
        <v>79751469</v>
      </c>
      <c r="B1433" s="11">
        <v>44692</v>
      </c>
      <c r="C1433" s="13" t="s">
        <v>2193</v>
      </c>
      <c r="D1433" s="13" t="s">
        <v>2210</v>
      </c>
      <c r="E1433" s="8">
        <v>20000</v>
      </c>
      <c r="F1433" s="13" t="s">
        <v>70</v>
      </c>
      <c r="G1433" s="14">
        <v>44694</v>
      </c>
      <c r="H1433" s="13" t="s">
        <v>9</v>
      </c>
    </row>
    <row r="1434" spans="1:8" ht="14.4" x14ac:dyDescent="0.3">
      <c r="A1434" s="8">
        <v>79751470</v>
      </c>
      <c r="B1434" s="11">
        <v>44692</v>
      </c>
      <c r="C1434" s="13" t="s">
        <v>2211</v>
      </c>
      <c r="D1434" s="13" t="s">
        <v>2210</v>
      </c>
      <c r="E1434" s="8">
        <v>6000</v>
      </c>
      <c r="F1434" s="13" t="s">
        <v>70</v>
      </c>
      <c r="G1434" s="14">
        <v>44694</v>
      </c>
      <c r="H1434" s="13" t="s">
        <v>9</v>
      </c>
    </row>
    <row r="1435" spans="1:8" ht="14.4" x14ac:dyDescent="0.3">
      <c r="A1435" s="8">
        <v>79751471</v>
      </c>
      <c r="B1435" s="11">
        <v>44692</v>
      </c>
      <c r="C1435" s="13" t="s">
        <v>2212</v>
      </c>
      <c r="D1435" s="13" t="s">
        <v>2210</v>
      </c>
      <c r="E1435" s="8">
        <v>5000</v>
      </c>
      <c r="F1435" s="13" t="s">
        <v>70</v>
      </c>
      <c r="G1435" s="14">
        <v>44726</v>
      </c>
      <c r="H1435" s="13" t="s">
        <v>9</v>
      </c>
    </row>
    <row r="1436" spans="1:8" ht="14.4" x14ac:dyDescent="0.3">
      <c r="A1436" s="8">
        <v>79751472</v>
      </c>
      <c r="B1436" s="11">
        <v>44692</v>
      </c>
      <c r="C1436" s="13" t="s">
        <v>2213</v>
      </c>
      <c r="D1436" s="13" t="s">
        <v>2210</v>
      </c>
      <c r="E1436" s="8">
        <v>3000</v>
      </c>
      <c r="F1436" s="13" t="s">
        <v>70</v>
      </c>
      <c r="G1436" s="14">
        <v>44694</v>
      </c>
      <c r="H1436" s="13" t="s">
        <v>9</v>
      </c>
    </row>
    <row r="1437" spans="1:8" ht="14.4" x14ac:dyDescent="0.3">
      <c r="A1437" s="8">
        <v>79751473</v>
      </c>
      <c r="B1437" s="11">
        <v>44692</v>
      </c>
      <c r="C1437" s="13" t="s">
        <v>2214</v>
      </c>
      <c r="D1437" s="13" t="s">
        <v>2215</v>
      </c>
      <c r="E1437" s="8">
        <v>20000</v>
      </c>
      <c r="F1437" s="13" t="s">
        <v>70</v>
      </c>
      <c r="G1437" s="14">
        <v>44694</v>
      </c>
      <c r="H1437" s="13" t="s">
        <v>9</v>
      </c>
    </row>
    <row r="1438" spans="1:8" ht="14.4" x14ac:dyDescent="0.3">
      <c r="A1438" s="8">
        <v>79751474</v>
      </c>
      <c r="B1438" s="11">
        <v>44692</v>
      </c>
      <c r="C1438" s="13" t="s">
        <v>606</v>
      </c>
      <c r="D1438" s="13" t="s">
        <v>2215</v>
      </c>
      <c r="E1438" s="8">
        <v>10000</v>
      </c>
      <c r="F1438" s="13" t="s">
        <v>70</v>
      </c>
      <c r="G1438" s="14">
        <v>44694</v>
      </c>
      <c r="H1438" s="13" t="s">
        <v>9</v>
      </c>
    </row>
    <row r="1439" spans="1:8" ht="14.4" x14ac:dyDescent="0.3">
      <c r="A1439" s="8">
        <v>79751475</v>
      </c>
      <c r="B1439" s="11">
        <v>44692</v>
      </c>
      <c r="C1439" s="13" t="s">
        <v>2216</v>
      </c>
      <c r="D1439" s="13" t="s">
        <v>2215</v>
      </c>
      <c r="E1439" s="8">
        <v>5000</v>
      </c>
      <c r="F1439" s="13" t="s">
        <v>70</v>
      </c>
      <c r="G1439" s="14">
        <v>44694</v>
      </c>
      <c r="H1439" s="13" t="s">
        <v>9</v>
      </c>
    </row>
    <row r="1440" spans="1:8" ht="14.4" x14ac:dyDescent="0.3">
      <c r="A1440" s="8">
        <v>79751476</v>
      </c>
      <c r="B1440" s="11">
        <v>44692</v>
      </c>
      <c r="C1440" s="13" t="s">
        <v>2217</v>
      </c>
      <c r="D1440" s="13" t="s">
        <v>2215</v>
      </c>
      <c r="E1440" s="8">
        <v>3000</v>
      </c>
      <c r="F1440" s="13" t="s">
        <v>70</v>
      </c>
      <c r="G1440" s="14">
        <v>44694</v>
      </c>
      <c r="H1440" s="13" t="s">
        <v>9</v>
      </c>
    </row>
    <row r="1441" spans="1:8" ht="14.4" x14ac:dyDescent="0.3">
      <c r="A1441" s="8">
        <v>79751477</v>
      </c>
      <c r="B1441" s="11">
        <v>44692</v>
      </c>
      <c r="C1441" s="13" t="s">
        <v>2218</v>
      </c>
      <c r="D1441" s="13" t="s">
        <v>2186</v>
      </c>
      <c r="E1441" s="8">
        <v>10000</v>
      </c>
      <c r="F1441" s="13" t="s">
        <v>70</v>
      </c>
      <c r="G1441" s="14">
        <v>44693</v>
      </c>
      <c r="H1441" s="13" t="s">
        <v>9</v>
      </c>
    </row>
    <row r="1442" spans="1:8" ht="14.4" x14ac:dyDescent="0.3">
      <c r="A1442" s="8">
        <v>79751478</v>
      </c>
      <c r="B1442" s="11">
        <v>44692</v>
      </c>
      <c r="C1442" s="13" t="s">
        <v>2219</v>
      </c>
      <c r="D1442" s="13" t="s">
        <v>2186</v>
      </c>
      <c r="E1442" s="8">
        <v>10000</v>
      </c>
      <c r="F1442" s="13" t="s">
        <v>70</v>
      </c>
      <c r="G1442" s="14">
        <v>44693</v>
      </c>
      <c r="H1442" s="13" t="s">
        <v>9</v>
      </c>
    </row>
    <row r="1443" spans="1:8" ht="14.4" x14ac:dyDescent="0.3">
      <c r="A1443" s="8">
        <v>79751479</v>
      </c>
      <c r="B1443" s="11">
        <v>44692</v>
      </c>
      <c r="C1443" s="13" t="s">
        <v>2220</v>
      </c>
      <c r="D1443" s="13" t="s">
        <v>2186</v>
      </c>
      <c r="E1443" s="8">
        <v>5000</v>
      </c>
      <c r="F1443" s="13" t="s">
        <v>70</v>
      </c>
      <c r="G1443" s="14">
        <v>44694</v>
      </c>
      <c r="H1443" s="13" t="s">
        <v>9</v>
      </c>
    </row>
    <row r="1444" spans="1:8" ht="14.4" x14ac:dyDescent="0.3">
      <c r="A1444" s="8">
        <v>79751480</v>
      </c>
      <c r="B1444" s="11">
        <v>44692</v>
      </c>
      <c r="C1444" s="13" t="s">
        <v>2221</v>
      </c>
      <c r="D1444" s="13" t="s">
        <v>2186</v>
      </c>
      <c r="E1444" s="8">
        <v>3000</v>
      </c>
      <c r="F1444" s="13" t="s">
        <v>70</v>
      </c>
      <c r="G1444" s="14">
        <v>44693</v>
      </c>
      <c r="H1444" s="13" t="s">
        <v>9</v>
      </c>
    </row>
    <row r="1445" spans="1:8" ht="14.4" x14ac:dyDescent="0.3">
      <c r="A1445" s="8">
        <v>79751481</v>
      </c>
      <c r="B1445" s="11">
        <v>44692</v>
      </c>
      <c r="C1445" s="13" t="s">
        <v>2222</v>
      </c>
      <c r="D1445" s="13" t="s">
        <v>2223</v>
      </c>
      <c r="E1445" s="8">
        <v>20000</v>
      </c>
      <c r="F1445" s="13" t="s">
        <v>70</v>
      </c>
      <c r="G1445" s="14">
        <v>44697</v>
      </c>
      <c r="H1445" s="13" t="s">
        <v>9</v>
      </c>
    </row>
    <row r="1446" spans="1:8" ht="14.4" x14ac:dyDescent="0.3">
      <c r="A1446" s="8">
        <v>79751482</v>
      </c>
      <c r="B1446" s="11">
        <v>44692</v>
      </c>
      <c r="C1446" s="13" t="s">
        <v>2224</v>
      </c>
      <c r="D1446" s="13" t="s">
        <v>2225</v>
      </c>
      <c r="E1446" s="8">
        <v>10000</v>
      </c>
      <c r="F1446" s="13" t="s">
        <v>70</v>
      </c>
      <c r="G1446" s="14">
        <v>44697</v>
      </c>
      <c r="H1446" s="13" t="s">
        <v>9</v>
      </c>
    </row>
    <row r="1447" spans="1:8" ht="14.4" x14ac:dyDescent="0.3">
      <c r="A1447" s="8">
        <v>79751483</v>
      </c>
      <c r="B1447" s="11">
        <v>44692</v>
      </c>
      <c r="C1447" s="13" t="s">
        <v>2226</v>
      </c>
      <c r="D1447" s="13" t="s">
        <v>2223</v>
      </c>
      <c r="E1447" s="8">
        <v>5000</v>
      </c>
      <c r="F1447" s="13" t="s">
        <v>70</v>
      </c>
      <c r="G1447" s="14">
        <v>44697</v>
      </c>
      <c r="H1447" s="13" t="s">
        <v>9</v>
      </c>
    </row>
    <row r="1448" spans="1:8" ht="14.4" x14ac:dyDescent="0.3">
      <c r="A1448" s="8">
        <v>79751484</v>
      </c>
      <c r="B1448" s="11">
        <v>44692</v>
      </c>
      <c r="C1448" s="13" t="s">
        <v>2227</v>
      </c>
      <c r="D1448" s="13" t="s">
        <v>2223</v>
      </c>
      <c r="E1448" s="8">
        <v>3000</v>
      </c>
      <c r="F1448" s="13" t="s">
        <v>70</v>
      </c>
      <c r="G1448" s="14">
        <v>44697</v>
      </c>
      <c r="H1448" s="13" t="s">
        <v>9</v>
      </c>
    </row>
    <row r="1449" spans="1:8" ht="14.4" x14ac:dyDescent="0.3">
      <c r="A1449" s="8">
        <v>79751485</v>
      </c>
      <c r="B1449" s="11">
        <v>44692</v>
      </c>
      <c r="C1449" s="13" t="s">
        <v>410</v>
      </c>
      <c r="D1449" s="13" t="s">
        <v>2228</v>
      </c>
      <c r="E1449" s="8">
        <v>20000</v>
      </c>
      <c r="F1449" s="13" t="s">
        <v>70</v>
      </c>
      <c r="G1449" s="14">
        <v>44694</v>
      </c>
      <c r="H1449" s="13" t="s">
        <v>9</v>
      </c>
    </row>
    <row r="1450" spans="1:8" ht="14.4" x14ac:dyDescent="0.3">
      <c r="A1450" s="8">
        <v>79751486</v>
      </c>
      <c r="B1450" s="11">
        <v>44692</v>
      </c>
      <c r="C1450" s="13" t="s">
        <v>2229</v>
      </c>
      <c r="D1450" s="13" t="s">
        <v>2186</v>
      </c>
      <c r="E1450" s="8">
        <v>10000</v>
      </c>
      <c r="F1450" s="13" t="s">
        <v>70</v>
      </c>
      <c r="G1450" s="14">
        <v>44694</v>
      </c>
      <c r="H1450" s="13" t="s">
        <v>9</v>
      </c>
    </row>
    <row r="1451" spans="1:8" ht="14.4" x14ac:dyDescent="0.3">
      <c r="A1451" s="8">
        <v>79751487</v>
      </c>
      <c r="B1451" s="11">
        <v>44692</v>
      </c>
      <c r="C1451" s="13" t="s">
        <v>2230</v>
      </c>
      <c r="D1451" s="13" t="s">
        <v>2186</v>
      </c>
      <c r="E1451" s="8">
        <v>3000</v>
      </c>
      <c r="F1451" s="13" t="s">
        <v>70</v>
      </c>
      <c r="G1451" s="14">
        <v>44694</v>
      </c>
      <c r="H1451" s="13" t="s">
        <v>9</v>
      </c>
    </row>
    <row r="1452" spans="1:8" ht="14.4" x14ac:dyDescent="0.3">
      <c r="A1452" s="8">
        <v>79751488</v>
      </c>
      <c r="B1452" s="11">
        <v>44692</v>
      </c>
      <c r="C1452" s="13" t="s">
        <v>2231</v>
      </c>
      <c r="D1452" s="13" t="s">
        <v>2186</v>
      </c>
      <c r="E1452" s="8">
        <v>20000</v>
      </c>
      <c r="F1452" s="13" t="s">
        <v>70</v>
      </c>
      <c r="G1452" s="14">
        <v>44693</v>
      </c>
      <c r="H1452" s="13" t="s">
        <v>9</v>
      </c>
    </row>
    <row r="1453" spans="1:8" ht="14.4" x14ac:dyDescent="0.3">
      <c r="A1453" s="8">
        <v>79751489</v>
      </c>
      <c r="B1453" s="11">
        <v>44692</v>
      </c>
      <c r="C1453" s="13" t="s">
        <v>2232</v>
      </c>
      <c r="D1453" s="13" t="s">
        <v>2186</v>
      </c>
      <c r="E1453" s="8">
        <v>10000</v>
      </c>
      <c r="F1453" s="13" t="s">
        <v>70</v>
      </c>
      <c r="G1453" s="14">
        <v>44693</v>
      </c>
      <c r="H1453" s="13" t="s">
        <v>9</v>
      </c>
    </row>
    <row r="1454" spans="1:8" ht="14.4" x14ac:dyDescent="0.3">
      <c r="A1454" s="8">
        <v>79751490</v>
      </c>
      <c r="B1454" s="11">
        <v>44692</v>
      </c>
      <c r="C1454" s="13" t="s">
        <v>2233</v>
      </c>
      <c r="D1454" s="13" t="s">
        <v>2186</v>
      </c>
      <c r="E1454" s="8">
        <v>5000</v>
      </c>
      <c r="F1454" s="13" t="s">
        <v>70</v>
      </c>
      <c r="G1454" s="14">
        <v>44693</v>
      </c>
      <c r="H1454" s="13" t="s">
        <v>9</v>
      </c>
    </row>
    <row r="1455" spans="1:8" ht="14.4" x14ac:dyDescent="0.3">
      <c r="A1455" s="8">
        <v>79751491</v>
      </c>
      <c r="B1455" s="11">
        <v>44692</v>
      </c>
      <c r="C1455" s="13" t="s">
        <v>2234</v>
      </c>
      <c r="D1455" s="13" t="s">
        <v>2186</v>
      </c>
      <c r="E1455" s="8">
        <v>3000</v>
      </c>
      <c r="F1455" s="13" t="s">
        <v>70</v>
      </c>
      <c r="G1455" s="14">
        <v>44693</v>
      </c>
      <c r="H1455" s="13" t="s">
        <v>9</v>
      </c>
    </row>
    <row r="1456" spans="1:8" ht="14.4" x14ac:dyDescent="0.3">
      <c r="A1456" s="8">
        <v>79751492</v>
      </c>
      <c r="B1456" s="11">
        <v>44692</v>
      </c>
      <c r="C1456" s="13" t="s">
        <v>107</v>
      </c>
      <c r="D1456" s="13" t="s">
        <v>2209</v>
      </c>
      <c r="E1456" s="8">
        <v>6000</v>
      </c>
      <c r="F1456" s="13" t="s">
        <v>70</v>
      </c>
      <c r="G1456" s="14">
        <v>44701</v>
      </c>
      <c r="H1456" s="13" t="s">
        <v>9</v>
      </c>
    </row>
    <row r="1457" spans="1:8" ht="14.4" x14ac:dyDescent="0.3">
      <c r="A1457" s="8">
        <v>79751493</v>
      </c>
      <c r="B1457" s="11">
        <v>44692</v>
      </c>
      <c r="C1457" s="13" t="s">
        <v>108</v>
      </c>
      <c r="D1457" s="13" t="s">
        <v>2209</v>
      </c>
      <c r="E1457" s="8">
        <v>6000</v>
      </c>
      <c r="F1457" s="13" t="s">
        <v>70</v>
      </c>
      <c r="G1457" s="14">
        <v>44707</v>
      </c>
      <c r="H1457" s="13" t="s">
        <v>9</v>
      </c>
    </row>
    <row r="1458" spans="1:8" ht="14.4" x14ac:dyDescent="0.3">
      <c r="A1458" s="8">
        <v>79751494</v>
      </c>
      <c r="B1458" s="11">
        <v>44692</v>
      </c>
      <c r="C1458" s="13" t="s">
        <v>2235</v>
      </c>
      <c r="D1458" s="13" t="s">
        <v>2209</v>
      </c>
      <c r="E1458" s="8">
        <v>10000</v>
      </c>
      <c r="F1458" s="13" t="s">
        <v>70</v>
      </c>
      <c r="G1458" s="14">
        <v>44742</v>
      </c>
      <c r="H1458" s="13" t="s">
        <v>9</v>
      </c>
    </row>
    <row r="1459" spans="1:8" ht="14.4" x14ac:dyDescent="0.3">
      <c r="A1459" s="8">
        <v>79751495</v>
      </c>
      <c r="B1459" s="11">
        <v>44692</v>
      </c>
      <c r="C1459" s="13" t="s">
        <v>2236</v>
      </c>
      <c r="D1459" s="13" t="s">
        <v>2177</v>
      </c>
      <c r="E1459" s="8">
        <v>10000</v>
      </c>
      <c r="F1459" s="13" t="s">
        <v>70</v>
      </c>
      <c r="G1459" s="14">
        <v>44693</v>
      </c>
      <c r="H1459" s="13" t="s">
        <v>9</v>
      </c>
    </row>
    <row r="1460" spans="1:8" ht="14.4" x14ac:dyDescent="0.3">
      <c r="A1460" s="8">
        <v>79751497</v>
      </c>
      <c r="B1460" s="11">
        <v>44692</v>
      </c>
      <c r="C1460" s="13" t="s">
        <v>2237</v>
      </c>
      <c r="D1460" s="13" t="s">
        <v>2238</v>
      </c>
      <c r="E1460" s="8">
        <v>28258.87</v>
      </c>
      <c r="F1460" s="13" t="s">
        <v>70</v>
      </c>
      <c r="G1460" s="14">
        <v>44693</v>
      </c>
      <c r="H1460" s="13" t="s">
        <v>9</v>
      </c>
    </row>
    <row r="1461" spans="1:8" ht="14.4" x14ac:dyDescent="0.3">
      <c r="A1461" s="8">
        <v>79751498</v>
      </c>
      <c r="B1461" s="11">
        <v>44692</v>
      </c>
      <c r="C1461" s="13" t="s">
        <v>2239</v>
      </c>
      <c r="D1461" s="13" t="s">
        <v>2240</v>
      </c>
      <c r="E1461" s="8">
        <v>48415.519999999997</v>
      </c>
      <c r="F1461" s="13" t="s">
        <v>70</v>
      </c>
      <c r="G1461" s="14">
        <v>44693</v>
      </c>
      <c r="H1461" s="13" t="s">
        <v>9</v>
      </c>
    </row>
    <row r="1462" spans="1:8" ht="14.4" x14ac:dyDescent="0.3">
      <c r="A1462" s="8">
        <v>79751499</v>
      </c>
      <c r="B1462" s="11">
        <v>44692</v>
      </c>
      <c r="C1462" s="13" t="s">
        <v>2241</v>
      </c>
      <c r="D1462" s="13" t="s">
        <v>2242</v>
      </c>
      <c r="E1462" s="8">
        <v>41433.980000000003</v>
      </c>
      <c r="F1462" s="13" t="s">
        <v>70</v>
      </c>
      <c r="G1462" s="14">
        <v>44708</v>
      </c>
      <c r="H1462" s="13" t="s">
        <v>9</v>
      </c>
    </row>
    <row r="1463" spans="1:8" ht="14.4" x14ac:dyDescent="0.3">
      <c r="A1463" s="8">
        <v>79751500</v>
      </c>
      <c r="B1463" s="11">
        <v>44692</v>
      </c>
      <c r="C1463" s="13" t="s">
        <v>2243</v>
      </c>
      <c r="D1463" s="13" t="s">
        <v>2244</v>
      </c>
      <c r="E1463" s="8">
        <v>2456.88</v>
      </c>
      <c r="F1463" s="13" t="s">
        <v>70</v>
      </c>
      <c r="G1463" s="14">
        <v>44701</v>
      </c>
      <c r="H1463" s="13" t="s">
        <v>9</v>
      </c>
    </row>
    <row r="1464" spans="1:8" ht="14.4" x14ac:dyDescent="0.3">
      <c r="A1464" s="8">
        <v>79751501</v>
      </c>
      <c r="B1464" s="11">
        <v>44692</v>
      </c>
      <c r="C1464" s="13" t="s">
        <v>2245</v>
      </c>
      <c r="D1464" s="13" t="s">
        <v>2246</v>
      </c>
      <c r="E1464" s="8">
        <v>5493.39</v>
      </c>
      <c r="F1464" s="13" t="s">
        <v>70</v>
      </c>
      <c r="G1464" s="14">
        <v>44693</v>
      </c>
      <c r="H1464" s="13" t="s">
        <v>9</v>
      </c>
    </row>
    <row r="1465" spans="1:8" ht="14.4" x14ac:dyDescent="0.3">
      <c r="A1465" s="8">
        <v>79751502</v>
      </c>
      <c r="B1465" s="11">
        <v>44692</v>
      </c>
      <c r="C1465" s="13" t="s">
        <v>2247</v>
      </c>
      <c r="D1465" s="13" t="s">
        <v>2240</v>
      </c>
      <c r="E1465" s="8">
        <v>42625.84</v>
      </c>
      <c r="F1465" s="13" t="s">
        <v>70</v>
      </c>
      <c r="G1465" s="14">
        <v>44693</v>
      </c>
      <c r="H1465" s="13" t="s">
        <v>9</v>
      </c>
    </row>
    <row r="1466" spans="1:8" ht="14.4" x14ac:dyDescent="0.3">
      <c r="A1466" s="8">
        <v>79751503</v>
      </c>
      <c r="B1466" s="11">
        <v>44692</v>
      </c>
      <c r="C1466" s="13" t="s">
        <v>2248</v>
      </c>
      <c r="D1466" s="13" t="s">
        <v>2249</v>
      </c>
      <c r="E1466" s="8">
        <v>40133.24</v>
      </c>
      <c r="F1466" s="13" t="s">
        <v>70</v>
      </c>
      <c r="G1466" s="14">
        <v>44693</v>
      </c>
      <c r="H1466" s="13" t="s">
        <v>9</v>
      </c>
    </row>
    <row r="1467" spans="1:8" ht="14.4" x14ac:dyDescent="0.3">
      <c r="A1467" s="8">
        <v>79751504</v>
      </c>
      <c r="B1467" s="11">
        <v>44692</v>
      </c>
      <c r="C1467" s="13" t="s">
        <v>2250</v>
      </c>
      <c r="D1467" s="13" t="s">
        <v>2251</v>
      </c>
      <c r="E1467" s="8">
        <v>43256.44</v>
      </c>
      <c r="F1467" s="13" t="s">
        <v>70</v>
      </c>
      <c r="G1467" s="14">
        <v>44694</v>
      </c>
      <c r="H1467" s="13" t="s">
        <v>9</v>
      </c>
    </row>
    <row r="1468" spans="1:8" ht="14.4" x14ac:dyDescent="0.3">
      <c r="A1468" s="8">
        <v>79751505</v>
      </c>
      <c r="B1468" s="11">
        <v>44692</v>
      </c>
      <c r="C1468" s="13" t="s">
        <v>2252</v>
      </c>
      <c r="D1468" s="13" t="s">
        <v>2253</v>
      </c>
      <c r="E1468" s="8">
        <v>51474.85</v>
      </c>
      <c r="F1468" s="13" t="s">
        <v>70</v>
      </c>
      <c r="G1468" s="14">
        <v>44693</v>
      </c>
      <c r="H1468" s="13" t="s">
        <v>9</v>
      </c>
    </row>
    <row r="1469" spans="1:8" ht="14.4" x14ac:dyDescent="0.3">
      <c r="A1469" s="8">
        <v>79751506</v>
      </c>
      <c r="B1469" s="11">
        <v>44692</v>
      </c>
      <c r="C1469" s="13" t="s">
        <v>2254</v>
      </c>
      <c r="D1469" s="13" t="s">
        <v>2255</v>
      </c>
      <c r="E1469" s="8">
        <v>45532.800000000003</v>
      </c>
      <c r="F1469" s="13" t="s">
        <v>70</v>
      </c>
      <c r="G1469" s="14">
        <v>44693</v>
      </c>
      <c r="H1469" s="13" t="s">
        <v>9</v>
      </c>
    </row>
    <row r="1470" spans="1:8" ht="14.4" x14ac:dyDescent="0.3">
      <c r="A1470" s="8">
        <v>79751507</v>
      </c>
      <c r="B1470" s="11">
        <v>44692</v>
      </c>
      <c r="C1470" s="13" t="s">
        <v>2256</v>
      </c>
      <c r="D1470" s="13" t="s">
        <v>2205</v>
      </c>
      <c r="E1470" s="8">
        <v>36869.269999999997</v>
      </c>
      <c r="F1470" s="13" t="s">
        <v>70</v>
      </c>
      <c r="G1470" s="14">
        <v>44693</v>
      </c>
      <c r="H1470" s="13" t="s">
        <v>9</v>
      </c>
    </row>
    <row r="1471" spans="1:8" ht="14.4" x14ac:dyDescent="0.3">
      <c r="A1471" s="8">
        <v>79751508</v>
      </c>
      <c r="B1471" s="11">
        <v>44692</v>
      </c>
      <c r="C1471" s="13" t="s">
        <v>2257</v>
      </c>
      <c r="D1471" s="13" t="s">
        <v>2238</v>
      </c>
      <c r="E1471" s="8">
        <v>28258.87</v>
      </c>
      <c r="F1471" s="13" t="s">
        <v>70</v>
      </c>
      <c r="G1471" s="14">
        <v>44693</v>
      </c>
      <c r="H1471" s="13" t="s">
        <v>9</v>
      </c>
    </row>
    <row r="1472" spans="1:8" ht="14.4" x14ac:dyDescent="0.3">
      <c r="A1472" s="8">
        <v>79751509</v>
      </c>
      <c r="B1472" s="11">
        <v>44693</v>
      </c>
      <c r="C1472" s="13" t="s">
        <v>2258</v>
      </c>
      <c r="D1472" s="13" t="s">
        <v>2259</v>
      </c>
      <c r="E1472" s="8">
        <v>20362.439999999999</v>
      </c>
      <c r="F1472" s="13" t="s">
        <v>70</v>
      </c>
      <c r="G1472" s="14">
        <v>44697</v>
      </c>
      <c r="H1472" s="13" t="s">
        <v>9</v>
      </c>
    </row>
    <row r="1473" spans="1:8" ht="14.4" x14ac:dyDescent="0.3">
      <c r="A1473" s="8">
        <v>79751510</v>
      </c>
      <c r="B1473" s="11">
        <v>44693</v>
      </c>
      <c r="C1473" s="13" t="s">
        <v>2260</v>
      </c>
      <c r="D1473" s="13" t="s">
        <v>2261</v>
      </c>
      <c r="E1473" s="8">
        <v>11052.48</v>
      </c>
      <c r="F1473" s="13" t="s">
        <v>70</v>
      </c>
      <c r="G1473" s="14">
        <v>44694</v>
      </c>
      <c r="H1473" s="13" t="s">
        <v>9</v>
      </c>
    </row>
    <row r="1474" spans="1:8" ht="14.4" x14ac:dyDescent="0.3">
      <c r="A1474" s="8">
        <v>79751511</v>
      </c>
      <c r="B1474" s="11">
        <v>44693</v>
      </c>
      <c r="C1474" s="13" t="s">
        <v>2262</v>
      </c>
      <c r="D1474" s="13" t="s">
        <v>2263</v>
      </c>
      <c r="E1474" s="8">
        <v>40565.18</v>
      </c>
      <c r="F1474" s="13" t="s">
        <v>70</v>
      </c>
      <c r="G1474" s="14">
        <v>44700</v>
      </c>
      <c r="H1474" s="13" t="s">
        <v>9</v>
      </c>
    </row>
    <row r="1475" spans="1:8" ht="14.4" x14ac:dyDescent="0.3">
      <c r="A1475" s="8">
        <v>79751512</v>
      </c>
      <c r="B1475" s="11">
        <v>44693</v>
      </c>
      <c r="C1475" s="13" t="s">
        <v>1581</v>
      </c>
      <c r="D1475" s="13" t="s">
        <v>2264</v>
      </c>
      <c r="E1475" s="8">
        <v>6388.39</v>
      </c>
      <c r="F1475" s="13" t="s">
        <v>70</v>
      </c>
      <c r="G1475" s="14">
        <v>44699</v>
      </c>
      <c r="H1475" s="13" t="s">
        <v>9</v>
      </c>
    </row>
    <row r="1476" spans="1:8" ht="14.4" x14ac:dyDescent="0.3">
      <c r="A1476" s="8">
        <v>79751513</v>
      </c>
      <c r="B1476" s="11">
        <v>44693</v>
      </c>
      <c r="C1476" s="13" t="s">
        <v>405</v>
      </c>
      <c r="D1476" s="13" t="s">
        <v>2265</v>
      </c>
      <c r="E1476" s="8">
        <v>21460.5</v>
      </c>
      <c r="F1476" s="13" t="s">
        <v>70</v>
      </c>
      <c r="G1476" s="14">
        <v>44698</v>
      </c>
      <c r="H1476" s="13" t="s">
        <v>9</v>
      </c>
    </row>
    <row r="1477" spans="1:8" ht="14.4" x14ac:dyDescent="0.3">
      <c r="A1477" s="8">
        <v>79751514</v>
      </c>
      <c r="B1477" s="11">
        <v>44693</v>
      </c>
      <c r="C1477" s="13" t="s">
        <v>25</v>
      </c>
      <c r="D1477" s="13" t="s">
        <v>2266</v>
      </c>
      <c r="E1477" s="8">
        <v>6435.72</v>
      </c>
      <c r="F1477" s="13" t="s">
        <v>70</v>
      </c>
      <c r="G1477" s="14">
        <v>44694</v>
      </c>
      <c r="H1477" s="13" t="s">
        <v>9</v>
      </c>
    </row>
    <row r="1478" spans="1:8" ht="14.4" x14ac:dyDescent="0.3">
      <c r="A1478" s="8">
        <v>79751515</v>
      </c>
      <c r="B1478" s="11">
        <v>44693</v>
      </c>
      <c r="C1478" s="13" t="s">
        <v>1286</v>
      </c>
      <c r="D1478" s="13" t="s">
        <v>2267</v>
      </c>
      <c r="E1478" s="8">
        <v>101578.26</v>
      </c>
      <c r="F1478" s="13" t="s">
        <v>70</v>
      </c>
      <c r="G1478" s="14">
        <v>44697</v>
      </c>
      <c r="H1478" s="13" t="s">
        <v>9</v>
      </c>
    </row>
    <row r="1479" spans="1:8" ht="14.4" x14ac:dyDescent="0.3">
      <c r="A1479" s="8">
        <v>79751516</v>
      </c>
      <c r="B1479" s="11">
        <v>44693</v>
      </c>
      <c r="C1479" s="13" t="s">
        <v>1286</v>
      </c>
      <c r="D1479" s="13" t="s">
        <v>2268</v>
      </c>
      <c r="E1479" s="8">
        <v>66863.33</v>
      </c>
      <c r="F1479" s="13" t="s">
        <v>70</v>
      </c>
      <c r="G1479" s="14">
        <v>44697</v>
      </c>
      <c r="H1479" s="13" t="s">
        <v>9</v>
      </c>
    </row>
    <row r="1480" spans="1:8" ht="14.4" x14ac:dyDescent="0.3">
      <c r="A1480" s="8">
        <v>79751517</v>
      </c>
      <c r="B1480" s="11">
        <v>44693</v>
      </c>
      <c r="C1480" s="13" t="s">
        <v>1286</v>
      </c>
      <c r="D1480" s="13" t="s">
        <v>2269</v>
      </c>
      <c r="E1480" s="8">
        <v>4371.9399999999996</v>
      </c>
      <c r="F1480" s="13" t="s">
        <v>70</v>
      </c>
      <c r="G1480" s="14">
        <v>44697</v>
      </c>
      <c r="H1480" s="13" t="s">
        <v>9</v>
      </c>
    </row>
    <row r="1481" spans="1:8" ht="14.4" x14ac:dyDescent="0.3">
      <c r="A1481" s="8">
        <v>79751518</v>
      </c>
      <c r="B1481" s="11">
        <v>44693</v>
      </c>
      <c r="C1481" s="13" t="s">
        <v>1286</v>
      </c>
      <c r="D1481" s="13" t="s">
        <v>2270</v>
      </c>
      <c r="E1481" s="8">
        <v>3729.97</v>
      </c>
      <c r="F1481" s="13" t="s">
        <v>70</v>
      </c>
      <c r="G1481" s="14">
        <v>44697</v>
      </c>
      <c r="H1481" s="13" t="s">
        <v>9</v>
      </c>
    </row>
    <row r="1482" spans="1:8" ht="14.4" x14ac:dyDescent="0.3">
      <c r="A1482" s="8">
        <v>79751520</v>
      </c>
      <c r="B1482" s="11">
        <v>44693</v>
      </c>
      <c r="C1482" s="13" t="s">
        <v>1286</v>
      </c>
      <c r="D1482" s="13" t="s">
        <v>2271</v>
      </c>
      <c r="E1482" s="8">
        <v>3858.59</v>
      </c>
      <c r="F1482" s="13" t="s">
        <v>70</v>
      </c>
      <c r="G1482" s="14">
        <v>44697</v>
      </c>
      <c r="H1482" s="13" t="s">
        <v>9</v>
      </c>
    </row>
    <row r="1483" spans="1:8" ht="14.4" x14ac:dyDescent="0.3">
      <c r="A1483" s="8">
        <v>79751521</v>
      </c>
      <c r="B1483" s="11">
        <v>44693</v>
      </c>
      <c r="C1483" s="13" t="s">
        <v>1745</v>
      </c>
      <c r="D1483" s="13" t="s">
        <v>2272</v>
      </c>
      <c r="E1483" s="8">
        <v>67900</v>
      </c>
      <c r="F1483" s="13" t="s">
        <v>70</v>
      </c>
      <c r="G1483" s="14">
        <v>44698</v>
      </c>
      <c r="H1483" s="13" t="s">
        <v>9</v>
      </c>
    </row>
    <row r="1484" spans="1:8" ht="14.4" x14ac:dyDescent="0.3">
      <c r="A1484" s="8">
        <v>79751522</v>
      </c>
      <c r="B1484" s="11">
        <v>44693</v>
      </c>
      <c r="C1484" s="13" t="s">
        <v>180</v>
      </c>
      <c r="D1484" s="13" t="s">
        <v>2273</v>
      </c>
      <c r="E1484" s="8">
        <v>38848.720000000001</v>
      </c>
      <c r="F1484" s="13" t="s">
        <v>70</v>
      </c>
      <c r="G1484" s="14">
        <v>44693</v>
      </c>
      <c r="H1484" s="13" t="s">
        <v>9</v>
      </c>
    </row>
    <row r="1485" spans="1:8" ht="14.4" x14ac:dyDescent="0.3">
      <c r="A1485" s="8">
        <v>79751523</v>
      </c>
      <c r="B1485" s="11">
        <v>44698</v>
      </c>
      <c r="C1485" s="13" t="s">
        <v>1657</v>
      </c>
      <c r="D1485" s="13" t="s">
        <v>2274</v>
      </c>
      <c r="E1485" s="8">
        <v>20000</v>
      </c>
      <c r="F1485" s="13" t="s">
        <v>70</v>
      </c>
      <c r="G1485" s="14">
        <v>44699</v>
      </c>
      <c r="H1485" s="13" t="s">
        <v>9</v>
      </c>
    </row>
    <row r="1486" spans="1:8" ht="14.4" x14ac:dyDescent="0.3">
      <c r="A1486" s="8">
        <v>79751524</v>
      </c>
      <c r="B1486" s="11">
        <v>44698</v>
      </c>
      <c r="C1486" s="13" t="s">
        <v>673</v>
      </c>
      <c r="D1486" s="13" t="s">
        <v>2275</v>
      </c>
      <c r="E1486" s="8">
        <v>23520</v>
      </c>
      <c r="F1486" s="13" t="s">
        <v>70</v>
      </c>
      <c r="G1486" s="14">
        <v>44701</v>
      </c>
      <c r="H1486" s="13" t="s">
        <v>9</v>
      </c>
    </row>
    <row r="1487" spans="1:8" ht="14.4" x14ac:dyDescent="0.3">
      <c r="A1487" s="8">
        <v>79751525</v>
      </c>
      <c r="B1487" s="11">
        <v>44698</v>
      </c>
      <c r="C1487" s="13" t="s">
        <v>186</v>
      </c>
      <c r="D1487" s="13" t="s">
        <v>2276</v>
      </c>
      <c r="E1487" s="8">
        <v>1296</v>
      </c>
      <c r="F1487" s="13" t="s">
        <v>70</v>
      </c>
      <c r="G1487" s="14">
        <v>44704</v>
      </c>
      <c r="H1487" s="13" t="s">
        <v>9</v>
      </c>
    </row>
    <row r="1488" spans="1:8" ht="14.4" x14ac:dyDescent="0.3">
      <c r="A1488" s="8">
        <v>79751526</v>
      </c>
      <c r="B1488" s="11">
        <v>44699</v>
      </c>
      <c r="C1488" s="13" t="s">
        <v>1606</v>
      </c>
      <c r="D1488" s="13" t="s">
        <v>2277</v>
      </c>
      <c r="E1488" s="8">
        <v>20000</v>
      </c>
      <c r="F1488" s="13" t="s">
        <v>70</v>
      </c>
      <c r="G1488" s="14">
        <v>44699</v>
      </c>
      <c r="H1488" s="13" t="s">
        <v>9</v>
      </c>
    </row>
    <row r="1489" spans="1:8" ht="14.4" x14ac:dyDescent="0.3">
      <c r="A1489" s="8">
        <v>79751527</v>
      </c>
      <c r="B1489" s="11">
        <v>44700</v>
      </c>
      <c r="C1489" s="13" t="s">
        <v>775</v>
      </c>
      <c r="D1489" s="13" t="s">
        <v>2278</v>
      </c>
      <c r="E1489" s="8">
        <v>107700</v>
      </c>
      <c r="F1489" s="13" t="s">
        <v>70</v>
      </c>
      <c r="G1489" s="14">
        <v>44701</v>
      </c>
      <c r="H1489" s="13" t="s">
        <v>9</v>
      </c>
    </row>
    <row r="1490" spans="1:8" ht="14.4" x14ac:dyDescent="0.3">
      <c r="A1490" s="8">
        <v>79751528</v>
      </c>
      <c r="B1490" s="11">
        <v>44700</v>
      </c>
      <c r="C1490" s="13" t="s">
        <v>158</v>
      </c>
      <c r="D1490" s="13" t="s">
        <v>2279</v>
      </c>
      <c r="E1490" s="8">
        <v>344500</v>
      </c>
      <c r="F1490" s="13" t="s">
        <v>70</v>
      </c>
      <c r="G1490" s="14">
        <v>44701</v>
      </c>
      <c r="H1490" s="13" t="s">
        <v>9</v>
      </c>
    </row>
    <row r="1491" spans="1:8" ht="14.4" x14ac:dyDescent="0.3">
      <c r="A1491" s="8">
        <v>79751529</v>
      </c>
      <c r="B1491" s="11">
        <v>44700</v>
      </c>
      <c r="C1491" s="13" t="s">
        <v>775</v>
      </c>
      <c r="D1491" s="13" t="s">
        <v>2280</v>
      </c>
      <c r="E1491" s="8">
        <v>30000</v>
      </c>
      <c r="F1491" s="13" t="s">
        <v>70</v>
      </c>
      <c r="G1491" s="14">
        <v>44701</v>
      </c>
      <c r="H1491" s="13" t="s">
        <v>9</v>
      </c>
    </row>
    <row r="1492" spans="1:8" ht="14.4" x14ac:dyDescent="0.3">
      <c r="A1492" s="8">
        <v>79751530</v>
      </c>
      <c r="B1492" s="11">
        <v>44700</v>
      </c>
      <c r="C1492" s="13" t="s">
        <v>2281</v>
      </c>
      <c r="D1492" s="13" t="s">
        <v>2282</v>
      </c>
      <c r="E1492" s="8">
        <v>32000</v>
      </c>
      <c r="F1492" s="13" t="s">
        <v>70</v>
      </c>
      <c r="G1492" s="14">
        <v>44708</v>
      </c>
      <c r="H1492" s="13" t="s">
        <v>9</v>
      </c>
    </row>
    <row r="1493" spans="1:8" ht="14.4" x14ac:dyDescent="0.3">
      <c r="A1493" s="8">
        <v>79751531</v>
      </c>
      <c r="B1493" s="11">
        <v>44700</v>
      </c>
      <c r="C1493" s="13" t="s">
        <v>2283</v>
      </c>
      <c r="D1493" s="13" t="s">
        <v>2284</v>
      </c>
      <c r="E1493" s="8">
        <v>50000</v>
      </c>
      <c r="F1493" s="13" t="s">
        <v>70</v>
      </c>
      <c r="G1493" s="14">
        <v>44708</v>
      </c>
      <c r="H1493" s="13" t="s">
        <v>9</v>
      </c>
    </row>
    <row r="1494" spans="1:8" ht="14.4" x14ac:dyDescent="0.3">
      <c r="A1494" s="8">
        <v>79751532</v>
      </c>
      <c r="B1494" s="11">
        <v>44700</v>
      </c>
      <c r="C1494" s="13" t="s">
        <v>2285</v>
      </c>
      <c r="D1494" s="13" t="s">
        <v>2286</v>
      </c>
      <c r="E1494" s="8">
        <v>10000</v>
      </c>
      <c r="F1494" s="13" t="s">
        <v>70</v>
      </c>
      <c r="G1494" s="14">
        <v>44708</v>
      </c>
      <c r="H1494" s="13" t="s">
        <v>9</v>
      </c>
    </row>
    <row r="1495" spans="1:8" ht="14.4" x14ac:dyDescent="0.3">
      <c r="A1495" s="8">
        <v>79751533</v>
      </c>
      <c r="B1495" s="11">
        <v>44700</v>
      </c>
      <c r="C1495" s="13" t="s">
        <v>2287</v>
      </c>
      <c r="D1495" s="13" t="s">
        <v>2288</v>
      </c>
      <c r="E1495" s="8">
        <v>14000</v>
      </c>
      <c r="F1495" s="13" t="s">
        <v>70</v>
      </c>
      <c r="G1495" s="14">
        <v>44708</v>
      </c>
      <c r="H1495" s="13" t="s">
        <v>9</v>
      </c>
    </row>
    <row r="1496" spans="1:8" ht="14.4" x14ac:dyDescent="0.3">
      <c r="A1496" s="8">
        <v>79751534</v>
      </c>
      <c r="B1496" s="11">
        <v>44700</v>
      </c>
      <c r="C1496" s="13" t="s">
        <v>2289</v>
      </c>
      <c r="D1496" s="13" t="s">
        <v>2290</v>
      </c>
      <c r="E1496" s="8">
        <v>10000</v>
      </c>
      <c r="F1496" s="13" t="s">
        <v>70</v>
      </c>
      <c r="G1496" s="14">
        <v>44701</v>
      </c>
      <c r="H1496" s="13" t="s">
        <v>9</v>
      </c>
    </row>
    <row r="1497" spans="1:8" ht="14.4" x14ac:dyDescent="0.3">
      <c r="A1497" s="8">
        <v>79751535</v>
      </c>
      <c r="B1497" s="11">
        <v>44700</v>
      </c>
      <c r="C1497" s="13" t="s">
        <v>265</v>
      </c>
      <c r="D1497" s="13" t="s">
        <v>2291</v>
      </c>
      <c r="E1497" s="8">
        <v>162726.39999999999</v>
      </c>
      <c r="F1497" s="13" t="s">
        <v>70</v>
      </c>
      <c r="G1497" s="14">
        <v>44705</v>
      </c>
      <c r="H1497" s="13" t="s">
        <v>9</v>
      </c>
    </row>
    <row r="1498" spans="1:8" ht="14.4" x14ac:dyDescent="0.3">
      <c r="A1498" s="8">
        <v>79751536</v>
      </c>
      <c r="B1498" s="11">
        <v>44700</v>
      </c>
      <c r="C1498" s="13" t="s">
        <v>363</v>
      </c>
      <c r="D1498" s="13" t="s">
        <v>2292</v>
      </c>
      <c r="E1498" s="8">
        <v>30839.8</v>
      </c>
      <c r="F1498" s="13" t="s">
        <v>70</v>
      </c>
      <c r="G1498" s="14">
        <v>44704</v>
      </c>
      <c r="H1498" s="13" t="s">
        <v>9</v>
      </c>
    </row>
    <row r="1499" spans="1:8" ht="14.4" x14ac:dyDescent="0.3">
      <c r="A1499" s="8">
        <v>79751537</v>
      </c>
      <c r="B1499" s="11">
        <v>44700</v>
      </c>
      <c r="C1499" s="13" t="s">
        <v>287</v>
      </c>
      <c r="D1499" s="13" t="s">
        <v>2293</v>
      </c>
      <c r="E1499" s="8">
        <v>5250</v>
      </c>
      <c r="F1499" s="13" t="s">
        <v>70</v>
      </c>
      <c r="G1499" s="14">
        <v>44704</v>
      </c>
      <c r="H1499" s="13" t="s">
        <v>9</v>
      </c>
    </row>
    <row r="1500" spans="1:8" ht="14.4" x14ac:dyDescent="0.3">
      <c r="A1500" s="8">
        <v>79751538</v>
      </c>
      <c r="B1500" s="11">
        <v>44700</v>
      </c>
      <c r="C1500" s="13" t="s">
        <v>395</v>
      </c>
      <c r="D1500" s="13" t="s">
        <v>2294</v>
      </c>
      <c r="E1500" s="8">
        <v>34757</v>
      </c>
      <c r="F1500" s="13" t="s">
        <v>70</v>
      </c>
      <c r="G1500" s="14">
        <v>44705</v>
      </c>
      <c r="H1500" s="13" t="s">
        <v>9</v>
      </c>
    </row>
    <row r="1501" spans="1:8" ht="14.4" x14ac:dyDescent="0.3">
      <c r="A1501" s="8">
        <v>79751539</v>
      </c>
      <c r="B1501" s="11">
        <v>44700</v>
      </c>
      <c r="C1501" s="13" t="s">
        <v>153</v>
      </c>
      <c r="D1501" s="13" t="s">
        <v>2295</v>
      </c>
      <c r="E1501" s="8">
        <v>74588</v>
      </c>
      <c r="F1501" s="13" t="s">
        <v>70</v>
      </c>
      <c r="G1501" s="14">
        <v>44705</v>
      </c>
      <c r="H1501" s="13" t="s">
        <v>9</v>
      </c>
    </row>
    <row r="1502" spans="1:8" ht="14.4" x14ac:dyDescent="0.3">
      <c r="A1502" s="8">
        <v>79751540</v>
      </c>
      <c r="B1502" s="11">
        <v>44700</v>
      </c>
      <c r="C1502" s="13" t="s">
        <v>195</v>
      </c>
      <c r="D1502" s="13" t="s">
        <v>2296</v>
      </c>
      <c r="E1502" s="8">
        <v>6512</v>
      </c>
      <c r="F1502" s="13" t="s">
        <v>70</v>
      </c>
      <c r="G1502" s="14">
        <v>44707</v>
      </c>
      <c r="H1502" s="13" t="s">
        <v>9</v>
      </c>
    </row>
    <row r="1503" spans="1:8" ht="14.4" x14ac:dyDescent="0.3">
      <c r="A1503" s="8">
        <v>79751541</v>
      </c>
      <c r="B1503" s="11">
        <v>44700</v>
      </c>
      <c r="C1503" s="13" t="s">
        <v>2297</v>
      </c>
      <c r="D1503" s="13" t="s">
        <v>2298</v>
      </c>
      <c r="E1503" s="8">
        <v>5000</v>
      </c>
      <c r="F1503" s="13" t="s">
        <v>70</v>
      </c>
      <c r="G1503" s="14">
        <v>44712</v>
      </c>
      <c r="H1503" s="13" t="s">
        <v>9</v>
      </c>
    </row>
    <row r="1504" spans="1:8" ht="14.4" x14ac:dyDescent="0.3">
      <c r="A1504" s="8">
        <v>79751542</v>
      </c>
      <c r="B1504" s="11">
        <v>44700</v>
      </c>
      <c r="C1504" s="13" t="s">
        <v>1430</v>
      </c>
      <c r="D1504" s="13" t="s">
        <v>2299</v>
      </c>
      <c r="E1504" s="8">
        <v>8900</v>
      </c>
      <c r="F1504" s="13" t="s">
        <v>70</v>
      </c>
      <c r="G1504" s="14">
        <v>44711</v>
      </c>
      <c r="H1504" s="13" t="s">
        <v>9</v>
      </c>
    </row>
    <row r="1505" spans="1:8" ht="14.4" x14ac:dyDescent="0.3">
      <c r="A1505" s="8">
        <v>79751543</v>
      </c>
      <c r="B1505" s="11">
        <v>44700</v>
      </c>
      <c r="C1505" s="13" t="s">
        <v>2300</v>
      </c>
      <c r="D1505" s="13" t="s">
        <v>2301</v>
      </c>
      <c r="E1505" s="8">
        <v>18000</v>
      </c>
      <c r="F1505" s="13" t="s">
        <v>70</v>
      </c>
      <c r="G1505" s="14">
        <v>44711</v>
      </c>
      <c r="H1505" s="13" t="s">
        <v>9</v>
      </c>
    </row>
    <row r="1506" spans="1:8" ht="14.4" x14ac:dyDescent="0.3">
      <c r="A1506" s="8">
        <v>79751544</v>
      </c>
      <c r="B1506" s="11">
        <v>44700</v>
      </c>
      <c r="C1506" s="13" t="s">
        <v>1193</v>
      </c>
      <c r="D1506" s="13" t="s">
        <v>2302</v>
      </c>
      <c r="E1506" s="8">
        <v>42000</v>
      </c>
      <c r="F1506" s="13" t="s">
        <v>70</v>
      </c>
      <c r="G1506" s="14">
        <v>44708</v>
      </c>
      <c r="H1506" s="13" t="s">
        <v>9</v>
      </c>
    </row>
    <row r="1507" spans="1:8" ht="14.4" x14ac:dyDescent="0.3">
      <c r="A1507" s="8">
        <v>79751545</v>
      </c>
      <c r="B1507" s="11">
        <v>44700</v>
      </c>
      <c r="C1507" s="13" t="s">
        <v>2303</v>
      </c>
      <c r="D1507" s="13" t="s">
        <v>2304</v>
      </c>
      <c r="E1507" s="8">
        <v>30000</v>
      </c>
      <c r="F1507" s="13" t="s">
        <v>70</v>
      </c>
      <c r="G1507" s="14">
        <v>44708</v>
      </c>
      <c r="H1507" s="13" t="s">
        <v>9</v>
      </c>
    </row>
    <row r="1508" spans="1:8" ht="14.4" x14ac:dyDescent="0.3">
      <c r="A1508" s="8">
        <v>79751547</v>
      </c>
      <c r="B1508" s="11">
        <v>44704</v>
      </c>
      <c r="C1508" s="13" t="s">
        <v>2305</v>
      </c>
      <c r="D1508" s="13" t="s">
        <v>2306</v>
      </c>
      <c r="E1508" s="8">
        <v>18516</v>
      </c>
      <c r="F1508" s="13" t="s">
        <v>70</v>
      </c>
      <c r="G1508" s="14">
        <v>44707</v>
      </c>
      <c r="H1508" s="13" t="s">
        <v>9</v>
      </c>
    </row>
    <row r="1509" spans="1:8" ht="14.4" x14ac:dyDescent="0.3">
      <c r="A1509" s="8">
        <v>79751548</v>
      </c>
      <c r="B1509" s="11">
        <v>44704</v>
      </c>
      <c r="C1509" s="13" t="s">
        <v>2307</v>
      </c>
      <c r="D1509" s="13" t="s">
        <v>2308</v>
      </c>
      <c r="E1509" s="8">
        <v>20000</v>
      </c>
      <c r="F1509" s="13" t="s">
        <v>70</v>
      </c>
      <c r="G1509" s="14">
        <v>44705</v>
      </c>
      <c r="H1509" s="13" t="s">
        <v>9</v>
      </c>
    </row>
    <row r="1510" spans="1:8" ht="14.4" x14ac:dyDescent="0.3">
      <c r="A1510" s="8">
        <v>79751549</v>
      </c>
      <c r="B1510" s="11">
        <v>44704</v>
      </c>
      <c r="C1510" s="13" t="s">
        <v>773</v>
      </c>
      <c r="D1510" s="13" t="s">
        <v>2309</v>
      </c>
      <c r="E1510" s="8">
        <v>20000</v>
      </c>
      <c r="F1510" s="13" t="s">
        <v>70</v>
      </c>
      <c r="G1510" s="14">
        <v>44705</v>
      </c>
      <c r="H1510" s="13" t="s">
        <v>9</v>
      </c>
    </row>
    <row r="1511" spans="1:8" ht="14.4" x14ac:dyDescent="0.3">
      <c r="A1511" s="8">
        <v>79751550</v>
      </c>
      <c r="B1511" s="11">
        <v>44704</v>
      </c>
      <c r="C1511" s="13" t="s">
        <v>158</v>
      </c>
      <c r="D1511" s="13" t="s">
        <v>2310</v>
      </c>
      <c r="E1511" s="8">
        <v>20000</v>
      </c>
      <c r="F1511" s="13" t="s">
        <v>70</v>
      </c>
      <c r="G1511" s="14">
        <v>44705</v>
      </c>
      <c r="H1511" s="13" t="s">
        <v>9</v>
      </c>
    </row>
    <row r="1512" spans="1:8" ht="14.4" x14ac:dyDescent="0.3">
      <c r="A1512" s="8">
        <v>79751551</v>
      </c>
      <c r="B1512" s="11">
        <v>44704</v>
      </c>
      <c r="C1512" s="13" t="s">
        <v>152</v>
      </c>
      <c r="D1512" s="13" t="s">
        <v>2311</v>
      </c>
      <c r="E1512" s="8">
        <v>6000</v>
      </c>
      <c r="F1512" s="13" t="s">
        <v>70</v>
      </c>
      <c r="G1512" s="14">
        <v>44713</v>
      </c>
      <c r="H1512" s="13" t="s">
        <v>9</v>
      </c>
    </row>
    <row r="1513" spans="1:8" ht="14.4" x14ac:dyDescent="0.3">
      <c r="A1513" s="8">
        <v>79751552</v>
      </c>
      <c r="B1513" s="11">
        <v>44704</v>
      </c>
      <c r="C1513" s="13" t="s">
        <v>1322</v>
      </c>
      <c r="D1513" s="13" t="s">
        <v>2312</v>
      </c>
      <c r="E1513" s="8">
        <v>333.68</v>
      </c>
      <c r="F1513" s="13" t="s">
        <v>70</v>
      </c>
      <c r="G1513" s="14">
        <v>44720</v>
      </c>
      <c r="H1513" s="13" t="s">
        <v>9</v>
      </c>
    </row>
    <row r="1514" spans="1:8" ht="14.4" x14ac:dyDescent="0.3">
      <c r="A1514" s="8">
        <v>79751553</v>
      </c>
      <c r="B1514" s="11">
        <v>44704</v>
      </c>
      <c r="C1514" s="13" t="s">
        <v>1380</v>
      </c>
      <c r="D1514" s="13" t="s">
        <v>2313</v>
      </c>
      <c r="E1514" s="8">
        <v>577.94000000000005</v>
      </c>
      <c r="F1514" s="13" t="s">
        <v>70</v>
      </c>
      <c r="G1514" s="14">
        <v>44718</v>
      </c>
      <c r="H1514" s="13" t="s">
        <v>9</v>
      </c>
    </row>
    <row r="1515" spans="1:8" ht="14.4" x14ac:dyDescent="0.3">
      <c r="A1515" s="8">
        <v>79751554</v>
      </c>
      <c r="B1515" s="11">
        <v>44705</v>
      </c>
      <c r="C1515" s="13" t="s">
        <v>159</v>
      </c>
      <c r="D1515" s="13" t="s">
        <v>2314</v>
      </c>
      <c r="E1515" s="8">
        <v>385000</v>
      </c>
      <c r="F1515" s="13" t="s">
        <v>70</v>
      </c>
      <c r="G1515" s="14">
        <v>44705</v>
      </c>
      <c r="H1515" s="13" t="s">
        <v>9</v>
      </c>
    </row>
    <row r="1516" spans="1:8" ht="14.4" x14ac:dyDescent="0.3">
      <c r="A1516" s="8">
        <v>79751555</v>
      </c>
      <c r="B1516" s="11">
        <v>44707</v>
      </c>
      <c r="C1516" s="13" t="s">
        <v>748</v>
      </c>
      <c r="D1516" s="13" t="s">
        <v>2315</v>
      </c>
      <c r="E1516" s="8">
        <v>27334.26</v>
      </c>
      <c r="F1516" s="13" t="s">
        <v>70</v>
      </c>
      <c r="G1516" s="14">
        <v>44720</v>
      </c>
      <c r="H1516" s="13" t="s">
        <v>9</v>
      </c>
    </row>
    <row r="1517" spans="1:8" ht="14.4" x14ac:dyDescent="0.3">
      <c r="A1517" s="8">
        <v>79751556</v>
      </c>
      <c r="B1517" s="11">
        <v>44707</v>
      </c>
      <c r="C1517" s="13" t="s">
        <v>748</v>
      </c>
      <c r="D1517" s="13" t="s">
        <v>2316</v>
      </c>
      <c r="E1517" s="8">
        <v>30117.4</v>
      </c>
      <c r="F1517" s="13" t="s">
        <v>70</v>
      </c>
      <c r="G1517" s="14">
        <v>44720</v>
      </c>
      <c r="H1517" s="13" t="s">
        <v>9</v>
      </c>
    </row>
    <row r="1518" spans="1:8" ht="14.4" x14ac:dyDescent="0.3">
      <c r="A1518" s="8">
        <v>79751557</v>
      </c>
      <c r="B1518" s="11">
        <v>44720</v>
      </c>
      <c r="C1518" s="13" t="s">
        <v>159</v>
      </c>
      <c r="D1518" s="13" t="s">
        <v>2317</v>
      </c>
      <c r="E1518" s="8">
        <v>205700</v>
      </c>
      <c r="F1518" s="13" t="s">
        <v>70</v>
      </c>
      <c r="G1518" s="14">
        <v>44720</v>
      </c>
      <c r="H1518" s="13" t="s">
        <v>9</v>
      </c>
    </row>
    <row r="1519" spans="1:8" ht="14.4" x14ac:dyDescent="0.3">
      <c r="A1519" s="8">
        <v>79751558</v>
      </c>
      <c r="B1519" s="11">
        <v>44720</v>
      </c>
      <c r="C1519" s="13" t="s">
        <v>184</v>
      </c>
      <c r="D1519" s="13" t="s">
        <v>2318</v>
      </c>
      <c r="E1519" s="8">
        <v>306352.12</v>
      </c>
      <c r="F1519" s="13" t="s">
        <v>70</v>
      </c>
      <c r="G1519" s="14">
        <v>44720</v>
      </c>
      <c r="H1519" s="13" t="s">
        <v>9</v>
      </c>
    </row>
    <row r="1520" spans="1:8" ht="14.4" x14ac:dyDescent="0.3">
      <c r="A1520" s="8">
        <v>79751559</v>
      </c>
      <c r="B1520" s="11">
        <v>44720</v>
      </c>
      <c r="C1520" s="13" t="s">
        <v>184</v>
      </c>
      <c r="D1520" s="13" t="s">
        <v>2319</v>
      </c>
      <c r="E1520" s="8">
        <v>189347.62</v>
      </c>
      <c r="F1520" s="13" t="s">
        <v>70</v>
      </c>
      <c r="G1520" s="14">
        <v>44720</v>
      </c>
      <c r="H1520" s="13" t="s">
        <v>9</v>
      </c>
    </row>
    <row r="1521" spans="1:8" ht="14.4" x14ac:dyDescent="0.3">
      <c r="A1521" s="8">
        <v>79751560</v>
      </c>
      <c r="B1521" s="11">
        <v>44720</v>
      </c>
      <c r="C1521" s="13" t="s">
        <v>211</v>
      </c>
      <c r="D1521" s="13" t="s">
        <v>2320</v>
      </c>
      <c r="E1521" s="8">
        <v>82800</v>
      </c>
      <c r="F1521" s="13" t="s">
        <v>70</v>
      </c>
      <c r="G1521" s="14">
        <v>44735</v>
      </c>
      <c r="H1521" s="13" t="s">
        <v>9</v>
      </c>
    </row>
    <row r="1522" spans="1:8" ht="14.4" x14ac:dyDescent="0.3">
      <c r="A1522" s="8">
        <v>79751561</v>
      </c>
      <c r="B1522" s="11">
        <v>44720</v>
      </c>
      <c r="C1522" s="13" t="s">
        <v>211</v>
      </c>
      <c r="D1522" s="13" t="s">
        <v>2321</v>
      </c>
      <c r="E1522" s="8">
        <v>41400</v>
      </c>
      <c r="F1522" s="13" t="s">
        <v>70</v>
      </c>
      <c r="G1522" s="14">
        <v>44735</v>
      </c>
      <c r="H1522" s="13" t="s">
        <v>9</v>
      </c>
    </row>
    <row r="1523" spans="1:8" ht="14.4" x14ac:dyDescent="0.3">
      <c r="A1523" s="8">
        <v>79751562</v>
      </c>
      <c r="B1523" s="11">
        <v>44720</v>
      </c>
      <c r="C1523" s="13" t="s">
        <v>1286</v>
      </c>
      <c r="D1523" s="13" t="s">
        <v>2322</v>
      </c>
      <c r="E1523" s="8">
        <v>6775.96</v>
      </c>
      <c r="F1523" s="13" t="s">
        <v>70</v>
      </c>
      <c r="G1523" s="14">
        <v>44722</v>
      </c>
      <c r="H1523" s="13" t="s">
        <v>9</v>
      </c>
    </row>
    <row r="1524" spans="1:8" ht="14.4" x14ac:dyDescent="0.3">
      <c r="A1524" s="8">
        <v>79751563</v>
      </c>
      <c r="B1524" s="11">
        <v>44720</v>
      </c>
      <c r="C1524" s="13" t="s">
        <v>1286</v>
      </c>
      <c r="D1524" s="13" t="s">
        <v>2323</v>
      </c>
      <c r="E1524" s="8">
        <v>190980.59</v>
      </c>
      <c r="F1524" s="13" t="s">
        <v>70</v>
      </c>
      <c r="G1524" s="14">
        <v>44722</v>
      </c>
      <c r="H1524" s="13" t="s">
        <v>9</v>
      </c>
    </row>
    <row r="1525" spans="1:8" ht="14.4" x14ac:dyDescent="0.3">
      <c r="A1525" s="8">
        <v>79751564</v>
      </c>
      <c r="B1525" s="11">
        <v>44720</v>
      </c>
      <c r="C1525" s="13" t="s">
        <v>2324</v>
      </c>
      <c r="D1525" s="13" t="s">
        <v>2325</v>
      </c>
      <c r="E1525" s="8">
        <v>3950</v>
      </c>
      <c r="F1525" s="13" t="s">
        <v>70</v>
      </c>
      <c r="G1525" s="14">
        <v>44753</v>
      </c>
      <c r="H1525" s="13" t="s">
        <v>9</v>
      </c>
    </row>
    <row r="1526" spans="1:8" ht="14.4" x14ac:dyDescent="0.3">
      <c r="A1526" s="8">
        <v>79751565</v>
      </c>
      <c r="B1526" s="11">
        <v>44720</v>
      </c>
      <c r="C1526" s="13" t="s">
        <v>1524</v>
      </c>
      <c r="D1526" s="13" t="s">
        <v>2326</v>
      </c>
      <c r="E1526" s="8">
        <v>13688.84</v>
      </c>
      <c r="F1526" s="13" t="s">
        <v>70</v>
      </c>
      <c r="G1526" s="14">
        <v>44726</v>
      </c>
      <c r="H1526" s="13" t="s">
        <v>9</v>
      </c>
    </row>
    <row r="1527" spans="1:8" ht="14.4" x14ac:dyDescent="0.3">
      <c r="A1527" s="8">
        <v>79751566</v>
      </c>
      <c r="B1527" s="11">
        <v>44720</v>
      </c>
      <c r="C1527" s="13" t="s">
        <v>1581</v>
      </c>
      <c r="D1527" s="13" t="s">
        <v>2327</v>
      </c>
      <c r="E1527" s="8">
        <v>9085.7199999999993</v>
      </c>
      <c r="F1527" s="13" t="s">
        <v>70</v>
      </c>
      <c r="G1527" s="14">
        <v>44721</v>
      </c>
      <c r="H1527" s="13" t="s">
        <v>9</v>
      </c>
    </row>
    <row r="1528" spans="1:8" ht="14.4" x14ac:dyDescent="0.3">
      <c r="A1528" s="8">
        <v>79751567</v>
      </c>
      <c r="B1528" s="11">
        <v>44720</v>
      </c>
      <c r="C1528" s="13" t="s">
        <v>1581</v>
      </c>
      <c r="D1528" s="13" t="s">
        <v>2328</v>
      </c>
      <c r="E1528" s="8">
        <v>6625</v>
      </c>
      <c r="F1528" s="13" t="s">
        <v>70</v>
      </c>
      <c r="G1528" s="14">
        <v>44721</v>
      </c>
      <c r="H1528" s="13" t="s">
        <v>9</v>
      </c>
    </row>
    <row r="1529" spans="1:8" ht="14.4" x14ac:dyDescent="0.3">
      <c r="A1529" s="8">
        <v>79751568</v>
      </c>
      <c r="B1529" s="11">
        <v>44720</v>
      </c>
      <c r="C1529" s="13" t="s">
        <v>202</v>
      </c>
      <c r="D1529" s="13" t="s">
        <v>2329</v>
      </c>
      <c r="E1529" s="8">
        <v>10335</v>
      </c>
      <c r="F1529" s="13" t="s">
        <v>70</v>
      </c>
      <c r="G1529" s="14">
        <v>44725</v>
      </c>
      <c r="H1529" s="13" t="s">
        <v>9</v>
      </c>
    </row>
    <row r="1530" spans="1:8" ht="14.4" x14ac:dyDescent="0.3">
      <c r="A1530" s="8">
        <v>79751569</v>
      </c>
      <c r="B1530" s="11">
        <v>44720</v>
      </c>
      <c r="C1530" s="13" t="s">
        <v>2330</v>
      </c>
      <c r="D1530" s="13" t="s">
        <v>2331</v>
      </c>
      <c r="E1530" s="8">
        <v>18620</v>
      </c>
      <c r="F1530" s="13" t="s">
        <v>70</v>
      </c>
      <c r="G1530" s="14">
        <v>44721</v>
      </c>
      <c r="H1530" s="13" t="s">
        <v>9</v>
      </c>
    </row>
    <row r="1531" spans="1:8" ht="14.4" x14ac:dyDescent="0.3">
      <c r="A1531" s="8">
        <v>79751570</v>
      </c>
      <c r="B1531" s="11">
        <v>44720</v>
      </c>
      <c r="C1531" s="13" t="s">
        <v>53</v>
      </c>
      <c r="D1531" s="13" t="s">
        <v>2332</v>
      </c>
      <c r="E1531" s="8">
        <v>283714.90000000002</v>
      </c>
      <c r="F1531" s="13" t="s">
        <v>70</v>
      </c>
      <c r="G1531" s="14">
        <v>44732</v>
      </c>
      <c r="H1531" s="13" t="s">
        <v>9</v>
      </c>
    </row>
    <row r="1532" spans="1:8" ht="14.4" x14ac:dyDescent="0.3">
      <c r="A1532" s="8">
        <v>79751571</v>
      </c>
      <c r="B1532" s="11">
        <v>44720</v>
      </c>
      <c r="C1532" s="13" t="s">
        <v>1286</v>
      </c>
      <c r="D1532" s="13" t="s">
        <v>2333</v>
      </c>
      <c r="E1532" s="8">
        <v>7880.77</v>
      </c>
      <c r="F1532" s="13" t="s">
        <v>70</v>
      </c>
      <c r="G1532" s="14">
        <v>44722</v>
      </c>
      <c r="H1532" s="13" t="s">
        <v>9</v>
      </c>
    </row>
    <row r="1533" spans="1:8" ht="14.4" x14ac:dyDescent="0.3">
      <c r="A1533" s="8">
        <v>79751572</v>
      </c>
      <c r="B1533" s="11">
        <v>44720</v>
      </c>
      <c r="C1533" s="13" t="s">
        <v>2334</v>
      </c>
      <c r="D1533" s="13" t="s">
        <v>2335</v>
      </c>
      <c r="E1533" s="8">
        <v>133700</v>
      </c>
      <c r="F1533" s="13" t="s">
        <v>70</v>
      </c>
      <c r="G1533" s="14">
        <v>44736</v>
      </c>
      <c r="H1533" s="13" t="s">
        <v>9</v>
      </c>
    </row>
    <row r="1534" spans="1:8" ht="14.4" x14ac:dyDescent="0.3">
      <c r="A1534" s="8">
        <v>79751573</v>
      </c>
      <c r="B1534" s="11">
        <v>44720</v>
      </c>
      <c r="C1534" s="13" t="s">
        <v>2336</v>
      </c>
      <c r="D1534" s="13" t="s">
        <v>2337</v>
      </c>
      <c r="E1534" s="8">
        <v>30000</v>
      </c>
      <c r="F1534" s="13" t="s">
        <v>70</v>
      </c>
      <c r="G1534" s="14">
        <v>44725</v>
      </c>
      <c r="H1534" s="13" t="s">
        <v>9</v>
      </c>
    </row>
    <row r="1535" spans="1:8" ht="14.4" x14ac:dyDescent="0.3">
      <c r="A1535" s="8">
        <v>79751574</v>
      </c>
      <c r="B1535" s="11">
        <v>44720</v>
      </c>
      <c r="C1535" s="13" t="s">
        <v>125</v>
      </c>
      <c r="D1535" s="13" t="s">
        <v>2338</v>
      </c>
      <c r="E1535" s="8">
        <v>32886</v>
      </c>
      <c r="F1535" s="13" t="s">
        <v>70</v>
      </c>
      <c r="G1535" s="14">
        <v>44767</v>
      </c>
      <c r="H1535" s="13" t="s">
        <v>9</v>
      </c>
    </row>
    <row r="1536" spans="1:8" ht="14.4" x14ac:dyDescent="0.3">
      <c r="A1536" s="8">
        <v>79751575</v>
      </c>
      <c r="B1536" s="11">
        <v>44720</v>
      </c>
      <c r="C1536" s="13" t="s">
        <v>44</v>
      </c>
      <c r="D1536" s="13" t="s">
        <v>2339</v>
      </c>
      <c r="E1536" s="8">
        <v>12075</v>
      </c>
      <c r="F1536" s="13" t="s">
        <v>70</v>
      </c>
      <c r="G1536" s="14">
        <v>44728</v>
      </c>
      <c r="H1536" s="13" t="s">
        <v>9</v>
      </c>
    </row>
    <row r="1537" spans="1:8" ht="14.4" x14ac:dyDescent="0.3">
      <c r="A1537" s="8">
        <v>79751576</v>
      </c>
      <c r="B1537" s="11">
        <v>44720</v>
      </c>
      <c r="C1537" s="13" t="s">
        <v>26</v>
      </c>
      <c r="D1537" s="13" t="s">
        <v>2340</v>
      </c>
      <c r="E1537" s="8">
        <v>71741.25</v>
      </c>
      <c r="F1537" s="13" t="s">
        <v>70</v>
      </c>
      <c r="G1537" s="14">
        <v>44725</v>
      </c>
      <c r="H1537" s="13" t="s">
        <v>9</v>
      </c>
    </row>
    <row r="1538" spans="1:8" ht="14.4" x14ac:dyDescent="0.3">
      <c r="A1538" s="8">
        <v>79751577</v>
      </c>
      <c r="B1538" s="11">
        <v>44720</v>
      </c>
      <c r="C1538" s="13" t="s">
        <v>26</v>
      </c>
      <c r="D1538" s="13" t="s">
        <v>2341</v>
      </c>
      <c r="E1538" s="8">
        <v>75000</v>
      </c>
      <c r="F1538" s="13" t="s">
        <v>70</v>
      </c>
      <c r="G1538" s="14">
        <v>44725</v>
      </c>
      <c r="H1538" s="13" t="s">
        <v>9</v>
      </c>
    </row>
    <row r="1539" spans="1:8" ht="14.4" x14ac:dyDescent="0.3">
      <c r="A1539" s="8">
        <v>79751578</v>
      </c>
      <c r="B1539" s="11">
        <v>44720</v>
      </c>
      <c r="C1539" s="13" t="s">
        <v>26</v>
      </c>
      <c r="D1539" s="13" t="s">
        <v>2335</v>
      </c>
      <c r="E1539" s="8">
        <v>14062.5</v>
      </c>
      <c r="F1539" s="13" t="s">
        <v>70</v>
      </c>
      <c r="G1539" s="14">
        <v>44725</v>
      </c>
      <c r="H1539" s="13" t="s">
        <v>9</v>
      </c>
    </row>
    <row r="1540" spans="1:8" ht="14.4" x14ac:dyDescent="0.3">
      <c r="A1540" s="8">
        <v>79751579</v>
      </c>
      <c r="B1540" s="11">
        <v>44720</v>
      </c>
      <c r="C1540" s="13" t="s">
        <v>775</v>
      </c>
      <c r="D1540" s="13" t="s">
        <v>2342</v>
      </c>
      <c r="E1540" s="8">
        <v>33450</v>
      </c>
      <c r="F1540" s="13" t="s">
        <v>70</v>
      </c>
      <c r="G1540" s="14">
        <v>44721</v>
      </c>
      <c r="H1540" s="13" t="s">
        <v>9</v>
      </c>
    </row>
    <row r="1541" spans="1:8" ht="14.4" x14ac:dyDescent="0.3">
      <c r="A1541" s="8">
        <v>79751580</v>
      </c>
      <c r="B1541" s="11">
        <v>44720</v>
      </c>
      <c r="C1541" s="13" t="s">
        <v>85</v>
      </c>
      <c r="D1541" s="13" t="s">
        <v>2343</v>
      </c>
      <c r="E1541" s="8">
        <v>7996.24</v>
      </c>
      <c r="F1541" s="13" t="s">
        <v>70</v>
      </c>
      <c r="G1541" s="14">
        <v>44721</v>
      </c>
      <c r="H1541" s="13" t="s">
        <v>9</v>
      </c>
    </row>
    <row r="1542" spans="1:8" ht="14.4" x14ac:dyDescent="0.3">
      <c r="A1542" s="8">
        <v>79751581</v>
      </c>
      <c r="B1542" s="11">
        <v>44721</v>
      </c>
      <c r="C1542" s="13" t="s">
        <v>191</v>
      </c>
      <c r="D1542" s="13" t="s">
        <v>2344</v>
      </c>
      <c r="E1542" s="8">
        <v>140464.28</v>
      </c>
      <c r="F1542" s="13" t="s">
        <v>70</v>
      </c>
      <c r="G1542" s="14">
        <v>44725</v>
      </c>
      <c r="H1542" s="13" t="s">
        <v>9</v>
      </c>
    </row>
    <row r="1543" spans="1:8" ht="14.4" x14ac:dyDescent="0.3">
      <c r="A1543" s="8">
        <v>79751582</v>
      </c>
      <c r="B1543" s="11">
        <v>44721</v>
      </c>
      <c r="C1543" s="13" t="s">
        <v>1946</v>
      </c>
      <c r="D1543" s="13" t="s">
        <v>2345</v>
      </c>
      <c r="E1543" s="8">
        <v>1892.85</v>
      </c>
      <c r="F1543" s="13" t="s">
        <v>70</v>
      </c>
      <c r="G1543" s="14">
        <v>44729</v>
      </c>
      <c r="H1543" s="13" t="s">
        <v>9</v>
      </c>
    </row>
    <row r="1544" spans="1:8" ht="14.4" x14ac:dyDescent="0.3">
      <c r="A1544" s="8">
        <v>79751583</v>
      </c>
      <c r="B1544" s="11">
        <v>44721</v>
      </c>
      <c r="C1544" s="13" t="s">
        <v>59</v>
      </c>
      <c r="D1544" s="13" t="s">
        <v>2346</v>
      </c>
      <c r="E1544" s="8">
        <v>92893.72</v>
      </c>
      <c r="F1544" s="13" t="s">
        <v>70</v>
      </c>
      <c r="G1544" s="14">
        <v>44725</v>
      </c>
      <c r="H1544" s="13" t="s">
        <v>9</v>
      </c>
    </row>
    <row r="1545" spans="1:8" ht="14.4" x14ac:dyDescent="0.3">
      <c r="A1545" s="8">
        <v>79751584</v>
      </c>
      <c r="B1545" s="11">
        <v>44721</v>
      </c>
      <c r="C1545" s="13" t="s">
        <v>1946</v>
      </c>
      <c r="D1545" s="13" t="s">
        <v>2347</v>
      </c>
      <c r="E1545" s="8">
        <v>2271.4299999999998</v>
      </c>
      <c r="F1545" s="13" t="s">
        <v>70</v>
      </c>
      <c r="G1545" s="14">
        <v>44729</v>
      </c>
      <c r="H1545" s="13" t="s">
        <v>9</v>
      </c>
    </row>
    <row r="1546" spans="1:8" ht="14.4" x14ac:dyDescent="0.3">
      <c r="A1546" s="8">
        <v>79751585</v>
      </c>
      <c r="B1546" s="11">
        <v>44721</v>
      </c>
      <c r="C1546" s="13" t="s">
        <v>405</v>
      </c>
      <c r="D1546" s="13" t="s">
        <v>2348</v>
      </c>
      <c r="E1546" s="8">
        <v>11113.13</v>
      </c>
      <c r="F1546" s="13" t="s">
        <v>70</v>
      </c>
      <c r="G1546" s="14">
        <v>44734</v>
      </c>
      <c r="H1546" s="13" t="s">
        <v>9</v>
      </c>
    </row>
    <row r="1547" spans="1:8" ht="14.4" x14ac:dyDescent="0.3">
      <c r="A1547" s="8">
        <v>79751586</v>
      </c>
      <c r="B1547" s="11">
        <v>44721</v>
      </c>
      <c r="C1547" s="13" t="s">
        <v>405</v>
      </c>
      <c r="D1547" s="13" t="s">
        <v>2349</v>
      </c>
      <c r="E1547" s="8">
        <v>13230.8</v>
      </c>
      <c r="F1547" s="13" t="s">
        <v>70</v>
      </c>
      <c r="G1547" s="14">
        <v>44734</v>
      </c>
      <c r="H1547" s="13" t="s">
        <v>9</v>
      </c>
    </row>
    <row r="1548" spans="1:8" ht="14.4" x14ac:dyDescent="0.3">
      <c r="A1548" s="8">
        <v>79751587</v>
      </c>
      <c r="B1548" s="11">
        <v>44721</v>
      </c>
      <c r="C1548" s="13" t="s">
        <v>2350</v>
      </c>
      <c r="D1548" s="13" t="s">
        <v>2351</v>
      </c>
      <c r="E1548" s="8">
        <v>8000</v>
      </c>
      <c r="F1548" s="13" t="s">
        <v>70</v>
      </c>
      <c r="G1548" s="14">
        <v>44725</v>
      </c>
      <c r="H1548" s="13" t="s">
        <v>9</v>
      </c>
    </row>
    <row r="1549" spans="1:8" ht="14.4" x14ac:dyDescent="0.3">
      <c r="A1549" s="8">
        <v>79751588</v>
      </c>
      <c r="B1549" s="11">
        <v>44721</v>
      </c>
      <c r="C1549" s="13" t="s">
        <v>313</v>
      </c>
      <c r="D1549" s="13" t="s">
        <v>2352</v>
      </c>
      <c r="E1549" s="8">
        <v>10000</v>
      </c>
      <c r="F1549" s="13" t="s">
        <v>70</v>
      </c>
      <c r="G1549" s="14">
        <v>44725</v>
      </c>
      <c r="H1549" s="13" t="s">
        <v>9</v>
      </c>
    </row>
    <row r="1550" spans="1:8" ht="14.4" x14ac:dyDescent="0.3">
      <c r="A1550" s="8">
        <v>79751589</v>
      </c>
      <c r="B1550" s="11">
        <v>44721</v>
      </c>
      <c r="C1550" s="13" t="s">
        <v>314</v>
      </c>
      <c r="D1550" s="13" t="s">
        <v>2352</v>
      </c>
      <c r="E1550" s="8">
        <v>10000</v>
      </c>
      <c r="F1550" s="13" t="s">
        <v>70</v>
      </c>
      <c r="G1550" s="14">
        <v>44725</v>
      </c>
      <c r="H1550" s="13" t="s">
        <v>9</v>
      </c>
    </row>
    <row r="1551" spans="1:8" ht="14.4" x14ac:dyDescent="0.3">
      <c r="A1551" s="8">
        <v>79751590</v>
      </c>
      <c r="B1551" s="11">
        <v>44721</v>
      </c>
      <c r="C1551" s="13" t="s">
        <v>315</v>
      </c>
      <c r="D1551" s="13" t="s">
        <v>2352</v>
      </c>
      <c r="E1551" s="8">
        <v>10000</v>
      </c>
      <c r="F1551" s="13" t="s">
        <v>70</v>
      </c>
      <c r="G1551" s="14">
        <v>44725</v>
      </c>
      <c r="H1551" s="13" t="s">
        <v>9</v>
      </c>
    </row>
    <row r="1552" spans="1:8" ht="14.4" x14ac:dyDescent="0.3">
      <c r="A1552" s="8">
        <v>79751591</v>
      </c>
      <c r="B1552" s="11">
        <v>44721</v>
      </c>
      <c r="C1552" s="13" t="s">
        <v>2353</v>
      </c>
      <c r="D1552" s="13" t="s">
        <v>2352</v>
      </c>
      <c r="E1552" s="8">
        <v>12000</v>
      </c>
      <c r="F1552" s="13" t="s">
        <v>70</v>
      </c>
      <c r="G1552" s="14">
        <v>44725</v>
      </c>
      <c r="H1552" s="13" t="s">
        <v>9</v>
      </c>
    </row>
    <row r="1553" spans="1:8" ht="14.4" x14ac:dyDescent="0.3">
      <c r="A1553" s="8">
        <v>79751592</v>
      </c>
      <c r="B1553" s="11">
        <v>44721</v>
      </c>
      <c r="C1553" s="13" t="s">
        <v>316</v>
      </c>
      <c r="D1553" s="13" t="s">
        <v>2352</v>
      </c>
      <c r="E1553" s="8">
        <v>10000</v>
      </c>
      <c r="F1553" s="13" t="s">
        <v>70</v>
      </c>
      <c r="G1553" s="14">
        <v>44725</v>
      </c>
      <c r="H1553" s="13" t="s">
        <v>9</v>
      </c>
    </row>
    <row r="1554" spans="1:8" ht="14.4" x14ac:dyDescent="0.3">
      <c r="A1554" s="8">
        <v>79751593</v>
      </c>
      <c r="B1554" s="11">
        <v>44721</v>
      </c>
      <c r="C1554" s="13" t="s">
        <v>324</v>
      </c>
      <c r="D1554" s="13" t="s">
        <v>2352</v>
      </c>
      <c r="E1554" s="8">
        <v>12000</v>
      </c>
      <c r="F1554" s="13" t="s">
        <v>70</v>
      </c>
      <c r="G1554" s="14">
        <v>44725</v>
      </c>
      <c r="H1554" s="13" t="s">
        <v>9</v>
      </c>
    </row>
    <row r="1555" spans="1:8" ht="14.4" x14ac:dyDescent="0.3">
      <c r="A1555" s="8">
        <v>79751594</v>
      </c>
      <c r="B1555" s="11">
        <v>44721</v>
      </c>
      <c r="C1555" s="13" t="s">
        <v>2354</v>
      </c>
      <c r="D1555" s="13" t="s">
        <v>2352</v>
      </c>
      <c r="E1555" s="8">
        <v>10000</v>
      </c>
      <c r="F1555" s="13" t="s">
        <v>70</v>
      </c>
      <c r="G1555" s="14">
        <v>44725</v>
      </c>
      <c r="H1555" s="13" t="s">
        <v>9</v>
      </c>
    </row>
    <row r="1556" spans="1:8" ht="14.4" x14ac:dyDescent="0.3">
      <c r="A1556" s="8">
        <v>79751595</v>
      </c>
      <c r="B1556" s="11">
        <v>44721</v>
      </c>
      <c r="C1556" s="13" t="s">
        <v>2355</v>
      </c>
      <c r="D1556" s="13" t="s">
        <v>2209</v>
      </c>
      <c r="E1556" s="8">
        <v>5200</v>
      </c>
      <c r="F1556" s="13" t="s">
        <v>70</v>
      </c>
      <c r="G1556" s="14">
        <v>44727</v>
      </c>
      <c r="H1556" s="13" t="s">
        <v>9</v>
      </c>
    </row>
    <row r="1557" spans="1:8" ht="14.4" x14ac:dyDescent="0.3">
      <c r="A1557" s="8">
        <v>79751596</v>
      </c>
      <c r="B1557" s="11">
        <v>44721</v>
      </c>
      <c r="C1557" s="13" t="s">
        <v>320</v>
      </c>
      <c r="D1557" s="13" t="s">
        <v>2352</v>
      </c>
      <c r="E1557" s="8">
        <v>10000</v>
      </c>
      <c r="F1557" s="13" t="s">
        <v>70</v>
      </c>
      <c r="G1557" s="14">
        <v>44725</v>
      </c>
      <c r="H1557" s="13" t="s">
        <v>9</v>
      </c>
    </row>
    <row r="1558" spans="1:8" ht="14.4" x14ac:dyDescent="0.3">
      <c r="A1558" s="8">
        <v>79751597</v>
      </c>
      <c r="B1558" s="11">
        <v>44721</v>
      </c>
      <c r="C1558" s="13" t="s">
        <v>321</v>
      </c>
      <c r="D1558" s="13" t="s">
        <v>2356</v>
      </c>
      <c r="E1558" s="8">
        <v>12000</v>
      </c>
      <c r="F1558" s="13" t="s">
        <v>70</v>
      </c>
      <c r="G1558" s="14">
        <v>44725</v>
      </c>
      <c r="H1558" s="13" t="s">
        <v>9</v>
      </c>
    </row>
    <row r="1559" spans="1:8" ht="14.4" x14ac:dyDescent="0.3">
      <c r="A1559" s="8">
        <v>79751598</v>
      </c>
      <c r="B1559" s="11">
        <v>44721</v>
      </c>
      <c r="C1559" s="13" t="s">
        <v>319</v>
      </c>
      <c r="D1559" s="13" t="s">
        <v>2352</v>
      </c>
      <c r="E1559" s="8">
        <v>10000</v>
      </c>
      <c r="F1559" s="13" t="s">
        <v>70</v>
      </c>
      <c r="G1559" s="14">
        <v>44725</v>
      </c>
      <c r="H1559" s="13" t="s">
        <v>9</v>
      </c>
    </row>
    <row r="1560" spans="1:8" ht="14.4" x14ac:dyDescent="0.3">
      <c r="A1560" s="8">
        <v>79751599</v>
      </c>
      <c r="B1560" s="11">
        <v>44721</v>
      </c>
      <c r="C1560" s="13" t="s">
        <v>318</v>
      </c>
      <c r="D1560" s="13" t="s">
        <v>2352</v>
      </c>
      <c r="E1560" s="8">
        <v>10000</v>
      </c>
      <c r="F1560" s="13" t="s">
        <v>70</v>
      </c>
      <c r="G1560" s="14">
        <v>44725</v>
      </c>
      <c r="H1560" s="13" t="s">
        <v>9</v>
      </c>
    </row>
    <row r="1561" spans="1:8" ht="14.4" x14ac:dyDescent="0.3">
      <c r="A1561" s="8">
        <v>79751600</v>
      </c>
      <c r="B1561" s="11">
        <v>44721</v>
      </c>
      <c r="C1561" s="13" t="s">
        <v>79</v>
      </c>
      <c r="D1561" s="13" t="s">
        <v>2357</v>
      </c>
      <c r="E1561" s="8">
        <v>20000</v>
      </c>
      <c r="F1561" s="13" t="s">
        <v>70</v>
      </c>
      <c r="G1561" s="14">
        <v>44740</v>
      </c>
      <c r="H1561" s="13" t="s">
        <v>9</v>
      </c>
    </row>
    <row r="1562" spans="1:8" ht="14.4" x14ac:dyDescent="0.3">
      <c r="A1562" s="8">
        <v>79751601</v>
      </c>
      <c r="B1562" s="11">
        <v>44721</v>
      </c>
      <c r="C1562" s="13" t="s">
        <v>80</v>
      </c>
      <c r="D1562" s="13" t="s">
        <v>2357</v>
      </c>
      <c r="E1562" s="8">
        <v>10000</v>
      </c>
      <c r="F1562" s="13" t="s">
        <v>70</v>
      </c>
      <c r="G1562" s="14">
        <v>44740</v>
      </c>
      <c r="H1562" s="13" t="s">
        <v>9</v>
      </c>
    </row>
    <row r="1563" spans="1:8" ht="14.4" x14ac:dyDescent="0.3">
      <c r="A1563" s="8">
        <v>79751602</v>
      </c>
      <c r="B1563" s="11">
        <v>44721</v>
      </c>
      <c r="C1563" s="13" t="s">
        <v>2358</v>
      </c>
      <c r="D1563" s="13" t="s">
        <v>2357</v>
      </c>
      <c r="E1563" s="8">
        <v>10000</v>
      </c>
      <c r="F1563" s="13" t="s">
        <v>70</v>
      </c>
      <c r="G1563" s="14">
        <v>44725</v>
      </c>
      <c r="H1563" s="13" t="s">
        <v>9</v>
      </c>
    </row>
    <row r="1564" spans="1:8" ht="14.4" x14ac:dyDescent="0.3">
      <c r="A1564" s="8">
        <v>79751603</v>
      </c>
      <c r="B1564" s="11">
        <v>44721</v>
      </c>
      <c r="C1564" s="13" t="s">
        <v>2359</v>
      </c>
      <c r="D1564" s="13" t="s">
        <v>2357</v>
      </c>
      <c r="E1564" s="8">
        <v>10000</v>
      </c>
      <c r="F1564" s="13" t="s">
        <v>70</v>
      </c>
      <c r="G1564" s="14">
        <v>44725</v>
      </c>
      <c r="H1564" s="13" t="s">
        <v>9</v>
      </c>
    </row>
    <row r="1565" spans="1:8" ht="14.4" x14ac:dyDescent="0.3">
      <c r="A1565" s="8">
        <v>79751604</v>
      </c>
      <c r="B1565" s="11">
        <v>44721</v>
      </c>
      <c r="C1565" s="13" t="s">
        <v>97</v>
      </c>
      <c r="D1565" s="13" t="s">
        <v>2357</v>
      </c>
      <c r="E1565" s="8">
        <v>5000</v>
      </c>
      <c r="F1565" s="13" t="s">
        <v>70</v>
      </c>
      <c r="G1565" s="14">
        <v>44726</v>
      </c>
      <c r="H1565" s="13" t="s">
        <v>9</v>
      </c>
    </row>
    <row r="1566" spans="1:8" ht="14.4" x14ac:dyDescent="0.3">
      <c r="A1566" s="8">
        <v>79751605</v>
      </c>
      <c r="B1566" s="11">
        <v>44721</v>
      </c>
      <c r="C1566" s="13" t="s">
        <v>533</v>
      </c>
      <c r="D1566" s="13" t="s">
        <v>2357</v>
      </c>
      <c r="E1566" s="8">
        <v>3000</v>
      </c>
      <c r="F1566" s="13" t="s">
        <v>70</v>
      </c>
      <c r="G1566" s="14">
        <v>44728</v>
      </c>
      <c r="H1566" s="13" t="s">
        <v>9</v>
      </c>
    </row>
    <row r="1567" spans="1:8" ht="14.4" x14ac:dyDescent="0.3">
      <c r="A1567" s="8">
        <v>79751606</v>
      </c>
      <c r="B1567" s="11">
        <v>44721</v>
      </c>
      <c r="C1567" s="13" t="s">
        <v>2360</v>
      </c>
      <c r="D1567" s="13" t="s">
        <v>2361</v>
      </c>
      <c r="E1567" s="8">
        <v>20000</v>
      </c>
      <c r="F1567" s="13" t="s">
        <v>70</v>
      </c>
      <c r="G1567" s="14">
        <v>44725</v>
      </c>
      <c r="H1567" s="13" t="s">
        <v>9</v>
      </c>
    </row>
    <row r="1568" spans="1:8" ht="14.4" x14ac:dyDescent="0.3">
      <c r="A1568" s="8">
        <v>79751607</v>
      </c>
      <c r="B1568" s="11">
        <v>44721</v>
      </c>
      <c r="C1568" s="13" t="s">
        <v>392</v>
      </c>
      <c r="D1568" s="13" t="s">
        <v>2361</v>
      </c>
      <c r="E1568" s="8">
        <v>10000</v>
      </c>
      <c r="F1568" s="13" t="s">
        <v>70</v>
      </c>
      <c r="G1568" s="14">
        <v>44725</v>
      </c>
      <c r="H1568" s="13" t="s">
        <v>9</v>
      </c>
    </row>
    <row r="1569" spans="1:8" ht="14.4" x14ac:dyDescent="0.3">
      <c r="A1569" s="8">
        <v>79751608</v>
      </c>
      <c r="B1569" s="11">
        <v>44721</v>
      </c>
      <c r="C1569" s="13" t="s">
        <v>393</v>
      </c>
      <c r="D1569" s="13" t="s">
        <v>2361</v>
      </c>
      <c r="E1569" s="8">
        <v>5000</v>
      </c>
      <c r="F1569" s="13" t="s">
        <v>70</v>
      </c>
      <c r="G1569" s="14">
        <v>44726</v>
      </c>
      <c r="H1569" s="13" t="s">
        <v>9</v>
      </c>
    </row>
    <row r="1570" spans="1:8" ht="14.4" x14ac:dyDescent="0.3">
      <c r="A1570" s="8">
        <v>79751609</v>
      </c>
      <c r="B1570" s="11">
        <v>44721</v>
      </c>
      <c r="C1570" s="13" t="s">
        <v>2362</v>
      </c>
      <c r="D1570" s="13" t="s">
        <v>2361</v>
      </c>
      <c r="E1570" s="8">
        <v>3000</v>
      </c>
      <c r="F1570" s="13" t="s">
        <v>70</v>
      </c>
      <c r="G1570" s="14">
        <v>44725</v>
      </c>
      <c r="H1570" s="13" t="s">
        <v>9</v>
      </c>
    </row>
    <row r="1571" spans="1:8" ht="14.4" x14ac:dyDescent="0.3">
      <c r="A1571" s="8">
        <v>79751610</v>
      </c>
      <c r="B1571" s="11">
        <v>44721</v>
      </c>
      <c r="C1571" s="13" t="s">
        <v>2363</v>
      </c>
      <c r="D1571" s="13" t="s">
        <v>2352</v>
      </c>
      <c r="E1571" s="8">
        <v>15000</v>
      </c>
      <c r="F1571" s="13" t="s">
        <v>70</v>
      </c>
      <c r="G1571" s="14">
        <v>44725</v>
      </c>
      <c r="H1571" s="13" t="s">
        <v>9</v>
      </c>
    </row>
    <row r="1572" spans="1:8" ht="14.4" x14ac:dyDescent="0.3">
      <c r="A1572" s="8">
        <v>79751611</v>
      </c>
      <c r="B1572" s="11">
        <v>44721</v>
      </c>
      <c r="C1572" s="13" t="s">
        <v>308</v>
      </c>
      <c r="D1572" s="13" t="s">
        <v>2352</v>
      </c>
      <c r="E1572" s="8">
        <v>10000</v>
      </c>
      <c r="F1572" s="13" t="s">
        <v>70</v>
      </c>
      <c r="G1572" s="14">
        <v>44725</v>
      </c>
      <c r="H1572" s="13" t="s">
        <v>9</v>
      </c>
    </row>
    <row r="1573" spans="1:8" ht="14.4" x14ac:dyDescent="0.3">
      <c r="A1573" s="8">
        <v>79751612</v>
      </c>
      <c r="B1573" s="11">
        <v>44721</v>
      </c>
      <c r="C1573" s="13" t="s">
        <v>309</v>
      </c>
      <c r="D1573" s="13" t="s">
        <v>2352</v>
      </c>
      <c r="E1573" s="8">
        <v>10000</v>
      </c>
      <c r="F1573" s="13" t="s">
        <v>70</v>
      </c>
      <c r="G1573" s="14">
        <v>44725</v>
      </c>
      <c r="H1573" s="13" t="s">
        <v>9</v>
      </c>
    </row>
    <row r="1574" spans="1:8" ht="14.4" x14ac:dyDescent="0.3">
      <c r="A1574" s="8">
        <v>79751613</v>
      </c>
      <c r="B1574" s="11">
        <v>44721</v>
      </c>
      <c r="C1574" s="13" t="s">
        <v>310</v>
      </c>
      <c r="D1574" s="13" t="s">
        <v>2352</v>
      </c>
      <c r="E1574" s="8">
        <v>10000</v>
      </c>
      <c r="F1574" s="13" t="s">
        <v>70</v>
      </c>
      <c r="G1574" s="14">
        <v>44725</v>
      </c>
      <c r="H1574" s="13" t="s">
        <v>9</v>
      </c>
    </row>
    <row r="1575" spans="1:8" ht="14.4" x14ac:dyDescent="0.3">
      <c r="A1575" s="8">
        <v>79751614</v>
      </c>
      <c r="B1575" s="11">
        <v>44721</v>
      </c>
      <c r="C1575" s="13" t="s">
        <v>311</v>
      </c>
      <c r="D1575" s="13" t="s">
        <v>2352</v>
      </c>
      <c r="E1575" s="8">
        <v>10000</v>
      </c>
      <c r="F1575" s="13" t="s">
        <v>70</v>
      </c>
      <c r="G1575" s="14">
        <v>44725</v>
      </c>
      <c r="H1575" s="13" t="s">
        <v>9</v>
      </c>
    </row>
    <row r="1576" spans="1:8" ht="14.4" x14ac:dyDescent="0.3">
      <c r="A1576" s="8">
        <v>79751615</v>
      </c>
      <c r="B1576" s="11">
        <v>44721</v>
      </c>
      <c r="C1576" s="13" t="s">
        <v>312</v>
      </c>
      <c r="D1576" s="13" t="s">
        <v>2352</v>
      </c>
      <c r="E1576" s="8">
        <v>10000</v>
      </c>
      <c r="F1576" s="13" t="s">
        <v>70</v>
      </c>
      <c r="G1576" s="14">
        <v>44725</v>
      </c>
      <c r="H1576" s="13" t="s">
        <v>9</v>
      </c>
    </row>
    <row r="1577" spans="1:8" ht="14.4" x14ac:dyDescent="0.3">
      <c r="A1577" s="8">
        <v>79751616</v>
      </c>
      <c r="B1577" s="11">
        <v>44721</v>
      </c>
      <c r="C1577" s="13" t="s">
        <v>337</v>
      </c>
      <c r="D1577" s="13" t="s">
        <v>2352</v>
      </c>
      <c r="E1577" s="8">
        <v>10000</v>
      </c>
      <c r="F1577" s="13" t="s">
        <v>70</v>
      </c>
      <c r="G1577" s="14">
        <v>44725</v>
      </c>
      <c r="H1577" s="13" t="s">
        <v>9</v>
      </c>
    </row>
    <row r="1578" spans="1:8" ht="14.4" x14ac:dyDescent="0.3">
      <c r="A1578" s="8">
        <v>79751617</v>
      </c>
      <c r="B1578" s="11">
        <v>44721</v>
      </c>
      <c r="C1578" s="13" t="s">
        <v>81</v>
      </c>
      <c r="D1578" s="13" t="s">
        <v>2357</v>
      </c>
      <c r="E1578" s="8">
        <v>3000</v>
      </c>
      <c r="F1578" s="13" t="s">
        <v>70</v>
      </c>
      <c r="G1578" s="14">
        <v>44740</v>
      </c>
      <c r="H1578" s="13" t="s">
        <v>9</v>
      </c>
    </row>
    <row r="1579" spans="1:8" ht="14.4" x14ac:dyDescent="0.3">
      <c r="A1579" s="8">
        <v>79751618</v>
      </c>
      <c r="B1579" s="11">
        <v>44721</v>
      </c>
      <c r="C1579" s="13" t="s">
        <v>180</v>
      </c>
      <c r="D1579" s="13" t="s">
        <v>901</v>
      </c>
      <c r="E1579" s="8">
        <v>299946.68</v>
      </c>
      <c r="F1579" s="13" t="s">
        <v>70</v>
      </c>
      <c r="G1579" s="14">
        <v>44721</v>
      </c>
      <c r="H1579" s="13" t="s">
        <v>9</v>
      </c>
    </row>
    <row r="1580" spans="1:8" ht="14.4" x14ac:dyDescent="0.3">
      <c r="A1580" s="8">
        <v>79751619</v>
      </c>
      <c r="B1580" s="11">
        <v>44721</v>
      </c>
      <c r="C1580" s="13" t="s">
        <v>345</v>
      </c>
      <c r="D1580" s="13" t="s">
        <v>2177</v>
      </c>
      <c r="E1580" s="8">
        <v>10000</v>
      </c>
      <c r="F1580" s="13" t="s">
        <v>70</v>
      </c>
      <c r="G1580" s="14">
        <v>44725</v>
      </c>
      <c r="H1580" s="13" t="s">
        <v>9</v>
      </c>
    </row>
    <row r="1581" spans="1:8" ht="14.4" x14ac:dyDescent="0.3">
      <c r="A1581" s="8">
        <v>79751620</v>
      </c>
      <c r="B1581" s="11">
        <v>44721</v>
      </c>
      <c r="C1581" s="13" t="s">
        <v>346</v>
      </c>
      <c r="D1581" s="13" t="s">
        <v>2177</v>
      </c>
      <c r="E1581" s="8">
        <v>5000</v>
      </c>
      <c r="F1581" s="13" t="s">
        <v>70</v>
      </c>
      <c r="G1581" s="14">
        <v>44725</v>
      </c>
      <c r="H1581" s="13" t="s">
        <v>9</v>
      </c>
    </row>
    <row r="1582" spans="1:8" ht="14.4" x14ac:dyDescent="0.3">
      <c r="A1582" s="8">
        <v>79751621</v>
      </c>
      <c r="B1582" s="11">
        <v>44721</v>
      </c>
      <c r="C1582" s="13" t="s">
        <v>347</v>
      </c>
      <c r="D1582" s="13" t="s">
        <v>2177</v>
      </c>
      <c r="E1582" s="8">
        <v>3000</v>
      </c>
      <c r="F1582" s="13" t="s">
        <v>70</v>
      </c>
      <c r="G1582" s="14">
        <v>44725</v>
      </c>
      <c r="H1582" s="13" t="s">
        <v>9</v>
      </c>
    </row>
    <row r="1583" spans="1:8" ht="14.4" x14ac:dyDescent="0.3">
      <c r="A1583" s="8">
        <v>79751622</v>
      </c>
      <c r="B1583" s="11">
        <v>44721</v>
      </c>
      <c r="C1583" s="13" t="s">
        <v>334</v>
      </c>
      <c r="D1583" s="13" t="s">
        <v>2364</v>
      </c>
      <c r="E1583" s="8">
        <v>10000</v>
      </c>
      <c r="F1583" s="13" t="s">
        <v>70</v>
      </c>
      <c r="G1583" s="14">
        <v>44727</v>
      </c>
      <c r="H1583" s="13" t="s">
        <v>9</v>
      </c>
    </row>
    <row r="1584" spans="1:8" ht="14.4" x14ac:dyDescent="0.3">
      <c r="A1584" s="8">
        <v>79751623</v>
      </c>
      <c r="B1584" s="11">
        <v>44721</v>
      </c>
      <c r="C1584" s="13" t="s">
        <v>336</v>
      </c>
      <c r="D1584" s="13" t="s">
        <v>2364</v>
      </c>
      <c r="E1584" s="8">
        <v>20000</v>
      </c>
      <c r="F1584" s="13" t="s">
        <v>70</v>
      </c>
      <c r="G1584" s="14">
        <v>44727</v>
      </c>
      <c r="H1584" s="13" t="s">
        <v>9</v>
      </c>
    </row>
    <row r="1585" spans="1:8" ht="14.4" x14ac:dyDescent="0.3">
      <c r="A1585" s="8">
        <v>79751624</v>
      </c>
      <c r="B1585" s="11">
        <v>44721</v>
      </c>
      <c r="C1585" s="13" t="s">
        <v>2355</v>
      </c>
      <c r="D1585" s="13" t="s">
        <v>2364</v>
      </c>
      <c r="E1585" s="8">
        <v>6000</v>
      </c>
      <c r="F1585" s="13" t="s">
        <v>70</v>
      </c>
      <c r="G1585" s="14">
        <v>44727</v>
      </c>
      <c r="H1585" s="13" t="s">
        <v>9</v>
      </c>
    </row>
    <row r="1586" spans="1:8" ht="14.4" x14ac:dyDescent="0.3">
      <c r="A1586" s="8">
        <v>79751625</v>
      </c>
      <c r="B1586" s="11">
        <v>44721</v>
      </c>
      <c r="C1586" s="13" t="s">
        <v>339</v>
      </c>
      <c r="D1586" s="13" t="s">
        <v>2364</v>
      </c>
      <c r="E1586" s="8">
        <v>5000</v>
      </c>
      <c r="F1586" s="13" t="s">
        <v>70</v>
      </c>
      <c r="G1586" s="14">
        <v>44727</v>
      </c>
      <c r="H1586" s="13" t="s">
        <v>9</v>
      </c>
    </row>
    <row r="1587" spans="1:8" ht="14.4" x14ac:dyDescent="0.3">
      <c r="A1587" s="8">
        <v>79751626</v>
      </c>
      <c r="B1587" s="11">
        <v>44721</v>
      </c>
      <c r="C1587" s="13" t="s">
        <v>340</v>
      </c>
      <c r="D1587" s="13" t="s">
        <v>2364</v>
      </c>
      <c r="E1587" s="8">
        <v>5000</v>
      </c>
      <c r="F1587" s="13" t="s">
        <v>70</v>
      </c>
      <c r="G1587" s="14">
        <v>44727</v>
      </c>
      <c r="H1587" s="13" t="s">
        <v>9</v>
      </c>
    </row>
    <row r="1588" spans="1:8" ht="14.4" x14ac:dyDescent="0.3">
      <c r="A1588" s="8">
        <v>79751627</v>
      </c>
      <c r="B1588" s="11">
        <v>44721</v>
      </c>
      <c r="C1588" s="13" t="s">
        <v>2365</v>
      </c>
      <c r="D1588" s="13" t="s">
        <v>2364</v>
      </c>
      <c r="E1588" s="8">
        <v>5000</v>
      </c>
      <c r="F1588" s="13" t="s">
        <v>70</v>
      </c>
      <c r="G1588" s="14">
        <v>44727</v>
      </c>
      <c r="H1588" s="13" t="s">
        <v>9</v>
      </c>
    </row>
    <row r="1589" spans="1:8" ht="14.4" x14ac:dyDescent="0.3">
      <c r="A1589" s="8">
        <v>79751628</v>
      </c>
      <c r="B1589" s="11">
        <v>44721</v>
      </c>
      <c r="C1589" s="13" t="s">
        <v>342</v>
      </c>
      <c r="D1589" s="13" t="s">
        <v>2366</v>
      </c>
      <c r="E1589" s="8">
        <v>3000</v>
      </c>
      <c r="F1589" s="13" t="s">
        <v>70</v>
      </c>
      <c r="G1589" s="14">
        <v>44727</v>
      </c>
      <c r="H1589" s="13" t="s">
        <v>9</v>
      </c>
    </row>
    <row r="1590" spans="1:8" ht="14.4" x14ac:dyDescent="0.3">
      <c r="A1590" s="8">
        <v>79751629</v>
      </c>
      <c r="B1590" s="11">
        <v>44721</v>
      </c>
      <c r="C1590" s="13" t="s">
        <v>344</v>
      </c>
      <c r="D1590" s="13" t="s">
        <v>2364</v>
      </c>
      <c r="E1590" s="8">
        <v>3000</v>
      </c>
      <c r="F1590" s="13" t="s">
        <v>70</v>
      </c>
      <c r="G1590" s="14">
        <v>44727</v>
      </c>
      <c r="H1590" s="13" t="s">
        <v>9</v>
      </c>
    </row>
    <row r="1591" spans="1:8" ht="14.4" x14ac:dyDescent="0.3">
      <c r="A1591" s="8">
        <v>79751630</v>
      </c>
      <c r="B1591" s="11">
        <v>44721</v>
      </c>
      <c r="C1591" s="13" t="s">
        <v>671</v>
      </c>
      <c r="D1591" s="13" t="s">
        <v>2367</v>
      </c>
      <c r="E1591" s="8">
        <v>20000</v>
      </c>
      <c r="F1591" s="13" t="s">
        <v>70</v>
      </c>
      <c r="G1591" s="14">
        <v>44726</v>
      </c>
      <c r="H1591" s="13" t="s">
        <v>9</v>
      </c>
    </row>
    <row r="1592" spans="1:8" ht="14.4" x14ac:dyDescent="0.3">
      <c r="A1592" s="8">
        <v>79751631</v>
      </c>
      <c r="B1592" s="11">
        <v>44721</v>
      </c>
      <c r="C1592" s="13" t="s">
        <v>606</v>
      </c>
      <c r="D1592" s="13" t="s">
        <v>2367</v>
      </c>
      <c r="E1592" s="8">
        <v>10000</v>
      </c>
      <c r="F1592" s="13" t="s">
        <v>70</v>
      </c>
      <c r="G1592" s="14">
        <v>44726</v>
      </c>
      <c r="H1592" s="13" t="s">
        <v>9</v>
      </c>
    </row>
    <row r="1593" spans="1:8" ht="14.4" x14ac:dyDescent="0.3">
      <c r="A1593" s="8">
        <v>79751632</v>
      </c>
      <c r="B1593" s="11">
        <v>44721</v>
      </c>
      <c r="C1593" s="13" t="s">
        <v>528</v>
      </c>
      <c r="D1593" s="13" t="s">
        <v>2367</v>
      </c>
      <c r="E1593" s="8">
        <v>5000</v>
      </c>
      <c r="F1593" s="13" t="s">
        <v>70</v>
      </c>
      <c r="G1593" s="14">
        <v>44726</v>
      </c>
      <c r="H1593" s="13" t="s">
        <v>9</v>
      </c>
    </row>
    <row r="1594" spans="1:8" ht="14.4" x14ac:dyDescent="0.3">
      <c r="A1594" s="8">
        <v>79751633</v>
      </c>
      <c r="B1594" s="11">
        <v>44721</v>
      </c>
      <c r="C1594" s="13" t="s">
        <v>530</v>
      </c>
      <c r="D1594" s="13" t="s">
        <v>2367</v>
      </c>
      <c r="E1594" s="8">
        <v>3000</v>
      </c>
      <c r="F1594" s="13" t="s">
        <v>70</v>
      </c>
      <c r="G1594" s="14">
        <v>44726</v>
      </c>
      <c r="H1594" s="13" t="s">
        <v>9</v>
      </c>
    </row>
    <row r="1595" spans="1:8" ht="14.4" x14ac:dyDescent="0.3">
      <c r="A1595" s="8">
        <v>79751634</v>
      </c>
      <c r="B1595" s="11">
        <v>44721</v>
      </c>
      <c r="C1595" s="13" t="s">
        <v>390</v>
      </c>
      <c r="D1595" s="13" t="s">
        <v>2361</v>
      </c>
      <c r="E1595" s="8">
        <v>20000</v>
      </c>
      <c r="F1595" s="13" t="s">
        <v>70</v>
      </c>
      <c r="G1595" s="14">
        <v>44725</v>
      </c>
      <c r="H1595" s="13" t="s">
        <v>9</v>
      </c>
    </row>
    <row r="1596" spans="1:8" ht="14.4" x14ac:dyDescent="0.3">
      <c r="A1596" s="8">
        <v>79751635</v>
      </c>
      <c r="B1596" s="11">
        <v>44721</v>
      </c>
      <c r="C1596" s="13" t="s">
        <v>162</v>
      </c>
      <c r="D1596" s="13" t="s">
        <v>2368</v>
      </c>
      <c r="E1596" s="8">
        <v>716118.6</v>
      </c>
      <c r="F1596" s="13" t="s">
        <v>70</v>
      </c>
      <c r="G1596" s="14">
        <v>44726</v>
      </c>
      <c r="H1596" s="13" t="s">
        <v>9</v>
      </c>
    </row>
    <row r="1597" spans="1:8" ht="14.4" x14ac:dyDescent="0.3">
      <c r="A1597" s="8">
        <v>79751636</v>
      </c>
      <c r="B1597" s="11">
        <v>44721</v>
      </c>
      <c r="C1597" s="13" t="s">
        <v>162</v>
      </c>
      <c r="D1597" s="13" t="s">
        <v>2369</v>
      </c>
      <c r="E1597" s="8">
        <v>2995.79</v>
      </c>
      <c r="F1597" s="13" t="s">
        <v>70</v>
      </c>
      <c r="G1597" s="14">
        <v>44726</v>
      </c>
      <c r="H1597" s="13" t="s">
        <v>9</v>
      </c>
    </row>
    <row r="1598" spans="1:8" ht="14.4" x14ac:dyDescent="0.3">
      <c r="A1598" s="8">
        <v>79751637</v>
      </c>
      <c r="B1598" s="11">
        <v>44721</v>
      </c>
      <c r="C1598" s="13" t="s">
        <v>162</v>
      </c>
      <c r="D1598" s="13" t="s">
        <v>2370</v>
      </c>
      <c r="E1598" s="8">
        <v>1265.3800000000001</v>
      </c>
      <c r="F1598" s="13" t="s">
        <v>70</v>
      </c>
      <c r="G1598" s="14">
        <v>44726</v>
      </c>
      <c r="H1598" s="13" t="s">
        <v>9</v>
      </c>
    </row>
    <row r="1599" spans="1:8" ht="14.4" x14ac:dyDescent="0.3">
      <c r="A1599" s="8">
        <v>79751638</v>
      </c>
      <c r="B1599" s="11">
        <v>44721</v>
      </c>
      <c r="C1599" s="13" t="s">
        <v>44</v>
      </c>
      <c r="D1599" s="13" t="s">
        <v>2371</v>
      </c>
      <c r="E1599" s="8">
        <v>25264.9</v>
      </c>
      <c r="F1599" s="13" t="s">
        <v>70</v>
      </c>
      <c r="G1599" s="14">
        <v>44728</v>
      </c>
      <c r="H1599" s="13" t="s">
        <v>9</v>
      </c>
    </row>
    <row r="1600" spans="1:8" ht="14.4" x14ac:dyDescent="0.3">
      <c r="A1600" s="8">
        <v>79751639</v>
      </c>
      <c r="B1600" s="11">
        <v>44721</v>
      </c>
      <c r="C1600" s="13" t="s">
        <v>162</v>
      </c>
      <c r="D1600" s="13" t="s">
        <v>2372</v>
      </c>
      <c r="E1600" s="8">
        <v>11615.92</v>
      </c>
      <c r="F1600" s="13" t="s">
        <v>70</v>
      </c>
      <c r="G1600" s="14">
        <v>44726</v>
      </c>
      <c r="H1600" s="13" t="s">
        <v>9</v>
      </c>
    </row>
    <row r="1601" spans="1:8" ht="14.4" x14ac:dyDescent="0.3">
      <c r="A1601" s="8">
        <v>79751640</v>
      </c>
      <c r="B1601" s="11">
        <v>44721</v>
      </c>
      <c r="C1601" s="13" t="s">
        <v>615</v>
      </c>
      <c r="D1601" s="13" t="s">
        <v>2373</v>
      </c>
      <c r="E1601" s="8">
        <v>4749.3500000000004</v>
      </c>
      <c r="F1601" s="13" t="s">
        <v>70</v>
      </c>
      <c r="G1601" s="14">
        <v>44722</v>
      </c>
      <c r="H1601" s="13" t="s">
        <v>9</v>
      </c>
    </row>
    <row r="1602" spans="1:8" ht="14.4" x14ac:dyDescent="0.3">
      <c r="A1602" s="8">
        <v>79751641</v>
      </c>
      <c r="B1602" s="11">
        <v>44721</v>
      </c>
      <c r="C1602" s="13" t="s">
        <v>50</v>
      </c>
      <c r="D1602" s="13" t="s">
        <v>2374</v>
      </c>
      <c r="E1602" s="8">
        <v>56260</v>
      </c>
      <c r="F1602" s="13" t="s">
        <v>70</v>
      </c>
      <c r="G1602" s="14">
        <v>44733</v>
      </c>
      <c r="H1602" s="13" t="s">
        <v>9</v>
      </c>
    </row>
    <row r="1603" spans="1:8" ht="14.4" x14ac:dyDescent="0.3">
      <c r="A1603" s="8">
        <v>79751642</v>
      </c>
      <c r="B1603" s="11">
        <v>44721</v>
      </c>
      <c r="C1603" s="13" t="s">
        <v>162</v>
      </c>
      <c r="D1603" s="13" t="s">
        <v>2375</v>
      </c>
      <c r="E1603" s="8">
        <v>83035.210000000006</v>
      </c>
      <c r="F1603" s="13" t="s">
        <v>70</v>
      </c>
      <c r="G1603" s="14">
        <v>44726</v>
      </c>
      <c r="H1603" s="13" t="s">
        <v>9</v>
      </c>
    </row>
    <row r="1604" spans="1:8" ht="14.4" x14ac:dyDescent="0.3">
      <c r="A1604" s="8">
        <v>79751643</v>
      </c>
      <c r="B1604" s="11">
        <v>44721</v>
      </c>
      <c r="C1604" s="13" t="s">
        <v>601</v>
      </c>
      <c r="D1604" s="13" t="s">
        <v>2376</v>
      </c>
      <c r="E1604" s="8">
        <v>65625</v>
      </c>
      <c r="F1604" s="13" t="s">
        <v>70</v>
      </c>
      <c r="G1604" s="14">
        <v>44735</v>
      </c>
      <c r="H1604" s="13" t="s">
        <v>9</v>
      </c>
    </row>
    <row r="1605" spans="1:8" ht="14.4" x14ac:dyDescent="0.3">
      <c r="A1605" s="8">
        <v>79751645</v>
      </c>
      <c r="B1605" s="11">
        <v>44721</v>
      </c>
      <c r="C1605" s="13" t="s">
        <v>44</v>
      </c>
      <c r="D1605" s="13" t="s">
        <v>2377</v>
      </c>
      <c r="E1605" s="8">
        <v>12075</v>
      </c>
      <c r="F1605" s="13" t="s">
        <v>70</v>
      </c>
      <c r="G1605" s="14">
        <v>44728</v>
      </c>
      <c r="H1605" s="13" t="s">
        <v>9</v>
      </c>
    </row>
    <row r="1606" spans="1:8" ht="14.4" x14ac:dyDescent="0.3">
      <c r="A1606" s="8">
        <v>79751646</v>
      </c>
      <c r="B1606" s="11">
        <v>44721</v>
      </c>
      <c r="C1606" s="13" t="s">
        <v>2378</v>
      </c>
      <c r="D1606" s="13" t="s">
        <v>2379</v>
      </c>
      <c r="E1606" s="8">
        <v>1740000</v>
      </c>
      <c r="F1606" s="13" t="s">
        <v>70</v>
      </c>
      <c r="G1606" s="14">
        <v>44728</v>
      </c>
      <c r="H1606" s="13" t="s">
        <v>9</v>
      </c>
    </row>
    <row r="1607" spans="1:8" ht="14.4" x14ac:dyDescent="0.3">
      <c r="A1607" s="8">
        <v>79751647</v>
      </c>
      <c r="B1607" s="11">
        <v>44721</v>
      </c>
      <c r="C1607" s="13" t="s">
        <v>2380</v>
      </c>
      <c r="D1607" s="13" t="s">
        <v>2381</v>
      </c>
      <c r="E1607" s="8">
        <v>466000</v>
      </c>
      <c r="F1607" s="13" t="s">
        <v>70</v>
      </c>
      <c r="G1607" s="14">
        <v>44727</v>
      </c>
      <c r="H1607" s="13" t="s">
        <v>9</v>
      </c>
    </row>
    <row r="1608" spans="1:8" ht="14.4" x14ac:dyDescent="0.3">
      <c r="A1608" s="8">
        <v>79751648</v>
      </c>
      <c r="B1608" s="11">
        <v>44721</v>
      </c>
      <c r="C1608" s="13" t="s">
        <v>2382</v>
      </c>
      <c r="D1608" s="13" t="s">
        <v>2383</v>
      </c>
      <c r="E1608" s="8">
        <v>140000</v>
      </c>
      <c r="F1608" s="13" t="s">
        <v>70</v>
      </c>
      <c r="G1608" s="14">
        <v>44729</v>
      </c>
      <c r="H1608" s="13" t="s">
        <v>9</v>
      </c>
    </row>
    <row r="1609" spans="1:8" ht="14.4" x14ac:dyDescent="0.3">
      <c r="A1609" s="8">
        <v>79751649</v>
      </c>
      <c r="B1609" s="11">
        <v>44721</v>
      </c>
      <c r="C1609" s="13" t="s">
        <v>2384</v>
      </c>
      <c r="D1609" s="13" t="s">
        <v>2385</v>
      </c>
      <c r="E1609" s="8">
        <v>125000</v>
      </c>
      <c r="F1609" s="13" t="s">
        <v>70</v>
      </c>
      <c r="G1609" s="14">
        <v>44729</v>
      </c>
      <c r="H1609" s="13" t="s">
        <v>9</v>
      </c>
    </row>
    <row r="1610" spans="1:8" ht="14.4" x14ac:dyDescent="0.3">
      <c r="A1610" s="8">
        <v>79751650</v>
      </c>
      <c r="B1610" s="11">
        <v>44721</v>
      </c>
      <c r="C1610" s="13" t="s">
        <v>2386</v>
      </c>
      <c r="D1610" s="13" t="s">
        <v>2387</v>
      </c>
      <c r="E1610" s="8">
        <v>85000</v>
      </c>
      <c r="F1610" s="13" t="s">
        <v>70</v>
      </c>
      <c r="G1610" s="14">
        <v>44727</v>
      </c>
      <c r="H1610" s="13" t="s">
        <v>9</v>
      </c>
    </row>
    <row r="1611" spans="1:8" ht="14.4" x14ac:dyDescent="0.3">
      <c r="A1611" s="8">
        <v>79751651</v>
      </c>
      <c r="B1611" s="11">
        <v>44721</v>
      </c>
      <c r="C1611" s="13" t="s">
        <v>2388</v>
      </c>
      <c r="D1611" s="13" t="s">
        <v>2389</v>
      </c>
      <c r="E1611" s="8">
        <v>185000</v>
      </c>
      <c r="F1611" s="13" t="s">
        <v>70</v>
      </c>
      <c r="G1611" s="14">
        <v>44727</v>
      </c>
      <c r="H1611" s="13" t="s">
        <v>9</v>
      </c>
    </row>
    <row r="1612" spans="1:8" ht="14.4" x14ac:dyDescent="0.3">
      <c r="A1612" s="8">
        <v>79751662</v>
      </c>
      <c r="B1612" s="11">
        <v>44721</v>
      </c>
      <c r="C1612" s="13" t="s">
        <v>1581</v>
      </c>
      <c r="D1612" s="13" t="s">
        <v>2390</v>
      </c>
      <c r="E1612" s="8">
        <v>103917.85</v>
      </c>
      <c r="F1612" s="13" t="s">
        <v>70</v>
      </c>
      <c r="G1612" s="14">
        <v>44727</v>
      </c>
      <c r="H1612" s="13" t="s">
        <v>9</v>
      </c>
    </row>
    <row r="1613" spans="1:8" ht="14.4" x14ac:dyDescent="0.3">
      <c r="A1613" s="8">
        <v>79751663</v>
      </c>
      <c r="B1613" s="11">
        <v>44721</v>
      </c>
      <c r="C1613" s="13" t="s">
        <v>1522</v>
      </c>
      <c r="D1613" s="13" t="s">
        <v>2391</v>
      </c>
      <c r="E1613" s="8">
        <v>53350</v>
      </c>
      <c r="F1613" s="13" t="s">
        <v>70</v>
      </c>
      <c r="G1613" s="14">
        <v>44726</v>
      </c>
      <c r="H1613" s="13" t="s">
        <v>9</v>
      </c>
    </row>
    <row r="1614" spans="1:8" ht="14.4" x14ac:dyDescent="0.3">
      <c r="A1614" s="8">
        <v>79751664</v>
      </c>
      <c r="B1614" s="11">
        <v>44721</v>
      </c>
      <c r="C1614" s="13" t="s">
        <v>64</v>
      </c>
      <c r="D1614" s="13" t="s">
        <v>2392</v>
      </c>
      <c r="E1614" s="8">
        <v>48510</v>
      </c>
      <c r="F1614" s="13" t="s">
        <v>70</v>
      </c>
      <c r="G1614" s="14">
        <v>44742</v>
      </c>
      <c r="H1614" s="13" t="s">
        <v>9</v>
      </c>
    </row>
    <row r="1615" spans="1:8" ht="14.4" x14ac:dyDescent="0.3">
      <c r="A1615" s="8">
        <v>79751665</v>
      </c>
      <c r="B1615" s="11">
        <v>44721</v>
      </c>
      <c r="C1615" s="13" t="s">
        <v>1342</v>
      </c>
      <c r="D1615" s="13" t="s">
        <v>2393</v>
      </c>
      <c r="E1615" s="8">
        <v>4900</v>
      </c>
      <c r="F1615" s="13" t="s">
        <v>70</v>
      </c>
      <c r="G1615" s="14">
        <v>44725</v>
      </c>
      <c r="H1615" s="13" t="s">
        <v>9</v>
      </c>
    </row>
    <row r="1616" spans="1:8" ht="14.4" x14ac:dyDescent="0.3">
      <c r="A1616" s="8">
        <v>79751666</v>
      </c>
      <c r="B1616" s="11">
        <v>44721</v>
      </c>
      <c r="C1616" s="13" t="s">
        <v>1414</v>
      </c>
      <c r="D1616" s="13" t="s">
        <v>2394</v>
      </c>
      <c r="E1616" s="8">
        <v>44100</v>
      </c>
      <c r="F1616" s="13" t="s">
        <v>70</v>
      </c>
      <c r="G1616" s="14">
        <v>44734</v>
      </c>
      <c r="H1616" s="13" t="s">
        <v>9</v>
      </c>
    </row>
    <row r="1617" spans="1:8" ht="14.4" x14ac:dyDescent="0.3">
      <c r="A1617" s="8">
        <v>79751667</v>
      </c>
      <c r="B1617" s="11">
        <v>44721</v>
      </c>
      <c r="C1617" s="13" t="s">
        <v>2395</v>
      </c>
      <c r="D1617" s="13" t="s">
        <v>2396</v>
      </c>
      <c r="E1617" s="8">
        <v>9996</v>
      </c>
      <c r="F1617" s="13" t="s">
        <v>70</v>
      </c>
      <c r="G1617" s="14">
        <v>44727</v>
      </c>
      <c r="H1617" s="13" t="s">
        <v>9</v>
      </c>
    </row>
    <row r="1618" spans="1:8" ht="14.4" x14ac:dyDescent="0.3">
      <c r="A1618" s="8">
        <v>79751668</v>
      </c>
      <c r="B1618" s="11">
        <v>44721</v>
      </c>
      <c r="C1618" s="13" t="s">
        <v>1581</v>
      </c>
      <c r="D1618" s="13" t="s">
        <v>2397</v>
      </c>
      <c r="E1618" s="8">
        <v>16751.78</v>
      </c>
      <c r="F1618" s="13" t="s">
        <v>70</v>
      </c>
      <c r="G1618" s="14">
        <v>44727</v>
      </c>
      <c r="H1618" s="13" t="s">
        <v>9</v>
      </c>
    </row>
    <row r="1619" spans="1:8" ht="14.4" x14ac:dyDescent="0.3">
      <c r="A1619" s="8">
        <v>79751669</v>
      </c>
      <c r="B1619" s="11">
        <v>44721</v>
      </c>
      <c r="C1619" s="13" t="s">
        <v>387</v>
      </c>
      <c r="D1619" s="13" t="s">
        <v>2398</v>
      </c>
      <c r="E1619" s="8">
        <v>10000</v>
      </c>
      <c r="F1619" s="13" t="s">
        <v>70</v>
      </c>
      <c r="G1619" s="14">
        <v>44725</v>
      </c>
      <c r="H1619" s="13" t="s">
        <v>9</v>
      </c>
    </row>
    <row r="1620" spans="1:8" ht="14.4" x14ac:dyDescent="0.3">
      <c r="A1620" s="8">
        <v>79751670</v>
      </c>
      <c r="B1620" s="11">
        <v>44721</v>
      </c>
      <c r="C1620" s="13" t="s">
        <v>389</v>
      </c>
      <c r="D1620" s="13" t="s">
        <v>2398</v>
      </c>
      <c r="E1620" s="8">
        <v>5000</v>
      </c>
      <c r="F1620" s="13" t="s">
        <v>70</v>
      </c>
      <c r="G1620" s="14">
        <v>44725</v>
      </c>
      <c r="H1620" s="13" t="s">
        <v>9</v>
      </c>
    </row>
    <row r="1621" spans="1:8" ht="14.4" x14ac:dyDescent="0.3">
      <c r="A1621" s="8">
        <v>79751671</v>
      </c>
      <c r="B1621" s="11">
        <v>44721</v>
      </c>
      <c r="C1621" s="13" t="s">
        <v>2399</v>
      </c>
      <c r="D1621" s="13" t="s">
        <v>2398</v>
      </c>
      <c r="E1621" s="8">
        <v>1258.06</v>
      </c>
      <c r="F1621" s="13" t="s">
        <v>70</v>
      </c>
      <c r="G1621" s="14">
        <v>44725</v>
      </c>
      <c r="H1621" s="13" t="s">
        <v>9</v>
      </c>
    </row>
    <row r="1622" spans="1:8" ht="14.4" x14ac:dyDescent="0.3">
      <c r="A1622" s="8">
        <v>79751672</v>
      </c>
      <c r="B1622" s="11">
        <v>44721</v>
      </c>
      <c r="C1622" s="13" t="s">
        <v>295</v>
      </c>
      <c r="D1622" s="13" t="s">
        <v>2400</v>
      </c>
      <c r="E1622" s="8">
        <v>20000</v>
      </c>
      <c r="F1622" s="13" t="s">
        <v>70</v>
      </c>
      <c r="G1622" s="14">
        <v>44726</v>
      </c>
      <c r="H1622" s="13" t="s">
        <v>9</v>
      </c>
    </row>
    <row r="1623" spans="1:8" ht="14.4" x14ac:dyDescent="0.3">
      <c r="A1623" s="8">
        <v>79751673</v>
      </c>
      <c r="B1623" s="11">
        <v>44721</v>
      </c>
      <c r="C1623" s="13" t="s">
        <v>2401</v>
      </c>
      <c r="D1623" s="13" t="s">
        <v>2400</v>
      </c>
      <c r="E1623" s="8">
        <v>6000</v>
      </c>
      <c r="F1623" s="13" t="s">
        <v>70</v>
      </c>
      <c r="G1623" s="14">
        <v>44726</v>
      </c>
      <c r="H1623" s="13" t="s">
        <v>9</v>
      </c>
    </row>
    <row r="1624" spans="1:8" ht="14.4" x14ac:dyDescent="0.3">
      <c r="A1624" s="8">
        <v>79751674</v>
      </c>
      <c r="B1624" s="11">
        <v>44721</v>
      </c>
      <c r="C1624" s="13" t="s">
        <v>298</v>
      </c>
      <c r="D1624" s="13" t="s">
        <v>2400</v>
      </c>
      <c r="E1624" s="8">
        <v>5000</v>
      </c>
      <c r="F1624" s="13" t="s">
        <v>70</v>
      </c>
      <c r="G1624" s="14">
        <v>44726</v>
      </c>
      <c r="H1624" s="13" t="s">
        <v>9</v>
      </c>
    </row>
    <row r="1625" spans="1:8" ht="14.4" x14ac:dyDescent="0.3">
      <c r="A1625" s="8">
        <v>79751675</v>
      </c>
      <c r="B1625" s="11">
        <v>44721</v>
      </c>
      <c r="C1625" s="13" t="s">
        <v>299</v>
      </c>
      <c r="D1625" s="13" t="s">
        <v>2400</v>
      </c>
      <c r="E1625" s="8">
        <v>3000</v>
      </c>
      <c r="F1625" s="13" t="s">
        <v>70</v>
      </c>
      <c r="G1625" s="14">
        <v>44726</v>
      </c>
      <c r="H1625" s="13" t="s">
        <v>9</v>
      </c>
    </row>
    <row r="1626" spans="1:8" ht="14.4" x14ac:dyDescent="0.3">
      <c r="A1626" s="8">
        <v>79751676</v>
      </c>
      <c r="B1626" s="11">
        <v>44721</v>
      </c>
      <c r="C1626" s="13" t="s">
        <v>1784</v>
      </c>
      <c r="D1626" s="13" t="s">
        <v>2402</v>
      </c>
      <c r="E1626" s="8">
        <v>46300</v>
      </c>
      <c r="F1626" s="13" t="s">
        <v>70</v>
      </c>
      <c r="G1626" s="14">
        <v>44729</v>
      </c>
      <c r="H1626" s="13" t="s">
        <v>9</v>
      </c>
    </row>
    <row r="1627" spans="1:8" ht="14.4" x14ac:dyDescent="0.3">
      <c r="A1627" s="8">
        <v>79751677</v>
      </c>
      <c r="B1627" s="11">
        <v>44721</v>
      </c>
      <c r="C1627" s="13" t="s">
        <v>2403</v>
      </c>
      <c r="D1627" s="13" t="s">
        <v>2404</v>
      </c>
      <c r="E1627" s="8">
        <v>560920.72</v>
      </c>
      <c r="F1627" s="13" t="s">
        <v>70</v>
      </c>
      <c r="G1627" s="14">
        <v>44729</v>
      </c>
      <c r="H1627" s="13" t="s">
        <v>9</v>
      </c>
    </row>
    <row r="1628" spans="1:8" ht="14.4" x14ac:dyDescent="0.3">
      <c r="A1628" s="8">
        <v>79751678</v>
      </c>
      <c r="B1628" s="11">
        <v>44721</v>
      </c>
      <c r="C1628" s="13" t="s">
        <v>1342</v>
      </c>
      <c r="D1628" s="13" t="s">
        <v>2405</v>
      </c>
      <c r="E1628" s="8">
        <v>8330</v>
      </c>
      <c r="F1628" s="13" t="s">
        <v>70</v>
      </c>
      <c r="G1628" s="14">
        <v>44725</v>
      </c>
      <c r="H1628" s="13" t="s">
        <v>9</v>
      </c>
    </row>
    <row r="1629" spans="1:8" ht="14.4" x14ac:dyDescent="0.3">
      <c r="A1629" s="8">
        <v>79751679</v>
      </c>
      <c r="B1629" s="11">
        <v>44722</v>
      </c>
      <c r="C1629" s="13" t="s">
        <v>159</v>
      </c>
      <c r="D1629" s="13" t="s">
        <v>2406</v>
      </c>
      <c r="E1629" s="8">
        <v>377400</v>
      </c>
      <c r="F1629" s="13" t="s">
        <v>70</v>
      </c>
      <c r="G1629" s="14">
        <v>44722</v>
      </c>
      <c r="H1629" s="13" t="s">
        <v>9</v>
      </c>
    </row>
    <row r="1630" spans="1:8" ht="14.4" x14ac:dyDescent="0.3">
      <c r="A1630" s="8">
        <v>79751680</v>
      </c>
      <c r="B1630" s="11">
        <v>44722</v>
      </c>
      <c r="C1630" s="13" t="s">
        <v>395</v>
      </c>
      <c r="D1630" s="13" t="s">
        <v>2407</v>
      </c>
      <c r="E1630" s="8">
        <v>39494</v>
      </c>
      <c r="F1630" s="13" t="s">
        <v>70</v>
      </c>
      <c r="G1630" s="14">
        <v>44726</v>
      </c>
      <c r="H1630" s="13" t="s">
        <v>9</v>
      </c>
    </row>
    <row r="1631" spans="1:8" ht="14.4" x14ac:dyDescent="0.3">
      <c r="A1631" s="8">
        <v>79751681</v>
      </c>
      <c r="B1631" s="11">
        <v>44722</v>
      </c>
      <c r="C1631" s="13" t="s">
        <v>2408</v>
      </c>
      <c r="D1631" s="13" t="s">
        <v>2409</v>
      </c>
      <c r="E1631" s="8">
        <v>161421.29999999999</v>
      </c>
      <c r="F1631" s="13" t="s">
        <v>70</v>
      </c>
      <c r="G1631" s="14">
        <v>44726</v>
      </c>
      <c r="H1631" s="13" t="s">
        <v>9</v>
      </c>
    </row>
    <row r="1632" spans="1:8" ht="14.4" x14ac:dyDescent="0.3">
      <c r="A1632" s="8">
        <v>79751682</v>
      </c>
      <c r="B1632" s="11">
        <v>44722</v>
      </c>
      <c r="C1632" s="13" t="s">
        <v>2410</v>
      </c>
      <c r="D1632" s="13" t="s">
        <v>2411</v>
      </c>
      <c r="E1632" s="8">
        <v>29423.360000000001</v>
      </c>
      <c r="F1632" s="13" t="s">
        <v>70</v>
      </c>
      <c r="G1632" s="14">
        <v>44727</v>
      </c>
      <c r="H1632" s="13" t="s">
        <v>9</v>
      </c>
    </row>
    <row r="1633" spans="1:8" ht="14.4" x14ac:dyDescent="0.3">
      <c r="A1633" s="8">
        <v>79751683</v>
      </c>
      <c r="B1633" s="11">
        <v>44722</v>
      </c>
      <c r="C1633" s="13" t="s">
        <v>2412</v>
      </c>
      <c r="D1633" s="13" t="s">
        <v>2413</v>
      </c>
      <c r="E1633" s="8">
        <v>11000</v>
      </c>
      <c r="F1633" s="13" t="s">
        <v>70</v>
      </c>
      <c r="G1633" s="14">
        <v>44741</v>
      </c>
      <c r="H1633" s="13" t="s">
        <v>9</v>
      </c>
    </row>
    <row r="1634" spans="1:8" ht="14.4" x14ac:dyDescent="0.3">
      <c r="A1634" s="8">
        <v>79751684</v>
      </c>
      <c r="B1634" s="11">
        <v>44722</v>
      </c>
      <c r="C1634" s="13" t="s">
        <v>2414</v>
      </c>
      <c r="D1634" s="13" t="s">
        <v>2413</v>
      </c>
      <c r="E1634" s="8">
        <v>11000</v>
      </c>
      <c r="F1634" s="13" t="s">
        <v>70</v>
      </c>
      <c r="G1634" s="14">
        <v>44736</v>
      </c>
      <c r="H1634" s="13" t="s">
        <v>9</v>
      </c>
    </row>
    <row r="1635" spans="1:8" ht="14.4" x14ac:dyDescent="0.3">
      <c r="A1635" s="8">
        <v>79751685</v>
      </c>
      <c r="B1635" s="11">
        <v>44722</v>
      </c>
      <c r="C1635" s="13" t="s">
        <v>2415</v>
      </c>
      <c r="D1635" s="13" t="s">
        <v>2413</v>
      </c>
      <c r="E1635" s="8">
        <v>11000</v>
      </c>
      <c r="F1635" s="13" t="s">
        <v>70</v>
      </c>
      <c r="G1635" s="14">
        <v>44739</v>
      </c>
      <c r="H1635" s="13" t="s">
        <v>9</v>
      </c>
    </row>
    <row r="1636" spans="1:8" ht="14.4" x14ac:dyDescent="0.3">
      <c r="A1636" s="8">
        <v>79751686</v>
      </c>
      <c r="B1636" s="11">
        <v>44722</v>
      </c>
      <c r="C1636" s="13" t="s">
        <v>2416</v>
      </c>
      <c r="D1636" s="13" t="s">
        <v>2413</v>
      </c>
      <c r="E1636" s="8">
        <v>11000</v>
      </c>
      <c r="F1636" s="13" t="s">
        <v>70</v>
      </c>
      <c r="G1636" s="14">
        <v>44736</v>
      </c>
      <c r="H1636" s="13" t="s">
        <v>9</v>
      </c>
    </row>
    <row r="1637" spans="1:8" ht="14.4" x14ac:dyDescent="0.3">
      <c r="A1637" s="8">
        <v>79751687</v>
      </c>
      <c r="B1637" s="11">
        <v>44722</v>
      </c>
      <c r="C1637" s="13" t="s">
        <v>617</v>
      </c>
      <c r="D1637" s="13" t="s">
        <v>2417</v>
      </c>
      <c r="E1637" s="8">
        <v>7951.23</v>
      </c>
      <c r="F1637" s="13" t="s">
        <v>70</v>
      </c>
      <c r="G1637" s="14">
        <v>44728</v>
      </c>
      <c r="H1637" s="13" t="s">
        <v>9</v>
      </c>
    </row>
    <row r="1638" spans="1:8" ht="14.4" x14ac:dyDescent="0.3">
      <c r="A1638" s="8">
        <v>79751688</v>
      </c>
      <c r="B1638" s="11">
        <v>44722</v>
      </c>
      <c r="C1638" s="13" t="s">
        <v>2418</v>
      </c>
      <c r="D1638" s="13" t="s">
        <v>2413</v>
      </c>
      <c r="E1638" s="8">
        <v>11000</v>
      </c>
      <c r="F1638" s="13" t="s">
        <v>70</v>
      </c>
      <c r="G1638" s="14">
        <v>44736</v>
      </c>
      <c r="H1638" s="13" t="s">
        <v>9</v>
      </c>
    </row>
    <row r="1639" spans="1:8" ht="14.4" x14ac:dyDescent="0.3">
      <c r="A1639" s="8">
        <v>79751689</v>
      </c>
      <c r="B1639" s="11">
        <v>44722</v>
      </c>
      <c r="C1639" s="13" t="s">
        <v>2419</v>
      </c>
      <c r="D1639" s="13" t="s">
        <v>2420</v>
      </c>
      <c r="E1639" s="8">
        <v>2657000</v>
      </c>
      <c r="F1639" s="13" t="s">
        <v>70</v>
      </c>
      <c r="G1639" s="14">
        <v>44728</v>
      </c>
      <c r="H1639" s="13" t="s">
        <v>9</v>
      </c>
    </row>
    <row r="1640" spans="1:8" ht="14.4" x14ac:dyDescent="0.3">
      <c r="A1640" s="8">
        <v>79751690</v>
      </c>
      <c r="B1640" s="11">
        <v>44722</v>
      </c>
      <c r="C1640" s="13" t="s">
        <v>872</v>
      </c>
      <c r="D1640" s="13" t="s">
        <v>2421</v>
      </c>
      <c r="E1640" s="8">
        <v>10000</v>
      </c>
      <c r="F1640" s="13" t="s">
        <v>70</v>
      </c>
      <c r="G1640" s="14">
        <v>44742</v>
      </c>
      <c r="H1640" s="13" t="s">
        <v>9</v>
      </c>
    </row>
    <row r="1641" spans="1:8" ht="14.4" x14ac:dyDescent="0.3">
      <c r="A1641" s="8">
        <v>79751691</v>
      </c>
      <c r="B1641" s="11">
        <v>44722</v>
      </c>
      <c r="C1641" s="13" t="s">
        <v>791</v>
      </c>
      <c r="D1641" s="13" t="s">
        <v>2421</v>
      </c>
      <c r="E1641" s="8">
        <v>6000</v>
      </c>
      <c r="F1641" s="13" t="s">
        <v>70</v>
      </c>
      <c r="G1641" s="14">
        <v>44733</v>
      </c>
      <c r="H1641" s="13" t="s">
        <v>9</v>
      </c>
    </row>
    <row r="1642" spans="1:8" ht="14.4" x14ac:dyDescent="0.3">
      <c r="A1642" s="8">
        <v>79751692</v>
      </c>
      <c r="B1642" s="11">
        <v>44722</v>
      </c>
      <c r="C1642" s="13" t="s">
        <v>124</v>
      </c>
      <c r="D1642" s="13" t="s">
        <v>2422</v>
      </c>
      <c r="E1642" s="8">
        <v>7904.38</v>
      </c>
      <c r="F1642" s="13" t="s">
        <v>70</v>
      </c>
      <c r="G1642" s="14">
        <v>44742</v>
      </c>
      <c r="H1642" s="13" t="s">
        <v>9</v>
      </c>
    </row>
    <row r="1643" spans="1:8" ht="14.4" x14ac:dyDescent="0.3">
      <c r="A1643" s="8">
        <v>79751693</v>
      </c>
      <c r="B1643" s="11">
        <v>44722</v>
      </c>
      <c r="C1643" s="13" t="s">
        <v>2423</v>
      </c>
      <c r="D1643" s="13" t="s">
        <v>2424</v>
      </c>
      <c r="E1643" s="8">
        <v>23467.5</v>
      </c>
      <c r="F1643" s="13" t="s">
        <v>70</v>
      </c>
      <c r="G1643" s="14">
        <v>44796</v>
      </c>
      <c r="H1643" s="13" t="s">
        <v>9</v>
      </c>
    </row>
    <row r="1644" spans="1:8" ht="14.4" x14ac:dyDescent="0.3">
      <c r="A1644" s="8">
        <v>79751694</v>
      </c>
      <c r="B1644" s="11">
        <v>44722</v>
      </c>
      <c r="C1644" s="13" t="s">
        <v>2425</v>
      </c>
      <c r="D1644" s="13" t="s">
        <v>2426</v>
      </c>
      <c r="E1644" s="8">
        <v>500</v>
      </c>
      <c r="F1644" s="13" t="s">
        <v>70</v>
      </c>
      <c r="G1644" s="14">
        <v>44732</v>
      </c>
      <c r="H1644" s="13" t="s">
        <v>9</v>
      </c>
    </row>
    <row r="1645" spans="1:8" ht="14.4" x14ac:dyDescent="0.3">
      <c r="A1645" s="8">
        <v>79751695</v>
      </c>
      <c r="B1645" s="11">
        <v>44722</v>
      </c>
      <c r="C1645" s="13" t="s">
        <v>51</v>
      </c>
      <c r="D1645" s="13" t="s">
        <v>2427</v>
      </c>
      <c r="E1645" s="8">
        <v>54320</v>
      </c>
      <c r="F1645" s="13" t="s">
        <v>70</v>
      </c>
      <c r="G1645" s="14">
        <v>44733</v>
      </c>
      <c r="H1645" s="13" t="s">
        <v>9</v>
      </c>
    </row>
    <row r="1646" spans="1:8" ht="14.4" x14ac:dyDescent="0.3">
      <c r="A1646" s="8">
        <v>79751696</v>
      </c>
      <c r="B1646" s="11">
        <v>44722</v>
      </c>
      <c r="C1646" s="13" t="s">
        <v>2428</v>
      </c>
      <c r="D1646" s="13" t="s">
        <v>2429</v>
      </c>
      <c r="E1646" s="8">
        <v>48500</v>
      </c>
      <c r="F1646" s="13" t="s">
        <v>70</v>
      </c>
      <c r="G1646" s="14">
        <v>44749</v>
      </c>
      <c r="H1646" s="13" t="s">
        <v>9</v>
      </c>
    </row>
    <row r="1647" spans="1:8" ht="14.4" x14ac:dyDescent="0.3">
      <c r="A1647" s="8">
        <v>79751697</v>
      </c>
      <c r="B1647" s="11">
        <v>44722</v>
      </c>
      <c r="C1647" s="13" t="s">
        <v>1286</v>
      </c>
      <c r="D1647" s="13" t="s">
        <v>2430</v>
      </c>
      <c r="E1647" s="8">
        <v>10771.78</v>
      </c>
      <c r="F1647" s="13" t="s">
        <v>70</v>
      </c>
      <c r="G1647" s="14">
        <v>44726</v>
      </c>
      <c r="H1647" s="13" t="s">
        <v>9</v>
      </c>
    </row>
    <row r="1648" spans="1:8" ht="14.4" x14ac:dyDescent="0.3">
      <c r="A1648" s="8">
        <v>79751698</v>
      </c>
      <c r="B1648" s="11">
        <v>44722</v>
      </c>
      <c r="C1648" s="13" t="s">
        <v>1286</v>
      </c>
      <c r="D1648" s="13" t="s">
        <v>2431</v>
      </c>
      <c r="E1648" s="8">
        <v>7186.8</v>
      </c>
      <c r="F1648" s="13" t="s">
        <v>70</v>
      </c>
      <c r="G1648" s="14">
        <v>44726</v>
      </c>
      <c r="H1648" s="13" t="s">
        <v>9</v>
      </c>
    </row>
    <row r="1649" spans="1:8" ht="14.4" x14ac:dyDescent="0.3">
      <c r="A1649" s="8">
        <v>79751699</v>
      </c>
      <c r="B1649" s="11">
        <v>44722</v>
      </c>
      <c r="C1649" s="13" t="s">
        <v>2432</v>
      </c>
      <c r="D1649" s="13" t="s">
        <v>2433</v>
      </c>
      <c r="E1649" s="8">
        <v>4919.04</v>
      </c>
      <c r="F1649" s="13" t="s">
        <v>70</v>
      </c>
      <c r="G1649" s="14">
        <v>44725</v>
      </c>
      <c r="H1649" s="13" t="s">
        <v>9</v>
      </c>
    </row>
    <row r="1650" spans="1:8" ht="14.4" x14ac:dyDescent="0.3">
      <c r="A1650" s="8">
        <v>79751700</v>
      </c>
      <c r="B1650" s="11">
        <v>44722</v>
      </c>
      <c r="C1650" s="13" t="s">
        <v>1286</v>
      </c>
      <c r="D1650" s="13" t="s">
        <v>2434</v>
      </c>
      <c r="E1650" s="8">
        <v>7086.39</v>
      </c>
      <c r="F1650" s="13" t="s">
        <v>70</v>
      </c>
      <c r="G1650" s="14">
        <v>44726</v>
      </c>
      <c r="H1650" s="13" t="s">
        <v>9</v>
      </c>
    </row>
    <row r="1651" spans="1:8" ht="14.4" x14ac:dyDescent="0.3">
      <c r="A1651" s="8">
        <v>79751701</v>
      </c>
      <c r="B1651" s="11">
        <v>44722</v>
      </c>
      <c r="C1651" s="13" t="s">
        <v>1286</v>
      </c>
      <c r="D1651" s="13" t="s">
        <v>2435</v>
      </c>
      <c r="E1651" s="8">
        <v>6448.3</v>
      </c>
      <c r="F1651" s="13" t="s">
        <v>70</v>
      </c>
      <c r="G1651" s="14">
        <v>44726</v>
      </c>
      <c r="H1651" s="13" t="s">
        <v>9</v>
      </c>
    </row>
    <row r="1652" spans="1:8" ht="14.4" x14ac:dyDescent="0.3">
      <c r="A1652" s="8">
        <v>79751702</v>
      </c>
      <c r="B1652" s="11">
        <v>44722</v>
      </c>
      <c r="C1652" s="13" t="s">
        <v>1286</v>
      </c>
      <c r="D1652" s="13" t="s">
        <v>2434</v>
      </c>
      <c r="E1652" s="8">
        <v>4958.72</v>
      </c>
      <c r="F1652" s="13" t="s">
        <v>70</v>
      </c>
      <c r="G1652" s="14">
        <v>44726</v>
      </c>
      <c r="H1652" s="13" t="s">
        <v>9</v>
      </c>
    </row>
    <row r="1653" spans="1:8" ht="14.4" x14ac:dyDescent="0.3">
      <c r="A1653" s="8">
        <v>79751703</v>
      </c>
      <c r="B1653" s="11">
        <v>44722</v>
      </c>
      <c r="C1653" s="13" t="s">
        <v>2436</v>
      </c>
      <c r="D1653" s="13" t="s">
        <v>2437</v>
      </c>
      <c r="E1653" s="8">
        <v>24255</v>
      </c>
      <c r="F1653" s="13" t="s">
        <v>70</v>
      </c>
      <c r="G1653" s="14">
        <v>44725</v>
      </c>
      <c r="H1653" s="13" t="s">
        <v>9</v>
      </c>
    </row>
    <row r="1654" spans="1:8" ht="14.4" x14ac:dyDescent="0.3">
      <c r="A1654" s="8">
        <v>79751704</v>
      </c>
      <c r="B1654" s="11">
        <v>44722</v>
      </c>
      <c r="C1654" s="13" t="s">
        <v>2438</v>
      </c>
      <c r="D1654" s="13" t="s">
        <v>2439</v>
      </c>
      <c r="E1654" s="8">
        <v>9502.15</v>
      </c>
      <c r="F1654" s="13" t="s">
        <v>70</v>
      </c>
      <c r="G1654" s="14">
        <v>44729</v>
      </c>
      <c r="H1654" s="13" t="s">
        <v>9</v>
      </c>
    </row>
    <row r="1655" spans="1:8" ht="14.4" x14ac:dyDescent="0.3">
      <c r="A1655" s="8">
        <v>79751705</v>
      </c>
      <c r="B1655" s="11">
        <v>44722</v>
      </c>
      <c r="C1655" s="13" t="s">
        <v>1342</v>
      </c>
      <c r="D1655" s="13" t="s">
        <v>2440</v>
      </c>
      <c r="E1655" s="8">
        <v>30870</v>
      </c>
      <c r="F1655" s="13" t="s">
        <v>70</v>
      </c>
      <c r="G1655" s="14">
        <v>44725</v>
      </c>
      <c r="H1655" s="13" t="s">
        <v>9</v>
      </c>
    </row>
    <row r="1656" spans="1:8" ht="14.4" x14ac:dyDescent="0.3">
      <c r="A1656" s="8">
        <v>79751706</v>
      </c>
      <c r="B1656" s="11">
        <v>44722</v>
      </c>
      <c r="C1656" s="13" t="s">
        <v>259</v>
      </c>
      <c r="D1656" s="13" t="s">
        <v>2441</v>
      </c>
      <c r="E1656" s="8">
        <v>4870.32</v>
      </c>
      <c r="F1656" s="13" t="s">
        <v>70</v>
      </c>
      <c r="G1656" s="14">
        <v>44726</v>
      </c>
      <c r="H1656" s="13" t="s">
        <v>9</v>
      </c>
    </row>
    <row r="1657" spans="1:8" ht="14.4" x14ac:dyDescent="0.3">
      <c r="A1657" s="8">
        <v>79751707</v>
      </c>
      <c r="B1657" s="11">
        <v>44722</v>
      </c>
      <c r="C1657" s="13" t="s">
        <v>127</v>
      </c>
      <c r="D1657" s="13" t="s">
        <v>2442</v>
      </c>
      <c r="E1657" s="8">
        <v>4315.72</v>
      </c>
      <c r="F1657" s="13" t="s">
        <v>70</v>
      </c>
      <c r="G1657" s="14">
        <v>44729</v>
      </c>
      <c r="H1657" s="13" t="s">
        <v>9</v>
      </c>
    </row>
    <row r="1658" spans="1:8" ht="14.4" x14ac:dyDescent="0.3">
      <c r="A1658" s="8">
        <v>79751708</v>
      </c>
      <c r="B1658" s="11">
        <v>44722</v>
      </c>
      <c r="C1658" s="13" t="s">
        <v>400</v>
      </c>
      <c r="D1658" s="13" t="s">
        <v>2357</v>
      </c>
      <c r="E1658" s="8">
        <v>15000</v>
      </c>
      <c r="F1658" s="13" t="s">
        <v>70</v>
      </c>
      <c r="G1658" s="14">
        <v>44729</v>
      </c>
      <c r="H1658" s="13" t="s">
        <v>9</v>
      </c>
    </row>
    <row r="1659" spans="1:8" ht="14.4" x14ac:dyDescent="0.3">
      <c r="A1659" s="8">
        <v>79751709</v>
      </c>
      <c r="B1659" s="11">
        <v>44722</v>
      </c>
      <c r="C1659" s="13" t="s">
        <v>2443</v>
      </c>
      <c r="D1659" s="13" t="s">
        <v>2357</v>
      </c>
      <c r="E1659" s="8">
        <v>15000</v>
      </c>
      <c r="F1659" s="13" t="s">
        <v>70</v>
      </c>
      <c r="G1659" s="14">
        <v>44729</v>
      </c>
      <c r="H1659" s="13" t="s">
        <v>9</v>
      </c>
    </row>
    <row r="1660" spans="1:8" ht="14.4" x14ac:dyDescent="0.3">
      <c r="A1660" s="8">
        <v>79751710</v>
      </c>
      <c r="B1660" s="11">
        <v>44722</v>
      </c>
      <c r="C1660" s="13" t="s">
        <v>402</v>
      </c>
      <c r="D1660" s="13" t="s">
        <v>2357</v>
      </c>
      <c r="E1660" s="8">
        <v>15000</v>
      </c>
      <c r="F1660" s="13" t="s">
        <v>70</v>
      </c>
      <c r="G1660" s="14">
        <v>44742</v>
      </c>
      <c r="H1660" s="13" t="s">
        <v>9</v>
      </c>
    </row>
    <row r="1661" spans="1:8" ht="14.4" x14ac:dyDescent="0.3">
      <c r="A1661" s="8">
        <v>79751711</v>
      </c>
      <c r="B1661" s="11">
        <v>44722</v>
      </c>
      <c r="C1661" s="13" t="s">
        <v>563</v>
      </c>
      <c r="D1661" s="13" t="s">
        <v>2444</v>
      </c>
      <c r="E1661" s="8">
        <v>5000</v>
      </c>
      <c r="F1661" s="13" t="s">
        <v>70</v>
      </c>
      <c r="G1661" s="14">
        <v>44729</v>
      </c>
      <c r="H1661" s="13" t="s">
        <v>9</v>
      </c>
    </row>
    <row r="1662" spans="1:8" ht="14.4" x14ac:dyDescent="0.3">
      <c r="A1662" s="8">
        <v>79751712</v>
      </c>
      <c r="B1662" s="11">
        <v>44722</v>
      </c>
      <c r="C1662" s="13" t="s">
        <v>2445</v>
      </c>
      <c r="D1662" s="13" t="s">
        <v>2357</v>
      </c>
      <c r="E1662" s="8">
        <v>20000</v>
      </c>
      <c r="F1662" s="13" t="s">
        <v>70</v>
      </c>
      <c r="G1662" s="14">
        <v>44729</v>
      </c>
      <c r="H1662" s="13" t="s">
        <v>9</v>
      </c>
    </row>
    <row r="1663" spans="1:8" ht="14.4" x14ac:dyDescent="0.3">
      <c r="A1663" s="8">
        <v>79751713</v>
      </c>
      <c r="B1663" s="11">
        <v>44722</v>
      </c>
      <c r="C1663" s="13" t="s">
        <v>833</v>
      </c>
      <c r="D1663" s="13" t="s">
        <v>2446</v>
      </c>
      <c r="E1663" s="8">
        <v>10000</v>
      </c>
      <c r="F1663" s="13" t="s">
        <v>70</v>
      </c>
      <c r="G1663" s="14">
        <v>44727</v>
      </c>
      <c r="H1663" s="13" t="s">
        <v>9</v>
      </c>
    </row>
    <row r="1664" spans="1:8" ht="14.4" x14ac:dyDescent="0.3">
      <c r="A1664" s="8">
        <v>79751714</v>
      </c>
      <c r="B1664" s="11">
        <v>44722</v>
      </c>
      <c r="C1664" s="13" t="s">
        <v>82</v>
      </c>
      <c r="D1664" s="13" t="s">
        <v>2357</v>
      </c>
      <c r="E1664" s="8">
        <v>5000</v>
      </c>
      <c r="F1664" s="13" t="s">
        <v>70</v>
      </c>
      <c r="G1664" s="14">
        <v>44733</v>
      </c>
      <c r="H1664" s="13" t="s">
        <v>9</v>
      </c>
    </row>
    <row r="1665" spans="1:8" ht="14.4" x14ac:dyDescent="0.3">
      <c r="A1665" s="8">
        <v>79751715</v>
      </c>
      <c r="B1665" s="11">
        <v>44722</v>
      </c>
      <c r="C1665" s="13" t="s">
        <v>356</v>
      </c>
      <c r="D1665" s="13" t="s">
        <v>2357</v>
      </c>
      <c r="E1665" s="8">
        <v>3000</v>
      </c>
      <c r="F1665" s="13" t="s">
        <v>70</v>
      </c>
      <c r="G1665" s="14">
        <v>44725</v>
      </c>
      <c r="H1665" s="13" t="s">
        <v>9</v>
      </c>
    </row>
    <row r="1666" spans="1:8" ht="14.4" x14ac:dyDescent="0.3">
      <c r="A1666" s="8">
        <v>79751716</v>
      </c>
      <c r="B1666" s="11">
        <v>44722</v>
      </c>
      <c r="C1666" s="13" t="s">
        <v>350</v>
      </c>
      <c r="D1666" s="13" t="s">
        <v>2357</v>
      </c>
      <c r="E1666" s="8">
        <v>10000</v>
      </c>
      <c r="F1666" s="13" t="s">
        <v>70</v>
      </c>
      <c r="G1666" s="14">
        <v>44725</v>
      </c>
      <c r="H1666" s="13" t="s">
        <v>9</v>
      </c>
    </row>
    <row r="1667" spans="1:8" ht="14.4" x14ac:dyDescent="0.3">
      <c r="A1667" s="8">
        <v>79751717</v>
      </c>
      <c r="B1667" s="11">
        <v>44722</v>
      </c>
      <c r="C1667" s="13" t="s">
        <v>831</v>
      </c>
      <c r="D1667" s="13" t="s">
        <v>2446</v>
      </c>
      <c r="E1667" s="8">
        <v>10000</v>
      </c>
      <c r="F1667" s="13" t="s">
        <v>70</v>
      </c>
      <c r="G1667" s="14">
        <v>44727</v>
      </c>
      <c r="H1667" s="13" t="s">
        <v>9</v>
      </c>
    </row>
    <row r="1668" spans="1:8" ht="14.4" x14ac:dyDescent="0.3">
      <c r="A1668" s="8">
        <v>79751718</v>
      </c>
      <c r="B1668" s="11">
        <v>44722</v>
      </c>
      <c r="C1668" s="13" t="s">
        <v>834</v>
      </c>
      <c r="D1668" s="13" t="s">
        <v>2446</v>
      </c>
      <c r="E1668" s="8">
        <v>10000</v>
      </c>
      <c r="F1668" s="13" t="s">
        <v>70</v>
      </c>
      <c r="G1668" s="14">
        <v>44727</v>
      </c>
      <c r="H1668" s="13" t="s">
        <v>9</v>
      </c>
    </row>
    <row r="1669" spans="1:8" ht="14.4" x14ac:dyDescent="0.3">
      <c r="A1669" s="8">
        <v>79751719</v>
      </c>
      <c r="B1669" s="11">
        <v>44722</v>
      </c>
      <c r="C1669" s="13" t="s">
        <v>838</v>
      </c>
      <c r="D1669" s="13" t="s">
        <v>2357</v>
      </c>
      <c r="E1669" s="8">
        <v>10000</v>
      </c>
      <c r="F1669" s="13" t="s">
        <v>70</v>
      </c>
      <c r="G1669" s="14">
        <v>44727</v>
      </c>
      <c r="H1669" s="13" t="s">
        <v>9</v>
      </c>
    </row>
    <row r="1670" spans="1:8" ht="14.4" x14ac:dyDescent="0.3">
      <c r="A1670" s="8">
        <v>79751720</v>
      </c>
      <c r="B1670" s="11">
        <v>44722</v>
      </c>
      <c r="C1670" s="13" t="s">
        <v>839</v>
      </c>
      <c r="D1670" s="13" t="s">
        <v>2357</v>
      </c>
      <c r="E1670" s="8">
        <v>10000</v>
      </c>
      <c r="F1670" s="13" t="s">
        <v>70</v>
      </c>
      <c r="G1670" s="14">
        <v>44727</v>
      </c>
      <c r="H1670" s="13" t="s">
        <v>9</v>
      </c>
    </row>
    <row r="1671" spans="1:8" ht="14.4" x14ac:dyDescent="0.3">
      <c r="A1671" s="8">
        <v>79751721</v>
      </c>
      <c r="B1671" s="11">
        <v>44722</v>
      </c>
      <c r="C1671" s="13" t="s">
        <v>840</v>
      </c>
      <c r="D1671" s="13" t="s">
        <v>2357</v>
      </c>
      <c r="E1671" s="8">
        <v>10000</v>
      </c>
      <c r="F1671" s="13" t="s">
        <v>70</v>
      </c>
      <c r="G1671" s="14">
        <v>44727</v>
      </c>
      <c r="H1671" s="13" t="s">
        <v>9</v>
      </c>
    </row>
    <row r="1672" spans="1:8" ht="14.4" x14ac:dyDescent="0.3">
      <c r="A1672" s="8">
        <v>79751722</v>
      </c>
      <c r="B1672" s="11">
        <v>44722</v>
      </c>
      <c r="C1672" s="13" t="s">
        <v>841</v>
      </c>
      <c r="D1672" s="13" t="s">
        <v>2357</v>
      </c>
      <c r="E1672" s="8">
        <v>10000</v>
      </c>
      <c r="F1672" s="13" t="s">
        <v>70</v>
      </c>
      <c r="G1672" s="14">
        <v>44727</v>
      </c>
      <c r="H1672" s="13" t="s">
        <v>9</v>
      </c>
    </row>
    <row r="1673" spans="1:8" ht="14.4" x14ac:dyDescent="0.3">
      <c r="A1673" s="8">
        <v>79751723</v>
      </c>
      <c r="B1673" s="11">
        <v>44722</v>
      </c>
      <c r="C1673" s="13" t="s">
        <v>2447</v>
      </c>
      <c r="D1673" s="13" t="s">
        <v>2357</v>
      </c>
      <c r="E1673" s="8">
        <v>15000</v>
      </c>
      <c r="F1673" s="13" t="s">
        <v>70</v>
      </c>
      <c r="G1673" s="14">
        <v>44727</v>
      </c>
      <c r="H1673" s="13" t="s">
        <v>9</v>
      </c>
    </row>
    <row r="1674" spans="1:8" ht="14.4" x14ac:dyDescent="0.3">
      <c r="A1674" s="8">
        <v>79751724</v>
      </c>
      <c r="B1674" s="11">
        <v>44722</v>
      </c>
      <c r="C1674" s="13" t="s">
        <v>526</v>
      </c>
      <c r="D1674" s="13" t="s">
        <v>2361</v>
      </c>
      <c r="E1674" s="8">
        <v>3000</v>
      </c>
      <c r="F1674" s="13" t="s">
        <v>70</v>
      </c>
      <c r="G1674" s="14">
        <v>44726</v>
      </c>
      <c r="H1674" s="13" t="s">
        <v>9</v>
      </c>
    </row>
    <row r="1675" spans="1:8" ht="14.4" x14ac:dyDescent="0.3">
      <c r="A1675" s="8">
        <v>79751725</v>
      </c>
      <c r="B1675" s="11">
        <v>44722</v>
      </c>
      <c r="C1675" s="13" t="s">
        <v>2445</v>
      </c>
      <c r="D1675" s="13" t="s">
        <v>2357</v>
      </c>
      <c r="E1675" s="8">
        <v>20000</v>
      </c>
      <c r="F1675" s="13" t="s">
        <v>70</v>
      </c>
      <c r="G1675" s="14">
        <v>44725</v>
      </c>
      <c r="H1675" s="13" t="s">
        <v>9</v>
      </c>
    </row>
    <row r="1676" spans="1:8" ht="14.4" x14ac:dyDescent="0.3">
      <c r="A1676" s="8">
        <v>79751726</v>
      </c>
      <c r="B1676" s="11">
        <v>44722</v>
      </c>
      <c r="C1676" s="13" t="s">
        <v>539</v>
      </c>
      <c r="D1676" s="13" t="s">
        <v>2448</v>
      </c>
      <c r="E1676" s="8">
        <v>6000</v>
      </c>
      <c r="F1676" s="13" t="s">
        <v>70</v>
      </c>
      <c r="G1676" s="14">
        <v>44725</v>
      </c>
      <c r="H1676" s="13" t="s">
        <v>9</v>
      </c>
    </row>
    <row r="1677" spans="1:8" ht="14.4" x14ac:dyDescent="0.3">
      <c r="A1677" s="8">
        <v>79751727</v>
      </c>
      <c r="B1677" s="11">
        <v>44722</v>
      </c>
      <c r="C1677" s="13" t="s">
        <v>541</v>
      </c>
      <c r="D1677" s="13" t="s">
        <v>2448</v>
      </c>
      <c r="E1677" s="8">
        <v>4500</v>
      </c>
      <c r="F1677" s="13" t="s">
        <v>70</v>
      </c>
      <c r="G1677" s="14">
        <v>44725</v>
      </c>
      <c r="H1677" s="13" t="s">
        <v>9</v>
      </c>
    </row>
    <row r="1678" spans="1:8" ht="14.4" x14ac:dyDescent="0.3">
      <c r="A1678" s="8">
        <v>79751728</v>
      </c>
      <c r="B1678" s="11">
        <v>44722</v>
      </c>
      <c r="C1678" s="13" t="s">
        <v>543</v>
      </c>
      <c r="D1678" s="13" t="s">
        <v>2448</v>
      </c>
      <c r="E1678" s="8">
        <v>4500</v>
      </c>
      <c r="F1678" s="13" t="s">
        <v>70</v>
      </c>
      <c r="G1678" s="14">
        <v>44725</v>
      </c>
      <c r="H1678" s="13" t="s">
        <v>9</v>
      </c>
    </row>
    <row r="1679" spans="1:8" ht="14.4" x14ac:dyDescent="0.3">
      <c r="A1679" s="8">
        <v>79751729</v>
      </c>
      <c r="B1679" s="11">
        <v>44722</v>
      </c>
      <c r="C1679" s="13" t="s">
        <v>542</v>
      </c>
      <c r="D1679" s="13" t="s">
        <v>2448</v>
      </c>
      <c r="E1679" s="8">
        <v>4500</v>
      </c>
      <c r="F1679" s="13" t="s">
        <v>70</v>
      </c>
      <c r="G1679" s="14">
        <v>44725</v>
      </c>
      <c r="H1679" s="13" t="s">
        <v>9</v>
      </c>
    </row>
    <row r="1680" spans="1:8" ht="14.4" x14ac:dyDescent="0.3">
      <c r="A1680" s="8">
        <v>79751730</v>
      </c>
      <c r="B1680" s="11">
        <v>44722</v>
      </c>
      <c r="C1680" s="13" t="s">
        <v>544</v>
      </c>
      <c r="D1680" s="13" t="s">
        <v>2448</v>
      </c>
      <c r="E1680" s="8">
        <v>4500</v>
      </c>
      <c r="F1680" s="13" t="s">
        <v>70</v>
      </c>
      <c r="G1680" s="14">
        <v>44725</v>
      </c>
      <c r="H1680" s="13" t="s">
        <v>9</v>
      </c>
    </row>
    <row r="1681" spans="1:8" ht="14.4" x14ac:dyDescent="0.3">
      <c r="A1681" s="8">
        <v>79751731</v>
      </c>
      <c r="B1681" s="11">
        <v>44722</v>
      </c>
      <c r="C1681" s="13" t="s">
        <v>534</v>
      </c>
      <c r="D1681" s="13" t="s">
        <v>2361</v>
      </c>
      <c r="E1681" s="8">
        <v>20000</v>
      </c>
      <c r="F1681" s="13" t="s">
        <v>70</v>
      </c>
      <c r="G1681" s="14">
        <v>44726</v>
      </c>
      <c r="H1681" s="13" t="s">
        <v>9</v>
      </c>
    </row>
    <row r="1682" spans="1:8" ht="14.4" x14ac:dyDescent="0.3">
      <c r="A1682" s="8">
        <v>79751732</v>
      </c>
      <c r="B1682" s="11">
        <v>44722</v>
      </c>
      <c r="C1682" s="13" t="s">
        <v>535</v>
      </c>
      <c r="D1682" s="13" t="s">
        <v>2361</v>
      </c>
      <c r="E1682" s="8">
        <v>10000</v>
      </c>
      <c r="F1682" s="13" t="s">
        <v>70</v>
      </c>
      <c r="G1682" s="14">
        <v>44726</v>
      </c>
      <c r="H1682" s="13" t="s">
        <v>9</v>
      </c>
    </row>
    <row r="1683" spans="1:8" ht="14.4" x14ac:dyDescent="0.3">
      <c r="A1683" s="8">
        <v>79751733</v>
      </c>
      <c r="B1683" s="11">
        <v>44722</v>
      </c>
      <c r="C1683" s="13" t="s">
        <v>536</v>
      </c>
      <c r="D1683" s="13" t="s">
        <v>2361</v>
      </c>
      <c r="E1683" s="8">
        <v>5000</v>
      </c>
      <c r="F1683" s="13" t="s">
        <v>70</v>
      </c>
      <c r="G1683" s="14">
        <v>44726</v>
      </c>
      <c r="H1683" s="13" t="s">
        <v>9</v>
      </c>
    </row>
    <row r="1684" spans="1:8" ht="14.4" x14ac:dyDescent="0.3">
      <c r="A1684" s="8">
        <v>79751734</v>
      </c>
      <c r="B1684" s="11">
        <v>44722</v>
      </c>
      <c r="C1684" s="13" t="s">
        <v>2449</v>
      </c>
      <c r="D1684" s="13" t="s">
        <v>2357</v>
      </c>
      <c r="E1684" s="8">
        <v>10000</v>
      </c>
      <c r="F1684" s="13" t="s">
        <v>70</v>
      </c>
      <c r="G1684" s="14">
        <v>44729</v>
      </c>
      <c r="H1684" s="13" t="s">
        <v>9</v>
      </c>
    </row>
    <row r="1685" spans="1:8" ht="14.4" x14ac:dyDescent="0.3">
      <c r="A1685" s="8">
        <v>79751735</v>
      </c>
      <c r="B1685" s="11">
        <v>44722</v>
      </c>
      <c r="C1685" s="13" t="s">
        <v>398</v>
      </c>
      <c r="D1685" s="13" t="s">
        <v>2357</v>
      </c>
      <c r="E1685" s="8">
        <v>3000</v>
      </c>
      <c r="F1685" s="13" t="s">
        <v>70</v>
      </c>
      <c r="G1685" s="14">
        <v>44729</v>
      </c>
      <c r="H1685" s="13" t="s">
        <v>9</v>
      </c>
    </row>
    <row r="1686" spans="1:8" ht="14.4" x14ac:dyDescent="0.3">
      <c r="A1686" s="8">
        <v>79751736</v>
      </c>
      <c r="B1686" s="11">
        <v>44722</v>
      </c>
      <c r="C1686" s="13" t="s">
        <v>75</v>
      </c>
      <c r="D1686" s="13" t="s">
        <v>2357</v>
      </c>
      <c r="E1686" s="8">
        <v>15000</v>
      </c>
      <c r="F1686" s="13" t="s">
        <v>70</v>
      </c>
      <c r="G1686" s="14">
        <v>44728</v>
      </c>
      <c r="H1686" s="13" t="s">
        <v>9</v>
      </c>
    </row>
    <row r="1687" spans="1:8" ht="14.4" x14ac:dyDescent="0.3">
      <c r="A1687" s="8">
        <v>79751737</v>
      </c>
      <c r="B1687" s="11">
        <v>44722</v>
      </c>
      <c r="C1687" s="13" t="s">
        <v>77</v>
      </c>
      <c r="D1687" s="13" t="s">
        <v>2357</v>
      </c>
      <c r="E1687" s="8">
        <v>10000</v>
      </c>
      <c r="F1687" s="13" t="s">
        <v>70</v>
      </c>
      <c r="G1687" s="14">
        <v>44728</v>
      </c>
      <c r="H1687" s="13" t="s">
        <v>9</v>
      </c>
    </row>
    <row r="1688" spans="1:8" ht="14.4" x14ac:dyDescent="0.3">
      <c r="A1688" s="8">
        <v>79751738</v>
      </c>
      <c r="B1688" s="11">
        <v>44722</v>
      </c>
      <c r="C1688" s="13" t="s">
        <v>78</v>
      </c>
      <c r="D1688" s="13" t="s">
        <v>2357</v>
      </c>
      <c r="E1688" s="8">
        <v>10000</v>
      </c>
      <c r="F1688" s="13" t="s">
        <v>70</v>
      </c>
      <c r="G1688" s="14">
        <v>44728</v>
      </c>
      <c r="H1688" s="13" t="s">
        <v>9</v>
      </c>
    </row>
    <row r="1689" spans="1:8" ht="14.4" x14ac:dyDescent="0.3">
      <c r="A1689" s="8">
        <v>79751740</v>
      </c>
      <c r="B1689" s="11">
        <v>44722</v>
      </c>
      <c r="C1689" s="13" t="s">
        <v>121</v>
      </c>
      <c r="D1689" s="13" t="s">
        <v>2357</v>
      </c>
      <c r="E1689" s="8">
        <v>15000</v>
      </c>
      <c r="F1689" s="13" t="s">
        <v>70</v>
      </c>
      <c r="G1689" s="14">
        <v>44734</v>
      </c>
      <c r="H1689" s="13" t="s">
        <v>9</v>
      </c>
    </row>
    <row r="1690" spans="1:8" ht="14.4" x14ac:dyDescent="0.3">
      <c r="A1690" s="8">
        <v>79751741</v>
      </c>
      <c r="B1690" s="11">
        <v>44722</v>
      </c>
      <c r="C1690" s="13" t="s">
        <v>119</v>
      </c>
      <c r="D1690" s="13" t="s">
        <v>2357</v>
      </c>
      <c r="E1690" s="8">
        <v>15000</v>
      </c>
      <c r="F1690" s="13" t="s">
        <v>70</v>
      </c>
      <c r="G1690" s="14">
        <v>44734</v>
      </c>
      <c r="H1690" s="13" t="s">
        <v>9</v>
      </c>
    </row>
    <row r="1691" spans="1:8" ht="14.4" x14ac:dyDescent="0.3">
      <c r="A1691" s="8">
        <v>79751742</v>
      </c>
      <c r="B1691" s="11">
        <v>44722</v>
      </c>
      <c r="C1691" s="13" t="s">
        <v>118</v>
      </c>
      <c r="D1691" s="13" t="s">
        <v>2357</v>
      </c>
      <c r="E1691" s="8">
        <v>15000</v>
      </c>
      <c r="F1691" s="13" t="s">
        <v>70</v>
      </c>
      <c r="G1691" s="14">
        <v>44733</v>
      </c>
      <c r="H1691" s="13" t="s">
        <v>9</v>
      </c>
    </row>
    <row r="1692" spans="1:8" ht="14.4" x14ac:dyDescent="0.3">
      <c r="A1692" s="8">
        <v>79751744</v>
      </c>
      <c r="B1692" s="11">
        <v>44722</v>
      </c>
      <c r="C1692" s="13" t="s">
        <v>399</v>
      </c>
      <c r="D1692" s="13" t="s">
        <v>2357</v>
      </c>
      <c r="E1692" s="8">
        <v>15000</v>
      </c>
      <c r="F1692" s="13" t="s">
        <v>70</v>
      </c>
      <c r="G1692" s="14">
        <v>44726</v>
      </c>
      <c r="H1692" s="13" t="s">
        <v>9</v>
      </c>
    </row>
    <row r="1693" spans="1:8" ht="14.4" x14ac:dyDescent="0.3">
      <c r="A1693" s="8">
        <v>79751745</v>
      </c>
      <c r="B1693" s="11">
        <v>44722</v>
      </c>
      <c r="C1693" s="13" t="s">
        <v>120</v>
      </c>
      <c r="D1693" s="13" t="s">
        <v>2357</v>
      </c>
      <c r="E1693" s="8">
        <v>15000</v>
      </c>
      <c r="F1693" s="13" t="s">
        <v>70</v>
      </c>
      <c r="G1693" s="14">
        <v>44733</v>
      </c>
      <c r="H1693" s="13" t="s">
        <v>9</v>
      </c>
    </row>
    <row r="1694" spans="1:8" ht="14.4" x14ac:dyDescent="0.3">
      <c r="A1694" s="8">
        <v>79751746</v>
      </c>
      <c r="B1694" s="11">
        <v>44722</v>
      </c>
      <c r="C1694" s="13" t="s">
        <v>295</v>
      </c>
      <c r="D1694" s="13" t="s">
        <v>2357</v>
      </c>
      <c r="E1694" s="8">
        <v>20000</v>
      </c>
      <c r="F1694" s="13" t="s">
        <v>70</v>
      </c>
      <c r="G1694" s="14">
        <v>44726</v>
      </c>
      <c r="H1694" s="13" t="s">
        <v>9</v>
      </c>
    </row>
    <row r="1695" spans="1:8" ht="14.4" x14ac:dyDescent="0.3">
      <c r="A1695" s="8">
        <v>79751747</v>
      </c>
      <c r="B1695" s="11">
        <v>44722</v>
      </c>
      <c r="C1695" s="13" t="s">
        <v>303</v>
      </c>
      <c r="D1695" s="13" t="s">
        <v>2357</v>
      </c>
      <c r="E1695" s="8">
        <v>6000</v>
      </c>
      <c r="F1695" s="13" t="s">
        <v>70</v>
      </c>
      <c r="G1695" s="14">
        <v>44726</v>
      </c>
      <c r="H1695" s="13" t="s">
        <v>9</v>
      </c>
    </row>
    <row r="1696" spans="1:8" ht="14.4" x14ac:dyDescent="0.3">
      <c r="A1696" s="8">
        <v>79751748</v>
      </c>
      <c r="B1696" s="11">
        <v>44722</v>
      </c>
      <c r="C1696" s="13" t="s">
        <v>304</v>
      </c>
      <c r="D1696" s="13" t="s">
        <v>2357</v>
      </c>
      <c r="E1696" s="8">
        <v>5000</v>
      </c>
      <c r="F1696" s="13" t="s">
        <v>70</v>
      </c>
      <c r="G1696" s="14">
        <v>44726</v>
      </c>
      <c r="H1696" s="13" t="s">
        <v>9</v>
      </c>
    </row>
    <row r="1697" spans="1:8" ht="14.4" x14ac:dyDescent="0.3">
      <c r="A1697" s="8">
        <v>79751749</v>
      </c>
      <c r="B1697" s="11">
        <v>44722</v>
      </c>
      <c r="C1697" s="13" t="s">
        <v>305</v>
      </c>
      <c r="D1697" s="13" t="s">
        <v>2357</v>
      </c>
      <c r="E1697" s="8">
        <v>3000</v>
      </c>
      <c r="F1697" s="13" t="s">
        <v>70</v>
      </c>
      <c r="G1697" s="14">
        <v>44726</v>
      </c>
      <c r="H1697" s="13" t="s">
        <v>9</v>
      </c>
    </row>
    <row r="1698" spans="1:8" ht="14.4" x14ac:dyDescent="0.3">
      <c r="A1698" s="8">
        <v>79751750</v>
      </c>
      <c r="B1698" s="11">
        <v>44722</v>
      </c>
      <c r="C1698" s="13" t="s">
        <v>330</v>
      </c>
      <c r="D1698" s="13" t="s">
        <v>2357</v>
      </c>
      <c r="E1698" s="8">
        <v>20000</v>
      </c>
      <c r="F1698" s="13" t="s">
        <v>70</v>
      </c>
      <c r="G1698" s="14">
        <v>44726</v>
      </c>
      <c r="H1698" s="13" t="s">
        <v>9</v>
      </c>
    </row>
    <row r="1699" spans="1:8" ht="14.4" x14ac:dyDescent="0.3">
      <c r="A1699" s="8">
        <v>79751751</v>
      </c>
      <c r="B1699" s="11">
        <v>44722</v>
      </c>
      <c r="C1699" s="13" t="s">
        <v>331</v>
      </c>
      <c r="D1699" s="13" t="s">
        <v>2357</v>
      </c>
      <c r="E1699" s="8">
        <v>10000</v>
      </c>
      <c r="F1699" s="13" t="s">
        <v>70</v>
      </c>
      <c r="G1699" s="14">
        <v>44725</v>
      </c>
      <c r="H1699" s="13" t="s">
        <v>9</v>
      </c>
    </row>
    <row r="1700" spans="1:8" ht="14.4" x14ac:dyDescent="0.3">
      <c r="A1700" s="8">
        <v>79751752</v>
      </c>
      <c r="B1700" s="11">
        <v>44722</v>
      </c>
      <c r="C1700" s="13" t="s">
        <v>332</v>
      </c>
      <c r="D1700" s="13" t="s">
        <v>2357</v>
      </c>
      <c r="E1700" s="8">
        <v>5000</v>
      </c>
      <c r="F1700" s="13" t="s">
        <v>70</v>
      </c>
      <c r="G1700" s="14">
        <v>44725</v>
      </c>
      <c r="H1700" s="13" t="s">
        <v>9</v>
      </c>
    </row>
    <row r="1701" spans="1:8" ht="14.4" x14ac:dyDescent="0.3">
      <c r="A1701" s="8">
        <v>79751753</v>
      </c>
      <c r="B1701" s="11">
        <v>44722</v>
      </c>
      <c r="C1701" s="13" t="s">
        <v>333</v>
      </c>
      <c r="D1701" s="13" t="s">
        <v>2357</v>
      </c>
      <c r="E1701" s="8">
        <v>3000</v>
      </c>
      <c r="F1701" s="13" t="s">
        <v>70</v>
      </c>
      <c r="G1701" s="14">
        <v>44726</v>
      </c>
      <c r="H1701" s="13" t="s">
        <v>9</v>
      </c>
    </row>
    <row r="1702" spans="1:8" ht="14.4" x14ac:dyDescent="0.3">
      <c r="A1702" s="8">
        <v>79751754</v>
      </c>
      <c r="B1702" s="11">
        <v>44722</v>
      </c>
      <c r="C1702" s="13" t="s">
        <v>2450</v>
      </c>
      <c r="D1702" s="13" t="s">
        <v>2451</v>
      </c>
      <c r="E1702" s="8">
        <v>8400</v>
      </c>
      <c r="F1702" s="13" t="s">
        <v>70</v>
      </c>
      <c r="G1702" s="14">
        <v>44729</v>
      </c>
      <c r="H1702" s="13" t="s">
        <v>9</v>
      </c>
    </row>
    <row r="1703" spans="1:8" ht="14.4" x14ac:dyDescent="0.3">
      <c r="A1703" s="8">
        <v>79751755</v>
      </c>
      <c r="B1703" s="11">
        <v>44722</v>
      </c>
      <c r="C1703" s="13" t="s">
        <v>2450</v>
      </c>
      <c r="D1703" s="13" t="s">
        <v>2452</v>
      </c>
      <c r="E1703" s="8">
        <v>453600</v>
      </c>
      <c r="F1703" s="13" t="s">
        <v>70</v>
      </c>
      <c r="G1703" s="14">
        <v>44729</v>
      </c>
      <c r="H1703" s="13" t="s">
        <v>9</v>
      </c>
    </row>
    <row r="1704" spans="1:8" ht="14.4" x14ac:dyDescent="0.3">
      <c r="A1704" s="8">
        <v>79751756</v>
      </c>
      <c r="B1704" s="11">
        <v>44722</v>
      </c>
      <c r="C1704" s="13" t="s">
        <v>2453</v>
      </c>
      <c r="D1704" s="13" t="s">
        <v>2454</v>
      </c>
      <c r="E1704" s="8">
        <v>145000</v>
      </c>
      <c r="F1704" s="13" t="s">
        <v>70</v>
      </c>
      <c r="G1704" s="14">
        <v>44728</v>
      </c>
      <c r="H1704" s="13" t="s">
        <v>9</v>
      </c>
    </row>
    <row r="1705" spans="1:8" ht="14.4" x14ac:dyDescent="0.3">
      <c r="A1705" s="8">
        <v>79751757</v>
      </c>
      <c r="B1705" s="11">
        <v>44722</v>
      </c>
      <c r="C1705" s="13" t="s">
        <v>2455</v>
      </c>
      <c r="D1705" s="13" t="s">
        <v>2413</v>
      </c>
      <c r="E1705" s="8">
        <v>11000</v>
      </c>
      <c r="F1705" s="13" t="s">
        <v>70</v>
      </c>
      <c r="G1705" s="14">
        <v>44736</v>
      </c>
      <c r="H1705" s="13" t="s">
        <v>9</v>
      </c>
    </row>
    <row r="1706" spans="1:8" ht="14.4" x14ac:dyDescent="0.3">
      <c r="A1706" s="8">
        <v>79751758</v>
      </c>
      <c r="B1706" s="11">
        <v>44722</v>
      </c>
      <c r="C1706" s="13" t="s">
        <v>2456</v>
      </c>
      <c r="D1706" s="13" t="s">
        <v>2457</v>
      </c>
      <c r="E1706" s="8">
        <v>5000</v>
      </c>
      <c r="F1706" s="13" t="s">
        <v>70</v>
      </c>
      <c r="G1706" s="14">
        <v>44784</v>
      </c>
      <c r="H1706" s="13" t="s">
        <v>9</v>
      </c>
    </row>
    <row r="1707" spans="1:8" ht="14.4" x14ac:dyDescent="0.3">
      <c r="A1707" s="8">
        <v>79751759</v>
      </c>
      <c r="B1707" s="11">
        <v>44722</v>
      </c>
      <c r="C1707" s="13" t="s">
        <v>2458</v>
      </c>
      <c r="D1707" s="13" t="s">
        <v>2459</v>
      </c>
      <c r="E1707" s="8">
        <v>5000</v>
      </c>
      <c r="F1707" s="13" t="s">
        <v>70</v>
      </c>
      <c r="G1707" s="14">
        <v>44729</v>
      </c>
      <c r="H1707" s="13" t="s">
        <v>9</v>
      </c>
    </row>
    <row r="1708" spans="1:8" ht="14.4" x14ac:dyDescent="0.3">
      <c r="A1708" s="8">
        <v>79751760</v>
      </c>
      <c r="B1708" s="11">
        <v>44722</v>
      </c>
      <c r="C1708" s="13" t="s">
        <v>83</v>
      </c>
      <c r="D1708" s="13"/>
      <c r="E1708" s="8">
        <v>10000</v>
      </c>
      <c r="F1708" s="13" t="s">
        <v>70</v>
      </c>
      <c r="G1708" s="14">
        <v>44728</v>
      </c>
      <c r="H1708" s="13" t="s">
        <v>9</v>
      </c>
    </row>
    <row r="1709" spans="1:8" ht="14.4" x14ac:dyDescent="0.3">
      <c r="A1709" s="8">
        <v>79751761</v>
      </c>
      <c r="B1709" s="11">
        <v>44722</v>
      </c>
      <c r="C1709" s="13" t="s">
        <v>186</v>
      </c>
      <c r="D1709" s="13" t="s">
        <v>2460</v>
      </c>
      <c r="E1709" s="8">
        <v>500</v>
      </c>
      <c r="F1709" s="13" t="s">
        <v>70</v>
      </c>
      <c r="G1709" s="14">
        <v>44732</v>
      </c>
      <c r="H1709" s="13" t="s">
        <v>9</v>
      </c>
    </row>
    <row r="1710" spans="1:8" ht="14.4" x14ac:dyDescent="0.3">
      <c r="A1710" s="8">
        <v>79751762</v>
      </c>
      <c r="B1710" s="11">
        <v>44722</v>
      </c>
      <c r="C1710" s="13" t="s">
        <v>1522</v>
      </c>
      <c r="D1710" s="13" t="s">
        <v>34</v>
      </c>
      <c r="E1710" s="8">
        <v>1299.96</v>
      </c>
      <c r="F1710" s="13" t="s">
        <v>70</v>
      </c>
      <c r="G1710" s="14">
        <v>44726</v>
      </c>
      <c r="H1710" s="13" t="s">
        <v>9</v>
      </c>
    </row>
    <row r="1711" spans="1:8" ht="14.4" x14ac:dyDescent="0.3">
      <c r="A1711" s="8">
        <v>79751763</v>
      </c>
      <c r="B1711" s="11">
        <v>44725</v>
      </c>
      <c r="C1711" s="13" t="s">
        <v>1581</v>
      </c>
      <c r="D1711" s="13" t="s">
        <v>2461</v>
      </c>
      <c r="E1711" s="8">
        <v>4258.93</v>
      </c>
      <c r="F1711" s="13" t="s">
        <v>70</v>
      </c>
      <c r="G1711" s="14">
        <v>44727</v>
      </c>
      <c r="H1711" s="13" t="s">
        <v>9</v>
      </c>
    </row>
    <row r="1712" spans="1:8" ht="14.4" x14ac:dyDescent="0.3">
      <c r="A1712" s="8">
        <v>79751764</v>
      </c>
      <c r="B1712" s="11">
        <v>44725</v>
      </c>
      <c r="C1712" s="13" t="s">
        <v>1743</v>
      </c>
      <c r="D1712" s="13" t="s">
        <v>2462</v>
      </c>
      <c r="E1712" s="8">
        <v>784</v>
      </c>
      <c r="F1712" s="13" t="s">
        <v>70</v>
      </c>
      <c r="G1712" s="14">
        <v>44732</v>
      </c>
      <c r="H1712" s="13" t="s">
        <v>9</v>
      </c>
    </row>
    <row r="1713" spans="1:8" ht="14.4" x14ac:dyDescent="0.3">
      <c r="A1713" s="8">
        <v>79751765</v>
      </c>
      <c r="B1713" s="11">
        <v>44725</v>
      </c>
      <c r="C1713" s="13" t="s">
        <v>1581</v>
      </c>
      <c r="D1713" s="13" t="s">
        <v>2463</v>
      </c>
      <c r="E1713" s="8">
        <v>9937.5</v>
      </c>
      <c r="F1713" s="13" t="s">
        <v>70</v>
      </c>
      <c r="G1713" s="14">
        <v>44727</v>
      </c>
      <c r="H1713" s="13" t="s">
        <v>9</v>
      </c>
    </row>
    <row r="1714" spans="1:8" ht="14.4" x14ac:dyDescent="0.3">
      <c r="A1714" s="8">
        <v>79751768</v>
      </c>
      <c r="B1714" s="11">
        <v>44725</v>
      </c>
      <c r="C1714" s="13" t="s">
        <v>1424</v>
      </c>
      <c r="D1714" s="13" t="s">
        <v>2464</v>
      </c>
      <c r="E1714" s="8">
        <v>41358.93</v>
      </c>
      <c r="F1714" s="13" t="s">
        <v>70</v>
      </c>
      <c r="G1714" s="14">
        <v>44728</v>
      </c>
      <c r="H1714" s="13" t="s">
        <v>9</v>
      </c>
    </row>
    <row r="1715" spans="1:8" ht="14.4" x14ac:dyDescent="0.3">
      <c r="A1715" s="8">
        <v>79751769</v>
      </c>
      <c r="B1715" s="11">
        <v>44725</v>
      </c>
      <c r="C1715" s="13" t="s">
        <v>201</v>
      </c>
      <c r="D1715" s="13" t="s">
        <v>2465</v>
      </c>
      <c r="E1715" s="8">
        <v>3359.76</v>
      </c>
      <c r="F1715" s="13" t="s">
        <v>70</v>
      </c>
      <c r="G1715" s="14">
        <v>44729</v>
      </c>
      <c r="H1715" s="13" t="s">
        <v>9</v>
      </c>
    </row>
    <row r="1716" spans="1:8" ht="14.4" x14ac:dyDescent="0.3">
      <c r="A1716" s="8">
        <v>79751770</v>
      </c>
      <c r="B1716" s="11">
        <v>44725</v>
      </c>
      <c r="C1716" s="13" t="s">
        <v>2466</v>
      </c>
      <c r="D1716" s="13" t="s">
        <v>2467</v>
      </c>
      <c r="E1716" s="8">
        <v>26950</v>
      </c>
      <c r="F1716" s="13" t="s">
        <v>70</v>
      </c>
      <c r="G1716" s="14">
        <v>44729</v>
      </c>
      <c r="H1716" s="13" t="s">
        <v>9</v>
      </c>
    </row>
    <row r="1717" spans="1:8" ht="14.4" x14ac:dyDescent="0.3">
      <c r="A1717" s="8">
        <v>79751771</v>
      </c>
      <c r="B1717" s="11">
        <v>44725</v>
      </c>
      <c r="C1717" s="13" t="s">
        <v>1584</v>
      </c>
      <c r="D1717" s="13" t="s">
        <v>2393</v>
      </c>
      <c r="E1717" s="8">
        <v>4542.8500000000004</v>
      </c>
      <c r="F1717" s="13" t="s">
        <v>70</v>
      </c>
      <c r="G1717" s="14">
        <v>44735</v>
      </c>
      <c r="H1717" s="13" t="s">
        <v>9</v>
      </c>
    </row>
    <row r="1718" spans="1:8" ht="14.4" x14ac:dyDescent="0.3">
      <c r="A1718" s="8">
        <v>79751772</v>
      </c>
      <c r="B1718" s="11">
        <v>44725</v>
      </c>
      <c r="C1718" s="13" t="s">
        <v>1424</v>
      </c>
      <c r="D1718" s="13" t="s">
        <v>2468</v>
      </c>
      <c r="E1718" s="8">
        <v>28771.43</v>
      </c>
      <c r="F1718" s="13" t="s">
        <v>70</v>
      </c>
      <c r="G1718" s="14">
        <v>44738</v>
      </c>
      <c r="H1718" s="13" t="s">
        <v>9</v>
      </c>
    </row>
    <row r="1719" spans="1:8" ht="14.4" x14ac:dyDescent="0.3">
      <c r="A1719" s="8">
        <v>79751773</v>
      </c>
      <c r="B1719" s="11">
        <v>44725</v>
      </c>
      <c r="C1719" s="13" t="s">
        <v>180</v>
      </c>
      <c r="D1719" s="13" t="s">
        <v>901</v>
      </c>
      <c r="E1719" s="8">
        <v>175172.81</v>
      </c>
      <c r="F1719" s="13" t="s">
        <v>70</v>
      </c>
      <c r="G1719" s="14">
        <v>44725</v>
      </c>
      <c r="H1719" s="13" t="s">
        <v>9</v>
      </c>
    </row>
    <row r="1720" spans="1:8" ht="14.4" x14ac:dyDescent="0.3">
      <c r="A1720" s="8">
        <v>79751774</v>
      </c>
      <c r="B1720" s="11">
        <v>44725</v>
      </c>
      <c r="C1720" s="13" t="s">
        <v>1581</v>
      </c>
      <c r="D1720" s="13" t="s">
        <v>2469</v>
      </c>
      <c r="E1720" s="8">
        <v>18928.57</v>
      </c>
      <c r="F1720" s="13" t="s">
        <v>70</v>
      </c>
      <c r="G1720" s="14">
        <v>44727</v>
      </c>
      <c r="H1720" s="13" t="s">
        <v>9</v>
      </c>
    </row>
    <row r="1721" spans="1:8" ht="14.4" x14ac:dyDescent="0.3">
      <c r="A1721" s="8">
        <v>79751775</v>
      </c>
      <c r="B1721" s="11">
        <v>44725</v>
      </c>
      <c r="C1721" s="13" t="s">
        <v>2086</v>
      </c>
      <c r="D1721" s="13" t="s">
        <v>2470</v>
      </c>
      <c r="E1721" s="8">
        <v>8041.08</v>
      </c>
      <c r="F1721" s="13" t="s">
        <v>70</v>
      </c>
      <c r="G1721" s="14">
        <v>44735</v>
      </c>
      <c r="H1721" s="13" t="s">
        <v>9</v>
      </c>
    </row>
    <row r="1722" spans="1:8" ht="14.4" x14ac:dyDescent="0.3">
      <c r="A1722" s="8">
        <v>79751776</v>
      </c>
      <c r="B1722" s="11">
        <v>44725</v>
      </c>
      <c r="C1722" s="13" t="s">
        <v>1524</v>
      </c>
      <c r="D1722" s="13" t="s">
        <v>2471</v>
      </c>
      <c r="E1722" s="8">
        <v>24607.15</v>
      </c>
      <c r="F1722" s="13" t="s">
        <v>70</v>
      </c>
      <c r="G1722" s="14">
        <v>44726</v>
      </c>
      <c r="H1722" s="13" t="s">
        <v>9</v>
      </c>
    </row>
    <row r="1723" spans="1:8" ht="14.4" x14ac:dyDescent="0.3">
      <c r="A1723" s="8">
        <v>79751778</v>
      </c>
      <c r="B1723" s="11">
        <v>44725</v>
      </c>
      <c r="C1723" s="13" t="s">
        <v>265</v>
      </c>
      <c r="D1723" s="13" t="s">
        <v>2472</v>
      </c>
      <c r="E1723" s="8">
        <v>40200</v>
      </c>
      <c r="F1723" s="13" t="s">
        <v>70</v>
      </c>
      <c r="G1723" s="14">
        <v>44726</v>
      </c>
      <c r="H1723" s="13" t="s">
        <v>9</v>
      </c>
    </row>
    <row r="1724" spans="1:8" ht="14.4" x14ac:dyDescent="0.3">
      <c r="A1724" s="8">
        <v>79751779</v>
      </c>
      <c r="B1724" s="11">
        <v>44725</v>
      </c>
      <c r="C1724" s="13" t="s">
        <v>1286</v>
      </c>
      <c r="D1724" s="13" t="s">
        <v>2473</v>
      </c>
      <c r="E1724" s="8">
        <v>13532.39</v>
      </c>
      <c r="F1724" s="13" t="s">
        <v>70</v>
      </c>
      <c r="G1724" s="14">
        <v>44726</v>
      </c>
      <c r="H1724" s="13" t="s">
        <v>9</v>
      </c>
    </row>
    <row r="1725" spans="1:8" ht="14.4" x14ac:dyDescent="0.3">
      <c r="A1725" s="8">
        <v>79751780</v>
      </c>
      <c r="B1725" s="11">
        <v>44725</v>
      </c>
      <c r="C1725" s="13" t="s">
        <v>2474</v>
      </c>
      <c r="D1725" s="13" t="s">
        <v>2475</v>
      </c>
      <c r="E1725" s="8">
        <v>9028.1299999999992</v>
      </c>
      <c r="F1725" s="13" t="s">
        <v>70</v>
      </c>
      <c r="G1725" s="14">
        <v>44729</v>
      </c>
      <c r="H1725" s="13" t="s">
        <v>9</v>
      </c>
    </row>
    <row r="1726" spans="1:8" ht="14.4" x14ac:dyDescent="0.3">
      <c r="A1726" s="8">
        <v>79751781</v>
      </c>
      <c r="B1726" s="11">
        <v>44725</v>
      </c>
      <c r="C1726" s="13" t="s">
        <v>2476</v>
      </c>
      <c r="D1726" s="13" t="s">
        <v>2477</v>
      </c>
      <c r="E1726" s="8">
        <v>5000</v>
      </c>
      <c r="F1726" s="13" t="s">
        <v>70</v>
      </c>
      <c r="G1726" s="14">
        <v>44729</v>
      </c>
      <c r="H1726" s="13" t="s">
        <v>9</v>
      </c>
    </row>
    <row r="1727" spans="1:8" ht="14.4" x14ac:dyDescent="0.3">
      <c r="A1727" s="8">
        <v>79751782</v>
      </c>
      <c r="B1727" s="11">
        <v>44725</v>
      </c>
      <c r="C1727" s="13" t="s">
        <v>2478</v>
      </c>
      <c r="D1727" s="13" t="s">
        <v>2477</v>
      </c>
      <c r="E1727" s="8">
        <v>5000</v>
      </c>
      <c r="F1727" s="13" t="s">
        <v>70</v>
      </c>
      <c r="G1727" s="14">
        <v>44729</v>
      </c>
      <c r="H1727" s="13" t="s">
        <v>9</v>
      </c>
    </row>
    <row r="1728" spans="1:8" ht="14.4" x14ac:dyDescent="0.3">
      <c r="A1728" s="8">
        <v>79751783</v>
      </c>
      <c r="B1728" s="11">
        <v>44725</v>
      </c>
      <c r="C1728" s="13" t="s">
        <v>2479</v>
      </c>
      <c r="D1728" s="13" t="s">
        <v>2477</v>
      </c>
      <c r="E1728" s="8">
        <v>5000</v>
      </c>
      <c r="F1728" s="13" t="s">
        <v>70</v>
      </c>
      <c r="G1728" s="14">
        <v>44729</v>
      </c>
      <c r="H1728" s="13" t="s">
        <v>9</v>
      </c>
    </row>
    <row r="1729" spans="1:8" ht="14.4" x14ac:dyDescent="0.3">
      <c r="A1729" s="8">
        <v>79751784</v>
      </c>
      <c r="B1729" s="11">
        <v>44725</v>
      </c>
      <c r="C1729" s="13" t="s">
        <v>2480</v>
      </c>
      <c r="D1729" s="13" t="s">
        <v>2481</v>
      </c>
      <c r="E1729" s="8">
        <v>89000</v>
      </c>
      <c r="F1729" s="13" t="s">
        <v>70</v>
      </c>
      <c r="G1729" s="14">
        <v>44729</v>
      </c>
      <c r="H1729" s="13" t="s">
        <v>9</v>
      </c>
    </row>
    <row r="1730" spans="1:8" ht="14.4" x14ac:dyDescent="0.3">
      <c r="A1730" s="8">
        <v>79751785</v>
      </c>
      <c r="B1730" s="11">
        <v>44725</v>
      </c>
      <c r="C1730" s="13" t="s">
        <v>1606</v>
      </c>
      <c r="D1730" s="13" t="s">
        <v>2482</v>
      </c>
      <c r="E1730" s="8">
        <v>20000</v>
      </c>
      <c r="F1730" s="13" t="s">
        <v>70</v>
      </c>
      <c r="G1730" s="14">
        <v>44727</v>
      </c>
      <c r="H1730" s="13" t="s">
        <v>9</v>
      </c>
    </row>
    <row r="1731" spans="1:8" ht="14.4" x14ac:dyDescent="0.3">
      <c r="A1731" s="8">
        <v>79751787</v>
      </c>
      <c r="B1731" s="11">
        <v>44725</v>
      </c>
      <c r="C1731" s="13" t="s">
        <v>282</v>
      </c>
      <c r="D1731" s="13" t="s">
        <v>2483</v>
      </c>
      <c r="E1731" s="8">
        <v>20000</v>
      </c>
      <c r="F1731" s="13" t="s">
        <v>70</v>
      </c>
      <c r="G1731" s="14">
        <v>44728</v>
      </c>
      <c r="H1731" s="13" t="s">
        <v>9</v>
      </c>
    </row>
    <row r="1732" spans="1:8" ht="14.4" x14ac:dyDescent="0.3">
      <c r="A1732" s="8">
        <v>79751788</v>
      </c>
      <c r="B1732" s="11">
        <v>44725</v>
      </c>
      <c r="C1732" s="13" t="s">
        <v>155</v>
      </c>
      <c r="D1732" s="13" t="s">
        <v>2484</v>
      </c>
      <c r="E1732" s="8">
        <v>20000</v>
      </c>
      <c r="F1732" s="13" t="s">
        <v>70</v>
      </c>
      <c r="G1732" s="14">
        <v>44728</v>
      </c>
      <c r="H1732" s="13" t="s">
        <v>9</v>
      </c>
    </row>
    <row r="1733" spans="1:8" ht="14.4" x14ac:dyDescent="0.3">
      <c r="A1733" s="8">
        <v>79751789</v>
      </c>
      <c r="B1733" s="11">
        <v>44725</v>
      </c>
      <c r="C1733" s="13" t="s">
        <v>2485</v>
      </c>
      <c r="D1733" s="13" t="s">
        <v>2486</v>
      </c>
      <c r="E1733" s="8">
        <v>4000000</v>
      </c>
      <c r="F1733" s="13" t="s">
        <v>70</v>
      </c>
      <c r="G1733" s="14">
        <v>44725</v>
      </c>
      <c r="H1733" s="13" t="s">
        <v>9</v>
      </c>
    </row>
    <row r="1734" spans="1:8" ht="14.4" x14ac:dyDescent="0.3">
      <c r="A1734" s="8">
        <v>79751790</v>
      </c>
      <c r="B1734" s="11">
        <v>44726</v>
      </c>
      <c r="C1734" s="13" t="s">
        <v>159</v>
      </c>
      <c r="D1734" s="13" t="s">
        <v>2487</v>
      </c>
      <c r="E1734" s="8">
        <v>330500</v>
      </c>
      <c r="F1734" s="13" t="s">
        <v>70</v>
      </c>
      <c r="G1734" s="14">
        <v>44726</v>
      </c>
      <c r="H1734" s="13" t="s">
        <v>9</v>
      </c>
    </row>
    <row r="1735" spans="1:8" ht="14.4" x14ac:dyDescent="0.3">
      <c r="A1735" s="8">
        <v>79751791</v>
      </c>
      <c r="B1735" s="11">
        <v>44726</v>
      </c>
      <c r="C1735" s="13" t="s">
        <v>1507</v>
      </c>
      <c r="D1735" s="13" t="s">
        <v>2488</v>
      </c>
      <c r="E1735" s="8">
        <v>11620.4</v>
      </c>
      <c r="F1735" s="13" t="s">
        <v>70</v>
      </c>
      <c r="G1735" s="14">
        <v>44728</v>
      </c>
      <c r="H1735" s="13" t="s">
        <v>9</v>
      </c>
    </row>
    <row r="1736" spans="1:8" ht="14.4" x14ac:dyDescent="0.3">
      <c r="A1736" s="8">
        <v>79751792</v>
      </c>
      <c r="B1736" s="11">
        <v>44726</v>
      </c>
      <c r="C1736" s="13" t="s">
        <v>1509</v>
      </c>
      <c r="D1736" s="13" t="s">
        <v>2488</v>
      </c>
      <c r="E1736" s="8">
        <v>25021.67</v>
      </c>
      <c r="F1736" s="13" t="s">
        <v>70</v>
      </c>
      <c r="G1736" s="14">
        <v>44728</v>
      </c>
      <c r="H1736" s="13" t="s">
        <v>9</v>
      </c>
    </row>
    <row r="1737" spans="1:8" ht="14.4" x14ac:dyDescent="0.3">
      <c r="A1737" s="8">
        <v>79751793</v>
      </c>
      <c r="B1737" s="11">
        <v>44726</v>
      </c>
      <c r="C1737" s="13" t="s">
        <v>1510</v>
      </c>
      <c r="D1737" s="13" t="s">
        <v>2488</v>
      </c>
      <c r="E1737" s="8">
        <v>5072.54</v>
      </c>
      <c r="F1737" s="13" t="s">
        <v>70</v>
      </c>
      <c r="G1737" s="14">
        <v>44728</v>
      </c>
      <c r="H1737" s="13" t="s">
        <v>9</v>
      </c>
    </row>
    <row r="1738" spans="1:8" ht="14.4" x14ac:dyDescent="0.3">
      <c r="A1738" s="8">
        <v>79751794</v>
      </c>
      <c r="B1738" s="11">
        <v>44726</v>
      </c>
      <c r="C1738" s="13" t="s">
        <v>1511</v>
      </c>
      <c r="D1738" s="13" t="s">
        <v>2488</v>
      </c>
      <c r="E1738" s="8">
        <v>26956</v>
      </c>
      <c r="F1738" s="13" t="s">
        <v>70</v>
      </c>
      <c r="G1738" s="14">
        <v>44733</v>
      </c>
      <c r="H1738" s="13" t="s">
        <v>9</v>
      </c>
    </row>
    <row r="1739" spans="1:8" ht="14.4" x14ac:dyDescent="0.3">
      <c r="A1739" s="8">
        <v>79751795</v>
      </c>
      <c r="B1739" s="11">
        <v>44726</v>
      </c>
      <c r="C1739" s="13" t="s">
        <v>17</v>
      </c>
      <c r="D1739" s="13" t="s">
        <v>2488</v>
      </c>
      <c r="E1739" s="8">
        <v>23898</v>
      </c>
      <c r="F1739" s="13" t="s">
        <v>70</v>
      </c>
      <c r="G1739" s="14">
        <v>44727</v>
      </c>
      <c r="H1739" s="13" t="s">
        <v>9</v>
      </c>
    </row>
    <row r="1740" spans="1:8" ht="14.4" x14ac:dyDescent="0.3">
      <c r="A1740" s="8">
        <v>79751796</v>
      </c>
      <c r="B1740" s="11">
        <v>44726</v>
      </c>
      <c r="C1740" s="13" t="s">
        <v>1513</v>
      </c>
      <c r="D1740" s="13" t="s">
        <v>2488</v>
      </c>
      <c r="E1740" s="8">
        <v>21597.37</v>
      </c>
      <c r="F1740" s="13" t="s">
        <v>70</v>
      </c>
      <c r="G1740" s="14">
        <v>44727</v>
      </c>
      <c r="H1740" s="13" t="s">
        <v>9</v>
      </c>
    </row>
    <row r="1741" spans="1:8" ht="14.4" x14ac:dyDescent="0.3">
      <c r="A1741" s="8">
        <v>79751797</v>
      </c>
      <c r="B1741" s="11">
        <v>44726</v>
      </c>
      <c r="C1741" s="13" t="s">
        <v>1514</v>
      </c>
      <c r="D1741" s="13" t="s">
        <v>2488</v>
      </c>
      <c r="E1741" s="8">
        <v>26022.67</v>
      </c>
      <c r="F1741" s="13" t="s">
        <v>70</v>
      </c>
      <c r="G1741" s="14">
        <v>44727</v>
      </c>
      <c r="H1741" s="13" t="s">
        <v>9</v>
      </c>
    </row>
    <row r="1742" spans="1:8" ht="14.4" x14ac:dyDescent="0.3">
      <c r="A1742" s="8">
        <v>79751798</v>
      </c>
      <c r="B1742" s="11">
        <v>44726</v>
      </c>
      <c r="C1742" s="13" t="s">
        <v>1512</v>
      </c>
      <c r="D1742" s="13" t="s">
        <v>2488</v>
      </c>
      <c r="E1742" s="8">
        <v>19283.46</v>
      </c>
      <c r="F1742" s="13" t="s">
        <v>70</v>
      </c>
      <c r="G1742" s="14">
        <v>44727</v>
      </c>
      <c r="H1742" s="13" t="s">
        <v>9</v>
      </c>
    </row>
    <row r="1743" spans="1:8" ht="14.4" x14ac:dyDescent="0.3">
      <c r="A1743" s="8">
        <v>79751799</v>
      </c>
      <c r="B1743" s="11">
        <v>44726</v>
      </c>
      <c r="C1743" s="13" t="s">
        <v>2489</v>
      </c>
      <c r="D1743" s="13" t="s">
        <v>2488</v>
      </c>
      <c r="E1743" s="8">
        <v>22119.27</v>
      </c>
      <c r="F1743" s="13" t="s">
        <v>70</v>
      </c>
      <c r="G1743" s="14">
        <v>44734</v>
      </c>
      <c r="H1743" s="13" t="s">
        <v>9</v>
      </c>
    </row>
    <row r="1744" spans="1:8" ht="14.4" x14ac:dyDescent="0.3">
      <c r="A1744" s="8">
        <v>79751800</v>
      </c>
      <c r="B1744" s="11">
        <v>44726</v>
      </c>
      <c r="C1744" s="13" t="s">
        <v>87</v>
      </c>
      <c r="D1744" s="13" t="s">
        <v>2490</v>
      </c>
      <c r="E1744" s="8">
        <v>3000</v>
      </c>
      <c r="F1744" s="13" t="s">
        <v>70</v>
      </c>
      <c r="G1744" s="14">
        <v>44736</v>
      </c>
      <c r="H1744" s="13" t="s">
        <v>9</v>
      </c>
    </row>
    <row r="1745" spans="1:8" ht="14.4" x14ac:dyDescent="0.3">
      <c r="A1745" s="8">
        <v>79751801</v>
      </c>
      <c r="B1745" s="11">
        <v>44726</v>
      </c>
      <c r="C1745" s="13" t="s">
        <v>326</v>
      </c>
      <c r="D1745" s="13" t="s">
        <v>2490</v>
      </c>
      <c r="E1745" s="8">
        <v>3000</v>
      </c>
      <c r="F1745" s="13" t="s">
        <v>70</v>
      </c>
      <c r="G1745" s="14">
        <v>44753</v>
      </c>
      <c r="H1745" s="13" t="s">
        <v>9</v>
      </c>
    </row>
    <row r="1746" spans="1:8" ht="14.4" x14ac:dyDescent="0.3">
      <c r="A1746" s="8">
        <v>79751802</v>
      </c>
      <c r="B1746" s="11">
        <v>44726</v>
      </c>
      <c r="C1746" s="13" t="s">
        <v>88</v>
      </c>
      <c r="D1746" s="13" t="s">
        <v>2490</v>
      </c>
      <c r="E1746" s="8">
        <v>3000</v>
      </c>
      <c r="F1746" s="13" t="s">
        <v>70</v>
      </c>
      <c r="G1746" s="14">
        <v>44740</v>
      </c>
      <c r="H1746" s="13" t="s">
        <v>9</v>
      </c>
    </row>
    <row r="1747" spans="1:8" ht="14.4" x14ac:dyDescent="0.3">
      <c r="A1747" s="8">
        <v>79751803</v>
      </c>
      <c r="B1747" s="11">
        <v>44726</v>
      </c>
      <c r="C1747" s="13" t="s">
        <v>91</v>
      </c>
      <c r="D1747" s="13" t="s">
        <v>2490</v>
      </c>
      <c r="E1747" s="8">
        <v>3000</v>
      </c>
      <c r="F1747" s="13" t="s">
        <v>70</v>
      </c>
      <c r="G1747" s="14">
        <v>44736</v>
      </c>
      <c r="H1747" s="13" t="s">
        <v>9</v>
      </c>
    </row>
    <row r="1748" spans="1:8" ht="14.4" x14ac:dyDescent="0.3">
      <c r="A1748" s="8">
        <v>79751804</v>
      </c>
      <c r="B1748" s="11">
        <v>44726</v>
      </c>
      <c r="C1748" s="13" t="s">
        <v>329</v>
      </c>
      <c r="D1748" s="13" t="s">
        <v>2490</v>
      </c>
      <c r="E1748" s="8">
        <v>3000</v>
      </c>
      <c r="F1748" s="13" t="s">
        <v>70</v>
      </c>
      <c r="G1748" s="14">
        <v>44736</v>
      </c>
      <c r="H1748" s="13" t="s">
        <v>9</v>
      </c>
    </row>
    <row r="1749" spans="1:8" ht="14.4" x14ac:dyDescent="0.3">
      <c r="A1749" s="8">
        <v>79751805</v>
      </c>
      <c r="B1749" s="11">
        <v>44726</v>
      </c>
      <c r="C1749" s="13" t="s">
        <v>92</v>
      </c>
      <c r="D1749" s="13" t="s">
        <v>2490</v>
      </c>
      <c r="E1749" s="8">
        <v>3000</v>
      </c>
      <c r="F1749" s="13" t="s">
        <v>70</v>
      </c>
      <c r="G1749" s="14">
        <v>44736</v>
      </c>
      <c r="H1749" s="13" t="s">
        <v>9</v>
      </c>
    </row>
    <row r="1750" spans="1:8" ht="14.4" x14ac:dyDescent="0.3">
      <c r="A1750" s="8">
        <v>79751806</v>
      </c>
      <c r="B1750" s="11">
        <v>44726</v>
      </c>
      <c r="C1750" s="13" t="s">
        <v>2491</v>
      </c>
      <c r="D1750" s="13" t="s">
        <v>2490</v>
      </c>
      <c r="E1750" s="8">
        <v>3000</v>
      </c>
      <c r="F1750" s="13" t="s">
        <v>70</v>
      </c>
      <c r="G1750" s="14">
        <v>44736</v>
      </c>
      <c r="H1750" s="13" t="s">
        <v>9</v>
      </c>
    </row>
    <row r="1751" spans="1:8" ht="14.4" x14ac:dyDescent="0.3">
      <c r="A1751" s="8">
        <v>79751807</v>
      </c>
      <c r="B1751" s="11">
        <v>44726</v>
      </c>
      <c r="C1751" s="13" t="s">
        <v>565</v>
      </c>
      <c r="D1751" s="13" t="s">
        <v>2421</v>
      </c>
      <c r="E1751" s="8">
        <v>6000</v>
      </c>
      <c r="F1751" s="13" t="s">
        <v>70</v>
      </c>
      <c r="G1751" s="14">
        <v>44734</v>
      </c>
      <c r="H1751" s="13" t="s">
        <v>9</v>
      </c>
    </row>
    <row r="1752" spans="1:8" ht="14.4" x14ac:dyDescent="0.3">
      <c r="A1752" s="8">
        <v>79751808</v>
      </c>
      <c r="B1752" s="11">
        <v>44726</v>
      </c>
      <c r="C1752" s="13" t="s">
        <v>300</v>
      </c>
      <c r="D1752" s="13" t="s">
        <v>2421</v>
      </c>
      <c r="E1752" s="8">
        <v>6000</v>
      </c>
      <c r="F1752" s="13" t="s">
        <v>70</v>
      </c>
      <c r="G1752" s="14">
        <v>44727</v>
      </c>
      <c r="H1752" s="13" t="s">
        <v>9</v>
      </c>
    </row>
    <row r="1753" spans="1:8" ht="14.4" x14ac:dyDescent="0.3">
      <c r="A1753" s="8">
        <v>79751809</v>
      </c>
      <c r="B1753" s="11">
        <v>44726</v>
      </c>
      <c r="C1753" s="13" t="s">
        <v>90</v>
      </c>
      <c r="D1753" s="13" t="s">
        <v>2490</v>
      </c>
      <c r="E1753" s="8">
        <v>3000</v>
      </c>
      <c r="F1753" s="13" t="s">
        <v>70</v>
      </c>
      <c r="G1753" s="14">
        <v>44736</v>
      </c>
      <c r="H1753" s="13" t="s">
        <v>9</v>
      </c>
    </row>
    <row r="1754" spans="1:8" ht="14.4" x14ac:dyDescent="0.3">
      <c r="A1754" s="8">
        <v>79751810</v>
      </c>
      <c r="B1754" s="11">
        <v>44726</v>
      </c>
      <c r="C1754" s="13" t="s">
        <v>2425</v>
      </c>
      <c r="D1754" s="13" t="s">
        <v>2492</v>
      </c>
      <c r="E1754" s="8">
        <v>1500</v>
      </c>
      <c r="F1754" s="13" t="s">
        <v>70</v>
      </c>
      <c r="G1754" s="14">
        <v>44732</v>
      </c>
      <c r="H1754" s="13" t="s">
        <v>9</v>
      </c>
    </row>
    <row r="1755" spans="1:8" ht="14.4" x14ac:dyDescent="0.3">
      <c r="A1755" s="8">
        <v>79751811</v>
      </c>
      <c r="B1755" s="11">
        <v>44726</v>
      </c>
      <c r="C1755" s="13" t="s">
        <v>361</v>
      </c>
      <c r="D1755" s="13" t="s">
        <v>2493</v>
      </c>
      <c r="E1755" s="8">
        <v>121829.02</v>
      </c>
      <c r="F1755" s="13" t="s">
        <v>70</v>
      </c>
      <c r="G1755" s="14">
        <v>44727</v>
      </c>
      <c r="H1755" s="13" t="s">
        <v>9</v>
      </c>
    </row>
    <row r="1756" spans="1:8" ht="14.4" x14ac:dyDescent="0.3">
      <c r="A1756" s="8">
        <v>79751812</v>
      </c>
      <c r="B1756" s="11">
        <v>44726</v>
      </c>
      <c r="C1756" s="13" t="s">
        <v>153</v>
      </c>
      <c r="D1756" s="13" t="s">
        <v>2494</v>
      </c>
      <c r="E1756" s="8">
        <v>62394.5</v>
      </c>
      <c r="F1756" s="13" t="s">
        <v>70</v>
      </c>
      <c r="G1756" s="14">
        <v>44728</v>
      </c>
      <c r="H1756" s="13" t="s">
        <v>9</v>
      </c>
    </row>
    <row r="1757" spans="1:8" ht="14.4" x14ac:dyDescent="0.3">
      <c r="A1757" s="8">
        <v>79751814</v>
      </c>
      <c r="B1757" s="11">
        <v>44726</v>
      </c>
      <c r="C1757" s="13" t="s">
        <v>1386</v>
      </c>
      <c r="D1757" s="13" t="s">
        <v>2495</v>
      </c>
      <c r="E1757" s="8">
        <v>20000</v>
      </c>
      <c r="F1757" s="13" t="s">
        <v>70</v>
      </c>
      <c r="G1757" s="14">
        <v>44728</v>
      </c>
      <c r="H1757" s="13" t="s">
        <v>9</v>
      </c>
    </row>
    <row r="1758" spans="1:8" ht="14.4" x14ac:dyDescent="0.3">
      <c r="A1758" s="8">
        <v>79751815</v>
      </c>
      <c r="B1758" s="11">
        <v>44726</v>
      </c>
      <c r="C1758" s="13" t="s">
        <v>1286</v>
      </c>
      <c r="D1758" s="13" t="s">
        <v>2496</v>
      </c>
      <c r="E1758" s="8">
        <v>11350.04</v>
      </c>
      <c r="F1758" s="13" t="s">
        <v>70</v>
      </c>
      <c r="G1758" s="14">
        <v>44728</v>
      </c>
      <c r="H1758" s="13" t="s">
        <v>9</v>
      </c>
    </row>
    <row r="1759" spans="1:8" ht="14.4" x14ac:dyDescent="0.3">
      <c r="A1759" s="8">
        <v>79751816</v>
      </c>
      <c r="B1759" s="11">
        <v>44726</v>
      </c>
      <c r="C1759" s="13" t="s">
        <v>1286</v>
      </c>
      <c r="D1759" s="13" t="s">
        <v>2496</v>
      </c>
      <c r="E1759" s="8">
        <v>3821.2</v>
      </c>
      <c r="F1759" s="13" t="s">
        <v>70</v>
      </c>
      <c r="G1759" s="14">
        <v>44728</v>
      </c>
      <c r="H1759" s="13" t="s">
        <v>9</v>
      </c>
    </row>
    <row r="1760" spans="1:8" ht="14.4" x14ac:dyDescent="0.3">
      <c r="A1760" s="8">
        <v>79751817</v>
      </c>
      <c r="B1760" s="11">
        <v>44726</v>
      </c>
      <c r="C1760" s="13" t="s">
        <v>1286</v>
      </c>
      <c r="D1760" s="13" t="s">
        <v>2496</v>
      </c>
      <c r="E1760" s="8">
        <v>3851.75</v>
      </c>
      <c r="F1760" s="13" t="s">
        <v>70</v>
      </c>
      <c r="G1760" s="14">
        <v>44728</v>
      </c>
      <c r="H1760" s="13" t="s">
        <v>9</v>
      </c>
    </row>
    <row r="1761" spans="1:8" ht="14.4" x14ac:dyDescent="0.3">
      <c r="A1761" s="8">
        <v>79751818</v>
      </c>
      <c r="B1761" s="11">
        <v>44726</v>
      </c>
      <c r="C1761" s="13" t="s">
        <v>1286</v>
      </c>
      <c r="D1761" s="13" t="s">
        <v>2431</v>
      </c>
      <c r="E1761" s="8">
        <v>4490.05</v>
      </c>
      <c r="F1761" s="13" t="s">
        <v>70</v>
      </c>
      <c r="G1761" s="14">
        <v>44728</v>
      </c>
      <c r="H1761" s="13" t="s">
        <v>9</v>
      </c>
    </row>
    <row r="1762" spans="1:8" ht="14.4" x14ac:dyDescent="0.3">
      <c r="A1762" s="8">
        <v>79751819</v>
      </c>
      <c r="B1762" s="11">
        <v>44726</v>
      </c>
      <c r="C1762" s="13" t="s">
        <v>2497</v>
      </c>
      <c r="D1762" s="13" t="s">
        <v>2498</v>
      </c>
      <c r="E1762" s="8">
        <v>15000</v>
      </c>
      <c r="F1762" s="13" t="s">
        <v>70</v>
      </c>
      <c r="G1762" s="14">
        <v>44729</v>
      </c>
      <c r="H1762" s="13" t="s">
        <v>9</v>
      </c>
    </row>
    <row r="1763" spans="1:8" ht="14.4" x14ac:dyDescent="0.3">
      <c r="A1763" s="8">
        <v>79751821</v>
      </c>
      <c r="B1763" s="11">
        <v>44726</v>
      </c>
      <c r="C1763" s="13" t="s">
        <v>1536</v>
      </c>
      <c r="D1763" s="13" t="s">
        <v>2499</v>
      </c>
      <c r="E1763" s="8">
        <v>20000</v>
      </c>
      <c r="F1763" s="13" t="s">
        <v>70</v>
      </c>
      <c r="G1763" s="14">
        <v>44727</v>
      </c>
      <c r="H1763" s="13" t="s">
        <v>9</v>
      </c>
    </row>
    <row r="1764" spans="1:8" ht="14.4" x14ac:dyDescent="0.3">
      <c r="A1764" s="8">
        <v>79751822</v>
      </c>
      <c r="B1764" s="11">
        <v>44726</v>
      </c>
      <c r="C1764" s="13" t="s">
        <v>180</v>
      </c>
      <c r="D1764" s="13" t="s">
        <v>901</v>
      </c>
      <c r="E1764" s="8">
        <v>168759.63</v>
      </c>
      <c r="F1764" s="13" t="s">
        <v>70</v>
      </c>
      <c r="G1764" s="14">
        <v>44726</v>
      </c>
      <c r="H1764" s="13" t="s">
        <v>9</v>
      </c>
    </row>
    <row r="1765" spans="1:8" ht="14.4" x14ac:dyDescent="0.3">
      <c r="A1765" s="8">
        <v>79751823</v>
      </c>
      <c r="B1765" s="11">
        <v>44726</v>
      </c>
      <c r="C1765" s="13" t="s">
        <v>2500</v>
      </c>
      <c r="D1765" s="13" t="s">
        <v>2501</v>
      </c>
      <c r="E1765" s="8">
        <v>10000</v>
      </c>
      <c r="F1765" s="13" t="s">
        <v>70</v>
      </c>
      <c r="G1765" s="14">
        <v>44729</v>
      </c>
      <c r="H1765" s="13" t="s">
        <v>9</v>
      </c>
    </row>
    <row r="1766" spans="1:8" ht="14.4" x14ac:dyDescent="0.3">
      <c r="A1766" s="8">
        <v>79751824</v>
      </c>
      <c r="B1766" s="11">
        <v>44726</v>
      </c>
      <c r="C1766" s="13" t="s">
        <v>2502</v>
      </c>
      <c r="D1766" s="13" t="s">
        <v>2503</v>
      </c>
      <c r="E1766" s="8">
        <v>50000</v>
      </c>
      <c r="F1766" s="13" t="s">
        <v>70</v>
      </c>
      <c r="G1766" s="14">
        <v>44728</v>
      </c>
      <c r="H1766" s="13" t="s">
        <v>9</v>
      </c>
    </row>
    <row r="1767" spans="1:8" ht="14.4" x14ac:dyDescent="0.3">
      <c r="A1767" s="8">
        <v>79751825</v>
      </c>
      <c r="B1767" s="11">
        <v>44726</v>
      </c>
      <c r="C1767" s="13" t="s">
        <v>2504</v>
      </c>
      <c r="D1767" s="13" t="s">
        <v>2505</v>
      </c>
      <c r="E1767" s="8">
        <v>30000</v>
      </c>
      <c r="F1767" s="13" t="s">
        <v>70</v>
      </c>
      <c r="G1767" s="14">
        <v>44728</v>
      </c>
      <c r="H1767" s="13" t="s">
        <v>9</v>
      </c>
    </row>
    <row r="1768" spans="1:8" ht="14.4" x14ac:dyDescent="0.3">
      <c r="A1768" s="8">
        <v>79751826</v>
      </c>
      <c r="B1768" s="11">
        <v>44726</v>
      </c>
      <c r="C1768" s="13" t="s">
        <v>2506</v>
      </c>
      <c r="D1768" s="13" t="s">
        <v>2507</v>
      </c>
      <c r="E1768" s="8">
        <v>18000</v>
      </c>
      <c r="F1768" s="13" t="s">
        <v>70</v>
      </c>
      <c r="G1768" s="14">
        <v>44728</v>
      </c>
      <c r="H1768" s="13" t="s">
        <v>9</v>
      </c>
    </row>
    <row r="1769" spans="1:8" ht="14.4" x14ac:dyDescent="0.3">
      <c r="A1769" s="8">
        <v>79751827</v>
      </c>
      <c r="B1769" s="11">
        <v>44726</v>
      </c>
      <c r="C1769" s="13" t="s">
        <v>2508</v>
      </c>
      <c r="D1769" s="13" t="s">
        <v>2509</v>
      </c>
      <c r="E1769" s="8">
        <v>16000</v>
      </c>
      <c r="F1769" s="13" t="s">
        <v>70</v>
      </c>
      <c r="G1769" s="14">
        <v>44729</v>
      </c>
      <c r="H1769" s="13" t="s">
        <v>9</v>
      </c>
    </row>
    <row r="1770" spans="1:8" ht="14.4" x14ac:dyDescent="0.3">
      <c r="A1770" s="8">
        <v>79751828</v>
      </c>
      <c r="B1770" s="11">
        <v>44726</v>
      </c>
      <c r="C1770" s="13" t="s">
        <v>2510</v>
      </c>
      <c r="D1770" s="13" t="s">
        <v>2511</v>
      </c>
      <c r="E1770" s="8">
        <v>10000</v>
      </c>
      <c r="F1770" s="13" t="s">
        <v>70</v>
      </c>
      <c r="G1770" s="14">
        <v>44747</v>
      </c>
      <c r="H1770" s="13" t="s">
        <v>9</v>
      </c>
    </row>
    <row r="1771" spans="1:8" ht="14.4" x14ac:dyDescent="0.3">
      <c r="A1771" s="8">
        <v>79751829</v>
      </c>
      <c r="B1771" s="11">
        <v>44726</v>
      </c>
      <c r="C1771" s="13" t="s">
        <v>2512</v>
      </c>
      <c r="D1771" s="13" t="s">
        <v>2513</v>
      </c>
      <c r="E1771" s="8">
        <v>50000</v>
      </c>
      <c r="F1771" s="13" t="s">
        <v>70</v>
      </c>
      <c r="G1771" s="14">
        <v>44728</v>
      </c>
      <c r="H1771" s="13" t="s">
        <v>9</v>
      </c>
    </row>
    <row r="1772" spans="1:8" ht="14.4" x14ac:dyDescent="0.3">
      <c r="A1772" s="8">
        <v>79751830</v>
      </c>
      <c r="B1772" s="11">
        <v>44726</v>
      </c>
      <c r="C1772" s="13" t="s">
        <v>2514</v>
      </c>
      <c r="D1772" s="13" t="s">
        <v>2515</v>
      </c>
      <c r="E1772" s="8">
        <v>15000</v>
      </c>
      <c r="F1772" s="13" t="s">
        <v>70</v>
      </c>
      <c r="G1772" s="14">
        <v>44729</v>
      </c>
      <c r="H1772" s="13" t="s">
        <v>9</v>
      </c>
    </row>
    <row r="1773" spans="1:8" ht="14.4" x14ac:dyDescent="0.3">
      <c r="A1773" s="8">
        <v>79751831</v>
      </c>
      <c r="B1773" s="11">
        <v>44726</v>
      </c>
      <c r="C1773" s="13" t="s">
        <v>1033</v>
      </c>
      <c r="D1773" s="13" t="s">
        <v>2516</v>
      </c>
      <c r="E1773" s="8">
        <v>10000</v>
      </c>
      <c r="F1773" s="13" t="s">
        <v>70</v>
      </c>
      <c r="G1773" s="14">
        <v>44732</v>
      </c>
      <c r="H1773" s="13" t="s">
        <v>9</v>
      </c>
    </row>
    <row r="1774" spans="1:8" ht="14.4" x14ac:dyDescent="0.3">
      <c r="A1774" s="8">
        <v>79751832</v>
      </c>
      <c r="B1774" s="11">
        <v>44726</v>
      </c>
      <c r="C1774" s="13" t="s">
        <v>1033</v>
      </c>
      <c r="D1774" s="13" t="s">
        <v>2517</v>
      </c>
      <c r="E1774" s="8">
        <v>10000</v>
      </c>
      <c r="F1774" s="13" t="s">
        <v>70</v>
      </c>
      <c r="G1774" s="14">
        <v>44732</v>
      </c>
      <c r="H1774" s="13" t="s">
        <v>9</v>
      </c>
    </row>
    <row r="1775" spans="1:8" ht="14.4" x14ac:dyDescent="0.3">
      <c r="A1775" s="8">
        <v>79751833</v>
      </c>
      <c r="B1775" s="11">
        <v>44726</v>
      </c>
      <c r="C1775" s="13" t="s">
        <v>1286</v>
      </c>
      <c r="D1775" s="13" t="s">
        <v>2518</v>
      </c>
      <c r="E1775" s="8">
        <v>15893.89</v>
      </c>
      <c r="F1775" s="13" t="s">
        <v>70</v>
      </c>
      <c r="G1775" s="14">
        <v>44728</v>
      </c>
      <c r="H1775" s="13" t="s">
        <v>9</v>
      </c>
    </row>
    <row r="1776" spans="1:8" ht="14.4" x14ac:dyDescent="0.3">
      <c r="A1776" s="8">
        <v>79751834</v>
      </c>
      <c r="B1776" s="11">
        <v>44726</v>
      </c>
      <c r="C1776" s="13" t="s">
        <v>2519</v>
      </c>
      <c r="D1776" s="13" t="s">
        <v>2520</v>
      </c>
      <c r="E1776" s="8">
        <v>655000</v>
      </c>
      <c r="F1776" s="13" t="s">
        <v>70</v>
      </c>
      <c r="G1776" s="14">
        <v>44735</v>
      </c>
      <c r="H1776" s="13" t="s">
        <v>9</v>
      </c>
    </row>
    <row r="1777" spans="1:8" ht="14.4" x14ac:dyDescent="0.3">
      <c r="A1777" s="8">
        <v>79751835</v>
      </c>
      <c r="B1777" s="11">
        <v>44726</v>
      </c>
      <c r="C1777" s="13" t="s">
        <v>117</v>
      </c>
      <c r="D1777" s="13" t="s">
        <v>2186</v>
      </c>
      <c r="E1777" s="8">
        <v>3000</v>
      </c>
      <c r="F1777" s="13" t="s">
        <v>70</v>
      </c>
      <c r="G1777" s="14">
        <v>44742</v>
      </c>
      <c r="H1777" s="13" t="s">
        <v>9</v>
      </c>
    </row>
    <row r="1778" spans="1:8" ht="14.4" x14ac:dyDescent="0.3">
      <c r="A1778" s="8">
        <v>79751836</v>
      </c>
      <c r="B1778" s="11">
        <v>44726</v>
      </c>
      <c r="C1778" s="13" t="s">
        <v>116</v>
      </c>
      <c r="D1778" s="13" t="s">
        <v>2186</v>
      </c>
      <c r="E1778" s="8">
        <v>5000</v>
      </c>
      <c r="F1778" s="13" t="s">
        <v>70</v>
      </c>
      <c r="G1778" s="14">
        <v>44736</v>
      </c>
      <c r="H1778" s="13" t="s">
        <v>9</v>
      </c>
    </row>
    <row r="1779" spans="1:8" ht="14.4" x14ac:dyDescent="0.3">
      <c r="A1779" s="8">
        <v>79751837</v>
      </c>
      <c r="B1779" s="11">
        <v>44726</v>
      </c>
      <c r="C1779" s="13" t="s">
        <v>115</v>
      </c>
      <c r="D1779" s="13" t="s">
        <v>2186</v>
      </c>
      <c r="E1779" s="8">
        <v>5000</v>
      </c>
      <c r="F1779" s="13" t="s">
        <v>70</v>
      </c>
      <c r="G1779" s="14">
        <v>44735</v>
      </c>
      <c r="H1779" s="13" t="s">
        <v>9</v>
      </c>
    </row>
    <row r="1780" spans="1:8" ht="14.4" x14ac:dyDescent="0.3">
      <c r="A1780" s="8">
        <v>79751838</v>
      </c>
      <c r="B1780" s="11">
        <v>44726</v>
      </c>
      <c r="C1780" s="13" t="s">
        <v>114</v>
      </c>
      <c r="D1780" s="13" t="s">
        <v>2521</v>
      </c>
      <c r="E1780" s="8">
        <v>10000</v>
      </c>
      <c r="F1780" s="13" t="s">
        <v>70</v>
      </c>
      <c r="G1780" s="14">
        <v>44736</v>
      </c>
      <c r="H1780" s="13" t="s">
        <v>9</v>
      </c>
    </row>
    <row r="1781" spans="1:8" ht="14.4" x14ac:dyDescent="0.3">
      <c r="A1781" s="8">
        <v>79751839</v>
      </c>
      <c r="B1781" s="11">
        <v>44726</v>
      </c>
      <c r="C1781" s="13" t="s">
        <v>113</v>
      </c>
      <c r="D1781" s="13" t="s">
        <v>2522</v>
      </c>
      <c r="E1781" s="8">
        <v>20000</v>
      </c>
      <c r="F1781" s="13" t="s">
        <v>70</v>
      </c>
      <c r="G1781" s="14">
        <v>44736</v>
      </c>
      <c r="H1781" s="13" t="s">
        <v>9</v>
      </c>
    </row>
    <row r="1782" spans="1:8" ht="14.4" x14ac:dyDescent="0.3">
      <c r="A1782" s="8">
        <v>79751840</v>
      </c>
      <c r="B1782" s="11">
        <v>44726</v>
      </c>
      <c r="C1782" s="13" t="s">
        <v>2425</v>
      </c>
      <c r="D1782" s="13" t="s">
        <v>2523</v>
      </c>
      <c r="E1782" s="8">
        <v>500</v>
      </c>
      <c r="F1782" s="13" t="s">
        <v>70</v>
      </c>
      <c r="G1782" s="14">
        <v>44732</v>
      </c>
      <c r="H1782" s="13" t="s">
        <v>9</v>
      </c>
    </row>
    <row r="1783" spans="1:8" ht="14.4" x14ac:dyDescent="0.3">
      <c r="A1783" s="8">
        <v>79751841</v>
      </c>
      <c r="B1783" s="11">
        <v>44726</v>
      </c>
      <c r="C1783" s="13" t="s">
        <v>275</v>
      </c>
      <c r="D1783" s="13" t="s">
        <v>2524</v>
      </c>
      <c r="E1783" s="8">
        <v>251707.36</v>
      </c>
      <c r="F1783" s="13" t="s">
        <v>70</v>
      </c>
      <c r="G1783" s="14">
        <v>44727</v>
      </c>
      <c r="H1783" s="13" t="s">
        <v>9</v>
      </c>
    </row>
    <row r="1784" spans="1:8" ht="14.4" x14ac:dyDescent="0.3">
      <c r="A1784" s="8">
        <v>79751842</v>
      </c>
      <c r="B1784" s="11">
        <v>44726</v>
      </c>
      <c r="C1784" s="13" t="s">
        <v>1286</v>
      </c>
      <c r="D1784" s="13" t="s">
        <v>2525</v>
      </c>
      <c r="E1784" s="8">
        <v>13154.61</v>
      </c>
      <c r="F1784" s="13" t="s">
        <v>70</v>
      </c>
      <c r="G1784" s="14">
        <v>44728</v>
      </c>
      <c r="H1784" s="13" t="s">
        <v>9</v>
      </c>
    </row>
    <row r="1785" spans="1:8" ht="14.4" x14ac:dyDescent="0.3">
      <c r="A1785" s="8">
        <v>79751843</v>
      </c>
      <c r="B1785" s="11">
        <v>44727</v>
      </c>
      <c r="C1785" s="13" t="s">
        <v>159</v>
      </c>
      <c r="D1785" s="13" t="s">
        <v>2526</v>
      </c>
      <c r="E1785" s="8">
        <v>368400</v>
      </c>
      <c r="F1785" s="13" t="s">
        <v>70</v>
      </c>
      <c r="G1785" s="14">
        <v>44728</v>
      </c>
      <c r="H1785" s="13" t="s">
        <v>9</v>
      </c>
    </row>
    <row r="1786" spans="1:8" ht="14.4" x14ac:dyDescent="0.3">
      <c r="A1786" s="8">
        <v>79751844</v>
      </c>
      <c r="B1786" s="11">
        <v>44727</v>
      </c>
      <c r="C1786" s="13" t="s">
        <v>265</v>
      </c>
      <c r="D1786" s="13" t="s">
        <v>2527</v>
      </c>
      <c r="E1786" s="8">
        <v>61510</v>
      </c>
      <c r="F1786" s="13" t="s">
        <v>70</v>
      </c>
      <c r="G1786" s="14">
        <v>44728</v>
      </c>
      <c r="H1786" s="13" t="s">
        <v>9</v>
      </c>
    </row>
    <row r="1787" spans="1:8" ht="14.4" x14ac:dyDescent="0.3">
      <c r="A1787" s="8">
        <v>79751845</v>
      </c>
      <c r="B1787" s="11">
        <v>44727</v>
      </c>
      <c r="C1787" s="13" t="s">
        <v>265</v>
      </c>
      <c r="D1787" s="13" t="s">
        <v>2528</v>
      </c>
      <c r="E1787" s="8">
        <v>65063</v>
      </c>
      <c r="F1787" s="13" t="s">
        <v>70</v>
      </c>
      <c r="G1787" s="14">
        <v>44728</v>
      </c>
      <c r="H1787" s="13" t="s">
        <v>9</v>
      </c>
    </row>
    <row r="1788" spans="1:8" ht="14.4" x14ac:dyDescent="0.3">
      <c r="A1788" s="8">
        <v>79751846</v>
      </c>
      <c r="B1788" s="11">
        <v>44728</v>
      </c>
      <c r="C1788" s="13" t="s">
        <v>265</v>
      </c>
      <c r="D1788" s="13" t="s">
        <v>2529</v>
      </c>
      <c r="E1788" s="8">
        <v>44356</v>
      </c>
      <c r="F1788" s="13" t="s">
        <v>70</v>
      </c>
      <c r="G1788" s="14">
        <v>44732</v>
      </c>
      <c r="H1788" s="13" t="s">
        <v>9</v>
      </c>
    </row>
    <row r="1789" spans="1:8" ht="14.4" x14ac:dyDescent="0.3">
      <c r="A1789" s="8">
        <v>79751847</v>
      </c>
      <c r="B1789" s="11">
        <v>44728</v>
      </c>
      <c r="C1789" s="13" t="s">
        <v>1286</v>
      </c>
      <c r="D1789" s="13" t="s">
        <v>2473</v>
      </c>
      <c r="E1789" s="8">
        <v>131947.78</v>
      </c>
      <c r="F1789" s="13" t="s">
        <v>70</v>
      </c>
      <c r="G1789" s="14">
        <v>44729</v>
      </c>
      <c r="H1789" s="13" t="s">
        <v>9</v>
      </c>
    </row>
    <row r="1790" spans="1:8" ht="14.4" x14ac:dyDescent="0.3">
      <c r="A1790" s="8">
        <v>79751848</v>
      </c>
      <c r="B1790" s="11">
        <v>44728</v>
      </c>
      <c r="C1790" s="13" t="s">
        <v>2530</v>
      </c>
      <c r="D1790" s="13" t="s">
        <v>2531</v>
      </c>
      <c r="E1790" s="8">
        <v>9790</v>
      </c>
      <c r="F1790" s="13" t="s">
        <v>70</v>
      </c>
      <c r="G1790" s="14">
        <v>44747</v>
      </c>
      <c r="H1790" s="13" t="s">
        <v>9</v>
      </c>
    </row>
    <row r="1791" spans="1:8" ht="14.4" x14ac:dyDescent="0.3">
      <c r="A1791" s="8">
        <v>79751849</v>
      </c>
      <c r="B1791" s="11">
        <v>44728</v>
      </c>
      <c r="C1791" s="13" t="s">
        <v>697</v>
      </c>
      <c r="D1791" s="13" t="s">
        <v>2532</v>
      </c>
      <c r="E1791" s="8">
        <v>1455</v>
      </c>
      <c r="F1791" s="13" t="s">
        <v>70</v>
      </c>
      <c r="G1791" s="14">
        <v>44732</v>
      </c>
      <c r="H1791" s="13" t="s">
        <v>9</v>
      </c>
    </row>
    <row r="1792" spans="1:8" ht="14.4" x14ac:dyDescent="0.3">
      <c r="A1792" s="8">
        <v>79751850</v>
      </c>
      <c r="B1792" s="11">
        <v>44728</v>
      </c>
      <c r="C1792" s="13" t="s">
        <v>44</v>
      </c>
      <c r="D1792" s="13" t="s">
        <v>2533</v>
      </c>
      <c r="E1792" s="8">
        <v>842.95</v>
      </c>
      <c r="F1792" s="13" t="s">
        <v>70</v>
      </c>
      <c r="G1792" s="14">
        <v>44729</v>
      </c>
      <c r="H1792" s="13" t="s">
        <v>9</v>
      </c>
    </row>
    <row r="1793" spans="1:8" ht="14.4" x14ac:dyDescent="0.3">
      <c r="A1793" s="8">
        <v>79751851</v>
      </c>
      <c r="B1793" s="11">
        <v>44728</v>
      </c>
      <c r="C1793" s="13" t="s">
        <v>124</v>
      </c>
      <c r="D1793" s="13" t="s">
        <v>2534</v>
      </c>
      <c r="E1793" s="8">
        <v>303.8</v>
      </c>
      <c r="F1793" s="13" t="s">
        <v>70</v>
      </c>
      <c r="G1793" s="14">
        <v>44742</v>
      </c>
      <c r="H1793" s="13" t="s">
        <v>9</v>
      </c>
    </row>
    <row r="1794" spans="1:8" ht="14.4" x14ac:dyDescent="0.3">
      <c r="A1794" s="8">
        <v>79751852</v>
      </c>
      <c r="B1794" s="11">
        <v>44728</v>
      </c>
      <c r="C1794" s="13" t="s">
        <v>124</v>
      </c>
      <c r="D1794" s="13" t="s">
        <v>2535</v>
      </c>
      <c r="E1794" s="8">
        <v>303.8</v>
      </c>
      <c r="F1794" s="13" t="s">
        <v>70</v>
      </c>
      <c r="G1794" s="14">
        <v>44742</v>
      </c>
      <c r="H1794" s="13" t="s">
        <v>9</v>
      </c>
    </row>
    <row r="1795" spans="1:8" ht="14.4" x14ac:dyDescent="0.3">
      <c r="A1795" s="8">
        <v>79751853</v>
      </c>
      <c r="B1795" s="11">
        <v>44728</v>
      </c>
      <c r="C1795" s="13" t="s">
        <v>748</v>
      </c>
      <c r="D1795" s="13" t="s">
        <v>2536</v>
      </c>
      <c r="E1795" s="8">
        <v>129097.61</v>
      </c>
      <c r="F1795" s="13" t="s">
        <v>70</v>
      </c>
      <c r="G1795" s="14">
        <v>44733</v>
      </c>
      <c r="H1795" s="13" t="s">
        <v>9</v>
      </c>
    </row>
    <row r="1796" spans="1:8" ht="14.4" x14ac:dyDescent="0.3">
      <c r="A1796" s="8">
        <v>79751854</v>
      </c>
      <c r="B1796" s="11">
        <v>44728</v>
      </c>
      <c r="C1796" s="13" t="s">
        <v>44</v>
      </c>
      <c r="D1796" s="13" t="s">
        <v>2537</v>
      </c>
      <c r="E1796" s="8">
        <v>3795.73</v>
      </c>
      <c r="F1796" s="13" t="s">
        <v>70</v>
      </c>
      <c r="G1796" s="14">
        <v>44728</v>
      </c>
      <c r="H1796" s="13" t="s">
        <v>9</v>
      </c>
    </row>
    <row r="1797" spans="1:8" ht="14.4" x14ac:dyDescent="0.3">
      <c r="A1797" s="8">
        <v>79751855</v>
      </c>
      <c r="B1797" s="11">
        <v>44728</v>
      </c>
      <c r="C1797" s="13" t="s">
        <v>990</v>
      </c>
      <c r="D1797" s="13" t="s">
        <v>2538</v>
      </c>
      <c r="E1797" s="8">
        <v>3046.87</v>
      </c>
      <c r="F1797" s="13" t="s">
        <v>70</v>
      </c>
      <c r="G1797" s="14">
        <v>44732</v>
      </c>
      <c r="H1797" s="13" t="s">
        <v>9</v>
      </c>
    </row>
    <row r="1798" spans="1:8" ht="14.4" x14ac:dyDescent="0.3">
      <c r="A1798" s="8">
        <v>79751856</v>
      </c>
      <c r="B1798" s="11">
        <v>44728</v>
      </c>
      <c r="C1798" s="13" t="s">
        <v>502</v>
      </c>
      <c r="D1798" s="13" t="s">
        <v>2539</v>
      </c>
      <c r="E1798" s="8">
        <v>20000</v>
      </c>
      <c r="F1798" s="13" t="s">
        <v>70</v>
      </c>
      <c r="G1798" s="14">
        <v>44729</v>
      </c>
      <c r="H1798" s="13" t="s">
        <v>9</v>
      </c>
    </row>
    <row r="1799" spans="1:8" ht="14.4" x14ac:dyDescent="0.3">
      <c r="A1799" s="8">
        <v>79751857</v>
      </c>
      <c r="B1799" s="11">
        <v>44728</v>
      </c>
      <c r="C1799" s="13" t="s">
        <v>158</v>
      </c>
      <c r="D1799" s="13" t="s">
        <v>2540</v>
      </c>
      <c r="E1799" s="8">
        <v>20000</v>
      </c>
      <c r="F1799" s="13" t="s">
        <v>70</v>
      </c>
      <c r="G1799" s="14">
        <v>44729</v>
      </c>
      <c r="H1799" s="13" t="s">
        <v>9</v>
      </c>
    </row>
    <row r="1800" spans="1:8" ht="14.4" x14ac:dyDescent="0.3">
      <c r="A1800" s="8">
        <v>79751858</v>
      </c>
      <c r="B1800" s="11">
        <v>44728</v>
      </c>
      <c r="C1800" s="13" t="s">
        <v>1668</v>
      </c>
      <c r="D1800" s="13" t="s">
        <v>2541</v>
      </c>
      <c r="E1800" s="8">
        <v>20000</v>
      </c>
      <c r="F1800" s="13" t="s">
        <v>70</v>
      </c>
      <c r="G1800" s="14">
        <v>44728</v>
      </c>
      <c r="H1800" s="13" t="s">
        <v>9</v>
      </c>
    </row>
    <row r="1801" spans="1:8" ht="14.4" x14ac:dyDescent="0.3">
      <c r="A1801" s="8">
        <v>79751859</v>
      </c>
      <c r="B1801" s="11">
        <v>44728</v>
      </c>
      <c r="C1801" s="13" t="s">
        <v>773</v>
      </c>
      <c r="D1801" s="13" t="s">
        <v>2542</v>
      </c>
      <c r="E1801" s="8">
        <v>20000</v>
      </c>
      <c r="F1801" s="13" t="s">
        <v>70</v>
      </c>
      <c r="G1801" s="14">
        <v>44729</v>
      </c>
      <c r="H1801" s="13" t="s">
        <v>9</v>
      </c>
    </row>
    <row r="1802" spans="1:8" ht="14.4" x14ac:dyDescent="0.3">
      <c r="A1802" s="8">
        <v>79751860</v>
      </c>
      <c r="B1802" s="11">
        <v>44728</v>
      </c>
      <c r="C1802" s="13" t="s">
        <v>1286</v>
      </c>
      <c r="D1802" s="13" t="s">
        <v>2543</v>
      </c>
      <c r="E1802" s="8">
        <v>9257.2099999999991</v>
      </c>
      <c r="F1802" s="13" t="s">
        <v>70</v>
      </c>
      <c r="G1802" s="14">
        <v>44729</v>
      </c>
      <c r="H1802" s="13" t="s">
        <v>9</v>
      </c>
    </row>
    <row r="1803" spans="1:8" ht="14.4" x14ac:dyDescent="0.3">
      <c r="A1803" s="8">
        <v>79751861</v>
      </c>
      <c r="B1803" s="11">
        <v>44728</v>
      </c>
      <c r="C1803" s="13" t="s">
        <v>361</v>
      </c>
      <c r="D1803" s="13" t="s">
        <v>2544</v>
      </c>
      <c r="E1803" s="8">
        <v>6298.12</v>
      </c>
      <c r="F1803" s="13" t="s">
        <v>70</v>
      </c>
      <c r="G1803" s="14">
        <v>44732</v>
      </c>
      <c r="H1803" s="13" t="s">
        <v>9</v>
      </c>
    </row>
    <row r="1804" spans="1:8" ht="14.4" x14ac:dyDescent="0.3">
      <c r="A1804" s="8">
        <v>79751862</v>
      </c>
      <c r="B1804" s="11">
        <v>44728</v>
      </c>
      <c r="C1804" s="13" t="s">
        <v>279</v>
      </c>
      <c r="D1804" s="13" t="s">
        <v>2545</v>
      </c>
      <c r="E1804" s="8">
        <v>22230.9</v>
      </c>
      <c r="F1804" s="13" t="s">
        <v>70</v>
      </c>
      <c r="G1804" s="14">
        <v>44739</v>
      </c>
      <c r="H1804" s="13" t="s">
        <v>9</v>
      </c>
    </row>
    <row r="1805" spans="1:8" ht="14.4" x14ac:dyDescent="0.3">
      <c r="A1805" s="8">
        <v>79751863</v>
      </c>
      <c r="B1805" s="11">
        <v>44728</v>
      </c>
      <c r="C1805" s="13" t="s">
        <v>2546</v>
      </c>
      <c r="D1805" s="13" t="s">
        <v>2547</v>
      </c>
      <c r="E1805" s="8">
        <v>7400</v>
      </c>
      <c r="F1805" s="13" t="s">
        <v>70</v>
      </c>
      <c r="G1805" s="14">
        <v>44733</v>
      </c>
      <c r="H1805" s="13" t="s">
        <v>9</v>
      </c>
    </row>
    <row r="1806" spans="1:8" ht="14.4" x14ac:dyDescent="0.3">
      <c r="A1806" s="8">
        <v>79751865</v>
      </c>
      <c r="B1806" s="11">
        <v>44728</v>
      </c>
      <c r="C1806" s="13" t="s">
        <v>2548</v>
      </c>
      <c r="D1806" s="13" t="s">
        <v>2549</v>
      </c>
      <c r="E1806" s="8">
        <v>4602.72</v>
      </c>
      <c r="F1806" s="13" t="s">
        <v>70</v>
      </c>
      <c r="G1806" s="14">
        <v>44729</v>
      </c>
      <c r="H1806" s="13" t="s">
        <v>9</v>
      </c>
    </row>
    <row r="1807" spans="1:8" ht="14.4" x14ac:dyDescent="0.3">
      <c r="A1807" s="8">
        <v>79751866</v>
      </c>
      <c r="B1807" s="11">
        <v>44728</v>
      </c>
      <c r="C1807" s="13" t="s">
        <v>2550</v>
      </c>
      <c r="D1807" s="13" t="s">
        <v>2551</v>
      </c>
      <c r="E1807" s="8">
        <v>20000</v>
      </c>
      <c r="F1807" s="13" t="s">
        <v>70</v>
      </c>
      <c r="G1807" s="14">
        <v>44733</v>
      </c>
      <c r="H1807" s="13" t="s">
        <v>9</v>
      </c>
    </row>
    <row r="1808" spans="1:8" ht="14.4" x14ac:dyDescent="0.3">
      <c r="A1808" s="8">
        <v>79751867</v>
      </c>
      <c r="B1808" s="11">
        <v>44728</v>
      </c>
      <c r="C1808" s="13" t="s">
        <v>2552</v>
      </c>
      <c r="D1808" s="13" t="s">
        <v>2553</v>
      </c>
      <c r="E1808" s="8">
        <v>7000</v>
      </c>
      <c r="F1808" s="13" t="s">
        <v>70</v>
      </c>
      <c r="G1808" s="14">
        <v>44732</v>
      </c>
      <c r="H1808" s="13" t="s">
        <v>9</v>
      </c>
    </row>
    <row r="1809" spans="1:8" ht="14.4" x14ac:dyDescent="0.3">
      <c r="A1809" s="8">
        <v>79751868</v>
      </c>
      <c r="B1809" s="11">
        <v>44728</v>
      </c>
      <c r="C1809" s="13" t="s">
        <v>2554</v>
      </c>
      <c r="D1809" s="13" t="s">
        <v>2555</v>
      </c>
      <c r="E1809" s="8">
        <v>32000</v>
      </c>
      <c r="F1809" s="13" t="s">
        <v>70</v>
      </c>
      <c r="G1809" s="14">
        <v>44733</v>
      </c>
      <c r="H1809" s="13" t="s">
        <v>9</v>
      </c>
    </row>
    <row r="1810" spans="1:8" ht="14.4" x14ac:dyDescent="0.3">
      <c r="A1810" s="8">
        <v>79751869</v>
      </c>
      <c r="B1810" s="11">
        <v>44728</v>
      </c>
      <c r="C1810" s="13" t="s">
        <v>2556</v>
      </c>
      <c r="D1810" s="13" t="s">
        <v>2557</v>
      </c>
      <c r="E1810" s="8">
        <v>15000</v>
      </c>
      <c r="F1810" s="13" t="s">
        <v>70</v>
      </c>
      <c r="G1810" s="14">
        <v>44736</v>
      </c>
      <c r="H1810" s="13" t="s">
        <v>9</v>
      </c>
    </row>
    <row r="1811" spans="1:8" ht="14.4" x14ac:dyDescent="0.3">
      <c r="A1811" s="8">
        <v>79751870</v>
      </c>
      <c r="B1811" s="11">
        <v>44728</v>
      </c>
      <c r="C1811" s="13" t="s">
        <v>2558</v>
      </c>
      <c r="D1811" s="13" t="s">
        <v>2559</v>
      </c>
      <c r="E1811" s="8">
        <v>14000</v>
      </c>
      <c r="F1811" s="13" t="s">
        <v>70</v>
      </c>
      <c r="G1811" s="14">
        <v>44732</v>
      </c>
      <c r="H1811" s="13" t="s">
        <v>9</v>
      </c>
    </row>
    <row r="1812" spans="1:8" ht="14.4" x14ac:dyDescent="0.3">
      <c r="A1812" s="8">
        <v>79751871</v>
      </c>
      <c r="B1812" s="11">
        <v>44728</v>
      </c>
      <c r="C1812" s="13" t="s">
        <v>2560</v>
      </c>
      <c r="D1812" s="13" t="s">
        <v>2561</v>
      </c>
      <c r="E1812" s="8">
        <v>8000</v>
      </c>
      <c r="F1812" s="13" t="s">
        <v>70</v>
      </c>
      <c r="G1812" s="14">
        <v>44733</v>
      </c>
      <c r="H1812" s="13" t="s">
        <v>9</v>
      </c>
    </row>
    <row r="1813" spans="1:8" ht="14.4" x14ac:dyDescent="0.3">
      <c r="A1813" s="8">
        <v>79751872</v>
      </c>
      <c r="B1813" s="11">
        <v>44728</v>
      </c>
      <c r="C1813" s="13" t="s">
        <v>1424</v>
      </c>
      <c r="D1813" s="13" t="s">
        <v>2464</v>
      </c>
      <c r="E1813" s="8">
        <v>70627.240000000005</v>
      </c>
      <c r="F1813" s="13" t="s">
        <v>70</v>
      </c>
      <c r="G1813" s="14">
        <v>44734</v>
      </c>
      <c r="H1813" s="13" t="s">
        <v>9</v>
      </c>
    </row>
    <row r="1814" spans="1:8" ht="14.4" x14ac:dyDescent="0.3">
      <c r="A1814" s="8">
        <v>79751873</v>
      </c>
      <c r="B1814" s="11">
        <v>44728</v>
      </c>
      <c r="C1814" s="13" t="s">
        <v>1424</v>
      </c>
      <c r="D1814" s="13" t="s">
        <v>2562</v>
      </c>
      <c r="E1814" s="8">
        <v>72378.13</v>
      </c>
      <c r="F1814" s="13" t="s">
        <v>70</v>
      </c>
      <c r="G1814" s="14">
        <v>44734</v>
      </c>
      <c r="H1814" s="13" t="s">
        <v>9</v>
      </c>
    </row>
    <row r="1815" spans="1:8" ht="14.4" x14ac:dyDescent="0.3">
      <c r="A1815" s="8">
        <v>79751874</v>
      </c>
      <c r="B1815" s="11">
        <v>44728</v>
      </c>
      <c r="C1815" s="13" t="s">
        <v>1743</v>
      </c>
      <c r="D1815" s="13" t="s">
        <v>2563</v>
      </c>
      <c r="E1815" s="8">
        <v>10780</v>
      </c>
      <c r="F1815" s="13" t="s">
        <v>70</v>
      </c>
      <c r="G1815" s="14">
        <v>44732</v>
      </c>
      <c r="H1815" s="13" t="s">
        <v>9</v>
      </c>
    </row>
    <row r="1816" spans="1:8" ht="14.4" x14ac:dyDescent="0.3">
      <c r="A1816" s="8">
        <v>79751875</v>
      </c>
      <c r="B1816" s="11">
        <v>44728</v>
      </c>
      <c r="C1816" s="13" t="s">
        <v>2564</v>
      </c>
      <c r="D1816" s="13" t="s">
        <v>2565</v>
      </c>
      <c r="E1816" s="8">
        <v>34300</v>
      </c>
      <c r="F1816" s="13" t="s">
        <v>70</v>
      </c>
      <c r="G1816" s="14">
        <v>44733</v>
      </c>
      <c r="H1816" s="13" t="s">
        <v>9</v>
      </c>
    </row>
    <row r="1817" spans="1:8" ht="14.4" x14ac:dyDescent="0.3">
      <c r="A1817" s="8">
        <v>79751876</v>
      </c>
      <c r="B1817" s="11">
        <v>44728</v>
      </c>
      <c r="C1817" s="13" t="s">
        <v>1581</v>
      </c>
      <c r="D1817" s="13" t="s">
        <v>2566</v>
      </c>
      <c r="E1817" s="8">
        <v>17035.72</v>
      </c>
      <c r="F1817" s="13" t="s">
        <v>70</v>
      </c>
      <c r="G1817" s="14">
        <v>44733</v>
      </c>
      <c r="H1817" s="13" t="s">
        <v>9</v>
      </c>
    </row>
    <row r="1818" spans="1:8" ht="14.4" x14ac:dyDescent="0.3">
      <c r="A1818" s="8">
        <v>79751877</v>
      </c>
      <c r="B1818" s="11">
        <v>44728</v>
      </c>
      <c r="C1818" s="13" t="s">
        <v>2567</v>
      </c>
      <c r="D1818" s="13" t="s">
        <v>2568</v>
      </c>
      <c r="E1818" s="8">
        <v>37866.61</v>
      </c>
      <c r="F1818" s="13" t="s">
        <v>70</v>
      </c>
      <c r="G1818" s="14">
        <v>44740</v>
      </c>
      <c r="H1818" s="13" t="s">
        <v>9</v>
      </c>
    </row>
    <row r="1819" spans="1:8" ht="14.4" x14ac:dyDescent="0.3">
      <c r="A1819" s="8">
        <v>79751878</v>
      </c>
      <c r="B1819" s="11">
        <v>44728</v>
      </c>
      <c r="C1819" s="13" t="s">
        <v>202</v>
      </c>
      <c r="D1819" s="13" t="s">
        <v>2569</v>
      </c>
      <c r="E1819" s="8">
        <v>893409.05</v>
      </c>
      <c r="F1819" s="13" t="s">
        <v>70</v>
      </c>
      <c r="G1819" s="14">
        <v>44732</v>
      </c>
      <c r="H1819" s="13" t="s">
        <v>9</v>
      </c>
    </row>
    <row r="1820" spans="1:8" ht="14.4" x14ac:dyDescent="0.3">
      <c r="A1820" s="8">
        <v>79751879</v>
      </c>
      <c r="B1820" s="11">
        <v>44728</v>
      </c>
      <c r="C1820" s="13" t="s">
        <v>202</v>
      </c>
      <c r="D1820" s="13" t="s">
        <v>2570</v>
      </c>
      <c r="E1820" s="8">
        <v>134688.4</v>
      </c>
      <c r="F1820" s="13" t="s">
        <v>70</v>
      </c>
      <c r="G1820" s="14">
        <v>44732</v>
      </c>
      <c r="H1820" s="13" t="s">
        <v>9</v>
      </c>
    </row>
    <row r="1821" spans="1:8" ht="14.4" x14ac:dyDescent="0.3">
      <c r="A1821" s="8">
        <v>79751880</v>
      </c>
      <c r="B1821" s="11">
        <v>44728</v>
      </c>
      <c r="C1821" s="13" t="s">
        <v>2571</v>
      </c>
      <c r="D1821" s="13" t="s">
        <v>2572</v>
      </c>
      <c r="E1821" s="8">
        <v>763472.09</v>
      </c>
      <c r="F1821" s="13" t="s">
        <v>70</v>
      </c>
      <c r="G1821" s="14">
        <v>44729</v>
      </c>
      <c r="H1821" s="13" t="s">
        <v>9</v>
      </c>
    </row>
    <row r="1822" spans="1:8" ht="14.4" x14ac:dyDescent="0.3">
      <c r="A1822" s="8">
        <v>79751881</v>
      </c>
      <c r="B1822" s="11">
        <v>44728</v>
      </c>
      <c r="C1822" s="13" t="s">
        <v>1596</v>
      </c>
      <c r="D1822" s="13" t="s">
        <v>2573</v>
      </c>
      <c r="E1822" s="8">
        <v>588</v>
      </c>
      <c r="F1822" s="13" t="s">
        <v>70</v>
      </c>
      <c r="G1822" s="14">
        <v>44733</v>
      </c>
      <c r="H1822" s="13" t="s">
        <v>9</v>
      </c>
    </row>
    <row r="1823" spans="1:8" ht="14.4" x14ac:dyDescent="0.3">
      <c r="A1823" s="8">
        <v>79751882</v>
      </c>
      <c r="B1823" s="11">
        <v>44728</v>
      </c>
      <c r="C1823" s="13" t="s">
        <v>1596</v>
      </c>
      <c r="D1823" s="13" t="s">
        <v>2574</v>
      </c>
      <c r="E1823" s="8">
        <v>308.7</v>
      </c>
      <c r="F1823" s="13" t="s">
        <v>70</v>
      </c>
      <c r="G1823" s="14">
        <v>44733</v>
      </c>
      <c r="H1823" s="13" t="s">
        <v>9</v>
      </c>
    </row>
    <row r="1824" spans="1:8" ht="14.4" x14ac:dyDescent="0.3">
      <c r="A1824" s="8">
        <v>79751883</v>
      </c>
      <c r="B1824" s="11">
        <v>44728</v>
      </c>
      <c r="C1824" s="13" t="s">
        <v>1784</v>
      </c>
      <c r="D1824" s="13" t="s">
        <v>2575</v>
      </c>
      <c r="E1824" s="8">
        <v>3000</v>
      </c>
      <c r="F1824" s="13" t="s">
        <v>70</v>
      </c>
      <c r="G1824" s="14">
        <v>44734</v>
      </c>
      <c r="H1824" s="13" t="s">
        <v>9</v>
      </c>
    </row>
    <row r="1825" spans="1:8" ht="14.4" x14ac:dyDescent="0.3">
      <c r="A1825" s="8">
        <v>79751884</v>
      </c>
      <c r="B1825" s="11">
        <v>44728</v>
      </c>
      <c r="C1825" s="13" t="s">
        <v>127</v>
      </c>
      <c r="D1825" s="13" t="s">
        <v>2576</v>
      </c>
      <c r="E1825" s="8">
        <v>32027.15</v>
      </c>
      <c r="F1825" s="13" t="s">
        <v>70</v>
      </c>
      <c r="G1825" s="14">
        <v>44729</v>
      </c>
      <c r="H1825" s="13" t="s">
        <v>9</v>
      </c>
    </row>
    <row r="1826" spans="1:8" ht="14.4" x14ac:dyDescent="0.3">
      <c r="A1826" s="8">
        <v>79751885</v>
      </c>
      <c r="B1826" s="11">
        <v>44728</v>
      </c>
      <c r="C1826" s="13" t="s">
        <v>1596</v>
      </c>
      <c r="D1826" s="13" t="s">
        <v>2577</v>
      </c>
      <c r="E1826" s="8">
        <v>588</v>
      </c>
      <c r="F1826" s="13" t="s">
        <v>70</v>
      </c>
      <c r="G1826" s="14">
        <v>44733</v>
      </c>
      <c r="H1826" s="13" t="s">
        <v>9</v>
      </c>
    </row>
    <row r="1827" spans="1:8" ht="14.4" x14ac:dyDescent="0.3">
      <c r="A1827" s="8">
        <v>79751886</v>
      </c>
      <c r="B1827" s="11">
        <v>44728</v>
      </c>
      <c r="C1827" s="13" t="s">
        <v>1784</v>
      </c>
      <c r="D1827" s="13" t="s">
        <v>2578</v>
      </c>
      <c r="E1827" s="8">
        <v>22500</v>
      </c>
      <c r="F1827" s="13" t="s">
        <v>70</v>
      </c>
      <c r="G1827" s="14">
        <v>44734</v>
      </c>
      <c r="H1827" s="13" t="s">
        <v>9</v>
      </c>
    </row>
    <row r="1828" spans="1:8" ht="14.4" x14ac:dyDescent="0.3">
      <c r="A1828" s="8">
        <v>79751887</v>
      </c>
      <c r="B1828" s="11">
        <v>44728</v>
      </c>
      <c r="C1828" s="13" t="s">
        <v>2579</v>
      </c>
      <c r="D1828" s="13" t="s">
        <v>2580</v>
      </c>
      <c r="E1828" s="8">
        <v>940.8</v>
      </c>
      <c r="F1828" s="13" t="s">
        <v>70</v>
      </c>
      <c r="G1828" s="14">
        <v>44736</v>
      </c>
      <c r="H1828" s="13" t="s">
        <v>9</v>
      </c>
    </row>
    <row r="1829" spans="1:8" ht="14.4" x14ac:dyDescent="0.3">
      <c r="A1829" s="8">
        <v>79751888</v>
      </c>
      <c r="B1829" s="11">
        <v>44728</v>
      </c>
      <c r="C1829" s="13" t="s">
        <v>1342</v>
      </c>
      <c r="D1829" s="13" t="s">
        <v>2581</v>
      </c>
      <c r="E1829" s="8">
        <v>12495</v>
      </c>
      <c r="F1829" s="13" t="s">
        <v>70</v>
      </c>
      <c r="G1829" s="14">
        <v>44733</v>
      </c>
      <c r="H1829" s="13" t="s">
        <v>9</v>
      </c>
    </row>
    <row r="1830" spans="1:8" ht="14.4" x14ac:dyDescent="0.3">
      <c r="A1830" s="8">
        <v>79751889</v>
      </c>
      <c r="B1830" s="11">
        <v>44728</v>
      </c>
      <c r="C1830" s="13" t="s">
        <v>245</v>
      </c>
      <c r="D1830" s="13" t="s">
        <v>2582</v>
      </c>
      <c r="E1830" s="8">
        <v>5583.93</v>
      </c>
      <c r="F1830" s="13" t="s">
        <v>70</v>
      </c>
      <c r="G1830" s="14">
        <v>44740</v>
      </c>
      <c r="H1830" s="13" t="s">
        <v>9</v>
      </c>
    </row>
    <row r="1831" spans="1:8" ht="14.4" x14ac:dyDescent="0.3">
      <c r="A1831" s="8">
        <v>79751890</v>
      </c>
      <c r="B1831" s="11">
        <v>44728</v>
      </c>
      <c r="C1831" s="13" t="s">
        <v>2583</v>
      </c>
      <c r="D1831" s="13" t="s">
        <v>2584</v>
      </c>
      <c r="E1831" s="8">
        <v>25287.19</v>
      </c>
      <c r="F1831" s="13" t="s">
        <v>70</v>
      </c>
      <c r="G1831" s="14">
        <v>44750</v>
      </c>
      <c r="H1831" s="13" t="s">
        <v>9</v>
      </c>
    </row>
    <row r="1832" spans="1:8" ht="14.4" x14ac:dyDescent="0.3">
      <c r="A1832" s="8">
        <v>79751891</v>
      </c>
      <c r="B1832" s="11">
        <v>44728</v>
      </c>
      <c r="C1832" s="13" t="s">
        <v>1424</v>
      </c>
      <c r="D1832" s="13" t="s">
        <v>2585</v>
      </c>
      <c r="E1832" s="8">
        <v>8991.07</v>
      </c>
      <c r="F1832" s="13" t="s">
        <v>70</v>
      </c>
      <c r="G1832" s="14">
        <v>44734</v>
      </c>
      <c r="H1832" s="13" t="s">
        <v>9</v>
      </c>
    </row>
    <row r="1833" spans="1:8" ht="14.4" x14ac:dyDescent="0.3">
      <c r="A1833" s="8">
        <v>79751892</v>
      </c>
      <c r="B1833" s="11">
        <v>44728</v>
      </c>
      <c r="C1833" s="13" t="s">
        <v>1745</v>
      </c>
      <c r="D1833" s="13" t="s">
        <v>2586</v>
      </c>
      <c r="E1833" s="8">
        <v>9700</v>
      </c>
      <c r="F1833" s="13" t="s">
        <v>70</v>
      </c>
      <c r="G1833" s="14">
        <v>44733</v>
      </c>
      <c r="H1833" s="13" t="s">
        <v>9</v>
      </c>
    </row>
    <row r="1834" spans="1:8" ht="14.4" x14ac:dyDescent="0.3">
      <c r="A1834" s="8">
        <v>79751893</v>
      </c>
      <c r="B1834" s="11">
        <v>44728</v>
      </c>
      <c r="C1834" s="13" t="s">
        <v>25</v>
      </c>
      <c r="D1834" s="13" t="s">
        <v>2587</v>
      </c>
      <c r="E1834" s="8">
        <v>7382.15</v>
      </c>
      <c r="F1834" s="13" t="s">
        <v>70</v>
      </c>
      <c r="G1834" s="14">
        <v>44732</v>
      </c>
      <c r="H1834" s="13" t="s">
        <v>9</v>
      </c>
    </row>
    <row r="1835" spans="1:8" ht="14.4" x14ac:dyDescent="0.3">
      <c r="A1835" s="8">
        <v>79751894</v>
      </c>
      <c r="B1835" s="11">
        <v>44728</v>
      </c>
      <c r="C1835" s="13" t="s">
        <v>1946</v>
      </c>
      <c r="D1835" s="13" t="s">
        <v>2588</v>
      </c>
      <c r="E1835" s="8">
        <v>946.43</v>
      </c>
      <c r="F1835" s="13" t="s">
        <v>70</v>
      </c>
      <c r="G1835" s="14">
        <v>44735</v>
      </c>
      <c r="H1835" s="13" t="s">
        <v>9</v>
      </c>
    </row>
    <row r="1836" spans="1:8" ht="14.4" x14ac:dyDescent="0.3">
      <c r="A1836" s="8">
        <v>79751895</v>
      </c>
      <c r="B1836" s="11">
        <v>44728</v>
      </c>
      <c r="C1836" s="13" t="s">
        <v>1941</v>
      </c>
      <c r="D1836" s="13" t="s">
        <v>2589</v>
      </c>
      <c r="E1836" s="8">
        <v>27312.23</v>
      </c>
      <c r="F1836" s="13" t="s">
        <v>70</v>
      </c>
      <c r="G1836" s="14">
        <v>44735</v>
      </c>
      <c r="H1836" s="13" t="s">
        <v>9</v>
      </c>
    </row>
    <row r="1837" spans="1:8" ht="14.4" x14ac:dyDescent="0.3">
      <c r="A1837" s="8">
        <v>79751896</v>
      </c>
      <c r="B1837" s="11">
        <v>44728</v>
      </c>
      <c r="C1837" s="13" t="s">
        <v>405</v>
      </c>
      <c r="D1837" s="13" t="s">
        <v>2590</v>
      </c>
      <c r="E1837" s="8">
        <v>30265.22</v>
      </c>
      <c r="F1837" s="13" t="s">
        <v>70</v>
      </c>
      <c r="G1837" s="14">
        <v>44734</v>
      </c>
      <c r="H1837" s="13" t="s">
        <v>9</v>
      </c>
    </row>
    <row r="1838" spans="1:8" ht="14.4" x14ac:dyDescent="0.3">
      <c r="A1838" s="8">
        <v>79751897</v>
      </c>
      <c r="B1838" s="11">
        <v>44728</v>
      </c>
      <c r="C1838" s="13" t="s">
        <v>201</v>
      </c>
      <c r="D1838" s="13" t="s">
        <v>2591</v>
      </c>
      <c r="E1838" s="8">
        <v>17959.900000000001</v>
      </c>
      <c r="F1838" s="13" t="s">
        <v>70</v>
      </c>
      <c r="G1838" s="14">
        <v>44735</v>
      </c>
      <c r="H1838" s="13" t="s">
        <v>9</v>
      </c>
    </row>
    <row r="1839" spans="1:8" ht="14.4" x14ac:dyDescent="0.3">
      <c r="A1839" s="8">
        <v>79751898</v>
      </c>
      <c r="B1839" s="11">
        <v>44728</v>
      </c>
      <c r="C1839" s="13" t="s">
        <v>193</v>
      </c>
      <c r="D1839" s="13" t="s">
        <v>2592</v>
      </c>
      <c r="E1839" s="8">
        <v>11357.15</v>
      </c>
      <c r="F1839" s="13" t="s">
        <v>70</v>
      </c>
      <c r="G1839" s="14">
        <v>44732</v>
      </c>
      <c r="H1839" s="13" t="s">
        <v>9</v>
      </c>
    </row>
    <row r="1840" spans="1:8" ht="14.4" x14ac:dyDescent="0.3">
      <c r="A1840" s="8">
        <v>79751899</v>
      </c>
      <c r="B1840" s="11">
        <v>44728</v>
      </c>
      <c r="C1840" s="13" t="s">
        <v>1522</v>
      </c>
      <c r="D1840" s="13" t="s">
        <v>2593</v>
      </c>
      <c r="E1840" s="8">
        <v>16983.400000000001</v>
      </c>
      <c r="F1840" s="13" t="s">
        <v>70</v>
      </c>
      <c r="G1840" s="14">
        <v>44734</v>
      </c>
      <c r="H1840" s="13" t="s">
        <v>9</v>
      </c>
    </row>
    <row r="1841" spans="1:8" ht="14.4" x14ac:dyDescent="0.3">
      <c r="A1841" s="8">
        <v>79751900</v>
      </c>
      <c r="B1841" s="11">
        <v>44728</v>
      </c>
      <c r="C1841" s="13" t="s">
        <v>1522</v>
      </c>
      <c r="D1841" s="13" t="s">
        <v>2594</v>
      </c>
      <c r="E1841" s="8">
        <v>35017</v>
      </c>
      <c r="F1841" s="13" t="s">
        <v>70</v>
      </c>
      <c r="G1841" s="14">
        <v>44734</v>
      </c>
      <c r="H1841" s="13" t="s">
        <v>9</v>
      </c>
    </row>
    <row r="1842" spans="1:8" ht="14.4" x14ac:dyDescent="0.3">
      <c r="A1842" s="8">
        <v>79751901</v>
      </c>
      <c r="B1842" s="11">
        <v>44728</v>
      </c>
      <c r="C1842" s="13" t="s">
        <v>1745</v>
      </c>
      <c r="D1842" s="13" t="s">
        <v>2595</v>
      </c>
      <c r="E1842" s="8">
        <v>8820</v>
      </c>
      <c r="F1842" s="13" t="s">
        <v>70</v>
      </c>
      <c r="G1842" s="14">
        <v>44733</v>
      </c>
      <c r="H1842" s="13" t="s">
        <v>9</v>
      </c>
    </row>
    <row r="1843" spans="1:8" ht="14.4" x14ac:dyDescent="0.3">
      <c r="A1843" s="8">
        <v>79751902</v>
      </c>
      <c r="B1843" s="11">
        <v>44728</v>
      </c>
      <c r="C1843" s="13" t="s">
        <v>1522</v>
      </c>
      <c r="D1843" s="13" t="s">
        <v>2596</v>
      </c>
      <c r="E1843" s="8">
        <v>3430</v>
      </c>
      <c r="F1843" s="13" t="s">
        <v>70</v>
      </c>
      <c r="G1843" s="14">
        <v>44734</v>
      </c>
      <c r="H1843" s="13" t="s">
        <v>9</v>
      </c>
    </row>
    <row r="1844" spans="1:8" ht="14.4" x14ac:dyDescent="0.3">
      <c r="A1844" s="8">
        <v>79751903</v>
      </c>
      <c r="B1844" s="11">
        <v>44728</v>
      </c>
      <c r="C1844" s="13" t="s">
        <v>193</v>
      </c>
      <c r="D1844" s="13" t="s">
        <v>2597</v>
      </c>
      <c r="E1844" s="8">
        <v>25175</v>
      </c>
      <c r="F1844" s="13" t="s">
        <v>70</v>
      </c>
      <c r="G1844" s="14">
        <v>44732</v>
      </c>
      <c r="H1844" s="13" t="s">
        <v>9</v>
      </c>
    </row>
    <row r="1845" spans="1:8" ht="14.4" x14ac:dyDescent="0.3">
      <c r="A1845" s="8">
        <v>79751904</v>
      </c>
      <c r="B1845" s="11">
        <v>44728</v>
      </c>
      <c r="C1845" s="13" t="s">
        <v>152</v>
      </c>
      <c r="D1845" s="13" t="s">
        <v>2598</v>
      </c>
      <c r="E1845" s="8">
        <v>63055.49</v>
      </c>
      <c r="F1845" s="13" t="s">
        <v>70</v>
      </c>
      <c r="G1845" s="14">
        <v>44732</v>
      </c>
      <c r="H1845" s="13" t="s">
        <v>9</v>
      </c>
    </row>
    <row r="1846" spans="1:8" ht="14.4" x14ac:dyDescent="0.3">
      <c r="A1846" s="8">
        <v>79751905</v>
      </c>
      <c r="B1846" s="11">
        <v>44728</v>
      </c>
      <c r="C1846" s="13" t="s">
        <v>64</v>
      </c>
      <c r="D1846" s="13" t="s">
        <v>2599</v>
      </c>
      <c r="E1846" s="8">
        <v>27783</v>
      </c>
      <c r="F1846" s="13" t="s">
        <v>70</v>
      </c>
      <c r="G1846" s="14">
        <v>44742</v>
      </c>
      <c r="H1846" s="13" t="s">
        <v>9</v>
      </c>
    </row>
    <row r="1847" spans="1:8" ht="14.4" x14ac:dyDescent="0.3">
      <c r="A1847" s="8">
        <v>79751906</v>
      </c>
      <c r="B1847" s="11">
        <v>44728</v>
      </c>
      <c r="C1847" s="13" t="s">
        <v>1342</v>
      </c>
      <c r="D1847" s="13" t="s">
        <v>2600</v>
      </c>
      <c r="E1847" s="8">
        <v>3920</v>
      </c>
      <c r="F1847" s="13" t="s">
        <v>70</v>
      </c>
      <c r="G1847" s="14">
        <v>44733</v>
      </c>
      <c r="H1847" s="13" t="s">
        <v>9</v>
      </c>
    </row>
    <row r="1848" spans="1:8" ht="14.4" x14ac:dyDescent="0.3">
      <c r="A1848" s="8">
        <v>79751907</v>
      </c>
      <c r="B1848" s="11">
        <v>44728</v>
      </c>
      <c r="C1848" s="13" t="s">
        <v>1342</v>
      </c>
      <c r="D1848" s="13" t="s">
        <v>2601</v>
      </c>
      <c r="E1848" s="8">
        <v>5880</v>
      </c>
      <c r="F1848" s="13" t="s">
        <v>70</v>
      </c>
      <c r="G1848" s="14">
        <v>44733</v>
      </c>
      <c r="H1848" s="13" t="s">
        <v>9</v>
      </c>
    </row>
    <row r="1849" spans="1:8" ht="14.4" x14ac:dyDescent="0.3">
      <c r="A1849" s="8">
        <v>79751908</v>
      </c>
      <c r="B1849" s="11">
        <v>44728</v>
      </c>
      <c r="C1849" s="13" t="s">
        <v>1581</v>
      </c>
      <c r="D1849" s="13" t="s">
        <v>2602</v>
      </c>
      <c r="E1849" s="8">
        <v>1703.57</v>
      </c>
      <c r="F1849" s="13" t="s">
        <v>70</v>
      </c>
      <c r="G1849" s="14">
        <v>44733</v>
      </c>
      <c r="H1849" s="13" t="s">
        <v>9</v>
      </c>
    </row>
    <row r="1850" spans="1:8" ht="14.4" x14ac:dyDescent="0.3">
      <c r="A1850" s="8">
        <v>79751909</v>
      </c>
      <c r="B1850" s="11">
        <v>44728</v>
      </c>
      <c r="C1850" s="13" t="s">
        <v>1581</v>
      </c>
      <c r="D1850" s="13" t="s">
        <v>2603</v>
      </c>
      <c r="E1850" s="8">
        <v>3833.04</v>
      </c>
      <c r="F1850" s="13" t="s">
        <v>70</v>
      </c>
      <c r="G1850" s="14">
        <v>44733</v>
      </c>
      <c r="H1850" s="13" t="s">
        <v>9</v>
      </c>
    </row>
    <row r="1851" spans="1:8" ht="14.4" x14ac:dyDescent="0.3">
      <c r="A1851" s="8">
        <v>79751911</v>
      </c>
      <c r="B1851" s="11">
        <v>44728</v>
      </c>
      <c r="C1851" s="13" t="s">
        <v>1941</v>
      </c>
      <c r="D1851" s="13" t="s">
        <v>2604</v>
      </c>
      <c r="E1851" s="8">
        <v>7950</v>
      </c>
      <c r="F1851" s="13" t="s">
        <v>70</v>
      </c>
      <c r="G1851" s="14">
        <v>44735</v>
      </c>
      <c r="H1851" s="13" t="s">
        <v>9</v>
      </c>
    </row>
    <row r="1852" spans="1:8" ht="14.4" x14ac:dyDescent="0.3">
      <c r="A1852" s="8">
        <v>79751912</v>
      </c>
      <c r="B1852" s="11">
        <v>44728</v>
      </c>
      <c r="C1852" s="13" t="s">
        <v>405</v>
      </c>
      <c r="D1852" s="13" t="s">
        <v>2605</v>
      </c>
      <c r="E1852" s="8">
        <v>12242.95</v>
      </c>
      <c r="F1852" s="13" t="s">
        <v>70</v>
      </c>
      <c r="G1852" s="14">
        <v>44734</v>
      </c>
      <c r="H1852" s="13" t="s">
        <v>9</v>
      </c>
    </row>
    <row r="1853" spans="1:8" ht="14.4" x14ac:dyDescent="0.3">
      <c r="A1853" s="8">
        <v>79751913</v>
      </c>
      <c r="B1853" s="11">
        <v>44728</v>
      </c>
      <c r="C1853" s="13" t="s">
        <v>1424</v>
      </c>
      <c r="D1853" s="13" t="s">
        <v>2606</v>
      </c>
      <c r="E1853" s="8">
        <v>1774.55</v>
      </c>
      <c r="F1853" s="13" t="s">
        <v>70</v>
      </c>
      <c r="G1853" s="14">
        <v>44734</v>
      </c>
      <c r="H1853" s="13" t="s">
        <v>9</v>
      </c>
    </row>
    <row r="1854" spans="1:8" ht="14.4" x14ac:dyDescent="0.3">
      <c r="A1854" s="8">
        <v>79751914</v>
      </c>
      <c r="B1854" s="11">
        <v>44728</v>
      </c>
      <c r="C1854" s="13" t="s">
        <v>67</v>
      </c>
      <c r="D1854" s="13" t="s">
        <v>2607</v>
      </c>
      <c r="E1854" s="8">
        <v>2839.28</v>
      </c>
      <c r="F1854" s="13" t="s">
        <v>70</v>
      </c>
      <c r="G1854" s="14">
        <v>44733</v>
      </c>
      <c r="H1854" s="13" t="s">
        <v>9</v>
      </c>
    </row>
    <row r="1855" spans="1:8" ht="14.4" x14ac:dyDescent="0.3">
      <c r="A1855" s="8">
        <v>79751915</v>
      </c>
      <c r="B1855" s="11">
        <v>44728</v>
      </c>
      <c r="C1855" s="13" t="s">
        <v>1424</v>
      </c>
      <c r="D1855" s="13" t="s">
        <v>2608</v>
      </c>
      <c r="E1855" s="8">
        <v>10647.32</v>
      </c>
      <c r="F1855" s="13" t="s">
        <v>70</v>
      </c>
      <c r="G1855" s="14">
        <v>44734</v>
      </c>
      <c r="H1855" s="13" t="s">
        <v>9</v>
      </c>
    </row>
    <row r="1856" spans="1:8" ht="14.4" x14ac:dyDescent="0.3">
      <c r="A1856" s="8">
        <v>79751916</v>
      </c>
      <c r="B1856" s="11">
        <v>44728</v>
      </c>
      <c r="C1856" s="13" t="s">
        <v>1784</v>
      </c>
      <c r="D1856" s="13" t="s">
        <v>2609</v>
      </c>
      <c r="E1856" s="8">
        <v>5740</v>
      </c>
      <c r="F1856" s="13" t="s">
        <v>70</v>
      </c>
      <c r="G1856" s="14">
        <v>44734</v>
      </c>
      <c r="H1856" s="13" t="s">
        <v>9</v>
      </c>
    </row>
    <row r="1857" spans="1:8" ht="14.4" x14ac:dyDescent="0.3">
      <c r="A1857" s="8">
        <v>79751917</v>
      </c>
      <c r="B1857" s="11">
        <v>44728</v>
      </c>
      <c r="C1857" s="13" t="s">
        <v>127</v>
      </c>
      <c r="D1857" s="13" t="s">
        <v>2610</v>
      </c>
      <c r="E1857" s="8">
        <v>29750.98</v>
      </c>
      <c r="F1857" s="13" t="s">
        <v>70</v>
      </c>
      <c r="G1857" s="14">
        <v>44734</v>
      </c>
      <c r="H1857" s="13" t="s">
        <v>9</v>
      </c>
    </row>
    <row r="1858" spans="1:8" ht="14.4" x14ac:dyDescent="0.3">
      <c r="A1858" s="8">
        <v>79751918</v>
      </c>
      <c r="B1858" s="11">
        <v>44728</v>
      </c>
      <c r="C1858" s="13" t="s">
        <v>2611</v>
      </c>
      <c r="D1858" s="13" t="s">
        <v>2612</v>
      </c>
      <c r="E1858" s="8">
        <v>38898.22</v>
      </c>
      <c r="F1858" s="13" t="s">
        <v>70</v>
      </c>
      <c r="G1858" s="14">
        <v>44735</v>
      </c>
      <c r="H1858" s="13" t="s">
        <v>9</v>
      </c>
    </row>
    <row r="1859" spans="1:8" ht="14.4" x14ac:dyDescent="0.3">
      <c r="A1859" s="8">
        <v>79751919</v>
      </c>
      <c r="B1859" s="11">
        <v>44728</v>
      </c>
      <c r="C1859" s="13" t="s">
        <v>405</v>
      </c>
      <c r="D1859" s="13" t="s">
        <v>2613</v>
      </c>
      <c r="E1859" s="8">
        <v>11148.44</v>
      </c>
      <c r="F1859" s="13" t="s">
        <v>70</v>
      </c>
      <c r="G1859" s="14">
        <v>44734</v>
      </c>
      <c r="H1859" s="13" t="s">
        <v>9</v>
      </c>
    </row>
    <row r="1860" spans="1:8" ht="14.4" x14ac:dyDescent="0.3">
      <c r="A1860" s="8">
        <v>79751920</v>
      </c>
      <c r="B1860" s="11">
        <v>44728</v>
      </c>
      <c r="C1860" s="13" t="s">
        <v>1581</v>
      </c>
      <c r="D1860" s="13" t="s">
        <v>2614</v>
      </c>
      <c r="E1860" s="8">
        <v>18928.57</v>
      </c>
      <c r="F1860" s="13" t="s">
        <v>70</v>
      </c>
      <c r="G1860" s="14">
        <v>44733</v>
      </c>
      <c r="H1860" s="13" t="s">
        <v>9</v>
      </c>
    </row>
    <row r="1861" spans="1:8" ht="14.4" x14ac:dyDescent="0.3">
      <c r="A1861" s="8">
        <v>79751921</v>
      </c>
      <c r="B1861" s="11">
        <v>44728</v>
      </c>
      <c r="C1861" s="13" t="s">
        <v>159</v>
      </c>
      <c r="D1861" s="13" t="s">
        <v>2615</v>
      </c>
      <c r="E1861" s="8">
        <v>348900</v>
      </c>
      <c r="F1861" s="13" t="s">
        <v>70</v>
      </c>
      <c r="G1861" s="14">
        <v>44729</v>
      </c>
      <c r="H1861" s="13" t="s">
        <v>9</v>
      </c>
    </row>
    <row r="1862" spans="1:8" ht="14.4" x14ac:dyDescent="0.3">
      <c r="A1862" s="8">
        <v>79751922</v>
      </c>
      <c r="B1862" s="11">
        <v>44728</v>
      </c>
      <c r="C1862" s="13" t="s">
        <v>884</v>
      </c>
      <c r="D1862" s="13" t="s">
        <v>2616</v>
      </c>
      <c r="E1862" s="8">
        <v>566934.1</v>
      </c>
      <c r="F1862" s="13" t="s">
        <v>70</v>
      </c>
      <c r="G1862" s="14">
        <v>44732</v>
      </c>
      <c r="H1862" s="13" t="s">
        <v>9</v>
      </c>
    </row>
    <row r="1863" spans="1:8" ht="14.4" x14ac:dyDescent="0.3">
      <c r="A1863" s="8">
        <v>79751923</v>
      </c>
      <c r="B1863" s="11">
        <v>44728</v>
      </c>
      <c r="C1863" s="13" t="s">
        <v>2617</v>
      </c>
      <c r="D1863" s="13" t="s">
        <v>2618</v>
      </c>
      <c r="E1863" s="8">
        <v>9800</v>
      </c>
      <c r="F1863" s="13" t="s">
        <v>70</v>
      </c>
      <c r="G1863" s="14">
        <v>44732</v>
      </c>
      <c r="H1863" s="13" t="s">
        <v>9</v>
      </c>
    </row>
    <row r="1864" spans="1:8" ht="14.4" x14ac:dyDescent="0.3">
      <c r="A1864" s="8">
        <v>79751924</v>
      </c>
      <c r="B1864" s="11">
        <v>44728</v>
      </c>
      <c r="C1864" s="13" t="s">
        <v>2619</v>
      </c>
      <c r="D1864" s="13" t="s">
        <v>2618</v>
      </c>
      <c r="E1864" s="8">
        <v>9800</v>
      </c>
      <c r="F1864" s="13" t="s">
        <v>70</v>
      </c>
      <c r="G1864" s="14">
        <v>44732</v>
      </c>
      <c r="H1864" s="13" t="s">
        <v>9</v>
      </c>
    </row>
    <row r="1865" spans="1:8" ht="14.4" x14ac:dyDescent="0.3">
      <c r="A1865" s="8">
        <v>79751925</v>
      </c>
      <c r="B1865" s="11">
        <v>44728</v>
      </c>
      <c r="C1865" s="13" t="s">
        <v>189</v>
      </c>
      <c r="D1865" s="13" t="s">
        <v>2620</v>
      </c>
      <c r="E1865" s="8">
        <v>37945.07</v>
      </c>
      <c r="F1865" s="13" t="s">
        <v>70</v>
      </c>
      <c r="G1865" s="14">
        <v>44739</v>
      </c>
      <c r="H1865" s="13" t="s">
        <v>9</v>
      </c>
    </row>
    <row r="1866" spans="1:8" ht="14.4" x14ac:dyDescent="0.3">
      <c r="A1866" s="8">
        <v>79751926</v>
      </c>
      <c r="B1866" s="11">
        <v>44728</v>
      </c>
      <c r="C1866" s="13" t="s">
        <v>265</v>
      </c>
      <c r="D1866" s="13" t="s">
        <v>2621</v>
      </c>
      <c r="E1866" s="8">
        <v>156281.5</v>
      </c>
      <c r="F1866" s="13" t="s">
        <v>70</v>
      </c>
      <c r="G1866" s="14">
        <v>44732</v>
      </c>
      <c r="H1866" s="13" t="s">
        <v>9</v>
      </c>
    </row>
    <row r="1867" spans="1:8" ht="14.4" x14ac:dyDescent="0.3">
      <c r="A1867" s="8">
        <v>79751927</v>
      </c>
      <c r="B1867" s="11">
        <v>44728</v>
      </c>
      <c r="C1867" s="13" t="s">
        <v>395</v>
      </c>
      <c r="D1867" s="13" t="s">
        <v>2622</v>
      </c>
      <c r="E1867" s="8">
        <v>40547</v>
      </c>
      <c r="F1867" s="13" t="s">
        <v>70</v>
      </c>
      <c r="G1867" s="14">
        <v>44733</v>
      </c>
      <c r="H1867" s="13" t="s">
        <v>9</v>
      </c>
    </row>
    <row r="1868" spans="1:8" ht="14.4" x14ac:dyDescent="0.3">
      <c r="A1868" s="8">
        <v>79751928</v>
      </c>
      <c r="B1868" s="11">
        <v>44728</v>
      </c>
      <c r="C1868" s="13" t="s">
        <v>1569</v>
      </c>
      <c r="D1868" s="13" t="s">
        <v>2623</v>
      </c>
      <c r="E1868" s="8">
        <v>86597.88</v>
      </c>
      <c r="F1868" s="13" t="s">
        <v>70</v>
      </c>
      <c r="G1868" s="14">
        <v>44734</v>
      </c>
      <c r="H1868" s="13" t="s">
        <v>9</v>
      </c>
    </row>
    <row r="1869" spans="1:8" ht="14.4" x14ac:dyDescent="0.3">
      <c r="A1869" s="8">
        <v>79751929</v>
      </c>
      <c r="B1869" s="11">
        <v>44729</v>
      </c>
      <c r="C1869" s="13" t="s">
        <v>275</v>
      </c>
      <c r="D1869" s="13" t="s">
        <v>1089</v>
      </c>
      <c r="E1869" s="8">
        <v>266424.75</v>
      </c>
      <c r="F1869" s="13" t="s">
        <v>70</v>
      </c>
      <c r="G1869" s="14">
        <v>44729</v>
      </c>
      <c r="H1869" s="13" t="s">
        <v>9</v>
      </c>
    </row>
    <row r="1870" spans="1:8" ht="14.4" x14ac:dyDescent="0.3">
      <c r="A1870" s="8">
        <v>79751930</v>
      </c>
      <c r="B1870" s="11">
        <v>44729</v>
      </c>
      <c r="C1870" s="13" t="s">
        <v>2624</v>
      </c>
      <c r="D1870" s="13" t="s">
        <v>2625</v>
      </c>
      <c r="E1870" s="8">
        <v>20000000</v>
      </c>
      <c r="F1870" s="13" t="s">
        <v>70</v>
      </c>
      <c r="G1870" s="14">
        <v>44729</v>
      </c>
      <c r="H1870" s="13" t="s">
        <v>9</v>
      </c>
    </row>
    <row r="1871" spans="1:8" ht="14.4" x14ac:dyDescent="0.3">
      <c r="A1871" s="8">
        <v>79751931</v>
      </c>
      <c r="B1871" s="11">
        <v>44729</v>
      </c>
      <c r="C1871" s="13" t="s">
        <v>44</v>
      </c>
      <c r="D1871" s="13" t="s">
        <v>2626</v>
      </c>
      <c r="E1871" s="8">
        <v>20227.52</v>
      </c>
      <c r="F1871" s="13" t="s">
        <v>70</v>
      </c>
      <c r="G1871" s="14">
        <v>44735</v>
      </c>
      <c r="H1871" s="13" t="s">
        <v>9</v>
      </c>
    </row>
    <row r="1872" spans="1:8" ht="14.4" x14ac:dyDescent="0.3">
      <c r="A1872" s="8">
        <v>79751932</v>
      </c>
      <c r="B1872" s="11">
        <v>44729</v>
      </c>
      <c r="C1872" s="13" t="s">
        <v>1592</v>
      </c>
      <c r="D1872" s="13" t="s">
        <v>2627</v>
      </c>
      <c r="E1872" s="8">
        <v>20000</v>
      </c>
      <c r="F1872" s="13" t="s">
        <v>70</v>
      </c>
      <c r="G1872" s="14">
        <v>44732</v>
      </c>
      <c r="H1872" s="13" t="s">
        <v>9</v>
      </c>
    </row>
    <row r="1873" spans="1:8" ht="14.4" x14ac:dyDescent="0.3">
      <c r="A1873" s="8">
        <v>79751933</v>
      </c>
      <c r="B1873" s="11">
        <v>44729</v>
      </c>
      <c r="C1873" s="13" t="s">
        <v>2307</v>
      </c>
      <c r="D1873" s="13" t="s">
        <v>2628</v>
      </c>
      <c r="E1873" s="8">
        <v>20000</v>
      </c>
      <c r="F1873" s="13" t="s">
        <v>70</v>
      </c>
      <c r="G1873" s="14">
        <v>44732</v>
      </c>
      <c r="H1873" s="13" t="s">
        <v>9</v>
      </c>
    </row>
    <row r="1874" spans="1:8" ht="14.4" x14ac:dyDescent="0.3">
      <c r="A1874" s="8">
        <v>79751934</v>
      </c>
      <c r="B1874" s="11">
        <v>44729</v>
      </c>
      <c r="C1874" s="13" t="s">
        <v>775</v>
      </c>
      <c r="D1874" s="13" t="s">
        <v>2629</v>
      </c>
      <c r="E1874" s="8">
        <v>40750</v>
      </c>
      <c r="F1874" s="13" t="s">
        <v>70</v>
      </c>
      <c r="G1874" s="14">
        <v>44732</v>
      </c>
      <c r="H1874" s="13" t="s">
        <v>9</v>
      </c>
    </row>
    <row r="1875" spans="1:8" ht="14.4" x14ac:dyDescent="0.3">
      <c r="A1875" s="8">
        <v>79751935</v>
      </c>
      <c r="B1875" s="11">
        <v>44729</v>
      </c>
      <c r="C1875" s="13" t="s">
        <v>1581</v>
      </c>
      <c r="D1875" s="13" t="s">
        <v>2630</v>
      </c>
      <c r="E1875" s="8">
        <v>30096.43</v>
      </c>
      <c r="F1875" s="13" t="s">
        <v>70</v>
      </c>
      <c r="G1875" s="14">
        <v>44733</v>
      </c>
      <c r="H1875" s="13" t="s">
        <v>9</v>
      </c>
    </row>
    <row r="1876" spans="1:8" ht="14.4" x14ac:dyDescent="0.3">
      <c r="A1876" s="8">
        <v>79751937</v>
      </c>
      <c r="B1876" s="11">
        <v>44729</v>
      </c>
      <c r="C1876" s="13" t="s">
        <v>2631</v>
      </c>
      <c r="D1876" s="13" t="s">
        <v>2632</v>
      </c>
      <c r="E1876" s="8">
        <v>96890.62</v>
      </c>
      <c r="F1876" s="13" t="s">
        <v>70</v>
      </c>
      <c r="G1876" s="14">
        <v>44735</v>
      </c>
      <c r="H1876" s="13" t="s">
        <v>9</v>
      </c>
    </row>
    <row r="1877" spans="1:8" ht="14.4" x14ac:dyDescent="0.3">
      <c r="A1877" s="8">
        <v>79751938</v>
      </c>
      <c r="B1877" s="11">
        <v>44729</v>
      </c>
      <c r="C1877" s="13" t="s">
        <v>64</v>
      </c>
      <c r="D1877" s="13" t="s">
        <v>2633</v>
      </c>
      <c r="E1877" s="8">
        <v>46922.400000000001</v>
      </c>
      <c r="F1877" s="13" t="s">
        <v>70</v>
      </c>
      <c r="G1877" s="14">
        <v>44742</v>
      </c>
      <c r="H1877" s="13" t="s">
        <v>9</v>
      </c>
    </row>
    <row r="1878" spans="1:8" ht="14.4" x14ac:dyDescent="0.3">
      <c r="A1878" s="8">
        <v>79751939</v>
      </c>
      <c r="B1878" s="11">
        <v>44729</v>
      </c>
      <c r="C1878" s="13" t="s">
        <v>1581</v>
      </c>
      <c r="D1878" s="13" t="s">
        <v>2634</v>
      </c>
      <c r="E1878" s="8">
        <v>3549.11</v>
      </c>
      <c r="F1878" s="13" t="s">
        <v>70</v>
      </c>
      <c r="G1878" s="14">
        <v>44733</v>
      </c>
      <c r="H1878" s="13" t="s">
        <v>9</v>
      </c>
    </row>
    <row r="1879" spans="1:8" ht="14.4" x14ac:dyDescent="0.3">
      <c r="A1879" s="8">
        <v>79751940</v>
      </c>
      <c r="B1879" s="11">
        <v>44729</v>
      </c>
      <c r="C1879" s="13" t="s">
        <v>52</v>
      </c>
      <c r="D1879" s="13" t="s">
        <v>2635</v>
      </c>
      <c r="E1879" s="8">
        <v>33566.04</v>
      </c>
      <c r="F1879" s="13" t="s">
        <v>70</v>
      </c>
      <c r="G1879" s="14">
        <v>44734</v>
      </c>
      <c r="H1879" s="13" t="s">
        <v>9</v>
      </c>
    </row>
    <row r="1880" spans="1:8" ht="14.4" x14ac:dyDescent="0.3">
      <c r="A1880" s="8">
        <v>79751941</v>
      </c>
      <c r="B1880" s="11">
        <v>44729</v>
      </c>
      <c r="C1880" s="13" t="s">
        <v>376</v>
      </c>
      <c r="D1880" s="13" t="s">
        <v>2636</v>
      </c>
      <c r="E1880" s="8">
        <v>56105</v>
      </c>
      <c r="F1880" s="13" t="s">
        <v>70</v>
      </c>
      <c r="G1880" s="14">
        <v>44739</v>
      </c>
      <c r="H1880" s="13" t="s">
        <v>9</v>
      </c>
    </row>
    <row r="1881" spans="1:8" ht="14.4" x14ac:dyDescent="0.3">
      <c r="A1881" s="8">
        <v>79751942</v>
      </c>
      <c r="B1881" s="11">
        <v>44729</v>
      </c>
      <c r="C1881" s="13" t="s">
        <v>376</v>
      </c>
      <c r="D1881" s="13" t="s">
        <v>2637</v>
      </c>
      <c r="E1881" s="8">
        <v>69580</v>
      </c>
      <c r="F1881" s="13" t="s">
        <v>70</v>
      </c>
      <c r="G1881" s="14">
        <v>44739</v>
      </c>
      <c r="H1881" s="13" t="s">
        <v>9</v>
      </c>
    </row>
    <row r="1882" spans="1:8" ht="14.4" x14ac:dyDescent="0.3">
      <c r="A1882" s="8">
        <v>79751943</v>
      </c>
      <c r="B1882" s="11">
        <v>44729</v>
      </c>
      <c r="C1882" s="13" t="s">
        <v>52</v>
      </c>
      <c r="D1882" s="13" t="s">
        <v>2638</v>
      </c>
      <c r="E1882" s="8">
        <v>34198.239999999998</v>
      </c>
      <c r="F1882" s="13" t="s">
        <v>70</v>
      </c>
      <c r="G1882" s="14">
        <v>44734</v>
      </c>
      <c r="H1882" s="13" t="s">
        <v>9</v>
      </c>
    </row>
    <row r="1883" spans="1:8" ht="14.4" x14ac:dyDescent="0.3">
      <c r="A1883" s="8">
        <v>79751944</v>
      </c>
      <c r="B1883" s="11">
        <v>44729</v>
      </c>
      <c r="C1883" s="13" t="s">
        <v>52</v>
      </c>
      <c r="D1883" s="13" t="s">
        <v>2639</v>
      </c>
      <c r="E1883" s="8">
        <v>123035.72</v>
      </c>
      <c r="F1883" s="13" t="s">
        <v>70</v>
      </c>
      <c r="G1883" s="14">
        <v>44734</v>
      </c>
      <c r="H1883" s="13" t="s">
        <v>9</v>
      </c>
    </row>
    <row r="1884" spans="1:8" ht="14.4" x14ac:dyDescent="0.3">
      <c r="A1884" s="8">
        <v>79751945</v>
      </c>
      <c r="B1884" s="11">
        <v>44729</v>
      </c>
      <c r="C1884" s="13" t="s">
        <v>374</v>
      </c>
      <c r="D1884" s="13" t="s">
        <v>2640</v>
      </c>
      <c r="E1884" s="8">
        <v>508277</v>
      </c>
      <c r="F1884" s="13" t="s">
        <v>70</v>
      </c>
      <c r="G1884" s="14">
        <v>44739</v>
      </c>
      <c r="H1884" s="13" t="s">
        <v>9</v>
      </c>
    </row>
    <row r="1885" spans="1:8" ht="14.4" x14ac:dyDescent="0.3">
      <c r="A1885" s="8">
        <v>79751946</v>
      </c>
      <c r="B1885" s="11">
        <v>44729</v>
      </c>
      <c r="C1885" s="13" t="s">
        <v>677</v>
      </c>
      <c r="D1885" s="13" t="s">
        <v>2641</v>
      </c>
      <c r="E1885" s="8">
        <v>18500</v>
      </c>
      <c r="F1885" s="13" t="s">
        <v>70</v>
      </c>
      <c r="G1885" s="14">
        <v>44732</v>
      </c>
      <c r="H1885" s="13" t="s">
        <v>9</v>
      </c>
    </row>
    <row r="1886" spans="1:8" ht="14.4" x14ac:dyDescent="0.3">
      <c r="A1886" s="8">
        <v>79751947</v>
      </c>
      <c r="B1886" s="11">
        <v>44729</v>
      </c>
      <c r="C1886" s="13" t="s">
        <v>158</v>
      </c>
      <c r="D1886" s="13" t="s">
        <v>2642</v>
      </c>
      <c r="E1886" s="8">
        <v>92500</v>
      </c>
      <c r="F1886" s="13" t="s">
        <v>70</v>
      </c>
      <c r="G1886" s="14">
        <v>44732</v>
      </c>
      <c r="H1886" s="13" t="s">
        <v>9</v>
      </c>
    </row>
    <row r="1887" spans="1:8" ht="14.4" x14ac:dyDescent="0.3">
      <c r="A1887" s="8">
        <v>79751948</v>
      </c>
      <c r="B1887" s="11">
        <v>44729</v>
      </c>
      <c r="C1887" s="13" t="s">
        <v>773</v>
      </c>
      <c r="D1887" s="13" t="s">
        <v>2643</v>
      </c>
      <c r="E1887" s="8">
        <v>55500</v>
      </c>
      <c r="F1887" s="13" t="s">
        <v>70</v>
      </c>
      <c r="G1887" s="14">
        <v>44738</v>
      </c>
      <c r="H1887" s="13" t="s">
        <v>9</v>
      </c>
    </row>
    <row r="1888" spans="1:8" ht="14.4" x14ac:dyDescent="0.3">
      <c r="A1888" s="8">
        <v>79751949</v>
      </c>
      <c r="B1888" s="11">
        <v>44732</v>
      </c>
      <c r="C1888" s="13" t="s">
        <v>265</v>
      </c>
      <c r="D1888" s="13" t="s">
        <v>2644</v>
      </c>
      <c r="E1888" s="8">
        <v>37350</v>
      </c>
      <c r="F1888" s="13" t="s">
        <v>70</v>
      </c>
      <c r="G1888" s="14">
        <v>44734</v>
      </c>
      <c r="H1888" s="13" t="s">
        <v>9</v>
      </c>
    </row>
    <row r="1889" spans="1:8" ht="14.4" x14ac:dyDescent="0.3">
      <c r="A1889" s="8">
        <v>79751950</v>
      </c>
      <c r="B1889" s="11">
        <v>44732</v>
      </c>
      <c r="C1889" s="13" t="s">
        <v>162</v>
      </c>
      <c r="D1889" s="13" t="s">
        <v>2645</v>
      </c>
      <c r="E1889" s="8">
        <v>34419.760000000002</v>
      </c>
      <c r="F1889" s="13" t="s">
        <v>70</v>
      </c>
      <c r="G1889" s="14">
        <v>44739</v>
      </c>
      <c r="H1889" s="13" t="s">
        <v>9</v>
      </c>
    </row>
    <row r="1890" spans="1:8" ht="14.4" x14ac:dyDescent="0.3">
      <c r="A1890" s="8">
        <v>79751951</v>
      </c>
      <c r="B1890" s="11">
        <v>44732</v>
      </c>
      <c r="C1890" s="13" t="s">
        <v>44</v>
      </c>
      <c r="D1890" s="13" t="s">
        <v>2646</v>
      </c>
      <c r="E1890" s="8">
        <v>36562.5</v>
      </c>
      <c r="F1890" s="13" t="s">
        <v>70</v>
      </c>
      <c r="G1890" s="14">
        <v>44735</v>
      </c>
      <c r="H1890" s="13" t="s">
        <v>9</v>
      </c>
    </row>
    <row r="1891" spans="1:8" ht="14.4" x14ac:dyDescent="0.3">
      <c r="A1891" s="8">
        <v>79751952</v>
      </c>
      <c r="B1891" s="11">
        <v>44732</v>
      </c>
      <c r="C1891" s="13" t="s">
        <v>44</v>
      </c>
      <c r="D1891" s="13" t="s">
        <v>2647</v>
      </c>
      <c r="E1891" s="8">
        <v>3031.88</v>
      </c>
      <c r="F1891" s="13" t="s">
        <v>70</v>
      </c>
      <c r="G1891" s="14">
        <v>44735</v>
      </c>
      <c r="H1891" s="13" t="s">
        <v>9</v>
      </c>
    </row>
    <row r="1892" spans="1:8" ht="14.4" x14ac:dyDescent="0.3">
      <c r="A1892" s="8">
        <v>79751953</v>
      </c>
      <c r="B1892" s="11">
        <v>44732</v>
      </c>
      <c r="C1892" s="13" t="s">
        <v>1716</v>
      </c>
      <c r="D1892" s="13" t="s">
        <v>2648</v>
      </c>
      <c r="E1892" s="8">
        <v>25578</v>
      </c>
      <c r="F1892" s="13" t="s">
        <v>70</v>
      </c>
      <c r="G1892" s="14">
        <v>44735</v>
      </c>
      <c r="H1892" s="13" t="s">
        <v>9</v>
      </c>
    </row>
    <row r="1893" spans="1:8" ht="14.4" x14ac:dyDescent="0.3">
      <c r="A1893" s="8">
        <v>79751954</v>
      </c>
      <c r="B1893" s="11">
        <v>44732</v>
      </c>
      <c r="C1893" s="13" t="s">
        <v>161</v>
      </c>
      <c r="D1893" s="13" t="s">
        <v>2649</v>
      </c>
      <c r="E1893" s="8">
        <v>6000</v>
      </c>
      <c r="F1893" s="13" t="s">
        <v>70</v>
      </c>
      <c r="G1893" s="14">
        <v>44733</v>
      </c>
      <c r="H1893" s="13" t="s">
        <v>9</v>
      </c>
    </row>
    <row r="1894" spans="1:8" ht="14.4" x14ac:dyDescent="0.3">
      <c r="A1894" s="8">
        <v>79751955</v>
      </c>
      <c r="B1894" s="11">
        <v>44732</v>
      </c>
      <c r="C1894" s="13" t="s">
        <v>567</v>
      </c>
      <c r="D1894" s="13" t="s">
        <v>2421</v>
      </c>
      <c r="E1894" s="8">
        <v>6000</v>
      </c>
      <c r="F1894" s="13" t="s">
        <v>70</v>
      </c>
      <c r="G1894" s="14">
        <v>44736</v>
      </c>
      <c r="H1894" s="13" t="s">
        <v>9</v>
      </c>
    </row>
    <row r="1895" spans="1:8" ht="14.4" x14ac:dyDescent="0.3">
      <c r="A1895" s="8">
        <v>79751956</v>
      </c>
      <c r="B1895" s="11">
        <v>44732</v>
      </c>
      <c r="C1895" s="13" t="s">
        <v>789</v>
      </c>
      <c r="D1895" s="13" t="s">
        <v>2421</v>
      </c>
      <c r="E1895" s="8">
        <v>6000</v>
      </c>
      <c r="F1895" s="13" t="s">
        <v>70</v>
      </c>
      <c r="G1895" s="14">
        <v>44741</v>
      </c>
      <c r="H1895" s="13" t="s">
        <v>9</v>
      </c>
    </row>
    <row r="1896" spans="1:8" ht="14.4" x14ac:dyDescent="0.3">
      <c r="A1896" s="8">
        <v>79751957</v>
      </c>
      <c r="B1896" s="11">
        <v>44732</v>
      </c>
      <c r="C1896" s="13" t="s">
        <v>2650</v>
      </c>
      <c r="D1896" s="13" t="s">
        <v>2421</v>
      </c>
      <c r="E1896" s="8">
        <v>5000</v>
      </c>
      <c r="F1896" s="13" t="s">
        <v>70</v>
      </c>
      <c r="G1896" s="14">
        <v>44734</v>
      </c>
      <c r="H1896" s="13" t="s">
        <v>9</v>
      </c>
    </row>
    <row r="1897" spans="1:8" ht="14.4" x14ac:dyDescent="0.3">
      <c r="A1897" s="8">
        <v>79751958</v>
      </c>
      <c r="B1897" s="11">
        <v>44732</v>
      </c>
      <c r="C1897" s="13" t="s">
        <v>562</v>
      </c>
      <c r="D1897" s="13" t="s">
        <v>2421</v>
      </c>
      <c r="E1897" s="8">
        <v>6000</v>
      </c>
      <c r="F1897" s="13" t="s">
        <v>70</v>
      </c>
      <c r="G1897" s="14">
        <v>44734</v>
      </c>
      <c r="H1897" s="13" t="s">
        <v>9</v>
      </c>
    </row>
    <row r="1898" spans="1:8" ht="14.4" x14ac:dyDescent="0.3">
      <c r="A1898" s="8">
        <v>79751959</v>
      </c>
      <c r="B1898" s="11">
        <v>44732</v>
      </c>
      <c r="C1898" s="13" t="s">
        <v>1286</v>
      </c>
      <c r="D1898" s="13" t="s">
        <v>2651</v>
      </c>
      <c r="E1898" s="8">
        <v>273056.28999999998</v>
      </c>
      <c r="F1898" s="13" t="s">
        <v>70</v>
      </c>
      <c r="G1898" s="14">
        <v>44733</v>
      </c>
      <c r="H1898" s="13" t="s">
        <v>9</v>
      </c>
    </row>
    <row r="1899" spans="1:8" ht="14.4" x14ac:dyDescent="0.3">
      <c r="A1899" s="8">
        <v>79751960</v>
      </c>
      <c r="B1899" s="11">
        <v>44732</v>
      </c>
      <c r="C1899" s="13" t="s">
        <v>1286</v>
      </c>
      <c r="D1899" s="13" t="s">
        <v>2652</v>
      </c>
      <c r="E1899" s="8">
        <v>131805.69</v>
      </c>
      <c r="F1899" s="13" t="s">
        <v>70</v>
      </c>
      <c r="G1899" s="14">
        <v>44733</v>
      </c>
      <c r="H1899" s="13" t="s">
        <v>9</v>
      </c>
    </row>
    <row r="1900" spans="1:8" ht="14.4" x14ac:dyDescent="0.3">
      <c r="A1900" s="8">
        <v>79751961</v>
      </c>
      <c r="B1900" s="11">
        <v>44732</v>
      </c>
      <c r="C1900" s="13" t="s">
        <v>1286</v>
      </c>
      <c r="D1900" s="13" t="s">
        <v>2653</v>
      </c>
      <c r="E1900" s="8">
        <v>115618.65</v>
      </c>
      <c r="F1900" s="13" t="s">
        <v>70</v>
      </c>
      <c r="G1900" s="14">
        <v>44733</v>
      </c>
      <c r="H1900" s="13" t="s">
        <v>9</v>
      </c>
    </row>
    <row r="1901" spans="1:8" ht="14.4" x14ac:dyDescent="0.3">
      <c r="A1901" s="8">
        <v>79751962</v>
      </c>
      <c r="B1901" s="11">
        <v>44732</v>
      </c>
      <c r="C1901" s="13" t="s">
        <v>1569</v>
      </c>
      <c r="D1901" s="13" t="s">
        <v>2654</v>
      </c>
      <c r="E1901" s="8">
        <v>6910</v>
      </c>
      <c r="F1901" s="13" t="s">
        <v>70</v>
      </c>
      <c r="G1901" s="14">
        <v>44734</v>
      </c>
      <c r="H1901" s="13" t="s">
        <v>9</v>
      </c>
    </row>
    <row r="1902" spans="1:8" ht="14.4" x14ac:dyDescent="0.3">
      <c r="A1902" s="8">
        <v>79751963</v>
      </c>
      <c r="B1902" s="11">
        <v>44732</v>
      </c>
      <c r="C1902" s="13" t="s">
        <v>153</v>
      </c>
      <c r="D1902" s="13" t="s">
        <v>2655</v>
      </c>
      <c r="E1902" s="8">
        <v>63738</v>
      </c>
      <c r="F1902" s="13" t="s">
        <v>70</v>
      </c>
      <c r="G1902" s="14">
        <v>44734</v>
      </c>
      <c r="H1902" s="13" t="s">
        <v>9</v>
      </c>
    </row>
    <row r="1903" spans="1:8" ht="14.4" x14ac:dyDescent="0.3">
      <c r="A1903" s="8">
        <v>79751964</v>
      </c>
      <c r="B1903" s="11">
        <v>44732</v>
      </c>
      <c r="C1903" s="13" t="s">
        <v>1286</v>
      </c>
      <c r="D1903" s="13" t="s">
        <v>2656</v>
      </c>
      <c r="E1903" s="8">
        <v>315545.34999999998</v>
      </c>
      <c r="F1903" s="13" t="s">
        <v>70</v>
      </c>
      <c r="G1903" s="14">
        <v>44733</v>
      </c>
      <c r="H1903" s="13" t="s">
        <v>9</v>
      </c>
    </row>
    <row r="1904" spans="1:8" ht="14.4" x14ac:dyDescent="0.3">
      <c r="A1904" s="8">
        <v>79751965</v>
      </c>
      <c r="B1904" s="11">
        <v>44732</v>
      </c>
      <c r="C1904" s="13" t="s">
        <v>1286</v>
      </c>
      <c r="D1904" s="13" t="s">
        <v>2657</v>
      </c>
      <c r="E1904" s="8">
        <v>109828.74</v>
      </c>
      <c r="F1904" s="13" t="s">
        <v>70</v>
      </c>
      <c r="G1904" s="14">
        <v>44733</v>
      </c>
      <c r="H1904" s="13" t="s">
        <v>9</v>
      </c>
    </row>
    <row r="1905" spans="1:8" ht="14.4" x14ac:dyDescent="0.3">
      <c r="A1905" s="8">
        <v>79751966</v>
      </c>
      <c r="B1905" s="11">
        <v>44732</v>
      </c>
      <c r="C1905" s="13" t="s">
        <v>1286</v>
      </c>
      <c r="D1905" s="13" t="s">
        <v>2658</v>
      </c>
      <c r="E1905" s="8">
        <v>75791.100000000006</v>
      </c>
      <c r="F1905" s="13" t="s">
        <v>70</v>
      </c>
      <c r="G1905" s="14">
        <v>44733</v>
      </c>
      <c r="H1905" s="13" t="s">
        <v>9</v>
      </c>
    </row>
    <row r="1906" spans="1:8" ht="14.4" x14ac:dyDescent="0.3">
      <c r="A1906" s="8">
        <v>79751967</v>
      </c>
      <c r="B1906" s="11">
        <v>44732</v>
      </c>
      <c r="C1906" s="13" t="s">
        <v>1286</v>
      </c>
      <c r="D1906" s="13" t="s">
        <v>2659</v>
      </c>
      <c r="E1906" s="8">
        <v>11916.48</v>
      </c>
      <c r="F1906" s="13" t="s">
        <v>70</v>
      </c>
      <c r="G1906" s="14">
        <v>44733</v>
      </c>
      <c r="H1906" s="13" t="s">
        <v>9</v>
      </c>
    </row>
    <row r="1907" spans="1:8" ht="14.4" x14ac:dyDescent="0.3">
      <c r="A1907" s="8">
        <v>79751968</v>
      </c>
      <c r="B1907" s="11">
        <v>44732</v>
      </c>
      <c r="C1907" s="13" t="s">
        <v>1286</v>
      </c>
      <c r="D1907" s="13" t="s">
        <v>2660</v>
      </c>
      <c r="E1907" s="8">
        <v>2292.7199999999998</v>
      </c>
      <c r="F1907" s="13" t="s">
        <v>70</v>
      </c>
      <c r="G1907" s="14">
        <v>44733</v>
      </c>
      <c r="H1907" s="13" t="s">
        <v>9</v>
      </c>
    </row>
    <row r="1908" spans="1:8" ht="14.4" x14ac:dyDescent="0.3">
      <c r="A1908" s="8">
        <v>79751969</v>
      </c>
      <c r="B1908" s="11">
        <v>44732</v>
      </c>
      <c r="C1908" s="13" t="s">
        <v>1286</v>
      </c>
      <c r="D1908" s="13" t="s">
        <v>2659</v>
      </c>
      <c r="E1908" s="8">
        <v>4210.49</v>
      </c>
      <c r="F1908" s="13" t="s">
        <v>70</v>
      </c>
      <c r="G1908" s="14">
        <v>44733</v>
      </c>
      <c r="H1908" s="13" t="s">
        <v>9</v>
      </c>
    </row>
    <row r="1909" spans="1:8" ht="14.4" x14ac:dyDescent="0.3">
      <c r="A1909" s="8">
        <v>79751970</v>
      </c>
      <c r="B1909" s="11">
        <v>44732</v>
      </c>
      <c r="C1909" s="13" t="s">
        <v>2661</v>
      </c>
      <c r="D1909" s="13" t="s">
        <v>2662</v>
      </c>
      <c r="E1909" s="8">
        <v>9000</v>
      </c>
      <c r="F1909" s="13" t="s">
        <v>70</v>
      </c>
      <c r="G1909" s="14">
        <v>44734</v>
      </c>
      <c r="H1909" s="13" t="s">
        <v>9</v>
      </c>
    </row>
    <row r="1910" spans="1:8" ht="14.4" x14ac:dyDescent="0.3">
      <c r="A1910" s="8">
        <v>79751971</v>
      </c>
      <c r="B1910" s="11">
        <v>44732</v>
      </c>
      <c r="C1910" s="13" t="s">
        <v>2663</v>
      </c>
      <c r="D1910" s="13" t="s">
        <v>2664</v>
      </c>
      <c r="E1910" s="8">
        <v>8000</v>
      </c>
      <c r="F1910" s="13" t="s">
        <v>70</v>
      </c>
      <c r="G1910" s="14">
        <v>44748</v>
      </c>
      <c r="H1910" s="13" t="s">
        <v>9</v>
      </c>
    </row>
    <row r="1911" spans="1:8" ht="14.4" x14ac:dyDescent="0.3">
      <c r="A1911" s="8">
        <v>79751972</v>
      </c>
      <c r="B1911" s="11">
        <v>44732</v>
      </c>
      <c r="C1911" s="13" t="s">
        <v>2665</v>
      </c>
      <c r="D1911" s="13" t="s">
        <v>2666</v>
      </c>
      <c r="E1911" s="8">
        <v>10000</v>
      </c>
      <c r="F1911" s="13" t="s">
        <v>70</v>
      </c>
      <c r="G1911" s="14">
        <v>44735</v>
      </c>
      <c r="H1911" s="13" t="s">
        <v>9</v>
      </c>
    </row>
    <row r="1912" spans="1:8" ht="14.4" x14ac:dyDescent="0.3">
      <c r="A1912" s="8">
        <v>79751973</v>
      </c>
      <c r="B1912" s="11">
        <v>44732</v>
      </c>
      <c r="C1912" s="13" t="s">
        <v>2667</v>
      </c>
      <c r="D1912" s="13" t="s">
        <v>2668</v>
      </c>
      <c r="E1912" s="8">
        <v>50000</v>
      </c>
      <c r="F1912" s="13" t="s">
        <v>70</v>
      </c>
      <c r="G1912" s="14">
        <v>44742</v>
      </c>
      <c r="H1912" s="13" t="s">
        <v>9</v>
      </c>
    </row>
    <row r="1913" spans="1:8" ht="14.4" x14ac:dyDescent="0.3">
      <c r="A1913" s="8">
        <v>79751974</v>
      </c>
      <c r="B1913" s="11">
        <v>44732</v>
      </c>
      <c r="C1913" s="13" t="s">
        <v>2669</v>
      </c>
      <c r="D1913" s="13" t="s">
        <v>2670</v>
      </c>
      <c r="E1913" s="8">
        <v>35000</v>
      </c>
      <c r="F1913" s="13" t="s">
        <v>70</v>
      </c>
      <c r="G1913" s="14">
        <v>44732</v>
      </c>
      <c r="H1913" s="13" t="s">
        <v>9</v>
      </c>
    </row>
    <row r="1914" spans="1:8" ht="14.4" x14ac:dyDescent="0.3">
      <c r="A1914" s="8">
        <v>79751975</v>
      </c>
      <c r="B1914" s="11">
        <v>44732</v>
      </c>
      <c r="C1914" s="13" t="s">
        <v>265</v>
      </c>
      <c r="D1914" s="13" t="s">
        <v>2671</v>
      </c>
      <c r="E1914" s="8">
        <v>160818.20000000001</v>
      </c>
      <c r="F1914" s="13" t="s">
        <v>70</v>
      </c>
      <c r="G1914" s="14">
        <v>44734</v>
      </c>
      <c r="H1914" s="13" t="s">
        <v>9</v>
      </c>
    </row>
    <row r="1915" spans="1:8" ht="14.4" x14ac:dyDescent="0.3">
      <c r="A1915" s="8">
        <v>79751976</v>
      </c>
      <c r="B1915" s="11">
        <v>44732</v>
      </c>
      <c r="C1915" s="13" t="s">
        <v>2672</v>
      </c>
      <c r="D1915" s="13" t="s">
        <v>2673</v>
      </c>
      <c r="E1915" s="8">
        <v>50000</v>
      </c>
      <c r="F1915" s="13" t="s">
        <v>70</v>
      </c>
      <c r="G1915" s="14">
        <v>44735</v>
      </c>
      <c r="H1915" s="13" t="s">
        <v>9</v>
      </c>
    </row>
    <row r="1916" spans="1:8" ht="14.4" x14ac:dyDescent="0.3">
      <c r="A1916" s="8">
        <v>79751977</v>
      </c>
      <c r="B1916" s="11">
        <v>44732</v>
      </c>
      <c r="C1916" s="13" t="s">
        <v>2674</v>
      </c>
      <c r="D1916" s="13" t="s">
        <v>2675</v>
      </c>
      <c r="E1916" s="8">
        <v>10000</v>
      </c>
      <c r="F1916" s="13" t="s">
        <v>70</v>
      </c>
      <c r="G1916" s="14">
        <v>44735</v>
      </c>
      <c r="H1916" s="13" t="s">
        <v>9</v>
      </c>
    </row>
    <row r="1917" spans="1:8" ht="14.4" x14ac:dyDescent="0.3">
      <c r="A1917" s="8">
        <v>79751978</v>
      </c>
      <c r="B1917" s="11">
        <v>44732</v>
      </c>
      <c r="C1917" s="13" t="s">
        <v>2676</v>
      </c>
      <c r="D1917" s="13" t="s">
        <v>2677</v>
      </c>
      <c r="E1917" s="8">
        <v>8800</v>
      </c>
      <c r="F1917" s="13" t="s">
        <v>70</v>
      </c>
      <c r="G1917" s="14">
        <v>44735</v>
      </c>
      <c r="H1917" s="13" t="s">
        <v>9</v>
      </c>
    </row>
    <row r="1918" spans="1:8" ht="14.4" x14ac:dyDescent="0.3">
      <c r="A1918" s="8">
        <v>79751979</v>
      </c>
      <c r="B1918" s="11">
        <v>44732</v>
      </c>
      <c r="C1918" s="13" t="s">
        <v>2678</v>
      </c>
      <c r="D1918" s="13" t="s">
        <v>2679</v>
      </c>
      <c r="E1918" s="8">
        <v>9000</v>
      </c>
      <c r="F1918" s="13" t="s">
        <v>70</v>
      </c>
      <c r="G1918" s="14">
        <v>44735</v>
      </c>
      <c r="H1918" s="13" t="s">
        <v>9</v>
      </c>
    </row>
    <row r="1919" spans="1:8" ht="14.4" x14ac:dyDescent="0.3">
      <c r="A1919" s="8">
        <v>79751980</v>
      </c>
      <c r="B1919" s="11">
        <v>44732</v>
      </c>
      <c r="C1919" s="13" t="s">
        <v>2680</v>
      </c>
      <c r="D1919" s="13" t="s">
        <v>2681</v>
      </c>
      <c r="E1919" s="8">
        <v>5000</v>
      </c>
      <c r="F1919" s="13" t="s">
        <v>70</v>
      </c>
      <c r="G1919" s="14">
        <v>44740</v>
      </c>
      <c r="H1919" s="13" t="s">
        <v>9</v>
      </c>
    </row>
    <row r="1920" spans="1:8" ht="14.4" x14ac:dyDescent="0.3">
      <c r="A1920" s="8">
        <v>79751981</v>
      </c>
      <c r="B1920" s="11">
        <v>44732</v>
      </c>
      <c r="C1920" s="13" t="s">
        <v>2680</v>
      </c>
      <c r="D1920" s="13" t="s">
        <v>2477</v>
      </c>
      <c r="E1920" s="8">
        <v>5000</v>
      </c>
      <c r="F1920" s="13" t="s">
        <v>70</v>
      </c>
      <c r="G1920" s="14">
        <v>44740</v>
      </c>
      <c r="H1920" s="13" t="s">
        <v>9</v>
      </c>
    </row>
    <row r="1921" spans="1:8" ht="14.4" x14ac:dyDescent="0.3">
      <c r="A1921" s="8">
        <v>79751982</v>
      </c>
      <c r="B1921" s="11">
        <v>44732</v>
      </c>
      <c r="C1921" s="13" t="s">
        <v>675</v>
      </c>
      <c r="D1921" s="13" t="s">
        <v>2682</v>
      </c>
      <c r="E1921" s="8">
        <v>9800</v>
      </c>
      <c r="F1921" s="13" t="s">
        <v>70</v>
      </c>
      <c r="G1921" s="14">
        <v>44733</v>
      </c>
      <c r="H1921" s="13" t="s">
        <v>9</v>
      </c>
    </row>
    <row r="1922" spans="1:8" ht="14.4" x14ac:dyDescent="0.3">
      <c r="A1922" s="8">
        <v>79751983</v>
      </c>
      <c r="B1922" s="11">
        <v>44732</v>
      </c>
      <c r="C1922" s="13" t="s">
        <v>1286</v>
      </c>
      <c r="D1922" s="13" t="s">
        <v>2434</v>
      </c>
      <c r="E1922" s="8">
        <v>4941.1499999999996</v>
      </c>
      <c r="F1922" s="13" t="s">
        <v>70</v>
      </c>
      <c r="G1922" s="14">
        <v>44733</v>
      </c>
      <c r="H1922" s="13" t="s">
        <v>9</v>
      </c>
    </row>
    <row r="1923" spans="1:8" ht="14.4" x14ac:dyDescent="0.3">
      <c r="A1923" s="8">
        <v>79751984</v>
      </c>
      <c r="B1923" s="11">
        <v>44732</v>
      </c>
      <c r="C1923" s="13" t="s">
        <v>1286</v>
      </c>
      <c r="D1923" s="13" t="s">
        <v>2659</v>
      </c>
      <c r="E1923" s="8">
        <v>7944.32</v>
      </c>
      <c r="F1923" s="13" t="s">
        <v>70</v>
      </c>
      <c r="G1923" s="14">
        <v>44733</v>
      </c>
      <c r="H1923" s="13" t="s">
        <v>9</v>
      </c>
    </row>
    <row r="1924" spans="1:8" ht="14.4" x14ac:dyDescent="0.3">
      <c r="A1924" s="8">
        <v>79751985</v>
      </c>
      <c r="B1924" s="11">
        <v>44732</v>
      </c>
      <c r="C1924" s="13" t="s">
        <v>1569</v>
      </c>
      <c r="D1924" s="13" t="s">
        <v>2683</v>
      </c>
      <c r="E1924" s="8">
        <v>10990</v>
      </c>
      <c r="F1924" s="13" t="s">
        <v>70</v>
      </c>
      <c r="G1924" s="14">
        <v>44734</v>
      </c>
      <c r="H1924" s="13" t="s">
        <v>9</v>
      </c>
    </row>
    <row r="1925" spans="1:8" ht="14.4" x14ac:dyDescent="0.3">
      <c r="A1925" s="8">
        <v>79751986</v>
      </c>
      <c r="B1925" s="11">
        <v>44732</v>
      </c>
      <c r="C1925" s="13" t="s">
        <v>2684</v>
      </c>
      <c r="D1925" s="13" t="s">
        <v>2685</v>
      </c>
      <c r="E1925" s="8">
        <v>36860</v>
      </c>
      <c r="F1925" s="13" t="s">
        <v>70</v>
      </c>
      <c r="G1925" s="14">
        <v>44739</v>
      </c>
      <c r="H1925" s="13" t="s">
        <v>9</v>
      </c>
    </row>
    <row r="1926" spans="1:8" ht="14.4" x14ac:dyDescent="0.3">
      <c r="A1926" s="8">
        <v>79751987</v>
      </c>
      <c r="B1926" s="11">
        <v>44732</v>
      </c>
      <c r="C1926" s="13" t="s">
        <v>1286</v>
      </c>
      <c r="D1926" s="13" t="s">
        <v>2653</v>
      </c>
      <c r="E1926" s="8">
        <v>186058.39</v>
      </c>
      <c r="F1926" s="13" t="s">
        <v>70</v>
      </c>
      <c r="G1926" s="14">
        <v>44733</v>
      </c>
      <c r="H1926" s="13" t="s">
        <v>9</v>
      </c>
    </row>
    <row r="1927" spans="1:8" ht="14.4" x14ac:dyDescent="0.3">
      <c r="A1927" s="8">
        <v>79751988</v>
      </c>
      <c r="B1927" s="11">
        <v>44732</v>
      </c>
      <c r="C1927" s="13" t="s">
        <v>1193</v>
      </c>
      <c r="D1927" s="13" t="s">
        <v>2686</v>
      </c>
      <c r="E1927" s="8">
        <v>57000</v>
      </c>
      <c r="F1927" s="13" t="s">
        <v>70</v>
      </c>
      <c r="G1927" s="14">
        <v>44743</v>
      </c>
      <c r="H1927" s="13" t="s">
        <v>9</v>
      </c>
    </row>
    <row r="1928" spans="1:8" ht="14.4" x14ac:dyDescent="0.3">
      <c r="A1928" s="8">
        <v>79751989</v>
      </c>
      <c r="B1928" s="11">
        <v>44732</v>
      </c>
      <c r="C1928" s="13" t="s">
        <v>2687</v>
      </c>
      <c r="D1928" s="13" t="s">
        <v>2688</v>
      </c>
      <c r="E1928" s="8">
        <v>8000</v>
      </c>
      <c r="F1928" s="13" t="s">
        <v>70</v>
      </c>
      <c r="G1928" s="14">
        <v>44734</v>
      </c>
      <c r="H1928" s="13" t="s">
        <v>9</v>
      </c>
    </row>
    <row r="1929" spans="1:8" ht="14.4" x14ac:dyDescent="0.3">
      <c r="A1929" s="8">
        <v>79751990</v>
      </c>
      <c r="B1929" s="11">
        <v>44732</v>
      </c>
      <c r="C1929" s="13" t="s">
        <v>2689</v>
      </c>
      <c r="D1929" s="13" t="s">
        <v>2690</v>
      </c>
      <c r="E1929" s="8">
        <v>40000</v>
      </c>
      <c r="F1929" s="13" t="s">
        <v>70</v>
      </c>
      <c r="G1929" s="14">
        <v>44734</v>
      </c>
      <c r="H1929" s="13" t="s">
        <v>9</v>
      </c>
    </row>
    <row r="1930" spans="1:8" ht="14.4" x14ac:dyDescent="0.3">
      <c r="A1930" s="8">
        <v>79751991</v>
      </c>
      <c r="B1930" s="11">
        <v>44732</v>
      </c>
      <c r="C1930" s="13" t="s">
        <v>2691</v>
      </c>
      <c r="D1930" s="13" t="s">
        <v>2692</v>
      </c>
      <c r="E1930" s="8">
        <v>20000</v>
      </c>
      <c r="F1930" s="13" t="s">
        <v>70</v>
      </c>
      <c r="G1930" s="14">
        <v>44735</v>
      </c>
      <c r="H1930" s="13" t="s">
        <v>9</v>
      </c>
    </row>
    <row r="1931" spans="1:8" ht="14.4" x14ac:dyDescent="0.3">
      <c r="A1931" s="8">
        <v>79751992</v>
      </c>
      <c r="B1931" s="11">
        <v>44732</v>
      </c>
      <c r="C1931" s="13" t="s">
        <v>2693</v>
      </c>
      <c r="D1931" s="13" t="s">
        <v>2694</v>
      </c>
      <c r="E1931" s="8">
        <v>11500</v>
      </c>
      <c r="F1931" s="13" t="s">
        <v>70</v>
      </c>
      <c r="G1931" s="14">
        <v>44735</v>
      </c>
      <c r="H1931" s="13" t="s">
        <v>9</v>
      </c>
    </row>
    <row r="1932" spans="1:8" ht="14.4" x14ac:dyDescent="0.3">
      <c r="A1932" s="8">
        <v>79751993</v>
      </c>
      <c r="B1932" s="11">
        <v>44732</v>
      </c>
      <c r="C1932" s="13" t="s">
        <v>2695</v>
      </c>
      <c r="D1932" s="13" t="s">
        <v>2696</v>
      </c>
      <c r="E1932" s="8">
        <v>11500</v>
      </c>
      <c r="F1932" s="13" t="s">
        <v>70</v>
      </c>
      <c r="G1932" s="14">
        <v>44734</v>
      </c>
      <c r="H1932" s="13" t="s">
        <v>9</v>
      </c>
    </row>
    <row r="1933" spans="1:8" ht="14.4" x14ac:dyDescent="0.3">
      <c r="A1933" s="8">
        <v>79751994</v>
      </c>
      <c r="B1933" s="11">
        <v>44732</v>
      </c>
      <c r="C1933" s="13" t="s">
        <v>2697</v>
      </c>
      <c r="D1933" s="13" t="s">
        <v>2698</v>
      </c>
      <c r="E1933" s="8">
        <v>18000</v>
      </c>
      <c r="F1933" s="13" t="s">
        <v>70</v>
      </c>
      <c r="G1933" s="14">
        <v>44734</v>
      </c>
      <c r="H1933" s="13" t="s">
        <v>9</v>
      </c>
    </row>
    <row r="1934" spans="1:8" ht="14.4" x14ac:dyDescent="0.3">
      <c r="A1934" s="8">
        <v>79751995</v>
      </c>
      <c r="B1934" s="11">
        <v>44732</v>
      </c>
      <c r="C1934" s="13" t="s">
        <v>2699</v>
      </c>
      <c r="D1934" s="13" t="s">
        <v>2700</v>
      </c>
      <c r="E1934" s="8">
        <v>11000</v>
      </c>
      <c r="F1934" s="13" t="s">
        <v>70</v>
      </c>
      <c r="G1934" s="14">
        <v>44734</v>
      </c>
      <c r="H1934" s="13" t="s">
        <v>9</v>
      </c>
    </row>
    <row r="1935" spans="1:8" ht="14.4" x14ac:dyDescent="0.3">
      <c r="A1935" s="8">
        <v>79751996</v>
      </c>
      <c r="B1935" s="11">
        <v>44732</v>
      </c>
      <c r="C1935" s="13" t="s">
        <v>2701</v>
      </c>
      <c r="D1935" s="13" t="s">
        <v>2702</v>
      </c>
      <c r="E1935" s="8">
        <v>31000</v>
      </c>
      <c r="F1935" s="13" t="s">
        <v>70</v>
      </c>
      <c r="G1935" s="14">
        <v>44736</v>
      </c>
      <c r="H1935" s="13" t="s">
        <v>9</v>
      </c>
    </row>
    <row r="1936" spans="1:8" ht="14.4" x14ac:dyDescent="0.3">
      <c r="A1936" s="8">
        <v>79751997</v>
      </c>
      <c r="B1936" s="11">
        <v>44732</v>
      </c>
      <c r="C1936" s="13" t="s">
        <v>775</v>
      </c>
      <c r="D1936" s="13" t="s">
        <v>2703</v>
      </c>
      <c r="E1936" s="8">
        <v>30000</v>
      </c>
      <c r="F1936" s="13" t="s">
        <v>70</v>
      </c>
      <c r="G1936" s="14">
        <v>44746</v>
      </c>
      <c r="H1936" s="13" t="s">
        <v>9</v>
      </c>
    </row>
    <row r="1937" spans="1:8" ht="14.4" x14ac:dyDescent="0.3">
      <c r="A1937" s="8">
        <v>79751998</v>
      </c>
      <c r="B1937" s="11">
        <v>44732</v>
      </c>
      <c r="C1937" s="13" t="s">
        <v>354</v>
      </c>
      <c r="D1937" s="13" t="s">
        <v>2704</v>
      </c>
      <c r="E1937" s="8">
        <v>10445.65</v>
      </c>
      <c r="F1937" s="13" t="s">
        <v>70</v>
      </c>
      <c r="G1937" s="14">
        <v>44733</v>
      </c>
      <c r="H1937" s="13" t="s">
        <v>9</v>
      </c>
    </row>
    <row r="1938" spans="1:8" ht="14.4" x14ac:dyDescent="0.3">
      <c r="A1938" s="8">
        <v>79751999</v>
      </c>
      <c r="B1938" s="11">
        <v>44732</v>
      </c>
      <c r="C1938" s="13" t="s">
        <v>159</v>
      </c>
      <c r="D1938" s="13" t="s">
        <v>2705</v>
      </c>
      <c r="E1938" s="8">
        <v>265200</v>
      </c>
      <c r="F1938" s="13" t="s">
        <v>70</v>
      </c>
      <c r="G1938" s="14">
        <v>44733</v>
      </c>
      <c r="H1938" s="13" t="s">
        <v>9</v>
      </c>
    </row>
    <row r="1939" spans="1:8" ht="14.4" x14ac:dyDescent="0.3">
      <c r="A1939" s="8">
        <v>79752000</v>
      </c>
      <c r="B1939" s="11">
        <v>44733</v>
      </c>
      <c r="C1939" s="13" t="s">
        <v>405</v>
      </c>
      <c r="D1939" s="13" t="s">
        <v>2706</v>
      </c>
      <c r="E1939" s="8">
        <v>14234.76</v>
      </c>
      <c r="F1939" s="13" t="s">
        <v>70</v>
      </c>
      <c r="G1939" s="14">
        <v>44734</v>
      </c>
      <c r="H1939" s="13" t="s">
        <v>9</v>
      </c>
    </row>
    <row r="1940" spans="1:8" ht="14.4" x14ac:dyDescent="0.3">
      <c r="A1940" s="8">
        <v>79752001</v>
      </c>
      <c r="B1940" s="11">
        <v>44733</v>
      </c>
      <c r="C1940" s="13" t="s">
        <v>1736</v>
      </c>
      <c r="D1940" s="13" t="s">
        <v>2707</v>
      </c>
      <c r="E1940" s="8">
        <v>211484</v>
      </c>
      <c r="F1940" s="13" t="s">
        <v>70</v>
      </c>
      <c r="G1940" s="14">
        <v>44734</v>
      </c>
      <c r="H1940" s="13" t="s">
        <v>9</v>
      </c>
    </row>
    <row r="1941" spans="1:8" ht="14.4" x14ac:dyDescent="0.3">
      <c r="A1941" s="8">
        <v>79752002</v>
      </c>
      <c r="B1941" s="11">
        <v>44733</v>
      </c>
      <c r="C1941" s="13" t="s">
        <v>1581</v>
      </c>
      <c r="D1941" s="13" t="s">
        <v>2708</v>
      </c>
      <c r="E1941" s="8">
        <v>2839.28</v>
      </c>
      <c r="F1941" s="13" t="s">
        <v>70</v>
      </c>
      <c r="G1941" s="14">
        <v>44735</v>
      </c>
      <c r="H1941" s="13" t="s">
        <v>9</v>
      </c>
    </row>
    <row r="1942" spans="1:8" ht="14.4" x14ac:dyDescent="0.3">
      <c r="A1942" s="8">
        <v>79752003</v>
      </c>
      <c r="B1942" s="11">
        <v>44733</v>
      </c>
      <c r="C1942" s="13" t="s">
        <v>1941</v>
      </c>
      <c r="D1942" s="13" t="s">
        <v>2709</v>
      </c>
      <c r="E1942" s="8">
        <v>37941.15</v>
      </c>
      <c r="F1942" s="13" t="s">
        <v>70</v>
      </c>
      <c r="G1942" s="14">
        <v>44735</v>
      </c>
      <c r="H1942" s="13" t="s">
        <v>9</v>
      </c>
    </row>
    <row r="1943" spans="1:8" ht="14.4" x14ac:dyDescent="0.3">
      <c r="A1943" s="8">
        <v>79752004</v>
      </c>
      <c r="B1943" s="11">
        <v>44733</v>
      </c>
      <c r="C1943" s="13" t="s">
        <v>2262</v>
      </c>
      <c r="D1943" s="13" t="s">
        <v>2710</v>
      </c>
      <c r="E1943" s="8">
        <v>8375.89</v>
      </c>
      <c r="F1943" s="13" t="s">
        <v>70</v>
      </c>
      <c r="G1943" s="14">
        <v>44743</v>
      </c>
      <c r="H1943" s="13" t="s">
        <v>9</v>
      </c>
    </row>
    <row r="1944" spans="1:8" ht="14.4" x14ac:dyDescent="0.3">
      <c r="A1944" s="8">
        <v>79752005</v>
      </c>
      <c r="B1944" s="11">
        <v>44733</v>
      </c>
      <c r="C1944" s="13" t="s">
        <v>2711</v>
      </c>
      <c r="D1944" s="13" t="s">
        <v>2712</v>
      </c>
      <c r="E1944" s="8">
        <v>27825</v>
      </c>
      <c r="F1944" s="13" t="s">
        <v>70</v>
      </c>
      <c r="G1944" s="14">
        <v>44734</v>
      </c>
      <c r="H1944" s="13" t="s">
        <v>9</v>
      </c>
    </row>
    <row r="1945" spans="1:8" ht="14.4" x14ac:dyDescent="0.3">
      <c r="A1945" s="8">
        <v>79752006</v>
      </c>
      <c r="B1945" s="11">
        <v>44733</v>
      </c>
      <c r="C1945" s="13" t="s">
        <v>1941</v>
      </c>
      <c r="D1945" s="13" t="s">
        <v>2713</v>
      </c>
      <c r="E1945" s="8">
        <v>22769.38</v>
      </c>
      <c r="F1945" s="13" t="s">
        <v>70</v>
      </c>
      <c r="G1945" s="14">
        <v>44735</v>
      </c>
      <c r="H1945" s="13" t="s">
        <v>9</v>
      </c>
    </row>
    <row r="1946" spans="1:8" ht="14.4" x14ac:dyDescent="0.3">
      <c r="A1946" s="8">
        <v>79752007</v>
      </c>
      <c r="B1946" s="11">
        <v>44733</v>
      </c>
      <c r="C1946" s="13" t="s">
        <v>405</v>
      </c>
      <c r="D1946" s="13" t="s">
        <v>2714</v>
      </c>
      <c r="E1946" s="8">
        <v>13445.11</v>
      </c>
      <c r="F1946" s="13" t="s">
        <v>70</v>
      </c>
      <c r="G1946" s="14">
        <v>44734</v>
      </c>
      <c r="H1946" s="13" t="s">
        <v>9</v>
      </c>
    </row>
    <row r="1947" spans="1:8" ht="14.4" x14ac:dyDescent="0.3">
      <c r="A1947" s="8">
        <v>79752008</v>
      </c>
      <c r="B1947" s="11">
        <v>44733</v>
      </c>
      <c r="C1947" s="13" t="s">
        <v>1946</v>
      </c>
      <c r="D1947" s="13" t="s">
        <v>2715</v>
      </c>
      <c r="E1947" s="8">
        <v>19335.54</v>
      </c>
      <c r="F1947" s="13" t="s">
        <v>70</v>
      </c>
      <c r="G1947" s="14">
        <v>44735</v>
      </c>
      <c r="H1947" s="13" t="s">
        <v>9</v>
      </c>
    </row>
    <row r="1948" spans="1:8" ht="14.4" x14ac:dyDescent="0.3">
      <c r="A1948" s="8">
        <v>79752009</v>
      </c>
      <c r="B1948" s="11">
        <v>44733</v>
      </c>
      <c r="C1948" s="13" t="s">
        <v>1946</v>
      </c>
      <c r="D1948" s="13" t="s">
        <v>2716</v>
      </c>
      <c r="E1948" s="8">
        <v>586.78</v>
      </c>
      <c r="F1948" s="13" t="s">
        <v>70</v>
      </c>
      <c r="G1948" s="14">
        <v>44735</v>
      </c>
      <c r="H1948" s="13" t="s">
        <v>9</v>
      </c>
    </row>
    <row r="1949" spans="1:8" ht="14.4" x14ac:dyDescent="0.3">
      <c r="A1949" s="8">
        <v>79752010</v>
      </c>
      <c r="B1949" s="11">
        <v>44733</v>
      </c>
      <c r="C1949" s="13" t="s">
        <v>1941</v>
      </c>
      <c r="D1949" s="13" t="s">
        <v>2717</v>
      </c>
      <c r="E1949" s="8">
        <v>7382.15</v>
      </c>
      <c r="F1949" s="13" t="s">
        <v>70</v>
      </c>
      <c r="G1949" s="14">
        <v>44735</v>
      </c>
      <c r="H1949" s="13" t="s">
        <v>9</v>
      </c>
    </row>
    <row r="1950" spans="1:8" ht="14.4" x14ac:dyDescent="0.3">
      <c r="A1950" s="8">
        <v>79752011</v>
      </c>
      <c r="B1950" s="11">
        <v>44733</v>
      </c>
      <c r="C1950" s="13" t="s">
        <v>1941</v>
      </c>
      <c r="D1950" s="13" t="s">
        <v>2718</v>
      </c>
      <c r="E1950" s="8">
        <v>14519.19</v>
      </c>
      <c r="F1950" s="13" t="s">
        <v>70</v>
      </c>
      <c r="G1950" s="14">
        <v>44735</v>
      </c>
      <c r="H1950" s="13" t="s">
        <v>9</v>
      </c>
    </row>
    <row r="1951" spans="1:8" ht="14.4" x14ac:dyDescent="0.3">
      <c r="A1951" s="8">
        <v>79752012</v>
      </c>
      <c r="B1951" s="11">
        <v>44733</v>
      </c>
      <c r="C1951" s="13" t="s">
        <v>1946</v>
      </c>
      <c r="D1951" s="13" t="s">
        <v>2719</v>
      </c>
      <c r="E1951" s="8">
        <v>9369.65</v>
      </c>
      <c r="F1951" s="13" t="s">
        <v>70</v>
      </c>
      <c r="G1951" s="14">
        <v>44747</v>
      </c>
      <c r="H1951" s="13" t="s">
        <v>9</v>
      </c>
    </row>
    <row r="1952" spans="1:8" ht="14.4" x14ac:dyDescent="0.3">
      <c r="A1952" s="8">
        <v>79752013</v>
      </c>
      <c r="B1952" s="11">
        <v>44733</v>
      </c>
      <c r="C1952" s="13" t="s">
        <v>1946</v>
      </c>
      <c r="D1952" s="13" t="s">
        <v>2720</v>
      </c>
      <c r="E1952" s="8">
        <v>31042.85</v>
      </c>
      <c r="F1952" s="13" t="s">
        <v>70</v>
      </c>
      <c r="G1952" s="14">
        <v>44735</v>
      </c>
      <c r="H1952" s="13" t="s">
        <v>9</v>
      </c>
    </row>
    <row r="1953" spans="1:8" ht="14.4" x14ac:dyDescent="0.3">
      <c r="A1953" s="8">
        <v>79752014</v>
      </c>
      <c r="B1953" s="11">
        <v>44733</v>
      </c>
      <c r="C1953" s="13" t="s">
        <v>1941</v>
      </c>
      <c r="D1953" s="13" t="s">
        <v>2721</v>
      </c>
      <c r="E1953" s="8">
        <v>19838.13</v>
      </c>
      <c r="F1953" s="13" t="s">
        <v>70</v>
      </c>
      <c r="G1953" s="14">
        <v>44735</v>
      </c>
      <c r="H1953" s="13" t="s">
        <v>9</v>
      </c>
    </row>
    <row r="1954" spans="1:8" ht="14.4" x14ac:dyDescent="0.3">
      <c r="A1954" s="8">
        <v>79752015</v>
      </c>
      <c r="B1954" s="11">
        <v>44733</v>
      </c>
      <c r="C1954" s="13" t="s">
        <v>1946</v>
      </c>
      <c r="D1954" s="13" t="s">
        <v>2722</v>
      </c>
      <c r="E1954" s="8">
        <v>5489.28</v>
      </c>
      <c r="F1954" s="13" t="s">
        <v>70</v>
      </c>
      <c r="G1954" s="14">
        <v>44735</v>
      </c>
      <c r="H1954" s="13" t="s">
        <v>9</v>
      </c>
    </row>
    <row r="1955" spans="1:8" ht="14.4" x14ac:dyDescent="0.3">
      <c r="A1955" s="8">
        <v>79752016</v>
      </c>
      <c r="B1955" s="11">
        <v>44733</v>
      </c>
      <c r="C1955" s="13" t="s">
        <v>1946</v>
      </c>
      <c r="D1955" s="13" t="s">
        <v>2723</v>
      </c>
      <c r="E1955" s="8">
        <v>1940.18</v>
      </c>
      <c r="F1955" s="13" t="s">
        <v>70</v>
      </c>
      <c r="G1955" s="14">
        <v>44735</v>
      </c>
      <c r="H1955" s="13" t="s">
        <v>9</v>
      </c>
    </row>
    <row r="1956" spans="1:8" ht="14.4" x14ac:dyDescent="0.3">
      <c r="A1956" s="8">
        <v>79752017</v>
      </c>
      <c r="B1956" s="11">
        <v>44733</v>
      </c>
      <c r="C1956" s="13" t="s">
        <v>25</v>
      </c>
      <c r="D1956" s="13" t="s">
        <v>2724</v>
      </c>
      <c r="E1956" s="8">
        <v>4542.8500000000004</v>
      </c>
      <c r="F1956" s="13" t="s">
        <v>70</v>
      </c>
      <c r="G1956" s="14">
        <v>44736</v>
      </c>
      <c r="H1956" s="13" t="s">
        <v>9</v>
      </c>
    </row>
    <row r="1957" spans="1:8" ht="14.4" x14ac:dyDescent="0.3">
      <c r="A1957" s="8">
        <v>79752018</v>
      </c>
      <c r="B1957" s="11">
        <v>44733</v>
      </c>
      <c r="C1957" s="13" t="s">
        <v>25</v>
      </c>
      <c r="D1957" s="13" t="s">
        <v>2725</v>
      </c>
      <c r="E1957" s="8">
        <v>3785.72</v>
      </c>
      <c r="F1957" s="13" t="s">
        <v>70</v>
      </c>
      <c r="G1957" s="14">
        <v>44734</v>
      </c>
      <c r="H1957" s="13" t="s">
        <v>9</v>
      </c>
    </row>
    <row r="1958" spans="1:8" ht="14.4" x14ac:dyDescent="0.3">
      <c r="A1958" s="8">
        <v>79752019</v>
      </c>
      <c r="B1958" s="11">
        <v>44733</v>
      </c>
      <c r="C1958" s="13" t="s">
        <v>2726</v>
      </c>
      <c r="D1958" s="13" t="s">
        <v>2727</v>
      </c>
      <c r="E1958" s="8">
        <v>19362.23</v>
      </c>
      <c r="F1958" s="13" t="s">
        <v>70</v>
      </c>
      <c r="G1958" s="14">
        <v>44735</v>
      </c>
      <c r="H1958" s="13" t="s">
        <v>9</v>
      </c>
    </row>
    <row r="1959" spans="1:8" ht="14.4" x14ac:dyDescent="0.3">
      <c r="A1959" s="8">
        <v>79752020</v>
      </c>
      <c r="B1959" s="11">
        <v>44733</v>
      </c>
      <c r="C1959" s="13" t="s">
        <v>1342</v>
      </c>
      <c r="D1959" s="13" t="s">
        <v>2728</v>
      </c>
      <c r="E1959" s="8">
        <v>11760</v>
      </c>
      <c r="F1959" s="13" t="s">
        <v>70</v>
      </c>
      <c r="G1959" s="14">
        <v>44733</v>
      </c>
      <c r="H1959" s="13" t="s">
        <v>9</v>
      </c>
    </row>
    <row r="1960" spans="1:8" ht="14.4" x14ac:dyDescent="0.3">
      <c r="A1960" s="8">
        <v>79752021</v>
      </c>
      <c r="B1960" s="11">
        <v>44733</v>
      </c>
      <c r="C1960" s="13" t="s">
        <v>37</v>
      </c>
      <c r="D1960" s="13" t="s">
        <v>2729</v>
      </c>
      <c r="E1960" s="8">
        <v>4258.93</v>
      </c>
      <c r="F1960" s="13" t="s">
        <v>70</v>
      </c>
      <c r="G1960" s="14">
        <v>44743</v>
      </c>
      <c r="H1960" s="13" t="s">
        <v>9</v>
      </c>
    </row>
    <row r="1961" spans="1:8" ht="14.4" x14ac:dyDescent="0.3">
      <c r="A1961" s="8">
        <v>79752022</v>
      </c>
      <c r="B1961" s="11">
        <v>44733</v>
      </c>
      <c r="C1961" s="13" t="s">
        <v>25</v>
      </c>
      <c r="D1961" s="13" t="s">
        <v>2730</v>
      </c>
      <c r="E1961" s="8">
        <v>13250</v>
      </c>
      <c r="F1961" s="13" t="s">
        <v>70</v>
      </c>
      <c r="G1961" s="14">
        <v>44734</v>
      </c>
      <c r="H1961" s="13" t="s">
        <v>9</v>
      </c>
    </row>
    <row r="1962" spans="1:8" ht="14.4" x14ac:dyDescent="0.3">
      <c r="A1962" s="8">
        <v>79752023</v>
      </c>
      <c r="B1962" s="11">
        <v>44733</v>
      </c>
      <c r="C1962" s="13" t="s">
        <v>2731</v>
      </c>
      <c r="D1962" s="13" t="s">
        <v>2732</v>
      </c>
      <c r="E1962" s="8">
        <v>1760.03</v>
      </c>
      <c r="F1962" s="13" t="s">
        <v>70</v>
      </c>
      <c r="G1962" s="14">
        <v>44736</v>
      </c>
      <c r="H1962" s="13" t="s">
        <v>9</v>
      </c>
    </row>
    <row r="1963" spans="1:8" ht="14.4" x14ac:dyDescent="0.3">
      <c r="A1963" s="8">
        <v>79752024</v>
      </c>
      <c r="B1963" s="11">
        <v>44733</v>
      </c>
      <c r="C1963" s="13" t="s">
        <v>2733</v>
      </c>
      <c r="D1963" s="13" t="s">
        <v>2734</v>
      </c>
      <c r="E1963" s="8">
        <v>15000</v>
      </c>
      <c r="F1963" s="13" t="s">
        <v>70</v>
      </c>
      <c r="G1963" s="14">
        <v>44740</v>
      </c>
      <c r="H1963" s="13" t="s">
        <v>9</v>
      </c>
    </row>
    <row r="1964" spans="1:8" ht="14.4" x14ac:dyDescent="0.3">
      <c r="A1964" s="8">
        <v>79752025</v>
      </c>
      <c r="B1964" s="11">
        <v>44733</v>
      </c>
      <c r="C1964" s="13" t="s">
        <v>254</v>
      </c>
      <c r="D1964" s="13" t="s">
        <v>2735</v>
      </c>
      <c r="E1964" s="8">
        <v>29339.279999999999</v>
      </c>
      <c r="F1964" s="13" t="s">
        <v>70</v>
      </c>
      <c r="G1964" s="14">
        <v>44739</v>
      </c>
      <c r="H1964" s="13" t="s">
        <v>9</v>
      </c>
    </row>
    <row r="1965" spans="1:8" ht="14.4" x14ac:dyDescent="0.3">
      <c r="A1965" s="8">
        <v>79752026</v>
      </c>
      <c r="B1965" s="11">
        <v>44733</v>
      </c>
      <c r="C1965" s="13" t="s">
        <v>60</v>
      </c>
      <c r="D1965" s="13" t="s">
        <v>2736</v>
      </c>
      <c r="E1965" s="8">
        <v>79550</v>
      </c>
      <c r="F1965" s="13" t="s">
        <v>70</v>
      </c>
      <c r="G1965" s="14">
        <v>44750</v>
      </c>
      <c r="H1965" s="13" t="s">
        <v>9</v>
      </c>
    </row>
    <row r="1966" spans="1:8" ht="14.4" x14ac:dyDescent="0.3">
      <c r="A1966" s="8">
        <v>79752027</v>
      </c>
      <c r="B1966" s="11">
        <v>44733</v>
      </c>
      <c r="C1966" s="13" t="s">
        <v>2737</v>
      </c>
      <c r="D1966" s="13" t="s">
        <v>2738</v>
      </c>
      <c r="E1966" s="8">
        <v>40000</v>
      </c>
      <c r="F1966" s="13" t="s">
        <v>70</v>
      </c>
      <c r="G1966" s="14">
        <v>44741</v>
      </c>
      <c r="H1966" s="13" t="s">
        <v>9</v>
      </c>
    </row>
    <row r="1967" spans="1:8" ht="14.4" x14ac:dyDescent="0.3">
      <c r="A1967" s="8">
        <v>79752028</v>
      </c>
      <c r="B1967" s="11">
        <v>44733</v>
      </c>
      <c r="C1967" s="13" t="s">
        <v>2739</v>
      </c>
      <c r="D1967" s="13" t="s">
        <v>2740</v>
      </c>
      <c r="E1967" s="8">
        <v>50000</v>
      </c>
      <c r="F1967" s="13" t="s">
        <v>70</v>
      </c>
      <c r="G1967" s="14">
        <v>44736</v>
      </c>
      <c r="H1967" s="13" t="s">
        <v>9</v>
      </c>
    </row>
    <row r="1968" spans="1:8" ht="14.4" x14ac:dyDescent="0.3">
      <c r="A1968" s="8">
        <v>79752029</v>
      </c>
      <c r="B1968" s="11">
        <v>44733</v>
      </c>
      <c r="C1968" s="13" t="s">
        <v>2741</v>
      </c>
      <c r="D1968" s="13" t="s">
        <v>2742</v>
      </c>
      <c r="E1968" s="8">
        <v>10000</v>
      </c>
      <c r="F1968" s="13" t="s">
        <v>70</v>
      </c>
      <c r="G1968" s="14">
        <v>44739</v>
      </c>
      <c r="H1968" s="13" t="s">
        <v>9</v>
      </c>
    </row>
    <row r="1969" spans="1:8" ht="14.4" x14ac:dyDescent="0.3">
      <c r="A1969" s="8">
        <v>79752030</v>
      </c>
      <c r="B1969" s="11">
        <v>44733</v>
      </c>
      <c r="C1969" s="13" t="s">
        <v>2743</v>
      </c>
      <c r="D1969" s="13" t="s">
        <v>2744</v>
      </c>
      <c r="E1969" s="8">
        <v>12000</v>
      </c>
      <c r="F1969" s="13" t="s">
        <v>70</v>
      </c>
      <c r="G1969" s="14">
        <v>44742</v>
      </c>
      <c r="H1969" s="13" t="s">
        <v>9</v>
      </c>
    </row>
    <row r="1970" spans="1:8" ht="14.4" x14ac:dyDescent="0.3">
      <c r="A1970" s="8">
        <v>79752031</v>
      </c>
      <c r="B1970" s="11">
        <v>44733</v>
      </c>
      <c r="C1970" s="13" t="s">
        <v>2745</v>
      </c>
      <c r="D1970" s="13" t="s">
        <v>2746</v>
      </c>
      <c r="E1970" s="8">
        <v>10000</v>
      </c>
      <c r="F1970" s="13" t="s">
        <v>70</v>
      </c>
      <c r="G1970" s="14">
        <v>44742</v>
      </c>
      <c r="H1970" s="13" t="s">
        <v>9</v>
      </c>
    </row>
    <row r="1971" spans="1:8" ht="14.4" x14ac:dyDescent="0.3">
      <c r="A1971" s="8">
        <v>79752032</v>
      </c>
      <c r="B1971" s="11">
        <v>44733</v>
      </c>
      <c r="C1971" s="13" t="s">
        <v>2747</v>
      </c>
      <c r="D1971" s="13" t="s">
        <v>2748</v>
      </c>
      <c r="E1971" s="8">
        <v>12000</v>
      </c>
      <c r="F1971" s="13" t="s">
        <v>70</v>
      </c>
      <c r="G1971" s="14">
        <v>44742</v>
      </c>
      <c r="H1971" s="13" t="s">
        <v>9</v>
      </c>
    </row>
    <row r="1972" spans="1:8" ht="14.4" x14ac:dyDescent="0.3">
      <c r="A1972" s="8">
        <v>79752033</v>
      </c>
      <c r="B1972" s="11">
        <v>44734</v>
      </c>
      <c r="C1972" s="13" t="s">
        <v>265</v>
      </c>
      <c r="D1972" s="13" t="s">
        <v>2749</v>
      </c>
      <c r="E1972" s="8">
        <v>5376</v>
      </c>
      <c r="F1972" s="13" t="s">
        <v>70</v>
      </c>
      <c r="G1972" s="14">
        <v>44739</v>
      </c>
      <c r="H1972" s="13" t="s">
        <v>9</v>
      </c>
    </row>
    <row r="1973" spans="1:8" ht="14.4" x14ac:dyDescent="0.3">
      <c r="A1973" s="8">
        <v>79752034</v>
      </c>
      <c r="B1973" s="11">
        <v>44734</v>
      </c>
      <c r="C1973" s="13" t="s">
        <v>492</v>
      </c>
      <c r="D1973" s="13" t="s">
        <v>2750</v>
      </c>
      <c r="E1973" s="8">
        <v>30654.6</v>
      </c>
      <c r="F1973" s="13" t="s">
        <v>70</v>
      </c>
      <c r="G1973" s="14">
        <v>44735</v>
      </c>
      <c r="H1973" s="13" t="s">
        <v>9</v>
      </c>
    </row>
    <row r="1974" spans="1:8" ht="14.4" x14ac:dyDescent="0.3">
      <c r="A1974" s="8">
        <v>79752035</v>
      </c>
      <c r="B1974" s="11">
        <v>44734</v>
      </c>
      <c r="C1974" s="13" t="s">
        <v>1286</v>
      </c>
      <c r="D1974" s="13" t="s">
        <v>2322</v>
      </c>
      <c r="E1974" s="8">
        <v>24885.96</v>
      </c>
      <c r="F1974" s="13" t="s">
        <v>70</v>
      </c>
      <c r="G1974" s="14">
        <v>44736</v>
      </c>
      <c r="H1974" s="13" t="s">
        <v>9</v>
      </c>
    </row>
    <row r="1975" spans="1:8" ht="14.4" x14ac:dyDescent="0.3">
      <c r="A1975" s="8">
        <v>79752036</v>
      </c>
      <c r="B1975" s="11">
        <v>44734</v>
      </c>
      <c r="C1975" s="13" t="s">
        <v>1286</v>
      </c>
      <c r="D1975" s="13" t="s">
        <v>2435</v>
      </c>
      <c r="E1975" s="8">
        <v>3551.95</v>
      </c>
      <c r="F1975" s="13" t="s">
        <v>70</v>
      </c>
      <c r="G1975" s="14">
        <v>44736</v>
      </c>
      <c r="H1975" s="13" t="s">
        <v>9</v>
      </c>
    </row>
    <row r="1976" spans="1:8" ht="14.4" x14ac:dyDescent="0.3">
      <c r="A1976" s="8">
        <v>79752037</v>
      </c>
      <c r="B1976" s="11">
        <v>44734</v>
      </c>
      <c r="C1976" s="13" t="s">
        <v>1286</v>
      </c>
      <c r="D1976" s="13" t="s">
        <v>2751</v>
      </c>
      <c r="E1976" s="8">
        <v>4677.92</v>
      </c>
      <c r="F1976" s="13" t="s">
        <v>70</v>
      </c>
      <c r="G1976" s="14">
        <v>44736</v>
      </c>
      <c r="H1976" s="13" t="s">
        <v>9</v>
      </c>
    </row>
    <row r="1977" spans="1:8" ht="14.4" x14ac:dyDescent="0.3">
      <c r="A1977" s="8">
        <v>79752038</v>
      </c>
      <c r="B1977" s="11">
        <v>44734</v>
      </c>
      <c r="C1977" s="13" t="s">
        <v>1286</v>
      </c>
      <c r="D1977" s="13" t="s">
        <v>2752</v>
      </c>
      <c r="E1977" s="8">
        <v>96557.62</v>
      </c>
      <c r="F1977" s="13" t="s">
        <v>70</v>
      </c>
      <c r="G1977" s="14">
        <v>44736</v>
      </c>
      <c r="H1977" s="13" t="s">
        <v>9</v>
      </c>
    </row>
    <row r="1978" spans="1:8" ht="14.4" x14ac:dyDescent="0.3">
      <c r="A1978" s="8">
        <v>79752039</v>
      </c>
      <c r="B1978" s="11">
        <v>44734</v>
      </c>
      <c r="C1978" s="13" t="s">
        <v>1308</v>
      </c>
      <c r="D1978" s="13" t="s">
        <v>2753</v>
      </c>
      <c r="E1978" s="8">
        <v>26250</v>
      </c>
      <c r="F1978" s="13" t="s">
        <v>70</v>
      </c>
      <c r="G1978" s="14">
        <v>44750</v>
      </c>
      <c r="H1978" s="13" t="s">
        <v>9</v>
      </c>
    </row>
    <row r="1979" spans="1:8" ht="14.4" x14ac:dyDescent="0.3">
      <c r="A1979" s="8">
        <v>79752040</v>
      </c>
      <c r="B1979" s="11">
        <v>44734</v>
      </c>
      <c r="C1979" s="13" t="s">
        <v>550</v>
      </c>
      <c r="D1979" s="13" t="s">
        <v>2754</v>
      </c>
      <c r="E1979" s="8">
        <v>3000</v>
      </c>
      <c r="F1979" s="13" t="s">
        <v>70</v>
      </c>
      <c r="G1979" s="14">
        <v>44743</v>
      </c>
      <c r="H1979" s="13" t="s">
        <v>9</v>
      </c>
    </row>
    <row r="1980" spans="1:8" ht="14.4" x14ac:dyDescent="0.3">
      <c r="A1980" s="8">
        <v>79752041</v>
      </c>
      <c r="B1980" s="11">
        <v>44734</v>
      </c>
      <c r="C1980" s="13" t="s">
        <v>1563</v>
      </c>
      <c r="D1980" s="13" t="s">
        <v>2754</v>
      </c>
      <c r="E1980" s="8">
        <v>3000</v>
      </c>
      <c r="F1980" s="13" t="s">
        <v>70</v>
      </c>
      <c r="G1980" s="14">
        <v>44743</v>
      </c>
      <c r="H1980" s="13" t="s">
        <v>9</v>
      </c>
    </row>
    <row r="1981" spans="1:8" ht="14.4" x14ac:dyDescent="0.3">
      <c r="A1981" s="8">
        <v>79752042</v>
      </c>
      <c r="B1981" s="11">
        <v>44734</v>
      </c>
      <c r="C1981" s="13" t="s">
        <v>549</v>
      </c>
      <c r="D1981" s="13" t="s">
        <v>2754</v>
      </c>
      <c r="E1981" s="8">
        <v>3000</v>
      </c>
      <c r="F1981" s="13" t="s">
        <v>70</v>
      </c>
      <c r="G1981" s="14">
        <v>44743</v>
      </c>
      <c r="H1981" s="13" t="s">
        <v>9</v>
      </c>
    </row>
    <row r="1982" spans="1:8" ht="14.4" x14ac:dyDescent="0.3">
      <c r="A1982" s="8">
        <v>79752043</v>
      </c>
      <c r="B1982" s="11">
        <v>44734</v>
      </c>
      <c r="C1982" s="13" t="s">
        <v>553</v>
      </c>
      <c r="D1982" s="13" t="s">
        <v>2754</v>
      </c>
      <c r="E1982" s="8">
        <v>3000</v>
      </c>
      <c r="F1982" s="13" t="s">
        <v>70</v>
      </c>
      <c r="G1982" s="14">
        <v>44743</v>
      </c>
      <c r="H1982" s="13" t="s">
        <v>9</v>
      </c>
    </row>
    <row r="1983" spans="1:8" ht="14.4" x14ac:dyDescent="0.3">
      <c r="A1983" s="8">
        <v>79752044</v>
      </c>
      <c r="B1983" s="11">
        <v>44734</v>
      </c>
      <c r="C1983" s="13" t="s">
        <v>554</v>
      </c>
      <c r="D1983" s="13" t="s">
        <v>2754</v>
      </c>
      <c r="E1983" s="8">
        <v>3000</v>
      </c>
      <c r="F1983" s="13" t="s">
        <v>70</v>
      </c>
      <c r="G1983" s="14">
        <v>44743</v>
      </c>
      <c r="H1983" s="13" t="s">
        <v>9</v>
      </c>
    </row>
    <row r="1984" spans="1:8" ht="14.4" x14ac:dyDescent="0.3">
      <c r="A1984" s="8">
        <v>79752045</v>
      </c>
      <c r="B1984" s="11">
        <v>44734</v>
      </c>
      <c r="C1984" s="13" t="s">
        <v>555</v>
      </c>
      <c r="D1984" s="13" t="s">
        <v>2754</v>
      </c>
      <c r="E1984" s="8">
        <v>3000</v>
      </c>
      <c r="F1984" s="13" t="s">
        <v>70</v>
      </c>
      <c r="G1984" s="14">
        <v>44743</v>
      </c>
      <c r="H1984" s="13" t="s">
        <v>9</v>
      </c>
    </row>
    <row r="1985" spans="1:8" ht="14.4" x14ac:dyDescent="0.3">
      <c r="A1985" s="8">
        <v>79752046</v>
      </c>
      <c r="B1985" s="11">
        <v>44734</v>
      </c>
      <c r="C1985" s="13" t="s">
        <v>557</v>
      </c>
      <c r="D1985" s="13" t="s">
        <v>2754</v>
      </c>
      <c r="E1985" s="8">
        <v>3000</v>
      </c>
      <c r="F1985" s="13" t="s">
        <v>70</v>
      </c>
      <c r="G1985" s="14">
        <v>44743</v>
      </c>
      <c r="H1985" s="13" t="s">
        <v>9</v>
      </c>
    </row>
    <row r="1986" spans="1:8" ht="14.4" x14ac:dyDescent="0.3">
      <c r="A1986" s="8">
        <v>79752047</v>
      </c>
      <c r="B1986" s="11">
        <v>44734</v>
      </c>
      <c r="C1986" s="13" t="s">
        <v>558</v>
      </c>
      <c r="D1986" s="13" t="s">
        <v>2754</v>
      </c>
      <c r="E1986" s="8">
        <v>3000</v>
      </c>
      <c r="F1986" s="13" t="s">
        <v>70</v>
      </c>
      <c r="G1986" s="14">
        <v>44743</v>
      </c>
      <c r="H1986" s="13" t="s">
        <v>9</v>
      </c>
    </row>
    <row r="1987" spans="1:8" ht="14.4" x14ac:dyDescent="0.3">
      <c r="A1987" s="8">
        <v>79752048</v>
      </c>
      <c r="B1987" s="11">
        <v>44734</v>
      </c>
      <c r="C1987" s="13" t="s">
        <v>559</v>
      </c>
      <c r="D1987" s="13" t="s">
        <v>2754</v>
      </c>
      <c r="E1987" s="8">
        <v>3000</v>
      </c>
      <c r="F1987" s="13" t="s">
        <v>70</v>
      </c>
      <c r="G1987" s="14">
        <v>44743</v>
      </c>
      <c r="H1987" s="13" t="s">
        <v>9</v>
      </c>
    </row>
    <row r="1988" spans="1:8" ht="14.4" x14ac:dyDescent="0.3">
      <c r="A1988" s="8">
        <v>79752049</v>
      </c>
      <c r="B1988" s="11">
        <v>44734</v>
      </c>
      <c r="C1988" s="13" t="s">
        <v>2755</v>
      </c>
      <c r="D1988" s="13" t="s">
        <v>2756</v>
      </c>
      <c r="E1988" s="8">
        <v>10000</v>
      </c>
      <c r="F1988" s="13" t="s">
        <v>70</v>
      </c>
      <c r="G1988" s="14">
        <v>44743</v>
      </c>
      <c r="H1988" s="13" t="s">
        <v>9</v>
      </c>
    </row>
    <row r="1989" spans="1:8" ht="14.4" x14ac:dyDescent="0.3">
      <c r="A1989" s="8">
        <v>79752050</v>
      </c>
      <c r="B1989" s="11">
        <v>44734</v>
      </c>
      <c r="C1989" s="13" t="s">
        <v>547</v>
      </c>
      <c r="D1989" s="13" t="s">
        <v>2754</v>
      </c>
      <c r="E1989" s="8">
        <v>3000</v>
      </c>
      <c r="F1989" s="13" t="s">
        <v>70</v>
      </c>
      <c r="G1989" s="14">
        <v>44743</v>
      </c>
      <c r="H1989" s="13" t="s">
        <v>9</v>
      </c>
    </row>
    <row r="1990" spans="1:8" ht="14.4" x14ac:dyDescent="0.3">
      <c r="A1990" s="8">
        <v>79752051</v>
      </c>
      <c r="B1990" s="11">
        <v>44734</v>
      </c>
      <c r="C1990" s="13" t="s">
        <v>548</v>
      </c>
      <c r="D1990" s="13" t="s">
        <v>2754</v>
      </c>
      <c r="E1990" s="8">
        <v>3000</v>
      </c>
      <c r="F1990" s="13" t="s">
        <v>70</v>
      </c>
      <c r="G1990" s="14">
        <v>44743</v>
      </c>
      <c r="H1990" s="13" t="s">
        <v>9</v>
      </c>
    </row>
    <row r="1991" spans="1:8" ht="14.4" x14ac:dyDescent="0.3">
      <c r="A1991" s="8">
        <v>79752052</v>
      </c>
      <c r="B1991" s="11">
        <v>44734</v>
      </c>
      <c r="C1991" s="13" t="s">
        <v>556</v>
      </c>
      <c r="D1991" s="13" t="s">
        <v>2754</v>
      </c>
      <c r="E1991" s="8">
        <v>3000</v>
      </c>
      <c r="F1991" s="13" t="s">
        <v>70</v>
      </c>
      <c r="G1991" s="14">
        <v>44743</v>
      </c>
      <c r="H1991" s="13" t="s">
        <v>9</v>
      </c>
    </row>
    <row r="1992" spans="1:8" ht="14.4" x14ac:dyDescent="0.3">
      <c r="A1992" s="8">
        <v>79752053</v>
      </c>
      <c r="B1992" s="11">
        <v>44734</v>
      </c>
      <c r="C1992" s="13" t="s">
        <v>122</v>
      </c>
      <c r="D1992" s="13" t="s">
        <v>2757</v>
      </c>
      <c r="E1992" s="8">
        <v>25000</v>
      </c>
      <c r="F1992" s="13" t="s">
        <v>70</v>
      </c>
      <c r="G1992" s="14">
        <v>44740</v>
      </c>
      <c r="H1992" s="13" t="s">
        <v>9</v>
      </c>
    </row>
    <row r="1993" spans="1:8" ht="14.4" x14ac:dyDescent="0.3">
      <c r="A1993" s="8">
        <v>79752054</v>
      </c>
      <c r="B1993" s="11">
        <v>44734</v>
      </c>
      <c r="C1993" s="13" t="s">
        <v>2758</v>
      </c>
      <c r="D1993" s="13" t="s">
        <v>2759</v>
      </c>
      <c r="E1993" s="8">
        <v>10000</v>
      </c>
      <c r="F1993" s="13" t="s">
        <v>70</v>
      </c>
      <c r="G1993" s="14">
        <v>44743</v>
      </c>
      <c r="H1993" s="13" t="s">
        <v>9</v>
      </c>
    </row>
    <row r="1994" spans="1:8" ht="14.4" x14ac:dyDescent="0.3">
      <c r="A1994" s="8">
        <v>79752055</v>
      </c>
      <c r="B1994" s="11">
        <v>44734</v>
      </c>
      <c r="C1994" s="13" t="s">
        <v>2760</v>
      </c>
      <c r="D1994" s="13" t="s">
        <v>2761</v>
      </c>
      <c r="E1994" s="8">
        <v>7000</v>
      </c>
      <c r="F1994" s="13" t="s">
        <v>70</v>
      </c>
      <c r="G1994" s="14">
        <v>44743</v>
      </c>
      <c r="H1994" s="13" t="s">
        <v>9</v>
      </c>
    </row>
    <row r="1995" spans="1:8" ht="14.4" x14ac:dyDescent="0.3">
      <c r="A1995" s="8">
        <v>79752056</v>
      </c>
      <c r="B1995" s="11">
        <v>44734</v>
      </c>
      <c r="C1995" s="13" t="s">
        <v>2762</v>
      </c>
      <c r="D1995" s="13" t="s">
        <v>2763</v>
      </c>
      <c r="E1995" s="8">
        <v>37000</v>
      </c>
      <c r="F1995" s="13" t="s">
        <v>70</v>
      </c>
      <c r="G1995" s="14">
        <v>44739</v>
      </c>
      <c r="H1995" s="13" t="s">
        <v>9</v>
      </c>
    </row>
    <row r="1996" spans="1:8" ht="14.4" x14ac:dyDescent="0.3">
      <c r="A1996" s="8">
        <v>79752057</v>
      </c>
      <c r="B1996" s="11">
        <v>44734</v>
      </c>
      <c r="C1996" s="13" t="s">
        <v>2764</v>
      </c>
      <c r="D1996" s="13" t="s">
        <v>2765</v>
      </c>
      <c r="E1996" s="8">
        <v>10000</v>
      </c>
      <c r="F1996" s="13" t="s">
        <v>70</v>
      </c>
      <c r="G1996" s="14">
        <v>44742</v>
      </c>
      <c r="H1996" s="13" t="s">
        <v>9</v>
      </c>
    </row>
    <row r="1997" spans="1:8" ht="14.4" x14ac:dyDescent="0.3">
      <c r="A1997" s="8">
        <v>79752058</v>
      </c>
      <c r="B1997" s="11">
        <v>44734</v>
      </c>
      <c r="C1997" s="13" t="s">
        <v>2766</v>
      </c>
      <c r="D1997" s="13" t="s">
        <v>2767</v>
      </c>
      <c r="E1997" s="8">
        <v>8000</v>
      </c>
      <c r="F1997" s="13" t="s">
        <v>70</v>
      </c>
      <c r="G1997" s="14">
        <v>44742</v>
      </c>
      <c r="H1997" s="13" t="s">
        <v>9</v>
      </c>
    </row>
    <row r="1998" spans="1:8" ht="14.4" x14ac:dyDescent="0.3">
      <c r="A1998" s="8">
        <v>79752059</v>
      </c>
      <c r="B1998" s="11">
        <v>44734</v>
      </c>
      <c r="C1998" s="13" t="s">
        <v>2768</v>
      </c>
      <c r="D1998" s="13" t="s">
        <v>2769</v>
      </c>
      <c r="E1998" s="8">
        <v>6700</v>
      </c>
      <c r="F1998" s="13" t="s">
        <v>70</v>
      </c>
      <c r="G1998" s="14">
        <v>44736</v>
      </c>
      <c r="H1998" s="13" t="s">
        <v>9</v>
      </c>
    </row>
    <row r="1999" spans="1:8" ht="14.4" x14ac:dyDescent="0.3">
      <c r="A1999" s="8">
        <v>79752060</v>
      </c>
      <c r="B1999" s="11">
        <v>44734</v>
      </c>
      <c r="C1999" s="13" t="s">
        <v>2770</v>
      </c>
      <c r="D1999" s="13" t="s">
        <v>2771</v>
      </c>
      <c r="E1999" s="8">
        <v>14700</v>
      </c>
      <c r="F1999" s="13" t="s">
        <v>70</v>
      </c>
      <c r="G1999" s="14">
        <v>44735</v>
      </c>
      <c r="H1999" s="13" t="s">
        <v>9</v>
      </c>
    </row>
    <row r="2000" spans="1:8" ht="14.4" x14ac:dyDescent="0.3">
      <c r="A2000" s="8">
        <v>79752061</v>
      </c>
      <c r="B2000" s="11">
        <v>44734</v>
      </c>
      <c r="C2000" s="13" t="s">
        <v>2772</v>
      </c>
      <c r="D2000" s="13" t="s">
        <v>2773</v>
      </c>
      <c r="E2000" s="8">
        <v>29000</v>
      </c>
      <c r="F2000" s="13" t="s">
        <v>70</v>
      </c>
      <c r="G2000" s="14">
        <v>44739</v>
      </c>
      <c r="H2000" s="13" t="s">
        <v>9</v>
      </c>
    </row>
    <row r="2001" spans="1:8" ht="14.4" x14ac:dyDescent="0.3">
      <c r="A2001" s="8">
        <v>79752062</v>
      </c>
      <c r="B2001" s="11">
        <v>44734</v>
      </c>
      <c r="C2001" s="13" t="s">
        <v>2774</v>
      </c>
      <c r="D2001" s="13" t="s">
        <v>2775</v>
      </c>
      <c r="E2001" s="8">
        <v>10000</v>
      </c>
      <c r="F2001" s="13" t="s">
        <v>70</v>
      </c>
      <c r="G2001" s="14">
        <v>44746</v>
      </c>
      <c r="H2001" s="13" t="s">
        <v>9</v>
      </c>
    </row>
    <row r="2002" spans="1:8" ht="14.4" x14ac:dyDescent="0.3">
      <c r="A2002" s="8">
        <v>79752063</v>
      </c>
      <c r="B2002" s="11">
        <v>44734</v>
      </c>
      <c r="C2002" s="13" t="s">
        <v>2776</v>
      </c>
      <c r="D2002" s="13" t="s">
        <v>2777</v>
      </c>
      <c r="E2002" s="8">
        <v>11500</v>
      </c>
      <c r="F2002" s="13" t="s">
        <v>70</v>
      </c>
      <c r="G2002" s="14">
        <v>44736</v>
      </c>
      <c r="H2002" s="13" t="s">
        <v>9</v>
      </c>
    </row>
    <row r="2003" spans="1:8" ht="14.4" x14ac:dyDescent="0.3">
      <c r="A2003" s="8">
        <v>79752064</v>
      </c>
      <c r="B2003" s="11">
        <v>44734</v>
      </c>
      <c r="C2003" s="13" t="s">
        <v>2778</v>
      </c>
      <c r="D2003" s="13" t="s">
        <v>2779</v>
      </c>
      <c r="E2003" s="8">
        <v>7400</v>
      </c>
      <c r="F2003" s="13" t="s">
        <v>70</v>
      </c>
      <c r="G2003" s="14">
        <v>44739</v>
      </c>
      <c r="H2003" s="13" t="s">
        <v>9</v>
      </c>
    </row>
    <row r="2004" spans="1:8" ht="14.4" x14ac:dyDescent="0.3">
      <c r="A2004" s="8">
        <v>79752065</v>
      </c>
      <c r="B2004" s="11">
        <v>44734</v>
      </c>
      <c r="C2004" s="13" t="s">
        <v>2780</v>
      </c>
      <c r="D2004" s="13" t="s">
        <v>2781</v>
      </c>
      <c r="E2004" s="8">
        <v>9000</v>
      </c>
      <c r="F2004" s="13" t="s">
        <v>70</v>
      </c>
      <c r="G2004" s="14">
        <v>44743</v>
      </c>
      <c r="H2004" s="13" t="s">
        <v>9</v>
      </c>
    </row>
    <row r="2005" spans="1:8" ht="14.4" x14ac:dyDescent="0.3">
      <c r="A2005" s="8">
        <v>79752066</v>
      </c>
      <c r="B2005" s="11">
        <v>44734</v>
      </c>
      <c r="C2005" s="13" t="s">
        <v>2782</v>
      </c>
      <c r="D2005" s="13" t="s">
        <v>2783</v>
      </c>
      <c r="E2005" s="8">
        <v>10300</v>
      </c>
      <c r="F2005" s="13" t="s">
        <v>70</v>
      </c>
      <c r="G2005" s="14">
        <v>44742</v>
      </c>
      <c r="H2005" s="13" t="s">
        <v>9</v>
      </c>
    </row>
    <row r="2006" spans="1:8" ht="14.4" x14ac:dyDescent="0.3">
      <c r="A2006" s="8">
        <v>79752067</v>
      </c>
      <c r="B2006" s="11">
        <v>44734</v>
      </c>
      <c r="C2006" s="13" t="s">
        <v>159</v>
      </c>
      <c r="D2006" s="13" t="s">
        <v>2784</v>
      </c>
      <c r="E2006" s="8">
        <v>309000</v>
      </c>
      <c r="F2006" s="13" t="s">
        <v>70</v>
      </c>
      <c r="G2006" s="14">
        <v>44735</v>
      </c>
      <c r="H2006" s="13" t="s">
        <v>9</v>
      </c>
    </row>
    <row r="2007" spans="1:8" ht="14.4" x14ac:dyDescent="0.3">
      <c r="A2007" s="8">
        <v>79752068</v>
      </c>
      <c r="B2007" s="11">
        <v>44735</v>
      </c>
      <c r="C2007" s="13" t="s">
        <v>152</v>
      </c>
      <c r="D2007" s="13" t="s">
        <v>2785</v>
      </c>
      <c r="E2007" s="8">
        <v>69575.02</v>
      </c>
      <c r="F2007" s="13" t="s">
        <v>70</v>
      </c>
      <c r="G2007" s="14">
        <v>44740</v>
      </c>
      <c r="H2007" s="13" t="s">
        <v>9</v>
      </c>
    </row>
    <row r="2008" spans="1:8" ht="14.4" x14ac:dyDescent="0.3">
      <c r="A2008" s="8">
        <v>79752069</v>
      </c>
      <c r="B2008" s="11">
        <v>44735</v>
      </c>
      <c r="C2008" s="13" t="s">
        <v>2786</v>
      </c>
      <c r="D2008" s="13" t="s">
        <v>2787</v>
      </c>
      <c r="E2008" s="8">
        <v>10000</v>
      </c>
      <c r="F2008" s="13" t="s">
        <v>70</v>
      </c>
      <c r="G2008" s="14">
        <v>44736</v>
      </c>
      <c r="H2008" s="13" t="s">
        <v>9</v>
      </c>
    </row>
    <row r="2009" spans="1:8" ht="14.4" x14ac:dyDescent="0.3">
      <c r="A2009" s="8">
        <v>79752070</v>
      </c>
      <c r="B2009" s="11">
        <v>44735</v>
      </c>
      <c r="C2009" s="13" t="s">
        <v>2788</v>
      </c>
      <c r="D2009" s="13" t="s">
        <v>2789</v>
      </c>
      <c r="E2009" s="8">
        <v>61474.34</v>
      </c>
      <c r="F2009" s="13" t="s">
        <v>70</v>
      </c>
      <c r="G2009" s="14">
        <v>44741</v>
      </c>
      <c r="H2009" s="13" t="s">
        <v>9</v>
      </c>
    </row>
    <row r="2010" spans="1:8" ht="14.4" x14ac:dyDescent="0.3">
      <c r="A2010" s="8">
        <v>79752071</v>
      </c>
      <c r="B2010" s="11">
        <v>44735</v>
      </c>
      <c r="C2010" s="13" t="s">
        <v>847</v>
      </c>
      <c r="D2010" s="13" t="s">
        <v>2790</v>
      </c>
      <c r="E2010" s="8">
        <v>2000</v>
      </c>
      <c r="F2010" s="13" t="s">
        <v>70</v>
      </c>
      <c r="G2010" s="14">
        <v>44747</v>
      </c>
      <c r="H2010" s="13" t="s">
        <v>9</v>
      </c>
    </row>
    <row r="2011" spans="1:8" ht="14.4" x14ac:dyDescent="0.3">
      <c r="A2011" s="8">
        <v>79752072</v>
      </c>
      <c r="B2011" s="11">
        <v>44735</v>
      </c>
      <c r="C2011" s="13" t="s">
        <v>848</v>
      </c>
      <c r="D2011" s="13" t="s">
        <v>2790</v>
      </c>
      <c r="E2011" s="8">
        <v>2000</v>
      </c>
      <c r="F2011" s="13" t="s">
        <v>70</v>
      </c>
      <c r="G2011" s="14">
        <v>44747</v>
      </c>
      <c r="H2011" s="13" t="s">
        <v>9</v>
      </c>
    </row>
    <row r="2012" spans="1:8" ht="14.4" x14ac:dyDescent="0.3">
      <c r="A2012" s="8">
        <v>79752073</v>
      </c>
      <c r="B2012" s="11">
        <v>44735</v>
      </c>
      <c r="C2012" s="13" t="s">
        <v>849</v>
      </c>
      <c r="D2012" s="13" t="s">
        <v>2790</v>
      </c>
      <c r="E2012" s="8">
        <v>2000</v>
      </c>
      <c r="F2012" s="13" t="s">
        <v>70</v>
      </c>
      <c r="G2012" s="14">
        <v>44747</v>
      </c>
      <c r="H2012" s="13" t="s">
        <v>9</v>
      </c>
    </row>
    <row r="2013" spans="1:8" ht="14.4" x14ac:dyDescent="0.3">
      <c r="A2013" s="8">
        <v>79752074</v>
      </c>
      <c r="B2013" s="11">
        <v>44735</v>
      </c>
      <c r="C2013" s="13" t="s">
        <v>850</v>
      </c>
      <c r="D2013" s="13" t="s">
        <v>2790</v>
      </c>
      <c r="E2013" s="8">
        <v>2000</v>
      </c>
      <c r="F2013" s="13" t="s">
        <v>70</v>
      </c>
      <c r="G2013" s="14">
        <v>44747</v>
      </c>
      <c r="H2013" s="13" t="s">
        <v>9</v>
      </c>
    </row>
    <row r="2014" spans="1:8" ht="14.4" x14ac:dyDescent="0.3">
      <c r="A2014" s="8">
        <v>79752075</v>
      </c>
      <c r="B2014" s="11">
        <v>44735</v>
      </c>
      <c r="C2014" s="13" t="s">
        <v>851</v>
      </c>
      <c r="D2014" s="13" t="s">
        <v>2790</v>
      </c>
      <c r="E2014" s="8">
        <v>2000</v>
      </c>
      <c r="F2014" s="13" t="s">
        <v>70</v>
      </c>
      <c r="G2014" s="14">
        <v>44747</v>
      </c>
      <c r="H2014" s="13" t="s">
        <v>9</v>
      </c>
    </row>
    <row r="2015" spans="1:8" ht="14.4" x14ac:dyDescent="0.3">
      <c r="A2015" s="8">
        <v>79752076</v>
      </c>
      <c r="B2015" s="11">
        <v>44735</v>
      </c>
      <c r="C2015" s="13" t="s">
        <v>2791</v>
      </c>
      <c r="D2015" s="13" t="s">
        <v>2790</v>
      </c>
      <c r="E2015" s="8">
        <v>2000</v>
      </c>
      <c r="F2015" s="13" t="s">
        <v>70</v>
      </c>
      <c r="G2015" s="14">
        <v>44747</v>
      </c>
      <c r="H2015" s="13" t="s">
        <v>9</v>
      </c>
    </row>
    <row r="2016" spans="1:8" ht="14.4" x14ac:dyDescent="0.3">
      <c r="A2016" s="8">
        <v>79752077</v>
      </c>
      <c r="B2016" s="11">
        <v>44735</v>
      </c>
      <c r="C2016" s="13" t="s">
        <v>2792</v>
      </c>
      <c r="D2016" s="13" t="s">
        <v>2790</v>
      </c>
      <c r="E2016" s="8">
        <v>2000</v>
      </c>
      <c r="F2016" s="13" t="s">
        <v>70</v>
      </c>
      <c r="G2016" s="14">
        <v>44747</v>
      </c>
      <c r="H2016" s="13" t="s">
        <v>9</v>
      </c>
    </row>
    <row r="2017" spans="1:8" ht="14.4" x14ac:dyDescent="0.3">
      <c r="A2017" s="8">
        <v>79752078</v>
      </c>
      <c r="B2017" s="11">
        <v>44735</v>
      </c>
      <c r="C2017" s="13" t="s">
        <v>395</v>
      </c>
      <c r="D2017" s="13" t="s">
        <v>2793</v>
      </c>
      <c r="E2017" s="8">
        <v>30958</v>
      </c>
      <c r="F2017" s="13" t="s">
        <v>70</v>
      </c>
      <c r="G2017" s="14">
        <v>44740</v>
      </c>
      <c r="H2017" s="13" t="s">
        <v>9</v>
      </c>
    </row>
    <row r="2018" spans="1:8" ht="14.4" x14ac:dyDescent="0.3">
      <c r="A2018" s="8">
        <v>79752079</v>
      </c>
      <c r="B2018" s="11">
        <v>44735</v>
      </c>
      <c r="C2018" s="13" t="s">
        <v>265</v>
      </c>
      <c r="D2018" s="13" t="s">
        <v>2794</v>
      </c>
      <c r="E2018" s="8">
        <v>145758.39999999999</v>
      </c>
      <c r="F2018" s="13" t="s">
        <v>70</v>
      </c>
      <c r="G2018" s="14">
        <v>44739</v>
      </c>
      <c r="H2018" s="13" t="s">
        <v>9</v>
      </c>
    </row>
    <row r="2019" spans="1:8" ht="14.4" x14ac:dyDescent="0.3">
      <c r="A2019" s="8">
        <v>79752080</v>
      </c>
      <c r="B2019" s="11">
        <v>44735</v>
      </c>
      <c r="C2019" s="13" t="s">
        <v>844</v>
      </c>
      <c r="D2019" s="13" t="s">
        <v>2795</v>
      </c>
      <c r="E2019" s="8">
        <v>2000</v>
      </c>
      <c r="F2019" s="13" t="s">
        <v>70</v>
      </c>
      <c r="G2019" s="14">
        <v>44747</v>
      </c>
      <c r="H2019" s="13" t="s">
        <v>9</v>
      </c>
    </row>
    <row r="2020" spans="1:8" ht="14.4" x14ac:dyDescent="0.3">
      <c r="A2020" s="8">
        <v>79752081</v>
      </c>
      <c r="B2020" s="11">
        <v>44735</v>
      </c>
      <c r="C2020" s="13" t="s">
        <v>836</v>
      </c>
      <c r="D2020" s="13" t="s">
        <v>2790</v>
      </c>
      <c r="E2020" s="8">
        <v>2000</v>
      </c>
      <c r="F2020" s="13" t="s">
        <v>70</v>
      </c>
      <c r="G2020" s="14">
        <v>44747</v>
      </c>
      <c r="H2020" s="13" t="s">
        <v>9</v>
      </c>
    </row>
    <row r="2021" spans="1:8" ht="14.4" x14ac:dyDescent="0.3">
      <c r="A2021" s="8">
        <v>79752082</v>
      </c>
      <c r="B2021" s="11">
        <v>44735</v>
      </c>
      <c r="C2021" s="13" t="s">
        <v>846</v>
      </c>
      <c r="D2021" s="13" t="s">
        <v>2790</v>
      </c>
      <c r="E2021" s="8">
        <v>2000</v>
      </c>
      <c r="F2021" s="13" t="s">
        <v>70</v>
      </c>
      <c r="G2021" s="14">
        <v>44747</v>
      </c>
      <c r="H2021" s="13" t="s">
        <v>9</v>
      </c>
    </row>
    <row r="2022" spans="1:8" ht="14.4" x14ac:dyDescent="0.3">
      <c r="A2022" s="8">
        <v>79752083</v>
      </c>
      <c r="B2022" s="11">
        <v>44735</v>
      </c>
      <c r="C2022" s="13" t="s">
        <v>854</v>
      </c>
      <c r="D2022" s="13" t="s">
        <v>2790</v>
      </c>
      <c r="E2022" s="8">
        <v>2000</v>
      </c>
      <c r="F2022" s="13" t="s">
        <v>70</v>
      </c>
      <c r="G2022" s="14">
        <v>44747</v>
      </c>
      <c r="H2022" s="13" t="s">
        <v>9</v>
      </c>
    </row>
    <row r="2023" spans="1:8" ht="14.4" x14ac:dyDescent="0.3">
      <c r="A2023" s="8">
        <v>79752085</v>
      </c>
      <c r="B2023" s="11">
        <v>44735</v>
      </c>
      <c r="C2023" s="13" t="s">
        <v>2796</v>
      </c>
      <c r="D2023" s="13" t="s">
        <v>2797</v>
      </c>
      <c r="E2023" s="8">
        <v>23345</v>
      </c>
      <c r="F2023" s="13" t="s">
        <v>70</v>
      </c>
      <c r="G2023" s="14">
        <v>44762</v>
      </c>
      <c r="H2023" s="13" t="s">
        <v>9</v>
      </c>
    </row>
    <row r="2024" spans="1:8" ht="14.4" x14ac:dyDescent="0.3">
      <c r="A2024" s="8">
        <v>79752086</v>
      </c>
      <c r="B2024" s="11">
        <v>44735</v>
      </c>
      <c r="C2024" s="13" t="s">
        <v>2798</v>
      </c>
      <c r="D2024" s="13" t="s">
        <v>2799</v>
      </c>
      <c r="E2024" s="8">
        <v>3993.46</v>
      </c>
      <c r="F2024" s="13" t="s">
        <v>70</v>
      </c>
      <c r="G2024" s="14">
        <v>44736</v>
      </c>
      <c r="H2024" s="13" t="s">
        <v>9</v>
      </c>
    </row>
    <row r="2025" spans="1:8" ht="14.4" x14ac:dyDescent="0.3">
      <c r="A2025" s="8">
        <v>79752087</v>
      </c>
      <c r="B2025" s="11">
        <v>44735</v>
      </c>
      <c r="C2025" s="13" t="s">
        <v>55</v>
      </c>
      <c r="D2025" s="13" t="s">
        <v>34</v>
      </c>
      <c r="E2025" s="8">
        <v>43160.28</v>
      </c>
      <c r="F2025" s="13" t="s">
        <v>70</v>
      </c>
      <c r="G2025" s="14">
        <v>44755</v>
      </c>
      <c r="H2025" s="13" t="s">
        <v>9</v>
      </c>
    </row>
    <row r="2026" spans="1:8" ht="14.4" x14ac:dyDescent="0.3">
      <c r="A2026" s="8">
        <v>79752088</v>
      </c>
      <c r="B2026" s="11">
        <v>44735</v>
      </c>
      <c r="C2026" s="13" t="s">
        <v>2800</v>
      </c>
      <c r="D2026" s="13" t="s">
        <v>34</v>
      </c>
      <c r="E2026" s="8">
        <v>19250</v>
      </c>
      <c r="F2026" s="13" t="s">
        <v>70</v>
      </c>
      <c r="G2026" s="14">
        <v>44769</v>
      </c>
      <c r="H2026" s="13" t="s">
        <v>9</v>
      </c>
    </row>
    <row r="2027" spans="1:8" ht="14.4" x14ac:dyDescent="0.3">
      <c r="A2027" s="8">
        <v>79752089</v>
      </c>
      <c r="B2027" s="11">
        <v>44735</v>
      </c>
      <c r="C2027" s="13" t="s">
        <v>245</v>
      </c>
      <c r="D2027" s="13" t="s">
        <v>2801</v>
      </c>
      <c r="E2027" s="8">
        <v>2354.3200000000002</v>
      </c>
      <c r="F2027" s="13" t="s">
        <v>70</v>
      </c>
      <c r="G2027" s="14">
        <v>44740</v>
      </c>
      <c r="H2027" s="13" t="s">
        <v>9</v>
      </c>
    </row>
    <row r="2028" spans="1:8" ht="14.4" x14ac:dyDescent="0.3">
      <c r="A2028" s="8">
        <v>79752090</v>
      </c>
      <c r="B2028" s="11">
        <v>44735</v>
      </c>
      <c r="C2028" s="13" t="s">
        <v>405</v>
      </c>
      <c r="D2028" s="13" t="s">
        <v>2802</v>
      </c>
      <c r="E2028" s="8">
        <v>11449.8</v>
      </c>
      <c r="F2028" s="13" t="s">
        <v>70</v>
      </c>
      <c r="G2028" s="14">
        <v>44739</v>
      </c>
      <c r="H2028" s="13" t="s">
        <v>9</v>
      </c>
    </row>
    <row r="2029" spans="1:8" ht="14.4" x14ac:dyDescent="0.3">
      <c r="A2029" s="8">
        <v>79752091</v>
      </c>
      <c r="B2029" s="11">
        <v>44735</v>
      </c>
      <c r="C2029" s="13" t="s">
        <v>1380</v>
      </c>
      <c r="D2029" s="13" t="s">
        <v>2803</v>
      </c>
      <c r="E2029" s="8">
        <v>237493.7</v>
      </c>
      <c r="F2029" s="13" t="s">
        <v>70</v>
      </c>
      <c r="G2029" s="14">
        <v>44739</v>
      </c>
      <c r="H2029" s="13" t="s">
        <v>9</v>
      </c>
    </row>
    <row r="2030" spans="1:8" ht="14.4" x14ac:dyDescent="0.3">
      <c r="A2030" s="8">
        <v>79752092</v>
      </c>
      <c r="B2030" s="11">
        <v>44735</v>
      </c>
      <c r="C2030" s="13" t="s">
        <v>26</v>
      </c>
      <c r="D2030" s="13" t="s">
        <v>2804</v>
      </c>
      <c r="E2030" s="8">
        <v>4031.25</v>
      </c>
      <c r="F2030" s="13" t="s">
        <v>70</v>
      </c>
      <c r="G2030" s="14">
        <v>44747</v>
      </c>
      <c r="H2030" s="13" t="s">
        <v>9</v>
      </c>
    </row>
    <row r="2031" spans="1:8" ht="14.4" x14ac:dyDescent="0.3">
      <c r="A2031" s="8">
        <v>79752093</v>
      </c>
      <c r="B2031" s="11">
        <v>44735</v>
      </c>
      <c r="C2031" s="13" t="s">
        <v>988</v>
      </c>
      <c r="D2031" s="13" t="s">
        <v>2805</v>
      </c>
      <c r="E2031" s="8">
        <v>102900</v>
      </c>
      <c r="F2031" s="13" t="s">
        <v>70</v>
      </c>
      <c r="G2031" s="14">
        <v>44769</v>
      </c>
      <c r="H2031" s="13" t="s">
        <v>9</v>
      </c>
    </row>
    <row r="2032" spans="1:8" ht="14.4" x14ac:dyDescent="0.3">
      <c r="A2032" s="8">
        <v>79752094</v>
      </c>
      <c r="B2032" s="11">
        <v>44735</v>
      </c>
      <c r="C2032" s="13" t="s">
        <v>265</v>
      </c>
      <c r="D2032" s="13" t="s">
        <v>2806</v>
      </c>
      <c r="E2032" s="8">
        <v>83660</v>
      </c>
      <c r="F2032" s="13" t="s">
        <v>70</v>
      </c>
      <c r="G2032" s="14">
        <v>44739</v>
      </c>
      <c r="H2032" s="13" t="s">
        <v>9</v>
      </c>
    </row>
    <row r="2033" spans="1:8" ht="14.4" x14ac:dyDescent="0.3">
      <c r="A2033" s="8">
        <v>79752095</v>
      </c>
      <c r="B2033" s="11">
        <v>44735</v>
      </c>
      <c r="C2033" s="13" t="s">
        <v>363</v>
      </c>
      <c r="D2033" s="13" t="s">
        <v>2807</v>
      </c>
      <c r="E2033" s="8">
        <v>39734.83</v>
      </c>
      <c r="F2033" s="13" t="s">
        <v>70</v>
      </c>
      <c r="G2033" s="14">
        <v>44740</v>
      </c>
      <c r="H2033" s="13" t="s">
        <v>9</v>
      </c>
    </row>
    <row r="2034" spans="1:8" ht="14.4" x14ac:dyDescent="0.3">
      <c r="A2034" s="8">
        <v>79752096</v>
      </c>
      <c r="B2034" s="11">
        <v>44735</v>
      </c>
      <c r="C2034" s="13" t="s">
        <v>180</v>
      </c>
      <c r="D2034" s="13" t="s">
        <v>2808</v>
      </c>
      <c r="E2034" s="8">
        <v>333038.09000000003</v>
      </c>
      <c r="F2034" s="13" t="s">
        <v>70</v>
      </c>
      <c r="G2034" s="14">
        <v>44736</v>
      </c>
      <c r="H2034" s="13" t="s">
        <v>9</v>
      </c>
    </row>
    <row r="2035" spans="1:8" ht="14.4" x14ac:dyDescent="0.3">
      <c r="A2035" s="8">
        <v>79752097</v>
      </c>
      <c r="B2035" s="11">
        <v>44735</v>
      </c>
      <c r="C2035" s="13" t="s">
        <v>2809</v>
      </c>
      <c r="D2035" s="13" t="s">
        <v>2810</v>
      </c>
      <c r="E2035" s="8">
        <v>41097.760000000002</v>
      </c>
      <c r="F2035" s="13" t="s">
        <v>70</v>
      </c>
      <c r="G2035" s="14">
        <v>44739</v>
      </c>
      <c r="H2035" s="13" t="s">
        <v>9</v>
      </c>
    </row>
    <row r="2036" spans="1:8" ht="14.4" x14ac:dyDescent="0.3">
      <c r="A2036" s="8">
        <v>79752098</v>
      </c>
      <c r="B2036" s="11">
        <v>44735</v>
      </c>
      <c r="C2036" s="13" t="s">
        <v>122</v>
      </c>
      <c r="D2036" s="13" t="s">
        <v>2811</v>
      </c>
      <c r="E2036" s="8">
        <v>10000</v>
      </c>
      <c r="F2036" s="13" t="s">
        <v>70</v>
      </c>
      <c r="G2036" s="14">
        <v>44740</v>
      </c>
      <c r="H2036" s="13" t="s">
        <v>9</v>
      </c>
    </row>
    <row r="2037" spans="1:8" ht="14.4" x14ac:dyDescent="0.3">
      <c r="A2037" s="8">
        <v>79752099</v>
      </c>
      <c r="B2037" s="11">
        <v>44735</v>
      </c>
      <c r="C2037" s="13" t="s">
        <v>2812</v>
      </c>
      <c r="D2037" s="13" t="s">
        <v>2813</v>
      </c>
      <c r="E2037" s="8">
        <v>30000</v>
      </c>
      <c r="F2037" s="13" t="s">
        <v>70</v>
      </c>
      <c r="G2037" s="14">
        <v>44742</v>
      </c>
      <c r="H2037" s="13" t="s">
        <v>9</v>
      </c>
    </row>
    <row r="2038" spans="1:8" ht="14.4" x14ac:dyDescent="0.3">
      <c r="A2038" s="8">
        <v>79752100</v>
      </c>
      <c r="B2038" s="11">
        <v>44735</v>
      </c>
      <c r="C2038" s="13" t="s">
        <v>2814</v>
      </c>
      <c r="D2038" s="13" t="s">
        <v>2815</v>
      </c>
      <c r="E2038" s="8">
        <v>9000</v>
      </c>
      <c r="F2038" s="13" t="s">
        <v>70</v>
      </c>
      <c r="G2038" s="14">
        <v>44742</v>
      </c>
      <c r="H2038" s="13" t="s">
        <v>9</v>
      </c>
    </row>
    <row r="2039" spans="1:8" ht="14.4" x14ac:dyDescent="0.3">
      <c r="A2039" s="8">
        <v>82186801</v>
      </c>
      <c r="B2039" s="11">
        <v>44735</v>
      </c>
      <c r="C2039" s="13" t="s">
        <v>2816</v>
      </c>
      <c r="D2039" s="13" t="s">
        <v>2817</v>
      </c>
      <c r="E2039" s="8">
        <v>8000</v>
      </c>
      <c r="F2039" s="13" t="s">
        <v>70</v>
      </c>
      <c r="G2039" s="14">
        <v>44743</v>
      </c>
      <c r="H2039" s="13" t="s">
        <v>9</v>
      </c>
    </row>
    <row r="2040" spans="1:8" ht="14.4" x14ac:dyDescent="0.3">
      <c r="A2040" s="8">
        <v>82186802</v>
      </c>
      <c r="B2040" s="11">
        <v>44735</v>
      </c>
      <c r="C2040" s="13" t="s">
        <v>1276</v>
      </c>
      <c r="D2040" s="13" t="s">
        <v>2818</v>
      </c>
      <c r="E2040" s="8">
        <v>10000</v>
      </c>
      <c r="F2040" s="13" t="s">
        <v>70</v>
      </c>
      <c r="G2040" s="14">
        <v>44739</v>
      </c>
      <c r="H2040" s="13" t="s">
        <v>9</v>
      </c>
    </row>
    <row r="2041" spans="1:8" ht="14.4" x14ac:dyDescent="0.3">
      <c r="A2041" s="8">
        <v>82186803</v>
      </c>
      <c r="B2041" s="11">
        <v>44735</v>
      </c>
      <c r="C2041" s="13" t="s">
        <v>2819</v>
      </c>
      <c r="D2041" s="13" t="s">
        <v>2820</v>
      </c>
      <c r="E2041" s="8">
        <v>20000</v>
      </c>
      <c r="F2041" s="13" t="s">
        <v>70</v>
      </c>
      <c r="G2041" s="14">
        <v>44742</v>
      </c>
      <c r="H2041" s="13" t="s">
        <v>9</v>
      </c>
    </row>
    <row r="2042" spans="1:8" ht="14.4" x14ac:dyDescent="0.3">
      <c r="A2042" s="8">
        <v>82186804</v>
      </c>
      <c r="B2042" s="11">
        <v>44735</v>
      </c>
      <c r="C2042" s="13" t="s">
        <v>2821</v>
      </c>
      <c r="D2042" s="13" t="s">
        <v>2822</v>
      </c>
      <c r="E2042" s="8">
        <v>10000</v>
      </c>
      <c r="F2042" s="13" t="s">
        <v>70</v>
      </c>
      <c r="G2042" s="14">
        <v>44742</v>
      </c>
      <c r="H2042" s="13" t="s">
        <v>9</v>
      </c>
    </row>
    <row r="2043" spans="1:8" ht="14.4" x14ac:dyDescent="0.3">
      <c r="A2043" s="8">
        <v>82186806</v>
      </c>
      <c r="B2043" s="11">
        <v>44735</v>
      </c>
      <c r="C2043" s="13" t="s">
        <v>2823</v>
      </c>
      <c r="D2043" s="13" t="s">
        <v>2824</v>
      </c>
      <c r="E2043" s="8">
        <v>20000</v>
      </c>
      <c r="F2043" s="13" t="s">
        <v>70</v>
      </c>
      <c r="G2043" s="14">
        <v>44742</v>
      </c>
      <c r="H2043" s="13" t="s">
        <v>9</v>
      </c>
    </row>
    <row r="2044" spans="1:8" ht="14.4" x14ac:dyDescent="0.3">
      <c r="A2044" s="8">
        <v>82186807</v>
      </c>
      <c r="B2044" s="11">
        <v>44735</v>
      </c>
      <c r="C2044" s="13" t="s">
        <v>2825</v>
      </c>
      <c r="D2044" s="13" t="s">
        <v>2826</v>
      </c>
      <c r="E2044" s="8">
        <v>10000</v>
      </c>
      <c r="F2044" s="13" t="s">
        <v>70</v>
      </c>
      <c r="G2044" s="14">
        <v>44739</v>
      </c>
      <c r="H2044" s="13" t="s">
        <v>9</v>
      </c>
    </row>
    <row r="2045" spans="1:8" ht="14.4" x14ac:dyDescent="0.3">
      <c r="A2045" s="8">
        <v>82186808</v>
      </c>
      <c r="B2045" s="11">
        <v>44735</v>
      </c>
      <c r="C2045" s="13" t="s">
        <v>2827</v>
      </c>
      <c r="D2045" s="13" t="s">
        <v>2828</v>
      </c>
      <c r="E2045" s="8">
        <v>6000</v>
      </c>
      <c r="F2045" s="13" t="s">
        <v>70</v>
      </c>
      <c r="G2045" s="14">
        <v>44743</v>
      </c>
      <c r="H2045" s="13" t="s">
        <v>9</v>
      </c>
    </row>
    <row r="2046" spans="1:8" ht="14.4" x14ac:dyDescent="0.3">
      <c r="A2046" s="8">
        <v>82186809</v>
      </c>
      <c r="B2046" s="11">
        <v>44735</v>
      </c>
      <c r="C2046" s="13" t="s">
        <v>2829</v>
      </c>
      <c r="D2046" s="13" t="s">
        <v>2830</v>
      </c>
      <c r="E2046" s="8">
        <v>50000</v>
      </c>
      <c r="F2046" s="13" t="s">
        <v>70</v>
      </c>
      <c r="G2046" s="14">
        <v>44739</v>
      </c>
      <c r="H2046" s="13" t="s">
        <v>9</v>
      </c>
    </row>
    <row r="2047" spans="1:8" ht="14.4" x14ac:dyDescent="0.3">
      <c r="A2047" s="8">
        <v>82186810</v>
      </c>
      <c r="B2047" s="11">
        <v>44735</v>
      </c>
      <c r="C2047" s="13" t="s">
        <v>2831</v>
      </c>
      <c r="D2047" s="13" t="s">
        <v>2832</v>
      </c>
      <c r="E2047" s="8">
        <v>10000</v>
      </c>
      <c r="F2047" s="13" t="s">
        <v>70</v>
      </c>
      <c r="G2047" s="14">
        <v>44743</v>
      </c>
      <c r="H2047" s="13" t="s">
        <v>9</v>
      </c>
    </row>
    <row r="2048" spans="1:8" ht="14.4" x14ac:dyDescent="0.3">
      <c r="A2048" s="8">
        <v>82186811</v>
      </c>
      <c r="B2048" s="11">
        <v>44735</v>
      </c>
      <c r="C2048" s="13" t="s">
        <v>2833</v>
      </c>
      <c r="D2048" s="13" t="s">
        <v>2834</v>
      </c>
      <c r="E2048" s="8">
        <v>10000</v>
      </c>
      <c r="F2048" s="13" t="s">
        <v>70</v>
      </c>
      <c r="G2048" s="14">
        <v>44739</v>
      </c>
      <c r="H2048" s="13" t="s">
        <v>9</v>
      </c>
    </row>
    <row r="2049" spans="1:8" ht="14.4" x14ac:dyDescent="0.3">
      <c r="A2049" s="8">
        <v>82186812</v>
      </c>
      <c r="B2049" s="11">
        <v>44735</v>
      </c>
      <c r="C2049" s="13" t="s">
        <v>2711</v>
      </c>
      <c r="D2049" s="13" t="s">
        <v>2835</v>
      </c>
      <c r="E2049" s="8">
        <v>14196.43</v>
      </c>
      <c r="F2049" s="13" t="s">
        <v>70</v>
      </c>
      <c r="G2049" s="14">
        <v>44741</v>
      </c>
      <c r="H2049" s="13" t="s">
        <v>9</v>
      </c>
    </row>
    <row r="2050" spans="1:8" ht="14.4" x14ac:dyDescent="0.3">
      <c r="A2050" s="8">
        <v>82186813</v>
      </c>
      <c r="B2050" s="11">
        <v>44735</v>
      </c>
      <c r="C2050" s="13" t="s">
        <v>1941</v>
      </c>
      <c r="D2050" s="13" t="s">
        <v>2836</v>
      </c>
      <c r="E2050" s="8">
        <v>17395.349999999999</v>
      </c>
      <c r="F2050" s="13" t="s">
        <v>70</v>
      </c>
      <c r="G2050" s="14">
        <v>44740</v>
      </c>
      <c r="H2050" s="13" t="s">
        <v>9</v>
      </c>
    </row>
    <row r="2051" spans="1:8" ht="14.4" x14ac:dyDescent="0.3">
      <c r="A2051" s="8">
        <v>82186814</v>
      </c>
      <c r="B2051" s="11">
        <v>44735</v>
      </c>
      <c r="C2051" s="13" t="s">
        <v>2583</v>
      </c>
      <c r="D2051" s="13" t="s">
        <v>2837</v>
      </c>
      <c r="E2051" s="8">
        <v>37125</v>
      </c>
      <c r="F2051" s="13" t="s">
        <v>70</v>
      </c>
      <c r="G2051" s="14">
        <v>44750</v>
      </c>
      <c r="H2051" s="13" t="s">
        <v>9</v>
      </c>
    </row>
    <row r="2052" spans="1:8" ht="14.4" x14ac:dyDescent="0.3">
      <c r="A2052" s="8">
        <v>82186815</v>
      </c>
      <c r="B2052" s="11">
        <v>44735</v>
      </c>
      <c r="C2052" s="13" t="s">
        <v>1784</v>
      </c>
      <c r="D2052" s="13" t="s">
        <v>1799</v>
      </c>
      <c r="E2052" s="8">
        <v>39700</v>
      </c>
      <c r="F2052" s="13" t="s">
        <v>70</v>
      </c>
      <c r="G2052" s="14">
        <v>44740</v>
      </c>
      <c r="H2052" s="13" t="s">
        <v>9</v>
      </c>
    </row>
    <row r="2053" spans="1:8" ht="14.4" x14ac:dyDescent="0.3">
      <c r="A2053" s="8">
        <v>82186816</v>
      </c>
      <c r="B2053" s="11">
        <v>44735</v>
      </c>
      <c r="C2053" s="13" t="s">
        <v>25</v>
      </c>
      <c r="D2053" s="13" t="s">
        <v>2838</v>
      </c>
      <c r="E2053" s="8">
        <v>15616.07</v>
      </c>
      <c r="F2053" s="13" t="s">
        <v>70</v>
      </c>
      <c r="G2053" s="14">
        <v>44736</v>
      </c>
      <c r="H2053" s="13" t="s">
        <v>9</v>
      </c>
    </row>
    <row r="2054" spans="1:8" ht="14.4" x14ac:dyDescent="0.3">
      <c r="A2054" s="8">
        <v>82186817</v>
      </c>
      <c r="B2054" s="11">
        <v>44735</v>
      </c>
      <c r="C2054" s="13" t="s">
        <v>1424</v>
      </c>
      <c r="D2054" s="13" t="s">
        <v>2839</v>
      </c>
      <c r="E2054" s="8">
        <v>6293.74</v>
      </c>
      <c r="F2054" s="13" t="s">
        <v>70</v>
      </c>
      <c r="G2054" s="14">
        <v>44756</v>
      </c>
      <c r="H2054" s="13" t="s">
        <v>9</v>
      </c>
    </row>
    <row r="2055" spans="1:8" ht="14.4" x14ac:dyDescent="0.3">
      <c r="A2055" s="8">
        <v>82186818</v>
      </c>
      <c r="B2055" s="11">
        <v>44735</v>
      </c>
      <c r="C2055" s="13" t="s">
        <v>2711</v>
      </c>
      <c r="D2055" s="13" t="s">
        <v>2840</v>
      </c>
      <c r="E2055" s="8">
        <v>25506.240000000002</v>
      </c>
      <c r="F2055" s="13" t="s">
        <v>70</v>
      </c>
      <c r="G2055" s="14">
        <v>44741</v>
      </c>
      <c r="H2055" s="13" t="s">
        <v>9</v>
      </c>
    </row>
    <row r="2056" spans="1:8" ht="14.4" x14ac:dyDescent="0.3">
      <c r="A2056" s="8">
        <v>82186819</v>
      </c>
      <c r="B2056" s="11">
        <v>44735</v>
      </c>
      <c r="C2056" s="13" t="s">
        <v>361</v>
      </c>
      <c r="D2056" s="13" t="s">
        <v>2841</v>
      </c>
      <c r="E2056" s="8">
        <v>7666.07</v>
      </c>
      <c r="F2056" s="13" t="s">
        <v>70</v>
      </c>
      <c r="G2056" s="14">
        <v>44756</v>
      </c>
      <c r="H2056" s="13" t="s">
        <v>9</v>
      </c>
    </row>
    <row r="2057" spans="1:8" ht="14.4" x14ac:dyDescent="0.3">
      <c r="A2057" s="8">
        <v>82186820</v>
      </c>
      <c r="B2057" s="11">
        <v>44735</v>
      </c>
      <c r="C2057" s="13" t="s">
        <v>2842</v>
      </c>
      <c r="D2057" s="13" t="s">
        <v>2843</v>
      </c>
      <c r="E2057" s="8">
        <v>8140</v>
      </c>
      <c r="F2057" s="13" t="s">
        <v>70</v>
      </c>
      <c r="G2057" s="14">
        <v>44739</v>
      </c>
      <c r="H2057" s="13" t="s">
        <v>9</v>
      </c>
    </row>
    <row r="2058" spans="1:8" ht="14.4" x14ac:dyDescent="0.3">
      <c r="A2058" s="8">
        <v>82186821</v>
      </c>
      <c r="B2058" s="11">
        <v>44735</v>
      </c>
      <c r="C2058" s="13" t="s">
        <v>1784</v>
      </c>
      <c r="D2058" s="13" t="s">
        <v>2844</v>
      </c>
      <c r="E2058" s="8">
        <v>10575</v>
      </c>
      <c r="F2058" s="13" t="s">
        <v>70</v>
      </c>
      <c r="G2058" s="14">
        <v>44740</v>
      </c>
      <c r="H2058" s="13" t="s">
        <v>9</v>
      </c>
    </row>
    <row r="2059" spans="1:8" ht="14.4" x14ac:dyDescent="0.3">
      <c r="A2059" s="8">
        <v>82186822</v>
      </c>
      <c r="B2059" s="11">
        <v>44735</v>
      </c>
      <c r="C2059" s="13" t="s">
        <v>127</v>
      </c>
      <c r="D2059" s="13" t="s">
        <v>2845</v>
      </c>
      <c r="E2059" s="8">
        <v>73471.44</v>
      </c>
      <c r="F2059" s="13" t="s">
        <v>70</v>
      </c>
      <c r="G2059" s="14">
        <v>44739</v>
      </c>
      <c r="H2059" s="13" t="s">
        <v>9</v>
      </c>
    </row>
    <row r="2060" spans="1:8" ht="14.4" x14ac:dyDescent="0.3">
      <c r="A2060" s="8">
        <v>82186823</v>
      </c>
      <c r="B2060" s="11">
        <v>44735</v>
      </c>
      <c r="C2060" s="13" t="s">
        <v>1784</v>
      </c>
      <c r="D2060" s="13" t="s">
        <v>2846</v>
      </c>
      <c r="E2060" s="8">
        <v>1000</v>
      </c>
      <c r="F2060" s="13" t="s">
        <v>70</v>
      </c>
      <c r="G2060" s="14">
        <v>44740</v>
      </c>
      <c r="H2060" s="13" t="s">
        <v>9</v>
      </c>
    </row>
    <row r="2061" spans="1:8" ht="14.4" x14ac:dyDescent="0.3">
      <c r="A2061" s="8">
        <v>82186824</v>
      </c>
      <c r="B2061" s="11">
        <v>44735</v>
      </c>
      <c r="C2061" s="13" t="s">
        <v>1522</v>
      </c>
      <c r="D2061" s="13" t="s">
        <v>2847</v>
      </c>
      <c r="E2061" s="8">
        <v>33950</v>
      </c>
      <c r="F2061" s="13" t="s">
        <v>70</v>
      </c>
      <c r="G2061" s="14">
        <v>44747</v>
      </c>
      <c r="H2061" s="13" t="s">
        <v>9</v>
      </c>
    </row>
    <row r="2062" spans="1:8" ht="14.4" x14ac:dyDescent="0.3">
      <c r="A2062" s="8">
        <v>82186825</v>
      </c>
      <c r="B2062" s="11">
        <v>44735</v>
      </c>
      <c r="C2062" s="13" t="s">
        <v>265</v>
      </c>
      <c r="D2062" s="13" t="s">
        <v>2848</v>
      </c>
      <c r="E2062" s="8">
        <v>19491</v>
      </c>
      <c r="F2062" s="13" t="s">
        <v>70</v>
      </c>
      <c r="G2062" s="14">
        <v>44739</v>
      </c>
      <c r="H2062" s="13" t="s">
        <v>9</v>
      </c>
    </row>
    <row r="2063" spans="1:8" ht="14.4" x14ac:dyDescent="0.3">
      <c r="A2063" s="8">
        <v>82186826</v>
      </c>
      <c r="B2063" s="11">
        <v>44735</v>
      </c>
      <c r="C2063" s="13" t="s">
        <v>53</v>
      </c>
      <c r="D2063" s="13" t="s">
        <v>2849</v>
      </c>
      <c r="E2063" s="8">
        <v>265031.2</v>
      </c>
      <c r="F2063" s="13" t="s">
        <v>70</v>
      </c>
      <c r="G2063" s="14">
        <v>44742</v>
      </c>
      <c r="H2063" s="13" t="s">
        <v>9</v>
      </c>
    </row>
    <row r="2064" spans="1:8" ht="14.4" x14ac:dyDescent="0.3">
      <c r="A2064" s="8">
        <v>82186827</v>
      </c>
      <c r="B2064" s="11">
        <v>44735</v>
      </c>
      <c r="C2064" s="13" t="s">
        <v>374</v>
      </c>
      <c r="D2064" s="13" t="s">
        <v>2850</v>
      </c>
      <c r="E2064" s="8">
        <v>580797</v>
      </c>
      <c r="F2064" s="13" t="s">
        <v>70</v>
      </c>
      <c r="G2064" s="14">
        <v>44739</v>
      </c>
      <c r="H2064" s="13" t="s">
        <v>9</v>
      </c>
    </row>
    <row r="2065" spans="1:8" ht="14.4" x14ac:dyDescent="0.3">
      <c r="A2065" s="8">
        <v>82186828</v>
      </c>
      <c r="B2065" s="11">
        <v>44735</v>
      </c>
      <c r="C2065" s="13" t="s">
        <v>2851</v>
      </c>
      <c r="D2065" s="13" t="s">
        <v>2852</v>
      </c>
      <c r="E2065" s="8">
        <v>5203.8</v>
      </c>
      <c r="F2065" s="13" t="s">
        <v>70</v>
      </c>
      <c r="G2065" s="14">
        <v>44742</v>
      </c>
      <c r="H2065" s="13" t="s">
        <v>9</v>
      </c>
    </row>
    <row r="2066" spans="1:8" ht="14.4" x14ac:dyDescent="0.3">
      <c r="A2066" s="8">
        <v>82186829</v>
      </c>
      <c r="B2066" s="11">
        <v>44735</v>
      </c>
      <c r="C2066" s="13" t="s">
        <v>405</v>
      </c>
      <c r="D2066" s="13" t="s">
        <v>2853</v>
      </c>
      <c r="E2066" s="8">
        <v>29132.97</v>
      </c>
      <c r="F2066" s="13" t="s">
        <v>70</v>
      </c>
      <c r="G2066" s="14">
        <v>44739</v>
      </c>
      <c r="H2066" s="13" t="s">
        <v>9</v>
      </c>
    </row>
    <row r="2067" spans="1:8" ht="14.4" x14ac:dyDescent="0.3">
      <c r="A2067" s="8">
        <v>82186830</v>
      </c>
      <c r="B2067" s="11">
        <v>44735</v>
      </c>
      <c r="C2067" s="13" t="s">
        <v>53</v>
      </c>
      <c r="D2067" s="13" t="s">
        <v>2854</v>
      </c>
      <c r="E2067" s="8">
        <v>254447.2</v>
      </c>
      <c r="F2067" s="13" t="s">
        <v>70</v>
      </c>
      <c r="G2067" s="14">
        <v>44742</v>
      </c>
      <c r="H2067" s="13" t="s">
        <v>9</v>
      </c>
    </row>
    <row r="2068" spans="1:8" ht="14.4" x14ac:dyDescent="0.3">
      <c r="A2068" s="8">
        <v>82186831</v>
      </c>
      <c r="B2068" s="11">
        <v>44735</v>
      </c>
      <c r="C2068" s="13" t="s">
        <v>2851</v>
      </c>
      <c r="D2068" s="13" t="s">
        <v>2855</v>
      </c>
      <c r="E2068" s="8">
        <v>7448</v>
      </c>
      <c r="F2068" s="13" t="s">
        <v>70</v>
      </c>
      <c r="G2068" s="14">
        <v>44742</v>
      </c>
      <c r="H2068" s="13" t="s">
        <v>9</v>
      </c>
    </row>
    <row r="2069" spans="1:8" ht="14.4" x14ac:dyDescent="0.3">
      <c r="A2069" s="8">
        <v>82186832</v>
      </c>
      <c r="B2069" s="11">
        <v>44735</v>
      </c>
      <c r="C2069" s="13" t="s">
        <v>1736</v>
      </c>
      <c r="D2069" s="13" t="s">
        <v>2856</v>
      </c>
      <c r="E2069" s="8">
        <v>4850</v>
      </c>
      <c r="F2069" s="13" t="s">
        <v>70</v>
      </c>
      <c r="G2069" s="14">
        <v>44736</v>
      </c>
      <c r="H2069" s="13" t="s">
        <v>9</v>
      </c>
    </row>
    <row r="2070" spans="1:8" ht="14.4" x14ac:dyDescent="0.3">
      <c r="A2070" s="8">
        <v>82186833</v>
      </c>
      <c r="B2070" s="11">
        <v>44735</v>
      </c>
      <c r="C2070" s="13" t="s">
        <v>1946</v>
      </c>
      <c r="D2070" s="13" t="s">
        <v>2857</v>
      </c>
      <c r="E2070" s="8">
        <v>6625</v>
      </c>
      <c r="F2070" s="13" t="s">
        <v>70</v>
      </c>
      <c r="G2070" s="14">
        <v>44747</v>
      </c>
      <c r="H2070" s="13" t="s">
        <v>9</v>
      </c>
    </row>
    <row r="2071" spans="1:8" ht="14.4" x14ac:dyDescent="0.3">
      <c r="A2071" s="8">
        <v>82186834</v>
      </c>
      <c r="B2071" s="11">
        <v>44735</v>
      </c>
      <c r="C2071" s="13" t="s">
        <v>1946</v>
      </c>
      <c r="D2071" s="13" t="s">
        <v>2858</v>
      </c>
      <c r="E2071" s="8">
        <v>5867.85</v>
      </c>
      <c r="F2071" s="13" t="s">
        <v>70</v>
      </c>
      <c r="G2071" s="14">
        <v>44747</v>
      </c>
      <c r="H2071" s="13" t="s">
        <v>9</v>
      </c>
    </row>
    <row r="2072" spans="1:8" ht="14.4" x14ac:dyDescent="0.3">
      <c r="A2072" s="8">
        <v>82186835</v>
      </c>
      <c r="B2072" s="11">
        <v>44735</v>
      </c>
      <c r="C2072" s="13" t="s">
        <v>127</v>
      </c>
      <c r="D2072" s="13" t="s">
        <v>2859</v>
      </c>
      <c r="E2072" s="8">
        <v>3790.15</v>
      </c>
      <c r="F2072" s="13" t="s">
        <v>70</v>
      </c>
      <c r="G2072" s="14">
        <v>44739</v>
      </c>
      <c r="H2072" s="13" t="s">
        <v>9</v>
      </c>
    </row>
    <row r="2073" spans="1:8" ht="14.4" x14ac:dyDescent="0.3">
      <c r="A2073" s="8">
        <v>82186836</v>
      </c>
      <c r="B2073" s="11">
        <v>44735</v>
      </c>
      <c r="C2073" s="13" t="s">
        <v>1784</v>
      </c>
      <c r="D2073" s="13" t="s">
        <v>2860</v>
      </c>
      <c r="E2073" s="8">
        <v>10000</v>
      </c>
      <c r="F2073" s="13" t="s">
        <v>70</v>
      </c>
      <c r="G2073" s="14">
        <v>44740</v>
      </c>
      <c r="H2073" s="13" t="s">
        <v>9</v>
      </c>
    </row>
    <row r="2074" spans="1:8" ht="14.4" x14ac:dyDescent="0.3">
      <c r="A2074" s="8">
        <v>82186839</v>
      </c>
      <c r="B2074" s="11">
        <v>44736</v>
      </c>
      <c r="C2074" s="13" t="s">
        <v>876</v>
      </c>
      <c r="D2074" s="13" t="s">
        <v>2861</v>
      </c>
      <c r="E2074" s="8">
        <v>20000</v>
      </c>
      <c r="F2074" s="13" t="s">
        <v>70</v>
      </c>
      <c r="G2074" s="14">
        <v>44743</v>
      </c>
      <c r="H2074" s="13" t="s">
        <v>9</v>
      </c>
    </row>
    <row r="2075" spans="1:8" ht="14.4" x14ac:dyDescent="0.3">
      <c r="A2075" s="8">
        <v>82186840</v>
      </c>
      <c r="B2075" s="11">
        <v>44736</v>
      </c>
      <c r="C2075" s="13" t="s">
        <v>677</v>
      </c>
      <c r="D2075" s="13" t="s">
        <v>2862</v>
      </c>
      <c r="E2075" s="8">
        <v>20000</v>
      </c>
      <c r="F2075" s="13" t="s">
        <v>70</v>
      </c>
      <c r="G2075" s="14">
        <v>44739</v>
      </c>
      <c r="H2075" s="13" t="s">
        <v>9</v>
      </c>
    </row>
    <row r="2076" spans="1:8" ht="14.4" x14ac:dyDescent="0.3">
      <c r="A2076" s="8">
        <v>82186841</v>
      </c>
      <c r="B2076" s="11">
        <v>44736</v>
      </c>
      <c r="C2076" s="13" t="s">
        <v>152</v>
      </c>
      <c r="D2076" s="13" t="s">
        <v>2863</v>
      </c>
      <c r="E2076" s="8">
        <v>22522</v>
      </c>
      <c r="F2076" s="13" t="s">
        <v>70</v>
      </c>
      <c r="G2076" s="14">
        <v>44740</v>
      </c>
      <c r="H2076" s="13" t="s">
        <v>9</v>
      </c>
    </row>
    <row r="2077" spans="1:8" ht="14.4" x14ac:dyDescent="0.3">
      <c r="A2077" s="8">
        <v>82186842</v>
      </c>
      <c r="B2077" s="11">
        <v>44736</v>
      </c>
      <c r="C2077" s="13" t="s">
        <v>265</v>
      </c>
      <c r="D2077" s="13" t="s">
        <v>2864</v>
      </c>
      <c r="E2077" s="8">
        <v>60760</v>
      </c>
      <c r="F2077" s="13" t="s">
        <v>70</v>
      </c>
      <c r="G2077" s="14">
        <v>44739</v>
      </c>
      <c r="H2077" s="13" t="s">
        <v>9</v>
      </c>
    </row>
    <row r="2078" spans="1:8" ht="14.4" x14ac:dyDescent="0.3">
      <c r="A2078" s="8">
        <v>82186843</v>
      </c>
      <c r="B2078" s="11">
        <v>44736</v>
      </c>
      <c r="C2078" s="13" t="s">
        <v>275</v>
      </c>
      <c r="D2078" s="13" t="s">
        <v>2865</v>
      </c>
      <c r="E2078" s="8">
        <v>206220.82</v>
      </c>
      <c r="F2078" s="13" t="s">
        <v>70</v>
      </c>
      <c r="G2078" s="14">
        <v>44739</v>
      </c>
      <c r="H2078" s="13" t="s">
        <v>9</v>
      </c>
    </row>
    <row r="2079" spans="1:8" ht="14.4" x14ac:dyDescent="0.3">
      <c r="A2079" s="8">
        <v>82186844</v>
      </c>
      <c r="B2079" s="11">
        <v>44736</v>
      </c>
      <c r="C2079" s="13" t="s">
        <v>85</v>
      </c>
      <c r="D2079" s="13" t="s">
        <v>2866</v>
      </c>
      <c r="E2079" s="8">
        <v>3937.5</v>
      </c>
      <c r="F2079" s="13" t="s">
        <v>70</v>
      </c>
      <c r="G2079" s="14">
        <v>44739</v>
      </c>
      <c r="H2079" s="13" t="s">
        <v>9</v>
      </c>
    </row>
    <row r="2080" spans="1:8" ht="14.4" x14ac:dyDescent="0.3">
      <c r="A2080" s="8">
        <v>82186845</v>
      </c>
      <c r="B2080" s="11">
        <v>44736</v>
      </c>
      <c r="C2080" s="13" t="s">
        <v>85</v>
      </c>
      <c r="D2080" s="13" t="s">
        <v>2867</v>
      </c>
      <c r="E2080" s="8">
        <v>3310.27</v>
      </c>
      <c r="F2080" s="13" t="s">
        <v>70</v>
      </c>
      <c r="G2080" s="14">
        <v>44739</v>
      </c>
      <c r="H2080" s="13" t="s">
        <v>9</v>
      </c>
    </row>
    <row r="2081" spans="1:8" ht="14.4" x14ac:dyDescent="0.3">
      <c r="A2081" s="8">
        <v>82186846</v>
      </c>
      <c r="B2081" s="11">
        <v>44736</v>
      </c>
      <c r="C2081" s="13" t="s">
        <v>1581</v>
      </c>
      <c r="D2081" s="13" t="s">
        <v>2868</v>
      </c>
      <c r="E2081" s="8">
        <v>66250</v>
      </c>
      <c r="F2081" s="13" t="s">
        <v>70</v>
      </c>
      <c r="G2081" s="14">
        <v>44747</v>
      </c>
      <c r="H2081" s="13" t="s">
        <v>9</v>
      </c>
    </row>
    <row r="2082" spans="1:8" ht="14.4" x14ac:dyDescent="0.3">
      <c r="A2082" s="8">
        <v>82186847</v>
      </c>
      <c r="B2082" s="11">
        <v>44736</v>
      </c>
      <c r="C2082" s="13" t="s">
        <v>2336</v>
      </c>
      <c r="D2082" s="13" t="s">
        <v>2869</v>
      </c>
      <c r="E2082" s="8">
        <v>15000</v>
      </c>
      <c r="F2082" s="13" t="s">
        <v>70</v>
      </c>
      <c r="G2082" s="14">
        <v>44739</v>
      </c>
      <c r="H2082" s="13" t="s">
        <v>9</v>
      </c>
    </row>
    <row r="2083" spans="1:8" ht="14.4" x14ac:dyDescent="0.3">
      <c r="A2083" s="8">
        <v>82186848</v>
      </c>
      <c r="B2083" s="11">
        <v>44736</v>
      </c>
      <c r="C2083" s="13" t="s">
        <v>506</v>
      </c>
      <c r="D2083" s="13" t="s">
        <v>2870</v>
      </c>
      <c r="E2083" s="8">
        <v>35000</v>
      </c>
      <c r="F2083" s="13" t="s">
        <v>70</v>
      </c>
      <c r="G2083" s="14">
        <v>44761</v>
      </c>
      <c r="H2083" s="13" t="s">
        <v>9</v>
      </c>
    </row>
    <row r="2084" spans="1:8" ht="14.4" x14ac:dyDescent="0.3">
      <c r="A2084" s="8">
        <v>82186849</v>
      </c>
      <c r="B2084" s="11">
        <v>44736</v>
      </c>
      <c r="C2084" s="13" t="s">
        <v>1286</v>
      </c>
      <c r="D2084" s="13" t="s">
        <v>2473</v>
      </c>
      <c r="E2084" s="8">
        <v>299450.09999999998</v>
      </c>
      <c r="F2084" s="13" t="s">
        <v>70</v>
      </c>
      <c r="G2084" s="14">
        <v>44739</v>
      </c>
      <c r="H2084" s="13" t="s">
        <v>9</v>
      </c>
    </row>
    <row r="2085" spans="1:8" ht="14.4" x14ac:dyDescent="0.3">
      <c r="A2085" s="8">
        <v>82186850</v>
      </c>
      <c r="B2085" s="11">
        <v>44736</v>
      </c>
      <c r="C2085" s="13" t="s">
        <v>1286</v>
      </c>
      <c r="D2085" s="13" t="s">
        <v>2860</v>
      </c>
      <c r="E2085" s="8">
        <v>111312.06</v>
      </c>
      <c r="F2085" s="13" t="s">
        <v>70</v>
      </c>
      <c r="G2085" s="14">
        <v>44740</v>
      </c>
      <c r="H2085" s="13" t="s">
        <v>9</v>
      </c>
    </row>
    <row r="2086" spans="1:8" ht="14.4" x14ac:dyDescent="0.3">
      <c r="A2086" s="8">
        <v>82186851</v>
      </c>
      <c r="B2086" s="11">
        <v>44736</v>
      </c>
      <c r="C2086" s="13" t="s">
        <v>1286</v>
      </c>
      <c r="D2086" s="13" t="s">
        <v>2871</v>
      </c>
      <c r="E2086" s="8">
        <v>189689.13</v>
      </c>
      <c r="F2086" s="13" t="s">
        <v>70</v>
      </c>
      <c r="G2086" s="14">
        <v>44740</v>
      </c>
      <c r="H2086" s="13" t="s">
        <v>9</v>
      </c>
    </row>
    <row r="2087" spans="1:8" ht="14.4" x14ac:dyDescent="0.3">
      <c r="A2087" s="8">
        <v>82186852</v>
      </c>
      <c r="B2087" s="11">
        <v>44736</v>
      </c>
      <c r="C2087" s="13" t="s">
        <v>1286</v>
      </c>
      <c r="D2087" s="13" t="s">
        <v>2872</v>
      </c>
      <c r="E2087" s="8">
        <v>7470.44</v>
      </c>
      <c r="F2087" s="13" t="s">
        <v>70</v>
      </c>
      <c r="G2087" s="14">
        <v>44740</v>
      </c>
      <c r="H2087" s="13" t="s">
        <v>9</v>
      </c>
    </row>
    <row r="2088" spans="1:8" ht="14.4" x14ac:dyDescent="0.3">
      <c r="A2088" s="8">
        <v>82186853</v>
      </c>
      <c r="B2088" s="11">
        <v>44736</v>
      </c>
      <c r="C2088" s="13" t="s">
        <v>1286</v>
      </c>
      <c r="D2088" s="13" t="s">
        <v>2873</v>
      </c>
      <c r="E2088" s="8">
        <v>9899.1200000000008</v>
      </c>
      <c r="F2088" s="13" t="s">
        <v>70</v>
      </c>
      <c r="G2088" s="14">
        <v>44740</v>
      </c>
      <c r="H2088" s="13" t="s">
        <v>9</v>
      </c>
    </row>
    <row r="2089" spans="1:8" ht="14.4" x14ac:dyDescent="0.3">
      <c r="A2089" s="8">
        <v>82186854</v>
      </c>
      <c r="B2089" s="11">
        <v>44736</v>
      </c>
      <c r="C2089" s="13" t="s">
        <v>1286</v>
      </c>
      <c r="D2089" s="13" t="s">
        <v>2874</v>
      </c>
      <c r="E2089" s="8">
        <v>6927.37</v>
      </c>
      <c r="F2089" s="13" t="s">
        <v>70</v>
      </c>
      <c r="G2089" s="14">
        <v>44740</v>
      </c>
      <c r="H2089" s="13" t="s">
        <v>9</v>
      </c>
    </row>
    <row r="2090" spans="1:8" ht="14.4" x14ac:dyDescent="0.3">
      <c r="A2090" s="8">
        <v>82186855</v>
      </c>
      <c r="B2090" s="11">
        <v>44736</v>
      </c>
      <c r="C2090" s="13" t="s">
        <v>1286</v>
      </c>
      <c r="D2090" s="13" t="s">
        <v>2656</v>
      </c>
      <c r="E2090" s="8">
        <v>21354.34</v>
      </c>
      <c r="F2090" s="13" t="s">
        <v>70</v>
      </c>
      <c r="G2090" s="14">
        <v>44740</v>
      </c>
      <c r="H2090" s="13" t="s">
        <v>9</v>
      </c>
    </row>
    <row r="2091" spans="1:8" ht="14.4" x14ac:dyDescent="0.3">
      <c r="A2091" s="8">
        <v>82186856</v>
      </c>
      <c r="B2091" s="11">
        <v>44736</v>
      </c>
      <c r="C2091" s="13" t="s">
        <v>1322</v>
      </c>
      <c r="D2091" s="13" t="s">
        <v>2875</v>
      </c>
      <c r="E2091" s="8">
        <v>333.68</v>
      </c>
      <c r="F2091" s="13" t="s">
        <v>70</v>
      </c>
      <c r="G2091" s="14">
        <v>44742</v>
      </c>
      <c r="H2091" s="13" t="s">
        <v>9</v>
      </c>
    </row>
    <row r="2092" spans="1:8" ht="14.4" x14ac:dyDescent="0.3">
      <c r="A2092" s="8">
        <v>82186857</v>
      </c>
      <c r="B2092" s="11">
        <v>44739</v>
      </c>
      <c r="C2092" s="13" t="s">
        <v>2876</v>
      </c>
      <c r="D2092" s="13" t="s">
        <v>2877</v>
      </c>
      <c r="E2092" s="8">
        <v>10000</v>
      </c>
      <c r="F2092" s="13" t="s">
        <v>70</v>
      </c>
      <c r="G2092" s="14">
        <v>44741</v>
      </c>
      <c r="H2092" s="13" t="s">
        <v>9</v>
      </c>
    </row>
    <row r="2093" spans="1:8" ht="14.4" x14ac:dyDescent="0.3">
      <c r="A2093" s="8">
        <v>82186858</v>
      </c>
      <c r="B2093" s="11">
        <v>44739</v>
      </c>
      <c r="C2093" s="13" t="s">
        <v>2878</v>
      </c>
      <c r="D2093" s="13" t="s">
        <v>2879</v>
      </c>
      <c r="E2093" s="8">
        <v>15000</v>
      </c>
      <c r="F2093" s="13" t="s">
        <v>70</v>
      </c>
      <c r="G2093" s="14">
        <v>44742</v>
      </c>
      <c r="H2093" s="13" t="s">
        <v>9</v>
      </c>
    </row>
    <row r="2094" spans="1:8" ht="14.4" x14ac:dyDescent="0.3">
      <c r="A2094" s="8">
        <v>82186859</v>
      </c>
      <c r="B2094" s="11">
        <v>44739</v>
      </c>
      <c r="C2094" s="13" t="s">
        <v>2880</v>
      </c>
      <c r="D2094" s="13" t="s">
        <v>2881</v>
      </c>
      <c r="E2094" s="8">
        <v>9000</v>
      </c>
      <c r="F2094" s="13" t="s">
        <v>70</v>
      </c>
      <c r="G2094" s="14">
        <v>44743</v>
      </c>
      <c r="H2094" s="13" t="s">
        <v>9</v>
      </c>
    </row>
    <row r="2095" spans="1:8" ht="14.4" x14ac:dyDescent="0.3">
      <c r="A2095" s="8">
        <v>82186860</v>
      </c>
      <c r="B2095" s="11">
        <v>44739</v>
      </c>
      <c r="C2095" s="13" t="s">
        <v>2882</v>
      </c>
      <c r="D2095" s="13" t="s">
        <v>2883</v>
      </c>
      <c r="E2095" s="8">
        <v>8000</v>
      </c>
      <c r="F2095" s="13" t="s">
        <v>70</v>
      </c>
      <c r="G2095" s="14">
        <v>44740</v>
      </c>
      <c r="H2095" s="13" t="s">
        <v>9</v>
      </c>
    </row>
    <row r="2096" spans="1:8" ht="14.4" x14ac:dyDescent="0.3">
      <c r="A2096" s="8">
        <v>82186861</v>
      </c>
      <c r="B2096" s="11">
        <v>44739</v>
      </c>
      <c r="C2096" s="13" t="s">
        <v>2884</v>
      </c>
      <c r="D2096" s="13" t="s">
        <v>2885</v>
      </c>
      <c r="E2096" s="8">
        <v>42000</v>
      </c>
      <c r="F2096" s="13" t="s">
        <v>70</v>
      </c>
      <c r="G2096" s="14">
        <v>44740</v>
      </c>
      <c r="H2096" s="13" t="s">
        <v>9</v>
      </c>
    </row>
    <row r="2097" spans="1:8" ht="14.4" x14ac:dyDescent="0.3">
      <c r="A2097" s="8">
        <v>82186862</v>
      </c>
      <c r="B2097" s="11">
        <v>44739</v>
      </c>
      <c r="C2097" s="13" t="s">
        <v>2886</v>
      </c>
      <c r="D2097" s="13" t="s">
        <v>2887</v>
      </c>
      <c r="E2097" s="8">
        <v>7000</v>
      </c>
      <c r="F2097" s="13" t="s">
        <v>70</v>
      </c>
      <c r="G2097" s="14">
        <v>44746</v>
      </c>
      <c r="H2097" s="13" t="s">
        <v>9</v>
      </c>
    </row>
    <row r="2098" spans="1:8" ht="14.4" x14ac:dyDescent="0.3">
      <c r="A2098" s="8">
        <v>82186863</v>
      </c>
      <c r="B2098" s="11">
        <v>44739</v>
      </c>
      <c r="C2098" s="13" t="s">
        <v>2888</v>
      </c>
      <c r="D2098" s="13" t="s">
        <v>2889</v>
      </c>
      <c r="E2098" s="8">
        <v>15000</v>
      </c>
      <c r="F2098" s="13" t="s">
        <v>70</v>
      </c>
      <c r="G2098" s="14">
        <v>44743</v>
      </c>
      <c r="H2098" s="13" t="s">
        <v>9</v>
      </c>
    </row>
    <row r="2099" spans="1:8" ht="14.4" x14ac:dyDescent="0.3">
      <c r="A2099" s="8">
        <v>82186864</v>
      </c>
      <c r="B2099" s="11">
        <v>44739</v>
      </c>
      <c r="C2099" s="13" t="s">
        <v>2890</v>
      </c>
      <c r="D2099" s="13" t="s">
        <v>2891</v>
      </c>
      <c r="E2099" s="8">
        <v>8600</v>
      </c>
      <c r="F2099" s="13" t="s">
        <v>70</v>
      </c>
      <c r="G2099" s="14">
        <v>44746</v>
      </c>
      <c r="H2099" s="13" t="s">
        <v>9</v>
      </c>
    </row>
    <row r="2100" spans="1:8" ht="14.4" x14ac:dyDescent="0.3">
      <c r="A2100" s="8">
        <v>82186865</v>
      </c>
      <c r="B2100" s="11">
        <v>44739</v>
      </c>
      <c r="C2100" s="13" t="s">
        <v>2892</v>
      </c>
      <c r="D2100" s="13" t="s">
        <v>2893</v>
      </c>
      <c r="E2100" s="8">
        <v>14000</v>
      </c>
      <c r="F2100" s="13" t="s">
        <v>70</v>
      </c>
      <c r="G2100" s="14">
        <v>44749</v>
      </c>
      <c r="H2100" s="13" t="s">
        <v>9</v>
      </c>
    </row>
    <row r="2101" spans="1:8" ht="14.4" x14ac:dyDescent="0.3">
      <c r="A2101" s="8">
        <v>82186866</v>
      </c>
      <c r="B2101" s="11">
        <v>44739</v>
      </c>
      <c r="C2101" s="13" t="s">
        <v>2894</v>
      </c>
      <c r="D2101" s="13" t="s">
        <v>2895</v>
      </c>
      <c r="E2101" s="8">
        <v>50000</v>
      </c>
      <c r="F2101" s="13" t="s">
        <v>70</v>
      </c>
      <c r="G2101" s="14">
        <v>44747</v>
      </c>
      <c r="H2101" s="13" t="s">
        <v>9</v>
      </c>
    </row>
    <row r="2102" spans="1:8" ht="14.4" x14ac:dyDescent="0.3">
      <c r="A2102" s="8">
        <v>82186867</v>
      </c>
      <c r="B2102" s="11">
        <v>44739</v>
      </c>
      <c r="C2102" s="13" t="s">
        <v>2896</v>
      </c>
      <c r="D2102" s="13" t="s">
        <v>2897</v>
      </c>
      <c r="E2102" s="8">
        <v>50000</v>
      </c>
      <c r="F2102" s="13" t="s">
        <v>70</v>
      </c>
      <c r="G2102" s="14">
        <v>44746</v>
      </c>
      <c r="H2102" s="13" t="s">
        <v>9</v>
      </c>
    </row>
    <row r="2103" spans="1:8" ht="14.4" x14ac:dyDescent="0.3">
      <c r="A2103" s="8">
        <v>82186868</v>
      </c>
      <c r="B2103" s="11">
        <v>44739</v>
      </c>
      <c r="C2103" s="13" t="s">
        <v>2898</v>
      </c>
      <c r="D2103" s="13" t="s">
        <v>2899</v>
      </c>
      <c r="E2103" s="8">
        <v>30000</v>
      </c>
      <c r="F2103" s="13" t="s">
        <v>70</v>
      </c>
      <c r="G2103" s="14">
        <v>44742</v>
      </c>
      <c r="H2103" s="13" t="s">
        <v>9</v>
      </c>
    </row>
    <row r="2104" spans="1:8" ht="14.4" x14ac:dyDescent="0.3">
      <c r="A2104" s="8">
        <v>82186869</v>
      </c>
      <c r="B2104" s="11">
        <v>44739</v>
      </c>
      <c r="C2104" s="13" t="s">
        <v>2900</v>
      </c>
      <c r="D2104" s="13" t="s">
        <v>2901</v>
      </c>
      <c r="E2104" s="8">
        <v>50000</v>
      </c>
      <c r="F2104" s="13" t="s">
        <v>70</v>
      </c>
      <c r="G2104" s="14">
        <v>44743</v>
      </c>
      <c r="H2104" s="13" t="s">
        <v>9</v>
      </c>
    </row>
    <row r="2105" spans="1:8" ht="14.4" x14ac:dyDescent="0.3">
      <c r="A2105" s="8">
        <v>82186870</v>
      </c>
      <c r="B2105" s="11">
        <v>44739</v>
      </c>
      <c r="C2105" s="13" t="s">
        <v>2902</v>
      </c>
      <c r="D2105" s="13" t="s">
        <v>2903</v>
      </c>
      <c r="E2105" s="8">
        <v>12000</v>
      </c>
      <c r="F2105" s="13" t="s">
        <v>70</v>
      </c>
      <c r="G2105" s="14">
        <v>44742</v>
      </c>
      <c r="H2105" s="13" t="s">
        <v>9</v>
      </c>
    </row>
    <row r="2106" spans="1:8" ht="14.4" x14ac:dyDescent="0.3">
      <c r="A2106" s="8">
        <v>82186871</v>
      </c>
      <c r="B2106" s="11">
        <v>44739</v>
      </c>
      <c r="C2106" s="13" t="s">
        <v>2904</v>
      </c>
      <c r="D2106" s="13" t="s">
        <v>2905</v>
      </c>
      <c r="E2106" s="8">
        <v>11000</v>
      </c>
      <c r="F2106" s="13" t="s">
        <v>70</v>
      </c>
      <c r="G2106" s="14">
        <v>44742</v>
      </c>
      <c r="H2106" s="13" t="s">
        <v>9</v>
      </c>
    </row>
    <row r="2107" spans="1:8" ht="14.4" x14ac:dyDescent="0.3">
      <c r="A2107" s="8">
        <v>82186872</v>
      </c>
      <c r="B2107" s="11">
        <v>44739</v>
      </c>
      <c r="C2107" s="13" t="s">
        <v>2906</v>
      </c>
      <c r="D2107" s="13" t="s">
        <v>2907</v>
      </c>
      <c r="E2107" s="8">
        <v>25000</v>
      </c>
      <c r="F2107" s="13" t="s">
        <v>70</v>
      </c>
      <c r="G2107" s="14">
        <v>44761</v>
      </c>
      <c r="H2107" s="13" t="s">
        <v>9</v>
      </c>
    </row>
    <row r="2108" spans="1:8" ht="14.4" x14ac:dyDescent="0.3">
      <c r="A2108" s="8">
        <v>82186873</v>
      </c>
      <c r="B2108" s="11">
        <v>44739</v>
      </c>
      <c r="C2108" s="13" t="s">
        <v>2908</v>
      </c>
      <c r="D2108" s="13" t="s">
        <v>2909</v>
      </c>
      <c r="E2108" s="8">
        <v>11500</v>
      </c>
      <c r="F2108" s="13" t="s">
        <v>70</v>
      </c>
      <c r="G2108" s="14">
        <v>44742</v>
      </c>
      <c r="H2108" s="13" t="s">
        <v>9</v>
      </c>
    </row>
    <row r="2109" spans="1:8" ht="14.4" x14ac:dyDescent="0.3">
      <c r="A2109" s="8">
        <v>82186874</v>
      </c>
      <c r="B2109" s="11">
        <v>44739</v>
      </c>
      <c r="C2109" s="13" t="s">
        <v>2910</v>
      </c>
      <c r="D2109" s="13" t="s">
        <v>2911</v>
      </c>
      <c r="E2109" s="8">
        <v>15000</v>
      </c>
      <c r="F2109" s="13" t="s">
        <v>70</v>
      </c>
      <c r="G2109" s="14">
        <v>44743</v>
      </c>
      <c r="H2109" s="13" t="s">
        <v>9</v>
      </c>
    </row>
    <row r="2110" spans="1:8" ht="14.4" x14ac:dyDescent="0.3">
      <c r="A2110" s="8">
        <v>82186875</v>
      </c>
      <c r="B2110" s="11">
        <v>44739</v>
      </c>
      <c r="C2110" s="13" t="s">
        <v>2912</v>
      </c>
      <c r="D2110" s="13" t="s">
        <v>2913</v>
      </c>
      <c r="E2110" s="8">
        <v>15000</v>
      </c>
      <c r="F2110" s="13" t="s">
        <v>70</v>
      </c>
      <c r="G2110" s="14">
        <v>44743</v>
      </c>
      <c r="H2110" s="13" t="s">
        <v>9</v>
      </c>
    </row>
    <row r="2111" spans="1:8" ht="14.4" x14ac:dyDescent="0.3">
      <c r="A2111" s="8">
        <v>82186876</v>
      </c>
      <c r="B2111" s="11">
        <v>44739</v>
      </c>
      <c r="C2111" s="13" t="s">
        <v>2914</v>
      </c>
      <c r="D2111" s="13" t="s">
        <v>2915</v>
      </c>
      <c r="E2111" s="8">
        <v>20000</v>
      </c>
      <c r="F2111" s="13" t="s">
        <v>70</v>
      </c>
      <c r="G2111" s="14">
        <v>44746</v>
      </c>
      <c r="H2111" s="13" t="s">
        <v>9</v>
      </c>
    </row>
    <row r="2112" spans="1:8" ht="14.4" x14ac:dyDescent="0.3">
      <c r="A2112" s="8">
        <v>82186877</v>
      </c>
      <c r="B2112" s="11">
        <v>44739</v>
      </c>
      <c r="C2112" s="13" t="s">
        <v>2916</v>
      </c>
      <c r="D2112" s="13" t="s">
        <v>2917</v>
      </c>
      <c r="E2112" s="8">
        <v>20000</v>
      </c>
      <c r="F2112" s="13" t="s">
        <v>70</v>
      </c>
      <c r="G2112" s="14">
        <v>44741</v>
      </c>
      <c r="H2112" s="13" t="s">
        <v>9</v>
      </c>
    </row>
    <row r="2113" spans="1:8" ht="14.4" x14ac:dyDescent="0.3">
      <c r="A2113" s="8">
        <v>82186878</v>
      </c>
      <c r="B2113" s="11">
        <v>44739</v>
      </c>
      <c r="C2113" s="13" t="s">
        <v>2918</v>
      </c>
      <c r="D2113" s="13" t="s">
        <v>2919</v>
      </c>
      <c r="E2113" s="8">
        <v>7000</v>
      </c>
      <c r="F2113" s="13" t="s">
        <v>70</v>
      </c>
      <c r="G2113" s="14">
        <v>44743</v>
      </c>
      <c r="H2113" s="13" t="s">
        <v>9</v>
      </c>
    </row>
    <row r="2114" spans="1:8" ht="14.4" x14ac:dyDescent="0.3">
      <c r="A2114" s="8">
        <v>82186879</v>
      </c>
      <c r="B2114" s="11">
        <v>44739</v>
      </c>
      <c r="C2114" s="13" t="s">
        <v>2920</v>
      </c>
      <c r="D2114" s="13" t="s">
        <v>2921</v>
      </c>
      <c r="E2114" s="8">
        <v>9000</v>
      </c>
      <c r="F2114" s="13" t="s">
        <v>70</v>
      </c>
      <c r="G2114" s="14">
        <v>44746</v>
      </c>
      <c r="H2114" s="13" t="s">
        <v>9</v>
      </c>
    </row>
    <row r="2115" spans="1:8" ht="14.4" x14ac:dyDescent="0.3">
      <c r="A2115" s="8">
        <v>82186880</v>
      </c>
      <c r="B2115" s="11">
        <v>44739</v>
      </c>
      <c r="C2115" s="13" t="s">
        <v>2922</v>
      </c>
      <c r="D2115" s="13" t="s">
        <v>2923</v>
      </c>
      <c r="E2115" s="8">
        <v>14000</v>
      </c>
      <c r="F2115" s="13" t="s">
        <v>70</v>
      </c>
      <c r="G2115" s="14">
        <v>44748</v>
      </c>
      <c r="H2115" s="13" t="s">
        <v>9</v>
      </c>
    </row>
    <row r="2116" spans="1:8" ht="14.4" x14ac:dyDescent="0.3">
      <c r="A2116" s="8">
        <v>82186881</v>
      </c>
      <c r="B2116" s="11">
        <v>44739</v>
      </c>
      <c r="C2116" s="13" t="s">
        <v>2924</v>
      </c>
      <c r="D2116" s="13" t="s">
        <v>2925</v>
      </c>
      <c r="E2116" s="8">
        <v>11500</v>
      </c>
      <c r="F2116" s="13" t="s">
        <v>70</v>
      </c>
      <c r="G2116" s="14">
        <v>44742</v>
      </c>
      <c r="H2116" s="13" t="s">
        <v>9</v>
      </c>
    </row>
    <row r="2117" spans="1:8" ht="14.4" x14ac:dyDescent="0.3">
      <c r="A2117" s="8">
        <v>82186882</v>
      </c>
      <c r="B2117" s="11">
        <v>44739</v>
      </c>
      <c r="C2117" s="13" t="s">
        <v>2926</v>
      </c>
      <c r="D2117" s="13" t="s">
        <v>2927</v>
      </c>
      <c r="E2117" s="8">
        <v>6000</v>
      </c>
      <c r="F2117" s="13" t="s">
        <v>70</v>
      </c>
      <c r="G2117" s="14">
        <v>44753</v>
      </c>
      <c r="H2117" s="13" t="s">
        <v>9</v>
      </c>
    </row>
    <row r="2118" spans="1:8" ht="14.4" x14ac:dyDescent="0.3">
      <c r="A2118" s="8">
        <v>82186883</v>
      </c>
      <c r="B2118" s="11">
        <v>44739</v>
      </c>
      <c r="C2118" s="13" t="s">
        <v>2928</v>
      </c>
      <c r="D2118" s="13" t="s">
        <v>2929</v>
      </c>
      <c r="E2118" s="8">
        <v>10000</v>
      </c>
      <c r="F2118" s="13" t="s">
        <v>70</v>
      </c>
      <c r="G2118" s="14">
        <v>44742</v>
      </c>
      <c r="H2118" s="13" t="s">
        <v>9</v>
      </c>
    </row>
    <row r="2119" spans="1:8" ht="14.4" x14ac:dyDescent="0.3">
      <c r="A2119" s="8">
        <v>82186884</v>
      </c>
      <c r="B2119" s="11">
        <v>44739</v>
      </c>
      <c r="C2119" s="13" t="s">
        <v>180</v>
      </c>
      <c r="D2119" s="13" t="s">
        <v>901</v>
      </c>
      <c r="E2119" s="8">
        <v>34077.050000000003</v>
      </c>
      <c r="F2119" s="13" t="s">
        <v>70</v>
      </c>
      <c r="G2119" s="14">
        <v>44740</v>
      </c>
      <c r="H2119" s="13" t="s">
        <v>9</v>
      </c>
    </row>
    <row r="2120" spans="1:8" ht="14.4" x14ac:dyDescent="0.3">
      <c r="A2120" s="8">
        <v>82186885</v>
      </c>
      <c r="B2120" s="11">
        <v>44739</v>
      </c>
      <c r="C2120" s="13" t="s">
        <v>2930</v>
      </c>
      <c r="D2120" s="13" t="s">
        <v>2931</v>
      </c>
      <c r="E2120" s="8">
        <v>50000</v>
      </c>
      <c r="F2120" s="13" t="s">
        <v>70</v>
      </c>
      <c r="G2120" s="14">
        <v>44746</v>
      </c>
      <c r="H2120" s="13" t="s">
        <v>9</v>
      </c>
    </row>
    <row r="2121" spans="1:8" ht="14.4" x14ac:dyDescent="0.3">
      <c r="A2121" s="8">
        <v>82186886</v>
      </c>
      <c r="B2121" s="11">
        <v>44739</v>
      </c>
      <c r="C2121" s="13" t="s">
        <v>2932</v>
      </c>
      <c r="D2121" s="13" t="s">
        <v>2933</v>
      </c>
      <c r="E2121" s="8">
        <v>20000</v>
      </c>
      <c r="F2121" s="13" t="s">
        <v>70</v>
      </c>
      <c r="G2121" s="14">
        <v>44749</v>
      </c>
      <c r="H2121" s="13" t="s">
        <v>9</v>
      </c>
    </row>
    <row r="2122" spans="1:8" ht="14.4" x14ac:dyDescent="0.3">
      <c r="A2122" s="8">
        <v>82186887</v>
      </c>
      <c r="B2122" s="11">
        <v>44739</v>
      </c>
      <c r="C2122" s="13" t="s">
        <v>2934</v>
      </c>
      <c r="D2122" s="13" t="s">
        <v>2935</v>
      </c>
      <c r="E2122" s="8">
        <v>14000</v>
      </c>
      <c r="F2122" s="13" t="s">
        <v>70</v>
      </c>
      <c r="G2122" s="14">
        <v>44743</v>
      </c>
      <c r="H2122" s="13" t="s">
        <v>9</v>
      </c>
    </row>
    <row r="2123" spans="1:8" ht="14.4" x14ac:dyDescent="0.3">
      <c r="A2123" s="8">
        <v>82186888</v>
      </c>
      <c r="B2123" s="11">
        <v>44739</v>
      </c>
      <c r="C2123" s="13" t="s">
        <v>2936</v>
      </c>
      <c r="D2123" s="13" t="s">
        <v>2937</v>
      </c>
      <c r="E2123" s="8">
        <v>25000</v>
      </c>
      <c r="F2123" s="13" t="s">
        <v>70</v>
      </c>
      <c r="G2123" s="14">
        <v>44743</v>
      </c>
      <c r="H2123" s="13" t="s">
        <v>9</v>
      </c>
    </row>
    <row r="2124" spans="1:8" ht="14.4" x14ac:dyDescent="0.3">
      <c r="A2124" s="8">
        <v>82186889</v>
      </c>
      <c r="B2124" s="11">
        <v>44739</v>
      </c>
      <c r="C2124" s="13" t="s">
        <v>2938</v>
      </c>
      <c r="D2124" s="13" t="s">
        <v>2939</v>
      </c>
      <c r="E2124" s="8">
        <v>50000</v>
      </c>
      <c r="F2124" s="13" t="s">
        <v>70</v>
      </c>
      <c r="G2124" s="14">
        <v>44747</v>
      </c>
      <c r="H2124" s="13" t="s">
        <v>9</v>
      </c>
    </row>
    <row r="2125" spans="1:8" ht="14.4" x14ac:dyDescent="0.3">
      <c r="A2125" s="8">
        <v>82186890</v>
      </c>
      <c r="B2125" s="11">
        <v>44739</v>
      </c>
      <c r="C2125" s="13" t="s">
        <v>2940</v>
      </c>
      <c r="D2125" s="13" t="s">
        <v>2941</v>
      </c>
      <c r="E2125" s="8">
        <v>15000</v>
      </c>
      <c r="F2125" s="13" t="s">
        <v>70</v>
      </c>
      <c r="G2125" s="14">
        <v>44753</v>
      </c>
      <c r="H2125" s="13" t="s">
        <v>9</v>
      </c>
    </row>
    <row r="2126" spans="1:8" ht="14.4" x14ac:dyDescent="0.3">
      <c r="A2126" s="8">
        <v>82186891</v>
      </c>
      <c r="B2126" s="11">
        <v>44739</v>
      </c>
      <c r="C2126" s="13" t="s">
        <v>2942</v>
      </c>
      <c r="D2126" s="13" t="s">
        <v>2943</v>
      </c>
      <c r="E2126" s="8">
        <v>15000</v>
      </c>
      <c r="F2126" s="13" t="s">
        <v>70</v>
      </c>
      <c r="G2126" s="14">
        <v>44746</v>
      </c>
      <c r="H2126" s="13" t="s">
        <v>9</v>
      </c>
    </row>
    <row r="2127" spans="1:8" ht="14.4" x14ac:dyDescent="0.3">
      <c r="A2127" s="8">
        <v>82186892</v>
      </c>
      <c r="B2127" s="11">
        <v>44739</v>
      </c>
      <c r="C2127" s="13" t="s">
        <v>2944</v>
      </c>
      <c r="D2127" s="13" t="s">
        <v>2945</v>
      </c>
      <c r="E2127" s="8">
        <v>10000</v>
      </c>
      <c r="F2127" s="13" t="s">
        <v>70</v>
      </c>
      <c r="G2127" s="14">
        <v>44746</v>
      </c>
      <c r="H2127" s="13" t="s">
        <v>9</v>
      </c>
    </row>
    <row r="2128" spans="1:8" ht="14.4" x14ac:dyDescent="0.3">
      <c r="A2128" s="8">
        <v>82186893</v>
      </c>
      <c r="B2128" s="11">
        <v>44739</v>
      </c>
      <c r="C2128" s="13" t="s">
        <v>2946</v>
      </c>
      <c r="D2128" s="13" t="s">
        <v>2947</v>
      </c>
      <c r="E2128" s="8">
        <v>50000</v>
      </c>
      <c r="F2128" s="13" t="s">
        <v>70</v>
      </c>
      <c r="G2128" s="14">
        <v>44746</v>
      </c>
      <c r="H2128" s="13" t="s">
        <v>9</v>
      </c>
    </row>
    <row r="2129" spans="1:8" ht="14.4" x14ac:dyDescent="0.3">
      <c r="A2129" s="8">
        <v>82186894</v>
      </c>
      <c r="B2129" s="11">
        <v>44739</v>
      </c>
      <c r="C2129" s="13" t="s">
        <v>2948</v>
      </c>
      <c r="D2129" s="13" t="s">
        <v>2949</v>
      </c>
      <c r="E2129" s="8">
        <v>10000</v>
      </c>
      <c r="F2129" s="13" t="s">
        <v>70</v>
      </c>
      <c r="G2129" s="14">
        <v>44746</v>
      </c>
      <c r="H2129" s="13" t="s">
        <v>9</v>
      </c>
    </row>
    <row r="2130" spans="1:8" ht="14.4" x14ac:dyDescent="0.3">
      <c r="A2130" s="8">
        <v>82186895</v>
      </c>
      <c r="B2130" s="11">
        <v>44739</v>
      </c>
      <c r="C2130" s="13" t="s">
        <v>2950</v>
      </c>
      <c r="D2130" s="13" t="s">
        <v>2951</v>
      </c>
      <c r="E2130" s="8">
        <v>12000</v>
      </c>
      <c r="F2130" s="13" t="s">
        <v>70</v>
      </c>
      <c r="G2130" s="14">
        <v>44746</v>
      </c>
      <c r="H2130" s="13" t="s">
        <v>9</v>
      </c>
    </row>
    <row r="2131" spans="1:8" ht="14.4" x14ac:dyDescent="0.3">
      <c r="A2131" s="8">
        <v>82186896</v>
      </c>
      <c r="B2131" s="11">
        <v>44739</v>
      </c>
      <c r="C2131" s="13" t="s">
        <v>2952</v>
      </c>
      <c r="D2131" s="13" t="s">
        <v>2953</v>
      </c>
      <c r="E2131" s="8">
        <v>7000</v>
      </c>
      <c r="F2131" s="13" t="s">
        <v>70</v>
      </c>
      <c r="G2131" s="14">
        <v>44740</v>
      </c>
      <c r="H2131" s="13" t="s">
        <v>9</v>
      </c>
    </row>
    <row r="2132" spans="1:8" ht="14.4" x14ac:dyDescent="0.3">
      <c r="A2132" s="8">
        <v>82186897</v>
      </c>
      <c r="B2132" s="11">
        <v>44739</v>
      </c>
      <c r="C2132" s="13" t="s">
        <v>2954</v>
      </c>
      <c r="D2132" s="13" t="s">
        <v>2955</v>
      </c>
      <c r="E2132" s="8">
        <v>11000</v>
      </c>
      <c r="F2132" s="13" t="s">
        <v>70</v>
      </c>
      <c r="G2132" s="14">
        <v>44743</v>
      </c>
      <c r="H2132" s="13" t="s">
        <v>9</v>
      </c>
    </row>
    <row r="2133" spans="1:8" ht="14.4" x14ac:dyDescent="0.3">
      <c r="A2133" s="8">
        <v>82186898</v>
      </c>
      <c r="B2133" s="11">
        <v>44739</v>
      </c>
      <c r="C2133" s="13" t="s">
        <v>2956</v>
      </c>
      <c r="D2133" s="13" t="s">
        <v>2957</v>
      </c>
      <c r="E2133" s="8">
        <v>12000</v>
      </c>
      <c r="F2133" s="13" t="s">
        <v>70</v>
      </c>
      <c r="G2133" s="14">
        <v>44746</v>
      </c>
      <c r="H2133" s="13" t="s">
        <v>9</v>
      </c>
    </row>
    <row r="2134" spans="1:8" ht="14.4" x14ac:dyDescent="0.3">
      <c r="A2134" s="8">
        <v>82186899</v>
      </c>
      <c r="B2134" s="11">
        <v>44739</v>
      </c>
      <c r="C2134" s="13" t="s">
        <v>710</v>
      </c>
      <c r="D2134" s="13" t="s">
        <v>2958</v>
      </c>
      <c r="E2134" s="8">
        <v>8000</v>
      </c>
      <c r="F2134" s="13" t="s">
        <v>70</v>
      </c>
      <c r="G2134" s="14">
        <v>44746</v>
      </c>
      <c r="H2134" s="13" t="s">
        <v>9</v>
      </c>
    </row>
    <row r="2135" spans="1:8" ht="14.4" x14ac:dyDescent="0.3">
      <c r="A2135" s="8">
        <v>82186900</v>
      </c>
      <c r="B2135" s="11">
        <v>44739</v>
      </c>
      <c r="C2135" s="13" t="s">
        <v>2959</v>
      </c>
      <c r="D2135" s="13" t="s">
        <v>2960</v>
      </c>
      <c r="E2135" s="8">
        <v>18000</v>
      </c>
      <c r="F2135" s="13" t="s">
        <v>70</v>
      </c>
      <c r="G2135" s="14">
        <v>44742</v>
      </c>
      <c r="H2135" s="13" t="s">
        <v>9</v>
      </c>
    </row>
    <row r="2136" spans="1:8" ht="14.4" x14ac:dyDescent="0.3">
      <c r="A2136" s="8">
        <v>82186901</v>
      </c>
      <c r="B2136" s="11">
        <v>44739</v>
      </c>
      <c r="C2136" s="13" t="s">
        <v>2961</v>
      </c>
      <c r="D2136" s="13" t="s">
        <v>2962</v>
      </c>
      <c r="E2136" s="8">
        <v>7000</v>
      </c>
      <c r="F2136" s="13" t="s">
        <v>70</v>
      </c>
      <c r="G2136" s="14">
        <v>44743</v>
      </c>
      <c r="H2136" s="13" t="s">
        <v>9</v>
      </c>
    </row>
    <row r="2137" spans="1:8" ht="14.4" x14ac:dyDescent="0.3">
      <c r="A2137" s="8">
        <v>82186902</v>
      </c>
      <c r="B2137" s="11">
        <v>44739</v>
      </c>
      <c r="C2137" s="13" t="s">
        <v>2963</v>
      </c>
      <c r="D2137" s="13" t="s">
        <v>2964</v>
      </c>
      <c r="E2137" s="8">
        <v>10000</v>
      </c>
      <c r="F2137" s="13" t="s">
        <v>70</v>
      </c>
      <c r="G2137" s="14">
        <v>44743</v>
      </c>
      <c r="H2137" s="13" t="s">
        <v>9</v>
      </c>
    </row>
    <row r="2138" spans="1:8" ht="14.4" x14ac:dyDescent="0.3">
      <c r="A2138" s="8">
        <v>82186903</v>
      </c>
      <c r="B2138" s="11">
        <v>44739</v>
      </c>
      <c r="C2138" s="13" t="s">
        <v>1033</v>
      </c>
      <c r="D2138" s="13" t="s">
        <v>2965</v>
      </c>
      <c r="E2138" s="8">
        <v>50000</v>
      </c>
      <c r="F2138" s="13" t="s">
        <v>70</v>
      </c>
      <c r="G2138" s="14">
        <v>44748</v>
      </c>
      <c r="H2138" s="13" t="s">
        <v>9</v>
      </c>
    </row>
    <row r="2139" spans="1:8" ht="14.4" x14ac:dyDescent="0.3">
      <c r="A2139" s="8">
        <v>82186904</v>
      </c>
      <c r="B2139" s="11">
        <v>44739</v>
      </c>
      <c r="C2139" s="13" t="s">
        <v>2966</v>
      </c>
      <c r="D2139" s="13" t="s">
        <v>2967</v>
      </c>
      <c r="E2139" s="8">
        <v>9000</v>
      </c>
      <c r="F2139" s="13" t="s">
        <v>70</v>
      </c>
      <c r="G2139" s="14">
        <v>44743</v>
      </c>
      <c r="H2139" s="13" t="s">
        <v>9</v>
      </c>
    </row>
    <row r="2140" spans="1:8" ht="14.4" x14ac:dyDescent="0.3">
      <c r="A2140" s="8">
        <v>82186905</v>
      </c>
      <c r="B2140" s="11">
        <v>44739</v>
      </c>
      <c r="C2140" s="13" t="s">
        <v>2968</v>
      </c>
      <c r="D2140" s="13" t="s">
        <v>2969</v>
      </c>
      <c r="E2140" s="8">
        <v>50000</v>
      </c>
      <c r="F2140" s="13" t="s">
        <v>70</v>
      </c>
      <c r="G2140" s="14">
        <v>44743</v>
      </c>
      <c r="H2140" s="13" t="s">
        <v>9</v>
      </c>
    </row>
    <row r="2141" spans="1:8" ht="14.4" x14ac:dyDescent="0.3">
      <c r="A2141" s="8">
        <v>82186906</v>
      </c>
      <c r="B2141" s="11">
        <v>44739</v>
      </c>
      <c r="C2141" s="13" t="s">
        <v>2970</v>
      </c>
      <c r="D2141" s="13" t="s">
        <v>2971</v>
      </c>
      <c r="E2141" s="8">
        <v>7000</v>
      </c>
      <c r="F2141" s="13" t="s">
        <v>70</v>
      </c>
      <c r="G2141" s="14">
        <v>44743</v>
      </c>
      <c r="H2141" s="13" t="s">
        <v>9</v>
      </c>
    </row>
    <row r="2142" spans="1:8" ht="14.4" x14ac:dyDescent="0.3">
      <c r="A2142" s="8">
        <v>82186907</v>
      </c>
      <c r="B2142" s="11">
        <v>44739</v>
      </c>
      <c r="C2142" s="13" t="s">
        <v>2972</v>
      </c>
      <c r="D2142" s="13" t="s">
        <v>2973</v>
      </c>
      <c r="E2142" s="8">
        <v>18000</v>
      </c>
      <c r="F2142" s="13" t="s">
        <v>70</v>
      </c>
      <c r="G2142" s="14">
        <v>44747</v>
      </c>
      <c r="H2142" s="13" t="s">
        <v>9</v>
      </c>
    </row>
    <row r="2143" spans="1:8" ht="14.4" x14ac:dyDescent="0.3">
      <c r="A2143" s="8">
        <v>82186908</v>
      </c>
      <c r="B2143" s="11">
        <v>44739</v>
      </c>
      <c r="C2143" s="13" t="s">
        <v>2974</v>
      </c>
      <c r="D2143" s="13" t="s">
        <v>2975</v>
      </c>
      <c r="E2143" s="8">
        <v>11000</v>
      </c>
      <c r="F2143" s="13" t="s">
        <v>70</v>
      </c>
      <c r="G2143" s="14">
        <v>44743</v>
      </c>
      <c r="H2143" s="13" t="s">
        <v>9</v>
      </c>
    </row>
    <row r="2144" spans="1:8" ht="14.4" x14ac:dyDescent="0.3">
      <c r="A2144" s="8">
        <v>82186909</v>
      </c>
      <c r="B2144" s="11">
        <v>44739</v>
      </c>
      <c r="C2144" s="13" t="s">
        <v>2976</v>
      </c>
      <c r="D2144" s="13" t="s">
        <v>2977</v>
      </c>
      <c r="E2144" s="8">
        <v>10000</v>
      </c>
      <c r="F2144" s="13" t="s">
        <v>70</v>
      </c>
      <c r="G2144" s="14">
        <v>44741</v>
      </c>
      <c r="H2144" s="13" t="s">
        <v>9</v>
      </c>
    </row>
    <row r="2145" spans="1:8" ht="14.4" x14ac:dyDescent="0.3">
      <c r="A2145" s="8">
        <v>82186910</v>
      </c>
      <c r="B2145" s="11">
        <v>44739</v>
      </c>
      <c r="C2145" s="13" t="s">
        <v>2978</v>
      </c>
      <c r="D2145" s="13" t="s">
        <v>2979</v>
      </c>
      <c r="E2145" s="8">
        <v>6000</v>
      </c>
      <c r="F2145" s="13" t="s">
        <v>70</v>
      </c>
      <c r="G2145" s="14">
        <v>44743</v>
      </c>
      <c r="H2145" s="13" t="s">
        <v>9</v>
      </c>
    </row>
    <row r="2146" spans="1:8" ht="14.4" x14ac:dyDescent="0.3">
      <c r="A2146" s="8">
        <v>82186911</v>
      </c>
      <c r="B2146" s="11">
        <v>44739</v>
      </c>
      <c r="C2146" s="13" t="s">
        <v>165</v>
      </c>
      <c r="D2146" s="13" t="s">
        <v>2980</v>
      </c>
      <c r="E2146" s="8">
        <v>14700</v>
      </c>
      <c r="F2146" s="13" t="s">
        <v>70</v>
      </c>
      <c r="G2146" s="14">
        <v>44746</v>
      </c>
      <c r="H2146" s="13" t="s">
        <v>9</v>
      </c>
    </row>
    <row r="2147" spans="1:8" ht="14.4" x14ac:dyDescent="0.3">
      <c r="A2147" s="8">
        <v>82186912</v>
      </c>
      <c r="B2147" s="11">
        <v>44739</v>
      </c>
      <c r="C2147" s="13" t="s">
        <v>2981</v>
      </c>
      <c r="D2147" s="13" t="s">
        <v>2982</v>
      </c>
      <c r="E2147" s="8">
        <v>6000</v>
      </c>
      <c r="F2147" s="13" t="s">
        <v>70</v>
      </c>
      <c r="G2147" s="14">
        <v>44742</v>
      </c>
      <c r="H2147" s="13" t="s">
        <v>9</v>
      </c>
    </row>
    <row r="2148" spans="1:8" ht="14.4" x14ac:dyDescent="0.3">
      <c r="A2148" s="8">
        <v>82186913</v>
      </c>
      <c r="B2148" s="11">
        <v>44739</v>
      </c>
      <c r="C2148" s="13" t="s">
        <v>2983</v>
      </c>
      <c r="D2148" s="13" t="s">
        <v>2984</v>
      </c>
      <c r="E2148" s="8">
        <v>10000</v>
      </c>
      <c r="F2148" s="13" t="s">
        <v>70</v>
      </c>
      <c r="G2148" s="14">
        <v>44742</v>
      </c>
      <c r="H2148" s="13" t="s">
        <v>9</v>
      </c>
    </row>
    <row r="2149" spans="1:8" ht="14.4" x14ac:dyDescent="0.3">
      <c r="A2149" s="8">
        <v>82186914</v>
      </c>
      <c r="B2149" s="11">
        <v>44739</v>
      </c>
      <c r="C2149" s="13" t="s">
        <v>2985</v>
      </c>
      <c r="D2149" s="13" t="s">
        <v>2986</v>
      </c>
      <c r="E2149" s="8">
        <v>10000</v>
      </c>
      <c r="F2149" s="13" t="s">
        <v>70</v>
      </c>
      <c r="G2149" s="14">
        <v>44742</v>
      </c>
      <c r="H2149" s="13" t="s">
        <v>9</v>
      </c>
    </row>
    <row r="2150" spans="1:8" ht="14.4" x14ac:dyDescent="0.3">
      <c r="A2150" s="8">
        <v>82186915</v>
      </c>
      <c r="B2150" s="11">
        <v>44739</v>
      </c>
      <c r="C2150" s="13" t="s">
        <v>2987</v>
      </c>
      <c r="D2150" s="13" t="s">
        <v>2988</v>
      </c>
      <c r="E2150" s="8">
        <v>15000</v>
      </c>
      <c r="F2150" s="13" t="s">
        <v>70</v>
      </c>
      <c r="G2150" s="14">
        <v>44748</v>
      </c>
      <c r="H2150" s="13" t="s">
        <v>9</v>
      </c>
    </row>
    <row r="2151" spans="1:8" ht="14.4" x14ac:dyDescent="0.3">
      <c r="A2151" s="8">
        <v>82186916</v>
      </c>
      <c r="B2151" s="11">
        <v>44739</v>
      </c>
      <c r="C2151" s="13" t="s">
        <v>2989</v>
      </c>
      <c r="D2151" s="13" t="s">
        <v>2990</v>
      </c>
      <c r="E2151" s="8">
        <v>8000</v>
      </c>
      <c r="F2151" s="13" t="s">
        <v>70</v>
      </c>
      <c r="G2151" s="14">
        <v>44742</v>
      </c>
      <c r="H2151" s="13" t="s">
        <v>9</v>
      </c>
    </row>
    <row r="2152" spans="1:8" ht="14.4" x14ac:dyDescent="0.3">
      <c r="A2152" s="8">
        <v>82186917</v>
      </c>
      <c r="B2152" s="11">
        <v>44739</v>
      </c>
      <c r="C2152" s="13" t="s">
        <v>2991</v>
      </c>
      <c r="D2152" s="13" t="s">
        <v>2992</v>
      </c>
      <c r="E2152" s="8">
        <v>7000</v>
      </c>
      <c r="F2152" s="13" t="s">
        <v>70</v>
      </c>
      <c r="G2152" s="14">
        <v>44746</v>
      </c>
      <c r="H2152" s="13" t="s">
        <v>9</v>
      </c>
    </row>
    <row r="2153" spans="1:8" ht="14.4" x14ac:dyDescent="0.3">
      <c r="A2153" s="8">
        <v>82186918</v>
      </c>
      <c r="B2153" s="11">
        <v>44739</v>
      </c>
      <c r="C2153" s="13" t="s">
        <v>2993</v>
      </c>
      <c r="D2153" s="13" t="s">
        <v>2994</v>
      </c>
      <c r="E2153" s="8">
        <v>8000</v>
      </c>
      <c r="F2153" s="13" t="s">
        <v>70</v>
      </c>
      <c r="G2153" s="14">
        <v>44748</v>
      </c>
      <c r="H2153" s="13" t="s">
        <v>9</v>
      </c>
    </row>
    <row r="2154" spans="1:8" ht="14.4" x14ac:dyDescent="0.3">
      <c r="A2154" s="8">
        <v>82186919</v>
      </c>
      <c r="B2154" s="11">
        <v>44739</v>
      </c>
      <c r="C2154" s="13" t="s">
        <v>2995</v>
      </c>
      <c r="D2154" s="13" t="s">
        <v>2996</v>
      </c>
      <c r="E2154" s="8">
        <v>9000</v>
      </c>
      <c r="F2154" s="13" t="s">
        <v>70</v>
      </c>
      <c r="G2154" s="14">
        <v>44746</v>
      </c>
      <c r="H2154" s="13" t="s">
        <v>9</v>
      </c>
    </row>
    <row r="2155" spans="1:8" ht="14.4" x14ac:dyDescent="0.3">
      <c r="A2155" s="8">
        <v>82186920</v>
      </c>
      <c r="B2155" s="11">
        <v>44739</v>
      </c>
      <c r="C2155" s="13" t="s">
        <v>2997</v>
      </c>
      <c r="D2155" s="13" t="s">
        <v>2998</v>
      </c>
      <c r="E2155" s="8">
        <v>23000</v>
      </c>
      <c r="F2155" s="13" t="s">
        <v>70</v>
      </c>
      <c r="G2155" s="14">
        <v>44746</v>
      </c>
      <c r="H2155" s="13" t="s">
        <v>9</v>
      </c>
    </row>
    <row r="2156" spans="1:8" ht="14.4" x14ac:dyDescent="0.3">
      <c r="A2156" s="8">
        <v>82186921</v>
      </c>
      <c r="B2156" s="11">
        <v>44739</v>
      </c>
      <c r="C2156" s="13" t="s">
        <v>2999</v>
      </c>
      <c r="D2156" s="13" t="s">
        <v>3000</v>
      </c>
      <c r="E2156" s="8">
        <v>9000</v>
      </c>
      <c r="F2156" s="13" t="s">
        <v>70</v>
      </c>
      <c r="G2156" s="14">
        <v>44743</v>
      </c>
      <c r="H2156" s="13" t="s">
        <v>9</v>
      </c>
    </row>
    <row r="2157" spans="1:8" ht="14.4" x14ac:dyDescent="0.3">
      <c r="A2157" s="8">
        <v>82186922</v>
      </c>
      <c r="B2157" s="11">
        <v>44739</v>
      </c>
      <c r="C2157" s="13" t="s">
        <v>3001</v>
      </c>
      <c r="D2157" s="13" t="s">
        <v>3002</v>
      </c>
      <c r="E2157" s="8">
        <v>8000</v>
      </c>
      <c r="F2157" s="13" t="s">
        <v>70</v>
      </c>
      <c r="G2157" s="14">
        <v>44741</v>
      </c>
      <c r="H2157" s="13" t="s">
        <v>9</v>
      </c>
    </row>
    <row r="2158" spans="1:8" ht="14.4" x14ac:dyDescent="0.3">
      <c r="A2158" s="8">
        <v>82186923</v>
      </c>
      <c r="B2158" s="11">
        <v>44739</v>
      </c>
      <c r="C2158" s="13" t="s">
        <v>882</v>
      </c>
      <c r="D2158" s="13" t="s">
        <v>3003</v>
      </c>
      <c r="E2158" s="8">
        <v>13810</v>
      </c>
      <c r="F2158" s="13" t="s">
        <v>70</v>
      </c>
      <c r="G2158" s="14">
        <v>44741</v>
      </c>
      <c r="H2158" s="13" t="s">
        <v>9</v>
      </c>
    </row>
    <row r="2159" spans="1:8" ht="14.4" x14ac:dyDescent="0.3">
      <c r="A2159" s="8">
        <v>82186924</v>
      </c>
      <c r="B2159" s="11">
        <v>44739</v>
      </c>
      <c r="C2159" s="13" t="s">
        <v>159</v>
      </c>
      <c r="D2159" s="13" t="s">
        <v>3004</v>
      </c>
      <c r="E2159" s="8">
        <v>364400</v>
      </c>
      <c r="F2159" s="13" t="s">
        <v>70</v>
      </c>
      <c r="G2159" s="14">
        <v>44739</v>
      </c>
      <c r="H2159" s="13" t="s">
        <v>9</v>
      </c>
    </row>
    <row r="2160" spans="1:8" ht="14.4" x14ac:dyDescent="0.3">
      <c r="A2160" s="8">
        <v>82186925</v>
      </c>
      <c r="B2160" s="11">
        <v>44740</v>
      </c>
      <c r="C2160" s="13" t="s">
        <v>259</v>
      </c>
      <c r="D2160" s="13" t="s">
        <v>3005</v>
      </c>
      <c r="E2160" s="8">
        <v>19252.240000000002</v>
      </c>
      <c r="F2160" s="13" t="s">
        <v>70</v>
      </c>
      <c r="G2160" s="14">
        <v>44747</v>
      </c>
      <c r="H2160" s="13" t="s">
        <v>9</v>
      </c>
    </row>
    <row r="2161" spans="1:8" ht="14.4" x14ac:dyDescent="0.3">
      <c r="A2161" s="8">
        <v>82186926</v>
      </c>
      <c r="B2161" s="11">
        <v>44740</v>
      </c>
      <c r="C2161" s="13" t="s">
        <v>3006</v>
      </c>
      <c r="D2161" s="13" t="s">
        <v>3007</v>
      </c>
      <c r="E2161" s="8">
        <v>30000</v>
      </c>
      <c r="F2161" s="13" t="s">
        <v>70</v>
      </c>
      <c r="G2161" s="14">
        <v>44748</v>
      </c>
      <c r="H2161" s="13" t="s">
        <v>9</v>
      </c>
    </row>
    <row r="2162" spans="1:8" ht="14.4" x14ac:dyDescent="0.3">
      <c r="A2162" s="8">
        <v>82186927</v>
      </c>
      <c r="B2162" s="11">
        <v>44740</v>
      </c>
      <c r="C2162" s="13" t="s">
        <v>3008</v>
      </c>
      <c r="D2162" s="13" t="s">
        <v>3009</v>
      </c>
      <c r="E2162" s="8">
        <v>10000</v>
      </c>
      <c r="F2162" s="13" t="s">
        <v>70</v>
      </c>
      <c r="G2162" s="14">
        <v>44742</v>
      </c>
      <c r="H2162" s="13" t="s">
        <v>9</v>
      </c>
    </row>
    <row r="2163" spans="1:8" ht="14.4" x14ac:dyDescent="0.3">
      <c r="A2163" s="8">
        <v>82186928</v>
      </c>
      <c r="B2163" s="11">
        <v>44740</v>
      </c>
      <c r="C2163" s="13" t="s">
        <v>645</v>
      </c>
      <c r="D2163" s="13" t="s">
        <v>3010</v>
      </c>
      <c r="E2163" s="8">
        <v>10000</v>
      </c>
      <c r="F2163" s="13" t="s">
        <v>70</v>
      </c>
      <c r="G2163" s="14">
        <v>44746</v>
      </c>
      <c r="H2163" s="13" t="s">
        <v>9</v>
      </c>
    </row>
    <row r="2164" spans="1:8" ht="14.4" x14ac:dyDescent="0.3">
      <c r="A2164" s="8">
        <v>82186929</v>
      </c>
      <c r="B2164" s="11">
        <v>44740</v>
      </c>
      <c r="C2164" s="13" t="s">
        <v>3011</v>
      </c>
      <c r="D2164" s="13" t="s">
        <v>3012</v>
      </c>
      <c r="E2164" s="8">
        <v>12000</v>
      </c>
      <c r="F2164" s="13" t="s">
        <v>70</v>
      </c>
      <c r="G2164" s="14">
        <v>44743</v>
      </c>
      <c r="H2164" s="13" t="s">
        <v>9</v>
      </c>
    </row>
    <row r="2165" spans="1:8" ht="14.4" x14ac:dyDescent="0.3">
      <c r="A2165" s="8">
        <v>82186930</v>
      </c>
      <c r="B2165" s="11">
        <v>44740</v>
      </c>
      <c r="C2165" s="13" t="s">
        <v>3013</v>
      </c>
      <c r="D2165" s="13" t="s">
        <v>3014</v>
      </c>
      <c r="E2165" s="8">
        <v>49000</v>
      </c>
      <c r="F2165" s="13" t="s">
        <v>70</v>
      </c>
      <c r="G2165" s="14">
        <v>44743</v>
      </c>
      <c r="H2165" s="13" t="s">
        <v>9</v>
      </c>
    </row>
    <row r="2166" spans="1:8" ht="14.4" x14ac:dyDescent="0.3">
      <c r="A2166" s="8">
        <v>82186931</v>
      </c>
      <c r="B2166" s="11">
        <v>44740</v>
      </c>
      <c r="C2166" s="13" t="s">
        <v>3015</v>
      </c>
      <c r="D2166" s="13" t="s">
        <v>3016</v>
      </c>
      <c r="E2166" s="8">
        <v>15000</v>
      </c>
      <c r="F2166" s="13" t="s">
        <v>70</v>
      </c>
      <c r="G2166" s="14">
        <v>44746</v>
      </c>
      <c r="H2166" s="13" t="s">
        <v>9</v>
      </c>
    </row>
    <row r="2167" spans="1:8" ht="14.4" x14ac:dyDescent="0.3">
      <c r="A2167" s="8">
        <v>82186932</v>
      </c>
      <c r="B2167" s="11">
        <v>44740</v>
      </c>
      <c r="C2167" s="13" t="s">
        <v>2558</v>
      </c>
      <c r="D2167" s="13" t="s">
        <v>3017</v>
      </c>
      <c r="E2167" s="8">
        <v>21000</v>
      </c>
      <c r="F2167" s="13" t="s">
        <v>70</v>
      </c>
      <c r="G2167" s="14">
        <v>44743</v>
      </c>
      <c r="H2167" s="13" t="s">
        <v>9</v>
      </c>
    </row>
    <row r="2168" spans="1:8" ht="14.4" x14ac:dyDescent="0.3">
      <c r="A2168" s="8">
        <v>82186933</v>
      </c>
      <c r="B2168" s="11">
        <v>44740</v>
      </c>
      <c r="C2168" s="13" t="s">
        <v>3018</v>
      </c>
      <c r="D2168" s="13" t="s">
        <v>3019</v>
      </c>
      <c r="E2168" s="8">
        <v>12000</v>
      </c>
      <c r="F2168" s="13" t="s">
        <v>70</v>
      </c>
      <c r="G2168" s="14">
        <v>44743</v>
      </c>
      <c r="H2168" s="13" t="s">
        <v>9</v>
      </c>
    </row>
    <row r="2169" spans="1:8" ht="14.4" x14ac:dyDescent="0.3">
      <c r="A2169" s="8">
        <v>82186934</v>
      </c>
      <c r="B2169" s="11">
        <v>44740</v>
      </c>
      <c r="C2169" s="13" t="s">
        <v>74</v>
      </c>
      <c r="D2169" s="13" t="s">
        <v>3020</v>
      </c>
      <c r="E2169" s="8">
        <v>11000</v>
      </c>
      <c r="F2169" s="13" t="s">
        <v>70</v>
      </c>
      <c r="G2169" s="14">
        <v>44761</v>
      </c>
      <c r="H2169" s="13" t="s">
        <v>9</v>
      </c>
    </row>
    <row r="2170" spans="1:8" ht="14.4" x14ac:dyDescent="0.3">
      <c r="A2170" s="8">
        <v>82186935</v>
      </c>
      <c r="B2170" s="11">
        <v>44740</v>
      </c>
      <c r="C2170" s="13" t="s">
        <v>3021</v>
      </c>
      <c r="D2170" s="13" t="s">
        <v>3022</v>
      </c>
      <c r="E2170" s="8">
        <v>15000</v>
      </c>
      <c r="F2170" s="13" t="s">
        <v>70</v>
      </c>
      <c r="G2170" s="14">
        <v>44743</v>
      </c>
      <c r="H2170" s="13" t="s">
        <v>9</v>
      </c>
    </row>
    <row r="2171" spans="1:8" ht="14.4" x14ac:dyDescent="0.3">
      <c r="A2171" s="8">
        <v>82186936</v>
      </c>
      <c r="B2171" s="11">
        <v>44740</v>
      </c>
      <c r="C2171" s="13" t="s">
        <v>730</v>
      </c>
      <c r="D2171" s="13" t="s">
        <v>3023</v>
      </c>
      <c r="E2171" s="8">
        <v>10000</v>
      </c>
      <c r="F2171" s="13" t="s">
        <v>70</v>
      </c>
      <c r="G2171" s="14">
        <v>44746</v>
      </c>
      <c r="H2171" s="13" t="s">
        <v>9</v>
      </c>
    </row>
    <row r="2172" spans="1:8" ht="14.4" x14ac:dyDescent="0.3">
      <c r="A2172" s="8">
        <v>82186937</v>
      </c>
      <c r="B2172" s="11">
        <v>44740</v>
      </c>
      <c r="C2172" s="13" t="s">
        <v>3024</v>
      </c>
      <c r="D2172" s="13" t="s">
        <v>3025</v>
      </c>
      <c r="E2172" s="8">
        <v>50000</v>
      </c>
      <c r="F2172" s="13" t="s">
        <v>70</v>
      </c>
      <c r="G2172" s="14">
        <v>44746</v>
      </c>
      <c r="H2172" s="13" t="s">
        <v>9</v>
      </c>
    </row>
    <row r="2173" spans="1:8" ht="14.4" x14ac:dyDescent="0.3">
      <c r="A2173" s="8">
        <v>82186938</v>
      </c>
      <c r="B2173" s="11">
        <v>44740</v>
      </c>
      <c r="C2173" s="13" t="s">
        <v>3026</v>
      </c>
      <c r="D2173" s="13" t="s">
        <v>3027</v>
      </c>
      <c r="E2173" s="8">
        <v>30000</v>
      </c>
      <c r="F2173" s="13" t="s">
        <v>70</v>
      </c>
      <c r="G2173" s="14">
        <v>44743</v>
      </c>
      <c r="H2173" s="13" t="s">
        <v>9</v>
      </c>
    </row>
    <row r="2174" spans="1:8" ht="14.4" x14ac:dyDescent="0.3">
      <c r="A2174" s="8">
        <v>82186939</v>
      </c>
      <c r="B2174" s="11">
        <v>44740</v>
      </c>
      <c r="C2174" s="13" t="s">
        <v>3028</v>
      </c>
      <c r="D2174" s="13" t="s">
        <v>3029</v>
      </c>
      <c r="E2174" s="8">
        <v>6000</v>
      </c>
      <c r="F2174" s="13" t="s">
        <v>70</v>
      </c>
      <c r="G2174" s="14">
        <v>44746</v>
      </c>
      <c r="H2174" s="13" t="s">
        <v>9</v>
      </c>
    </row>
    <row r="2175" spans="1:8" ht="14.4" x14ac:dyDescent="0.3">
      <c r="A2175" s="8">
        <v>82186940</v>
      </c>
      <c r="B2175" s="11">
        <v>44740</v>
      </c>
      <c r="C2175" s="13" t="s">
        <v>3030</v>
      </c>
      <c r="D2175" s="13" t="s">
        <v>3031</v>
      </c>
      <c r="E2175" s="8">
        <v>23000</v>
      </c>
      <c r="F2175" s="13" t="s">
        <v>70</v>
      </c>
      <c r="G2175" s="14">
        <v>44747</v>
      </c>
      <c r="H2175" s="13" t="s">
        <v>9</v>
      </c>
    </row>
    <row r="2176" spans="1:8" ht="14.4" x14ac:dyDescent="0.3">
      <c r="A2176" s="8">
        <v>82186941</v>
      </c>
      <c r="B2176" s="11">
        <v>44740</v>
      </c>
      <c r="C2176" s="13" t="s">
        <v>3032</v>
      </c>
      <c r="D2176" s="13" t="s">
        <v>3033</v>
      </c>
      <c r="E2176" s="8">
        <v>10000</v>
      </c>
      <c r="F2176" s="13" t="s">
        <v>70</v>
      </c>
      <c r="G2176" s="14">
        <v>44743</v>
      </c>
      <c r="H2176" s="13" t="s">
        <v>9</v>
      </c>
    </row>
    <row r="2177" spans="1:8" ht="14.4" x14ac:dyDescent="0.3">
      <c r="A2177" s="8">
        <v>82186942</v>
      </c>
      <c r="B2177" s="11">
        <v>44740</v>
      </c>
      <c r="C2177" s="13" t="s">
        <v>3034</v>
      </c>
      <c r="D2177" s="13" t="s">
        <v>3035</v>
      </c>
      <c r="E2177" s="8">
        <v>30000</v>
      </c>
      <c r="F2177" s="13" t="s">
        <v>70</v>
      </c>
      <c r="G2177" s="14">
        <v>44743</v>
      </c>
      <c r="H2177" s="13" t="s">
        <v>9</v>
      </c>
    </row>
    <row r="2178" spans="1:8" ht="14.4" x14ac:dyDescent="0.3">
      <c r="A2178" s="8">
        <v>82186943</v>
      </c>
      <c r="B2178" s="11">
        <v>44740</v>
      </c>
      <c r="C2178" s="13" t="s">
        <v>3036</v>
      </c>
      <c r="D2178" s="13" t="s">
        <v>3037</v>
      </c>
      <c r="E2178" s="8">
        <v>20000</v>
      </c>
      <c r="F2178" s="13" t="s">
        <v>70</v>
      </c>
      <c r="G2178" s="14">
        <v>44746</v>
      </c>
      <c r="H2178" s="13" t="s">
        <v>9</v>
      </c>
    </row>
    <row r="2179" spans="1:8" ht="14.4" x14ac:dyDescent="0.3">
      <c r="A2179" s="8">
        <v>82186944</v>
      </c>
      <c r="B2179" s="11">
        <v>44740</v>
      </c>
      <c r="C2179" s="13" t="s">
        <v>3038</v>
      </c>
      <c r="D2179" s="13" t="s">
        <v>3039</v>
      </c>
      <c r="E2179" s="8">
        <v>30000</v>
      </c>
      <c r="F2179" s="13" t="s">
        <v>70</v>
      </c>
      <c r="G2179" s="14">
        <v>44743</v>
      </c>
      <c r="H2179" s="13" t="s">
        <v>9</v>
      </c>
    </row>
    <row r="2180" spans="1:8" ht="14.4" x14ac:dyDescent="0.3">
      <c r="A2180" s="8">
        <v>82186945</v>
      </c>
      <c r="B2180" s="11">
        <v>44740</v>
      </c>
      <c r="C2180" s="13" t="s">
        <v>3040</v>
      </c>
      <c r="D2180" s="13" t="s">
        <v>3041</v>
      </c>
      <c r="E2180" s="8">
        <v>17000</v>
      </c>
      <c r="F2180" s="13" t="s">
        <v>70</v>
      </c>
      <c r="G2180" s="14">
        <v>44743</v>
      </c>
      <c r="H2180" s="13" t="s">
        <v>9</v>
      </c>
    </row>
    <row r="2181" spans="1:8" ht="14.4" x14ac:dyDescent="0.3">
      <c r="A2181" s="8">
        <v>82186946</v>
      </c>
      <c r="B2181" s="11">
        <v>44740</v>
      </c>
      <c r="C2181" s="13" t="s">
        <v>123</v>
      </c>
      <c r="D2181" s="13" t="s">
        <v>3042</v>
      </c>
      <c r="E2181" s="8">
        <v>16500</v>
      </c>
      <c r="F2181" s="13" t="s">
        <v>70</v>
      </c>
      <c r="G2181" s="14">
        <v>44763</v>
      </c>
      <c r="H2181" s="13" t="s">
        <v>9</v>
      </c>
    </row>
    <row r="2182" spans="1:8" ht="14.4" x14ac:dyDescent="0.3">
      <c r="A2182" s="8">
        <v>82186947</v>
      </c>
      <c r="B2182" s="11">
        <v>44740</v>
      </c>
      <c r="C2182" s="13" t="s">
        <v>1286</v>
      </c>
      <c r="D2182" s="13" t="s">
        <v>3043</v>
      </c>
      <c r="E2182" s="8">
        <v>112963.5</v>
      </c>
      <c r="F2182" s="13" t="s">
        <v>70</v>
      </c>
      <c r="G2182" s="14">
        <v>44742</v>
      </c>
      <c r="H2182" s="13" t="s">
        <v>9</v>
      </c>
    </row>
    <row r="2183" spans="1:8" ht="14.4" x14ac:dyDescent="0.3">
      <c r="A2183" s="8">
        <v>82186948</v>
      </c>
      <c r="B2183" s="11">
        <v>44740</v>
      </c>
      <c r="C2183" s="13" t="s">
        <v>1286</v>
      </c>
      <c r="D2183" s="13" t="s">
        <v>3044</v>
      </c>
      <c r="E2183" s="8">
        <v>9787.5</v>
      </c>
      <c r="F2183" s="13" t="s">
        <v>70</v>
      </c>
      <c r="G2183" s="14">
        <v>44742</v>
      </c>
      <c r="H2183" s="13" t="s">
        <v>9</v>
      </c>
    </row>
    <row r="2184" spans="1:8" ht="14.4" x14ac:dyDescent="0.3">
      <c r="A2184" s="8">
        <v>82186949</v>
      </c>
      <c r="B2184" s="11">
        <v>44740</v>
      </c>
      <c r="C2184" s="13" t="s">
        <v>492</v>
      </c>
      <c r="D2184" s="13" t="s">
        <v>3045</v>
      </c>
      <c r="E2184" s="8">
        <v>33113.4</v>
      </c>
      <c r="F2184" s="13" t="s">
        <v>70</v>
      </c>
      <c r="G2184" s="14">
        <v>44743</v>
      </c>
      <c r="H2184" s="13" t="s">
        <v>9</v>
      </c>
    </row>
    <row r="2185" spans="1:8" ht="14.4" x14ac:dyDescent="0.3">
      <c r="A2185" s="8">
        <v>82186950</v>
      </c>
      <c r="B2185" s="11">
        <v>44740</v>
      </c>
      <c r="C2185" s="13" t="s">
        <v>3046</v>
      </c>
      <c r="D2185" s="13" t="s">
        <v>3047</v>
      </c>
      <c r="E2185" s="8">
        <v>44578.52</v>
      </c>
      <c r="F2185" s="13" t="s">
        <v>70</v>
      </c>
      <c r="G2185" s="14">
        <v>44743</v>
      </c>
      <c r="H2185" s="13" t="s">
        <v>9</v>
      </c>
    </row>
    <row r="2186" spans="1:8" ht="14.4" x14ac:dyDescent="0.3">
      <c r="A2186" s="8">
        <v>82186951</v>
      </c>
      <c r="B2186" s="11">
        <v>44740</v>
      </c>
      <c r="C2186" s="13" t="s">
        <v>1286</v>
      </c>
      <c r="D2186" s="13" t="s">
        <v>2751</v>
      </c>
      <c r="E2186" s="8">
        <v>7480.38</v>
      </c>
      <c r="F2186" s="13" t="s">
        <v>70</v>
      </c>
      <c r="G2186" s="14">
        <v>44742</v>
      </c>
      <c r="H2186" s="13" t="s">
        <v>9</v>
      </c>
    </row>
    <row r="2187" spans="1:8" ht="14.4" x14ac:dyDescent="0.3">
      <c r="A2187" s="8">
        <v>82186952</v>
      </c>
      <c r="B2187" s="11">
        <v>44740</v>
      </c>
      <c r="C2187" s="13" t="s">
        <v>1286</v>
      </c>
      <c r="D2187" s="13" t="s">
        <v>3048</v>
      </c>
      <c r="E2187" s="8">
        <v>85394.07</v>
      </c>
      <c r="F2187" s="13" t="s">
        <v>70</v>
      </c>
      <c r="G2187" s="14">
        <v>44742</v>
      </c>
      <c r="H2187" s="13" t="s">
        <v>9</v>
      </c>
    </row>
    <row r="2188" spans="1:8" ht="14.4" x14ac:dyDescent="0.3">
      <c r="A2188" s="8">
        <v>82186953</v>
      </c>
      <c r="B2188" s="11">
        <v>44740</v>
      </c>
      <c r="C2188" s="13" t="s">
        <v>1286</v>
      </c>
      <c r="D2188" s="13" t="s">
        <v>3049</v>
      </c>
      <c r="E2188" s="8">
        <v>65354.400000000001</v>
      </c>
      <c r="F2188" s="13" t="s">
        <v>70</v>
      </c>
      <c r="G2188" s="14">
        <v>44742</v>
      </c>
      <c r="H2188" s="13" t="s">
        <v>9</v>
      </c>
    </row>
    <row r="2189" spans="1:8" ht="14.4" x14ac:dyDescent="0.3">
      <c r="A2189" s="8">
        <v>82186954</v>
      </c>
      <c r="B2189" s="11">
        <v>44740</v>
      </c>
      <c r="C2189" s="13" t="s">
        <v>1286</v>
      </c>
      <c r="D2189" s="13" t="s">
        <v>3050</v>
      </c>
      <c r="E2189" s="8">
        <v>140986.68</v>
      </c>
      <c r="F2189" s="13" t="s">
        <v>70</v>
      </c>
      <c r="G2189" s="14">
        <v>44742</v>
      </c>
      <c r="H2189" s="13" t="s">
        <v>9</v>
      </c>
    </row>
    <row r="2190" spans="1:8" ht="14.4" x14ac:dyDescent="0.3">
      <c r="A2190" s="8">
        <v>82186955</v>
      </c>
      <c r="B2190" s="11">
        <v>44740</v>
      </c>
      <c r="C2190" s="13" t="s">
        <v>1286</v>
      </c>
      <c r="D2190" s="13" t="s">
        <v>3051</v>
      </c>
      <c r="E2190" s="8">
        <v>87375.05</v>
      </c>
      <c r="F2190" s="13" t="s">
        <v>70</v>
      </c>
      <c r="G2190" s="14">
        <v>44742</v>
      </c>
      <c r="H2190" s="13" t="s">
        <v>9</v>
      </c>
    </row>
    <row r="2191" spans="1:8" ht="14.4" x14ac:dyDescent="0.3">
      <c r="A2191" s="8">
        <v>82186956</v>
      </c>
      <c r="B2191" s="11">
        <v>44740</v>
      </c>
      <c r="C2191" s="13" t="s">
        <v>152</v>
      </c>
      <c r="D2191" s="13" t="s">
        <v>3052</v>
      </c>
      <c r="E2191" s="8">
        <v>18975</v>
      </c>
      <c r="F2191" s="13" t="s">
        <v>70</v>
      </c>
      <c r="G2191" s="14">
        <v>44743</v>
      </c>
      <c r="H2191" s="13" t="s">
        <v>9</v>
      </c>
    </row>
    <row r="2192" spans="1:8" ht="14.4" x14ac:dyDescent="0.3">
      <c r="A2192" s="8">
        <v>82186957</v>
      </c>
      <c r="B2192" s="11">
        <v>44740</v>
      </c>
      <c r="C2192" s="13" t="s">
        <v>3053</v>
      </c>
      <c r="D2192" s="13" t="s">
        <v>3054</v>
      </c>
      <c r="E2192" s="8">
        <v>40000</v>
      </c>
      <c r="F2192" s="13" t="s">
        <v>70</v>
      </c>
      <c r="G2192" s="14">
        <v>44743</v>
      </c>
      <c r="H2192" s="13" t="s">
        <v>9</v>
      </c>
    </row>
    <row r="2193" spans="1:8" ht="14.4" x14ac:dyDescent="0.3">
      <c r="A2193" s="8">
        <v>82186958</v>
      </c>
      <c r="B2193" s="11">
        <v>44740</v>
      </c>
      <c r="C2193" s="13" t="s">
        <v>3055</v>
      </c>
      <c r="D2193" s="13" t="s">
        <v>3056</v>
      </c>
      <c r="E2193" s="8">
        <v>14800</v>
      </c>
      <c r="F2193" s="13" t="s">
        <v>70</v>
      </c>
      <c r="G2193" s="14">
        <v>44743</v>
      </c>
      <c r="H2193" s="13" t="s">
        <v>9</v>
      </c>
    </row>
    <row r="2194" spans="1:8" ht="14.4" x14ac:dyDescent="0.3">
      <c r="A2194" s="8">
        <v>82186959</v>
      </c>
      <c r="B2194" s="11">
        <v>44740</v>
      </c>
      <c r="C2194" s="13" t="s">
        <v>3057</v>
      </c>
      <c r="D2194" s="13" t="s">
        <v>3058</v>
      </c>
      <c r="E2194" s="8">
        <v>11000</v>
      </c>
      <c r="F2194" s="13" t="s">
        <v>70</v>
      </c>
      <c r="G2194" s="14">
        <v>44746</v>
      </c>
      <c r="H2194" s="13" t="s">
        <v>9</v>
      </c>
    </row>
    <row r="2195" spans="1:8" ht="14.4" x14ac:dyDescent="0.3">
      <c r="A2195" s="8">
        <v>82186960</v>
      </c>
      <c r="B2195" s="11">
        <v>44740</v>
      </c>
      <c r="C2195" s="13" t="s">
        <v>3059</v>
      </c>
      <c r="D2195" s="13" t="s">
        <v>3060</v>
      </c>
      <c r="E2195" s="8">
        <v>11000</v>
      </c>
      <c r="F2195" s="13" t="s">
        <v>70</v>
      </c>
      <c r="G2195" s="14">
        <v>44746</v>
      </c>
      <c r="H2195" s="13" t="s">
        <v>9</v>
      </c>
    </row>
    <row r="2196" spans="1:8" ht="14.4" x14ac:dyDescent="0.3">
      <c r="A2196" s="8">
        <v>82186961</v>
      </c>
      <c r="B2196" s="11">
        <v>44740</v>
      </c>
      <c r="C2196" s="13" t="s">
        <v>3061</v>
      </c>
      <c r="D2196" s="13" t="s">
        <v>3062</v>
      </c>
      <c r="E2196" s="8">
        <v>50000</v>
      </c>
      <c r="F2196" s="13" t="s">
        <v>70</v>
      </c>
      <c r="G2196" s="14">
        <v>44746</v>
      </c>
      <c r="H2196" s="13" t="s">
        <v>9</v>
      </c>
    </row>
    <row r="2197" spans="1:8" ht="14.4" x14ac:dyDescent="0.3">
      <c r="A2197" s="8">
        <v>82186962</v>
      </c>
      <c r="B2197" s="11">
        <v>44740</v>
      </c>
      <c r="C2197" s="13" t="s">
        <v>3063</v>
      </c>
      <c r="D2197" s="13" t="s">
        <v>3064</v>
      </c>
      <c r="E2197" s="8">
        <v>6000</v>
      </c>
      <c r="F2197" s="13" t="s">
        <v>70</v>
      </c>
      <c r="G2197" s="14">
        <v>44747</v>
      </c>
      <c r="H2197" s="13" t="s">
        <v>9</v>
      </c>
    </row>
    <row r="2198" spans="1:8" ht="14.4" x14ac:dyDescent="0.3">
      <c r="A2198" s="8">
        <v>82186963</v>
      </c>
      <c r="B2198" s="11">
        <v>44740</v>
      </c>
      <c r="C2198" s="13" t="s">
        <v>3065</v>
      </c>
      <c r="D2198" s="13" t="s">
        <v>3066</v>
      </c>
      <c r="E2198" s="8">
        <v>50000</v>
      </c>
      <c r="F2198" s="13" t="s">
        <v>70</v>
      </c>
      <c r="G2198" s="14">
        <v>44746</v>
      </c>
      <c r="H2198" s="13" t="s">
        <v>9</v>
      </c>
    </row>
    <row r="2199" spans="1:8" ht="14.4" x14ac:dyDescent="0.3">
      <c r="A2199" s="8">
        <v>82186964</v>
      </c>
      <c r="B2199" s="11">
        <v>44740</v>
      </c>
      <c r="C2199" s="13" t="s">
        <v>3067</v>
      </c>
      <c r="D2199" s="13" t="s">
        <v>3068</v>
      </c>
      <c r="E2199" s="8">
        <v>11000</v>
      </c>
      <c r="F2199" s="13" t="s">
        <v>70</v>
      </c>
      <c r="G2199" s="14">
        <v>44743</v>
      </c>
      <c r="H2199" s="13" t="s">
        <v>9</v>
      </c>
    </row>
    <row r="2200" spans="1:8" ht="14.4" x14ac:dyDescent="0.3">
      <c r="A2200" s="8">
        <v>82186965</v>
      </c>
      <c r="B2200" s="11">
        <v>44740</v>
      </c>
      <c r="C2200" s="13" t="s">
        <v>3069</v>
      </c>
      <c r="D2200" s="13" t="s">
        <v>3070</v>
      </c>
      <c r="E2200" s="8">
        <v>6000</v>
      </c>
      <c r="F2200" s="13" t="s">
        <v>70</v>
      </c>
      <c r="G2200" s="14">
        <v>44743</v>
      </c>
      <c r="H2200" s="13" t="s">
        <v>9</v>
      </c>
    </row>
    <row r="2201" spans="1:8" ht="14.4" x14ac:dyDescent="0.3">
      <c r="A2201" s="8">
        <v>82186966</v>
      </c>
      <c r="B2201" s="11">
        <v>44740</v>
      </c>
      <c r="C2201" s="13" t="s">
        <v>3071</v>
      </c>
      <c r="D2201" s="13" t="s">
        <v>3072</v>
      </c>
      <c r="E2201" s="8">
        <v>10000</v>
      </c>
      <c r="F2201" s="13" t="s">
        <v>70</v>
      </c>
      <c r="G2201" s="14">
        <v>44746</v>
      </c>
      <c r="H2201" s="13" t="s">
        <v>9</v>
      </c>
    </row>
    <row r="2202" spans="1:8" ht="14.4" x14ac:dyDescent="0.3">
      <c r="A2202" s="8">
        <v>82186967</v>
      </c>
      <c r="B2202" s="11">
        <v>44740</v>
      </c>
      <c r="C2202" s="13" t="s">
        <v>2485</v>
      </c>
      <c r="D2202" s="13" t="s">
        <v>3073</v>
      </c>
      <c r="E2202" s="8">
        <v>59169</v>
      </c>
      <c r="F2202" s="13" t="s">
        <v>70</v>
      </c>
      <c r="G2202" s="14">
        <v>44773</v>
      </c>
      <c r="H2202" s="13" t="s">
        <v>9</v>
      </c>
    </row>
    <row r="2203" spans="1:8" ht="14.4" x14ac:dyDescent="0.3">
      <c r="A2203" s="8">
        <v>82186968</v>
      </c>
      <c r="B2203" s="11">
        <v>44740</v>
      </c>
      <c r="C2203" s="13" t="s">
        <v>3074</v>
      </c>
      <c r="D2203" s="13" t="s">
        <v>3075</v>
      </c>
      <c r="E2203" s="8">
        <v>50000</v>
      </c>
      <c r="F2203" s="13" t="s">
        <v>70</v>
      </c>
      <c r="G2203" s="14">
        <v>44743</v>
      </c>
      <c r="H2203" s="13" t="s">
        <v>9</v>
      </c>
    </row>
    <row r="2204" spans="1:8" ht="14.4" x14ac:dyDescent="0.3">
      <c r="A2204" s="8">
        <v>82186969</v>
      </c>
      <c r="B2204" s="11">
        <v>44740</v>
      </c>
      <c r="C2204" s="13" t="s">
        <v>3076</v>
      </c>
      <c r="D2204" s="13" t="s">
        <v>3077</v>
      </c>
      <c r="E2204" s="8">
        <v>10000</v>
      </c>
      <c r="F2204" s="13" t="s">
        <v>70</v>
      </c>
      <c r="G2204" s="14">
        <v>44746</v>
      </c>
      <c r="H2204" s="13" t="s">
        <v>9</v>
      </c>
    </row>
    <row r="2205" spans="1:8" ht="14.4" x14ac:dyDescent="0.3">
      <c r="A2205" s="8">
        <v>82186970</v>
      </c>
      <c r="B2205" s="11">
        <v>44740</v>
      </c>
      <c r="C2205" s="13" t="s">
        <v>2809</v>
      </c>
      <c r="D2205" s="13" t="s">
        <v>3078</v>
      </c>
      <c r="E2205" s="8">
        <v>30000</v>
      </c>
      <c r="F2205" s="13" t="s">
        <v>70</v>
      </c>
      <c r="G2205" s="14">
        <v>44743</v>
      </c>
      <c r="H2205" s="13" t="s">
        <v>9</v>
      </c>
    </row>
    <row r="2206" spans="1:8" ht="14.4" x14ac:dyDescent="0.3">
      <c r="A2206" s="8">
        <v>82186971</v>
      </c>
      <c r="B2206" s="11">
        <v>44740</v>
      </c>
      <c r="C2206" s="13" t="s">
        <v>3079</v>
      </c>
      <c r="D2206" s="13" t="s">
        <v>3080</v>
      </c>
      <c r="E2206" s="8">
        <v>10000</v>
      </c>
      <c r="F2206" s="13" t="s">
        <v>70</v>
      </c>
      <c r="G2206" s="14">
        <v>44746</v>
      </c>
      <c r="H2206" s="13" t="s">
        <v>9</v>
      </c>
    </row>
    <row r="2207" spans="1:8" ht="14.4" x14ac:dyDescent="0.3">
      <c r="A2207" s="8">
        <v>82186972</v>
      </c>
      <c r="B2207" s="11">
        <v>44740</v>
      </c>
      <c r="C2207" s="13" t="s">
        <v>3081</v>
      </c>
      <c r="D2207" s="13" t="s">
        <v>3082</v>
      </c>
      <c r="E2207" s="8">
        <v>20000</v>
      </c>
      <c r="F2207" s="13" t="s">
        <v>70</v>
      </c>
      <c r="G2207" s="14">
        <v>44743</v>
      </c>
      <c r="H2207" s="13" t="s">
        <v>9</v>
      </c>
    </row>
    <row r="2208" spans="1:8" ht="14.4" x14ac:dyDescent="0.3">
      <c r="A2208" s="8">
        <v>82186973</v>
      </c>
      <c r="B2208" s="11">
        <v>44740</v>
      </c>
      <c r="C2208" s="13" t="s">
        <v>3083</v>
      </c>
      <c r="D2208" s="13" t="s">
        <v>3084</v>
      </c>
      <c r="E2208" s="8">
        <v>10000</v>
      </c>
      <c r="F2208" s="13" t="s">
        <v>70</v>
      </c>
      <c r="G2208" s="14">
        <v>44743</v>
      </c>
      <c r="H2208" s="13" t="s">
        <v>9</v>
      </c>
    </row>
    <row r="2209" spans="1:8" ht="14.4" x14ac:dyDescent="0.3">
      <c r="A2209" s="8">
        <v>82186974</v>
      </c>
      <c r="B2209" s="11">
        <v>44740</v>
      </c>
      <c r="C2209" s="13" t="s">
        <v>3085</v>
      </c>
      <c r="D2209" s="13" t="s">
        <v>3086</v>
      </c>
      <c r="E2209" s="8">
        <v>50000</v>
      </c>
      <c r="F2209" s="13" t="s">
        <v>70</v>
      </c>
      <c r="G2209" s="14">
        <v>44743</v>
      </c>
      <c r="H2209" s="13" t="s">
        <v>9</v>
      </c>
    </row>
    <row r="2210" spans="1:8" ht="14.4" x14ac:dyDescent="0.3">
      <c r="A2210" s="8">
        <v>82186975</v>
      </c>
      <c r="B2210" s="11">
        <v>44740</v>
      </c>
      <c r="C2210" s="13" t="s">
        <v>3087</v>
      </c>
      <c r="D2210" s="13" t="s">
        <v>3088</v>
      </c>
      <c r="E2210" s="8">
        <v>12000</v>
      </c>
      <c r="F2210" s="13" t="s">
        <v>70</v>
      </c>
      <c r="G2210" s="14">
        <v>44743</v>
      </c>
      <c r="H2210" s="13" t="s">
        <v>9</v>
      </c>
    </row>
    <row r="2211" spans="1:8" ht="14.4" x14ac:dyDescent="0.3">
      <c r="A2211" s="8">
        <v>82186976</v>
      </c>
      <c r="B2211" s="11">
        <v>44740</v>
      </c>
      <c r="C2211" s="13" t="s">
        <v>3089</v>
      </c>
      <c r="D2211" s="13" t="s">
        <v>3090</v>
      </c>
      <c r="E2211" s="8">
        <v>27000</v>
      </c>
      <c r="F2211" s="13" t="s">
        <v>70</v>
      </c>
      <c r="G2211" s="14">
        <v>44746</v>
      </c>
      <c r="H2211" s="13" t="s">
        <v>9</v>
      </c>
    </row>
    <row r="2212" spans="1:8" ht="14.4" x14ac:dyDescent="0.3">
      <c r="A2212" s="8">
        <v>82186977</v>
      </c>
      <c r="B2212" s="11">
        <v>44740</v>
      </c>
      <c r="C2212" s="13" t="s">
        <v>3091</v>
      </c>
      <c r="D2212" s="13" t="s">
        <v>3092</v>
      </c>
      <c r="E2212" s="8">
        <v>11000</v>
      </c>
      <c r="F2212" s="13" t="s">
        <v>70</v>
      </c>
      <c r="G2212" s="14">
        <v>44746</v>
      </c>
      <c r="H2212" s="13" t="s">
        <v>9</v>
      </c>
    </row>
    <row r="2213" spans="1:8" ht="14.4" x14ac:dyDescent="0.3">
      <c r="A2213" s="8">
        <v>82186978</v>
      </c>
      <c r="B2213" s="11">
        <v>44740</v>
      </c>
      <c r="C2213" s="13" t="s">
        <v>1033</v>
      </c>
      <c r="D2213" s="13" t="s">
        <v>3093</v>
      </c>
      <c r="E2213" s="8">
        <v>10000</v>
      </c>
      <c r="F2213" s="13" t="s">
        <v>70</v>
      </c>
      <c r="G2213" s="14">
        <v>44748</v>
      </c>
      <c r="H2213" s="13" t="s">
        <v>9</v>
      </c>
    </row>
    <row r="2214" spans="1:8" ht="14.4" x14ac:dyDescent="0.3">
      <c r="A2214" s="8">
        <v>82186979</v>
      </c>
      <c r="B2214" s="11">
        <v>44740</v>
      </c>
      <c r="C2214" s="13" t="s">
        <v>3094</v>
      </c>
      <c r="D2214" s="13" t="s">
        <v>3095</v>
      </c>
      <c r="E2214" s="8">
        <v>40000</v>
      </c>
      <c r="F2214" s="13" t="s">
        <v>70</v>
      </c>
      <c r="G2214" s="14">
        <v>44743</v>
      </c>
      <c r="H2214" s="13" t="s">
        <v>9</v>
      </c>
    </row>
    <row r="2215" spans="1:8" ht="14.4" x14ac:dyDescent="0.3">
      <c r="A2215" s="8">
        <v>82186980</v>
      </c>
      <c r="B2215" s="11">
        <v>44740</v>
      </c>
      <c r="C2215" s="13" t="s">
        <v>3096</v>
      </c>
      <c r="D2215" s="13" t="s">
        <v>3097</v>
      </c>
      <c r="E2215" s="8">
        <v>20000</v>
      </c>
      <c r="F2215" s="13" t="s">
        <v>70</v>
      </c>
      <c r="G2215" s="14">
        <v>44743</v>
      </c>
      <c r="H2215" s="13" t="s">
        <v>9</v>
      </c>
    </row>
    <row r="2216" spans="1:8" ht="14.4" x14ac:dyDescent="0.3">
      <c r="A2216" s="8">
        <v>82186981</v>
      </c>
      <c r="B2216" s="11">
        <v>44740</v>
      </c>
      <c r="C2216" s="13" t="s">
        <v>3098</v>
      </c>
      <c r="D2216" s="13" t="s">
        <v>3099</v>
      </c>
      <c r="E2216" s="8">
        <v>10000</v>
      </c>
      <c r="F2216" s="13" t="s">
        <v>70</v>
      </c>
      <c r="G2216" s="14">
        <v>44742</v>
      </c>
      <c r="H2216" s="13" t="s">
        <v>9</v>
      </c>
    </row>
    <row r="2217" spans="1:8" ht="14.4" x14ac:dyDescent="0.3">
      <c r="A2217" s="8">
        <v>82186982</v>
      </c>
      <c r="B2217" s="11">
        <v>44740</v>
      </c>
      <c r="C2217" s="13" t="s">
        <v>3100</v>
      </c>
      <c r="D2217" s="13" t="s">
        <v>3101</v>
      </c>
      <c r="E2217" s="8">
        <v>25000</v>
      </c>
      <c r="F2217" s="13" t="s">
        <v>70</v>
      </c>
      <c r="G2217" s="14">
        <v>44746</v>
      </c>
      <c r="H2217" s="13" t="s">
        <v>9</v>
      </c>
    </row>
    <row r="2218" spans="1:8" ht="14.4" x14ac:dyDescent="0.3">
      <c r="A2218" s="8">
        <v>82186983</v>
      </c>
      <c r="B2218" s="11">
        <v>44740</v>
      </c>
      <c r="C2218" s="13" t="s">
        <v>3102</v>
      </c>
      <c r="D2218" s="13" t="s">
        <v>3103</v>
      </c>
      <c r="E2218" s="8">
        <v>20000</v>
      </c>
      <c r="F2218" s="13" t="s">
        <v>70</v>
      </c>
      <c r="G2218" s="14">
        <v>44746</v>
      </c>
      <c r="H2218" s="13" t="s">
        <v>9</v>
      </c>
    </row>
    <row r="2219" spans="1:8" ht="14.4" x14ac:dyDescent="0.3">
      <c r="A2219" s="8">
        <v>82186984</v>
      </c>
      <c r="B2219" s="11">
        <v>44740</v>
      </c>
      <c r="C2219" s="13" t="s">
        <v>3104</v>
      </c>
      <c r="D2219" s="13" t="s">
        <v>3105</v>
      </c>
      <c r="E2219" s="8">
        <v>10000</v>
      </c>
      <c r="F2219" s="13" t="s">
        <v>70</v>
      </c>
      <c r="G2219" s="14">
        <v>44746</v>
      </c>
      <c r="H2219" s="13" t="s">
        <v>9</v>
      </c>
    </row>
    <row r="2220" spans="1:8" ht="14.4" x14ac:dyDescent="0.3">
      <c r="A2220" s="8">
        <v>82186985</v>
      </c>
      <c r="B2220" s="11">
        <v>44740</v>
      </c>
      <c r="C2220" s="13" t="s">
        <v>3106</v>
      </c>
      <c r="D2220" s="13" t="s">
        <v>3107</v>
      </c>
      <c r="E2220" s="8">
        <v>5000</v>
      </c>
      <c r="F2220" s="13" t="s">
        <v>70</v>
      </c>
      <c r="G2220" s="14">
        <v>44750</v>
      </c>
      <c r="H2220" s="13" t="s">
        <v>9</v>
      </c>
    </row>
    <row r="2221" spans="1:8" ht="14.4" x14ac:dyDescent="0.3">
      <c r="A2221" s="8">
        <v>82186986</v>
      </c>
      <c r="B2221" s="11">
        <v>44740</v>
      </c>
      <c r="C2221" s="13" t="s">
        <v>3108</v>
      </c>
      <c r="D2221" s="13" t="s">
        <v>3109</v>
      </c>
      <c r="E2221" s="8">
        <v>20000</v>
      </c>
      <c r="F2221" s="13" t="s">
        <v>70</v>
      </c>
      <c r="G2221" s="14">
        <v>44742</v>
      </c>
      <c r="H2221" s="13" t="s">
        <v>9</v>
      </c>
    </row>
    <row r="2222" spans="1:8" ht="14.4" x14ac:dyDescent="0.3">
      <c r="A2222" s="8">
        <v>82186987</v>
      </c>
      <c r="B2222" s="11">
        <v>44740</v>
      </c>
      <c r="C2222" s="13" t="s">
        <v>1592</v>
      </c>
      <c r="D2222" s="13" t="s">
        <v>3110</v>
      </c>
      <c r="E2222" s="8">
        <v>29907.02</v>
      </c>
      <c r="F2222" s="13" t="s">
        <v>70</v>
      </c>
      <c r="G2222" s="14">
        <v>44742</v>
      </c>
      <c r="H2222" s="13" t="s">
        <v>9</v>
      </c>
    </row>
    <row r="2223" spans="1:8" ht="14.4" x14ac:dyDescent="0.3">
      <c r="A2223" s="8">
        <v>82186988</v>
      </c>
      <c r="B2223" s="11">
        <v>44740</v>
      </c>
      <c r="C2223" s="13" t="s">
        <v>3111</v>
      </c>
      <c r="D2223" s="13" t="s">
        <v>3112</v>
      </c>
      <c r="E2223" s="8">
        <v>44747.15</v>
      </c>
      <c r="F2223" s="13" t="s">
        <v>70</v>
      </c>
      <c r="G2223" s="14">
        <v>44743</v>
      </c>
      <c r="H2223" s="13" t="s">
        <v>9</v>
      </c>
    </row>
    <row r="2224" spans="1:8" ht="14.4" x14ac:dyDescent="0.3">
      <c r="A2224" s="8">
        <v>82186989</v>
      </c>
      <c r="B2224" s="11">
        <v>44741</v>
      </c>
      <c r="C2224" s="13" t="s">
        <v>3113</v>
      </c>
      <c r="D2224" s="13" t="s">
        <v>3114</v>
      </c>
      <c r="E2224" s="8">
        <v>150000000</v>
      </c>
      <c r="F2224" s="13" t="s">
        <v>70</v>
      </c>
      <c r="G2224" s="14">
        <v>44741</v>
      </c>
      <c r="H2224" s="13" t="s">
        <v>9</v>
      </c>
    </row>
    <row r="2225" spans="1:8" ht="14.4" x14ac:dyDescent="0.3">
      <c r="A2225" s="8">
        <v>82186990</v>
      </c>
      <c r="B2225" s="11">
        <v>44741</v>
      </c>
      <c r="C2225" s="13" t="s">
        <v>3115</v>
      </c>
      <c r="D2225" s="13" t="s">
        <v>3116</v>
      </c>
      <c r="E2225" s="8">
        <v>152370</v>
      </c>
      <c r="F2225" s="13" t="s">
        <v>70</v>
      </c>
      <c r="G2225" s="14">
        <v>44742</v>
      </c>
      <c r="H2225" s="13" t="s">
        <v>9</v>
      </c>
    </row>
    <row r="2226" spans="1:8" ht="14.4" x14ac:dyDescent="0.3">
      <c r="A2226" s="8">
        <v>82186991</v>
      </c>
      <c r="B2226" s="11">
        <v>44741</v>
      </c>
      <c r="C2226" s="13" t="s">
        <v>3117</v>
      </c>
      <c r="D2226" s="13" t="s">
        <v>3118</v>
      </c>
      <c r="E2226" s="15">
        <v>93678</v>
      </c>
      <c r="F2226" s="13" t="s">
        <v>70</v>
      </c>
      <c r="G2226" s="14">
        <v>44746</v>
      </c>
      <c r="H2226" s="13" t="s">
        <v>9</v>
      </c>
    </row>
    <row r="2227" spans="1:8" ht="14.4" x14ac:dyDescent="0.3">
      <c r="A2227" s="8">
        <v>82186992</v>
      </c>
      <c r="B2227" s="11">
        <v>44741</v>
      </c>
      <c r="C2227" s="13" t="s">
        <v>188</v>
      </c>
      <c r="D2227" s="13" t="s">
        <v>3119</v>
      </c>
      <c r="E2227" s="8">
        <v>820436.85</v>
      </c>
      <c r="F2227" s="13" t="s">
        <v>70</v>
      </c>
      <c r="G2227" s="14">
        <v>44742</v>
      </c>
      <c r="H2227" s="13" t="s">
        <v>9</v>
      </c>
    </row>
    <row r="2228" spans="1:8" ht="14.4" x14ac:dyDescent="0.3">
      <c r="A2228" s="8">
        <v>82186993</v>
      </c>
      <c r="B2228" s="11">
        <v>44741</v>
      </c>
      <c r="C2228" s="13" t="s">
        <v>188</v>
      </c>
      <c r="D2228" s="13" t="s">
        <v>3120</v>
      </c>
      <c r="E2228" s="8">
        <v>9384.24</v>
      </c>
      <c r="F2228" s="13" t="s">
        <v>70</v>
      </c>
      <c r="G2228" s="14">
        <v>44742</v>
      </c>
      <c r="H2228" s="13" t="s">
        <v>9</v>
      </c>
    </row>
    <row r="2229" spans="1:8" ht="14.4" x14ac:dyDescent="0.3">
      <c r="A2229" s="8">
        <v>82186994</v>
      </c>
      <c r="B2229" s="11">
        <v>44741</v>
      </c>
      <c r="C2229" s="13" t="s">
        <v>188</v>
      </c>
      <c r="D2229" s="13" t="s">
        <v>3121</v>
      </c>
      <c r="E2229" s="8">
        <v>122608</v>
      </c>
      <c r="F2229" s="13" t="s">
        <v>70</v>
      </c>
      <c r="G2229" s="14">
        <v>44742</v>
      </c>
      <c r="H2229" s="13" t="s">
        <v>9</v>
      </c>
    </row>
    <row r="2230" spans="1:8" ht="14.4" x14ac:dyDescent="0.3">
      <c r="A2230" s="8">
        <v>82186995</v>
      </c>
      <c r="B2230" s="11">
        <v>44741</v>
      </c>
      <c r="C2230" s="13" t="s">
        <v>159</v>
      </c>
      <c r="D2230" s="13" t="s">
        <v>3122</v>
      </c>
      <c r="E2230" s="8">
        <v>390500</v>
      </c>
      <c r="F2230" s="13" t="s">
        <v>70</v>
      </c>
      <c r="G2230" s="14">
        <v>44742</v>
      </c>
      <c r="H2230" s="13" t="s">
        <v>9</v>
      </c>
    </row>
    <row r="2231" spans="1:8" ht="14.4" x14ac:dyDescent="0.3">
      <c r="A2231" s="8">
        <v>82186996</v>
      </c>
      <c r="B2231" s="11">
        <v>44741</v>
      </c>
      <c r="C2231" s="13" t="s">
        <v>162</v>
      </c>
      <c r="D2231" s="13" t="s">
        <v>3123</v>
      </c>
      <c r="E2231" s="8">
        <v>429311.89</v>
      </c>
      <c r="F2231" s="13" t="s">
        <v>70</v>
      </c>
      <c r="G2231" s="14">
        <v>44742</v>
      </c>
      <c r="H2231" s="13" t="s">
        <v>9</v>
      </c>
    </row>
    <row r="2232" spans="1:8" ht="14.4" x14ac:dyDescent="0.3">
      <c r="A2232" s="8">
        <v>82186997</v>
      </c>
      <c r="B2232" s="11">
        <v>44741</v>
      </c>
      <c r="C2232" s="13" t="s">
        <v>44</v>
      </c>
      <c r="D2232" s="13" t="s">
        <v>3124</v>
      </c>
      <c r="E2232" s="8">
        <v>12075</v>
      </c>
      <c r="F2232" s="13" t="s">
        <v>70</v>
      </c>
      <c r="G2232" s="14">
        <v>44771</v>
      </c>
      <c r="H2232" s="13" t="s">
        <v>9</v>
      </c>
    </row>
    <row r="2233" spans="1:8" ht="14.4" x14ac:dyDescent="0.3">
      <c r="A2233" s="8">
        <v>82186998</v>
      </c>
      <c r="B2233" s="11">
        <v>44741</v>
      </c>
      <c r="C2233" s="13" t="s">
        <v>44</v>
      </c>
      <c r="D2233" s="13" t="s">
        <v>3125</v>
      </c>
      <c r="E2233" s="8">
        <v>12075</v>
      </c>
      <c r="F2233" s="13" t="s">
        <v>70</v>
      </c>
      <c r="G2233" s="14">
        <v>44771</v>
      </c>
      <c r="H2233" s="13" t="s">
        <v>9</v>
      </c>
    </row>
    <row r="2234" spans="1:8" ht="14.4" x14ac:dyDescent="0.3">
      <c r="A2234" s="8">
        <v>82186999</v>
      </c>
      <c r="B2234" s="11">
        <v>44741</v>
      </c>
      <c r="C2234" s="13" t="s">
        <v>3126</v>
      </c>
      <c r="D2234" s="13" t="s">
        <v>3127</v>
      </c>
      <c r="E2234" s="8">
        <v>60011.48</v>
      </c>
      <c r="F2234" s="13" t="s">
        <v>70</v>
      </c>
      <c r="G2234" s="14">
        <v>44742</v>
      </c>
      <c r="H2234" s="13" t="s">
        <v>9</v>
      </c>
    </row>
    <row r="2235" spans="1:8" ht="14.4" x14ac:dyDescent="0.3">
      <c r="A2235" s="8">
        <v>82187000</v>
      </c>
      <c r="B2235" s="11">
        <v>44742</v>
      </c>
      <c r="C2235" s="13" t="s">
        <v>1956</v>
      </c>
      <c r="D2235" s="13" t="s">
        <v>3128</v>
      </c>
      <c r="E2235" s="8">
        <v>4217163.78</v>
      </c>
      <c r="F2235" s="13" t="s">
        <v>70</v>
      </c>
      <c r="G2235" s="14">
        <v>44746</v>
      </c>
      <c r="H2235" s="13" t="s">
        <v>9</v>
      </c>
    </row>
    <row r="2236" spans="1:8" ht="14.4" x14ac:dyDescent="0.3">
      <c r="A2236" s="8">
        <v>82187001</v>
      </c>
      <c r="B2236" s="11">
        <v>44742</v>
      </c>
      <c r="C2236" s="13" t="s">
        <v>1668</v>
      </c>
      <c r="D2236" s="13" t="s">
        <v>3129</v>
      </c>
      <c r="E2236" s="8">
        <v>20000</v>
      </c>
      <c r="F2236" s="13" t="s">
        <v>70</v>
      </c>
      <c r="G2236" s="14">
        <v>44746</v>
      </c>
      <c r="H2236" s="13" t="s">
        <v>9</v>
      </c>
    </row>
    <row r="2237" spans="1:8" ht="14.4" x14ac:dyDescent="0.3">
      <c r="A2237" s="8">
        <v>82187002</v>
      </c>
      <c r="B2237" s="11">
        <v>44742</v>
      </c>
      <c r="C2237" s="13" t="s">
        <v>153</v>
      </c>
      <c r="D2237" s="13" t="s">
        <v>3130</v>
      </c>
      <c r="E2237" s="8">
        <v>83916</v>
      </c>
      <c r="F2237" s="13" t="s">
        <v>70</v>
      </c>
      <c r="G2237" s="14">
        <v>44747</v>
      </c>
      <c r="H2237" s="13" t="s">
        <v>9</v>
      </c>
    </row>
    <row r="2238" spans="1:8" ht="14.4" x14ac:dyDescent="0.3">
      <c r="A2238" s="8">
        <v>82187003</v>
      </c>
      <c r="B2238" s="11">
        <v>44742</v>
      </c>
      <c r="C2238" s="13" t="s">
        <v>1286</v>
      </c>
      <c r="D2238" s="13" t="s">
        <v>2473</v>
      </c>
      <c r="E2238" s="8">
        <v>21469.39</v>
      </c>
      <c r="F2238" s="13" t="s">
        <v>70</v>
      </c>
      <c r="G2238" s="14">
        <v>44746</v>
      </c>
      <c r="H2238" s="13" t="s">
        <v>9</v>
      </c>
    </row>
    <row r="2239" spans="1:8" ht="14.4" x14ac:dyDescent="0.3">
      <c r="A2239" s="8">
        <v>82187004</v>
      </c>
      <c r="B2239" s="11">
        <v>44742</v>
      </c>
      <c r="C2239" s="13" t="s">
        <v>195</v>
      </c>
      <c r="D2239" s="13" t="s">
        <v>3131</v>
      </c>
      <c r="E2239" s="8">
        <v>6200</v>
      </c>
      <c r="F2239" s="13" t="s">
        <v>70</v>
      </c>
      <c r="G2239" s="14">
        <v>44754</v>
      </c>
      <c r="H2239" s="13" t="s">
        <v>9</v>
      </c>
    </row>
    <row r="2240" spans="1:8" ht="14.4" x14ac:dyDescent="0.3">
      <c r="A2240" s="8">
        <v>82187005</v>
      </c>
      <c r="B2240" s="11">
        <v>44742</v>
      </c>
      <c r="C2240" s="13" t="s">
        <v>152</v>
      </c>
      <c r="D2240" s="13" t="s">
        <v>3132</v>
      </c>
      <c r="E2240" s="8">
        <v>25725</v>
      </c>
      <c r="F2240" s="13" t="s">
        <v>70</v>
      </c>
      <c r="G2240" s="14">
        <v>44748</v>
      </c>
      <c r="H2240" s="13" t="s">
        <v>9</v>
      </c>
    </row>
    <row r="2241" spans="1:8" ht="14.4" x14ac:dyDescent="0.3">
      <c r="A2241" s="8">
        <v>82187006</v>
      </c>
      <c r="B2241" s="11">
        <v>44742</v>
      </c>
      <c r="C2241" s="13" t="s">
        <v>282</v>
      </c>
      <c r="D2241" s="13" t="s">
        <v>3133</v>
      </c>
      <c r="E2241" s="8">
        <v>6076</v>
      </c>
      <c r="F2241" s="13" t="s">
        <v>70</v>
      </c>
      <c r="G2241" s="14">
        <v>44760</v>
      </c>
      <c r="H2241" s="13" t="s">
        <v>9</v>
      </c>
    </row>
    <row r="2242" spans="1:8" ht="14.4" x14ac:dyDescent="0.3">
      <c r="A2242" s="8">
        <v>82187007</v>
      </c>
      <c r="B2242" s="11">
        <v>44742</v>
      </c>
      <c r="C2242" s="13" t="s">
        <v>3134</v>
      </c>
      <c r="D2242" s="13" t="s">
        <v>3135</v>
      </c>
      <c r="E2242" s="8">
        <v>13473.2</v>
      </c>
      <c r="F2242" s="13" t="s">
        <v>70</v>
      </c>
      <c r="G2242" s="14">
        <v>44754</v>
      </c>
      <c r="H2242" s="13" t="s">
        <v>9</v>
      </c>
    </row>
    <row r="2243" spans="1:8" ht="14.4" x14ac:dyDescent="0.3">
      <c r="A2243" s="8">
        <v>82187008</v>
      </c>
      <c r="B2243" s="11">
        <v>44742</v>
      </c>
      <c r="C2243" s="13" t="s">
        <v>162</v>
      </c>
      <c r="D2243" s="13" t="s">
        <v>3136</v>
      </c>
      <c r="E2243" s="8">
        <v>22676.98</v>
      </c>
      <c r="F2243" s="13" t="s">
        <v>70</v>
      </c>
      <c r="G2243" s="14">
        <v>44747</v>
      </c>
      <c r="H2243" s="13" t="s">
        <v>9</v>
      </c>
    </row>
    <row r="2244" spans="1:8" ht="14.4" x14ac:dyDescent="0.3">
      <c r="A2244" s="8">
        <v>82187009</v>
      </c>
      <c r="B2244" s="11">
        <v>44742</v>
      </c>
      <c r="C2244" s="13" t="s">
        <v>162</v>
      </c>
      <c r="D2244" s="13" t="s">
        <v>3137</v>
      </c>
      <c r="E2244" s="8">
        <v>124178.01</v>
      </c>
      <c r="F2244" s="13" t="s">
        <v>70</v>
      </c>
      <c r="G2244" s="14">
        <v>44747</v>
      </c>
      <c r="H2244" s="13" t="s">
        <v>9</v>
      </c>
    </row>
    <row r="2245" spans="1:8" ht="14.4" x14ac:dyDescent="0.3">
      <c r="A2245" s="8">
        <v>82187010</v>
      </c>
      <c r="B2245" s="11">
        <v>44742</v>
      </c>
      <c r="C2245" s="13" t="s">
        <v>162</v>
      </c>
      <c r="D2245" s="13" t="s">
        <v>3138</v>
      </c>
      <c r="E2245" s="8">
        <v>14184.68</v>
      </c>
      <c r="F2245" s="13" t="s">
        <v>70</v>
      </c>
      <c r="G2245" s="14">
        <v>44747</v>
      </c>
      <c r="H2245" s="13" t="s">
        <v>9</v>
      </c>
    </row>
    <row r="2246" spans="1:8" ht="14.4" x14ac:dyDescent="0.3">
      <c r="A2246" s="8">
        <v>82187011</v>
      </c>
      <c r="B2246" s="11">
        <v>44742</v>
      </c>
      <c r="C2246" s="13" t="s">
        <v>162</v>
      </c>
      <c r="D2246" s="13" t="s">
        <v>3139</v>
      </c>
      <c r="E2246" s="8">
        <v>11841.3</v>
      </c>
      <c r="F2246" s="13" t="s">
        <v>70</v>
      </c>
      <c r="G2246" s="14">
        <v>44749</v>
      </c>
      <c r="H2246" s="13" t="s">
        <v>9</v>
      </c>
    </row>
    <row r="2247" spans="1:8" ht="14.4" x14ac:dyDescent="0.3">
      <c r="A2247" s="8">
        <v>82187012</v>
      </c>
      <c r="B2247" s="11">
        <v>44742</v>
      </c>
      <c r="C2247" s="13" t="s">
        <v>162</v>
      </c>
      <c r="D2247" s="13" t="s">
        <v>3140</v>
      </c>
      <c r="E2247" s="8">
        <v>44627.99</v>
      </c>
      <c r="F2247" s="13" t="s">
        <v>70</v>
      </c>
      <c r="G2247" s="14">
        <v>44747</v>
      </c>
      <c r="H2247" s="13" t="s">
        <v>9</v>
      </c>
    </row>
    <row r="2248" spans="1:8" ht="14.4" x14ac:dyDescent="0.3">
      <c r="A2248" s="8">
        <v>82187013</v>
      </c>
      <c r="B2248" s="11">
        <v>44742</v>
      </c>
      <c r="C2248" s="13" t="s">
        <v>162</v>
      </c>
      <c r="D2248" s="13" t="s">
        <v>3141</v>
      </c>
      <c r="E2248" s="8">
        <v>84.94</v>
      </c>
      <c r="F2248" s="13" t="s">
        <v>70</v>
      </c>
      <c r="G2248" s="14">
        <v>44749</v>
      </c>
      <c r="H2248" s="13" t="s">
        <v>9</v>
      </c>
    </row>
    <row r="2249" spans="1:8" ht="14.4" x14ac:dyDescent="0.3">
      <c r="A2249" s="8">
        <v>82187014</v>
      </c>
      <c r="B2249" s="11">
        <v>44742</v>
      </c>
      <c r="C2249" s="13" t="s">
        <v>162</v>
      </c>
      <c r="D2249" s="13" t="s">
        <v>3142</v>
      </c>
      <c r="E2249" s="8">
        <v>323043.24</v>
      </c>
      <c r="F2249" s="13" t="s">
        <v>70</v>
      </c>
      <c r="G2249" s="14">
        <v>44747</v>
      </c>
      <c r="H2249" s="13" t="s">
        <v>9</v>
      </c>
    </row>
    <row r="2250" spans="1:8" ht="14.4" x14ac:dyDescent="0.3">
      <c r="A2250" s="8">
        <v>82187015</v>
      </c>
      <c r="B2250" s="11">
        <v>44742</v>
      </c>
      <c r="C2250" s="13" t="s">
        <v>162</v>
      </c>
      <c r="D2250" s="13" t="s">
        <v>3143</v>
      </c>
      <c r="E2250" s="8">
        <v>2835.03</v>
      </c>
      <c r="F2250" s="13" t="s">
        <v>70</v>
      </c>
      <c r="G2250" s="14">
        <v>44749</v>
      </c>
      <c r="H2250" s="13" t="s">
        <v>9</v>
      </c>
    </row>
    <row r="2251" spans="1:8" ht="14.4" x14ac:dyDescent="0.3">
      <c r="A2251" s="8">
        <v>82187016</v>
      </c>
      <c r="B2251" s="11">
        <v>44742</v>
      </c>
      <c r="C2251" s="13" t="s">
        <v>162</v>
      </c>
      <c r="D2251" s="13" t="s">
        <v>3144</v>
      </c>
      <c r="E2251" s="8">
        <v>424.7</v>
      </c>
      <c r="F2251" s="13" t="s">
        <v>70</v>
      </c>
      <c r="G2251" s="14">
        <v>44747</v>
      </c>
      <c r="H2251" s="13" t="s">
        <v>9</v>
      </c>
    </row>
    <row r="2252" spans="1:8" ht="14.4" x14ac:dyDescent="0.3">
      <c r="A2252" s="8">
        <v>82187017</v>
      </c>
      <c r="B2252" s="11">
        <v>44742</v>
      </c>
      <c r="C2252" s="13" t="s">
        <v>162</v>
      </c>
      <c r="D2252" s="13" t="s">
        <v>3145</v>
      </c>
      <c r="E2252" s="8">
        <v>900.4</v>
      </c>
      <c r="F2252" s="13" t="s">
        <v>70</v>
      </c>
      <c r="G2252" s="14">
        <v>44749</v>
      </c>
      <c r="H2252" s="13" t="s">
        <v>9</v>
      </c>
    </row>
    <row r="2253" spans="1:8" ht="14.4" x14ac:dyDescent="0.3">
      <c r="A2253" s="8">
        <v>82187018</v>
      </c>
      <c r="B2253" s="11">
        <v>44742</v>
      </c>
      <c r="C2253" s="13" t="s">
        <v>162</v>
      </c>
      <c r="D2253" s="13" t="s">
        <v>3146</v>
      </c>
      <c r="E2253" s="8">
        <v>3233.65</v>
      </c>
      <c r="F2253" s="13" t="s">
        <v>70</v>
      </c>
      <c r="G2253" s="14">
        <v>44747</v>
      </c>
      <c r="H2253" s="13" t="s">
        <v>9</v>
      </c>
    </row>
    <row r="2254" spans="1:8" ht="14.4" x14ac:dyDescent="0.3">
      <c r="A2254" s="8">
        <v>82187019</v>
      </c>
      <c r="B2254" s="11">
        <v>44742</v>
      </c>
      <c r="C2254" s="13" t="s">
        <v>162</v>
      </c>
      <c r="D2254" s="13" t="s">
        <v>3147</v>
      </c>
      <c r="E2254" s="8">
        <v>32066.880000000001</v>
      </c>
      <c r="F2254" s="13" t="s">
        <v>70</v>
      </c>
      <c r="G2254" s="14">
        <v>44750</v>
      </c>
      <c r="H2254" s="13" t="s">
        <v>9</v>
      </c>
    </row>
    <row r="2255" spans="1:8" ht="14.4" x14ac:dyDescent="0.3">
      <c r="A2255" s="8">
        <v>82187020</v>
      </c>
      <c r="B2255" s="11">
        <v>44742</v>
      </c>
      <c r="C2255" s="13" t="s">
        <v>162</v>
      </c>
      <c r="D2255" s="13" t="s">
        <v>3148</v>
      </c>
      <c r="E2255" s="8">
        <v>59049.54</v>
      </c>
      <c r="F2255" s="13" t="s">
        <v>70</v>
      </c>
      <c r="G2255" s="14">
        <v>44750</v>
      </c>
      <c r="H2255" s="13" t="s">
        <v>9</v>
      </c>
    </row>
    <row r="2256" spans="1:8" ht="14.4" x14ac:dyDescent="0.3">
      <c r="A2256" s="8">
        <v>82187021</v>
      </c>
      <c r="B2256" s="11">
        <v>44742</v>
      </c>
      <c r="C2256" s="13" t="s">
        <v>162</v>
      </c>
      <c r="D2256" s="13" t="s">
        <v>3149</v>
      </c>
      <c r="E2256" s="8">
        <v>23666.560000000001</v>
      </c>
      <c r="F2256" s="13" t="s">
        <v>70</v>
      </c>
      <c r="G2256" s="14">
        <v>44747</v>
      </c>
      <c r="H2256" s="13" t="s">
        <v>9</v>
      </c>
    </row>
    <row r="2257" spans="1:8" ht="14.4" x14ac:dyDescent="0.3">
      <c r="A2257" s="8">
        <v>82187022</v>
      </c>
      <c r="B2257" s="11">
        <v>44742</v>
      </c>
      <c r="C2257" s="13" t="s">
        <v>162</v>
      </c>
      <c r="D2257" s="13" t="s">
        <v>3150</v>
      </c>
      <c r="E2257" s="8">
        <v>621290.17000000004</v>
      </c>
      <c r="F2257" s="13" t="s">
        <v>70</v>
      </c>
      <c r="G2257" s="14">
        <v>44749</v>
      </c>
      <c r="H2257" s="13" t="s">
        <v>9</v>
      </c>
    </row>
    <row r="2258" spans="1:8" ht="14.4" x14ac:dyDescent="0.3">
      <c r="A2258" s="8">
        <v>82187023</v>
      </c>
      <c r="B2258" s="11">
        <v>44742</v>
      </c>
      <c r="C2258" s="13" t="s">
        <v>162</v>
      </c>
      <c r="D2258" s="13" t="s">
        <v>3151</v>
      </c>
      <c r="E2258" s="8">
        <v>12018.69</v>
      </c>
      <c r="F2258" s="13" t="s">
        <v>70</v>
      </c>
      <c r="G2258" s="14">
        <v>44749</v>
      </c>
      <c r="H2258" s="13" t="s">
        <v>9</v>
      </c>
    </row>
    <row r="2259" spans="1:8" ht="14.4" x14ac:dyDescent="0.3">
      <c r="A2259" s="8">
        <v>82187024</v>
      </c>
      <c r="B2259" s="11">
        <v>44742</v>
      </c>
      <c r="C2259" s="13" t="s">
        <v>162</v>
      </c>
      <c r="D2259" s="13" t="s">
        <v>3152</v>
      </c>
      <c r="E2259" s="8">
        <v>803701.33</v>
      </c>
      <c r="F2259" s="13" t="s">
        <v>70</v>
      </c>
      <c r="G2259" s="14">
        <v>44749</v>
      </c>
      <c r="H2259" s="13" t="s">
        <v>9</v>
      </c>
    </row>
    <row r="2260" spans="1:8" ht="14.4" x14ac:dyDescent="0.3">
      <c r="A2260" s="8">
        <v>82187025</v>
      </c>
      <c r="B2260" s="11">
        <v>44742</v>
      </c>
      <c r="C2260" s="13" t="s">
        <v>162</v>
      </c>
      <c r="D2260" s="13" t="s">
        <v>3153</v>
      </c>
      <c r="E2260" s="8">
        <v>76666.16</v>
      </c>
      <c r="F2260" s="13" t="s">
        <v>70</v>
      </c>
      <c r="G2260" s="14">
        <v>44749</v>
      </c>
      <c r="H2260" s="13" t="s">
        <v>9</v>
      </c>
    </row>
    <row r="2261" spans="1:8" ht="14.4" x14ac:dyDescent="0.3">
      <c r="A2261" s="8">
        <v>82187026</v>
      </c>
      <c r="B2261" s="11">
        <v>44742</v>
      </c>
      <c r="C2261" s="13" t="s">
        <v>162</v>
      </c>
      <c r="D2261" s="13" t="s">
        <v>3154</v>
      </c>
      <c r="E2261" s="8">
        <v>670868.06999999995</v>
      </c>
      <c r="F2261" s="13" t="s">
        <v>70</v>
      </c>
      <c r="G2261" s="14">
        <v>44749</v>
      </c>
      <c r="H2261" s="13" t="s">
        <v>9</v>
      </c>
    </row>
    <row r="2262" spans="1:8" ht="14.4" x14ac:dyDescent="0.3">
      <c r="A2262" s="8">
        <v>82187027</v>
      </c>
      <c r="B2262" s="11">
        <v>44742</v>
      </c>
      <c r="C2262" s="13" t="s">
        <v>1924</v>
      </c>
      <c r="D2262" s="13" t="s">
        <v>3155</v>
      </c>
      <c r="E2262" s="8">
        <v>14799.04</v>
      </c>
      <c r="F2262" s="13" t="s">
        <v>70</v>
      </c>
      <c r="G2262" s="14">
        <v>44762</v>
      </c>
      <c r="H2262" s="13" t="s">
        <v>9</v>
      </c>
    </row>
    <row r="2263" spans="1:8" ht="14.4" x14ac:dyDescent="0.3">
      <c r="A2263" s="8">
        <v>82187028</v>
      </c>
      <c r="B2263" s="11">
        <v>44742</v>
      </c>
      <c r="C2263" s="13" t="s">
        <v>25</v>
      </c>
      <c r="D2263" s="13" t="s">
        <v>3156</v>
      </c>
      <c r="E2263" s="8">
        <v>53732.27</v>
      </c>
      <c r="F2263" s="13" t="s">
        <v>70</v>
      </c>
      <c r="G2263" s="14">
        <v>44748</v>
      </c>
      <c r="H2263" s="13" t="s">
        <v>9</v>
      </c>
    </row>
    <row r="2264" spans="1:8" ht="14.4" x14ac:dyDescent="0.3">
      <c r="A2264" s="8">
        <v>82187029</v>
      </c>
      <c r="B2264" s="11">
        <v>44742</v>
      </c>
      <c r="C2264" s="13" t="s">
        <v>1946</v>
      </c>
      <c r="D2264" s="13" t="s">
        <v>3157</v>
      </c>
      <c r="E2264" s="8">
        <v>16420.54</v>
      </c>
      <c r="F2264" s="13" t="s">
        <v>70</v>
      </c>
      <c r="G2264" s="14">
        <v>44747</v>
      </c>
      <c r="H2264" s="13" t="s">
        <v>9</v>
      </c>
    </row>
    <row r="2265" spans="1:8" ht="14.4" x14ac:dyDescent="0.3">
      <c r="A2265" s="8">
        <v>82187030</v>
      </c>
      <c r="B2265" s="11">
        <v>44742</v>
      </c>
      <c r="C2265" s="13" t="s">
        <v>3158</v>
      </c>
      <c r="D2265" s="13" t="s">
        <v>3159</v>
      </c>
      <c r="E2265" s="8">
        <v>674707.25</v>
      </c>
      <c r="F2265" s="13" t="s">
        <v>70</v>
      </c>
      <c r="G2265" s="14">
        <v>44747</v>
      </c>
      <c r="H2265" s="13" t="s">
        <v>9</v>
      </c>
    </row>
    <row r="2266" spans="1:8" ht="14.4" x14ac:dyDescent="0.3">
      <c r="A2266" s="8">
        <v>82187031</v>
      </c>
      <c r="B2266" s="11">
        <v>44742</v>
      </c>
      <c r="C2266" s="13" t="s">
        <v>202</v>
      </c>
      <c r="D2266" s="13" t="s">
        <v>3160</v>
      </c>
      <c r="E2266" s="8">
        <v>18890.72</v>
      </c>
      <c r="F2266" s="13" t="s">
        <v>70</v>
      </c>
      <c r="G2266" s="14">
        <v>44747</v>
      </c>
      <c r="H2266" s="13" t="s">
        <v>9</v>
      </c>
    </row>
    <row r="2267" spans="1:8" ht="14.4" x14ac:dyDescent="0.3">
      <c r="A2267" s="8">
        <v>82187032</v>
      </c>
      <c r="B2267" s="11">
        <v>44742</v>
      </c>
      <c r="C2267" s="13" t="s">
        <v>1941</v>
      </c>
      <c r="D2267" s="13" t="s">
        <v>3161</v>
      </c>
      <c r="E2267" s="8">
        <v>24662.23</v>
      </c>
      <c r="F2267" s="13" t="s">
        <v>70</v>
      </c>
      <c r="G2267" s="14">
        <v>44753</v>
      </c>
      <c r="H2267" s="13" t="s">
        <v>9</v>
      </c>
    </row>
    <row r="2268" spans="1:8" ht="14.4" x14ac:dyDescent="0.3">
      <c r="A2268" s="8">
        <v>82187033</v>
      </c>
      <c r="B2268" s="11">
        <v>44742</v>
      </c>
      <c r="C2268" s="13" t="s">
        <v>405</v>
      </c>
      <c r="D2268" s="13" t="s">
        <v>3162</v>
      </c>
      <c r="E2268" s="8">
        <v>21037.49</v>
      </c>
      <c r="F2268" s="13" t="s">
        <v>70</v>
      </c>
      <c r="G2268" s="14">
        <v>44747</v>
      </c>
      <c r="H2268" s="13" t="s">
        <v>9</v>
      </c>
    </row>
    <row r="2269" spans="1:8" ht="14.4" x14ac:dyDescent="0.3">
      <c r="A2269" s="8">
        <v>82187034</v>
      </c>
      <c r="B2269" s="11">
        <v>44742</v>
      </c>
      <c r="C2269" s="13" t="s">
        <v>405</v>
      </c>
      <c r="D2269" s="13" t="s">
        <v>3163</v>
      </c>
      <c r="E2269" s="8">
        <v>20314.419999999998</v>
      </c>
      <c r="F2269" s="13" t="s">
        <v>70</v>
      </c>
      <c r="G2269" s="14">
        <v>44747</v>
      </c>
      <c r="H2269" s="13" t="s">
        <v>9</v>
      </c>
    </row>
    <row r="2270" spans="1:8" ht="14.4" x14ac:dyDescent="0.3">
      <c r="A2270" s="8">
        <v>82187035</v>
      </c>
      <c r="B2270" s="11">
        <v>44742</v>
      </c>
      <c r="C2270" s="13" t="s">
        <v>2074</v>
      </c>
      <c r="D2270" s="13" t="s">
        <v>3164</v>
      </c>
      <c r="E2270" s="8">
        <v>20388.93</v>
      </c>
      <c r="F2270" s="13" t="s">
        <v>70</v>
      </c>
      <c r="G2270" s="14">
        <v>44748</v>
      </c>
      <c r="H2270" s="13" t="s">
        <v>9</v>
      </c>
    </row>
    <row r="2271" spans="1:8" ht="14.4" x14ac:dyDescent="0.3">
      <c r="A2271" s="8">
        <v>82187036</v>
      </c>
      <c r="B2271" s="11">
        <v>44742</v>
      </c>
      <c r="C2271" s="13" t="s">
        <v>2262</v>
      </c>
      <c r="D2271" s="13" t="s">
        <v>3165</v>
      </c>
      <c r="E2271" s="8">
        <v>14101.78</v>
      </c>
      <c r="F2271" s="13" t="s">
        <v>70</v>
      </c>
      <c r="G2271" s="14">
        <v>44748</v>
      </c>
      <c r="H2271" s="13" t="s">
        <v>9</v>
      </c>
    </row>
    <row r="2272" spans="1:8" ht="14.4" x14ac:dyDescent="0.3">
      <c r="A2272" s="8">
        <v>82187037</v>
      </c>
      <c r="B2272" s="11">
        <v>44742</v>
      </c>
      <c r="C2272" s="13" t="s">
        <v>1941</v>
      </c>
      <c r="D2272" s="13" t="s">
        <v>3166</v>
      </c>
      <c r="E2272" s="8">
        <v>33683.919999999998</v>
      </c>
      <c r="F2272" s="13" t="s">
        <v>70</v>
      </c>
      <c r="G2272" s="14">
        <v>44753</v>
      </c>
      <c r="H2272" s="13" t="s">
        <v>9</v>
      </c>
    </row>
    <row r="2273" spans="1:8" ht="14.4" x14ac:dyDescent="0.3">
      <c r="A2273" s="8">
        <v>82187038</v>
      </c>
      <c r="B2273" s="11">
        <v>44742</v>
      </c>
      <c r="C2273" s="13" t="s">
        <v>1524</v>
      </c>
      <c r="D2273" s="13" t="s">
        <v>3167</v>
      </c>
      <c r="E2273" s="8">
        <v>7760.72</v>
      </c>
      <c r="F2273" s="13" t="s">
        <v>70</v>
      </c>
      <c r="G2273" s="14">
        <v>44750</v>
      </c>
      <c r="H2273" s="13" t="s">
        <v>9</v>
      </c>
    </row>
    <row r="2274" spans="1:8" ht="14.4" x14ac:dyDescent="0.3">
      <c r="A2274" s="8">
        <v>82187039</v>
      </c>
      <c r="B2274" s="11">
        <v>44742</v>
      </c>
      <c r="C2274" s="13" t="s">
        <v>405</v>
      </c>
      <c r="D2274" s="13" t="s">
        <v>3168</v>
      </c>
      <c r="E2274" s="8">
        <v>11251.16</v>
      </c>
      <c r="F2274" s="13" t="s">
        <v>70</v>
      </c>
      <c r="G2274" s="14">
        <v>44747</v>
      </c>
      <c r="H2274" s="13" t="s">
        <v>9</v>
      </c>
    </row>
    <row r="2275" spans="1:8" ht="14.4" x14ac:dyDescent="0.3">
      <c r="A2275" s="8">
        <v>82187040</v>
      </c>
      <c r="B2275" s="11">
        <v>44742</v>
      </c>
      <c r="C2275" s="13" t="s">
        <v>1542</v>
      </c>
      <c r="D2275" s="13" t="s">
        <v>3169</v>
      </c>
      <c r="E2275" s="8">
        <v>46727.78</v>
      </c>
      <c r="F2275" s="13" t="s">
        <v>70</v>
      </c>
      <c r="G2275" s="14">
        <v>44754</v>
      </c>
      <c r="H2275" s="13" t="s">
        <v>9</v>
      </c>
    </row>
    <row r="2276" spans="1:8" ht="14.4" x14ac:dyDescent="0.3">
      <c r="A2276" s="8">
        <v>82187041</v>
      </c>
      <c r="B2276" s="11">
        <v>44742</v>
      </c>
      <c r="C2276" s="13" t="s">
        <v>245</v>
      </c>
      <c r="D2276" s="13" t="s">
        <v>3170</v>
      </c>
      <c r="E2276" s="8">
        <v>393215.72</v>
      </c>
      <c r="F2276" s="13" t="s">
        <v>70</v>
      </c>
      <c r="G2276" s="14">
        <v>44747</v>
      </c>
      <c r="H2276" s="13" t="s">
        <v>9</v>
      </c>
    </row>
    <row r="2277" spans="1:8" ht="14.4" x14ac:dyDescent="0.3">
      <c r="A2277" s="8">
        <v>82187042</v>
      </c>
      <c r="B2277" s="11">
        <v>44742</v>
      </c>
      <c r="C2277" s="13" t="s">
        <v>127</v>
      </c>
      <c r="D2277" s="13" t="s">
        <v>3171</v>
      </c>
      <c r="E2277" s="8">
        <v>46375</v>
      </c>
      <c r="F2277" s="13" t="s">
        <v>70</v>
      </c>
      <c r="G2277" s="14">
        <v>44748</v>
      </c>
      <c r="H2277" s="13" t="s">
        <v>9</v>
      </c>
    </row>
    <row r="2278" spans="1:8" ht="14.4" x14ac:dyDescent="0.3">
      <c r="A2278" s="8">
        <v>82187043</v>
      </c>
      <c r="B2278" s="11">
        <v>44742</v>
      </c>
      <c r="C2278" s="13" t="s">
        <v>1405</v>
      </c>
      <c r="D2278" s="13" t="s">
        <v>3172</v>
      </c>
      <c r="E2278" s="8">
        <v>62464.28</v>
      </c>
      <c r="F2278" s="13" t="s">
        <v>70</v>
      </c>
      <c r="G2278" s="14">
        <v>44757</v>
      </c>
      <c r="H2278" s="13" t="s">
        <v>9</v>
      </c>
    </row>
    <row r="2279" spans="1:8" ht="14.4" x14ac:dyDescent="0.3">
      <c r="A2279" s="8">
        <v>82187044</v>
      </c>
      <c r="B2279" s="11">
        <v>44742</v>
      </c>
      <c r="C2279" s="13" t="s">
        <v>127</v>
      </c>
      <c r="D2279" s="13" t="s">
        <v>3173</v>
      </c>
      <c r="E2279" s="8">
        <v>8517.85</v>
      </c>
      <c r="F2279" s="13" t="s">
        <v>70</v>
      </c>
      <c r="G2279" s="14">
        <v>44748</v>
      </c>
      <c r="H2279" s="13" t="s">
        <v>9</v>
      </c>
    </row>
    <row r="2280" spans="1:8" ht="14.4" x14ac:dyDescent="0.3">
      <c r="A2280" s="8">
        <v>82187045</v>
      </c>
      <c r="B2280" s="11">
        <v>44742</v>
      </c>
      <c r="C2280" s="13" t="s">
        <v>3174</v>
      </c>
      <c r="D2280" s="13" t="s">
        <v>3175</v>
      </c>
      <c r="E2280" s="8">
        <v>9765</v>
      </c>
      <c r="F2280" s="13" t="s">
        <v>70</v>
      </c>
      <c r="G2280" s="14">
        <v>44747</v>
      </c>
      <c r="H2280" s="13" t="s">
        <v>9</v>
      </c>
    </row>
    <row r="2281" spans="1:8" ht="14.4" x14ac:dyDescent="0.3">
      <c r="A2281" s="8">
        <v>82187046</v>
      </c>
      <c r="B2281" s="11">
        <v>44742</v>
      </c>
      <c r="C2281" s="13" t="s">
        <v>1718</v>
      </c>
      <c r="D2281" s="13" t="s">
        <v>3176</v>
      </c>
      <c r="E2281" s="8">
        <v>375000</v>
      </c>
      <c r="F2281" s="13" t="s">
        <v>70</v>
      </c>
      <c r="G2281" s="14">
        <v>44748</v>
      </c>
      <c r="H2281" s="13" t="s">
        <v>9</v>
      </c>
    </row>
    <row r="2282" spans="1:8" ht="14.4" x14ac:dyDescent="0.3">
      <c r="A2282" s="8">
        <v>82187047</v>
      </c>
      <c r="B2282" s="11">
        <v>44742</v>
      </c>
      <c r="C2282" s="13" t="s">
        <v>1743</v>
      </c>
      <c r="D2282" s="13" t="s">
        <v>3177</v>
      </c>
      <c r="E2282" s="8">
        <v>10780</v>
      </c>
      <c r="F2282" s="13" t="s">
        <v>70</v>
      </c>
      <c r="G2282" s="14">
        <v>44748</v>
      </c>
      <c r="H2282" s="13" t="s">
        <v>9</v>
      </c>
    </row>
    <row r="2283" spans="1:8" ht="14.4" x14ac:dyDescent="0.3">
      <c r="A2283" s="8">
        <v>82187048</v>
      </c>
      <c r="B2283" s="11">
        <v>44742</v>
      </c>
      <c r="C2283" s="13" t="s">
        <v>405</v>
      </c>
      <c r="D2283" s="13" t="s">
        <v>3178</v>
      </c>
      <c r="E2283" s="8">
        <v>64431.21</v>
      </c>
      <c r="F2283" s="13" t="s">
        <v>70</v>
      </c>
      <c r="G2283" s="14">
        <v>44747</v>
      </c>
      <c r="H2283" s="13" t="s">
        <v>9</v>
      </c>
    </row>
    <row r="2284" spans="1:8" ht="14.4" x14ac:dyDescent="0.3">
      <c r="A2284" s="8">
        <v>82187049</v>
      </c>
      <c r="B2284" s="11">
        <v>44742</v>
      </c>
      <c r="C2284" s="13" t="s">
        <v>405</v>
      </c>
      <c r="D2284" s="13" t="s">
        <v>3179</v>
      </c>
      <c r="E2284" s="8">
        <v>10866.74</v>
      </c>
      <c r="F2284" s="13" t="s">
        <v>70</v>
      </c>
      <c r="G2284" s="14">
        <v>44747</v>
      </c>
      <c r="H2284" s="13" t="s">
        <v>9</v>
      </c>
    </row>
    <row r="2285" spans="1:8" ht="14.4" x14ac:dyDescent="0.3">
      <c r="A2285" s="8">
        <v>82187050</v>
      </c>
      <c r="B2285" s="11">
        <v>44742</v>
      </c>
      <c r="C2285" s="13" t="s">
        <v>405</v>
      </c>
      <c r="D2285" s="13" t="s">
        <v>3180</v>
      </c>
      <c r="E2285" s="8">
        <v>12710.79</v>
      </c>
      <c r="F2285" s="13" t="s">
        <v>70</v>
      </c>
      <c r="G2285" s="14">
        <v>44747</v>
      </c>
      <c r="H2285" s="13" t="s">
        <v>9</v>
      </c>
    </row>
    <row r="2286" spans="1:8" ht="14.4" x14ac:dyDescent="0.3">
      <c r="A2286" s="8">
        <v>82187051</v>
      </c>
      <c r="B2286" s="11">
        <v>44742</v>
      </c>
      <c r="C2286" s="13" t="s">
        <v>1784</v>
      </c>
      <c r="D2286" s="13" t="s">
        <v>3181</v>
      </c>
      <c r="E2286" s="8">
        <v>3000</v>
      </c>
      <c r="F2286" s="13" t="s">
        <v>70</v>
      </c>
      <c r="G2286" s="14">
        <v>44762</v>
      </c>
      <c r="H2286" s="13" t="s">
        <v>9</v>
      </c>
    </row>
    <row r="2287" spans="1:8" ht="14.4" x14ac:dyDescent="0.3">
      <c r="A2287" s="8">
        <v>82187052</v>
      </c>
      <c r="B2287" s="11">
        <v>44742</v>
      </c>
      <c r="C2287" s="13" t="s">
        <v>405</v>
      </c>
      <c r="D2287" s="13" t="s">
        <v>3182</v>
      </c>
      <c r="E2287" s="8">
        <v>24636.47</v>
      </c>
      <c r="F2287" s="13" t="s">
        <v>70</v>
      </c>
      <c r="G2287" s="14">
        <v>44747</v>
      </c>
      <c r="H2287" s="13" t="s">
        <v>9</v>
      </c>
    </row>
    <row r="2288" spans="1:8" ht="14.4" x14ac:dyDescent="0.3">
      <c r="A2288" s="8">
        <v>82187053</v>
      </c>
      <c r="B2288" s="11">
        <v>44742</v>
      </c>
      <c r="C2288" s="13" t="s">
        <v>405</v>
      </c>
      <c r="D2288" s="13" t="s">
        <v>3183</v>
      </c>
      <c r="E2288" s="8">
        <v>11340.32</v>
      </c>
      <c r="F2288" s="13" t="s">
        <v>70</v>
      </c>
      <c r="G2288" s="14">
        <v>44747</v>
      </c>
      <c r="H2288" s="13" t="s">
        <v>9</v>
      </c>
    </row>
    <row r="2289" spans="1:8" ht="14.4" x14ac:dyDescent="0.3">
      <c r="A2289" s="8">
        <v>82187054</v>
      </c>
      <c r="B2289" s="11">
        <v>44742</v>
      </c>
      <c r="C2289" s="13" t="s">
        <v>405</v>
      </c>
      <c r="D2289" s="13" t="s">
        <v>3184</v>
      </c>
      <c r="E2289" s="8">
        <v>32582.6</v>
      </c>
      <c r="F2289" s="13" t="s">
        <v>70</v>
      </c>
      <c r="G2289" s="14">
        <v>44747</v>
      </c>
      <c r="H2289" s="13" t="s">
        <v>9</v>
      </c>
    </row>
    <row r="2290" spans="1:8" ht="14.4" x14ac:dyDescent="0.3">
      <c r="A2290" s="8">
        <v>82187055</v>
      </c>
      <c r="B2290" s="11">
        <v>44742</v>
      </c>
      <c r="C2290" s="13" t="s">
        <v>1581</v>
      </c>
      <c r="D2290" s="13"/>
      <c r="E2290" s="8">
        <v>10316.07</v>
      </c>
      <c r="F2290" s="13" t="s">
        <v>70</v>
      </c>
      <c r="G2290" s="14">
        <v>44747</v>
      </c>
      <c r="H2290" s="13" t="s">
        <v>9</v>
      </c>
    </row>
    <row r="2291" spans="1:8" ht="14.4" x14ac:dyDescent="0.3">
      <c r="A2291" s="8">
        <v>82187056</v>
      </c>
      <c r="B2291" s="11">
        <v>44742</v>
      </c>
      <c r="C2291" s="13" t="s">
        <v>193</v>
      </c>
      <c r="D2291" s="13" t="s">
        <v>3185</v>
      </c>
      <c r="E2291" s="8">
        <v>489283.93</v>
      </c>
      <c r="F2291" s="13" t="s">
        <v>70</v>
      </c>
      <c r="G2291" s="14">
        <v>44746</v>
      </c>
      <c r="H2291" s="13" t="s">
        <v>9</v>
      </c>
    </row>
    <row r="2292" spans="1:8" ht="14.4" x14ac:dyDescent="0.3">
      <c r="A2292" s="8">
        <v>82187057</v>
      </c>
      <c r="B2292" s="11">
        <v>44742</v>
      </c>
      <c r="C2292" s="13" t="s">
        <v>405</v>
      </c>
      <c r="D2292" s="13" t="s">
        <v>3186</v>
      </c>
      <c r="E2292" s="8">
        <v>89814.86</v>
      </c>
      <c r="F2292" s="13" t="s">
        <v>70</v>
      </c>
      <c r="G2292" s="14">
        <v>44747</v>
      </c>
      <c r="H2292" s="13" t="s">
        <v>9</v>
      </c>
    </row>
    <row r="2293" spans="1:8" ht="14.4" x14ac:dyDescent="0.3">
      <c r="A2293" s="8">
        <v>82187058</v>
      </c>
      <c r="B2293" s="11">
        <v>44742</v>
      </c>
      <c r="C2293" s="13" t="s">
        <v>1745</v>
      </c>
      <c r="D2293" s="13" t="s">
        <v>3187</v>
      </c>
      <c r="E2293" s="8">
        <v>58200</v>
      </c>
      <c r="F2293" s="13" t="s">
        <v>70</v>
      </c>
      <c r="G2293" s="14">
        <v>44749</v>
      </c>
      <c r="H2293" s="13" t="s">
        <v>9</v>
      </c>
    </row>
    <row r="2294" spans="1:8" ht="14.4" x14ac:dyDescent="0.3">
      <c r="A2294" s="8">
        <v>82187059</v>
      </c>
      <c r="B2294" s="11">
        <v>44742</v>
      </c>
      <c r="C2294" s="13" t="s">
        <v>405</v>
      </c>
      <c r="D2294" s="13" t="s">
        <v>3188</v>
      </c>
      <c r="E2294" s="8">
        <v>66571.87</v>
      </c>
      <c r="F2294" s="13" t="s">
        <v>70</v>
      </c>
      <c r="G2294" s="14">
        <v>44747</v>
      </c>
      <c r="H2294" s="13" t="s">
        <v>9</v>
      </c>
    </row>
    <row r="2295" spans="1:8" ht="14.4" x14ac:dyDescent="0.3">
      <c r="A2295" s="8">
        <v>82187060</v>
      </c>
      <c r="B2295" s="11">
        <v>44742</v>
      </c>
      <c r="C2295" s="13" t="s">
        <v>405</v>
      </c>
      <c r="D2295" s="13" t="s">
        <v>3189</v>
      </c>
      <c r="E2295" s="8">
        <v>60323.42</v>
      </c>
      <c r="F2295" s="13" t="s">
        <v>70</v>
      </c>
      <c r="G2295" s="14">
        <v>44747</v>
      </c>
      <c r="H2295" s="13" t="s">
        <v>9</v>
      </c>
    </row>
    <row r="2296" spans="1:8" ht="14.4" x14ac:dyDescent="0.3">
      <c r="A2296" s="8">
        <v>82187061</v>
      </c>
      <c r="B2296" s="11">
        <v>44742</v>
      </c>
      <c r="C2296" s="13" t="s">
        <v>3190</v>
      </c>
      <c r="D2296" s="13" t="s">
        <v>3191</v>
      </c>
      <c r="E2296" s="8">
        <v>134203.12</v>
      </c>
      <c r="F2296" s="13" t="s">
        <v>70</v>
      </c>
      <c r="G2296" s="14">
        <v>44768</v>
      </c>
      <c r="H2296" s="13" t="s">
        <v>9</v>
      </c>
    </row>
    <row r="2297" spans="1:8" ht="14.4" x14ac:dyDescent="0.3">
      <c r="A2297" s="8">
        <v>82187062</v>
      </c>
      <c r="B2297" s="11">
        <v>44742</v>
      </c>
      <c r="C2297" s="13" t="s">
        <v>193</v>
      </c>
      <c r="D2297" s="13" t="s">
        <v>3192</v>
      </c>
      <c r="E2297" s="8">
        <v>98325</v>
      </c>
      <c r="F2297" s="13" t="s">
        <v>70</v>
      </c>
      <c r="G2297" s="14">
        <v>44746</v>
      </c>
      <c r="H2297" s="13" t="s">
        <v>9</v>
      </c>
    </row>
    <row r="2298" spans="1:8" ht="14.4" x14ac:dyDescent="0.3">
      <c r="A2298" s="8">
        <v>82187063</v>
      </c>
      <c r="B2298" s="11">
        <v>44742</v>
      </c>
      <c r="C2298" s="13" t="s">
        <v>1584</v>
      </c>
      <c r="D2298" s="13" t="s">
        <v>3193</v>
      </c>
      <c r="E2298" s="8">
        <v>52905.35</v>
      </c>
      <c r="F2298" s="13" t="s">
        <v>70</v>
      </c>
      <c r="G2298" s="14">
        <v>44747</v>
      </c>
      <c r="H2298" s="13" t="s">
        <v>9</v>
      </c>
    </row>
    <row r="2299" spans="1:8" ht="14.4" x14ac:dyDescent="0.3">
      <c r="A2299" s="8">
        <v>82187064</v>
      </c>
      <c r="B2299" s="11">
        <v>44742</v>
      </c>
      <c r="C2299" s="13" t="s">
        <v>1584</v>
      </c>
      <c r="D2299" s="13" t="s">
        <v>3194</v>
      </c>
      <c r="E2299" s="8">
        <v>114508.39</v>
      </c>
      <c r="F2299" s="13" t="s">
        <v>70</v>
      </c>
      <c r="G2299" s="14">
        <v>44747</v>
      </c>
      <c r="H2299" s="13" t="s">
        <v>9</v>
      </c>
    </row>
    <row r="2300" spans="1:8" ht="14.4" x14ac:dyDescent="0.3">
      <c r="A2300" s="8">
        <v>82187065</v>
      </c>
      <c r="B2300" s="11">
        <v>44742</v>
      </c>
      <c r="C2300" s="13" t="s">
        <v>1569</v>
      </c>
      <c r="D2300" s="13" t="s">
        <v>3195</v>
      </c>
      <c r="E2300" s="8">
        <v>5850</v>
      </c>
      <c r="F2300" s="13" t="s">
        <v>70</v>
      </c>
      <c r="G2300" s="14">
        <v>44748</v>
      </c>
      <c r="H2300" s="13" t="s">
        <v>9</v>
      </c>
    </row>
    <row r="2301" spans="1:8" ht="14.4" x14ac:dyDescent="0.3">
      <c r="A2301" s="8">
        <v>82187066</v>
      </c>
      <c r="B2301" s="11">
        <v>44742</v>
      </c>
      <c r="C2301" s="13" t="s">
        <v>259</v>
      </c>
      <c r="D2301" s="13" t="s">
        <v>3196</v>
      </c>
      <c r="E2301" s="8">
        <v>3093.3</v>
      </c>
      <c r="F2301" s="13" t="s">
        <v>70</v>
      </c>
      <c r="G2301" s="14">
        <v>44747</v>
      </c>
      <c r="H2301" s="13" t="s">
        <v>9</v>
      </c>
    </row>
    <row r="2302" spans="1:8" ht="14.4" x14ac:dyDescent="0.3">
      <c r="A2302" s="8">
        <v>82187067</v>
      </c>
      <c r="B2302" s="11">
        <v>44742</v>
      </c>
      <c r="C2302" s="13" t="s">
        <v>1542</v>
      </c>
      <c r="D2302" s="13" t="s">
        <v>3197</v>
      </c>
      <c r="E2302" s="8">
        <v>3472</v>
      </c>
      <c r="F2302" s="13" t="s">
        <v>70</v>
      </c>
      <c r="G2302" s="14">
        <v>44754</v>
      </c>
      <c r="H2302" s="13" t="s">
        <v>9</v>
      </c>
    </row>
    <row r="2303" spans="1:8" ht="14.4" x14ac:dyDescent="0.3">
      <c r="A2303" s="8">
        <v>82187068</v>
      </c>
      <c r="B2303" s="11">
        <v>44742</v>
      </c>
      <c r="C2303" s="13" t="s">
        <v>3198</v>
      </c>
      <c r="D2303" s="13" t="s">
        <v>3199</v>
      </c>
      <c r="E2303" s="8">
        <v>21389.279999999999</v>
      </c>
      <c r="F2303" s="13" t="s">
        <v>70</v>
      </c>
      <c r="G2303" s="14">
        <v>44782</v>
      </c>
      <c r="H2303" s="13" t="s">
        <v>9</v>
      </c>
    </row>
    <row r="2304" spans="1:8" ht="14.4" x14ac:dyDescent="0.3">
      <c r="A2304" s="8">
        <v>82187069</v>
      </c>
      <c r="B2304" s="11">
        <v>44742</v>
      </c>
      <c r="C2304" s="13" t="s">
        <v>1956</v>
      </c>
      <c r="D2304" s="13" t="s">
        <v>3200</v>
      </c>
      <c r="E2304" s="8">
        <v>1647973.48</v>
      </c>
      <c r="F2304" s="13" t="s">
        <v>70</v>
      </c>
      <c r="G2304" s="14">
        <v>44746</v>
      </c>
      <c r="H2304" s="13" t="s">
        <v>9</v>
      </c>
    </row>
    <row r="2305" spans="1:8" ht="14.4" x14ac:dyDescent="0.3">
      <c r="A2305" s="8">
        <v>82187070</v>
      </c>
      <c r="B2305" s="11">
        <v>44742</v>
      </c>
      <c r="C2305" s="13" t="s">
        <v>1424</v>
      </c>
      <c r="D2305" s="13" t="s">
        <v>2562</v>
      </c>
      <c r="E2305" s="8">
        <v>37312.949999999997</v>
      </c>
      <c r="F2305" s="13" t="s">
        <v>70</v>
      </c>
      <c r="G2305" s="14">
        <v>44756</v>
      </c>
      <c r="H2305" s="13" t="s">
        <v>9</v>
      </c>
    </row>
    <row r="2306" spans="1:8" ht="14.4" x14ac:dyDescent="0.3">
      <c r="A2306" s="8">
        <v>82187071</v>
      </c>
      <c r="B2306" s="11">
        <v>44742</v>
      </c>
      <c r="C2306" s="13" t="s">
        <v>1424</v>
      </c>
      <c r="D2306" s="13" t="s">
        <v>3201</v>
      </c>
      <c r="E2306" s="8">
        <v>26973.22</v>
      </c>
      <c r="F2306" s="13" t="s">
        <v>70</v>
      </c>
      <c r="G2306" s="14">
        <v>44756</v>
      </c>
      <c r="H2306" s="13" t="s">
        <v>9</v>
      </c>
    </row>
    <row r="2307" spans="1:8" ht="14.4" x14ac:dyDescent="0.3">
      <c r="A2307" s="8">
        <v>82187072</v>
      </c>
      <c r="B2307" s="11">
        <v>44742</v>
      </c>
      <c r="C2307" s="13" t="s">
        <v>1424</v>
      </c>
      <c r="D2307" s="13" t="s">
        <v>1856</v>
      </c>
      <c r="E2307" s="8">
        <v>100700</v>
      </c>
      <c r="F2307" s="13" t="s">
        <v>70</v>
      </c>
      <c r="G2307" s="14">
        <v>44756</v>
      </c>
      <c r="H2307" s="13" t="s">
        <v>9</v>
      </c>
    </row>
    <row r="2308" spans="1:8" ht="14.4" x14ac:dyDescent="0.3">
      <c r="A2308" s="8">
        <v>82187073</v>
      </c>
      <c r="B2308" s="11">
        <v>44742</v>
      </c>
      <c r="C2308" s="13" t="s">
        <v>52</v>
      </c>
      <c r="D2308" s="13" t="s">
        <v>3196</v>
      </c>
      <c r="E2308" s="8">
        <v>13380</v>
      </c>
      <c r="F2308" s="13" t="s">
        <v>70</v>
      </c>
      <c r="G2308" s="14">
        <v>44756</v>
      </c>
      <c r="H2308" s="13" t="s">
        <v>9</v>
      </c>
    </row>
    <row r="2309" spans="1:8" ht="14.4" x14ac:dyDescent="0.3">
      <c r="A2309" s="8">
        <v>82187074</v>
      </c>
      <c r="B2309" s="11">
        <v>44742</v>
      </c>
      <c r="C2309" s="13" t="s">
        <v>3202</v>
      </c>
      <c r="D2309" s="13" t="s">
        <v>3196</v>
      </c>
      <c r="E2309" s="8">
        <v>739.8</v>
      </c>
      <c r="F2309" s="13" t="s">
        <v>70</v>
      </c>
      <c r="G2309" s="14">
        <v>44834</v>
      </c>
      <c r="H2309" s="13" t="s">
        <v>9</v>
      </c>
    </row>
    <row r="2310" spans="1:8" ht="14.4" x14ac:dyDescent="0.3">
      <c r="A2310" s="8">
        <v>82187076</v>
      </c>
      <c r="B2310" s="11">
        <v>44742</v>
      </c>
      <c r="C2310" s="13" t="s">
        <v>3203</v>
      </c>
      <c r="D2310" s="13" t="s">
        <v>3204</v>
      </c>
      <c r="E2310" s="8">
        <v>1293.4000000000001</v>
      </c>
      <c r="F2310" s="13" t="s">
        <v>70</v>
      </c>
      <c r="G2310" s="14">
        <v>44796</v>
      </c>
      <c r="H2310" s="13" t="s">
        <v>9</v>
      </c>
    </row>
    <row r="2311" spans="1:8" ht="14.4" x14ac:dyDescent="0.3">
      <c r="A2311" s="8">
        <v>82187077</v>
      </c>
      <c r="B2311" s="11">
        <v>44742</v>
      </c>
      <c r="C2311" s="13" t="s">
        <v>2334</v>
      </c>
      <c r="D2311" s="13" t="s">
        <v>3205</v>
      </c>
      <c r="E2311" s="8">
        <v>64800</v>
      </c>
      <c r="F2311" s="13" t="s">
        <v>70</v>
      </c>
      <c r="G2311" s="14">
        <v>44785</v>
      </c>
      <c r="H2311" s="13" t="s">
        <v>9</v>
      </c>
    </row>
    <row r="2312" spans="1:8" ht="14.4" x14ac:dyDescent="0.3">
      <c r="A2312" s="8">
        <v>82187078</v>
      </c>
      <c r="B2312" s="11">
        <v>44742</v>
      </c>
      <c r="C2312" s="13" t="s">
        <v>25</v>
      </c>
      <c r="D2312" s="13" t="s">
        <v>3196</v>
      </c>
      <c r="E2312" s="8">
        <v>2654.5</v>
      </c>
      <c r="F2312" s="13" t="s">
        <v>70</v>
      </c>
      <c r="G2312" s="14">
        <v>44748</v>
      </c>
      <c r="H2312" s="13" t="s">
        <v>9</v>
      </c>
    </row>
    <row r="2313" spans="1:8" ht="14.4" x14ac:dyDescent="0.3">
      <c r="A2313" s="8">
        <v>82187079</v>
      </c>
      <c r="B2313" s="11">
        <v>44742</v>
      </c>
      <c r="C2313" s="13" t="s">
        <v>50</v>
      </c>
      <c r="D2313" s="13" t="s">
        <v>3206</v>
      </c>
      <c r="E2313" s="8">
        <v>67900</v>
      </c>
      <c r="F2313" s="13" t="s">
        <v>70</v>
      </c>
      <c r="G2313" s="14">
        <v>44753</v>
      </c>
      <c r="H2313" s="13" t="s">
        <v>9</v>
      </c>
    </row>
    <row r="2314" spans="1:8" ht="14.4" x14ac:dyDescent="0.3">
      <c r="A2314" s="8">
        <v>82187080</v>
      </c>
      <c r="B2314" s="11">
        <v>44742</v>
      </c>
      <c r="C2314" s="13" t="s">
        <v>2428</v>
      </c>
      <c r="D2314" s="13" t="s">
        <v>3207</v>
      </c>
      <c r="E2314" s="8">
        <v>46560</v>
      </c>
      <c r="F2314" s="13" t="s">
        <v>70</v>
      </c>
      <c r="G2314" s="14">
        <v>44749</v>
      </c>
      <c r="H2314" s="13" t="s">
        <v>9</v>
      </c>
    </row>
    <row r="2315" spans="1:8" ht="14.4" x14ac:dyDescent="0.3">
      <c r="A2315" s="8">
        <v>82187081</v>
      </c>
      <c r="B2315" s="11">
        <v>44742</v>
      </c>
      <c r="C2315" s="13" t="s">
        <v>1726</v>
      </c>
      <c r="D2315" s="13" t="s">
        <v>3208</v>
      </c>
      <c r="E2315" s="8">
        <v>97000</v>
      </c>
      <c r="F2315" s="13" t="s">
        <v>70</v>
      </c>
      <c r="G2315" s="14">
        <v>44749</v>
      </c>
      <c r="H2315" s="13" t="s">
        <v>9</v>
      </c>
    </row>
    <row r="2316" spans="1:8" ht="14.4" x14ac:dyDescent="0.3">
      <c r="A2316" s="8">
        <v>82187082</v>
      </c>
      <c r="B2316" s="11">
        <v>44742</v>
      </c>
      <c r="C2316" s="13" t="s">
        <v>2512</v>
      </c>
      <c r="D2316" s="13" t="s">
        <v>3209</v>
      </c>
      <c r="E2316" s="8">
        <v>58200</v>
      </c>
      <c r="F2316" s="13" t="s">
        <v>70</v>
      </c>
      <c r="G2316" s="14">
        <v>44749</v>
      </c>
      <c r="H2316" s="13" t="s">
        <v>9</v>
      </c>
    </row>
    <row r="2317" spans="1:8" ht="14.4" x14ac:dyDescent="0.3">
      <c r="A2317" s="8">
        <v>82187083</v>
      </c>
      <c r="B2317" s="11">
        <v>44742</v>
      </c>
      <c r="C2317" s="13" t="s">
        <v>3210</v>
      </c>
      <c r="D2317" s="13" t="s">
        <v>3211</v>
      </c>
      <c r="E2317" s="8">
        <v>4258.93</v>
      </c>
      <c r="F2317" s="13" t="s">
        <v>70</v>
      </c>
      <c r="G2317" s="14">
        <v>44747</v>
      </c>
      <c r="H2317" s="13" t="s">
        <v>9</v>
      </c>
    </row>
    <row r="2318" spans="1:8" ht="14.4" x14ac:dyDescent="0.3">
      <c r="A2318" s="8">
        <v>82187084</v>
      </c>
      <c r="B2318" s="11">
        <v>44742</v>
      </c>
      <c r="C2318" s="13" t="s">
        <v>3212</v>
      </c>
      <c r="D2318" s="13" t="s">
        <v>3213</v>
      </c>
      <c r="E2318" s="8">
        <v>5969.64</v>
      </c>
      <c r="F2318" s="13" t="s">
        <v>70</v>
      </c>
      <c r="G2318" s="14">
        <v>44753</v>
      </c>
      <c r="H2318" s="13" t="s">
        <v>9</v>
      </c>
    </row>
    <row r="2319" spans="1:8" ht="14.4" x14ac:dyDescent="0.3">
      <c r="A2319" s="8">
        <v>82187085</v>
      </c>
      <c r="B2319" s="11">
        <v>44742</v>
      </c>
      <c r="C2319" s="13" t="s">
        <v>1342</v>
      </c>
      <c r="D2319" s="13" t="s">
        <v>3214</v>
      </c>
      <c r="E2319" s="8">
        <v>32683</v>
      </c>
      <c r="F2319" s="13" t="s">
        <v>70</v>
      </c>
      <c r="G2319" s="14">
        <v>44749</v>
      </c>
      <c r="H2319" s="13" t="s">
        <v>9</v>
      </c>
    </row>
    <row r="2320" spans="1:8" ht="14.4" x14ac:dyDescent="0.3">
      <c r="A2320" s="8">
        <v>82187086</v>
      </c>
      <c r="B2320" s="11">
        <v>44742</v>
      </c>
      <c r="C2320" s="13" t="s">
        <v>1405</v>
      </c>
      <c r="D2320" s="13" t="s">
        <v>3215</v>
      </c>
      <c r="E2320" s="8">
        <v>81061.009999999995</v>
      </c>
      <c r="F2320" s="13" t="s">
        <v>70</v>
      </c>
      <c r="G2320" s="14">
        <v>44757</v>
      </c>
      <c r="H2320" s="13" t="s">
        <v>9</v>
      </c>
    </row>
    <row r="2321" spans="1:8" ht="14.4" x14ac:dyDescent="0.3">
      <c r="A2321" s="8">
        <v>82187087</v>
      </c>
      <c r="B2321" s="11">
        <v>44742</v>
      </c>
      <c r="C2321" s="13" t="s">
        <v>1584</v>
      </c>
      <c r="D2321" s="13" t="s">
        <v>3216</v>
      </c>
      <c r="E2321" s="8">
        <v>7192.85</v>
      </c>
      <c r="F2321" s="13" t="s">
        <v>70</v>
      </c>
      <c r="G2321" s="14">
        <v>44757</v>
      </c>
      <c r="H2321" s="13" t="s">
        <v>9</v>
      </c>
    </row>
    <row r="2322" spans="1:8" ht="14.4" x14ac:dyDescent="0.3">
      <c r="A2322" s="8">
        <v>82187088</v>
      </c>
      <c r="B2322" s="11">
        <v>44742</v>
      </c>
      <c r="C2322" s="13" t="s">
        <v>151</v>
      </c>
      <c r="D2322" s="13" t="s">
        <v>3217</v>
      </c>
      <c r="E2322" s="8">
        <v>58555</v>
      </c>
      <c r="F2322" s="13" t="s">
        <v>70</v>
      </c>
      <c r="G2322" s="14">
        <v>44748</v>
      </c>
      <c r="H2322" s="13" t="s">
        <v>9</v>
      </c>
    </row>
    <row r="2323" spans="1:8" ht="14.4" x14ac:dyDescent="0.3">
      <c r="A2323" s="8">
        <v>82187089</v>
      </c>
      <c r="B2323" s="11">
        <v>44742</v>
      </c>
      <c r="C2323" s="13" t="s">
        <v>405</v>
      </c>
      <c r="D2323" s="13" t="s">
        <v>3218</v>
      </c>
      <c r="E2323" s="8">
        <v>20176.509999999998</v>
      </c>
      <c r="F2323" s="13" t="s">
        <v>70</v>
      </c>
      <c r="G2323" s="14">
        <v>44748</v>
      </c>
      <c r="H2323" s="13" t="s">
        <v>9</v>
      </c>
    </row>
    <row r="2324" spans="1:8" ht="14.4" x14ac:dyDescent="0.3">
      <c r="A2324" s="8">
        <v>82187090</v>
      </c>
      <c r="B2324" s="11">
        <v>44742</v>
      </c>
      <c r="C2324" s="13" t="s">
        <v>209</v>
      </c>
      <c r="D2324" s="13" t="s">
        <v>3219</v>
      </c>
      <c r="E2324" s="8">
        <v>1968751.4</v>
      </c>
      <c r="F2324" s="13" t="s">
        <v>70</v>
      </c>
      <c r="G2324" s="14">
        <v>44749</v>
      </c>
      <c r="H2324" s="13" t="s">
        <v>9</v>
      </c>
    </row>
    <row r="2325" spans="1:8" ht="14.4" x14ac:dyDescent="0.3">
      <c r="A2325" s="8">
        <v>82187091</v>
      </c>
      <c r="B2325" s="11">
        <v>44742</v>
      </c>
      <c r="C2325" s="13" t="s">
        <v>1424</v>
      </c>
      <c r="D2325" s="13" t="s">
        <v>3201</v>
      </c>
      <c r="E2325" s="8">
        <v>62937.5</v>
      </c>
      <c r="F2325" s="13" t="s">
        <v>70</v>
      </c>
      <c r="G2325" s="14">
        <v>44756</v>
      </c>
      <c r="H2325" s="13" t="s">
        <v>9</v>
      </c>
    </row>
    <row r="2326" spans="1:8" ht="14.4" x14ac:dyDescent="0.3">
      <c r="A2326" s="8">
        <v>82187092</v>
      </c>
      <c r="B2326" s="11">
        <v>44742</v>
      </c>
      <c r="C2326" s="13" t="s">
        <v>259</v>
      </c>
      <c r="D2326" s="13" t="s">
        <v>3220</v>
      </c>
      <c r="E2326" s="8">
        <v>35557.32</v>
      </c>
      <c r="F2326" s="13" t="s">
        <v>70</v>
      </c>
      <c r="G2326" s="14">
        <v>44747</v>
      </c>
      <c r="H2326" s="13" t="s">
        <v>9</v>
      </c>
    </row>
    <row r="2327" spans="1:8" ht="14.4" x14ac:dyDescent="0.3">
      <c r="A2327" s="8">
        <v>82187093</v>
      </c>
      <c r="B2327" s="11">
        <v>44742</v>
      </c>
      <c r="C2327" s="13" t="s">
        <v>673</v>
      </c>
      <c r="D2327" s="13" t="s">
        <v>3221</v>
      </c>
      <c r="E2327" s="8">
        <v>11760</v>
      </c>
      <c r="F2327" s="13" t="s">
        <v>70</v>
      </c>
      <c r="G2327" s="14">
        <v>44750</v>
      </c>
      <c r="H2327" s="13" t="s">
        <v>9</v>
      </c>
    </row>
    <row r="2328" spans="1:8" ht="14.4" x14ac:dyDescent="0.3">
      <c r="A2328" s="8">
        <v>82187094</v>
      </c>
      <c r="B2328" s="11">
        <v>44742</v>
      </c>
      <c r="C2328" s="13" t="s">
        <v>1745</v>
      </c>
      <c r="D2328" s="13" t="s">
        <v>3222</v>
      </c>
      <c r="E2328" s="8">
        <v>6860</v>
      </c>
      <c r="F2328" s="13" t="s">
        <v>70</v>
      </c>
      <c r="G2328" s="14">
        <v>44749</v>
      </c>
      <c r="H2328" s="13" t="s">
        <v>9</v>
      </c>
    </row>
    <row r="2329" spans="1:8" ht="14.4" x14ac:dyDescent="0.3">
      <c r="A2329" s="8">
        <v>82187095</v>
      </c>
      <c r="B2329" s="11">
        <v>44742</v>
      </c>
      <c r="C2329" s="13" t="s">
        <v>405</v>
      </c>
      <c r="D2329" s="13" t="s">
        <v>3223</v>
      </c>
      <c r="E2329" s="8">
        <v>30713.09</v>
      </c>
      <c r="F2329" s="13" t="s">
        <v>70</v>
      </c>
      <c r="G2329" s="14">
        <v>44748</v>
      </c>
      <c r="H2329" s="13" t="s">
        <v>9</v>
      </c>
    </row>
    <row r="2330" spans="1:8" ht="14.4" x14ac:dyDescent="0.3">
      <c r="A2330" s="8">
        <v>82187096</v>
      </c>
      <c r="B2330" s="11">
        <v>44742</v>
      </c>
      <c r="C2330" s="13" t="s">
        <v>405</v>
      </c>
      <c r="D2330" s="13" t="s">
        <v>3224</v>
      </c>
      <c r="E2330" s="8">
        <v>12315.35</v>
      </c>
      <c r="F2330" s="13" t="s">
        <v>70</v>
      </c>
      <c r="G2330" s="14">
        <v>44748</v>
      </c>
      <c r="H2330" s="13" t="s">
        <v>9</v>
      </c>
    </row>
    <row r="2331" spans="1:8" ht="14.4" x14ac:dyDescent="0.3">
      <c r="A2331" s="8">
        <v>82187097</v>
      </c>
      <c r="B2331" s="11">
        <v>44742</v>
      </c>
      <c r="C2331" s="13" t="s">
        <v>405</v>
      </c>
      <c r="D2331" s="13" t="s">
        <v>3225</v>
      </c>
      <c r="E2331" s="8">
        <v>27016.43</v>
      </c>
      <c r="F2331" s="13" t="s">
        <v>70</v>
      </c>
      <c r="G2331" s="14">
        <v>44748</v>
      </c>
      <c r="H2331" s="13" t="s">
        <v>9</v>
      </c>
    </row>
    <row r="2332" spans="1:8" ht="14.4" x14ac:dyDescent="0.3">
      <c r="A2332" s="8">
        <v>82187098</v>
      </c>
      <c r="B2332" s="11">
        <v>44742</v>
      </c>
      <c r="C2332" s="13" t="s">
        <v>405</v>
      </c>
      <c r="D2332" s="13" t="s">
        <v>3226</v>
      </c>
      <c r="E2332" s="8">
        <v>16991.41</v>
      </c>
      <c r="F2332" s="13" t="s">
        <v>70</v>
      </c>
      <c r="G2332" s="14">
        <v>44748</v>
      </c>
      <c r="H2332" s="13" t="s">
        <v>9</v>
      </c>
    </row>
    <row r="2333" spans="1:8" ht="14.4" x14ac:dyDescent="0.3">
      <c r="A2333" s="8">
        <v>82187100</v>
      </c>
      <c r="B2333" s="11">
        <v>44742</v>
      </c>
      <c r="C2333" s="13" t="s">
        <v>405</v>
      </c>
      <c r="D2333" s="13" t="s">
        <v>3227</v>
      </c>
      <c r="E2333" s="8">
        <v>26786.99</v>
      </c>
      <c r="F2333" s="13" t="s">
        <v>70</v>
      </c>
      <c r="G2333" s="14">
        <v>44748</v>
      </c>
      <c r="H2333" s="13" t="s">
        <v>9</v>
      </c>
    </row>
    <row r="2334" spans="1:8" ht="14.4" x14ac:dyDescent="0.3">
      <c r="A2334" s="8">
        <v>82187101</v>
      </c>
      <c r="B2334" s="11">
        <v>44742</v>
      </c>
      <c r="C2334" s="13" t="s">
        <v>1946</v>
      </c>
      <c r="D2334" s="13" t="s">
        <v>3228</v>
      </c>
      <c r="E2334" s="8">
        <v>29197.32</v>
      </c>
      <c r="F2334" s="13" t="s">
        <v>70</v>
      </c>
      <c r="G2334" s="14">
        <v>44747</v>
      </c>
      <c r="H2334" s="13" t="s">
        <v>9</v>
      </c>
    </row>
    <row r="2335" spans="1:8" ht="14.4" x14ac:dyDescent="0.3">
      <c r="A2335" s="8">
        <v>82187102</v>
      </c>
      <c r="B2335" s="11">
        <v>44742</v>
      </c>
      <c r="C2335" s="13" t="s">
        <v>259</v>
      </c>
      <c r="D2335" s="13" t="s">
        <v>3229</v>
      </c>
      <c r="E2335" s="8">
        <v>17950.91</v>
      </c>
      <c r="F2335" s="13" t="s">
        <v>70</v>
      </c>
      <c r="G2335" s="14">
        <v>44747</v>
      </c>
      <c r="H2335" s="13" t="s">
        <v>9</v>
      </c>
    </row>
    <row r="2336" spans="1:8" ht="14.4" x14ac:dyDescent="0.3">
      <c r="A2336" s="8">
        <v>82187103</v>
      </c>
      <c r="B2336" s="11">
        <v>44742</v>
      </c>
      <c r="C2336" s="13" t="s">
        <v>1581</v>
      </c>
      <c r="D2336" s="13" t="s">
        <v>3230</v>
      </c>
      <c r="E2336" s="8">
        <v>10647.32</v>
      </c>
      <c r="F2336" s="13" t="s">
        <v>70</v>
      </c>
      <c r="G2336" s="14">
        <v>44747</v>
      </c>
      <c r="H2336" s="13" t="s">
        <v>9</v>
      </c>
    </row>
    <row r="2337" spans="1:8" ht="14.4" x14ac:dyDescent="0.3">
      <c r="A2337" s="8">
        <v>82187104</v>
      </c>
      <c r="B2337" s="11">
        <v>44742</v>
      </c>
      <c r="C2337" s="13" t="s">
        <v>1946</v>
      </c>
      <c r="D2337" s="13" t="s">
        <v>3231</v>
      </c>
      <c r="E2337" s="8">
        <v>8375.89</v>
      </c>
      <c r="F2337" s="13" t="s">
        <v>70</v>
      </c>
      <c r="G2337" s="14">
        <v>44747</v>
      </c>
      <c r="H2337" s="13" t="s">
        <v>9</v>
      </c>
    </row>
    <row r="2338" spans="1:8" ht="14.4" x14ac:dyDescent="0.3">
      <c r="A2338" s="8">
        <v>82187105</v>
      </c>
      <c r="B2338" s="11">
        <v>44742</v>
      </c>
      <c r="C2338" s="13" t="s">
        <v>405</v>
      </c>
      <c r="D2338" s="13" t="s">
        <v>3232</v>
      </c>
      <c r="E2338" s="8">
        <v>15131.49</v>
      </c>
      <c r="F2338" s="13" t="s">
        <v>70</v>
      </c>
      <c r="G2338" s="14">
        <v>44748</v>
      </c>
      <c r="H2338" s="13" t="s">
        <v>9</v>
      </c>
    </row>
    <row r="2339" spans="1:8" ht="14.4" x14ac:dyDescent="0.3">
      <c r="A2339" s="8">
        <v>82187106</v>
      </c>
      <c r="B2339" s="11">
        <v>44742</v>
      </c>
      <c r="C2339" s="13" t="s">
        <v>2711</v>
      </c>
      <c r="D2339" s="13" t="s">
        <v>3233</v>
      </c>
      <c r="E2339" s="8">
        <v>8091.96</v>
      </c>
      <c r="F2339" s="13" t="s">
        <v>70</v>
      </c>
      <c r="G2339" s="14">
        <v>44753</v>
      </c>
      <c r="H2339" s="13" t="s">
        <v>9</v>
      </c>
    </row>
    <row r="2340" spans="1:8" ht="14.4" x14ac:dyDescent="0.3">
      <c r="A2340" s="8">
        <v>82187107</v>
      </c>
      <c r="B2340" s="11">
        <v>44742</v>
      </c>
      <c r="C2340" s="13" t="s">
        <v>405</v>
      </c>
      <c r="D2340" s="13" t="s">
        <v>3234</v>
      </c>
      <c r="E2340" s="8">
        <v>28195.68</v>
      </c>
      <c r="F2340" s="13" t="s">
        <v>70</v>
      </c>
      <c r="G2340" s="14">
        <v>44748</v>
      </c>
      <c r="H2340" s="13" t="s">
        <v>9</v>
      </c>
    </row>
    <row r="2341" spans="1:8" ht="14.4" x14ac:dyDescent="0.3">
      <c r="A2341" s="8">
        <v>82187108</v>
      </c>
      <c r="B2341" s="11">
        <v>44742</v>
      </c>
      <c r="C2341" s="13" t="s">
        <v>3235</v>
      </c>
      <c r="D2341" s="13" t="s">
        <v>3236</v>
      </c>
      <c r="E2341" s="8">
        <v>362397.85</v>
      </c>
      <c r="F2341" s="13" t="s">
        <v>70</v>
      </c>
      <c r="G2341" s="14">
        <v>44753</v>
      </c>
      <c r="H2341" s="13" t="s">
        <v>9</v>
      </c>
    </row>
    <row r="2342" spans="1:8" ht="14.4" x14ac:dyDescent="0.3">
      <c r="A2342" s="8">
        <v>82187109</v>
      </c>
      <c r="B2342" s="11">
        <v>44742</v>
      </c>
      <c r="C2342" s="13" t="s">
        <v>1941</v>
      </c>
      <c r="D2342" s="13" t="s">
        <v>3237</v>
      </c>
      <c r="E2342" s="8">
        <v>9219.2000000000007</v>
      </c>
      <c r="F2342" s="13" t="s">
        <v>70</v>
      </c>
      <c r="G2342" s="14">
        <v>44753</v>
      </c>
      <c r="H2342" s="13" t="s">
        <v>9</v>
      </c>
    </row>
    <row r="2343" spans="1:8" ht="14.4" x14ac:dyDescent="0.3">
      <c r="A2343" s="8">
        <v>82187110</v>
      </c>
      <c r="B2343" s="11">
        <v>44742</v>
      </c>
      <c r="C2343" s="13" t="s">
        <v>1946</v>
      </c>
      <c r="D2343" s="13" t="s">
        <v>3238</v>
      </c>
      <c r="E2343" s="8">
        <v>7855.35</v>
      </c>
      <c r="F2343" s="13" t="s">
        <v>70</v>
      </c>
      <c r="G2343" s="14">
        <v>44747</v>
      </c>
      <c r="H2343" s="13" t="s">
        <v>9</v>
      </c>
    </row>
    <row r="2344" spans="1:8" ht="14.4" x14ac:dyDescent="0.3">
      <c r="A2344" s="8">
        <v>82187111</v>
      </c>
      <c r="B2344" s="11">
        <v>44742</v>
      </c>
      <c r="C2344" s="13" t="s">
        <v>1946</v>
      </c>
      <c r="D2344" s="13" t="s">
        <v>3239</v>
      </c>
      <c r="E2344" s="8">
        <v>5205.3500000000004</v>
      </c>
      <c r="F2344" s="13" t="s">
        <v>70</v>
      </c>
      <c r="G2344" s="14">
        <v>44747</v>
      </c>
      <c r="H2344" s="13" t="s">
        <v>9</v>
      </c>
    </row>
    <row r="2345" spans="1:8" ht="14.4" x14ac:dyDescent="0.3">
      <c r="A2345" s="8">
        <v>82187112</v>
      </c>
      <c r="B2345" s="11">
        <v>44742</v>
      </c>
      <c r="C2345" s="13" t="s">
        <v>1946</v>
      </c>
      <c r="D2345" s="13" t="s">
        <v>3240</v>
      </c>
      <c r="E2345" s="8">
        <v>993.74</v>
      </c>
      <c r="F2345" s="13" t="s">
        <v>70</v>
      </c>
      <c r="G2345" s="14">
        <v>44747</v>
      </c>
      <c r="H2345" s="13" t="s">
        <v>9</v>
      </c>
    </row>
    <row r="2346" spans="1:8" ht="14.4" x14ac:dyDescent="0.3">
      <c r="A2346" s="8">
        <v>82187113</v>
      </c>
      <c r="B2346" s="11">
        <v>44742</v>
      </c>
      <c r="C2346" s="13" t="s">
        <v>3241</v>
      </c>
      <c r="D2346" s="13" t="s">
        <v>3242</v>
      </c>
      <c r="E2346" s="8">
        <v>120307.2</v>
      </c>
      <c r="F2346" s="13" t="s">
        <v>70</v>
      </c>
      <c r="G2346" s="14">
        <v>44748</v>
      </c>
      <c r="H2346" s="13" t="s">
        <v>9</v>
      </c>
    </row>
    <row r="2347" spans="1:8" ht="14.4" x14ac:dyDescent="0.3">
      <c r="A2347" s="8">
        <v>82187114</v>
      </c>
      <c r="B2347" s="11">
        <v>44742</v>
      </c>
      <c r="C2347" s="13" t="s">
        <v>1941</v>
      </c>
      <c r="D2347" s="13" t="s">
        <v>3243</v>
      </c>
      <c r="E2347" s="8">
        <v>21633.66</v>
      </c>
      <c r="F2347" s="13" t="s">
        <v>70</v>
      </c>
      <c r="G2347" s="14">
        <v>44753</v>
      </c>
      <c r="H2347" s="13" t="s">
        <v>9</v>
      </c>
    </row>
    <row r="2348" spans="1:8" ht="14.4" x14ac:dyDescent="0.3">
      <c r="A2348" s="8">
        <v>82187115</v>
      </c>
      <c r="B2348" s="11">
        <v>44742</v>
      </c>
      <c r="C2348" s="13" t="s">
        <v>1596</v>
      </c>
      <c r="D2348" s="13" t="s">
        <v>3244</v>
      </c>
      <c r="E2348" s="8">
        <v>4998</v>
      </c>
      <c r="F2348" s="13" t="s">
        <v>70</v>
      </c>
      <c r="G2348" s="14">
        <v>44762</v>
      </c>
      <c r="H2348" s="13" t="s">
        <v>9</v>
      </c>
    </row>
    <row r="2349" spans="1:8" ht="14.4" x14ac:dyDescent="0.3">
      <c r="A2349" s="8">
        <v>82187116</v>
      </c>
      <c r="B2349" s="11">
        <v>44742</v>
      </c>
      <c r="C2349" s="13" t="s">
        <v>1941</v>
      </c>
      <c r="D2349" s="13" t="s">
        <v>3245</v>
      </c>
      <c r="E2349" s="8">
        <v>8135.72</v>
      </c>
      <c r="F2349" s="13" t="s">
        <v>70</v>
      </c>
      <c r="G2349" s="14">
        <v>44753</v>
      </c>
      <c r="H2349" s="13" t="s">
        <v>9</v>
      </c>
    </row>
    <row r="2350" spans="1:8" ht="14.4" x14ac:dyDescent="0.3">
      <c r="A2350" s="8">
        <v>82187117</v>
      </c>
      <c r="B2350" s="11">
        <v>44742</v>
      </c>
      <c r="C2350" s="13" t="s">
        <v>3174</v>
      </c>
      <c r="D2350" s="13" t="s">
        <v>3246</v>
      </c>
      <c r="E2350" s="8">
        <v>12161</v>
      </c>
      <c r="F2350" s="13" t="s">
        <v>70</v>
      </c>
      <c r="G2350" s="14">
        <v>44761</v>
      </c>
      <c r="H2350" s="13" t="s">
        <v>9</v>
      </c>
    </row>
    <row r="2351" spans="1:8" ht="14.4" x14ac:dyDescent="0.3">
      <c r="A2351" s="8">
        <v>82187118</v>
      </c>
      <c r="B2351" s="11">
        <v>44742</v>
      </c>
      <c r="C2351" s="13" t="s">
        <v>202</v>
      </c>
      <c r="D2351" s="13" t="s">
        <v>3247</v>
      </c>
      <c r="E2351" s="8">
        <v>1778090.57</v>
      </c>
      <c r="F2351" s="13" t="s">
        <v>70</v>
      </c>
      <c r="G2351" s="14">
        <v>44747</v>
      </c>
      <c r="H2351" s="13" t="s">
        <v>9</v>
      </c>
    </row>
    <row r="2352" spans="1:8" ht="14.4" x14ac:dyDescent="0.3">
      <c r="A2352" s="8">
        <v>82187119</v>
      </c>
      <c r="B2352" s="11">
        <v>44742</v>
      </c>
      <c r="C2352" s="13" t="s">
        <v>65</v>
      </c>
      <c r="D2352" s="13" t="s">
        <v>3248</v>
      </c>
      <c r="E2352" s="8">
        <v>3028.57</v>
      </c>
      <c r="F2352" s="13" t="s">
        <v>70</v>
      </c>
      <c r="G2352" s="14">
        <v>44756</v>
      </c>
      <c r="H2352" s="13" t="s">
        <v>9</v>
      </c>
    </row>
    <row r="2353" spans="1:8" ht="14.4" x14ac:dyDescent="0.3">
      <c r="A2353" s="8">
        <v>82187120</v>
      </c>
      <c r="B2353" s="11">
        <v>44742</v>
      </c>
      <c r="C2353" s="13" t="s">
        <v>2074</v>
      </c>
      <c r="D2353" s="13" t="s">
        <v>3249</v>
      </c>
      <c r="E2353" s="8">
        <v>5437.5</v>
      </c>
      <c r="F2353" s="13" t="s">
        <v>70</v>
      </c>
      <c r="G2353" s="14">
        <v>44748</v>
      </c>
      <c r="H2353" s="13" t="s">
        <v>9</v>
      </c>
    </row>
    <row r="2354" spans="1:8" ht="14.4" x14ac:dyDescent="0.3">
      <c r="A2354" s="8">
        <v>82187121</v>
      </c>
      <c r="B2354" s="11">
        <v>44742</v>
      </c>
      <c r="C2354" s="13" t="s">
        <v>405</v>
      </c>
      <c r="D2354" s="13" t="s">
        <v>3250</v>
      </c>
      <c r="E2354" s="8">
        <v>12452.65</v>
      </c>
      <c r="F2354" s="13" t="s">
        <v>70</v>
      </c>
      <c r="G2354" s="14">
        <v>44748</v>
      </c>
      <c r="H2354" s="13" t="s">
        <v>9</v>
      </c>
    </row>
    <row r="2355" spans="1:8" ht="14.4" x14ac:dyDescent="0.3">
      <c r="A2355" s="8">
        <v>82187122</v>
      </c>
      <c r="B2355" s="11">
        <v>44742</v>
      </c>
      <c r="C2355" s="13" t="s">
        <v>1946</v>
      </c>
      <c r="D2355" s="13" t="s">
        <v>3251</v>
      </c>
      <c r="E2355" s="8">
        <v>17130.349999999999</v>
      </c>
      <c r="F2355" s="13" t="s">
        <v>70</v>
      </c>
      <c r="G2355" s="14">
        <v>44747</v>
      </c>
      <c r="H2355" s="13" t="s">
        <v>9</v>
      </c>
    </row>
    <row r="2356" spans="1:8" ht="14.4" x14ac:dyDescent="0.3">
      <c r="A2356" s="8">
        <v>82187123</v>
      </c>
      <c r="B2356" s="11">
        <v>44742</v>
      </c>
      <c r="C2356" s="13" t="s">
        <v>1342</v>
      </c>
      <c r="D2356" s="13" t="s">
        <v>3252</v>
      </c>
      <c r="E2356" s="8">
        <v>33810</v>
      </c>
      <c r="F2356" s="13" t="s">
        <v>70</v>
      </c>
      <c r="G2356" s="14">
        <v>44749</v>
      </c>
      <c r="H2356" s="13" t="s">
        <v>9</v>
      </c>
    </row>
    <row r="2357" spans="1:8" ht="14.4" x14ac:dyDescent="0.3">
      <c r="A2357" s="8">
        <v>82187124</v>
      </c>
      <c r="B2357" s="11">
        <v>44742</v>
      </c>
      <c r="C2357" s="13" t="s">
        <v>193</v>
      </c>
      <c r="D2357" s="13" t="s">
        <v>3253</v>
      </c>
      <c r="E2357" s="8">
        <v>407346.43</v>
      </c>
      <c r="F2357" s="13" t="s">
        <v>70</v>
      </c>
      <c r="G2357" s="14">
        <v>44748</v>
      </c>
      <c r="H2357" s="13" t="s">
        <v>9</v>
      </c>
    </row>
    <row r="2358" spans="1:8" ht="14.4" x14ac:dyDescent="0.3">
      <c r="A2358" s="8">
        <v>82187125</v>
      </c>
      <c r="B2358" s="11">
        <v>44742</v>
      </c>
      <c r="C2358" s="13" t="s">
        <v>202</v>
      </c>
      <c r="D2358" s="13" t="s">
        <v>3254</v>
      </c>
      <c r="E2358" s="8">
        <v>394213.01</v>
      </c>
      <c r="F2358" s="13" t="s">
        <v>70</v>
      </c>
      <c r="G2358" s="14">
        <v>44747</v>
      </c>
      <c r="H2358" s="13" t="s">
        <v>9</v>
      </c>
    </row>
    <row r="2359" spans="1:8" ht="14.4" x14ac:dyDescent="0.3">
      <c r="A2359" s="8">
        <v>82187126</v>
      </c>
      <c r="B2359" s="11">
        <v>44742</v>
      </c>
      <c r="C2359" s="13" t="s">
        <v>1581</v>
      </c>
      <c r="D2359" s="13" t="s">
        <v>3255</v>
      </c>
      <c r="E2359" s="8">
        <v>20821.43</v>
      </c>
      <c r="F2359" s="13" t="s">
        <v>70</v>
      </c>
      <c r="G2359" s="14">
        <v>44747</v>
      </c>
      <c r="H2359" s="13" t="s">
        <v>9</v>
      </c>
    </row>
    <row r="2360" spans="1:8" ht="14.4" x14ac:dyDescent="0.3">
      <c r="A2360" s="8">
        <v>82187127</v>
      </c>
      <c r="B2360" s="11">
        <v>44742</v>
      </c>
      <c r="C2360" s="13" t="s">
        <v>202</v>
      </c>
      <c r="D2360" s="13" t="s">
        <v>3256</v>
      </c>
      <c r="E2360" s="8">
        <v>474004.22</v>
      </c>
      <c r="F2360" s="13" t="s">
        <v>70</v>
      </c>
      <c r="G2360" s="14">
        <v>44747</v>
      </c>
      <c r="H2360" s="13" t="s">
        <v>9</v>
      </c>
    </row>
    <row r="2361" spans="1:8" ht="14.4" x14ac:dyDescent="0.3">
      <c r="A2361" s="8">
        <v>82187128</v>
      </c>
      <c r="B2361" s="11">
        <v>44742</v>
      </c>
      <c r="C2361" s="13" t="s">
        <v>1581</v>
      </c>
      <c r="D2361" s="13" t="s">
        <v>3257</v>
      </c>
      <c r="E2361" s="8">
        <v>6814.28</v>
      </c>
      <c r="F2361" s="13" t="s">
        <v>70</v>
      </c>
      <c r="G2361" s="14">
        <v>44747</v>
      </c>
      <c r="H2361" s="13" t="s">
        <v>9</v>
      </c>
    </row>
    <row r="2362" spans="1:8" ht="14.4" x14ac:dyDescent="0.3">
      <c r="A2362" s="8">
        <v>82187129</v>
      </c>
      <c r="B2362" s="11">
        <v>44742</v>
      </c>
      <c r="C2362" s="13" t="s">
        <v>202</v>
      </c>
      <c r="D2362" s="13" t="s">
        <v>3258</v>
      </c>
      <c r="E2362" s="8">
        <v>10405.98</v>
      </c>
      <c r="F2362" s="13" t="s">
        <v>70</v>
      </c>
      <c r="G2362" s="14">
        <v>44747</v>
      </c>
      <c r="H2362" s="13" t="s">
        <v>9</v>
      </c>
    </row>
    <row r="2363" spans="1:8" ht="14.4" x14ac:dyDescent="0.3">
      <c r="A2363" s="8">
        <v>82187130</v>
      </c>
      <c r="B2363" s="11">
        <v>44742</v>
      </c>
      <c r="C2363" s="13" t="s">
        <v>1946</v>
      </c>
      <c r="D2363" s="13" t="s">
        <v>3259</v>
      </c>
      <c r="E2363" s="8">
        <v>7760.72</v>
      </c>
      <c r="F2363" s="13" t="s">
        <v>70</v>
      </c>
      <c r="G2363" s="14">
        <v>44747</v>
      </c>
      <c r="H2363" s="13" t="s">
        <v>9</v>
      </c>
    </row>
    <row r="2364" spans="1:8" ht="14.4" x14ac:dyDescent="0.3">
      <c r="A2364" s="8">
        <v>82187131</v>
      </c>
      <c r="B2364" s="11">
        <v>44742</v>
      </c>
      <c r="C2364" s="13" t="s">
        <v>405</v>
      </c>
      <c r="D2364" s="13" t="s">
        <v>3260</v>
      </c>
      <c r="E2364" s="8">
        <v>60723.64</v>
      </c>
      <c r="F2364" s="13" t="s">
        <v>70</v>
      </c>
      <c r="G2364" s="14">
        <v>44748</v>
      </c>
      <c r="H2364" s="13" t="s">
        <v>9</v>
      </c>
    </row>
    <row r="2365" spans="1:8" ht="14.4" x14ac:dyDescent="0.3">
      <c r="A2365" s="8">
        <v>82187132</v>
      </c>
      <c r="B2365" s="11">
        <v>44742</v>
      </c>
      <c r="C2365" s="13" t="s">
        <v>405</v>
      </c>
      <c r="D2365" s="13" t="s">
        <v>3261</v>
      </c>
      <c r="E2365" s="8">
        <v>19759.61</v>
      </c>
      <c r="F2365" s="13" t="s">
        <v>70</v>
      </c>
      <c r="G2365" s="14">
        <v>44748</v>
      </c>
      <c r="H2365" s="13" t="s">
        <v>9</v>
      </c>
    </row>
    <row r="2366" spans="1:8" ht="14.4" x14ac:dyDescent="0.3">
      <c r="A2366" s="8">
        <v>82187133</v>
      </c>
      <c r="B2366" s="11">
        <v>44742</v>
      </c>
      <c r="C2366" s="13" t="s">
        <v>254</v>
      </c>
      <c r="D2366" s="13" t="s">
        <v>3262</v>
      </c>
      <c r="E2366" s="8">
        <v>25667.15</v>
      </c>
      <c r="F2366" s="13" t="s">
        <v>70</v>
      </c>
      <c r="G2366" s="14">
        <v>44749</v>
      </c>
      <c r="H2366" s="13" t="s">
        <v>9</v>
      </c>
    </row>
    <row r="2367" spans="1:8" ht="14.4" x14ac:dyDescent="0.3">
      <c r="A2367" s="8">
        <v>82187134</v>
      </c>
      <c r="B2367" s="11">
        <v>44742</v>
      </c>
      <c r="C2367" s="13" t="s">
        <v>3263</v>
      </c>
      <c r="D2367" s="13" t="s">
        <v>3264</v>
      </c>
      <c r="E2367" s="8">
        <v>7564.62</v>
      </c>
      <c r="F2367" s="13" t="s">
        <v>70</v>
      </c>
      <c r="G2367" s="14">
        <v>44764</v>
      </c>
      <c r="H2367" s="13" t="s">
        <v>9</v>
      </c>
    </row>
    <row r="2368" spans="1:8" ht="14.4" x14ac:dyDescent="0.3">
      <c r="A2368" s="8">
        <v>82187135</v>
      </c>
      <c r="B2368" s="11">
        <v>44742</v>
      </c>
      <c r="C2368" s="13" t="s">
        <v>1946</v>
      </c>
      <c r="D2368" s="13" t="s">
        <v>3265</v>
      </c>
      <c r="E2368" s="8">
        <v>899.11</v>
      </c>
      <c r="F2368" s="13" t="s">
        <v>70</v>
      </c>
      <c r="G2368" s="14">
        <v>44747</v>
      </c>
      <c r="H2368" s="13" t="s">
        <v>9</v>
      </c>
    </row>
    <row r="2369" spans="1:8" ht="14.4" x14ac:dyDescent="0.3">
      <c r="A2369" s="8">
        <v>82187136</v>
      </c>
      <c r="B2369" s="11">
        <v>44742</v>
      </c>
      <c r="C2369" s="13" t="s">
        <v>1946</v>
      </c>
      <c r="D2369" s="13" t="s">
        <v>3266</v>
      </c>
      <c r="E2369" s="8">
        <v>615.17999999999995</v>
      </c>
      <c r="F2369" s="13" t="s">
        <v>70</v>
      </c>
      <c r="G2369" s="14">
        <v>44747</v>
      </c>
      <c r="H2369" s="13" t="s">
        <v>9</v>
      </c>
    </row>
    <row r="2370" spans="1:8" ht="14.4" x14ac:dyDescent="0.3">
      <c r="A2370" s="8">
        <v>82187137</v>
      </c>
      <c r="B2370" s="11">
        <v>44742</v>
      </c>
      <c r="C2370" s="13" t="s">
        <v>1946</v>
      </c>
      <c r="D2370" s="13" t="s">
        <v>3267</v>
      </c>
      <c r="E2370" s="8">
        <v>38898.22</v>
      </c>
      <c r="F2370" s="13" t="s">
        <v>70</v>
      </c>
      <c r="G2370" s="14">
        <v>44747</v>
      </c>
      <c r="H2370" s="13" t="s">
        <v>9</v>
      </c>
    </row>
    <row r="2371" spans="1:8" ht="14.4" x14ac:dyDescent="0.3">
      <c r="A2371" s="8">
        <v>82187138</v>
      </c>
      <c r="B2371" s="11">
        <v>44742</v>
      </c>
      <c r="C2371" s="13" t="s">
        <v>3263</v>
      </c>
      <c r="D2371" s="13" t="s">
        <v>3268</v>
      </c>
      <c r="E2371" s="8">
        <v>10212.58</v>
      </c>
      <c r="F2371" s="13" t="s">
        <v>70</v>
      </c>
      <c r="G2371" s="14">
        <v>44764</v>
      </c>
      <c r="H2371" s="13" t="s">
        <v>9</v>
      </c>
    </row>
    <row r="2372" spans="1:8" ht="14.4" x14ac:dyDescent="0.3">
      <c r="A2372" s="8">
        <v>82187139</v>
      </c>
      <c r="B2372" s="11">
        <v>44742</v>
      </c>
      <c r="C2372" s="13" t="s">
        <v>1946</v>
      </c>
      <c r="D2372" s="13" t="s">
        <v>3269</v>
      </c>
      <c r="E2372" s="8">
        <v>2366.0700000000002</v>
      </c>
      <c r="F2372" s="13" t="s">
        <v>70</v>
      </c>
      <c r="G2372" s="14">
        <v>44747</v>
      </c>
      <c r="H2372" s="13" t="s">
        <v>9</v>
      </c>
    </row>
    <row r="2373" spans="1:8" ht="14.4" x14ac:dyDescent="0.3">
      <c r="A2373" s="8">
        <v>82187140</v>
      </c>
      <c r="B2373" s="11">
        <v>44742</v>
      </c>
      <c r="C2373" s="13" t="s">
        <v>1581</v>
      </c>
      <c r="D2373" s="13" t="s">
        <v>3270</v>
      </c>
      <c r="E2373" s="8">
        <v>9464.2800000000007</v>
      </c>
      <c r="F2373" s="13" t="s">
        <v>70</v>
      </c>
      <c r="G2373" s="14">
        <v>44747</v>
      </c>
      <c r="H2373" s="13" t="s">
        <v>9</v>
      </c>
    </row>
    <row r="2374" spans="1:8" ht="14.4" x14ac:dyDescent="0.3">
      <c r="A2374" s="8">
        <v>82187141</v>
      </c>
      <c r="B2374" s="11">
        <v>44742</v>
      </c>
      <c r="C2374" s="13" t="s">
        <v>3271</v>
      </c>
      <c r="D2374" s="13" t="s">
        <v>3272</v>
      </c>
      <c r="E2374" s="8">
        <v>346267</v>
      </c>
      <c r="F2374" s="13" t="s">
        <v>70</v>
      </c>
      <c r="G2374" s="14">
        <v>44750</v>
      </c>
      <c r="H2374" s="13" t="s">
        <v>9</v>
      </c>
    </row>
    <row r="2375" spans="1:8" ht="14.4" x14ac:dyDescent="0.3">
      <c r="A2375" s="8">
        <v>82187142</v>
      </c>
      <c r="B2375" s="11">
        <v>44742</v>
      </c>
      <c r="C2375" s="13" t="s">
        <v>3273</v>
      </c>
      <c r="D2375" s="13" t="s">
        <v>3274</v>
      </c>
      <c r="E2375" s="8">
        <v>14700</v>
      </c>
      <c r="F2375" s="13" t="s">
        <v>70</v>
      </c>
      <c r="G2375" s="14">
        <v>44761</v>
      </c>
      <c r="H2375" s="13" t="s">
        <v>9</v>
      </c>
    </row>
    <row r="2376" spans="1:8" ht="14.4" x14ac:dyDescent="0.3">
      <c r="A2376" s="8">
        <v>82187143</v>
      </c>
      <c r="B2376" s="11">
        <v>44742</v>
      </c>
      <c r="C2376" s="13" t="s">
        <v>259</v>
      </c>
      <c r="D2376" s="13" t="s">
        <v>3275</v>
      </c>
      <c r="E2376" s="8">
        <v>46848.22</v>
      </c>
      <c r="F2376" s="13" t="s">
        <v>70</v>
      </c>
      <c r="G2376" s="14">
        <v>44747</v>
      </c>
      <c r="H2376" s="13" t="s">
        <v>9</v>
      </c>
    </row>
    <row r="2377" spans="1:8" ht="14.4" x14ac:dyDescent="0.3">
      <c r="A2377" s="8">
        <v>82187144</v>
      </c>
      <c r="B2377" s="11">
        <v>44742</v>
      </c>
      <c r="C2377" s="13" t="s">
        <v>405</v>
      </c>
      <c r="D2377" s="13" t="s">
        <v>3276</v>
      </c>
      <c r="E2377" s="8">
        <v>31035.29</v>
      </c>
      <c r="F2377" s="13" t="s">
        <v>70</v>
      </c>
      <c r="G2377" s="14">
        <v>44748</v>
      </c>
      <c r="H2377" s="13" t="s">
        <v>9</v>
      </c>
    </row>
    <row r="2378" spans="1:8" ht="14.4" x14ac:dyDescent="0.3">
      <c r="A2378" s="8">
        <v>82187145</v>
      </c>
      <c r="B2378" s="11">
        <v>44742</v>
      </c>
      <c r="C2378" s="13" t="s">
        <v>405</v>
      </c>
      <c r="D2378" s="13" t="s">
        <v>3277</v>
      </c>
      <c r="E2378" s="8">
        <v>19243.099999999999</v>
      </c>
      <c r="F2378" s="13" t="s">
        <v>70</v>
      </c>
      <c r="G2378" s="14">
        <v>44748</v>
      </c>
      <c r="H2378" s="13" t="s">
        <v>9</v>
      </c>
    </row>
    <row r="2379" spans="1:8" ht="14.4" x14ac:dyDescent="0.3">
      <c r="A2379" s="8">
        <v>82187146</v>
      </c>
      <c r="B2379" s="11">
        <v>44742</v>
      </c>
      <c r="C2379" s="13" t="s">
        <v>405</v>
      </c>
      <c r="D2379" s="13" t="s">
        <v>3278</v>
      </c>
      <c r="E2379" s="8">
        <v>16139.37</v>
      </c>
      <c r="F2379" s="13" t="s">
        <v>70</v>
      </c>
      <c r="G2379" s="14">
        <v>44748</v>
      </c>
      <c r="H2379" s="13" t="s">
        <v>9</v>
      </c>
    </row>
    <row r="2380" spans="1:8" ht="14.4" x14ac:dyDescent="0.3">
      <c r="A2380" s="8">
        <v>82187147</v>
      </c>
      <c r="B2380" s="11">
        <v>44742</v>
      </c>
      <c r="C2380" s="13" t="s">
        <v>25</v>
      </c>
      <c r="D2380" s="13" t="s">
        <v>3279</v>
      </c>
      <c r="E2380" s="8">
        <v>7950</v>
      </c>
      <c r="F2380" s="13" t="s">
        <v>70</v>
      </c>
      <c r="G2380" s="14">
        <v>44748</v>
      </c>
      <c r="H2380" s="13" t="s">
        <v>9</v>
      </c>
    </row>
    <row r="2381" spans="1:8" ht="14.4" x14ac:dyDescent="0.3">
      <c r="A2381" s="8">
        <v>82187148</v>
      </c>
      <c r="B2381" s="11">
        <v>44742</v>
      </c>
      <c r="C2381" s="13" t="s">
        <v>259</v>
      </c>
      <c r="D2381" s="13" t="s">
        <v>3280</v>
      </c>
      <c r="E2381" s="8">
        <v>8044.65</v>
      </c>
      <c r="F2381" s="13" t="s">
        <v>70</v>
      </c>
      <c r="G2381" s="14">
        <v>44747</v>
      </c>
      <c r="H2381" s="13" t="s">
        <v>9</v>
      </c>
    </row>
    <row r="2382" spans="1:8" ht="14.4" x14ac:dyDescent="0.3">
      <c r="A2382" s="8">
        <v>82187150</v>
      </c>
      <c r="B2382" s="11">
        <v>44742</v>
      </c>
      <c r="C2382" s="13" t="s">
        <v>25</v>
      </c>
      <c r="D2382" s="13" t="s">
        <v>3281</v>
      </c>
      <c r="E2382" s="8">
        <v>3407.15</v>
      </c>
      <c r="F2382" s="13" t="s">
        <v>70</v>
      </c>
      <c r="G2382" s="14">
        <v>44748</v>
      </c>
      <c r="H2382" s="13" t="s">
        <v>9</v>
      </c>
    </row>
    <row r="2383" spans="1:8" ht="14.4" x14ac:dyDescent="0.3">
      <c r="A2383" s="8">
        <v>82187151</v>
      </c>
      <c r="B2383" s="11">
        <v>44742</v>
      </c>
      <c r="C2383" s="13" t="s">
        <v>259</v>
      </c>
      <c r="D2383" s="13" t="s">
        <v>3282</v>
      </c>
      <c r="E2383" s="8">
        <v>6908.93</v>
      </c>
      <c r="F2383" s="13" t="s">
        <v>70</v>
      </c>
      <c r="G2383" s="14">
        <v>44747</v>
      </c>
      <c r="H2383" s="13" t="s">
        <v>9</v>
      </c>
    </row>
    <row r="2384" spans="1:8" ht="14.4" x14ac:dyDescent="0.3">
      <c r="A2384" s="8">
        <v>82187152</v>
      </c>
      <c r="B2384" s="11">
        <v>44746</v>
      </c>
      <c r="C2384" s="13" t="s">
        <v>85</v>
      </c>
      <c r="D2384" s="13" t="s">
        <v>3283</v>
      </c>
      <c r="E2384" s="8">
        <v>3636.99</v>
      </c>
      <c r="F2384" s="13" t="s">
        <v>70</v>
      </c>
      <c r="G2384" s="14">
        <v>44747</v>
      </c>
      <c r="H2384" s="13" t="s">
        <v>9</v>
      </c>
    </row>
    <row r="2385" spans="1:8" ht="14.4" x14ac:dyDescent="0.3">
      <c r="A2385" s="8">
        <v>82187153</v>
      </c>
      <c r="B2385" s="11">
        <v>44747</v>
      </c>
      <c r="C2385" s="13" t="s">
        <v>184</v>
      </c>
      <c r="D2385" s="13" t="s">
        <v>3284</v>
      </c>
      <c r="E2385" s="8">
        <v>178500</v>
      </c>
      <c r="F2385" s="13" t="s">
        <v>70</v>
      </c>
      <c r="G2385" s="14">
        <v>44747</v>
      </c>
      <c r="H2385" s="13" t="s">
        <v>9</v>
      </c>
    </row>
    <row r="2386" spans="1:8" ht="14.4" x14ac:dyDescent="0.3">
      <c r="A2386" s="8">
        <v>82187154</v>
      </c>
      <c r="B2386" s="11">
        <v>44747</v>
      </c>
      <c r="C2386" s="13" t="s">
        <v>1645</v>
      </c>
      <c r="D2386" s="13" t="s">
        <v>3285</v>
      </c>
      <c r="E2386" s="8">
        <v>320116.21000000002</v>
      </c>
      <c r="F2386" s="13" t="s">
        <v>70</v>
      </c>
      <c r="G2386" s="14">
        <v>44747</v>
      </c>
      <c r="H2386" s="13" t="s">
        <v>9</v>
      </c>
    </row>
    <row r="2387" spans="1:8" ht="14.4" x14ac:dyDescent="0.3">
      <c r="A2387" s="8">
        <v>82187155</v>
      </c>
      <c r="B2387" s="11">
        <v>44747</v>
      </c>
      <c r="C2387" s="13" t="s">
        <v>197</v>
      </c>
      <c r="D2387" s="13" t="s">
        <v>3285</v>
      </c>
      <c r="E2387" s="8">
        <v>1792242.4</v>
      </c>
      <c r="F2387" s="13" t="s">
        <v>70</v>
      </c>
      <c r="G2387" s="14">
        <v>44748</v>
      </c>
      <c r="H2387" s="13" t="s">
        <v>9</v>
      </c>
    </row>
    <row r="2388" spans="1:8" ht="14.4" x14ac:dyDescent="0.3">
      <c r="A2388" s="8">
        <v>82187156</v>
      </c>
      <c r="B2388" s="11">
        <v>44747</v>
      </c>
      <c r="C2388" s="13" t="s">
        <v>188</v>
      </c>
      <c r="D2388" s="13" t="s">
        <v>3286</v>
      </c>
      <c r="E2388" s="8">
        <v>828448.59</v>
      </c>
      <c r="F2388" s="13" t="s">
        <v>70</v>
      </c>
      <c r="G2388" s="14">
        <v>44747</v>
      </c>
      <c r="H2388" s="13" t="s">
        <v>9</v>
      </c>
    </row>
    <row r="2389" spans="1:8" ht="14.4" x14ac:dyDescent="0.3">
      <c r="A2389" s="8">
        <v>82187157</v>
      </c>
      <c r="B2389" s="11">
        <v>44747</v>
      </c>
      <c r="C2389" s="13" t="s">
        <v>188</v>
      </c>
      <c r="D2389" s="13" t="s">
        <v>3287</v>
      </c>
      <c r="E2389" s="8">
        <v>1101035.6000000001</v>
      </c>
      <c r="F2389" s="13" t="s">
        <v>70</v>
      </c>
      <c r="G2389" s="14">
        <v>44747</v>
      </c>
      <c r="H2389" s="13" t="s">
        <v>9</v>
      </c>
    </row>
    <row r="2390" spans="1:8" ht="14.4" x14ac:dyDescent="0.3">
      <c r="A2390" s="8">
        <v>82187158</v>
      </c>
      <c r="B2390" s="11">
        <v>44747</v>
      </c>
      <c r="C2390" s="13" t="s">
        <v>188</v>
      </c>
      <c r="D2390" s="13" t="s">
        <v>3288</v>
      </c>
      <c r="E2390" s="8">
        <v>1115.96</v>
      </c>
      <c r="F2390" s="13" t="s">
        <v>70</v>
      </c>
      <c r="G2390" s="14">
        <v>44747</v>
      </c>
      <c r="H2390" s="13" t="s">
        <v>9</v>
      </c>
    </row>
    <row r="2391" spans="1:8" ht="14.4" x14ac:dyDescent="0.3">
      <c r="A2391" s="8">
        <v>82187159</v>
      </c>
      <c r="B2391" s="11">
        <v>44747</v>
      </c>
      <c r="C2391" s="13" t="s">
        <v>186</v>
      </c>
      <c r="D2391" s="13" t="s">
        <v>3285</v>
      </c>
      <c r="E2391" s="8">
        <v>1781954.08</v>
      </c>
      <c r="F2391" s="13" t="s">
        <v>70</v>
      </c>
      <c r="G2391" s="14">
        <v>44748</v>
      </c>
      <c r="H2391" s="13" t="s">
        <v>9</v>
      </c>
    </row>
    <row r="2392" spans="1:8" ht="14.4" x14ac:dyDescent="0.3">
      <c r="A2392" s="8">
        <v>82187160</v>
      </c>
      <c r="B2392" s="11">
        <v>44747</v>
      </c>
      <c r="C2392" s="13" t="s">
        <v>189</v>
      </c>
      <c r="D2392" s="13" t="s">
        <v>3289</v>
      </c>
      <c r="E2392" s="8">
        <v>8464971.4199999999</v>
      </c>
      <c r="F2392" s="13" t="s">
        <v>70</v>
      </c>
      <c r="G2392" s="14">
        <v>44747</v>
      </c>
      <c r="H2392" s="13" t="s">
        <v>9</v>
      </c>
    </row>
    <row r="2393" spans="1:8" ht="14.4" x14ac:dyDescent="0.3">
      <c r="A2393" s="8">
        <v>82187161</v>
      </c>
      <c r="B2393" s="11">
        <v>44747</v>
      </c>
      <c r="C2393" s="13" t="s">
        <v>275</v>
      </c>
      <c r="D2393" s="13" t="s">
        <v>3290</v>
      </c>
      <c r="E2393" s="8">
        <v>242561.59</v>
      </c>
      <c r="F2393" s="13" t="s">
        <v>70</v>
      </c>
      <c r="G2393" s="14">
        <v>44748</v>
      </c>
      <c r="H2393" s="13" t="s">
        <v>9</v>
      </c>
    </row>
    <row r="2394" spans="1:8" ht="14.4" x14ac:dyDescent="0.3">
      <c r="A2394" s="8">
        <v>82187162</v>
      </c>
      <c r="B2394" s="11">
        <v>44747</v>
      </c>
      <c r="C2394" s="13" t="s">
        <v>354</v>
      </c>
      <c r="D2394" s="13" t="s">
        <v>3291</v>
      </c>
      <c r="E2394" s="8">
        <v>548871.48</v>
      </c>
      <c r="F2394" s="13" t="s">
        <v>70</v>
      </c>
      <c r="G2394" s="14">
        <v>44747</v>
      </c>
      <c r="H2394" s="13" t="s">
        <v>9</v>
      </c>
    </row>
    <row r="2395" spans="1:8" ht="14.4" x14ac:dyDescent="0.3">
      <c r="A2395" s="8">
        <v>82187163</v>
      </c>
      <c r="B2395" s="11">
        <v>44747</v>
      </c>
      <c r="C2395" s="13" t="s">
        <v>748</v>
      </c>
      <c r="D2395" s="13" t="s">
        <v>3292</v>
      </c>
      <c r="E2395" s="8">
        <v>4687.5</v>
      </c>
      <c r="F2395" s="13" t="s">
        <v>70</v>
      </c>
      <c r="G2395" s="14">
        <v>44747</v>
      </c>
      <c r="H2395" s="13" t="s">
        <v>9</v>
      </c>
    </row>
    <row r="2396" spans="1:8" ht="14.4" x14ac:dyDescent="0.3">
      <c r="A2396" s="8">
        <v>82187164</v>
      </c>
      <c r="B2396" s="11">
        <v>44747</v>
      </c>
      <c r="C2396" s="13" t="s">
        <v>748</v>
      </c>
      <c r="D2396" s="13" t="s">
        <v>3293</v>
      </c>
      <c r="E2396" s="8">
        <v>3186.56</v>
      </c>
      <c r="F2396" s="13" t="s">
        <v>70</v>
      </c>
      <c r="G2396" s="14">
        <v>44747</v>
      </c>
      <c r="H2396" s="13" t="s">
        <v>9</v>
      </c>
    </row>
    <row r="2397" spans="1:8" ht="14.4" x14ac:dyDescent="0.3">
      <c r="A2397" s="8">
        <v>82187165</v>
      </c>
      <c r="B2397" s="11">
        <v>44747</v>
      </c>
      <c r="C2397" s="13" t="s">
        <v>748</v>
      </c>
      <c r="D2397" s="13" t="s">
        <v>3294</v>
      </c>
      <c r="E2397" s="8">
        <v>3972.18</v>
      </c>
      <c r="F2397" s="13" t="s">
        <v>70</v>
      </c>
      <c r="G2397" s="14">
        <v>44747</v>
      </c>
      <c r="H2397" s="13" t="s">
        <v>9</v>
      </c>
    </row>
    <row r="2398" spans="1:8" ht="14.4" x14ac:dyDescent="0.3">
      <c r="A2398" s="8">
        <v>82187166</v>
      </c>
      <c r="B2398" s="11">
        <v>44747</v>
      </c>
      <c r="C2398" s="13" t="s">
        <v>748</v>
      </c>
      <c r="D2398" s="13" t="s">
        <v>3295</v>
      </c>
      <c r="E2398" s="8">
        <v>4124.07</v>
      </c>
      <c r="F2398" s="13" t="s">
        <v>70</v>
      </c>
      <c r="G2398" s="14">
        <v>44747</v>
      </c>
      <c r="H2398" s="13" t="s">
        <v>9</v>
      </c>
    </row>
    <row r="2399" spans="1:8" ht="14.4" x14ac:dyDescent="0.3">
      <c r="A2399" s="8">
        <v>82187167</v>
      </c>
      <c r="B2399" s="11">
        <v>44747</v>
      </c>
      <c r="C2399" s="13" t="s">
        <v>748</v>
      </c>
      <c r="D2399" s="13" t="s">
        <v>3296</v>
      </c>
      <c r="E2399" s="8">
        <v>3186.56</v>
      </c>
      <c r="F2399" s="13" t="s">
        <v>70</v>
      </c>
      <c r="G2399" s="14">
        <v>44747</v>
      </c>
      <c r="H2399" s="13" t="s">
        <v>9</v>
      </c>
    </row>
    <row r="2400" spans="1:8" ht="14.4" x14ac:dyDescent="0.3">
      <c r="A2400" s="8">
        <v>82187168</v>
      </c>
      <c r="B2400" s="11">
        <v>44747</v>
      </c>
      <c r="C2400" s="13" t="s">
        <v>221</v>
      </c>
      <c r="D2400" s="13" t="s">
        <v>3297</v>
      </c>
      <c r="E2400" s="8">
        <v>46517.25</v>
      </c>
      <c r="F2400" s="13" t="s">
        <v>70</v>
      </c>
      <c r="G2400" s="14">
        <v>44753</v>
      </c>
      <c r="H2400" s="13" t="s">
        <v>9</v>
      </c>
    </row>
    <row r="2401" spans="1:8" ht="14.4" x14ac:dyDescent="0.3">
      <c r="A2401" s="8">
        <v>82187169</v>
      </c>
      <c r="B2401" s="11">
        <v>44747</v>
      </c>
      <c r="C2401" s="13" t="s">
        <v>395</v>
      </c>
      <c r="D2401" s="13" t="s">
        <v>3298</v>
      </c>
      <c r="E2401" s="8">
        <v>30364</v>
      </c>
      <c r="F2401" s="13" t="s">
        <v>70</v>
      </c>
      <c r="G2401" s="14">
        <v>44750</v>
      </c>
      <c r="H2401" s="13" t="s">
        <v>9</v>
      </c>
    </row>
    <row r="2402" spans="1:8" ht="14.4" x14ac:dyDescent="0.3">
      <c r="A2402" s="8">
        <v>82187170</v>
      </c>
      <c r="B2402" s="11">
        <v>44747</v>
      </c>
      <c r="C2402" s="13" t="s">
        <v>617</v>
      </c>
      <c r="D2402" s="13" t="s">
        <v>3299</v>
      </c>
      <c r="E2402" s="8">
        <v>6213.54</v>
      </c>
      <c r="F2402" s="13" t="s">
        <v>70</v>
      </c>
      <c r="G2402" s="14">
        <v>44769</v>
      </c>
      <c r="H2402" s="13" t="s">
        <v>9</v>
      </c>
    </row>
    <row r="2403" spans="1:8" ht="14.4" x14ac:dyDescent="0.3">
      <c r="A2403" s="8">
        <v>82187171</v>
      </c>
      <c r="B2403" s="11">
        <v>44747</v>
      </c>
      <c r="C2403" s="13" t="s">
        <v>1286</v>
      </c>
      <c r="D2403" s="13" t="s">
        <v>3300</v>
      </c>
      <c r="E2403" s="8">
        <v>228421.24</v>
      </c>
      <c r="F2403" s="13" t="s">
        <v>70</v>
      </c>
      <c r="G2403" s="14">
        <v>44750</v>
      </c>
      <c r="H2403" s="13" t="s">
        <v>9</v>
      </c>
    </row>
    <row r="2404" spans="1:8" ht="14.4" x14ac:dyDescent="0.3">
      <c r="A2404" s="8">
        <v>82187172</v>
      </c>
      <c r="B2404" s="11">
        <v>44747</v>
      </c>
      <c r="C2404" s="13" t="s">
        <v>1596</v>
      </c>
      <c r="D2404" s="13" t="s">
        <v>3301</v>
      </c>
      <c r="E2404" s="8">
        <v>396.9</v>
      </c>
      <c r="F2404" s="13" t="s">
        <v>70</v>
      </c>
      <c r="G2404" s="14">
        <v>44762</v>
      </c>
      <c r="H2404" s="13" t="s">
        <v>9</v>
      </c>
    </row>
    <row r="2405" spans="1:8" ht="14.4" x14ac:dyDescent="0.3">
      <c r="A2405" s="8">
        <v>82187173</v>
      </c>
      <c r="B2405" s="11">
        <v>44747</v>
      </c>
      <c r="C2405" s="13" t="s">
        <v>1596</v>
      </c>
      <c r="D2405" s="13" t="s">
        <v>3302</v>
      </c>
      <c r="E2405" s="8">
        <v>1940.4</v>
      </c>
      <c r="F2405" s="13" t="s">
        <v>70</v>
      </c>
      <c r="G2405" s="14">
        <v>44762</v>
      </c>
      <c r="H2405" s="13" t="s">
        <v>9</v>
      </c>
    </row>
    <row r="2406" spans="1:8" ht="14.4" x14ac:dyDescent="0.3">
      <c r="A2406" s="8">
        <v>82187174</v>
      </c>
      <c r="B2406" s="11">
        <v>44747</v>
      </c>
      <c r="C2406" s="13" t="s">
        <v>2711</v>
      </c>
      <c r="D2406" s="13" t="s">
        <v>3303</v>
      </c>
      <c r="E2406" s="8">
        <v>19212.5</v>
      </c>
      <c r="F2406" s="13" t="s">
        <v>70</v>
      </c>
      <c r="G2406" s="14">
        <v>44753</v>
      </c>
      <c r="H2406" s="13" t="s">
        <v>9</v>
      </c>
    </row>
    <row r="2407" spans="1:8" ht="14.4" x14ac:dyDescent="0.3">
      <c r="A2407" s="8">
        <v>82187175</v>
      </c>
      <c r="B2407" s="11">
        <v>44747</v>
      </c>
      <c r="C2407" s="13" t="s">
        <v>1941</v>
      </c>
      <c r="D2407" s="13" t="s">
        <v>3304</v>
      </c>
      <c r="E2407" s="8">
        <v>14953.57</v>
      </c>
      <c r="F2407" s="13" t="s">
        <v>70</v>
      </c>
      <c r="G2407" s="14">
        <v>44753</v>
      </c>
      <c r="H2407" s="13" t="s">
        <v>9</v>
      </c>
    </row>
    <row r="2408" spans="1:8" ht="14.4" x14ac:dyDescent="0.3">
      <c r="A2408" s="8">
        <v>82187176</v>
      </c>
      <c r="B2408" s="11">
        <v>44747</v>
      </c>
      <c r="C2408" s="13" t="s">
        <v>3305</v>
      </c>
      <c r="D2408" s="13" t="s">
        <v>3306</v>
      </c>
      <c r="E2408" s="8">
        <v>21000</v>
      </c>
      <c r="F2408" s="13" t="s">
        <v>70</v>
      </c>
      <c r="G2408" s="14">
        <v>44753</v>
      </c>
      <c r="H2408" s="13" t="s">
        <v>9</v>
      </c>
    </row>
    <row r="2409" spans="1:8" ht="14.4" x14ac:dyDescent="0.3">
      <c r="A2409" s="8">
        <v>82187177</v>
      </c>
      <c r="B2409" s="11">
        <v>44747</v>
      </c>
      <c r="C2409" s="13" t="s">
        <v>3307</v>
      </c>
      <c r="D2409" s="13" t="s">
        <v>3308</v>
      </c>
      <c r="E2409" s="8">
        <v>12000</v>
      </c>
      <c r="F2409" s="13" t="s">
        <v>70</v>
      </c>
      <c r="G2409" s="14">
        <v>44755</v>
      </c>
      <c r="H2409" s="13" t="s">
        <v>9</v>
      </c>
    </row>
    <row r="2410" spans="1:8" ht="14.4" x14ac:dyDescent="0.3">
      <c r="A2410" s="8">
        <v>82187178</v>
      </c>
      <c r="B2410" s="11">
        <v>44747</v>
      </c>
      <c r="C2410" s="13" t="s">
        <v>3309</v>
      </c>
      <c r="D2410" s="13" t="s">
        <v>3310</v>
      </c>
      <c r="E2410" s="8">
        <v>10000</v>
      </c>
      <c r="F2410" s="13" t="s">
        <v>70</v>
      </c>
      <c r="G2410" s="14">
        <v>44755</v>
      </c>
      <c r="H2410" s="13" t="s">
        <v>9</v>
      </c>
    </row>
    <row r="2411" spans="1:8" ht="14.4" x14ac:dyDescent="0.3">
      <c r="A2411" s="8">
        <v>82187179</v>
      </c>
      <c r="B2411" s="11">
        <v>44747</v>
      </c>
      <c r="C2411" s="13" t="s">
        <v>3311</v>
      </c>
      <c r="D2411" s="13" t="s">
        <v>3312</v>
      </c>
      <c r="E2411" s="8">
        <v>10000</v>
      </c>
      <c r="F2411" s="13" t="s">
        <v>70</v>
      </c>
      <c r="G2411" s="14">
        <v>44748</v>
      </c>
      <c r="H2411" s="13" t="s">
        <v>9</v>
      </c>
    </row>
    <row r="2412" spans="1:8" ht="14.4" x14ac:dyDescent="0.3">
      <c r="A2412" s="8">
        <v>82187180</v>
      </c>
      <c r="B2412" s="11">
        <v>44747</v>
      </c>
      <c r="C2412" s="13" t="s">
        <v>3313</v>
      </c>
      <c r="D2412" s="13" t="s">
        <v>3314</v>
      </c>
      <c r="E2412" s="8">
        <v>8000</v>
      </c>
      <c r="F2412" s="13" t="s">
        <v>70</v>
      </c>
      <c r="G2412" s="14">
        <v>44755</v>
      </c>
      <c r="H2412" s="13" t="s">
        <v>9</v>
      </c>
    </row>
    <row r="2413" spans="1:8" ht="14.4" x14ac:dyDescent="0.3">
      <c r="A2413" s="8">
        <v>82187181</v>
      </c>
      <c r="B2413" s="11">
        <v>44747</v>
      </c>
      <c r="C2413" s="13" t="s">
        <v>3315</v>
      </c>
      <c r="D2413" s="13" t="s">
        <v>3316</v>
      </c>
      <c r="E2413" s="8">
        <v>16000</v>
      </c>
      <c r="F2413" s="13" t="s">
        <v>70</v>
      </c>
      <c r="G2413" s="14">
        <v>44755</v>
      </c>
      <c r="H2413" s="13" t="s">
        <v>9</v>
      </c>
    </row>
    <row r="2414" spans="1:8" ht="14.4" x14ac:dyDescent="0.3">
      <c r="A2414" s="8">
        <v>82187182</v>
      </c>
      <c r="B2414" s="11">
        <v>44747</v>
      </c>
      <c r="C2414" s="13" t="s">
        <v>3317</v>
      </c>
      <c r="D2414" s="13" t="s">
        <v>3318</v>
      </c>
      <c r="E2414" s="8">
        <v>9000</v>
      </c>
      <c r="F2414" s="13" t="s">
        <v>70</v>
      </c>
      <c r="G2414" s="14">
        <v>44753</v>
      </c>
      <c r="H2414" s="13" t="s">
        <v>9</v>
      </c>
    </row>
    <row r="2415" spans="1:8" ht="14.4" x14ac:dyDescent="0.3">
      <c r="A2415" s="8">
        <v>82187183</v>
      </c>
      <c r="B2415" s="11">
        <v>44747</v>
      </c>
      <c r="C2415" s="13" t="s">
        <v>3319</v>
      </c>
      <c r="D2415" s="13" t="s">
        <v>3320</v>
      </c>
      <c r="E2415" s="8">
        <v>10000</v>
      </c>
      <c r="F2415" s="13" t="s">
        <v>70</v>
      </c>
      <c r="G2415" s="14">
        <v>44754</v>
      </c>
      <c r="H2415" s="13" t="s">
        <v>9</v>
      </c>
    </row>
    <row r="2416" spans="1:8" ht="14.4" x14ac:dyDescent="0.3">
      <c r="A2416" s="8">
        <v>82187184</v>
      </c>
      <c r="B2416" s="11">
        <v>44747</v>
      </c>
      <c r="C2416" s="13" t="s">
        <v>3321</v>
      </c>
      <c r="D2416" s="13" t="s">
        <v>3322</v>
      </c>
      <c r="E2416" s="8">
        <v>10000</v>
      </c>
      <c r="F2416" s="13" t="s">
        <v>70</v>
      </c>
      <c r="G2416" s="14">
        <v>44749</v>
      </c>
      <c r="H2416" s="13" t="s">
        <v>9</v>
      </c>
    </row>
    <row r="2417" spans="1:8" ht="14.4" x14ac:dyDescent="0.3">
      <c r="A2417" s="8">
        <v>82187186</v>
      </c>
      <c r="B2417" s="11">
        <v>44747</v>
      </c>
      <c r="C2417" s="13" t="s">
        <v>3323</v>
      </c>
      <c r="D2417" s="13" t="s">
        <v>3324</v>
      </c>
      <c r="E2417" s="8">
        <v>11000</v>
      </c>
      <c r="F2417" s="13" t="s">
        <v>70</v>
      </c>
      <c r="G2417" s="14">
        <v>44754</v>
      </c>
      <c r="H2417" s="13" t="s">
        <v>9</v>
      </c>
    </row>
    <row r="2418" spans="1:8" ht="14.4" x14ac:dyDescent="0.3">
      <c r="A2418" s="8">
        <v>82187187</v>
      </c>
      <c r="B2418" s="11">
        <v>44747</v>
      </c>
      <c r="C2418" s="13" t="s">
        <v>3325</v>
      </c>
      <c r="D2418" s="13" t="s">
        <v>3326</v>
      </c>
      <c r="E2418" s="8">
        <v>13000</v>
      </c>
      <c r="F2418" s="13" t="s">
        <v>70</v>
      </c>
      <c r="G2418" s="14">
        <v>44755</v>
      </c>
      <c r="H2418" s="13" t="s">
        <v>9</v>
      </c>
    </row>
    <row r="2419" spans="1:8" ht="14.4" x14ac:dyDescent="0.3">
      <c r="A2419" s="8">
        <v>82187188</v>
      </c>
      <c r="B2419" s="11">
        <v>44747</v>
      </c>
      <c r="C2419" s="13" t="s">
        <v>3006</v>
      </c>
      <c r="D2419" s="13" t="s">
        <v>3327</v>
      </c>
      <c r="E2419" s="8">
        <v>52400</v>
      </c>
      <c r="F2419" s="13" t="s">
        <v>70</v>
      </c>
      <c r="G2419" s="14">
        <v>44753</v>
      </c>
      <c r="H2419" s="13" t="s">
        <v>9</v>
      </c>
    </row>
    <row r="2420" spans="1:8" ht="14.4" x14ac:dyDescent="0.3">
      <c r="A2420" s="8">
        <v>82187189</v>
      </c>
      <c r="B2420" s="11">
        <v>44747</v>
      </c>
      <c r="C2420" s="13" t="s">
        <v>3328</v>
      </c>
      <c r="D2420" s="13" t="s">
        <v>3329</v>
      </c>
      <c r="E2420" s="8">
        <v>301300</v>
      </c>
      <c r="F2420" s="13" t="s">
        <v>70</v>
      </c>
      <c r="G2420" s="14">
        <v>44748</v>
      </c>
      <c r="H2420" s="13" t="s">
        <v>9</v>
      </c>
    </row>
    <row r="2421" spans="1:8" ht="14.4" x14ac:dyDescent="0.3">
      <c r="A2421" s="8">
        <v>82187190</v>
      </c>
      <c r="B2421" s="11">
        <v>44747</v>
      </c>
      <c r="C2421" s="13" t="s">
        <v>3330</v>
      </c>
      <c r="D2421" s="13" t="s">
        <v>3331</v>
      </c>
      <c r="E2421" s="8">
        <v>40000</v>
      </c>
      <c r="F2421" s="13" t="s">
        <v>70</v>
      </c>
      <c r="G2421" s="14">
        <v>44755</v>
      </c>
      <c r="H2421" s="13" t="s">
        <v>9</v>
      </c>
    </row>
    <row r="2422" spans="1:8" ht="14.4" x14ac:dyDescent="0.3">
      <c r="A2422" s="8">
        <v>82187191</v>
      </c>
      <c r="B2422" s="11">
        <v>44747</v>
      </c>
      <c r="C2422" s="13" t="s">
        <v>3126</v>
      </c>
      <c r="D2422" s="13" t="s">
        <v>3332</v>
      </c>
      <c r="E2422" s="8">
        <v>28256</v>
      </c>
      <c r="F2422" s="13" t="s">
        <v>70</v>
      </c>
      <c r="G2422" s="14">
        <v>44748</v>
      </c>
      <c r="H2422" s="13" t="s">
        <v>9</v>
      </c>
    </row>
    <row r="2423" spans="1:8" ht="14.4" x14ac:dyDescent="0.3">
      <c r="A2423" s="8">
        <v>82187192</v>
      </c>
      <c r="B2423" s="11">
        <v>44747</v>
      </c>
      <c r="C2423" s="13" t="s">
        <v>3333</v>
      </c>
      <c r="D2423" s="13" t="s">
        <v>3334</v>
      </c>
      <c r="E2423" s="8">
        <v>8000</v>
      </c>
      <c r="F2423" s="13" t="s">
        <v>70</v>
      </c>
      <c r="G2423" s="14">
        <v>44755</v>
      </c>
      <c r="H2423" s="13" t="s">
        <v>9</v>
      </c>
    </row>
    <row r="2424" spans="1:8" ht="14.4" x14ac:dyDescent="0.3">
      <c r="A2424" s="8">
        <v>82187193</v>
      </c>
      <c r="B2424" s="11">
        <v>44747</v>
      </c>
      <c r="C2424" s="13" t="s">
        <v>3335</v>
      </c>
      <c r="D2424" s="13" t="s">
        <v>3336</v>
      </c>
      <c r="E2424" s="8">
        <v>15000</v>
      </c>
      <c r="F2424" s="13" t="s">
        <v>70</v>
      </c>
      <c r="G2424" s="14">
        <v>44748</v>
      </c>
      <c r="H2424" s="13" t="s">
        <v>9</v>
      </c>
    </row>
    <row r="2425" spans="1:8" ht="14.4" x14ac:dyDescent="0.3">
      <c r="A2425" s="8">
        <v>82187194</v>
      </c>
      <c r="B2425" s="11">
        <v>44747</v>
      </c>
      <c r="C2425" s="13" t="s">
        <v>2684</v>
      </c>
      <c r="D2425" s="13" t="s">
        <v>3337</v>
      </c>
      <c r="E2425" s="8">
        <v>9000</v>
      </c>
      <c r="F2425" s="13" t="s">
        <v>70</v>
      </c>
      <c r="G2425" s="14">
        <v>44749</v>
      </c>
      <c r="H2425" s="13" t="s">
        <v>9</v>
      </c>
    </row>
    <row r="2426" spans="1:8" ht="14.4" x14ac:dyDescent="0.3">
      <c r="A2426" s="8">
        <v>82187195</v>
      </c>
      <c r="B2426" s="11">
        <v>44748</v>
      </c>
      <c r="C2426" s="13" t="s">
        <v>180</v>
      </c>
      <c r="D2426" s="13" t="s">
        <v>901</v>
      </c>
      <c r="E2426" s="8">
        <v>34949.269999999997</v>
      </c>
      <c r="F2426" s="13" t="s">
        <v>70</v>
      </c>
      <c r="G2426" s="14">
        <v>44748</v>
      </c>
      <c r="H2426" s="13" t="s">
        <v>9</v>
      </c>
    </row>
    <row r="2427" spans="1:8" ht="14.4" x14ac:dyDescent="0.3">
      <c r="A2427" s="8">
        <v>82187196</v>
      </c>
      <c r="B2427" s="11">
        <v>44748</v>
      </c>
      <c r="C2427" s="13" t="s">
        <v>156</v>
      </c>
      <c r="D2427" s="13" t="s">
        <v>3338</v>
      </c>
      <c r="E2427" s="8">
        <v>18567.02</v>
      </c>
      <c r="F2427" s="13" t="s">
        <v>70</v>
      </c>
      <c r="G2427" s="14">
        <v>44749</v>
      </c>
      <c r="H2427" s="13" t="s">
        <v>9</v>
      </c>
    </row>
    <row r="2428" spans="1:8" ht="14.4" x14ac:dyDescent="0.3">
      <c r="A2428" s="8">
        <v>82187197</v>
      </c>
      <c r="B2428" s="11">
        <v>44748</v>
      </c>
      <c r="C2428" s="13" t="s">
        <v>184</v>
      </c>
      <c r="D2428" s="13" t="s">
        <v>3339</v>
      </c>
      <c r="E2428" s="8">
        <v>201840.59</v>
      </c>
      <c r="F2428" s="13" t="s">
        <v>70</v>
      </c>
      <c r="G2428" s="14">
        <v>44749</v>
      </c>
      <c r="H2428" s="13" t="s">
        <v>9</v>
      </c>
    </row>
    <row r="2429" spans="1:8" ht="14.4" x14ac:dyDescent="0.3">
      <c r="A2429" s="8">
        <v>82187198</v>
      </c>
      <c r="B2429" s="11">
        <v>44748</v>
      </c>
      <c r="C2429" s="13" t="s">
        <v>184</v>
      </c>
      <c r="D2429" s="13" t="s">
        <v>3340</v>
      </c>
      <c r="E2429" s="8">
        <v>297689.99</v>
      </c>
      <c r="F2429" s="13" t="s">
        <v>70</v>
      </c>
      <c r="G2429" s="14">
        <v>44749</v>
      </c>
      <c r="H2429" s="13" t="s">
        <v>9</v>
      </c>
    </row>
    <row r="2430" spans="1:8" ht="14.4" x14ac:dyDescent="0.3">
      <c r="A2430" s="8">
        <v>82187199</v>
      </c>
      <c r="B2430" s="11">
        <v>44748</v>
      </c>
      <c r="C2430" s="13" t="s">
        <v>186</v>
      </c>
      <c r="D2430" s="13" t="s">
        <v>3341</v>
      </c>
      <c r="E2430" s="8">
        <v>252471.75</v>
      </c>
      <c r="F2430" s="13" t="s">
        <v>70</v>
      </c>
      <c r="G2430" s="14">
        <v>44749</v>
      </c>
      <c r="H2430" s="13" t="s">
        <v>9</v>
      </c>
    </row>
    <row r="2431" spans="1:8" ht="14.4" x14ac:dyDescent="0.3">
      <c r="A2431" s="8">
        <v>82187200</v>
      </c>
      <c r="B2431" s="11">
        <v>44748</v>
      </c>
      <c r="C2431" s="13" t="s">
        <v>235</v>
      </c>
      <c r="D2431" s="13" t="s">
        <v>3342</v>
      </c>
      <c r="E2431" s="8">
        <v>428855</v>
      </c>
      <c r="F2431" s="13" t="s">
        <v>70</v>
      </c>
      <c r="G2431" s="14">
        <v>44749</v>
      </c>
      <c r="H2431" s="13" t="s">
        <v>9</v>
      </c>
    </row>
    <row r="2432" spans="1:8" ht="14.4" x14ac:dyDescent="0.3">
      <c r="A2432" s="8">
        <v>82187201</v>
      </c>
      <c r="B2432" s="11">
        <v>44748</v>
      </c>
      <c r="C2432" s="13" t="s">
        <v>188</v>
      </c>
      <c r="D2432" s="13" t="s">
        <v>3343</v>
      </c>
      <c r="E2432" s="8">
        <v>124608</v>
      </c>
      <c r="F2432" s="13" t="s">
        <v>70</v>
      </c>
      <c r="G2432" s="14">
        <v>44749</v>
      </c>
      <c r="H2432" s="13" t="s">
        <v>9</v>
      </c>
    </row>
    <row r="2433" spans="1:8" ht="14.4" x14ac:dyDescent="0.3">
      <c r="A2433" s="8">
        <v>82187202</v>
      </c>
      <c r="B2433" s="11">
        <v>44748</v>
      </c>
      <c r="C2433" s="13" t="s">
        <v>44</v>
      </c>
      <c r="D2433" s="13" t="s">
        <v>3344</v>
      </c>
      <c r="E2433" s="8">
        <v>3795.73</v>
      </c>
      <c r="F2433" s="13" t="s">
        <v>70</v>
      </c>
      <c r="G2433" s="14">
        <v>44771</v>
      </c>
      <c r="H2433" s="13" t="s">
        <v>9</v>
      </c>
    </row>
    <row r="2434" spans="1:8" ht="14.4" x14ac:dyDescent="0.3">
      <c r="A2434" s="8">
        <v>82187203</v>
      </c>
      <c r="B2434" s="11">
        <v>44748</v>
      </c>
      <c r="C2434" s="13" t="s">
        <v>44</v>
      </c>
      <c r="D2434" s="13" t="s">
        <v>3345</v>
      </c>
      <c r="E2434" s="8">
        <v>12075</v>
      </c>
      <c r="F2434" s="13" t="s">
        <v>70</v>
      </c>
      <c r="G2434" s="14">
        <v>44771</v>
      </c>
      <c r="H2434" s="13" t="s">
        <v>9</v>
      </c>
    </row>
    <row r="2435" spans="1:8" ht="14.4" x14ac:dyDescent="0.3">
      <c r="A2435" s="8">
        <v>82187204</v>
      </c>
      <c r="B2435" s="11">
        <v>44748</v>
      </c>
      <c r="C2435" s="13" t="s">
        <v>44</v>
      </c>
      <c r="D2435" s="13" t="s">
        <v>3346</v>
      </c>
      <c r="E2435" s="8">
        <v>12075</v>
      </c>
      <c r="F2435" s="13" t="s">
        <v>70</v>
      </c>
      <c r="G2435" s="14">
        <v>44771</v>
      </c>
      <c r="H2435" s="13" t="s">
        <v>9</v>
      </c>
    </row>
    <row r="2436" spans="1:8" ht="14.4" x14ac:dyDescent="0.3">
      <c r="A2436" s="8">
        <v>82187205</v>
      </c>
      <c r="B2436" s="11">
        <v>44748</v>
      </c>
      <c r="C2436" s="13" t="s">
        <v>44</v>
      </c>
      <c r="D2436" s="13" t="s">
        <v>3347</v>
      </c>
      <c r="E2436" s="8">
        <v>12075</v>
      </c>
      <c r="F2436" s="13" t="s">
        <v>70</v>
      </c>
      <c r="G2436" s="14">
        <v>44771</v>
      </c>
      <c r="H2436" s="13" t="s">
        <v>9</v>
      </c>
    </row>
    <row r="2437" spans="1:8" ht="14.4" x14ac:dyDescent="0.3">
      <c r="A2437" s="8">
        <v>82187206</v>
      </c>
      <c r="B2437" s="11">
        <v>44748</v>
      </c>
      <c r="C2437" s="13" t="s">
        <v>44</v>
      </c>
      <c r="D2437" s="13" t="s">
        <v>3348</v>
      </c>
      <c r="E2437" s="8">
        <v>12075</v>
      </c>
      <c r="F2437" s="13" t="s">
        <v>70</v>
      </c>
      <c r="G2437" s="14">
        <v>44771</v>
      </c>
      <c r="H2437" s="13" t="s">
        <v>9</v>
      </c>
    </row>
    <row r="2438" spans="1:8" ht="14.4" x14ac:dyDescent="0.3">
      <c r="A2438" s="8">
        <v>82187207</v>
      </c>
      <c r="B2438" s="11">
        <v>44748</v>
      </c>
      <c r="C2438" s="13" t="s">
        <v>44</v>
      </c>
      <c r="D2438" s="13" t="s">
        <v>3349</v>
      </c>
      <c r="E2438" s="8">
        <v>4032.96</v>
      </c>
      <c r="F2438" s="13" t="s">
        <v>70</v>
      </c>
      <c r="G2438" s="14">
        <v>44750</v>
      </c>
      <c r="H2438" s="13" t="s">
        <v>9</v>
      </c>
    </row>
    <row r="2439" spans="1:8" ht="14.4" x14ac:dyDescent="0.3">
      <c r="A2439" s="8">
        <v>82187208</v>
      </c>
      <c r="B2439" s="11">
        <v>44748</v>
      </c>
      <c r="C2439" s="13" t="s">
        <v>3350</v>
      </c>
      <c r="D2439" s="13" t="s">
        <v>3351</v>
      </c>
      <c r="E2439" s="8">
        <v>2343.75</v>
      </c>
      <c r="F2439" s="13" t="s">
        <v>70</v>
      </c>
      <c r="G2439" s="14">
        <v>44764</v>
      </c>
      <c r="H2439" s="13" t="s">
        <v>9</v>
      </c>
    </row>
    <row r="2440" spans="1:8" ht="14.4" x14ac:dyDescent="0.3">
      <c r="A2440" s="8">
        <v>82187209</v>
      </c>
      <c r="B2440" s="11">
        <v>44748</v>
      </c>
      <c r="C2440" s="13" t="s">
        <v>44</v>
      </c>
      <c r="D2440" s="13" t="s">
        <v>3352</v>
      </c>
      <c r="E2440" s="8">
        <v>1062.48</v>
      </c>
      <c r="F2440" s="13" t="s">
        <v>70</v>
      </c>
      <c r="G2440" s="14">
        <v>44771</v>
      </c>
      <c r="H2440" s="13" t="s">
        <v>9</v>
      </c>
    </row>
    <row r="2441" spans="1:8" ht="14.4" x14ac:dyDescent="0.3">
      <c r="A2441" s="8">
        <v>82187210</v>
      </c>
      <c r="B2441" s="11">
        <v>44748</v>
      </c>
      <c r="C2441" s="13" t="s">
        <v>44</v>
      </c>
      <c r="D2441" s="13" t="s">
        <v>3353</v>
      </c>
      <c r="E2441" s="8">
        <v>12075</v>
      </c>
      <c r="F2441" s="13" t="s">
        <v>70</v>
      </c>
      <c r="G2441" s="14">
        <v>44771</v>
      </c>
      <c r="H2441" s="13" t="s">
        <v>9</v>
      </c>
    </row>
    <row r="2442" spans="1:8" ht="14.4" x14ac:dyDescent="0.3">
      <c r="A2442" s="8">
        <v>82187211</v>
      </c>
      <c r="B2442" s="11">
        <v>44748</v>
      </c>
      <c r="C2442" s="13" t="s">
        <v>44</v>
      </c>
      <c r="D2442" s="13" t="s">
        <v>3354</v>
      </c>
      <c r="E2442" s="8">
        <v>2190.41</v>
      </c>
      <c r="F2442" s="13" t="s">
        <v>70</v>
      </c>
      <c r="G2442" s="14">
        <v>44771</v>
      </c>
      <c r="H2442" s="13" t="s">
        <v>9</v>
      </c>
    </row>
    <row r="2443" spans="1:8" ht="14.4" x14ac:dyDescent="0.3">
      <c r="A2443" s="8">
        <v>82187212</v>
      </c>
      <c r="B2443" s="11">
        <v>44748</v>
      </c>
      <c r="C2443" s="13" t="s">
        <v>697</v>
      </c>
      <c r="D2443" s="13" t="s">
        <v>3355</v>
      </c>
      <c r="E2443" s="8">
        <v>5732.7</v>
      </c>
      <c r="F2443" s="13" t="s">
        <v>70</v>
      </c>
      <c r="G2443" s="14">
        <v>44750</v>
      </c>
      <c r="H2443" s="13" t="s">
        <v>9</v>
      </c>
    </row>
    <row r="2444" spans="1:8" ht="14.4" x14ac:dyDescent="0.3">
      <c r="A2444" s="8">
        <v>82187214</v>
      </c>
      <c r="B2444" s="11">
        <v>44748</v>
      </c>
      <c r="C2444" s="13" t="s">
        <v>695</v>
      </c>
      <c r="D2444" s="13" t="s">
        <v>3356</v>
      </c>
      <c r="E2444" s="8">
        <v>820.5</v>
      </c>
      <c r="F2444" s="13" t="s">
        <v>70</v>
      </c>
      <c r="G2444" s="14">
        <v>44750</v>
      </c>
      <c r="H2444" s="13" t="s">
        <v>9</v>
      </c>
    </row>
    <row r="2445" spans="1:8" ht="14.4" x14ac:dyDescent="0.3">
      <c r="A2445" s="8">
        <v>82187215</v>
      </c>
      <c r="B2445" s="11">
        <v>44748</v>
      </c>
      <c r="C2445" s="13" t="s">
        <v>74</v>
      </c>
      <c r="D2445" s="13" t="s">
        <v>3357</v>
      </c>
      <c r="E2445" s="8">
        <v>27000</v>
      </c>
      <c r="F2445" s="13" t="s">
        <v>70</v>
      </c>
      <c r="G2445" s="14">
        <v>44761</v>
      </c>
      <c r="H2445" s="13" t="s">
        <v>9</v>
      </c>
    </row>
    <row r="2446" spans="1:8" ht="14.4" x14ac:dyDescent="0.3">
      <c r="A2446" s="8">
        <v>82187216</v>
      </c>
      <c r="B2446" s="11">
        <v>44748</v>
      </c>
      <c r="C2446" s="13" t="s">
        <v>3358</v>
      </c>
      <c r="D2446" s="13" t="s">
        <v>3359</v>
      </c>
      <c r="E2446" s="8">
        <v>10000</v>
      </c>
      <c r="F2446" s="13" t="s">
        <v>70</v>
      </c>
      <c r="G2446" s="14">
        <v>44755</v>
      </c>
      <c r="H2446" s="13" t="s">
        <v>9</v>
      </c>
    </row>
    <row r="2447" spans="1:8" ht="14.4" x14ac:dyDescent="0.3">
      <c r="A2447" s="8">
        <v>82187217</v>
      </c>
      <c r="B2447" s="11">
        <v>44748</v>
      </c>
      <c r="C2447" s="13" t="s">
        <v>3360</v>
      </c>
      <c r="D2447" s="13" t="s">
        <v>3361</v>
      </c>
      <c r="E2447" s="8">
        <v>20000</v>
      </c>
      <c r="F2447" s="13" t="s">
        <v>70</v>
      </c>
      <c r="G2447" s="14">
        <v>44755</v>
      </c>
      <c r="H2447" s="13" t="s">
        <v>9</v>
      </c>
    </row>
    <row r="2448" spans="1:8" ht="14.4" x14ac:dyDescent="0.3">
      <c r="A2448" s="8">
        <v>82187218</v>
      </c>
      <c r="B2448" s="11">
        <v>44748</v>
      </c>
      <c r="C2448" s="13" t="s">
        <v>3362</v>
      </c>
      <c r="D2448" s="13" t="s">
        <v>3363</v>
      </c>
      <c r="E2448" s="8">
        <v>8000</v>
      </c>
      <c r="F2448" s="13" t="s">
        <v>70</v>
      </c>
      <c r="G2448" s="14">
        <v>44755</v>
      </c>
      <c r="H2448" s="13" t="s">
        <v>9</v>
      </c>
    </row>
    <row r="2449" spans="1:8" ht="14.4" x14ac:dyDescent="0.3">
      <c r="A2449" s="8">
        <v>82187219</v>
      </c>
      <c r="B2449" s="11">
        <v>44748</v>
      </c>
      <c r="C2449" s="13" t="s">
        <v>3364</v>
      </c>
      <c r="D2449" s="13" t="s">
        <v>3365</v>
      </c>
      <c r="E2449" s="8">
        <v>18000</v>
      </c>
      <c r="F2449" s="13" t="s">
        <v>70</v>
      </c>
      <c r="G2449" s="14">
        <v>44755</v>
      </c>
      <c r="H2449" s="13" t="s">
        <v>9</v>
      </c>
    </row>
    <row r="2450" spans="1:8" ht="14.4" x14ac:dyDescent="0.3">
      <c r="A2450" s="8">
        <v>82187220</v>
      </c>
      <c r="B2450" s="11">
        <v>44748</v>
      </c>
      <c r="C2450" s="13" t="s">
        <v>3366</v>
      </c>
      <c r="D2450" s="13" t="s">
        <v>3367</v>
      </c>
      <c r="E2450" s="8">
        <v>23900</v>
      </c>
      <c r="F2450" s="13" t="s">
        <v>70</v>
      </c>
      <c r="G2450" s="14">
        <v>44754</v>
      </c>
      <c r="H2450" s="13" t="s">
        <v>9</v>
      </c>
    </row>
    <row r="2451" spans="1:8" ht="14.4" x14ac:dyDescent="0.3">
      <c r="A2451" s="8">
        <v>82187221</v>
      </c>
      <c r="B2451" s="11">
        <v>44748</v>
      </c>
      <c r="C2451" s="13" t="s">
        <v>3368</v>
      </c>
      <c r="D2451" s="13" t="s">
        <v>3369</v>
      </c>
      <c r="E2451" s="8">
        <v>11500</v>
      </c>
      <c r="F2451" s="13" t="s">
        <v>70</v>
      </c>
      <c r="G2451" s="14">
        <v>44755</v>
      </c>
      <c r="H2451" s="13" t="s">
        <v>9</v>
      </c>
    </row>
    <row r="2452" spans="1:8" ht="14.4" x14ac:dyDescent="0.3">
      <c r="A2452" s="8">
        <v>82187222</v>
      </c>
      <c r="B2452" s="11">
        <v>44748</v>
      </c>
      <c r="C2452" s="13" t="s">
        <v>3370</v>
      </c>
      <c r="D2452" s="13" t="s">
        <v>3371</v>
      </c>
      <c r="E2452" s="8">
        <v>28522.06</v>
      </c>
      <c r="F2452" s="13" t="s">
        <v>70</v>
      </c>
      <c r="G2452" s="14">
        <v>44749</v>
      </c>
      <c r="H2452" s="13" t="s">
        <v>9</v>
      </c>
    </row>
    <row r="2453" spans="1:8" ht="14.4" x14ac:dyDescent="0.3">
      <c r="A2453" s="8">
        <v>82187223</v>
      </c>
      <c r="B2453" s="11">
        <v>44748</v>
      </c>
      <c r="C2453" s="13" t="s">
        <v>3113</v>
      </c>
      <c r="D2453" s="13" t="s">
        <v>3372</v>
      </c>
      <c r="E2453" s="8">
        <v>300000000</v>
      </c>
      <c r="F2453" s="13" t="s">
        <v>70</v>
      </c>
      <c r="G2453" s="14">
        <v>44749</v>
      </c>
      <c r="H2453" s="13" t="s">
        <v>9</v>
      </c>
    </row>
    <row r="2454" spans="1:8" ht="14.4" x14ac:dyDescent="0.3">
      <c r="A2454" s="8">
        <v>82187224</v>
      </c>
      <c r="B2454" s="11">
        <v>44748</v>
      </c>
      <c r="C2454" s="13" t="s">
        <v>180</v>
      </c>
      <c r="D2454" s="13" t="s">
        <v>901</v>
      </c>
      <c r="E2454" s="8">
        <v>263939.99</v>
      </c>
      <c r="F2454" s="13" t="s">
        <v>70</v>
      </c>
      <c r="G2454" s="14">
        <v>44749</v>
      </c>
      <c r="H2454" s="13" t="s">
        <v>9</v>
      </c>
    </row>
    <row r="2455" spans="1:8" ht="14.4" x14ac:dyDescent="0.3">
      <c r="A2455" s="8">
        <v>82187225</v>
      </c>
      <c r="B2455" s="11">
        <v>44749</v>
      </c>
      <c r="C2455" s="13" t="s">
        <v>1286</v>
      </c>
      <c r="D2455" s="13" t="s">
        <v>3373</v>
      </c>
      <c r="E2455" s="15">
        <v>12652.75</v>
      </c>
      <c r="F2455" s="13" t="s">
        <v>70</v>
      </c>
      <c r="G2455" s="14">
        <v>44750</v>
      </c>
      <c r="H2455" s="13" t="s">
        <v>9</v>
      </c>
    </row>
    <row r="2456" spans="1:8" ht="14.4" x14ac:dyDescent="0.3">
      <c r="A2456" s="8">
        <v>82187226</v>
      </c>
      <c r="B2456" s="11">
        <v>44749</v>
      </c>
      <c r="C2456" s="13" t="s">
        <v>748</v>
      </c>
      <c r="D2456" s="13" t="s">
        <v>3374</v>
      </c>
      <c r="E2456" s="8">
        <v>4687.5</v>
      </c>
      <c r="F2456" s="13" t="s">
        <v>70</v>
      </c>
      <c r="G2456" s="14">
        <v>44753</v>
      </c>
      <c r="H2456" s="13" t="s">
        <v>9</v>
      </c>
    </row>
    <row r="2457" spans="1:8" ht="14.4" x14ac:dyDescent="0.3">
      <c r="A2457" s="8">
        <v>82187227</v>
      </c>
      <c r="B2457" s="11">
        <v>44749</v>
      </c>
      <c r="C2457" s="13" t="s">
        <v>44</v>
      </c>
      <c r="D2457" s="13" t="s">
        <v>3375</v>
      </c>
      <c r="E2457" s="8">
        <v>2979.55</v>
      </c>
      <c r="F2457" s="13" t="s">
        <v>70</v>
      </c>
      <c r="G2457" s="14">
        <v>44771</v>
      </c>
      <c r="H2457" s="13" t="s">
        <v>9</v>
      </c>
    </row>
    <row r="2458" spans="1:8" ht="14.4" x14ac:dyDescent="0.3">
      <c r="A2458" s="8">
        <v>82187228</v>
      </c>
      <c r="B2458" s="11">
        <v>44749</v>
      </c>
      <c r="C2458" s="13" t="s">
        <v>44</v>
      </c>
      <c r="D2458" s="13" t="s">
        <v>3376</v>
      </c>
      <c r="E2458" s="8">
        <v>2530.3000000000002</v>
      </c>
      <c r="F2458" s="13" t="s">
        <v>70</v>
      </c>
      <c r="G2458" s="14">
        <v>44762</v>
      </c>
      <c r="H2458" s="13" t="s">
        <v>9</v>
      </c>
    </row>
    <row r="2459" spans="1:8" ht="14.4" x14ac:dyDescent="0.3">
      <c r="A2459" s="8">
        <v>82187229</v>
      </c>
      <c r="B2459" s="11">
        <v>44749</v>
      </c>
      <c r="C2459" s="13" t="s">
        <v>277</v>
      </c>
      <c r="D2459" s="13" t="s">
        <v>3377</v>
      </c>
      <c r="E2459" s="8">
        <v>9598</v>
      </c>
      <c r="F2459" s="13" t="s">
        <v>70</v>
      </c>
      <c r="G2459" s="14">
        <v>44750</v>
      </c>
      <c r="H2459" s="13" t="s">
        <v>9</v>
      </c>
    </row>
    <row r="2460" spans="1:8" ht="14.4" x14ac:dyDescent="0.3">
      <c r="A2460" s="8">
        <v>82187230</v>
      </c>
      <c r="B2460" s="11">
        <v>44749</v>
      </c>
      <c r="C2460" s="13" t="s">
        <v>1670</v>
      </c>
      <c r="D2460" s="13" t="s">
        <v>2421</v>
      </c>
      <c r="E2460" s="8">
        <v>11214</v>
      </c>
      <c r="F2460" s="13" t="s">
        <v>70</v>
      </c>
      <c r="G2460" s="14">
        <v>44757</v>
      </c>
      <c r="H2460" s="13" t="s">
        <v>9</v>
      </c>
    </row>
    <row r="2461" spans="1:8" ht="14.4" x14ac:dyDescent="0.3">
      <c r="A2461" s="8">
        <v>82187231</v>
      </c>
      <c r="B2461" s="11">
        <v>44749</v>
      </c>
      <c r="C2461" s="13" t="s">
        <v>3378</v>
      </c>
      <c r="D2461" s="13" t="s">
        <v>3379</v>
      </c>
      <c r="E2461" s="8">
        <v>15102.9</v>
      </c>
      <c r="F2461" s="13" t="s">
        <v>70</v>
      </c>
      <c r="G2461" s="14">
        <v>44770</v>
      </c>
      <c r="H2461" s="13" t="s">
        <v>9</v>
      </c>
    </row>
    <row r="2462" spans="1:8" ht="14.4" x14ac:dyDescent="0.3">
      <c r="A2462" s="8">
        <v>82187232</v>
      </c>
      <c r="B2462" s="11">
        <v>44749</v>
      </c>
      <c r="C2462" s="13" t="s">
        <v>1573</v>
      </c>
      <c r="D2462" s="13" t="s">
        <v>3380</v>
      </c>
      <c r="E2462" s="8">
        <v>21229</v>
      </c>
      <c r="F2462" s="13" t="s">
        <v>70</v>
      </c>
      <c r="G2462" s="14">
        <v>44750</v>
      </c>
      <c r="H2462" s="13" t="s">
        <v>9</v>
      </c>
    </row>
    <row r="2463" spans="1:8" ht="14.4" x14ac:dyDescent="0.3">
      <c r="A2463" s="8">
        <v>82187234</v>
      </c>
      <c r="B2463" s="11">
        <v>44749</v>
      </c>
      <c r="C2463" s="13" t="s">
        <v>3381</v>
      </c>
      <c r="D2463" s="13" t="s">
        <v>3382</v>
      </c>
      <c r="E2463" s="8">
        <v>68186.649999999994</v>
      </c>
      <c r="F2463" s="13" t="s">
        <v>70</v>
      </c>
      <c r="G2463" s="14">
        <v>44750</v>
      </c>
      <c r="H2463" s="13" t="s">
        <v>9</v>
      </c>
    </row>
    <row r="2464" spans="1:8" ht="14.4" x14ac:dyDescent="0.3">
      <c r="A2464" s="8">
        <v>82187235</v>
      </c>
      <c r="B2464" s="11">
        <v>44749</v>
      </c>
      <c r="C2464" s="13" t="s">
        <v>124</v>
      </c>
      <c r="D2464" s="13" t="s">
        <v>3383</v>
      </c>
      <c r="E2464" s="8">
        <v>190.9</v>
      </c>
      <c r="F2464" s="13" t="s">
        <v>70</v>
      </c>
      <c r="G2464" s="14">
        <v>44750</v>
      </c>
      <c r="H2464" s="13" t="s">
        <v>9</v>
      </c>
    </row>
    <row r="2465" spans="1:8" ht="14.4" x14ac:dyDescent="0.3">
      <c r="A2465" s="8">
        <v>82187236</v>
      </c>
      <c r="B2465" s="11">
        <v>44749</v>
      </c>
      <c r="C2465" s="13" t="s">
        <v>43</v>
      </c>
      <c r="D2465" s="13" t="s">
        <v>3384</v>
      </c>
      <c r="E2465" s="8">
        <v>507841.32</v>
      </c>
      <c r="F2465" s="13" t="s">
        <v>70</v>
      </c>
      <c r="G2465" s="14">
        <v>44755</v>
      </c>
      <c r="H2465" s="13" t="s">
        <v>9</v>
      </c>
    </row>
    <row r="2466" spans="1:8" ht="14.4" x14ac:dyDescent="0.3">
      <c r="A2466" s="8">
        <v>82187237</v>
      </c>
      <c r="B2466" s="11">
        <v>44749</v>
      </c>
      <c r="C2466" s="13" t="s">
        <v>43</v>
      </c>
      <c r="D2466" s="13" t="s">
        <v>3385</v>
      </c>
      <c r="E2466" s="8">
        <v>125066.91</v>
      </c>
      <c r="F2466" s="13" t="s">
        <v>70</v>
      </c>
      <c r="G2466" s="14">
        <v>44755</v>
      </c>
      <c r="H2466" s="13" t="s">
        <v>9</v>
      </c>
    </row>
    <row r="2467" spans="1:8" ht="14.4" x14ac:dyDescent="0.3">
      <c r="A2467" s="8">
        <v>82187238</v>
      </c>
      <c r="B2467" s="11">
        <v>44749</v>
      </c>
      <c r="C2467" s="13" t="s">
        <v>1286</v>
      </c>
      <c r="D2467" s="13" t="s">
        <v>3386</v>
      </c>
      <c r="E2467" s="8">
        <v>314988.46000000002</v>
      </c>
      <c r="F2467" s="13" t="s">
        <v>70</v>
      </c>
      <c r="G2467" s="14">
        <v>44750</v>
      </c>
      <c r="H2467" s="13" t="s">
        <v>9</v>
      </c>
    </row>
    <row r="2468" spans="1:8" ht="14.4" x14ac:dyDescent="0.3">
      <c r="A2468" s="8">
        <v>82187239</v>
      </c>
      <c r="B2468" s="11">
        <v>44749</v>
      </c>
      <c r="C2468" s="13" t="s">
        <v>1536</v>
      </c>
      <c r="D2468" s="13" t="s">
        <v>3387</v>
      </c>
      <c r="E2468" s="8">
        <v>20000</v>
      </c>
      <c r="F2468" s="13" t="s">
        <v>70</v>
      </c>
      <c r="G2468" s="14">
        <v>44749</v>
      </c>
      <c r="H2468" s="13" t="s">
        <v>9</v>
      </c>
    </row>
    <row r="2469" spans="1:8" ht="14.4" x14ac:dyDescent="0.3">
      <c r="A2469" s="8">
        <v>82187240</v>
      </c>
      <c r="B2469" s="11">
        <v>44749</v>
      </c>
      <c r="C2469" s="13" t="s">
        <v>159</v>
      </c>
      <c r="D2469" s="13" t="s">
        <v>3388</v>
      </c>
      <c r="E2469" s="8">
        <v>362800</v>
      </c>
      <c r="F2469" s="13" t="s">
        <v>70</v>
      </c>
      <c r="G2469" s="14">
        <v>44750</v>
      </c>
      <c r="H2469" s="13" t="s">
        <v>9</v>
      </c>
    </row>
    <row r="2470" spans="1:8" ht="14.4" x14ac:dyDescent="0.3">
      <c r="A2470" s="8">
        <v>82187241</v>
      </c>
      <c r="B2470" s="11">
        <v>44749</v>
      </c>
      <c r="C2470" s="13" t="s">
        <v>158</v>
      </c>
      <c r="D2470" s="13" t="s">
        <v>3389</v>
      </c>
      <c r="E2470" s="8">
        <v>21500</v>
      </c>
      <c r="F2470" s="13" t="s">
        <v>70</v>
      </c>
      <c r="G2470" s="14">
        <v>44749</v>
      </c>
      <c r="H2470" s="13" t="s">
        <v>9</v>
      </c>
    </row>
    <row r="2471" spans="1:8" ht="14.4" x14ac:dyDescent="0.3">
      <c r="A2471" s="8">
        <v>82187242</v>
      </c>
      <c r="B2471" s="11">
        <v>44749</v>
      </c>
      <c r="C2471" s="13" t="s">
        <v>2571</v>
      </c>
      <c r="D2471" s="13" t="s">
        <v>3390</v>
      </c>
      <c r="E2471" s="8">
        <v>383743.44</v>
      </c>
      <c r="F2471" s="13" t="s">
        <v>70</v>
      </c>
      <c r="G2471" s="14">
        <v>44753</v>
      </c>
      <c r="H2471" s="13" t="s">
        <v>9</v>
      </c>
    </row>
    <row r="2472" spans="1:8" ht="14.4" x14ac:dyDescent="0.3">
      <c r="A2472" s="8">
        <v>82187243</v>
      </c>
      <c r="B2472" s="11">
        <v>44749</v>
      </c>
      <c r="C2472" s="13" t="s">
        <v>127</v>
      </c>
      <c r="D2472" s="13" t="s">
        <v>3391</v>
      </c>
      <c r="E2472" s="8">
        <v>21294.65</v>
      </c>
      <c r="F2472" s="13" t="s">
        <v>70</v>
      </c>
      <c r="G2472" s="14">
        <v>44764</v>
      </c>
      <c r="H2472" s="13" t="s">
        <v>9</v>
      </c>
    </row>
    <row r="2473" spans="1:8" ht="14.4" x14ac:dyDescent="0.3">
      <c r="A2473" s="8">
        <v>82187244</v>
      </c>
      <c r="B2473" s="11">
        <v>44749</v>
      </c>
      <c r="C2473" s="13" t="s">
        <v>14</v>
      </c>
      <c r="D2473" s="13" t="s">
        <v>15</v>
      </c>
      <c r="E2473" s="8">
        <v>494000</v>
      </c>
      <c r="F2473" s="13" t="s">
        <v>70</v>
      </c>
      <c r="G2473" s="14">
        <v>44809</v>
      </c>
      <c r="H2473" s="13" t="s">
        <v>9</v>
      </c>
    </row>
    <row r="2474" spans="1:8" ht="14.4" x14ac:dyDescent="0.3">
      <c r="A2474" s="8">
        <v>82187245</v>
      </c>
      <c r="B2474" s="11">
        <v>44749</v>
      </c>
      <c r="C2474" s="13" t="s">
        <v>3392</v>
      </c>
      <c r="D2474" s="13" t="s">
        <v>3393</v>
      </c>
      <c r="E2474" s="8">
        <v>2156</v>
      </c>
      <c r="F2474" s="13" t="s">
        <v>70</v>
      </c>
      <c r="G2474" s="14">
        <v>44755</v>
      </c>
      <c r="H2474" s="13" t="s">
        <v>9</v>
      </c>
    </row>
    <row r="2475" spans="1:8" ht="14.4" x14ac:dyDescent="0.3">
      <c r="A2475" s="8">
        <v>82187246</v>
      </c>
      <c r="B2475" s="11">
        <v>44749</v>
      </c>
      <c r="C2475" s="13" t="s">
        <v>65</v>
      </c>
      <c r="D2475" s="13" t="s">
        <v>3394</v>
      </c>
      <c r="E2475" s="8">
        <v>67778.7</v>
      </c>
      <c r="F2475" s="13" t="s">
        <v>70</v>
      </c>
      <c r="G2475" s="14">
        <v>44756</v>
      </c>
      <c r="H2475" s="13" t="s">
        <v>9</v>
      </c>
    </row>
    <row r="2476" spans="1:8" ht="14.4" x14ac:dyDescent="0.3">
      <c r="A2476" s="8">
        <v>82187247</v>
      </c>
      <c r="B2476" s="11">
        <v>44749</v>
      </c>
      <c r="C2476" s="13" t="s">
        <v>405</v>
      </c>
      <c r="D2476" s="13" t="s">
        <v>3395</v>
      </c>
      <c r="E2476" s="8">
        <v>17092.03</v>
      </c>
      <c r="F2476" s="13" t="s">
        <v>70</v>
      </c>
      <c r="G2476" s="14">
        <v>44755</v>
      </c>
      <c r="H2476" s="13" t="s">
        <v>9</v>
      </c>
    </row>
    <row r="2477" spans="1:8" ht="14.4" x14ac:dyDescent="0.3">
      <c r="A2477" s="8">
        <v>82187248</v>
      </c>
      <c r="B2477" s="11">
        <v>44749</v>
      </c>
      <c r="C2477" s="13" t="s">
        <v>405</v>
      </c>
      <c r="D2477" s="13" t="s">
        <v>3396</v>
      </c>
      <c r="E2477" s="8">
        <v>28126.86</v>
      </c>
      <c r="F2477" s="13" t="s">
        <v>70</v>
      </c>
      <c r="G2477" s="14">
        <v>44755</v>
      </c>
      <c r="H2477" s="13" t="s">
        <v>9</v>
      </c>
    </row>
    <row r="2478" spans="1:8" ht="14.4" x14ac:dyDescent="0.3">
      <c r="A2478" s="8">
        <v>82187249</v>
      </c>
      <c r="B2478" s="11">
        <v>44749</v>
      </c>
      <c r="C2478" s="13" t="s">
        <v>25</v>
      </c>
      <c r="D2478" s="13" t="s">
        <v>3397</v>
      </c>
      <c r="E2478" s="8">
        <v>8517.85</v>
      </c>
      <c r="F2478" s="13" t="s">
        <v>70</v>
      </c>
      <c r="G2478" s="14">
        <v>44753</v>
      </c>
      <c r="H2478" s="13" t="s">
        <v>9</v>
      </c>
    </row>
    <row r="2479" spans="1:8" ht="14.4" x14ac:dyDescent="0.3">
      <c r="A2479" s="8">
        <v>82187250</v>
      </c>
      <c r="B2479" s="11">
        <v>44749</v>
      </c>
      <c r="C2479" s="13" t="s">
        <v>1524</v>
      </c>
      <c r="D2479" s="13" t="s">
        <v>3398</v>
      </c>
      <c r="E2479" s="8">
        <v>64566.74</v>
      </c>
      <c r="F2479" s="13" t="s">
        <v>70</v>
      </c>
      <c r="G2479" s="14">
        <v>44750</v>
      </c>
      <c r="H2479" s="13" t="s">
        <v>9</v>
      </c>
    </row>
    <row r="2480" spans="1:8" ht="14.4" x14ac:dyDescent="0.3">
      <c r="A2480" s="8">
        <v>82187251</v>
      </c>
      <c r="B2480" s="11">
        <v>44749</v>
      </c>
      <c r="C2480" s="13" t="s">
        <v>1524</v>
      </c>
      <c r="D2480" s="13" t="s">
        <v>3399</v>
      </c>
      <c r="E2480" s="8">
        <v>96920.35</v>
      </c>
      <c r="F2480" s="13" t="s">
        <v>70</v>
      </c>
      <c r="G2480" s="14">
        <v>44750</v>
      </c>
      <c r="H2480" s="13" t="s">
        <v>9</v>
      </c>
    </row>
    <row r="2481" spans="1:8" ht="14.4" x14ac:dyDescent="0.3">
      <c r="A2481" s="8">
        <v>82187252</v>
      </c>
      <c r="B2481" s="11">
        <v>44749</v>
      </c>
      <c r="C2481" s="13" t="s">
        <v>85</v>
      </c>
      <c r="D2481" s="13" t="s">
        <v>3400</v>
      </c>
      <c r="E2481" s="8">
        <v>52500</v>
      </c>
      <c r="F2481" s="13" t="s">
        <v>70</v>
      </c>
      <c r="G2481" s="14">
        <v>44753</v>
      </c>
      <c r="H2481" s="13" t="s">
        <v>9</v>
      </c>
    </row>
    <row r="2482" spans="1:8" ht="14.4" x14ac:dyDescent="0.3">
      <c r="A2482" s="8">
        <v>82187253</v>
      </c>
      <c r="B2482" s="11">
        <v>44749</v>
      </c>
      <c r="C2482" s="13" t="s">
        <v>3401</v>
      </c>
      <c r="D2482" s="13" t="s">
        <v>3402</v>
      </c>
      <c r="E2482" s="8">
        <v>10000</v>
      </c>
      <c r="F2482" s="13" t="s">
        <v>70</v>
      </c>
      <c r="G2482" s="14">
        <v>44753</v>
      </c>
      <c r="H2482" s="13" t="s">
        <v>9</v>
      </c>
    </row>
    <row r="2483" spans="1:8" ht="14.4" x14ac:dyDescent="0.3">
      <c r="A2483" s="8">
        <v>82187254</v>
      </c>
      <c r="B2483" s="11">
        <v>44749</v>
      </c>
      <c r="C2483" s="13" t="s">
        <v>3403</v>
      </c>
      <c r="D2483" s="13" t="s">
        <v>2413</v>
      </c>
      <c r="E2483" s="8">
        <v>11000</v>
      </c>
      <c r="F2483" s="13" t="s">
        <v>70</v>
      </c>
      <c r="G2483" s="14">
        <v>44760</v>
      </c>
      <c r="H2483" s="13" t="s">
        <v>9</v>
      </c>
    </row>
    <row r="2484" spans="1:8" ht="14.4" x14ac:dyDescent="0.3">
      <c r="A2484" s="8">
        <v>82187255</v>
      </c>
      <c r="B2484" s="11">
        <v>44749</v>
      </c>
      <c r="C2484" s="13" t="s">
        <v>3404</v>
      </c>
      <c r="D2484" s="13" t="s">
        <v>2413</v>
      </c>
      <c r="E2484" s="8">
        <v>11000</v>
      </c>
      <c r="F2484" s="13" t="s">
        <v>70</v>
      </c>
      <c r="G2484" s="14">
        <v>44762</v>
      </c>
      <c r="H2484" s="13" t="s">
        <v>9</v>
      </c>
    </row>
    <row r="2485" spans="1:8" ht="14.4" x14ac:dyDescent="0.3">
      <c r="A2485" s="8">
        <v>82187256</v>
      </c>
      <c r="B2485" s="11">
        <v>44749</v>
      </c>
      <c r="C2485" s="13" t="s">
        <v>3405</v>
      </c>
      <c r="D2485" s="13" t="s">
        <v>2413</v>
      </c>
      <c r="E2485" s="8">
        <v>11000</v>
      </c>
      <c r="F2485" s="13" t="s">
        <v>70</v>
      </c>
      <c r="G2485" s="14">
        <v>44763</v>
      </c>
      <c r="H2485" s="13" t="s">
        <v>9</v>
      </c>
    </row>
    <row r="2486" spans="1:8" ht="14.4" x14ac:dyDescent="0.3">
      <c r="A2486" s="8">
        <v>82187257</v>
      </c>
      <c r="B2486" s="11">
        <v>44749</v>
      </c>
      <c r="C2486" s="13" t="s">
        <v>3406</v>
      </c>
      <c r="D2486" s="13" t="s">
        <v>2413</v>
      </c>
      <c r="E2486" s="8">
        <v>11000</v>
      </c>
      <c r="F2486" s="13" t="s">
        <v>70</v>
      </c>
      <c r="G2486" s="14">
        <v>44769</v>
      </c>
      <c r="H2486" s="13" t="s">
        <v>9</v>
      </c>
    </row>
    <row r="2487" spans="1:8" ht="14.4" x14ac:dyDescent="0.3">
      <c r="A2487" s="8">
        <v>82187258</v>
      </c>
      <c r="B2487" s="11">
        <v>44749</v>
      </c>
      <c r="C2487" s="13" t="s">
        <v>295</v>
      </c>
      <c r="D2487" s="13" t="s">
        <v>3407</v>
      </c>
      <c r="E2487" s="8">
        <v>20000</v>
      </c>
      <c r="F2487" s="13" t="s">
        <v>70</v>
      </c>
      <c r="G2487" s="14">
        <v>44763</v>
      </c>
      <c r="H2487" s="13" t="s">
        <v>9</v>
      </c>
    </row>
    <row r="2488" spans="1:8" ht="14.4" x14ac:dyDescent="0.3">
      <c r="A2488" s="8">
        <v>82187259</v>
      </c>
      <c r="B2488" s="11">
        <v>44749</v>
      </c>
      <c r="C2488" s="13" t="s">
        <v>2401</v>
      </c>
      <c r="D2488" s="13" t="s">
        <v>3407</v>
      </c>
      <c r="E2488" s="8">
        <v>6000</v>
      </c>
      <c r="F2488" s="13" t="s">
        <v>70</v>
      </c>
      <c r="G2488" s="14">
        <v>44760</v>
      </c>
      <c r="H2488" s="13" t="s">
        <v>9</v>
      </c>
    </row>
    <row r="2489" spans="1:8" ht="14.4" x14ac:dyDescent="0.3">
      <c r="A2489" s="8">
        <v>82187260</v>
      </c>
      <c r="B2489" s="11">
        <v>44749</v>
      </c>
      <c r="C2489" s="13" t="s">
        <v>298</v>
      </c>
      <c r="D2489" s="13" t="s">
        <v>3407</v>
      </c>
      <c r="E2489" s="8">
        <v>5000</v>
      </c>
      <c r="F2489" s="13" t="s">
        <v>70</v>
      </c>
      <c r="G2489" s="14">
        <v>44785</v>
      </c>
      <c r="H2489" s="13" t="s">
        <v>9</v>
      </c>
    </row>
    <row r="2490" spans="1:8" ht="14.4" x14ac:dyDescent="0.3">
      <c r="A2490" s="8">
        <v>82187261</v>
      </c>
      <c r="B2490" s="11">
        <v>44749</v>
      </c>
      <c r="C2490" s="13" t="s">
        <v>299</v>
      </c>
      <c r="D2490" s="13" t="s">
        <v>3407</v>
      </c>
      <c r="E2490" s="8">
        <v>3000</v>
      </c>
      <c r="F2490" s="13" t="s">
        <v>70</v>
      </c>
      <c r="G2490" s="14">
        <v>44757</v>
      </c>
      <c r="H2490" s="13" t="s">
        <v>9</v>
      </c>
    </row>
    <row r="2491" spans="1:8" ht="14.4" x14ac:dyDescent="0.3">
      <c r="A2491" s="8">
        <v>82187262</v>
      </c>
      <c r="B2491" s="11">
        <v>44749</v>
      </c>
      <c r="C2491" s="13" t="s">
        <v>3408</v>
      </c>
      <c r="D2491" s="13" t="s">
        <v>3409</v>
      </c>
      <c r="E2491" s="8">
        <v>20000</v>
      </c>
      <c r="F2491" s="13" t="s">
        <v>70</v>
      </c>
      <c r="G2491" s="14">
        <v>44755</v>
      </c>
      <c r="H2491" s="13" t="s">
        <v>9</v>
      </c>
    </row>
    <row r="2492" spans="1:8" ht="14.4" x14ac:dyDescent="0.3">
      <c r="A2492" s="8">
        <v>82187263</v>
      </c>
      <c r="B2492" s="11">
        <v>44749</v>
      </c>
      <c r="C2492" s="13" t="s">
        <v>3410</v>
      </c>
      <c r="D2492" s="13" t="s">
        <v>3411</v>
      </c>
      <c r="E2492" s="8">
        <v>50000</v>
      </c>
      <c r="F2492" s="13" t="s">
        <v>70</v>
      </c>
      <c r="G2492" s="14">
        <v>44755</v>
      </c>
      <c r="H2492" s="13" t="s">
        <v>9</v>
      </c>
    </row>
    <row r="2493" spans="1:8" ht="14.4" x14ac:dyDescent="0.3">
      <c r="A2493" s="8">
        <v>82187264</v>
      </c>
      <c r="B2493" s="11">
        <v>44749</v>
      </c>
      <c r="C2493" s="13" t="s">
        <v>3412</v>
      </c>
      <c r="D2493" s="13" t="s">
        <v>3413</v>
      </c>
      <c r="E2493" s="8">
        <v>12000</v>
      </c>
      <c r="F2493" s="13" t="s">
        <v>70</v>
      </c>
      <c r="G2493" s="14">
        <v>44755</v>
      </c>
      <c r="H2493" s="13" t="s">
        <v>9</v>
      </c>
    </row>
    <row r="2494" spans="1:8" ht="14.4" x14ac:dyDescent="0.3">
      <c r="A2494" s="8">
        <v>82187265</v>
      </c>
      <c r="B2494" s="11">
        <v>44749</v>
      </c>
      <c r="C2494" s="13" t="s">
        <v>3414</v>
      </c>
      <c r="D2494" s="13" t="s">
        <v>3415</v>
      </c>
      <c r="E2494" s="8">
        <v>12000</v>
      </c>
      <c r="F2494" s="13" t="s">
        <v>70</v>
      </c>
      <c r="G2494" s="14">
        <v>44761</v>
      </c>
      <c r="H2494" s="13" t="s">
        <v>9</v>
      </c>
    </row>
    <row r="2495" spans="1:8" ht="14.4" x14ac:dyDescent="0.3">
      <c r="A2495" s="8">
        <v>82187266</v>
      </c>
      <c r="B2495" s="11">
        <v>44749</v>
      </c>
      <c r="C2495" s="13" t="s">
        <v>3416</v>
      </c>
      <c r="D2495" s="13" t="s">
        <v>3417</v>
      </c>
      <c r="E2495" s="8">
        <v>36000</v>
      </c>
      <c r="F2495" s="13" t="s">
        <v>70</v>
      </c>
      <c r="G2495" s="14">
        <v>44755</v>
      </c>
      <c r="H2495" s="13" t="s">
        <v>9</v>
      </c>
    </row>
    <row r="2496" spans="1:8" ht="14.4" x14ac:dyDescent="0.3">
      <c r="A2496" s="8">
        <v>82187267</v>
      </c>
      <c r="B2496" s="11">
        <v>44749</v>
      </c>
      <c r="C2496" s="13" t="s">
        <v>3418</v>
      </c>
      <c r="D2496" s="13" t="s">
        <v>3419</v>
      </c>
      <c r="E2496" s="8">
        <v>14700</v>
      </c>
      <c r="F2496" s="13" t="s">
        <v>70</v>
      </c>
      <c r="G2496" s="14">
        <v>44756</v>
      </c>
      <c r="H2496" s="13" t="s">
        <v>9</v>
      </c>
    </row>
    <row r="2497" spans="1:8" ht="14.4" x14ac:dyDescent="0.3">
      <c r="A2497" s="8">
        <v>82187268</v>
      </c>
      <c r="B2497" s="11">
        <v>44749</v>
      </c>
      <c r="C2497" s="13" t="s">
        <v>3420</v>
      </c>
      <c r="D2497" s="13" t="s">
        <v>3421</v>
      </c>
      <c r="E2497" s="8">
        <v>14700</v>
      </c>
      <c r="F2497" s="13" t="s">
        <v>70</v>
      </c>
      <c r="G2497" s="14">
        <v>44754</v>
      </c>
      <c r="H2497" s="13" t="s">
        <v>9</v>
      </c>
    </row>
    <row r="2498" spans="1:8" ht="14.4" x14ac:dyDescent="0.3">
      <c r="A2498" s="8">
        <v>82187269</v>
      </c>
      <c r="B2498" s="11">
        <v>44749</v>
      </c>
      <c r="C2498" s="13" t="s">
        <v>3422</v>
      </c>
      <c r="D2498" s="13" t="s">
        <v>3423</v>
      </c>
      <c r="E2498" s="8">
        <v>40000</v>
      </c>
      <c r="F2498" s="13" t="s">
        <v>70</v>
      </c>
      <c r="G2498" s="14">
        <v>44763</v>
      </c>
      <c r="H2498" s="13" t="s">
        <v>9</v>
      </c>
    </row>
    <row r="2499" spans="1:8" ht="14.4" x14ac:dyDescent="0.3">
      <c r="A2499" s="8">
        <v>82187270</v>
      </c>
      <c r="B2499" s="11">
        <v>44749</v>
      </c>
      <c r="C2499" s="13" t="s">
        <v>3424</v>
      </c>
      <c r="D2499" s="13" t="s">
        <v>3425</v>
      </c>
      <c r="E2499" s="8">
        <v>7000</v>
      </c>
      <c r="F2499" s="13" t="s">
        <v>70</v>
      </c>
      <c r="G2499" s="14">
        <v>44755</v>
      </c>
      <c r="H2499" s="13" t="s">
        <v>9</v>
      </c>
    </row>
    <row r="2500" spans="1:8" ht="14.4" x14ac:dyDescent="0.3">
      <c r="A2500" s="8">
        <v>82187271</v>
      </c>
      <c r="B2500" s="11">
        <v>44749</v>
      </c>
      <c r="C2500" s="13" t="s">
        <v>3426</v>
      </c>
      <c r="D2500" s="13" t="s">
        <v>3427</v>
      </c>
      <c r="E2500" s="8">
        <v>40000</v>
      </c>
      <c r="F2500" s="13" t="s">
        <v>70</v>
      </c>
      <c r="G2500" s="14">
        <v>44756</v>
      </c>
      <c r="H2500" s="13" t="s">
        <v>9</v>
      </c>
    </row>
    <row r="2501" spans="1:8" ht="14.4" x14ac:dyDescent="0.3">
      <c r="A2501" s="8">
        <v>82187272</v>
      </c>
      <c r="B2501" s="11">
        <v>44749</v>
      </c>
      <c r="C2501" s="13" t="s">
        <v>3428</v>
      </c>
      <c r="D2501" s="13" t="s">
        <v>3429</v>
      </c>
      <c r="E2501" s="8">
        <v>8000</v>
      </c>
      <c r="F2501" s="13" t="s">
        <v>70</v>
      </c>
      <c r="G2501" s="14">
        <v>44757</v>
      </c>
      <c r="H2501" s="13" t="s">
        <v>9</v>
      </c>
    </row>
    <row r="2502" spans="1:8" ht="14.4" x14ac:dyDescent="0.3">
      <c r="A2502" s="8">
        <v>82187273</v>
      </c>
      <c r="B2502" s="11">
        <v>44749</v>
      </c>
      <c r="C2502" s="13" t="s">
        <v>3430</v>
      </c>
      <c r="D2502" s="13" t="s">
        <v>3431</v>
      </c>
      <c r="E2502" s="8">
        <v>6000</v>
      </c>
      <c r="F2502" s="13" t="s">
        <v>70</v>
      </c>
      <c r="G2502" s="14">
        <v>44756</v>
      </c>
      <c r="H2502" s="13" t="s">
        <v>9</v>
      </c>
    </row>
    <row r="2503" spans="1:8" ht="14.4" x14ac:dyDescent="0.3">
      <c r="A2503" s="8">
        <v>82187274</v>
      </c>
      <c r="B2503" s="11">
        <v>44749</v>
      </c>
      <c r="C2503" s="13" t="s">
        <v>3432</v>
      </c>
      <c r="D2503" s="13" t="s">
        <v>3433</v>
      </c>
      <c r="E2503" s="8">
        <v>23000</v>
      </c>
      <c r="F2503" s="13" t="s">
        <v>70</v>
      </c>
      <c r="G2503" s="14">
        <v>44761</v>
      </c>
      <c r="H2503" s="13" t="s">
        <v>9</v>
      </c>
    </row>
    <row r="2504" spans="1:8" ht="14.4" x14ac:dyDescent="0.3">
      <c r="A2504" s="8">
        <v>82187275</v>
      </c>
      <c r="B2504" s="11">
        <v>44749</v>
      </c>
      <c r="C2504" s="13" t="s">
        <v>3434</v>
      </c>
      <c r="D2504" s="13" t="s">
        <v>3435</v>
      </c>
      <c r="E2504" s="8">
        <v>150</v>
      </c>
      <c r="F2504" s="13" t="s">
        <v>70</v>
      </c>
      <c r="G2504" s="14">
        <v>44760</v>
      </c>
      <c r="H2504" s="13" t="s">
        <v>9</v>
      </c>
    </row>
    <row r="2505" spans="1:8" ht="14.4" x14ac:dyDescent="0.3">
      <c r="A2505" s="8">
        <v>82187276</v>
      </c>
      <c r="B2505" s="11">
        <v>44749</v>
      </c>
      <c r="C2505" s="13" t="s">
        <v>3434</v>
      </c>
      <c r="D2505" s="13" t="s">
        <v>3436</v>
      </c>
      <c r="E2505" s="8">
        <v>150</v>
      </c>
      <c r="F2505" s="13" t="s">
        <v>70</v>
      </c>
      <c r="G2505" s="14">
        <v>44760</v>
      </c>
      <c r="H2505" s="13" t="s">
        <v>9</v>
      </c>
    </row>
    <row r="2506" spans="1:8" ht="14.4" x14ac:dyDescent="0.3">
      <c r="A2506" s="8">
        <v>82187277</v>
      </c>
      <c r="B2506" s="11">
        <v>44749</v>
      </c>
      <c r="C2506" s="13" t="s">
        <v>1286</v>
      </c>
      <c r="D2506" s="13" t="s">
        <v>3437</v>
      </c>
      <c r="E2506" s="8">
        <v>12559.69</v>
      </c>
      <c r="F2506" s="13" t="s">
        <v>70</v>
      </c>
      <c r="G2506" s="14">
        <v>44750</v>
      </c>
      <c r="H2506" s="13" t="s">
        <v>9</v>
      </c>
    </row>
    <row r="2507" spans="1:8" ht="14.4" x14ac:dyDescent="0.3">
      <c r="A2507" s="8">
        <v>82187278</v>
      </c>
      <c r="B2507" s="11">
        <v>44749</v>
      </c>
      <c r="C2507" s="13" t="s">
        <v>1569</v>
      </c>
      <c r="D2507" s="13" t="s">
        <v>3438</v>
      </c>
      <c r="E2507" s="8">
        <v>72330.63</v>
      </c>
      <c r="F2507" s="13" t="s">
        <v>70</v>
      </c>
      <c r="G2507" s="14">
        <v>44754</v>
      </c>
      <c r="H2507" s="13" t="s">
        <v>9</v>
      </c>
    </row>
    <row r="2508" spans="1:8" ht="14.4" x14ac:dyDescent="0.3">
      <c r="A2508" s="8">
        <v>82187279</v>
      </c>
      <c r="B2508" s="11">
        <v>44749</v>
      </c>
      <c r="C2508" s="13" t="s">
        <v>2583</v>
      </c>
      <c r="D2508" s="13" t="s">
        <v>3439</v>
      </c>
      <c r="E2508" s="8">
        <v>58066.87</v>
      </c>
      <c r="F2508" s="13" t="s">
        <v>70</v>
      </c>
      <c r="G2508" s="14">
        <v>44750</v>
      </c>
      <c r="H2508" s="13" t="s">
        <v>9</v>
      </c>
    </row>
    <row r="2509" spans="1:8" ht="14.4" x14ac:dyDescent="0.3">
      <c r="A2509" s="8">
        <v>82187280</v>
      </c>
      <c r="B2509" s="11">
        <v>44749</v>
      </c>
      <c r="C2509" s="13" t="s">
        <v>1606</v>
      </c>
      <c r="D2509" s="13" t="s">
        <v>3440</v>
      </c>
      <c r="E2509" s="8">
        <v>20000</v>
      </c>
      <c r="F2509" s="13" t="s">
        <v>70</v>
      </c>
      <c r="G2509" s="14">
        <v>44754</v>
      </c>
      <c r="H2509" s="13" t="s">
        <v>9</v>
      </c>
    </row>
    <row r="2510" spans="1:8" ht="14.4" x14ac:dyDescent="0.3">
      <c r="A2510" s="8">
        <v>82187281</v>
      </c>
      <c r="B2510" s="11">
        <v>44749</v>
      </c>
      <c r="C2510" s="13" t="s">
        <v>893</v>
      </c>
      <c r="D2510" s="13" t="s">
        <v>3441</v>
      </c>
      <c r="E2510" s="8">
        <v>274500</v>
      </c>
      <c r="F2510" s="13" t="s">
        <v>70</v>
      </c>
      <c r="G2510" s="14">
        <v>44761</v>
      </c>
      <c r="H2510" s="13" t="s">
        <v>9</v>
      </c>
    </row>
    <row r="2511" spans="1:8" ht="14.4" x14ac:dyDescent="0.3">
      <c r="A2511" s="8">
        <v>82187282</v>
      </c>
      <c r="B2511" s="11">
        <v>44749</v>
      </c>
      <c r="C2511" s="13" t="s">
        <v>265</v>
      </c>
      <c r="D2511" s="13" t="s">
        <v>3442</v>
      </c>
      <c r="E2511" s="8">
        <v>153343.17000000001</v>
      </c>
      <c r="F2511" s="13" t="s">
        <v>70</v>
      </c>
      <c r="G2511" s="14">
        <v>44753</v>
      </c>
      <c r="H2511" s="13" t="s">
        <v>9</v>
      </c>
    </row>
    <row r="2512" spans="1:8" ht="14.4" x14ac:dyDescent="0.3">
      <c r="A2512" s="8">
        <v>82187283</v>
      </c>
      <c r="B2512" s="11">
        <v>44749</v>
      </c>
      <c r="C2512" s="13" t="s">
        <v>202</v>
      </c>
      <c r="D2512" s="13" t="s">
        <v>3443</v>
      </c>
      <c r="E2512" s="8">
        <v>100405.2</v>
      </c>
      <c r="F2512" s="13" t="s">
        <v>70</v>
      </c>
      <c r="G2512" s="14">
        <v>44756</v>
      </c>
      <c r="H2512" s="13" t="s">
        <v>9</v>
      </c>
    </row>
    <row r="2513" spans="1:8" ht="14.4" x14ac:dyDescent="0.3">
      <c r="A2513" s="8">
        <v>82187284</v>
      </c>
      <c r="B2513" s="11">
        <v>44749</v>
      </c>
      <c r="C2513" s="13" t="s">
        <v>3444</v>
      </c>
      <c r="D2513" s="13" t="s">
        <v>3445</v>
      </c>
      <c r="E2513" s="8">
        <v>26992.400000000001</v>
      </c>
      <c r="F2513" s="13" t="s">
        <v>70</v>
      </c>
      <c r="G2513" s="14">
        <v>44753</v>
      </c>
      <c r="H2513" s="13" t="s">
        <v>9</v>
      </c>
    </row>
    <row r="2514" spans="1:8" ht="14.4" x14ac:dyDescent="0.3">
      <c r="A2514" s="8">
        <v>82187285</v>
      </c>
      <c r="B2514" s="11">
        <v>44749</v>
      </c>
      <c r="C2514" s="13" t="s">
        <v>245</v>
      </c>
      <c r="D2514" s="13" t="s">
        <v>3446</v>
      </c>
      <c r="E2514" s="8">
        <v>3889728.18</v>
      </c>
      <c r="F2514" s="13" t="s">
        <v>70</v>
      </c>
      <c r="G2514" s="14">
        <v>44754</v>
      </c>
      <c r="H2514" s="13" t="s">
        <v>9</v>
      </c>
    </row>
    <row r="2515" spans="1:8" ht="14.4" x14ac:dyDescent="0.3">
      <c r="A2515" s="8">
        <v>82187286</v>
      </c>
      <c r="B2515" s="11">
        <v>44749</v>
      </c>
      <c r="C2515" s="13" t="s">
        <v>2571</v>
      </c>
      <c r="D2515" s="13" t="s">
        <v>3447</v>
      </c>
      <c r="E2515" s="8">
        <v>6822482.9500000002</v>
      </c>
      <c r="F2515" s="13" t="s">
        <v>70</v>
      </c>
      <c r="G2515" s="14">
        <v>44753</v>
      </c>
      <c r="H2515" s="13" t="s">
        <v>9</v>
      </c>
    </row>
    <row r="2516" spans="1:8" ht="14.4" x14ac:dyDescent="0.3">
      <c r="A2516" s="8">
        <v>82187287</v>
      </c>
      <c r="B2516" s="11">
        <v>44749</v>
      </c>
      <c r="C2516" s="13" t="s">
        <v>3448</v>
      </c>
      <c r="D2516" s="13" t="s">
        <v>3449</v>
      </c>
      <c r="E2516" s="8">
        <v>10000</v>
      </c>
      <c r="F2516" s="13" t="s">
        <v>70</v>
      </c>
      <c r="G2516" s="14">
        <v>44750</v>
      </c>
      <c r="H2516" s="13" t="s">
        <v>9</v>
      </c>
    </row>
    <row r="2517" spans="1:8" ht="14.4" x14ac:dyDescent="0.3">
      <c r="A2517" s="8">
        <v>82187288</v>
      </c>
      <c r="B2517" s="11">
        <v>44750</v>
      </c>
      <c r="C2517" s="13" t="s">
        <v>3450</v>
      </c>
      <c r="D2517" s="13" t="s">
        <v>3451</v>
      </c>
      <c r="E2517" s="8">
        <v>8534.0400000000009</v>
      </c>
      <c r="F2517" s="13" t="s">
        <v>70</v>
      </c>
      <c r="G2517" s="14">
        <v>44757</v>
      </c>
      <c r="H2517" s="13" t="s">
        <v>9</v>
      </c>
    </row>
    <row r="2518" spans="1:8" ht="14.4" x14ac:dyDescent="0.3">
      <c r="A2518" s="8">
        <v>82187289</v>
      </c>
      <c r="B2518" s="11">
        <v>44750</v>
      </c>
      <c r="C2518" s="13" t="s">
        <v>1286</v>
      </c>
      <c r="D2518" s="13" t="s">
        <v>3452</v>
      </c>
      <c r="E2518" s="8">
        <v>12916.28</v>
      </c>
      <c r="F2518" s="13" t="s">
        <v>70</v>
      </c>
      <c r="G2518" s="14">
        <v>44755</v>
      </c>
      <c r="H2518" s="13" t="s">
        <v>9</v>
      </c>
    </row>
    <row r="2519" spans="1:8" ht="14.4" x14ac:dyDescent="0.3">
      <c r="A2519" s="8">
        <v>82187290</v>
      </c>
      <c r="B2519" s="11">
        <v>44750</v>
      </c>
      <c r="C2519" s="13" t="s">
        <v>3453</v>
      </c>
      <c r="D2519" s="13" t="s">
        <v>3454</v>
      </c>
      <c r="E2519" s="8">
        <v>12500</v>
      </c>
      <c r="F2519" s="13" t="s">
        <v>70</v>
      </c>
      <c r="G2519" s="14">
        <v>44763</v>
      </c>
      <c r="H2519" s="13" t="s">
        <v>9</v>
      </c>
    </row>
    <row r="2520" spans="1:8" ht="14.4" x14ac:dyDescent="0.3">
      <c r="A2520" s="8">
        <v>82187291</v>
      </c>
      <c r="B2520" s="11">
        <v>44750</v>
      </c>
      <c r="C2520" s="13" t="s">
        <v>3455</v>
      </c>
      <c r="D2520" s="13" t="s">
        <v>3454</v>
      </c>
      <c r="E2520" s="8">
        <v>12500</v>
      </c>
      <c r="F2520" s="13" t="s">
        <v>70</v>
      </c>
      <c r="G2520" s="14">
        <v>44760</v>
      </c>
      <c r="H2520" s="13" t="s">
        <v>9</v>
      </c>
    </row>
    <row r="2521" spans="1:8" ht="14.4" x14ac:dyDescent="0.3">
      <c r="A2521" s="8">
        <v>82187292</v>
      </c>
      <c r="B2521" s="11">
        <v>44750</v>
      </c>
      <c r="C2521" s="13" t="s">
        <v>3456</v>
      </c>
      <c r="D2521" s="13" t="s">
        <v>3457</v>
      </c>
      <c r="E2521" s="8">
        <v>50000</v>
      </c>
      <c r="F2521" s="13" t="s">
        <v>70</v>
      </c>
      <c r="G2521" s="14">
        <v>44755</v>
      </c>
      <c r="H2521" s="13" t="s">
        <v>9</v>
      </c>
    </row>
    <row r="2522" spans="1:8" ht="14.4" x14ac:dyDescent="0.3">
      <c r="A2522" s="8">
        <v>82187293</v>
      </c>
      <c r="B2522" s="11">
        <v>44750</v>
      </c>
      <c r="C2522" s="13" t="s">
        <v>3458</v>
      </c>
      <c r="D2522" s="13" t="s">
        <v>3459</v>
      </c>
      <c r="E2522" s="8">
        <v>11000</v>
      </c>
      <c r="F2522" s="13" t="s">
        <v>70</v>
      </c>
      <c r="G2522" s="14">
        <v>44770</v>
      </c>
      <c r="H2522" s="13" t="s">
        <v>9</v>
      </c>
    </row>
    <row r="2523" spans="1:8" ht="14.4" x14ac:dyDescent="0.3">
      <c r="A2523" s="8">
        <v>82187294</v>
      </c>
      <c r="B2523" s="11">
        <v>44750</v>
      </c>
      <c r="C2523" s="13" t="s">
        <v>3460</v>
      </c>
      <c r="D2523" s="13" t="s">
        <v>3461</v>
      </c>
      <c r="E2523" s="8">
        <v>45000</v>
      </c>
      <c r="F2523" s="13" t="s">
        <v>70</v>
      </c>
      <c r="G2523" s="14">
        <v>44756</v>
      </c>
      <c r="H2523" s="13" t="s">
        <v>9</v>
      </c>
    </row>
    <row r="2524" spans="1:8" ht="14.4" x14ac:dyDescent="0.3">
      <c r="A2524" s="8">
        <v>82187296</v>
      </c>
      <c r="B2524" s="11">
        <v>44750</v>
      </c>
      <c r="C2524" s="13" t="s">
        <v>3462</v>
      </c>
      <c r="D2524" s="13" t="s">
        <v>3463</v>
      </c>
      <c r="E2524" s="8">
        <v>25000</v>
      </c>
      <c r="F2524" s="13" t="s">
        <v>70</v>
      </c>
      <c r="G2524" s="14">
        <v>44755</v>
      </c>
      <c r="H2524" s="13" t="s">
        <v>9</v>
      </c>
    </row>
    <row r="2525" spans="1:8" ht="14.4" x14ac:dyDescent="0.3">
      <c r="A2525" s="8">
        <v>82187297</v>
      </c>
      <c r="B2525" s="11">
        <v>44750</v>
      </c>
      <c r="C2525" s="13" t="s">
        <v>3464</v>
      </c>
      <c r="D2525" s="13" t="s">
        <v>3465</v>
      </c>
      <c r="E2525" s="8">
        <v>15000</v>
      </c>
      <c r="F2525" s="13" t="s">
        <v>70</v>
      </c>
      <c r="G2525" s="14">
        <v>44754</v>
      </c>
      <c r="H2525" s="13" t="s">
        <v>9</v>
      </c>
    </row>
    <row r="2526" spans="1:8" ht="14.4" x14ac:dyDescent="0.3">
      <c r="A2526" s="8">
        <v>82187298</v>
      </c>
      <c r="B2526" s="11">
        <v>44750</v>
      </c>
      <c r="C2526" s="13" t="s">
        <v>3466</v>
      </c>
      <c r="D2526" s="13" t="s">
        <v>3467</v>
      </c>
      <c r="E2526" s="8">
        <v>10000</v>
      </c>
      <c r="F2526" s="13" t="s">
        <v>70</v>
      </c>
      <c r="G2526" s="14">
        <v>44754</v>
      </c>
      <c r="H2526" s="13" t="s">
        <v>9</v>
      </c>
    </row>
    <row r="2527" spans="1:8" ht="14.4" x14ac:dyDescent="0.3">
      <c r="A2527" s="8">
        <v>82187299</v>
      </c>
      <c r="B2527" s="11">
        <v>44750</v>
      </c>
      <c r="C2527" s="13" t="s">
        <v>3468</v>
      </c>
      <c r="D2527" s="13" t="s">
        <v>3469</v>
      </c>
      <c r="E2527" s="8">
        <v>50000</v>
      </c>
      <c r="F2527" s="13" t="s">
        <v>70</v>
      </c>
      <c r="G2527" s="14">
        <v>44754</v>
      </c>
      <c r="H2527" s="13" t="s">
        <v>9</v>
      </c>
    </row>
    <row r="2528" spans="1:8" ht="14.4" x14ac:dyDescent="0.3">
      <c r="A2528" s="8">
        <v>82187300</v>
      </c>
      <c r="B2528" s="11">
        <v>44750</v>
      </c>
      <c r="C2528" s="13" t="s">
        <v>3470</v>
      </c>
      <c r="D2528" s="13" t="s">
        <v>3471</v>
      </c>
      <c r="E2528" s="8">
        <v>15000</v>
      </c>
      <c r="F2528" s="13" t="s">
        <v>70</v>
      </c>
      <c r="G2528" s="14">
        <v>44754</v>
      </c>
      <c r="H2528" s="13" t="s">
        <v>9</v>
      </c>
    </row>
    <row r="2529" spans="1:8" ht="14.4" x14ac:dyDescent="0.3">
      <c r="A2529" s="8">
        <v>82187301</v>
      </c>
      <c r="B2529" s="11">
        <v>44750</v>
      </c>
      <c r="C2529" s="13" t="s">
        <v>3472</v>
      </c>
      <c r="D2529" s="13" t="s">
        <v>3473</v>
      </c>
      <c r="E2529" s="8">
        <v>19000</v>
      </c>
      <c r="F2529" s="13" t="s">
        <v>70</v>
      </c>
      <c r="G2529" s="14">
        <v>44754</v>
      </c>
      <c r="H2529" s="13" t="s">
        <v>9</v>
      </c>
    </row>
    <row r="2530" spans="1:8" ht="14.4" x14ac:dyDescent="0.3">
      <c r="A2530" s="8">
        <v>82187302</v>
      </c>
      <c r="B2530" s="11">
        <v>44750</v>
      </c>
      <c r="C2530" s="13" t="s">
        <v>3474</v>
      </c>
      <c r="D2530" s="13" t="s">
        <v>3475</v>
      </c>
      <c r="E2530" s="8">
        <v>22000</v>
      </c>
      <c r="F2530" s="13" t="s">
        <v>70</v>
      </c>
      <c r="G2530" s="14">
        <v>44756</v>
      </c>
      <c r="H2530" s="13" t="s">
        <v>9</v>
      </c>
    </row>
    <row r="2531" spans="1:8" ht="14.4" x14ac:dyDescent="0.3">
      <c r="A2531" s="8">
        <v>82187303</v>
      </c>
      <c r="B2531" s="11">
        <v>44750</v>
      </c>
      <c r="C2531" s="13" t="s">
        <v>3476</v>
      </c>
      <c r="D2531" s="13" t="s">
        <v>3477</v>
      </c>
      <c r="E2531" s="8">
        <v>11500</v>
      </c>
      <c r="F2531" s="13" t="s">
        <v>70</v>
      </c>
      <c r="G2531" s="14">
        <v>44754</v>
      </c>
      <c r="H2531" s="13" t="s">
        <v>9</v>
      </c>
    </row>
    <row r="2532" spans="1:8" ht="14.4" x14ac:dyDescent="0.3">
      <c r="A2532" s="8">
        <v>82187304</v>
      </c>
      <c r="B2532" s="11">
        <v>44750</v>
      </c>
      <c r="C2532" s="13" t="s">
        <v>3478</v>
      </c>
      <c r="D2532" s="13" t="s">
        <v>3479</v>
      </c>
      <c r="E2532" s="8">
        <v>20000</v>
      </c>
      <c r="F2532" s="13" t="s">
        <v>70</v>
      </c>
      <c r="G2532" s="14">
        <v>44754</v>
      </c>
      <c r="H2532" s="13" t="s">
        <v>9</v>
      </c>
    </row>
    <row r="2533" spans="1:8" ht="14.4" x14ac:dyDescent="0.3">
      <c r="A2533" s="8">
        <v>82187305</v>
      </c>
      <c r="B2533" s="11">
        <v>44750</v>
      </c>
      <c r="C2533" s="13" t="s">
        <v>2894</v>
      </c>
      <c r="D2533" s="13" t="s">
        <v>3480</v>
      </c>
      <c r="E2533" s="8">
        <v>30000</v>
      </c>
      <c r="F2533" s="13" t="s">
        <v>70</v>
      </c>
      <c r="G2533" s="14">
        <v>44763</v>
      </c>
      <c r="H2533" s="13" t="s">
        <v>9</v>
      </c>
    </row>
    <row r="2534" spans="1:8" ht="14.4" x14ac:dyDescent="0.3">
      <c r="A2534" s="8">
        <v>82187306</v>
      </c>
      <c r="B2534" s="11">
        <v>44750</v>
      </c>
      <c r="C2534" s="13" t="s">
        <v>3481</v>
      </c>
      <c r="D2534" s="13" t="s">
        <v>3482</v>
      </c>
      <c r="E2534" s="8">
        <v>35000</v>
      </c>
      <c r="F2534" s="13" t="s">
        <v>70</v>
      </c>
      <c r="G2534" s="14">
        <v>44754</v>
      </c>
      <c r="H2534" s="13" t="s">
        <v>9</v>
      </c>
    </row>
    <row r="2535" spans="1:8" ht="14.4" x14ac:dyDescent="0.3">
      <c r="A2535" s="8">
        <v>82187307</v>
      </c>
      <c r="B2535" s="11">
        <v>44750</v>
      </c>
      <c r="C2535" s="13" t="s">
        <v>3483</v>
      </c>
      <c r="D2535" s="13" t="s">
        <v>3484</v>
      </c>
      <c r="E2535" s="8">
        <v>23000</v>
      </c>
      <c r="F2535" s="13" t="s">
        <v>70</v>
      </c>
      <c r="G2535" s="14">
        <v>44756</v>
      </c>
      <c r="H2535" s="13" t="s">
        <v>9</v>
      </c>
    </row>
    <row r="2536" spans="1:8" ht="14.4" x14ac:dyDescent="0.3">
      <c r="A2536" s="8">
        <v>82187308</v>
      </c>
      <c r="B2536" s="11">
        <v>44750</v>
      </c>
      <c r="C2536" s="13" t="s">
        <v>3485</v>
      </c>
      <c r="D2536" s="13" t="s">
        <v>3486</v>
      </c>
      <c r="E2536" s="8">
        <v>14000</v>
      </c>
      <c r="F2536" s="13" t="s">
        <v>70</v>
      </c>
      <c r="G2536" s="14">
        <v>44755</v>
      </c>
      <c r="H2536" s="13" t="s">
        <v>9</v>
      </c>
    </row>
    <row r="2537" spans="1:8" ht="14.4" x14ac:dyDescent="0.3">
      <c r="A2537" s="8">
        <v>82187309</v>
      </c>
      <c r="B2537" s="11">
        <v>44750</v>
      </c>
      <c r="C2537" s="13" t="s">
        <v>3487</v>
      </c>
      <c r="D2537" s="13" t="s">
        <v>3488</v>
      </c>
      <c r="E2537" s="8">
        <v>12000</v>
      </c>
      <c r="F2537" s="13" t="s">
        <v>70</v>
      </c>
      <c r="G2537" s="14">
        <v>44755</v>
      </c>
      <c r="H2537" s="13" t="s">
        <v>9</v>
      </c>
    </row>
    <row r="2538" spans="1:8" ht="14.4" x14ac:dyDescent="0.3">
      <c r="A2538" s="8">
        <v>82187311</v>
      </c>
      <c r="B2538" s="11">
        <v>44750</v>
      </c>
      <c r="C2538" s="13" t="s">
        <v>1716</v>
      </c>
      <c r="D2538" s="13" t="s">
        <v>3489</v>
      </c>
      <c r="E2538" s="8">
        <v>60760</v>
      </c>
      <c r="F2538" s="13" t="s">
        <v>70</v>
      </c>
      <c r="G2538" s="14">
        <v>44762</v>
      </c>
      <c r="H2538" s="13" t="s">
        <v>9</v>
      </c>
    </row>
    <row r="2539" spans="1:8" ht="14.4" x14ac:dyDescent="0.3">
      <c r="A2539" s="8">
        <v>82187312</v>
      </c>
      <c r="B2539" s="11">
        <v>44750</v>
      </c>
      <c r="C2539" s="13" t="s">
        <v>125</v>
      </c>
      <c r="D2539" s="13" t="s">
        <v>3490</v>
      </c>
      <c r="E2539" s="8">
        <v>32886</v>
      </c>
      <c r="F2539" s="13" t="s">
        <v>70</v>
      </c>
      <c r="G2539" s="14">
        <v>44767</v>
      </c>
      <c r="H2539" s="13" t="s">
        <v>9</v>
      </c>
    </row>
    <row r="2540" spans="1:8" ht="14.4" x14ac:dyDescent="0.3">
      <c r="A2540" s="8">
        <v>82187313</v>
      </c>
      <c r="B2540" s="11">
        <v>44750</v>
      </c>
      <c r="C2540" s="13" t="s">
        <v>1286</v>
      </c>
      <c r="D2540" s="13" t="s">
        <v>3491</v>
      </c>
      <c r="E2540" s="8">
        <v>9571.36</v>
      </c>
      <c r="F2540" s="13" t="s">
        <v>70</v>
      </c>
      <c r="G2540" s="14">
        <v>44755</v>
      </c>
      <c r="H2540" s="13" t="s">
        <v>9</v>
      </c>
    </row>
    <row r="2541" spans="1:8" ht="14.4" x14ac:dyDescent="0.3">
      <c r="A2541" s="8">
        <v>82187314</v>
      </c>
      <c r="B2541" s="11">
        <v>44750</v>
      </c>
      <c r="C2541" s="13" t="s">
        <v>3492</v>
      </c>
      <c r="D2541" s="13" t="s">
        <v>3493</v>
      </c>
      <c r="E2541" s="8">
        <v>5000</v>
      </c>
      <c r="F2541" s="13" t="s">
        <v>70</v>
      </c>
      <c r="G2541" s="14">
        <v>44755</v>
      </c>
      <c r="H2541" s="13" t="s">
        <v>9</v>
      </c>
    </row>
    <row r="2542" spans="1:8" ht="14.4" x14ac:dyDescent="0.3">
      <c r="A2542" s="8">
        <v>82187315</v>
      </c>
      <c r="B2542" s="11">
        <v>44750</v>
      </c>
      <c r="C2542" s="13" t="s">
        <v>1736</v>
      </c>
      <c r="D2542" s="13" t="s">
        <v>3494</v>
      </c>
      <c r="E2542" s="8">
        <v>35280</v>
      </c>
      <c r="F2542" s="13" t="s">
        <v>70</v>
      </c>
      <c r="G2542" s="14">
        <v>44754</v>
      </c>
      <c r="H2542" s="13" t="s">
        <v>9</v>
      </c>
    </row>
    <row r="2543" spans="1:8" ht="14.4" x14ac:dyDescent="0.3">
      <c r="A2543" s="8">
        <v>82187316</v>
      </c>
      <c r="B2543" s="11">
        <v>44750</v>
      </c>
      <c r="C2543" s="13" t="s">
        <v>1420</v>
      </c>
      <c r="D2543" s="13" t="s">
        <v>3495</v>
      </c>
      <c r="E2543" s="8">
        <v>609287.24</v>
      </c>
      <c r="F2543" s="13" t="s">
        <v>70</v>
      </c>
      <c r="G2543" s="14">
        <v>44757</v>
      </c>
      <c r="H2543" s="13" t="s">
        <v>9</v>
      </c>
    </row>
    <row r="2544" spans="1:8" ht="14.4" x14ac:dyDescent="0.3">
      <c r="A2544" s="8">
        <v>82187317</v>
      </c>
      <c r="B2544" s="11">
        <v>44750</v>
      </c>
      <c r="C2544" s="13" t="s">
        <v>202</v>
      </c>
      <c r="D2544" s="13" t="s">
        <v>3496</v>
      </c>
      <c r="E2544" s="8">
        <v>29150</v>
      </c>
      <c r="F2544" s="13" t="s">
        <v>70</v>
      </c>
      <c r="G2544" s="14">
        <v>44756</v>
      </c>
      <c r="H2544" s="13" t="s">
        <v>9</v>
      </c>
    </row>
    <row r="2545" spans="1:8" ht="14.4" x14ac:dyDescent="0.3">
      <c r="A2545" s="8">
        <v>82187318</v>
      </c>
      <c r="B2545" s="11">
        <v>44750</v>
      </c>
      <c r="C2545" s="13" t="s">
        <v>1524</v>
      </c>
      <c r="D2545" s="13" t="s">
        <v>3497</v>
      </c>
      <c r="E2545" s="8">
        <v>78660</v>
      </c>
      <c r="F2545" s="13" t="s">
        <v>70</v>
      </c>
      <c r="G2545" s="14">
        <v>44756</v>
      </c>
      <c r="H2545" s="13" t="s">
        <v>9</v>
      </c>
    </row>
    <row r="2546" spans="1:8" ht="14.4" x14ac:dyDescent="0.3">
      <c r="A2546" s="8">
        <v>82187319</v>
      </c>
      <c r="B2546" s="11">
        <v>44750</v>
      </c>
      <c r="C2546" s="13" t="s">
        <v>1414</v>
      </c>
      <c r="D2546" s="13" t="s">
        <v>3498</v>
      </c>
      <c r="E2546" s="8">
        <v>5880</v>
      </c>
      <c r="F2546" s="13" t="s">
        <v>70</v>
      </c>
      <c r="G2546" s="14">
        <v>44757</v>
      </c>
      <c r="H2546" s="13" t="s">
        <v>9</v>
      </c>
    </row>
    <row r="2547" spans="1:8" ht="14.4" x14ac:dyDescent="0.3">
      <c r="A2547" s="8">
        <v>82187320</v>
      </c>
      <c r="B2547" s="11">
        <v>44750</v>
      </c>
      <c r="C2547" s="13" t="s">
        <v>1946</v>
      </c>
      <c r="D2547" s="13" t="s">
        <v>3499</v>
      </c>
      <c r="E2547" s="8">
        <v>15379.46</v>
      </c>
      <c r="F2547" s="13" t="s">
        <v>70</v>
      </c>
      <c r="G2547" s="14">
        <v>44756</v>
      </c>
      <c r="H2547" s="13" t="s">
        <v>9</v>
      </c>
    </row>
    <row r="2548" spans="1:8" ht="14.4" x14ac:dyDescent="0.3">
      <c r="A2548" s="8">
        <v>82187321</v>
      </c>
      <c r="B2548" s="11">
        <v>44750</v>
      </c>
      <c r="C2548" s="13" t="s">
        <v>1941</v>
      </c>
      <c r="D2548" s="13" t="s">
        <v>3500</v>
      </c>
      <c r="E2548" s="8">
        <v>46334.55</v>
      </c>
      <c r="F2548" s="13" t="s">
        <v>70</v>
      </c>
      <c r="G2548" s="14">
        <v>44760</v>
      </c>
      <c r="H2548" s="13" t="s">
        <v>9</v>
      </c>
    </row>
    <row r="2549" spans="1:8" ht="14.4" x14ac:dyDescent="0.3">
      <c r="A2549" s="8">
        <v>82187322</v>
      </c>
      <c r="B2549" s="11">
        <v>44750</v>
      </c>
      <c r="C2549" s="13" t="s">
        <v>884</v>
      </c>
      <c r="D2549" s="13" t="s">
        <v>3501</v>
      </c>
      <c r="E2549" s="8">
        <v>37500</v>
      </c>
      <c r="F2549" s="13" t="s">
        <v>70</v>
      </c>
      <c r="G2549" s="14">
        <v>44754</v>
      </c>
      <c r="H2549" s="13" t="s">
        <v>9</v>
      </c>
    </row>
    <row r="2550" spans="1:8" ht="14.4" x14ac:dyDescent="0.3">
      <c r="A2550" s="8">
        <v>82187323</v>
      </c>
      <c r="B2550" s="11">
        <v>44750</v>
      </c>
      <c r="C2550" s="13" t="s">
        <v>405</v>
      </c>
      <c r="D2550" s="13" t="s">
        <v>3502</v>
      </c>
      <c r="E2550" s="8">
        <v>3675.89</v>
      </c>
      <c r="F2550" s="13" t="s">
        <v>70</v>
      </c>
      <c r="G2550" s="14">
        <v>44755</v>
      </c>
      <c r="H2550" s="13" t="s">
        <v>9</v>
      </c>
    </row>
    <row r="2551" spans="1:8" ht="14.4" x14ac:dyDescent="0.3">
      <c r="A2551" s="8">
        <v>82187325</v>
      </c>
      <c r="B2551" s="11">
        <v>44750</v>
      </c>
      <c r="C2551" s="13" t="s">
        <v>67</v>
      </c>
      <c r="D2551" s="13" t="s">
        <v>3503</v>
      </c>
      <c r="E2551" s="8">
        <v>153321.43</v>
      </c>
      <c r="F2551" s="13" t="s">
        <v>70</v>
      </c>
      <c r="G2551" s="14">
        <v>44754</v>
      </c>
      <c r="H2551" s="13" t="s">
        <v>9</v>
      </c>
    </row>
    <row r="2552" spans="1:8" ht="14.4" x14ac:dyDescent="0.3">
      <c r="A2552" s="8">
        <v>82187326</v>
      </c>
      <c r="B2552" s="11">
        <v>44750</v>
      </c>
      <c r="C2552" s="13" t="s">
        <v>3263</v>
      </c>
      <c r="D2552" s="13" t="s">
        <v>3504</v>
      </c>
      <c r="E2552" s="8">
        <v>28233.8</v>
      </c>
      <c r="F2552" s="13" t="s">
        <v>70</v>
      </c>
      <c r="G2552" s="14">
        <v>44764</v>
      </c>
      <c r="H2552" s="13" t="s">
        <v>9</v>
      </c>
    </row>
    <row r="2553" spans="1:8" ht="14.4" x14ac:dyDescent="0.3">
      <c r="A2553" s="8">
        <v>82187327</v>
      </c>
      <c r="B2553" s="11">
        <v>44750</v>
      </c>
      <c r="C2553" s="13" t="s">
        <v>259</v>
      </c>
      <c r="D2553" s="13" t="s">
        <v>3505</v>
      </c>
      <c r="E2553" s="8">
        <v>13780</v>
      </c>
      <c r="F2553" s="13" t="s">
        <v>70</v>
      </c>
      <c r="G2553" s="14">
        <v>44761</v>
      </c>
      <c r="H2553" s="13" t="s">
        <v>9</v>
      </c>
    </row>
    <row r="2554" spans="1:8" ht="14.4" x14ac:dyDescent="0.3">
      <c r="A2554" s="8">
        <v>82187328</v>
      </c>
      <c r="B2554" s="11">
        <v>44750</v>
      </c>
      <c r="C2554" s="13" t="s">
        <v>405</v>
      </c>
      <c r="D2554" s="13" t="s">
        <v>3506</v>
      </c>
      <c r="E2554" s="8">
        <v>28812.82</v>
      </c>
      <c r="F2554" s="13" t="s">
        <v>70</v>
      </c>
      <c r="G2554" s="14">
        <v>44755</v>
      </c>
      <c r="H2554" s="13" t="s">
        <v>9</v>
      </c>
    </row>
    <row r="2555" spans="1:8" ht="14.4" x14ac:dyDescent="0.3">
      <c r="A2555" s="8">
        <v>82187329</v>
      </c>
      <c r="B2555" s="11">
        <v>44750</v>
      </c>
      <c r="C2555" s="13" t="s">
        <v>405</v>
      </c>
      <c r="D2555" s="13" t="s">
        <v>3507</v>
      </c>
      <c r="E2555" s="8">
        <v>33094.97</v>
      </c>
      <c r="F2555" s="13" t="s">
        <v>70</v>
      </c>
      <c r="G2555" s="14">
        <v>44755</v>
      </c>
      <c r="H2555" s="13" t="s">
        <v>9</v>
      </c>
    </row>
    <row r="2556" spans="1:8" ht="14.4" x14ac:dyDescent="0.3">
      <c r="A2556" s="8">
        <v>82187330</v>
      </c>
      <c r="B2556" s="11">
        <v>44750</v>
      </c>
      <c r="C2556" s="13" t="s">
        <v>405</v>
      </c>
      <c r="D2556" s="13" t="s">
        <v>3508</v>
      </c>
      <c r="E2556" s="8">
        <v>16577.689999999999</v>
      </c>
      <c r="F2556" s="13" t="s">
        <v>70</v>
      </c>
      <c r="G2556" s="14">
        <v>44755</v>
      </c>
      <c r="H2556" s="13" t="s">
        <v>9</v>
      </c>
    </row>
    <row r="2557" spans="1:8" ht="14.4" x14ac:dyDescent="0.3">
      <c r="A2557" s="8">
        <v>82187331</v>
      </c>
      <c r="B2557" s="11">
        <v>44750</v>
      </c>
      <c r="C2557" s="13" t="s">
        <v>1522</v>
      </c>
      <c r="D2557" s="13" t="s">
        <v>3509</v>
      </c>
      <c r="E2557" s="8">
        <v>11172</v>
      </c>
      <c r="F2557" s="13" t="s">
        <v>70</v>
      </c>
      <c r="G2557" s="14">
        <v>44762</v>
      </c>
      <c r="H2557" s="13" t="s">
        <v>9</v>
      </c>
    </row>
    <row r="2558" spans="1:8" ht="14.4" x14ac:dyDescent="0.3">
      <c r="A2558" s="8">
        <v>82187332</v>
      </c>
      <c r="B2558" s="11">
        <v>44750</v>
      </c>
      <c r="C2558" s="13" t="s">
        <v>3510</v>
      </c>
      <c r="D2558" s="13" t="s">
        <v>3511</v>
      </c>
      <c r="E2558" s="8">
        <v>7864.82</v>
      </c>
      <c r="F2558" s="13" t="s">
        <v>70</v>
      </c>
      <c r="G2558" s="14">
        <v>44754</v>
      </c>
      <c r="H2558" s="13" t="s">
        <v>9</v>
      </c>
    </row>
    <row r="2559" spans="1:8" ht="14.4" x14ac:dyDescent="0.3">
      <c r="A2559" s="8">
        <v>82187333</v>
      </c>
      <c r="B2559" s="11">
        <v>44750</v>
      </c>
      <c r="C2559" s="13" t="s">
        <v>1569</v>
      </c>
      <c r="D2559" s="13" t="s">
        <v>3512</v>
      </c>
      <c r="E2559" s="8">
        <v>17537.32</v>
      </c>
      <c r="F2559" s="13" t="s">
        <v>70</v>
      </c>
      <c r="G2559" s="14">
        <v>44761</v>
      </c>
      <c r="H2559" s="13" t="s">
        <v>9</v>
      </c>
    </row>
    <row r="2560" spans="1:8" ht="14.4" x14ac:dyDescent="0.3">
      <c r="A2560" s="8">
        <v>82187334</v>
      </c>
      <c r="B2560" s="11">
        <v>44750</v>
      </c>
      <c r="C2560" s="13" t="s">
        <v>1569</v>
      </c>
      <c r="D2560" s="13" t="s">
        <v>3513</v>
      </c>
      <c r="E2560" s="8">
        <v>25250</v>
      </c>
      <c r="F2560" s="13" t="s">
        <v>70</v>
      </c>
      <c r="G2560" s="14">
        <v>44761</v>
      </c>
      <c r="H2560" s="13" t="s">
        <v>9</v>
      </c>
    </row>
    <row r="2561" spans="1:8" ht="14.4" x14ac:dyDescent="0.3">
      <c r="A2561" s="8">
        <v>82187335</v>
      </c>
      <c r="B2561" s="11">
        <v>44750</v>
      </c>
      <c r="C2561" s="13" t="s">
        <v>3514</v>
      </c>
      <c r="D2561" s="13" t="s">
        <v>3515</v>
      </c>
      <c r="E2561" s="8">
        <v>39843.75</v>
      </c>
      <c r="F2561" s="13" t="s">
        <v>70</v>
      </c>
      <c r="G2561" s="14">
        <v>44767</v>
      </c>
      <c r="H2561" s="13" t="s">
        <v>9</v>
      </c>
    </row>
    <row r="2562" spans="1:8" ht="14.4" x14ac:dyDescent="0.3">
      <c r="A2562" s="8">
        <v>82187336</v>
      </c>
      <c r="B2562" s="11">
        <v>44750</v>
      </c>
      <c r="C2562" s="13" t="s">
        <v>1581</v>
      </c>
      <c r="D2562" s="13" t="s">
        <v>3516</v>
      </c>
      <c r="E2562" s="8">
        <v>3123.22</v>
      </c>
      <c r="F2562" s="13" t="s">
        <v>70</v>
      </c>
      <c r="G2562" s="14">
        <v>44754</v>
      </c>
      <c r="H2562" s="13" t="s">
        <v>9</v>
      </c>
    </row>
    <row r="2563" spans="1:8" ht="14.4" x14ac:dyDescent="0.3">
      <c r="A2563" s="8">
        <v>82187337</v>
      </c>
      <c r="B2563" s="11">
        <v>44750</v>
      </c>
      <c r="C2563" s="13" t="s">
        <v>60</v>
      </c>
      <c r="D2563" s="13" t="s">
        <v>3517</v>
      </c>
      <c r="E2563" s="8">
        <v>25248684.09</v>
      </c>
      <c r="F2563" s="13" t="s">
        <v>70</v>
      </c>
      <c r="G2563" s="14">
        <v>44750</v>
      </c>
      <c r="H2563" s="13" t="s">
        <v>9</v>
      </c>
    </row>
    <row r="2564" spans="1:8" ht="14.4" x14ac:dyDescent="0.3">
      <c r="A2564" s="8">
        <v>82187338</v>
      </c>
      <c r="B2564" s="11">
        <v>44750</v>
      </c>
      <c r="C2564" s="13" t="s">
        <v>2701</v>
      </c>
      <c r="D2564" s="13" t="s">
        <v>3518</v>
      </c>
      <c r="E2564" s="8">
        <v>39000</v>
      </c>
      <c r="F2564" s="13" t="s">
        <v>70</v>
      </c>
      <c r="G2564" s="14">
        <v>44754</v>
      </c>
      <c r="H2564" s="13" t="s">
        <v>9</v>
      </c>
    </row>
    <row r="2565" spans="1:8" ht="14.4" x14ac:dyDescent="0.3">
      <c r="A2565" s="8">
        <v>82187339</v>
      </c>
      <c r="B2565" s="11">
        <v>44750</v>
      </c>
      <c r="C2565" s="13" t="s">
        <v>3519</v>
      </c>
      <c r="D2565" s="13" t="s">
        <v>3520</v>
      </c>
      <c r="E2565" s="8">
        <v>50000</v>
      </c>
      <c r="F2565" s="13" t="s">
        <v>70</v>
      </c>
      <c r="G2565" s="14">
        <v>44750</v>
      </c>
      <c r="H2565" s="13" t="s">
        <v>9</v>
      </c>
    </row>
    <row r="2566" spans="1:8" ht="14.4" x14ac:dyDescent="0.3">
      <c r="A2566" s="8">
        <v>82187340</v>
      </c>
      <c r="B2566" s="11">
        <v>44750</v>
      </c>
      <c r="C2566" s="13" t="s">
        <v>3521</v>
      </c>
      <c r="D2566" s="13" t="s">
        <v>3522</v>
      </c>
      <c r="E2566" s="8">
        <v>17000</v>
      </c>
      <c r="F2566" s="13" t="s">
        <v>70</v>
      </c>
      <c r="G2566" s="14">
        <v>44754</v>
      </c>
      <c r="H2566" s="13" t="s">
        <v>9</v>
      </c>
    </row>
    <row r="2567" spans="1:8" ht="14.4" x14ac:dyDescent="0.3">
      <c r="A2567" s="8">
        <v>82187341</v>
      </c>
      <c r="B2567" s="11">
        <v>44750</v>
      </c>
      <c r="C2567" s="13" t="s">
        <v>3523</v>
      </c>
      <c r="D2567" s="13" t="s">
        <v>3524</v>
      </c>
      <c r="E2567" s="8">
        <v>12936</v>
      </c>
      <c r="F2567" s="13" t="s">
        <v>70</v>
      </c>
      <c r="G2567" s="14">
        <v>44763</v>
      </c>
      <c r="H2567" s="13" t="s">
        <v>9</v>
      </c>
    </row>
    <row r="2568" spans="1:8" ht="14.4" x14ac:dyDescent="0.3">
      <c r="A2568" s="8">
        <v>82187342</v>
      </c>
      <c r="B2568" s="11">
        <v>44750</v>
      </c>
      <c r="C2568" s="13" t="s">
        <v>3525</v>
      </c>
      <c r="D2568" s="13" t="s">
        <v>3526</v>
      </c>
      <c r="E2568" s="8">
        <v>77600</v>
      </c>
      <c r="F2568" s="13" t="s">
        <v>70</v>
      </c>
      <c r="G2568" s="14">
        <v>44788</v>
      </c>
      <c r="H2568" s="13" t="s">
        <v>9</v>
      </c>
    </row>
    <row r="2569" spans="1:8" ht="14.4" x14ac:dyDescent="0.3">
      <c r="A2569" s="8">
        <v>82187343</v>
      </c>
      <c r="B2569" s="11">
        <v>44750</v>
      </c>
      <c r="C2569" s="13" t="s">
        <v>51</v>
      </c>
      <c r="D2569" s="13" t="s">
        <v>3527</v>
      </c>
      <c r="E2569" s="8">
        <v>75660</v>
      </c>
      <c r="F2569" s="13" t="s">
        <v>70</v>
      </c>
      <c r="G2569" s="14">
        <v>44760</v>
      </c>
      <c r="H2569" s="13" t="s">
        <v>9</v>
      </c>
    </row>
    <row r="2570" spans="1:8" ht="14.4" x14ac:dyDescent="0.3">
      <c r="A2570" s="8">
        <v>82187344</v>
      </c>
      <c r="B2570" s="11">
        <v>44750</v>
      </c>
      <c r="C2570" s="13" t="s">
        <v>81</v>
      </c>
      <c r="D2570" s="13" t="s">
        <v>3528</v>
      </c>
      <c r="E2570" s="8">
        <v>3000</v>
      </c>
      <c r="F2570" s="13" t="s">
        <v>70</v>
      </c>
      <c r="G2570" s="14">
        <v>44757</v>
      </c>
      <c r="H2570" s="13" t="s">
        <v>9</v>
      </c>
    </row>
    <row r="2571" spans="1:8" ht="14.4" x14ac:dyDescent="0.3">
      <c r="A2571" s="8">
        <v>82187345</v>
      </c>
      <c r="B2571" s="11">
        <v>44750</v>
      </c>
      <c r="C2571" s="13" t="s">
        <v>390</v>
      </c>
      <c r="D2571" s="13" t="s">
        <v>3529</v>
      </c>
      <c r="E2571" s="8">
        <v>20000</v>
      </c>
      <c r="F2571" s="13" t="s">
        <v>70</v>
      </c>
      <c r="G2571" s="14">
        <v>44756</v>
      </c>
      <c r="H2571" s="13" t="s">
        <v>9</v>
      </c>
    </row>
    <row r="2572" spans="1:8" ht="14.4" x14ac:dyDescent="0.3">
      <c r="A2572" s="8">
        <v>82187346</v>
      </c>
      <c r="B2572" s="11">
        <v>44750</v>
      </c>
      <c r="C2572" s="13" t="s">
        <v>3530</v>
      </c>
      <c r="D2572" s="13" t="s">
        <v>3529</v>
      </c>
      <c r="E2572" s="8">
        <v>10000</v>
      </c>
      <c r="F2572" s="13" t="s">
        <v>70</v>
      </c>
      <c r="G2572" s="14">
        <v>44756</v>
      </c>
      <c r="H2572" s="13" t="s">
        <v>9</v>
      </c>
    </row>
    <row r="2573" spans="1:8" ht="14.4" x14ac:dyDescent="0.3">
      <c r="A2573" s="8">
        <v>82187347</v>
      </c>
      <c r="B2573" s="11">
        <v>44750</v>
      </c>
      <c r="C2573" s="13" t="s">
        <v>389</v>
      </c>
      <c r="D2573" s="13" t="s">
        <v>3529</v>
      </c>
      <c r="E2573" s="8">
        <v>5000</v>
      </c>
      <c r="F2573" s="13" t="s">
        <v>70</v>
      </c>
      <c r="G2573" s="14">
        <v>44756</v>
      </c>
      <c r="H2573" s="13" t="s">
        <v>9</v>
      </c>
    </row>
    <row r="2574" spans="1:8" ht="14.4" x14ac:dyDescent="0.3">
      <c r="A2574" s="8">
        <v>82187348</v>
      </c>
      <c r="B2574" s="11">
        <v>44750</v>
      </c>
      <c r="C2574" s="13" t="s">
        <v>2399</v>
      </c>
      <c r="D2574" s="13" t="s">
        <v>3529</v>
      </c>
      <c r="E2574" s="8">
        <v>3000</v>
      </c>
      <c r="F2574" s="13" t="s">
        <v>70</v>
      </c>
      <c r="G2574" s="14">
        <v>44773</v>
      </c>
      <c r="H2574" s="13" t="s">
        <v>9</v>
      </c>
    </row>
    <row r="2575" spans="1:8" ht="14.4" x14ac:dyDescent="0.3">
      <c r="A2575" s="8">
        <v>82187350</v>
      </c>
      <c r="B2575" s="11">
        <v>44750</v>
      </c>
      <c r="C2575" s="13" t="s">
        <v>606</v>
      </c>
      <c r="D2575" s="13" t="s">
        <v>3531</v>
      </c>
      <c r="E2575" s="8">
        <v>10000</v>
      </c>
      <c r="F2575" s="13" t="s">
        <v>70</v>
      </c>
      <c r="G2575" s="14">
        <v>44761</v>
      </c>
      <c r="H2575" s="13" t="s">
        <v>9</v>
      </c>
    </row>
    <row r="2576" spans="1:8" ht="14.4" x14ac:dyDescent="0.3">
      <c r="A2576" s="8">
        <v>82187351</v>
      </c>
      <c r="B2576" s="11">
        <v>44750</v>
      </c>
      <c r="C2576" s="13" t="s">
        <v>528</v>
      </c>
      <c r="D2576" s="13" t="s">
        <v>3531</v>
      </c>
      <c r="E2576" s="8">
        <v>5000</v>
      </c>
      <c r="F2576" s="13" t="s">
        <v>70</v>
      </c>
      <c r="G2576" s="14">
        <v>44761</v>
      </c>
      <c r="H2576" s="13" t="s">
        <v>9</v>
      </c>
    </row>
    <row r="2577" spans="1:8" ht="14.4" x14ac:dyDescent="0.3">
      <c r="A2577" s="8">
        <v>82187353</v>
      </c>
      <c r="B2577" s="11">
        <v>44750</v>
      </c>
      <c r="C2577" s="13" t="s">
        <v>390</v>
      </c>
      <c r="D2577" s="13" t="s">
        <v>3532</v>
      </c>
      <c r="E2577" s="8">
        <v>20000</v>
      </c>
      <c r="F2577" s="13" t="s">
        <v>70</v>
      </c>
      <c r="G2577" s="14">
        <v>44756</v>
      </c>
      <c r="H2577" s="13" t="s">
        <v>9</v>
      </c>
    </row>
    <row r="2578" spans="1:8" ht="14.4" x14ac:dyDescent="0.3">
      <c r="A2578" s="8">
        <v>82187354</v>
      </c>
      <c r="B2578" s="11">
        <v>44750</v>
      </c>
      <c r="C2578" s="13" t="s">
        <v>392</v>
      </c>
      <c r="D2578" s="13" t="s">
        <v>3532</v>
      </c>
      <c r="E2578" s="8">
        <v>10000</v>
      </c>
      <c r="F2578" s="13" t="s">
        <v>70</v>
      </c>
      <c r="G2578" s="14">
        <v>44756</v>
      </c>
      <c r="H2578" s="13" t="s">
        <v>9</v>
      </c>
    </row>
    <row r="2579" spans="1:8" ht="14.4" x14ac:dyDescent="0.3">
      <c r="A2579" s="8">
        <v>82187355</v>
      </c>
      <c r="B2579" s="11">
        <v>44750</v>
      </c>
      <c r="C2579" s="13" t="s">
        <v>393</v>
      </c>
      <c r="D2579" s="13" t="s">
        <v>3532</v>
      </c>
      <c r="E2579" s="8">
        <v>5000</v>
      </c>
      <c r="F2579" s="13" t="s">
        <v>70</v>
      </c>
      <c r="G2579" s="14">
        <v>44756</v>
      </c>
      <c r="H2579" s="13" t="s">
        <v>9</v>
      </c>
    </row>
    <row r="2580" spans="1:8" ht="14.4" x14ac:dyDescent="0.3">
      <c r="A2580" s="8">
        <v>82187356</v>
      </c>
      <c r="B2580" s="11">
        <v>44750</v>
      </c>
      <c r="C2580" s="13" t="s">
        <v>394</v>
      </c>
      <c r="D2580" s="13" t="s">
        <v>3532</v>
      </c>
      <c r="E2580" s="8">
        <v>3000</v>
      </c>
      <c r="F2580" s="13" t="s">
        <v>70</v>
      </c>
      <c r="G2580" s="14">
        <v>44756</v>
      </c>
      <c r="H2580" s="13" t="s">
        <v>9</v>
      </c>
    </row>
    <row r="2581" spans="1:8" ht="14.4" x14ac:dyDescent="0.3">
      <c r="A2581" s="8">
        <v>82187357</v>
      </c>
      <c r="B2581" s="11">
        <v>44750</v>
      </c>
      <c r="C2581" s="13" t="s">
        <v>79</v>
      </c>
      <c r="D2581" s="13" t="s">
        <v>3528</v>
      </c>
      <c r="E2581" s="8">
        <v>20000</v>
      </c>
      <c r="F2581" s="13" t="s">
        <v>70</v>
      </c>
      <c r="G2581" s="14">
        <v>44757</v>
      </c>
      <c r="H2581" s="13" t="s">
        <v>9</v>
      </c>
    </row>
    <row r="2582" spans="1:8" ht="14.4" x14ac:dyDescent="0.3">
      <c r="A2582" s="8">
        <v>82187358</v>
      </c>
      <c r="B2582" s="11">
        <v>44750</v>
      </c>
      <c r="C2582" s="13" t="s">
        <v>80</v>
      </c>
      <c r="D2582" s="13" t="s">
        <v>3528</v>
      </c>
      <c r="E2582" s="8">
        <v>10000</v>
      </c>
      <c r="F2582" s="13" t="s">
        <v>70</v>
      </c>
      <c r="G2582" s="14">
        <v>44757</v>
      </c>
      <c r="H2582" s="13" t="s">
        <v>9</v>
      </c>
    </row>
    <row r="2583" spans="1:8" ht="14.4" x14ac:dyDescent="0.3">
      <c r="A2583" s="8">
        <v>82187359</v>
      </c>
      <c r="B2583" s="11">
        <v>44750</v>
      </c>
      <c r="C2583" s="13" t="s">
        <v>1286</v>
      </c>
      <c r="D2583" s="13" t="s">
        <v>3533</v>
      </c>
      <c r="E2583" s="8">
        <v>17074.8</v>
      </c>
      <c r="F2583" s="13" t="s">
        <v>70</v>
      </c>
      <c r="G2583" s="14">
        <v>44755</v>
      </c>
      <c r="H2583" s="13" t="s">
        <v>9</v>
      </c>
    </row>
    <row r="2584" spans="1:8" ht="14.4" x14ac:dyDescent="0.3">
      <c r="A2584" s="8">
        <v>82187360</v>
      </c>
      <c r="B2584" s="11">
        <v>44750</v>
      </c>
      <c r="C2584" s="13" t="s">
        <v>1286</v>
      </c>
      <c r="D2584" s="13" t="s">
        <v>3534</v>
      </c>
      <c r="E2584" s="8">
        <v>7685.59</v>
      </c>
      <c r="F2584" s="13" t="s">
        <v>70</v>
      </c>
      <c r="G2584" s="14">
        <v>44755</v>
      </c>
      <c r="H2584" s="13" t="s">
        <v>9</v>
      </c>
    </row>
    <row r="2585" spans="1:8" ht="14.4" x14ac:dyDescent="0.3">
      <c r="A2585" s="8">
        <v>82187361</v>
      </c>
      <c r="B2585" s="11">
        <v>44750</v>
      </c>
      <c r="C2585" s="13" t="s">
        <v>1286</v>
      </c>
      <c r="D2585" s="13" t="s">
        <v>3535</v>
      </c>
      <c r="E2585" s="8">
        <v>3926.26</v>
      </c>
      <c r="F2585" s="13" t="s">
        <v>70</v>
      </c>
      <c r="G2585" s="14">
        <v>44755</v>
      </c>
      <c r="H2585" s="13" t="s">
        <v>9</v>
      </c>
    </row>
    <row r="2586" spans="1:8" ht="14.4" x14ac:dyDescent="0.3">
      <c r="A2586" s="8">
        <v>82187362</v>
      </c>
      <c r="B2586" s="11">
        <v>44750</v>
      </c>
      <c r="C2586" s="13" t="s">
        <v>3536</v>
      </c>
      <c r="D2586" s="13" t="s">
        <v>3537</v>
      </c>
      <c r="E2586" s="8">
        <v>20000</v>
      </c>
      <c r="F2586" s="13" t="s">
        <v>70</v>
      </c>
      <c r="G2586" s="14">
        <v>44754</v>
      </c>
      <c r="H2586" s="13" t="s">
        <v>9</v>
      </c>
    </row>
    <row r="2587" spans="1:8" ht="14.4" x14ac:dyDescent="0.3">
      <c r="A2587" s="8">
        <v>82187363</v>
      </c>
      <c r="B2587" s="11">
        <v>44750</v>
      </c>
      <c r="C2587" s="13" t="s">
        <v>3538</v>
      </c>
      <c r="D2587" s="13" t="s">
        <v>3539</v>
      </c>
      <c r="E2587" s="8">
        <v>6000</v>
      </c>
      <c r="F2587" s="13" t="s">
        <v>70</v>
      </c>
      <c r="G2587" s="14">
        <v>44753</v>
      </c>
      <c r="H2587" s="13" t="s">
        <v>9</v>
      </c>
    </row>
    <row r="2588" spans="1:8" ht="14.4" x14ac:dyDescent="0.3">
      <c r="A2588" s="8">
        <v>82187364</v>
      </c>
      <c r="B2588" s="11">
        <v>44750</v>
      </c>
      <c r="C2588" s="13" t="s">
        <v>50</v>
      </c>
      <c r="D2588" s="13" t="s">
        <v>3540</v>
      </c>
      <c r="E2588" s="8">
        <v>10000</v>
      </c>
      <c r="F2588" s="13" t="s">
        <v>70</v>
      </c>
      <c r="G2588" s="14">
        <v>44753</v>
      </c>
      <c r="H2588" s="13" t="s">
        <v>9</v>
      </c>
    </row>
    <row r="2589" spans="1:8" ht="14.4" x14ac:dyDescent="0.3">
      <c r="A2589" s="8">
        <v>82187365</v>
      </c>
      <c r="B2589" s="11">
        <v>44750</v>
      </c>
      <c r="C2589" s="13" t="s">
        <v>3541</v>
      </c>
      <c r="D2589" s="13" t="s">
        <v>3542</v>
      </c>
      <c r="E2589" s="8">
        <v>35000</v>
      </c>
      <c r="F2589" s="13" t="s">
        <v>70</v>
      </c>
      <c r="G2589" s="14">
        <v>44754</v>
      </c>
      <c r="H2589" s="13" t="s">
        <v>9</v>
      </c>
    </row>
    <row r="2590" spans="1:8" ht="14.4" x14ac:dyDescent="0.3">
      <c r="A2590" s="8">
        <v>82187366</v>
      </c>
      <c r="B2590" s="11">
        <v>44750</v>
      </c>
      <c r="C2590" s="13" t="s">
        <v>3543</v>
      </c>
      <c r="D2590" s="13" t="s">
        <v>3544</v>
      </c>
      <c r="E2590" s="8">
        <v>11000</v>
      </c>
      <c r="F2590" s="13" t="s">
        <v>70</v>
      </c>
      <c r="G2590" s="14">
        <v>44754</v>
      </c>
      <c r="H2590" s="13" t="s">
        <v>9</v>
      </c>
    </row>
    <row r="2591" spans="1:8" ht="14.4" x14ac:dyDescent="0.3">
      <c r="A2591" s="8">
        <v>82187367</v>
      </c>
      <c r="B2591" s="11">
        <v>44750</v>
      </c>
      <c r="C2591" s="13" t="s">
        <v>3545</v>
      </c>
      <c r="D2591" s="13" t="s">
        <v>3546</v>
      </c>
      <c r="E2591" s="8">
        <v>20000</v>
      </c>
      <c r="F2591" s="13" t="s">
        <v>70</v>
      </c>
      <c r="G2591" s="14">
        <v>44755</v>
      </c>
      <c r="H2591" s="13" t="s">
        <v>9</v>
      </c>
    </row>
    <row r="2592" spans="1:8" ht="14.4" x14ac:dyDescent="0.3">
      <c r="A2592" s="8">
        <v>82187368</v>
      </c>
      <c r="B2592" s="11">
        <v>44750</v>
      </c>
      <c r="C2592" s="13" t="s">
        <v>3547</v>
      </c>
      <c r="D2592" s="13" t="s">
        <v>3548</v>
      </c>
      <c r="E2592" s="8">
        <v>10000</v>
      </c>
      <c r="F2592" s="13" t="s">
        <v>70</v>
      </c>
      <c r="G2592" s="14">
        <v>44754</v>
      </c>
      <c r="H2592" s="13" t="s">
        <v>9</v>
      </c>
    </row>
    <row r="2593" spans="1:8" ht="14.4" x14ac:dyDescent="0.3">
      <c r="A2593" s="8">
        <v>82187369</v>
      </c>
      <c r="B2593" s="11">
        <v>44750</v>
      </c>
      <c r="C2593" s="13" t="s">
        <v>3549</v>
      </c>
      <c r="D2593" s="13" t="s">
        <v>3550</v>
      </c>
      <c r="E2593" s="8">
        <v>25000</v>
      </c>
      <c r="F2593" s="13" t="s">
        <v>70</v>
      </c>
      <c r="G2593" s="14">
        <v>44756</v>
      </c>
      <c r="H2593" s="13" t="s">
        <v>9</v>
      </c>
    </row>
    <row r="2594" spans="1:8" ht="14.4" x14ac:dyDescent="0.3">
      <c r="A2594" s="8">
        <v>82187370</v>
      </c>
      <c r="B2594" s="11">
        <v>44750</v>
      </c>
      <c r="C2594" s="13" t="s">
        <v>3551</v>
      </c>
      <c r="D2594" s="13" t="s">
        <v>3552</v>
      </c>
      <c r="E2594" s="8">
        <v>7000</v>
      </c>
      <c r="F2594" s="13" t="s">
        <v>70</v>
      </c>
      <c r="G2594" s="14">
        <v>44755</v>
      </c>
      <c r="H2594" s="13" t="s">
        <v>9</v>
      </c>
    </row>
    <row r="2595" spans="1:8" ht="14.4" x14ac:dyDescent="0.3">
      <c r="A2595" s="8">
        <v>82187371</v>
      </c>
      <c r="B2595" s="11">
        <v>44750</v>
      </c>
      <c r="C2595" s="13" t="s">
        <v>1424</v>
      </c>
      <c r="D2595" s="13" t="s">
        <v>1856</v>
      </c>
      <c r="E2595" s="8">
        <v>25175</v>
      </c>
      <c r="F2595" s="13" t="s">
        <v>70</v>
      </c>
      <c r="G2595" s="14">
        <v>44756</v>
      </c>
      <c r="H2595" s="13" t="s">
        <v>9</v>
      </c>
    </row>
    <row r="2596" spans="1:8" ht="14.4" x14ac:dyDescent="0.3">
      <c r="A2596" s="8">
        <v>82187372</v>
      </c>
      <c r="B2596" s="11">
        <v>44750</v>
      </c>
      <c r="C2596" s="13" t="s">
        <v>3553</v>
      </c>
      <c r="D2596" s="13" t="s">
        <v>3554</v>
      </c>
      <c r="E2596" s="8">
        <v>7000</v>
      </c>
      <c r="F2596" s="13" t="s">
        <v>70</v>
      </c>
      <c r="G2596" s="14">
        <v>44754</v>
      </c>
      <c r="H2596" s="13" t="s">
        <v>9</v>
      </c>
    </row>
    <row r="2597" spans="1:8" ht="14.4" x14ac:dyDescent="0.3">
      <c r="A2597" s="8">
        <v>82187373</v>
      </c>
      <c r="B2597" s="11">
        <v>44750</v>
      </c>
      <c r="C2597" s="13" t="s">
        <v>1692</v>
      </c>
      <c r="D2597" s="13" t="s">
        <v>3555</v>
      </c>
      <c r="E2597" s="8">
        <v>8983</v>
      </c>
      <c r="F2597" s="13" t="s">
        <v>70</v>
      </c>
      <c r="G2597" s="14">
        <v>44753</v>
      </c>
      <c r="H2597" s="13" t="s">
        <v>9</v>
      </c>
    </row>
    <row r="2598" spans="1:8" ht="14.4" x14ac:dyDescent="0.3">
      <c r="A2598" s="8">
        <v>82187374</v>
      </c>
      <c r="B2598" s="11">
        <v>44750</v>
      </c>
      <c r="C2598" s="13" t="s">
        <v>3556</v>
      </c>
      <c r="D2598" s="13" t="s">
        <v>3557</v>
      </c>
      <c r="E2598" s="8">
        <v>9000</v>
      </c>
      <c r="F2598" s="13" t="s">
        <v>70</v>
      </c>
      <c r="G2598" s="14">
        <v>44756</v>
      </c>
      <c r="H2598" s="13" t="s">
        <v>9</v>
      </c>
    </row>
    <row r="2599" spans="1:8" ht="14.4" x14ac:dyDescent="0.3">
      <c r="A2599" s="8">
        <v>82187375</v>
      </c>
      <c r="B2599" s="11">
        <v>44750</v>
      </c>
      <c r="C2599" s="13" t="s">
        <v>3558</v>
      </c>
      <c r="D2599" s="13" t="s">
        <v>3559</v>
      </c>
      <c r="E2599" s="8">
        <v>8000</v>
      </c>
      <c r="F2599" s="13" t="s">
        <v>70</v>
      </c>
      <c r="G2599" s="14">
        <v>44756</v>
      </c>
      <c r="H2599" s="13" t="s">
        <v>9</v>
      </c>
    </row>
    <row r="2600" spans="1:8" ht="14.4" x14ac:dyDescent="0.3">
      <c r="A2600" s="8">
        <v>82187376</v>
      </c>
      <c r="B2600" s="11">
        <v>44750</v>
      </c>
      <c r="C2600" s="13" t="s">
        <v>3560</v>
      </c>
      <c r="D2600" s="13" t="s">
        <v>3561</v>
      </c>
      <c r="E2600" s="8">
        <v>10000</v>
      </c>
      <c r="F2600" s="13" t="s">
        <v>70</v>
      </c>
      <c r="G2600" s="14">
        <v>44792</v>
      </c>
      <c r="H2600" s="13" t="s">
        <v>9</v>
      </c>
    </row>
    <row r="2601" spans="1:8" ht="14.4" x14ac:dyDescent="0.3">
      <c r="A2601" s="8">
        <v>82187377</v>
      </c>
      <c r="B2601" s="11">
        <v>44750</v>
      </c>
      <c r="C2601" s="13" t="s">
        <v>3562</v>
      </c>
      <c r="D2601" s="13" t="s">
        <v>3563</v>
      </c>
      <c r="E2601" s="8">
        <v>10000</v>
      </c>
      <c r="F2601" s="13" t="s">
        <v>70</v>
      </c>
      <c r="G2601" s="14">
        <v>44754</v>
      </c>
      <c r="H2601" s="13" t="s">
        <v>9</v>
      </c>
    </row>
    <row r="2602" spans="1:8" ht="14.4" x14ac:dyDescent="0.3">
      <c r="A2602" s="8">
        <v>82187378</v>
      </c>
      <c r="B2602" s="11">
        <v>44750</v>
      </c>
      <c r="C2602" s="13" t="s">
        <v>3564</v>
      </c>
      <c r="D2602" s="13" t="s">
        <v>3565</v>
      </c>
      <c r="E2602" s="8">
        <v>6300</v>
      </c>
      <c r="F2602" s="13" t="s">
        <v>70</v>
      </c>
      <c r="G2602" s="14">
        <v>44754</v>
      </c>
      <c r="H2602" s="13" t="s">
        <v>9</v>
      </c>
    </row>
    <row r="2603" spans="1:8" ht="14.4" x14ac:dyDescent="0.3">
      <c r="A2603" s="8">
        <v>82187379</v>
      </c>
      <c r="B2603" s="11">
        <v>44750</v>
      </c>
      <c r="C2603" s="13" t="s">
        <v>3566</v>
      </c>
      <c r="D2603" s="13" t="s">
        <v>3567</v>
      </c>
      <c r="E2603" s="8">
        <v>22500</v>
      </c>
      <c r="F2603" s="13" t="s">
        <v>70</v>
      </c>
      <c r="G2603" s="14">
        <v>44754</v>
      </c>
      <c r="H2603" s="13" t="s">
        <v>9</v>
      </c>
    </row>
    <row r="2604" spans="1:8" ht="14.4" x14ac:dyDescent="0.3">
      <c r="A2604" s="8">
        <v>82187380</v>
      </c>
      <c r="B2604" s="11">
        <v>44750</v>
      </c>
      <c r="C2604" s="13" t="s">
        <v>3568</v>
      </c>
      <c r="D2604" s="13" t="s">
        <v>3569</v>
      </c>
      <c r="E2604" s="8">
        <v>14400</v>
      </c>
      <c r="F2604" s="13" t="s">
        <v>70</v>
      </c>
      <c r="G2604" s="14">
        <v>44757</v>
      </c>
      <c r="H2604" s="13" t="s">
        <v>9</v>
      </c>
    </row>
    <row r="2605" spans="1:8" ht="14.4" x14ac:dyDescent="0.3">
      <c r="A2605" s="8">
        <v>82187381</v>
      </c>
      <c r="B2605" s="11">
        <v>44750</v>
      </c>
      <c r="C2605" s="13" t="s">
        <v>3570</v>
      </c>
      <c r="D2605" s="13" t="s">
        <v>3571</v>
      </c>
      <c r="E2605" s="8">
        <v>14400</v>
      </c>
      <c r="F2605" s="13" t="s">
        <v>70</v>
      </c>
      <c r="G2605" s="14">
        <v>44757</v>
      </c>
      <c r="H2605" s="13" t="s">
        <v>9</v>
      </c>
    </row>
    <row r="2606" spans="1:8" ht="14.4" x14ac:dyDescent="0.3">
      <c r="A2606" s="8">
        <v>82187382</v>
      </c>
      <c r="B2606" s="11">
        <v>44750</v>
      </c>
      <c r="C2606" s="13" t="s">
        <v>3572</v>
      </c>
      <c r="D2606" s="13" t="s">
        <v>3573</v>
      </c>
      <c r="E2606" s="8">
        <v>11500</v>
      </c>
      <c r="F2606" s="13" t="s">
        <v>70</v>
      </c>
      <c r="G2606" s="14">
        <v>44754</v>
      </c>
      <c r="H2606" s="13" t="s">
        <v>9</v>
      </c>
    </row>
    <row r="2607" spans="1:8" ht="14.4" x14ac:dyDescent="0.3">
      <c r="A2607" s="8">
        <v>82187383</v>
      </c>
      <c r="B2607" s="11">
        <v>44750</v>
      </c>
      <c r="C2607" s="13" t="s">
        <v>3574</v>
      </c>
      <c r="D2607" s="13" t="s">
        <v>3575</v>
      </c>
      <c r="E2607" s="8">
        <v>20000</v>
      </c>
      <c r="F2607" s="13" t="s">
        <v>70</v>
      </c>
      <c r="G2607" s="14">
        <v>44782</v>
      </c>
      <c r="H2607" s="13" t="s">
        <v>9</v>
      </c>
    </row>
    <row r="2608" spans="1:8" ht="14.4" x14ac:dyDescent="0.3">
      <c r="A2608" s="8">
        <v>82187384</v>
      </c>
      <c r="B2608" s="11">
        <v>44750</v>
      </c>
      <c r="C2608" s="13" t="s">
        <v>3576</v>
      </c>
      <c r="D2608" s="13" t="s">
        <v>3577</v>
      </c>
      <c r="E2608" s="8">
        <v>20000</v>
      </c>
      <c r="F2608" s="13" t="s">
        <v>70</v>
      </c>
      <c r="G2608" s="14">
        <v>44782</v>
      </c>
      <c r="H2608" s="13" t="s">
        <v>9</v>
      </c>
    </row>
    <row r="2609" spans="1:8" ht="14.4" x14ac:dyDescent="0.3">
      <c r="A2609" s="8">
        <v>82187385</v>
      </c>
      <c r="B2609" s="11">
        <v>44750</v>
      </c>
      <c r="C2609" s="13" t="s">
        <v>3578</v>
      </c>
      <c r="D2609" s="13" t="s">
        <v>3579</v>
      </c>
      <c r="E2609" s="8">
        <v>20000</v>
      </c>
      <c r="F2609" s="13" t="s">
        <v>70</v>
      </c>
      <c r="G2609" s="14">
        <v>44782</v>
      </c>
      <c r="H2609" s="13" t="s">
        <v>9</v>
      </c>
    </row>
    <row r="2610" spans="1:8" ht="14.4" x14ac:dyDescent="0.3">
      <c r="A2610" s="8">
        <v>82187386</v>
      </c>
      <c r="B2610" s="11">
        <v>44750</v>
      </c>
      <c r="C2610" s="13" t="s">
        <v>3580</v>
      </c>
      <c r="D2610" s="13" t="s">
        <v>3581</v>
      </c>
      <c r="E2610" s="8">
        <v>20000</v>
      </c>
      <c r="F2610" s="13" t="s">
        <v>70</v>
      </c>
      <c r="G2610" s="14">
        <v>44782</v>
      </c>
      <c r="H2610" s="13" t="s">
        <v>9</v>
      </c>
    </row>
    <row r="2611" spans="1:8" ht="14.4" x14ac:dyDescent="0.3">
      <c r="A2611" s="8">
        <v>82187387</v>
      </c>
      <c r="B2611" s="11">
        <v>44750</v>
      </c>
      <c r="C2611" s="13" t="s">
        <v>3582</v>
      </c>
      <c r="D2611" s="13" t="s">
        <v>3583</v>
      </c>
      <c r="E2611" s="8">
        <v>20000</v>
      </c>
      <c r="F2611" s="13" t="s">
        <v>70</v>
      </c>
      <c r="G2611" s="14">
        <v>44782</v>
      </c>
      <c r="H2611" s="13" t="s">
        <v>9</v>
      </c>
    </row>
    <row r="2612" spans="1:8" ht="14.4" x14ac:dyDescent="0.3">
      <c r="A2612" s="8">
        <v>82187388</v>
      </c>
      <c r="B2612" s="11">
        <v>44750</v>
      </c>
      <c r="C2612" s="13" t="s">
        <v>3584</v>
      </c>
      <c r="D2612" s="13" t="s">
        <v>3585</v>
      </c>
      <c r="E2612" s="8">
        <v>20000</v>
      </c>
      <c r="F2612" s="13" t="s">
        <v>70</v>
      </c>
      <c r="G2612" s="14">
        <v>44782</v>
      </c>
      <c r="H2612" s="13" t="s">
        <v>9</v>
      </c>
    </row>
    <row r="2613" spans="1:8" ht="14.4" x14ac:dyDescent="0.3">
      <c r="A2613" s="8">
        <v>82187389</v>
      </c>
      <c r="B2613" s="11">
        <v>44750</v>
      </c>
      <c r="C2613" s="13" t="s">
        <v>3586</v>
      </c>
      <c r="D2613" s="13" t="s">
        <v>3587</v>
      </c>
      <c r="E2613" s="8">
        <v>20000</v>
      </c>
      <c r="F2613" s="13" t="s">
        <v>70</v>
      </c>
      <c r="G2613" s="14">
        <v>44782</v>
      </c>
      <c r="H2613" s="13" t="s">
        <v>9</v>
      </c>
    </row>
    <row r="2614" spans="1:8" ht="14.4" x14ac:dyDescent="0.3">
      <c r="A2614" s="8">
        <v>82187390</v>
      </c>
      <c r="B2614" s="11">
        <v>44750</v>
      </c>
      <c r="C2614" s="13" t="s">
        <v>3588</v>
      </c>
      <c r="D2614" s="13" t="s">
        <v>3589</v>
      </c>
      <c r="E2614" s="8">
        <v>20000</v>
      </c>
      <c r="F2614" s="13" t="s">
        <v>70</v>
      </c>
      <c r="G2614" s="14">
        <v>44782</v>
      </c>
      <c r="H2614" s="13" t="s">
        <v>9</v>
      </c>
    </row>
    <row r="2615" spans="1:8" ht="14.4" x14ac:dyDescent="0.3">
      <c r="A2615" s="8">
        <v>82187391</v>
      </c>
      <c r="B2615" s="11">
        <v>44750</v>
      </c>
      <c r="C2615" s="13" t="s">
        <v>3590</v>
      </c>
      <c r="D2615" s="13" t="s">
        <v>3591</v>
      </c>
      <c r="E2615" s="8">
        <v>16000</v>
      </c>
      <c r="F2615" s="13" t="s">
        <v>70</v>
      </c>
      <c r="G2615" s="14">
        <v>44755</v>
      </c>
      <c r="H2615" s="13" t="s">
        <v>9</v>
      </c>
    </row>
    <row r="2616" spans="1:8" ht="14.4" x14ac:dyDescent="0.3">
      <c r="A2616" s="8">
        <v>82187392</v>
      </c>
      <c r="B2616" s="11">
        <v>44750</v>
      </c>
      <c r="C2616" s="13" t="s">
        <v>3592</v>
      </c>
      <c r="D2616" s="13" t="s">
        <v>3593</v>
      </c>
      <c r="E2616" s="8">
        <v>20000</v>
      </c>
      <c r="F2616" s="13" t="s">
        <v>70</v>
      </c>
      <c r="G2616" s="14">
        <v>44754</v>
      </c>
      <c r="H2616" s="13" t="s">
        <v>9</v>
      </c>
    </row>
    <row r="2617" spans="1:8" ht="14.4" x14ac:dyDescent="0.3">
      <c r="A2617" s="8">
        <v>82187393</v>
      </c>
      <c r="B2617" s="11">
        <v>44750</v>
      </c>
      <c r="C2617" s="13" t="s">
        <v>3594</v>
      </c>
      <c r="D2617" s="13" t="s">
        <v>3595</v>
      </c>
      <c r="E2617" s="8">
        <v>12000</v>
      </c>
      <c r="F2617" s="13" t="s">
        <v>70</v>
      </c>
      <c r="G2617" s="14">
        <v>44755</v>
      </c>
      <c r="H2617" s="13" t="s">
        <v>9</v>
      </c>
    </row>
    <row r="2618" spans="1:8" ht="14.4" x14ac:dyDescent="0.3">
      <c r="A2618" s="8">
        <v>82187394</v>
      </c>
      <c r="B2618" s="11">
        <v>44750</v>
      </c>
      <c r="C2618" s="13" t="s">
        <v>587</v>
      </c>
      <c r="D2618" s="13" t="s">
        <v>3596</v>
      </c>
      <c r="E2618" s="8">
        <v>23000</v>
      </c>
      <c r="F2618" s="13" t="s">
        <v>70</v>
      </c>
      <c r="G2618" s="14">
        <v>44755</v>
      </c>
      <c r="H2618" s="13" t="s">
        <v>9</v>
      </c>
    </row>
    <row r="2619" spans="1:8" ht="14.4" x14ac:dyDescent="0.3">
      <c r="A2619" s="8">
        <v>82187395</v>
      </c>
      <c r="B2619" s="11">
        <v>44750</v>
      </c>
      <c r="C2619" s="13" t="s">
        <v>122</v>
      </c>
      <c r="D2619" s="13" t="s">
        <v>3597</v>
      </c>
      <c r="E2619" s="8">
        <v>10000</v>
      </c>
      <c r="F2619" s="13" t="s">
        <v>70</v>
      </c>
      <c r="G2619" s="14">
        <v>44755</v>
      </c>
      <c r="H2619" s="13" t="s">
        <v>9</v>
      </c>
    </row>
    <row r="2620" spans="1:8" ht="14.4" x14ac:dyDescent="0.3">
      <c r="A2620" s="8">
        <v>82187396</v>
      </c>
      <c r="B2620" s="11">
        <v>44750</v>
      </c>
      <c r="C2620" s="13" t="s">
        <v>3598</v>
      </c>
      <c r="D2620" s="13" t="s">
        <v>3599</v>
      </c>
      <c r="E2620" s="8">
        <v>29000</v>
      </c>
      <c r="F2620" s="13" t="s">
        <v>70</v>
      </c>
      <c r="G2620" s="14">
        <v>44753</v>
      </c>
      <c r="H2620" s="13" t="s">
        <v>9</v>
      </c>
    </row>
    <row r="2621" spans="1:8" ht="14.4" x14ac:dyDescent="0.3">
      <c r="A2621" s="8">
        <v>82187397</v>
      </c>
      <c r="B2621" s="11">
        <v>44750</v>
      </c>
      <c r="C2621" s="13" t="s">
        <v>3600</v>
      </c>
      <c r="D2621" s="13" t="s">
        <v>3601</v>
      </c>
      <c r="E2621" s="8">
        <v>10000</v>
      </c>
      <c r="F2621" s="13" t="s">
        <v>70</v>
      </c>
      <c r="G2621" s="14">
        <v>44753</v>
      </c>
      <c r="H2621" s="13" t="s">
        <v>9</v>
      </c>
    </row>
    <row r="2622" spans="1:8" ht="14.4" x14ac:dyDescent="0.3">
      <c r="A2622" s="8">
        <v>82187398</v>
      </c>
      <c r="B2622" s="11">
        <v>44750</v>
      </c>
      <c r="C2622" s="13" t="s">
        <v>3602</v>
      </c>
      <c r="D2622" s="13" t="s">
        <v>3603</v>
      </c>
      <c r="E2622" s="8">
        <v>50000</v>
      </c>
      <c r="F2622" s="13" t="s">
        <v>70</v>
      </c>
      <c r="G2622" s="14">
        <v>44755</v>
      </c>
      <c r="H2622" s="13" t="s">
        <v>9</v>
      </c>
    </row>
    <row r="2623" spans="1:8" ht="14.4" x14ac:dyDescent="0.3">
      <c r="A2623" s="8">
        <v>82187399</v>
      </c>
      <c r="B2623" s="11">
        <v>44750</v>
      </c>
      <c r="C2623" s="13" t="s">
        <v>3604</v>
      </c>
      <c r="D2623" s="13" t="s">
        <v>3605</v>
      </c>
      <c r="E2623" s="8">
        <v>50000</v>
      </c>
      <c r="F2623" s="13" t="s">
        <v>70</v>
      </c>
      <c r="G2623" s="14">
        <v>44754</v>
      </c>
      <c r="H2623" s="13" t="s">
        <v>9</v>
      </c>
    </row>
    <row r="2624" spans="1:8" ht="14.4" x14ac:dyDescent="0.3">
      <c r="A2624" s="8">
        <v>82187400</v>
      </c>
      <c r="B2624" s="11">
        <v>44750</v>
      </c>
      <c r="C2624" s="13" t="s">
        <v>3606</v>
      </c>
      <c r="D2624" s="13" t="s">
        <v>3607</v>
      </c>
      <c r="E2624" s="8">
        <v>18000</v>
      </c>
      <c r="F2624" s="13" t="s">
        <v>70</v>
      </c>
      <c r="G2624" s="14">
        <v>44755</v>
      </c>
      <c r="H2624" s="13" t="s">
        <v>9</v>
      </c>
    </row>
    <row r="2625" spans="1:8" ht="14.4" x14ac:dyDescent="0.3">
      <c r="A2625" s="8">
        <v>82187401</v>
      </c>
      <c r="B2625" s="11">
        <v>44750</v>
      </c>
      <c r="C2625" s="13" t="s">
        <v>3608</v>
      </c>
      <c r="D2625" s="13" t="s">
        <v>3609</v>
      </c>
      <c r="E2625" s="8">
        <v>50000</v>
      </c>
      <c r="F2625" s="13" t="s">
        <v>70</v>
      </c>
      <c r="G2625" s="14">
        <v>44754</v>
      </c>
      <c r="H2625" s="13" t="s">
        <v>9</v>
      </c>
    </row>
    <row r="2626" spans="1:8" ht="14.4" x14ac:dyDescent="0.3">
      <c r="A2626" s="8">
        <v>82187402</v>
      </c>
      <c r="B2626" s="11">
        <v>44750</v>
      </c>
      <c r="C2626" s="13" t="s">
        <v>3610</v>
      </c>
      <c r="D2626" s="13" t="s">
        <v>3611</v>
      </c>
      <c r="E2626" s="8">
        <v>11500</v>
      </c>
      <c r="F2626" s="13" t="s">
        <v>70</v>
      </c>
      <c r="G2626" s="14">
        <v>44754</v>
      </c>
      <c r="H2626" s="13" t="s">
        <v>9</v>
      </c>
    </row>
    <row r="2627" spans="1:8" ht="14.4" x14ac:dyDescent="0.3">
      <c r="A2627" s="8">
        <v>82187403</v>
      </c>
      <c r="B2627" s="11">
        <v>44750</v>
      </c>
      <c r="C2627" s="13" t="s">
        <v>3612</v>
      </c>
      <c r="D2627" s="13" t="s">
        <v>3613</v>
      </c>
      <c r="E2627" s="8">
        <v>7400</v>
      </c>
      <c r="F2627" s="13" t="s">
        <v>70</v>
      </c>
      <c r="G2627" s="14">
        <v>44756</v>
      </c>
      <c r="H2627" s="13" t="s">
        <v>9</v>
      </c>
    </row>
    <row r="2628" spans="1:8" ht="14.4" x14ac:dyDescent="0.3">
      <c r="A2628" s="8">
        <v>82187404</v>
      </c>
      <c r="B2628" s="11">
        <v>44750</v>
      </c>
      <c r="C2628" s="13" t="s">
        <v>671</v>
      </c>
      <c r="D2628" s="13" t="s">
        <v>3531</v>
      </c>
      <c r="E2628" s="8">
        <v>20000</v>
      </c>
      <c r="F2628" s="13" t="s">
        <v>70</v>
      </c>
      <c r="G2628" s="14">
        <v>44761</v>
      </c>
      <c r="H2628" s="13" t="s">
        <v>9</v>
      </c>
    </row>
    <row r="2629" spans="1:8" ht="14.4" x14ac:dyDescent="0.3">
      <c r="A2629" s="8">
        <v>82187405</v>
      </c>
      <c r="B2629" s="11">
        <v>44750</v>
      </c>
      <c r="C2629" s="13" t="s">
        <v>530</v>
      </c>
      <c r="D2629" s="13" t="s">
        <v>3531</v>
      </c>
      <c r="E2629" s="8">
        <v>3000</v>
      </c>
      <c r="F2629" s="13" t="s">
        <v>70</v>
      </c>
      <c r="G2629" s="14">
        <v>44761</v>
      </c>
      <c r="H2629" s="13" t="s">
        <v>9</v>
      </c>
    </row>
    <row r="2630" spans="1:8" ht="14.4" x14ac:dyDescent="0.3">
      <c r="A2630" s="8">
        <v>82187406</v>
      </c>
      <c r="B2630" s="11">
        <v>44753</v>
      </c>
      <c r="C2630" s="13" t="s">
        <v>124</v>
      </c>
      <c r="D2630" s="13" t="s">
        <v>3614</v>
      </c>
      <c r="E2630" s="8">
        <v>8034.72</v>
      </c>
      <c r="F2630" s="13" t="s">
        <v>70</v>
      </c>
      <c r="G2630" s="14">
        <v>44770</v>
      </c>
      <c r="H2630" s="13" t="s">
        <v>9</v>
      </c>
    </row>
    <row r="2631" spans="1:8" ht="14.4" x14ac:dyDescent="0.3">
      <c r="A2631" s="8">
        <v>82187407</v>
      </c>
      <c r="B2631" s="11">
        <v>44753</v>
      </c>
      <c r="C2631" s="13" t="s">
        <v>1286</v>
      </c>
      <c r="D2631" s="13" t="s">
        <v>3615</v>
      </c>
      <c r="E2631" s="8">
        <v>291221.52</v>
      </c>
      <c r="F2631" s="13" t="s">
        <v>70</v>
      </c>
      <c r="G2631" s="14">
        <v>44755</v>
      </c>
      <c r="H2631" s="13" t="s">
        <v>9</v>
      </c>
    </row>
    <row r="2632" spans="1:8" ht="14.4" x14ac:dyDescent="0.3">
      <c r="A2632" s="8">
        <v>82187408</v>
      </c>
      <c r="B2632" s="11">
        <v>44753</v>
      </c>
      <c r="C2632" s="13" t="s">
        <v>1193</v>
      </c>
      <c r="D2632" s="13" t="s">
        <v>3616</v>
      </c>
      <c r="E2632" s="8">
        <v>11000</v>
      </c>
      <c r="F2632" s="13" t="s">
        <v>70</v>
      </c>
      <c r="G2632" s="14">
        <v>44761</v>
      </c>
      <c r="H2632" s="13" t="s">
        <v>9</v>
      </c>
    </row>
    <row r="2633" spans="1:8" ht="14.4" x14ac:dyDescent="0.3">
      <c r="A2633" s="8">
        <v>82187409</v>
      </c>
      <c r="B2633" s="11">
        <v>44753</v>
      </c>
      <c r="C2633" s="13" t="s">
        <v>893</v>
      </c>
      <c r="D2633" s="13" t="s">
        <v>3617</v>
      </c>
      <c r="E2633" s="8">
        <v>286500</v>
      </c>
      <c r="F2633" s="13" t="s">
        <v>70</v>
      </c>
      <c r="G2633" s="14">
        <v>44761</v>
      </c>
      <c r="H2633" s="13" t="s">
        <v>9</v>
      </c>
    </row>
    <row r="2634" spans="1:8" ht="14.4" x14ac:dyDescent="0.3">
      <c r="A2634" s="8">
        <v>82187410</v>
      </c>
      <c r="B2634" s="11">
        <v>44753</v>
      </c>
      <c r="C2634" s="13" t="s">
        <v>1276</v>
      </c>
      <c r="D2634" s="13" t="s">
        <v>3618</v>
      </c>
      <c r="E2634" s="8">
        <v>48500</v>
      </c>
      <c r="F2634" s="13" t="s">
        <v>70</v>
      </c>
      <c r="G2634" s="14">
        <v>44760</v>
      </c>
      <c r="H2634" s="13" t="s">
        <v>9</v>
      </c>
    </row>
    <row r="2635" spans="1:8" ht="14.4" x14ac:dyDescent="0.3">
      <c r="A2635" s="8">
        <v>82187411</v>
      </c>
      <c r="B2635" s="11">
        <v>44753</v>
      </c>
      <c r="C2635" s="13" t="s">
        <v>1286</v>
      </c>
      <c r="D2635" s="13" t="s">
        <v>3619</v>
      </c>
      <c r="E2635" s="8">
        <v>59177.37</v>
      </c>
      <c r="F2635" s="13" t="s">
        <v>70</v>
      </c>
      <c r="G2635" s="14">
        <v>44755</v>
      </c>
      <c r="H2635" s="13" t="s">
        <v>9</v>
      </c>
    </row>
    <row r="2636" spans="1:8" ht="14.4" x14ac:dyDescent="0.3">
      <c r="A2636" s="8">
        <v>82187412</v>
      </c>
      <c r="B2636" s="11">
        <v>44753</v>
      </c>
      <c r="C2636" s="13" t="s">
        <v>153</v>
      </c>
      <c r="D2636" s="13" t="s">
        <v>3620</v>
      </c>
      <c r="E2636" s="8">
        <v>68957</v>
      </c>
      <c r="F2636" s="13" t="s">
        <v>70</v>
      </c>
      <c r="G2636" s="14">
        <v>44755</v>
      </c>
      <c r="H2636" s="13" t="s">
        <v>9</v>
      </c>
    </row>
    <row r="2637" spans="1:8" ht="14.4" x14ac:dyDescent="0.3">
      <c r="A2637" s="8">
        <v>82187413</v>
      </c>
      <c r="B2637" s="11">
        <v>44753</v>
      </c>
      <c r="C2637" s="13" t="s">
        <v>3621</v>
      </c>
      <c r="D2637" s="13" t="s">
        <v>3622</v>
      </c>
      <c r="E2637" s="8">
        <v>19831.849999999999</v>
      </c>
      <c r="F2637" s="13" t="s">
        <v>70</v>
      </c>
      <c r="G2637" s="14">
        <v>44756</v>
      </c>
      <c r="H2637" s="13" t="s">
        <v>9</v>
      </c>
    </row>
    <row r="2638" spans="1:8" ht="14.4" x14ac:dyDescent="0.3">
      <c r="A2638" s="8">
        <v>82187414</v>
      </c>
      <c r="B2638" s="11">
        <v>44753</v>
      </c>
      <c r="C2638" s="13" t="s">
        <v>265</v>
      </c>
      <c r="D2638" s="13" t="s">
        <v>3623</v>
      </c>
      <c r="E2638" s="8">
        <v>160811.79999999999</v>
      </c>
      <c r="F2638" s="13" t="s">
        <v>70</v>
      </c>
      <c r="G2638" s="14">
        <v>44754</v>
      </c>
      <c r="H2638" s="13" t="s">
        <v>9</v>
      </c>
    </row>
    <row r="2639" spans="1:8" ht="14.4" x14ac:dyDescent="0.3">
      <c r="A2639" s="8">
        <v>82187415</v>
      </c>
      <c r="B2639" s="11">
        <v>44753</v>
      </c>
      <c r="C2639" s="13" t="s">
        <v>395</v>
      </c>
      <c r="D2639" s="13" t="s">
        <v>3624</v>
      </c>
      <c r="E2639" s="8">
        <v>26068</v>
      </c>
      <c r="F2639" s="13" t="s">
        <v>70</v>
      </c>
      <c r="G2639" s="14">
        <v>44755</v>
      </c>
      <c r="H2639" s="13" t="s">
        <v>9</v>
      </c>
    </row>
    <row r="2640" spans="1:8" ht="14.4" x14ac:dyDescent="0.3">
      <c r="A2640" s="8">
        <v>82187416</v>
      </c>
      <c r="B2640" s="11">
        <v>44753</v>
      </c>
      <c r="C2640" s="13" t="s">
        <v>265</v>
      </c>
      <c r="D2640" s="13" t="s">
        <v>3625</v>
      </c>
      <c r="E2640" s="8">
        <v>44550</v>
      </c>
      <c r="F2640" s="13" t="s">
        <v>70</v>
      </c>
      <c r="G2640" s="14">
        <v>44754</v>
      </c>
      <c r="H2640" s="13" t="s">
        <v>9</v>
      </c>
    </row>
    <row r="2641" spans="1:8" ht="14.4" x14ac:dyDescent="0.3">
      <c r="A2641" s="8">
        <v>82187417</v>
      </c>
      <c r="B2641" s="11">
        <v>44753</v>
      </c>
      <c r="C2641" s="13" t="s">
        <v>3626</v>
      </c>
      <c r="D2641" s="13" t="s">
        <v>3627</v>
      </c>
      <c r="E2641" s="8">
        <v>11400</v>
      </c>
      <c r="F2641" s="13" t="s">
        <v>70</v>
      </c>
      <c r="G2641" s="14">
        <v>44762</v>
      </c>
      <c r="H2641" s="13" t="s">
        <v>9</v>
      </c>
    </row>
    <row r="2642" spans="1:8" ht="14.4" x14ac:dyDescent="0.3">
      <c r="A2642" s="8">
        <v>82187418</v>
      </c>
      <c r="B2642" s="11">
        <v>44753</v>
      </c>
      <c r="C2642" s="13" t="s">
        <v>1524</v>
      </c>
      <c r="D2642" s="13" t="s">
        <v>3628</v>
      </c>
      <c r="E2642" s="8">
        <v>29373.35</v>
      </c>
      <c r="F2642" s="13" t="s">
        <v>70</v>
      </c>
      <c r="G2642" s="14">
        <v>44756</v>
      </c>
      <c r="H2642" s="13" t="s">
        <v>9</v>
      </c>
    </row>
    <row r="2643" spans="1:8" ht="14.4" x14ac:dyDescent="0.3">
      <c r="A2643" s="8">
        <v>82187419</v>
      </c>
      <c r="B2643" s="11">
        <v>44753</v>
      </c>
      <c r="C2643" s="13" t="s">
        <v>1524</v>
      </c>
      <c r="D2643" s="13" t="s">
        <v>3629</v>
      </c>
      <c r="E2643" s="8">
        <v>33560.35</v>
      </c>
      <c r="F2643" s="13" t="s">
        <v>70</v>
      </c>
      <c r="G2643" s="14">
        <v>44756</v>
      </c>
      <c r="H2643" s="13" t="s">
        <v>9</v>
      </c>
    </row>
    <row r="2644" spans="1:8" ht="14.4" x14ac:dyDescent="0.3">
      <c r="A2644" s="8">
        <v>82187420</v>
      </c>
      <c r="B2644" s="11">
        <v>44753</v>
      </c>
      <c r="C2644" s="13" t="s">
        <v>1424</v>
      </c>
      <c r="D2644" s="13" t="s">
        <v>3630</v>
      </c>
      <c r="E2644" s="8">
        <v>88112.5</v>
      </c>
      <c r="F2644" s="13" t="s">
        <v>70</v>
      </c>
      <c r="G2644" s="14">
        <v>44756</v>
      </c>
      <c r="H2644" s="13" t="s">
        <v>9</v>
      </c>
    </row>
    <row r="2645" spans="1:8" ht="14.4" x14ac:dyDescent="0.3">
      <c r="A2645" s="8">
        <v>82187421</v>
      </c>
      <c r="B2645" s="11">
        <v>44753</v>
      </c>
      <c r="C2645" s="13" t="s">
        <v>254</v>
      </c>
      <c r="D2645" s="13" t="s">
        <v>3631</v>
      </c>
      <c r="E2645" s="8">
        <v>488815.72</v>
      </c>
      <c r="F2645" s="13" t="s">
        <v>70</v>
      </c>
      <c r="G2645" s="14">
        <v>44762</v>
      </c>
      <c r="H2645" s="13" t="s">
        <v>9</v>
      </c>
    </row>
    <row r="2646" spans="1:8" ht="14.4" x14ac:dyDescent="0.3">
      <c r="A2646" s="8">
        <v>82187422</v>
      </c>
      <c r="B2646" s="11">
        <v>44753</v>
      </c>
      <c r="C2646" s="13" t="s">
        <v>1524</v>
      </c>
      <c r="D2646" s="13" t="s">
        <v>3632</v>
      </c>
      <c r="E2646" s="8">
        <v>9531.48</v>
      </c>
      <c r="F2646" s="13" t="s">
        <v>70</v>
      </c>
      <c r="G2646" s="14">
        <v>44756</v>
      </c>
      <c r="H2646" s="13" t="s">
        <v>9</v>
      </c>
    </row>
    <row r="2647" spans="1:8" ht="14.4" x14ac:dyDescent="0.3">
      <c r="A2647" s="8">
        <v>82187423</v>
      </c>
      <c r="B2647" s="11">
        <v>44753</v>
      </c>
      <c r="C2647" s="13" t="s">
        <v>1524</v>
      </c>
      <c r="D2647" s="13" t="s">
        <v>3633</v>
      </c>
      <c r="E2647" s="8">
        <v>23504.55</v>
      </c>
      <c r="F2647" s="13" t="s">
        <v>70</v>
      </c>
      <c r="G2647" s="14">
        <v>44756</v>
      </c>
      <c r="H2647" s="13" t="s">
        <v>9</v>
      </c>
    </row>
    <row r="2648" spans="1:8" ht="14.4" x14ac:dyDescent="0.3">
      <c r="A2648" s="8">
        <v>82187424</v>
      </c>
      <c r="B2648" s="11">
        <v>44753</v>
      </c>
      <c r="C2648" s="13" t="s">
        <v>1524</v>
      </c>
      <c r="D2648" s="13" t="s">
        <v>3634</v>
      </c>
      <c r="E2648" s="8">
        <v>41166.800000000003</v>
      </c>
      <c r="F2648" s="13" t="s">
        <v>70</v>
      </c>
      <c r="G2648" s="14">
        <v>44756</v>
      </c>
      <c r="H2648" s="13" t="s">
        <v>9</v>
      </c>
    </row>
    <row r="2649" spans="1:8" ht="14.4" x14ac:dyDescent="0.3">
      <c r="A2649" s="8">
        <v>82187425</v>
      </c>
      <c r="B2649" s="11">
        <v>44753</v>
      </c>
      <c r="C2649" s="13" t="s">
        <v>1524</v>
      </c>
      <c r="D2649" s="13" t="s">
        <v>3635</v>
      </c>
      <c r="E2649" s="8">
        <v>38495.980000000003</v>
      </c>
      <c r="F2649" s="13" t="s">
        <v>70</v>
      </c>
      <c r="G2649" s="14">
        <v>44756</v>
      </c>
      <c r="H2649" s="13" t="s">
        <v>9</v>
      </c>
    </row>
    <row r="2650" spans="1:8" ht="14.4" x14ac:dyDescent="0.3">
      <c r="A2650" s="8">
        <v>82187426</v>
      </c>
      <c r="B2650" s="11">
        <v>44753</v>
      </c>
      <c r="C2650" s="13" t="s">
        <v>1524</v>
      </c>
      <c r="D2650" s="13" t="s">
        <v>3636</v>
      </c>
      <c r="E2650" s="8">
        <v>16609.82</v>
      </c>
      <c r="F2650" s="13" t="s">
        <v>70</v>
      </c>
      <c r="G2650" s="14">
        <v>44756</v>
      </c>
      <c r="H2650" s="13" t="s">
        <v>9</v>
      </c>
    </row>
    <row r="2651" spans="1:8" ht="14.4" x14ac:dyDescent="0.3">
      <c r="A2651" s="8">
        <v>82187427</v>
      </c>
      <c r="B2651" s="11">
        <v>44753</v>
      </c>
      <c r="C2651" s="13" t="s">
        <v>775</v>
      </c>
      <c r="D2651" s="13" t="s">
        <v>3637</v>
      </c>
      <c r="E2651" s="8">
        <v>128850</v>
      </c>
      <c r="F2651" s="13" t="s">
        <v>70</v>
      </c>
      <c r="G2651" s="14">
        <v>44753</v>
      </c>
      <c r="H2651" s="13" t="s">
        <v>9</v>
      </c>
    </row>
    <row r="2652" spans="1:8" ht="14.4" x14ac:dyDescent="0.3">
      <c r="A2652" s="8">
        <v>82187428</v>
      </c>
      <c r="B2652" s="11">
        <v>44753</v>
      </c>
      <c r="C2652" s="13" t="s">
        <v>773</v>
      </c>
      <c r="D2652" s="13" t="s">
        <v>3638</v>
      </c>
      <c r="E2652" s="8">
        <v>2069236.13</v>
      </c>
      <c r="F2652" s="13" t="s">
        <v>70</v>
      </c>
      <c r="G2652" s="14">
        <v>44754</v>
      </c>
      <c r="H2652" s="13" t="s">
        <v>9</v>
      </c>
    </row>
    <row r="2653" spans="1:8" ht="14.4" x14ac:dyDescent="0.3">
      <c r="A2653" s="8">
        <v>82187429</v>
      </c>
      <c r="B2653" s="11">
        <v>44753</v>
      </c>
      <c r="C2653" s="13" t="s">
        <v>1606</v>
      </c>
      <c r="D2653" s="13" t="s">
        <v>3638</v>
      </c>
      <c r="E2653" s="8">
        <v>339953.2</v>
      </c>
      <c r="F2653" s="13" t="s">
        <v>70</v>
      </c>
      <c r="G2653" s="14">
        <v>44754</v>
      </c>
      <c r="H2653" s="13" t="s">
        <v>9</v>
      </c>
    </row>
    <row r="2654" spans="1:8" ht="14.4" x14ac:dyDescent="0.3">
      <c r="A2654" s="8">
        <v>82187430</v>
      </c>
      <c r="B2654" s="11">
        <v>44753</v>
      </c>
      <c r="C2654" s="13" t="s">
        <v>3639</v>
      </c>
      <c r="D2654" s="13" t="s">
        <v>3640</v>
      </c>
      <c r="E2654" s="8">
        <v>15000</v>
      </c>
      <c r="F2654" s="13" t="s">
        <v>70</v>
      </c>
      <c r="G2654" s="14">
        <v>44756</v>
      </c>
      <c r="H2654" s="13" t="s">
        <v>9</v>
      </c>
    </row>
    <row r="2655" spans="1:8" ht="14.4" x14ac:dyDescent="0.3">
      <c r="A2655" s="8">
        <v>82187431</v>
      </c>
      <c r="B2655" s="11">
        <v>44753</v>
      </c>
      <c r="C2655" s="13" t="s">
        <v>308</v>
      </c>
      <c r="D2655" s="13" t="s">
        <v>3640</v>
      </c>
      <c r="E2655" s="8">
        <v>10000</v>
      </c>
      <c r="F2655" s="13" t="s">
        <v>70</v>
      </c>
      <c r="G2655" s="14">
        <v>44756</v>
      </c>
      <c r="H2655" s="13" t="s">
        <v>9</v>
      </c>
    </row>
    <row r="2656" spans="1:8" ht="14.4" x14ac:dyDescent="0.3">
      <c r="A2656" s="8">
        <v>82187432</v>
      </c>
      <c r="B2656" s="11">
        <v>44753</v>
      </c>
      <c r="C2656" s="13" t="s">
        <v>309</v>
      </c>
      <c r="D2656" s="13" t="s">
        <v>3640</v>
      </c>
      <c r="E2656" s="8">
        <v>10000</v>
      </c>
      <c r="F2656" s="13" t="s">
        <v>70</v>
      </c>
      <c r="G2656" s="14">
        <v>44756</v>
      </c>
      <c r="H2656" s="13" t="s">
        <v>9</v>
      </c>
    </row>
    <row r="2657" spans="1:8" ht="14.4" x14ac:dyDescent="0.3">
      <c r="A2657" s="8">
        <v>82187433</v>
      </c>
      <c r="B2657" s="11">
        <v>44753</v>
      </c>
      <c r="C2657" s="13" t="s">
        <v>310</v>
      </c>
      <c r="D2657" s="13" t="s">
        <v>3640</v>
      </c>
      <c r="E2657" s="8">
        <v>10000</v>
      </c>
      <c r="F2657" s="13" t="s">
        <v>70</v>
      </c>
      <c r="G2657" s="14">
        <v>44756</v>
      </c>
      <c r="H2657" s="13" t="s">
        <v>9</v>
      </c>
    </row>
    <row r="2658" spans="1:8" ht="14.4" x14ac:dyDescent="0.3">
      <c r="A2658" s="8">
        <v>82187434</v>
      </c>
      <c r="B2658" s="11">
        <v>44753</v>
      </c>
      <c r="C2658" s="13" t="s">
        <v>311</v>
      </c>
      <c r="D2658" s="13" t="s">
        <v>3640</v>
      </c>
      <c r="E2658" s="8">
        <v>10000</v>
      </c>
      <c r="F2658" s="13" t="s">
        <v>70</v>
      </c>
      <c r="G2658" s="14">
        <v>44756</v>
      </c>
      <c r="H2658" s="13" t="s">
        <v>9</v>
      </c>
    </row>
    <row r="2659" spans="1:8" ht="14.4" x14ac:dyDescent="0.3">
      <c r="A2659" s="8">
        <v>82187435</v>
      </c>
      <c r="B2659" s="11">
        <v>44753</v>
      </c>
      <c r="C2659" s="13" t="s">
        <v>312</v>
      </c>
      <c r="D2659" s="13" t="s">
        <v>3640</v>
      </c>
      <c r="E2659" s="8">
        <v>10000</v>
      </c>
      <c r="F2659" s="13" t="s">
        <v>70</v>
      </c>
      <c r="G2659" s="14">
        <v>44756</v>
      </c>
      <c r="H2659" s="13" t="s">
        <v>9</v>
      </c>
    </row>
    <row r="2660" spans="1:8" ht="14.4" x14ac:dyDescent="0.3">
      <c r="A2660" s="8">
        <v>82187436</v>
      </c>
      <c r="B2660" s="11">
        <v>44753</v>
      </c>
      <c r="C2660" s="13" t="s">
        <v>337</v>
      </c>
      <c r="D2660" s="13" t="s">
        <v>3640</v>
      </c>
      <c r="E2660" s="8">
        <v>10000</v>
      </c>
      <c r="F2660" s="13" t="s">
        <v>70</v>
      </c>
      <c r="G2660" s="14">
        <v>44756</v>
      </c>
      <c r="H2660" s="13" t="s">
        <v>9</v>
      </c>
    </row>
    <row r="2661" spans="1:8" ht="14.4" x14ac:dyDescent="0.3">
      <c r="A2661" s="8">
        <v>82187437</v>
      </c>
      <c r="B2661" s="11">
        <v>44753</v>
      </c>
      <c r="C2661" s="13" t="s">
        <v>313</v>
      </c>
      <c r="D2661" s="13" t="s">
        <v>3640</v>
      </c>
      <c r="E2661" s="8">
        <v>10000</v>
      </c>
      <c r="F2661" s="13" t="s">
        <v>70</v>
      </c>
      <c r="G2661" s="14">
        <v>44756</v>
      </c>
      <c r="H2661" s="13" t="s">
        <v>9</v>
      </c>
    </row>
    <row r="2662" spans="1:8" ht="14.4" x14ac:dyDescent="0.3">
      <c r="A2662" s="8">
        <v>82187438</v>
      </c>
      <c r="B2662" s="11">
        <v>44753</v>
      </c>
      <c r="C2662" s="13" t="s">
        <v>314</v>
      </c>
      <c r="D2662" s="13" t="s">
        <v>3640</v>
      </c>
      <c r="E2662" s="8">
        <v>10000</v>
      </c>
      <c r="F2662" s="13" t="s">
        <v>70</v>
      </c>
      <c r="G2662" s="14">
        <v>44756</v>
      </c>
      <c r="H2662" s="13" t="s">
        <v>9</v>
      </c>
    </row>
    <row r="2663" spans="1:8" ht="14.4" x14ac:dyDescent="0.3">
      <c r="A2663" s="8">
        <v>82187439</v>
      </c>
      <c r="B2663" s="11">
        <v>44753</v>
      </c>
      <c r="C2663" s="13" t="s">
        <v>315</v>
      </c>
      <c r="D2663" s="13" t="s">
        <v>3640</v>
      </c>
      <c r="E2663" s="8">
        <v>10000</v>
      </c>
      <c r="F2663" s="13" t="s">
        <v>70</v>
      </c>
      <c r="G2663" s="14">
        <v>44756</v>
      </c>
      <c r="H2663" s="13" t="s">
        <v>9</v>
      </c>
    </row>
    <row r="2664" spans="1:8" ht="14.4" x14ac:dyDescent="0.3">
      <c r="A2664" s="8">
        <v>82187440</v>
      </c>
      <c r="B2664" s="11">
        <v>44753</v>
      </c>
      <c r="C2664" s="13" t="s">
        <v>3641</v>
      </c>
      <c r="D2664" s="13" t="s">
        <v>3640</v>
      </c>
      <c r="E2664" s="8">
        <v>12000</v>
      </c>
      <c r="F2664" s="13" t="s">
        <v>70</v>
      </c>
      <c r="G2664" s="14">
        <v>44756</v>
      </c>
      <c r="H2664" s="13" t="s">
        <v>9</v>
      </c>
    </row>
    <row r="2665" spans="1:8" ht="14.4" x14ac:dyDescent="0.3">
      <c r="A2665" s="8">
        <v>82187441</v>
      </c>
      <c r="B2665" s="11">
        <v>44753</v>
      </c>
      <c r="C2665" s="13" t="s">
        <v>316</v>
      </c>
      <c r="D2665" s="13" t="s">
        <v>3640</v>
      </c>
      <c r="E2665" s="8">
        <v>10000</v>
      </c>
      <c r="F2665" s="13" t="s">
        <v>70</v>
      </c>
      <c r="G2665" s="14">
        <v>44756</v>
      </c>
      <c r="H2665" s="13" t="s">
        <v>9</v>
      </c>
    </row>
    <row r="2666" spans="1:8" ht="14.4" x14ac:dyDescent="0.3">
      <c r="A2666" s="8">
        <v>82187442</v>
      </c>
      <c r="B2666" s="11">
        <v>44753</v>
      </c>
      <c r="C2666" s="13" t="s">
        <v>186</v>
      </c>
      <c r="D2666" s="13" t="s">
        <v>3642</v>
      </c>
      <c r="E2666" s="8">
        <v>550</v>
      </c>
      <c r="F2666" s="13" t="s">
        <v>70</v>
      </c>
      <c r="G2666" s="14">
        <v>44756</v>
      </c>
      <c r="H2666" s="13" t="s">
        <v>9</v>
      </c>
    </row>
    <row r="2667" spans="1:8" ht="14.4" x14ac:dyDescent="0.3">
      <c r="A2667" s="8">
        <v>82187443</v>
      </c>
      <c r="B2667" s="11">
        <v>44753</v>
      </c>
      <c r="C2667" s="13" t="s">
        <v>346</v>
      </c>
      <c r="D2667" s="13" t="s">
        <v>3643</v>
      </c>
      <c r="E2667" s="8">
        <v>5000</v>
      </c>
      <c r="F2667" s="13" t="s">
        <v>70</v>
      </c>
      <c r="G2667" s="14">
        <v>44756</v>
      </c>
      <c r="H2667" s="13" t="s">
        <v>9</v>
      </c>
    </row>
    <row r="2668" spans="1:8" ht="14.4" x14ac:dyDescent="0.3">
      <c r="A2668" s="8">
        <v>82187444</v>
      </c>
      <c r="B2668" s="11">
        <v>44753</v>
      </c>
      <c r="C2668" s="13" t="s">
        <v>334</v>
      </c>
      <c r="D2668" s="13" t="s">
        <v>3643</v>
      </c>
      <c r="E2668" s="8">
        <v>10000</v>
      </c>
      <c r="F2668" s="13" t="s">
        <v>70</v>
      </c>
      <c r="G2668" s="14">
        <v>44757</v>
      </c>
      <c r="H2668" s="13" t="s">
        <v>9</v>
      </c>
    </row>
    <row r="2669" spans="1:8" ht="14.4" x14ac:dyDescent="0.3">
      <c r="A2669" s="8">
        <v>82187445</v>
      </c>
      <c r="B2669" s="11">
        <v>44753</v>
      </c>
      <c r="C2669" s="13" t="s">
        <v>1286</v>
      </c>
      <c r="D2669" s="13" t="s">
        <v>3644</v>
      </c>
      <c r="E2669" s="8">
        <v>53202.080000000002</v>
      </c>
      <c r="F2669" s="13" t="s">
        <v>70</v>
      </c>
      <c r="G2669" s="14">
        <v>44755</v>
      </c>
      <c r="H2669" s="13" t="s">
        <v>9</v>
      </c>
    </row>
    <row r="2670" spans="1:8" ht="14.4" x14ac:dyDescent="0.3">
      <c r="A2670" s="8">
        <v>82187446</v>
      </c>
      <c r="B2670" s="11">
        <v>44753</v>
      </c>
      <c r="C2670" s="13" t="s">
        <v>265</v>
      </c>
      <c r="D2670" s="13" t="s">
        <v>3645</v>
      </c>
      <c r="E2670" s="8">
        <v>42050</v>
      </c>
      <c r="F2670" s="13" t="s">
        <v>70</v>
      </c>
      <c r="G2670" s="14">
        <v>44754</v>
      </c>
      <c r="H2670" s="13" t="s">
        <v>9</v>
      </c>
    </row>
    <row r="2671" spans="1:8" ht="14.4" x14ac:dyDescent="0.3">
      <c r="A2671" s="8">
        <v>82187447</v>
      </c>
      <c r="B2671" s="11">
        <v>44753</v>
      </c>
      <c r="C2671" s="13" t="s">
        <v>336</v>
      </c>
      <c r="D2671" s="13" t="s">
        <v>3643</v>
      </c>
      <c r="E2671" s="8">
        <v>20000</v>
      </c>
      <c r="F2671" s="13" t="s">
        <v>70</v>
      </c>
      <c r="G2671" s="14">
        <v>44757</v>
      </c>
      <c r="H2671" s="13" t="s">
        <v>9</v>
      </c>
    </row>
    <row r="2672" spans="1:8" ht="14.4" x14ac:dyDescent="0.3">
      <c r="A2672" s="8">
        <v>82187448</v>
      </c>
      <c r="B2672" s="11">
        <v>44753</v>
      </c>
      <c r="C2672" s="13" t="s">
        <v>2355</v>
      </c>
      <c r="D2672" s="13" t="s">
        <v>3643</v>
      </c>
      <c r="E2672" s="8">
        <v>6000</v>
      </c>
      <c r="F2672" s="13" t="s">
        <v>70</v>
      </c>
      <c r="G2672" s="14">
        <v>44757</v>
      </c>
      <c r="H2672" s="13" t="s">
        <v>9</v>
      </c>
    </row>
    <row r="2673" spans="1:8" ht="14.4" x14ac:dyDescent="0.3">
      <c r="A2673" s="8">
        <v>82187449</v>
      </c>
      <c r="B2673" s="11">
        <v>44753</v>
      </c>
      <c r="C2673" s="13" t="s">
        <v>339</v>
      </c>
      <c r="D2673" s="13" t="s">
        <v>3643</v>
      </c>
      <c r="E2673" s="8">
        <v>5000</v>
      </c>
      <c r="F2673" s="13" t="s">
        <v>70</v>
      </c>
      <c r="G2673" s="14">
        <v>44757</v>
      </c>
      <c r="H2673" s="13" t="s">
        <v>9</v>
      </c>
    </row>
    <row r="2674" spans="1:8" ht="14.4" x14ac:dyDescent="0.3">
      <c r="A2674" s="8">
        <v>82187450</v>
      </c>
      <c r="B2674" s="11">
        <v>44753</v>
      </c>
      <c r="C2674" s="13" t="s">
        <v>124</v>
      </c>
      <c r="D2674" s="13" t="s">
        <v>3643</v>
      </c>
      <c r="E2674" s="8">
        <v>5000</v>
      </c>
      <c r="F2674" s="13" t="s">
        <v>70</v>
      </c>
      <c r="G2674" s="14">
        <v>44757</v>
      </c>
      <c r="H2674" s="13" t="s">
        <v>9</v>
      </c>
    </row>
    <row r="2675" spans="1:8" ht="14.4" x14ac:dyDescent="0.3">
      <c r="A2675" s="8">
        <v>82187451</v>
      </c>
      <c r="B2675" s="11">
        <v>44754</v>
      </c>
      <c r="C2675" s="13" t="s">
        <v>159</v>
      </c>
      <c r="D2675" s="13" t="s">
        <v>3646</v>
      </c>
      <c r="E2675" s="8">
        <v>263000</v>
      </c>
      <c r="F2675" s="13" t="s">
        <v>70</v>
      </c>
      <c r="G2675" s="14">
        <v>44754</v>
      </c>
      <c r="H2675" s="13" t="s">
        <v>9</v>
      </c>
    </row>
    <row r="2676" spans="1:8" ht="14.4" x14ac:dyDescent="0.3">
      <c r="A2676" s="8">
        <v>82187452</v>
      </c>
      <c r="B2676" s="11">
        <v>44754</v>
      </c>
      <c r="C2676" s="13" t="s">
        <v>2365</v>
      </c>
      <c r="D2676" s="13" t="s">
        <v>3643</v>
      </c>
      <c r="E2676" s="8">
        <v>5000</v>
      </c>
      <c r="F2676" s="13" t="s">
        <v>70</v>
      </c>
      <c r="G2676" s="14">
        <v>44757</v>
      </c>
      <c r="H2676" s="13" t="s">
        <v>9</v>
      </c>
    </row>
    <row r="2677" spans="1:8" ht="14.4" x14ac:dyDescent="0.3">
      <c r="A2677" s="8">
        <v>82187453</v>
      </c>
      <c r="B2677" s="11">
        <v>44754</v>
      </c>
      <c r="C2677" s="13" t="s">
        <v>342</v>
      </c>
      <c r="D2677" s="13" t="s">
        <v>3643</v>
      </c>
      <c r="E2677" s="8">
        <v>3000</v>
      </c>
      <c r="F2677" s="13" t="s">
        <v>70</v>
      </c>
      <c r="G2677" s="14">
        <v>44757</v>
      </c>
      <c r="H2677" s="13" t="s">
        <v>9</v>
      </c>
    </row>
    <row r="2678" spans="1:8" ht="14.4" x14ac:dyDescent="0.3">
      <c r="A2678" s="8">
        <v>82187454</v>
      </c>
      <c r="B2678" s="11">
        <v>44754</v>
      </c>
      <c r="C2678" s="13" t="s">
        <v>344</v>
      </c>
      <c r="D2678" s="13" t="s">
        <v>3643</v>
      </c>
      <c r="E2678" s="8">
        <v>3000</v>
      </c>
      <c r="F2678" s="13" t="s">
        <v>70</v>
      </c>
      <c r="G2678" s="14">
        <v>44757</v>
      </c>
      <c r="H2678" s="13" t="s">
        <v>9</v>
      </c>
    </row>
    <row r="2679" spans="1:8" ht="14.4" x14ac:dyDescent="0.3">
      <c r="A2679" s="8">
        <v>82187455</v>
      </c>
      <c r="B2679" s="11">
        <v>44754</v>
      </c>
      <c r="C2679" s="13" t="s">
        <v>75</v>
      </c>
      <c r="D2679" s="13" t="s">
        <v>3528</v>
      </c>
      <c r="E2679" s="8">
        <v>15000</v>
      </c>
      <c r="F2679" s="13" t="s">
        <v>70</v>
      </c>
      <c r="G2679" s="14">
        <v>44761</v>
      </c>
      <c r="H2679" s="13" t="s">
        <v>9</v>
      </c>
    </row>
    <row r="2680" spans="1:8" ht="14.4" x14ac:dyDescent="0.3">
      <c r="A2680" s="8">
        <v>82187456</v>
      </c>
      <c r="B2680" s="11">
        <v>44754</v>
      </c>
      <c r="C2680" s="13" t="s">
        <v>77</v>
      </c>
      <c r="D2680" s="13" t="s">
        <v>3528</v>
      </c>
      <c r="E2680" s="8">
        <v>10000</v>
      </c>
      <c r="F2680" s="13" t="s">
        <v>70</v>
      </c>
      <c r="G2680" s="14">
        <v>44761</v>
      </c>
      <c r="H2680" s="13" t="s">
        <v>9</v>
      </c>
    </row>
    <row r="2681" spans="1:8" ht="14.4" x14ac:dyDescent="0.3">
      <c r="A2681" s="8">
        <v>82187457</v>
      </c>
      <c r="B2681" s="11">
        <v>44754</v>
      </c>
      <c r="C2681" s="13" t="s">
        <v>78</v>
      </c>
      <c r="D2681" s="13" t="s">
        <v>3528</v>
      </c>
      <c r="E2681" s="8">
        <v>10000</v>
      </c>
      <c r="F2681" s="13" t="s">
        <v>70</v>
      </c>
      <c r="G2681" s="14">
        <v>44761</v>
      </c>
      <c r="H2681" s="13" t="s">
        <v>9</v>
      </c>
    </row>
    <row r="2682" spans="1:8" ht="14.4" x14ac:dyDescent="0.3">
      <c r="A2682" s="8">
        <v>82187459</v>
      </c>
      <c r="B2682" s="11">
        <v>44754</v>
      </c>
      <c r="C2682" s="13" t="s">
        <v>3647</v>
      </c>
      <c r="D2682" s="13" t="s">
        <v>3528</v>
      </c>
      <c r="E2682" s="8">
        <v>10000</v>
      </c>
      <c r="F2682" s="13" t="s">
        <v>70</v>
      </c>
      <c r="G2682" s="14">
        <v>44757</v>
      </c>
      <c r="H2682" s="13" t="s">
        <v>9</v>
      </c>
    </row>
    <row r="2683" spans="1:8" ht="14.4" x14ac:dyDescent="0.3">
      <c r="A2683" s="8">
        <v>82187460</v>
      </c>
      <c r="B2683" s="11">
        <v>44754</v>
      </c>
      <c r="C2683" s="13" t="s">
        <v>2359</v>
      </c>
      <c r="D2683" s="13" t="s">
        <v>3528</v>
      </c>
      <c r="E2683" s="8">
        <v>10000</v>
      </c>
      <c r="F2683" s="13" t="s">
        <v>70</v>
      </c>
      <c r="G2683" s="14">
        <v>44767</v>
      </c>
      <c r="H2683" s="13" t="s">
        <v>9</v>
      </c>
    </row>
    <row r="2684" spans="1:8" ht="14.4" x14ac:dyDescent="0.3">
      <c r="A2684" s="8">
        <v>82187461</v>
      </c>
      <c r="B2684" s="11">
        <v>44754</v>
      </c>
      <c r="C2684" s="13" t="s">
        <v>97</v>
      </c>
      <c r="D2684" s="13" t="s">
        <v>3528</v>
      </c>
      <c r="E2684" s="8">
        <v>5000</v>
      </c>
      <c r="F2684" s="13" t="s">
        <v>70</v>
      </c>
      <c r="G2684" s="14">
        <v>44757</v>
      </c>
      <c r="H2684" s="13" t="s">
        <v>9</v>
      </c>
    </row>
    <row r="2685" spans="1:8" ht="14.4" x14ac:dyDescent="0.3">
      <c r="A2685" s="8">
        <v>82187462</v>
      </c>
      <c r="B2685" s="11">
        <v>44754</v>
      </c>
      <c r="C2685" s="13" t="s">
        <v>533</v>
      </c>
      <c r="D2685" s="13" t="s">
        <v>3528</v>
      </c>
      <c r="E2685" s="8">
        <v>3000</v>
      </c>
      <c r="F2685" s="13" t="s">
        <v>70</v>
      </c>
      <c r="G2685" s="14">
        <v>44764</v>
      </c>
      <c r="H2685" s="13" t="s">
        <v>9</v>
      </c>
    </row>
    <row r="2686" spans="1:8" ht="14.4" x14ac:dyDescent="0.3">
      <c r="A2686" s="8">
        <v>82187463</v>
      </c>
      <c r="B2686" s="11">
        <v>44754</v>
      </c>
      <c r="C2686" s="13" t="s">
        <v>345</v>
      </c>
      <c r="D2686" s="13" t="s">
        <v>3643</v>
      </c>
      <c r="E2686" s="8">
        <v>10000</v>
      </c>
      <c r="F2686" s="13" t="s">
        <v>70</v>
      </c>
      <c r="G2686" s="14">
        <v>44756</v>
      </c>
      <c r="H2686" s="13" t="s">
        <v>9</v>
      </c>
    </row>
    <row r="2687" spans="1:8" ht="14.4" x14ac:dyDescent="0.3">
      <c r="A2687" s="8">
        <v>82187464</v>
      </c>
      <c r="B2687" s="11">
        <v>44754</v>
      </c>
      <c r="C2687" s="13" t="s">
        <v>1430</v>
      </c>
      <c r="D2687" s="13" t="s">
        <v>3648</v>
      </c>
      <c r="E2687" s="8">
        <v>13426.16</v>
      </c>
      <c r="F2687" s="13" t="s">
        <v>70</v>
      </c>
      <c r="G2687" s="14">
        <v>44756</v>
      </c>
      <c r="H2687" s="13" t="s">
        <v>9</v>
      </c>
    </row>
    <row r="2688" spans="1:8" ht="14.4" x14ac:dyDescent="0.3">
      <c r="A2688" s="8">
        <v>82187465</v>
      </c>
      <c r="B2688" s="11">
        <v>44754</v>
      </c>
      <c r="C2688" s="13" t="s">
        <v>1430</v>
      </c>
      <c r="D2688" s="13" t="s">
        <v>3649</v>
      </c>
      <c r="E2688" s="8">
        <v>29904</v>
      </c>
      <c r="F2688" s="13" t="s">
        <v>70</v>
      </c>
      <c r="G2688" s="14">
        <v>44756</v>
      </c>
      <c r="H2688" s="13" t="s">
        <v>9</v>
      </c>
    </row>
    <row r="2689" spans="1:8" ht="14.4" x14ac:dyDescent="0.3">
      <c r="A2689" s="8">
        <v>82187466</v>
      </c>
      <c r="B2689" s="11">
        <v>44754</v>
      </c>
      <c r="C2689" s="13" t="s">
        <v>347</v>
      </c>
      <c r="D2689" s="13" t="s">
        <v>3643</v>
      </c>
      <c r="E2689" s="8">
        <v>3000</v>
      </c>
      <c r="F2689" s="13" t="s">
        <v>70</v>
      </c>
      <c r="G2689" s="14">
        <v>44756</v>
      </c>
      <c r="H2689" s="13" t="s">
        <v>9</v>
      </c>
    </row>
    <row r="2690" spans="1:8" ht="14.4" x14ac:dyDescent="0.3">
      <c r="A2690" s="8">
        <v>82187468</v>
      </c>
      <c r="B2690" s="11">
        <v>44754</v>
      </c>
      <c r="C2690" s="13" t="s">
        <v>193</v>
      </c>
      <c r="D2690" s="13" t="s">
        <v>3650</v>
      </c>
      <c r="E2690" s="8">
        <v>3795</v>
      </c>
      <c r="F2690" s="13" t="s">
        <v>70</v>
      </c>
      <c r="G2690" s="14">
        <v>44756</v>
      </c>
      <c r="H2690" s="13" t="s">
        <v>9</v>
      </c>
    </row>
    <row r="2691" spans="1:8" ht="14.4" x14ac:dyDescent="0.3">
      <c r="A2691" s="8">
        <v>82187470</v>
      </c>
      <c r="B2691" s="11">
        <v>44754</v>
      </c>
      <c r="C2691" s="13" t="s">
        <v>1784</v>
      </c>
      <c r="D2691" s="13" t="s">
        <v>1799</v>
      </c>
      <c r="E2691" s="8">
        <v>8000</v>
      </c>
      <c r="F2691" s="13" t="s">
        <v>70</v>
      </c>
      <c r="G2691" s="14">
        <v>44762</v>
      </c>
      <c r="H2691" s="13" t="s">
        <v>9</v>
      </c>
    </row>
    <row r="2692" spans="1:8" ht="14.4" x14ac:dyDescent="0.3">
      <c r="A2692" s="8">
        <v>82187471</v>
      </c>
      <c r="B2692" s="11">
        <v>44754</v>
      </c>
      <c r="C2692" s="13" t="s">
        <v>3651</v>
      </c>
      <c r="D2692" s="13" t="s">
        <v>3652</v>
      </c>
      <c r="E2692" s="8">
        <v>6000</v>
      </c>
      <c r="F2692" s="13" t="s">
        <v>70</v>
      </c>
      <c r="G2692" s="14">
        <v>44756</v>
      </c>
      <c r="H2692" s="13" t="s">
        <v>9</v>
      </c>
    </row>
    <row r="2693" spans="1:8" ht="14.4" x14ac:dyDescent="0.3">
      <c r="A2693" s="8">
        <v>82187472</v>
      </c>
      <c r="B2693" s="11">
        <v>44754</v>
      </c>
      <c r="C2693" s="13" t="s">
        <v>541</v>
      </c>
      <c r="D2693" s="13" t="s">
        <v>3653</v>
      </c>
      <c r="E2693" s="8">
        <v>4500</v>
      </c>
      <c r="F2693" s="13" t="s">
        <v>70</v>
      </c>
      <c r="G2693" s="14">
        <v>44756</v>
      </c>
      <c r="H2693" s="13" t="s">
        <v>9</v>
      </c>
    </row>
    <row r="2694" spans="1:8" ht="14.4" x14ac:dyDescent="0.3">
      <c r="A2694" s="8">
        <v>82187473</v>
      </c>
      <c r="B2694" s="11">
        <v>44754</v>
      </c>
      <c r="C2694" s="13" t="s">
        <v>543</v>
      </c>
      <c r="D2694" s="13" t="s">
        <v>3652</v>
      </c>
      <c r="E2694" s="8">
        <v>4500</v>
      </c>
      <c r="F2694" s="13" t="s">
        <v>70</v>
      </c>
      <c r="G2694" s="14">
        <v>44756</v>
      </c>
      <c r="H2694" s="13" t="s">
        <v>9</v>
      </c>
    </row>
    <row r="2695" spans="1:8" ht="14.4" x14ac:dyDescent="0.3">
      <c r="A2695" s="8">
        <v>82187474</v>
      </c>
      <c r="B2695" s="11">
        <v>44754</v>
      </c>
      <c r="C2695" s="13" t="s">
        <v>542</v>
      </c>
      <c r="D2695" s="13" t="s">
        <v>3652</v>
      </c>
      <c r="E2695" s="8">
        <v>4500</v>
      </c>
      <c r="F2695" s="13" t="s">
        <v>70</v>
      </c>
      <c r="G2695" s="14">
        <v>44756</v>
      </c>
      <c r="H2695" s="13" t="s">
        <v>9</v>
      </c>
    </row>
    <row r="2696" spans="1:8" ht="14.4" x14ac:dyDescent="0.3">
      <c r="A2696" s="8">
        <v>82187475</v>
      </c>
      <c r="B2696" s="11">
        <v>44754</v>
      </c>
      <c r="C2696" s="13" t="s">
        <v>544</v>
      </c>
      <c r="D2696" s="13" t="s">
        <v>3652</v>
      </c>
      <c r="E2696" s="8">
        <v>4500</v>
      </c>
      <c r="F2696" s="13" t="s">
        <v>70</v>
      </c>
      <c r="G2696" s="14">
        <v>44756</v>
      </c>
      <c r="H2696" s="13" t="s">
        <v>9</v>
      </c>
    </row>
    <row r="2697" spans="1:8" ht="14.4" x14ac:dyDescent="0.3">
      <c r="A2697" s="8">
        <v>82187476</v>
      </c>
      <c r="B2697" s="11">
        <v>44754</v>
      </c>
      <c r="C2697" s="13" t="s">
        <v>324</v>
      </c>
      <c r="D2697" s="13" t="s">
        <v>3640</v>
      </c>
      <c r="E2697" s="8">
        <v>12000</v>
      </c>
      <c r="F2697" s="13" t="s">
        <v>70</v>
      </c>
      <c r="G2697" s="14">
        <v>44756</v>
      </c>
      <c r="H2697" s="13" t="s">
        <v>9</v>
      </c>
    </row>
    <row r="2698" spans="1:8" ht="14.4" x14ac:dyDescent="0.3">
      <c r="A2698" s="8">
        <v>82187477</v>
      </c>
      <c r="B2698" s="11">
        <v>44754</v>
      </c>
      <c r="C2698" s="13" t="s">
        <v>320</v>
      </c>
      <c r="D2698" s="13" t="s">
        <v>3640</v>
      </c>
      <c r="E2698" s="8">
        <v>10000</v>
      </c>
      <c r="F2698" s="13" t="s">
        <v>70</v>
      </c>
      <c r="G2698" s="14">
        <v>44756</v>
      </c>
      <c r="H2698" s="13" t="s">
        <v>9</v>
      </c>
    </row>
    <row r="2699" spans="1:8" ht="14.4" x14ac:dyDescent="0.3">
      <c r="A2699" s="8">
        <v>82187478</v>
      </c>
      <c r="B2699" s="11">
        <v>44754</v>
      </c>
      <c r="C2699" s="13" t="s">
        <v>321</v>
      </c>
      <c r="D2699" s="13" t="s">
        <v>3654</v>
      </c>
      <c r="E2699" s="8">
        <v>12000</v>
      </c>
      <c r="F2699" s="13" t="s">
        <v>70</v>
      </c>
      <c r="G2699" s="14">
        <v>44756</v>
      </c>
      <c r="H2699" s="13" t="s">
        <v>9</v>
      </c>
    </row>
    <row r="2700" spans="1:8" ht="14.4" x14ac:dyDescent="0.3">
      <c r="A2700" s="8">
        <v>82187479</v>
      </c>
      <c r="B2700" s="11">
        <v>44754</v>
      </c>
      <c r="C2700" s="13" t="s">
        <v>319</v>
      </c>
      <c r="D2700" s="13" t="s">
        <v>3640</v>
      </c>
      <c r="E2700" s="8">
        <v>10000</v>
      </c>
      <c r="F2700" s="13" t="s">
        <v>70</v>
      </c>
      <c r="G2700" s="14">
        <v>44756</v>
      </c>
      <c r="H2700" s="13" t="s">
        <v>9</v>
      </c>
    </row>
    <row r="2701" spans="1:8" ht="14.4" x14ac:dyDescent="0.3">
      <c r="A2701" s="8">
        <v>82187480</v>
      </c>
      <c r="B2701" s="11">
        <v>44754</v>
      </c>
      <c r="C2701" s="13" t="s">
        <v>318</v>
      </c>
      <c r="D2701" s="13" t="s">
        <v>3640</v>
      </c>
      <c r="E2701" s="8">
        <v>10000</v>
      </c>
      <c r="F2701" s="13" t="s">
        <v>70</v>
      </c>
      <c r="G2701" s="14">
        <v>44756</v>
      </c>
      <c r="H2701" s="13" t="s">
        <v>9</v>
      </c>
    </row>
    <row r="2702" spans="1:8" ht="14.4" x14ac:dyDescent="0.3">
      <c r="A2702" s="8">
        <v>82187481</v>
      </c>
      <c r="B2702" s="11">
        <v>44754</v>
      </c>
      <c r="C2702" s="13" t="s">
        <v>317</v>
      </c>
      <c r="D2702" s="13" t="s">
        <v>3640</v>
      </c>
      <c r="E2702" s="8">
        <v>10000</v>
      </c>
      <c r="F2702" s="13" t="s">
        <v>70</v>
      </c>
      <c r="G2702" s="14">
        <v>44756</v>
      </c>
      <c r="H2702" s="13" t="s">
        <v>9</v>
      </c>
    </row>
    <row r="2703" spans="1:8" ht="14.4" x14ac:dyDescent="0.3">
      <c r="A2703" s="8">
        <v>82187482</v>
      </c>
      <c r="B2703" s="11">
        <v>44754</v>
      </c>
      <c r="C2703" s="13" t="s">
        <v>2571</v>
      </c>
      <c r="D2703" s="13" t="s">
        <v>3655</v>
      </c>
      <c r="E2703" s="8">
        <v>139527.85</v>
      </c>
      <c r="F2703" s="13" t="s">
        <v>70</v>
      </c>
      <c r="G2703" s="14">
        <v>44760</v>
      </c>
      <c r="H2703" s="13" t="s">
        <v>9</v>
      </c>
    </row>
    <row r="2704" spans="1:8" ht="14.4" x14ac:dyDescent="0.3">
      <c r="A2704" s="8">
        <v>82187483</v>
      </c>
      <c r="B2704" s="11">
        <v>44754</v>
      </c>
      <c r="C2704" s="13" t="s">
        <v>48</v>
      </c>
      <c r="D2704" s="13" t="s">
        <v>3656</v>
      </c>
      <c r="E2704" s="8">
        <v>40000</v>
      </c>
      <c r="F2704" s="13" t="s">
        <v>70</v>
      </c>
      <c r="G2704" s="14">
        <v>44761</v>
      </c>
      <c r="H2704" s="13" t="s">
        <v>9</v>
      </c>
    </row>
    <row r="2705" spans="1:8" ht="14.4" x14ac:dyDescent="0.3">
      <c r="A2705" s="8">
        <v>82187484</v>
      </c>
      <c r="B2705" s="11">
        <v>44754</v>
      </c>
      <c r="C2705" s="13" t="s">
        <v>3657</v>
      </c>
      <c r="D2705" s="13" t="s">
        <v>3658</v>
      </c>
      <c r="E2705" s="8">
        <v>9000</v>
      </c>
      <c r="F2705" s="13" t="s">
        <v>70</v>
      </c>
      <c r="G2705" s="14">
        <v>44756</v>
      </c>
      <c r="H2705" s="13" t="s">
        <v>9</v>
      </c>
    </row>
    <row r="2706" spans="1:8" ht="14.4" x14ac:dyDescent="0.3">
      <c r="A2706" s="8">
        <v>82187485</v>
      </c>
      <c r="B2706" s="11">
        <v>44754</v>
      </c>
      <c r="C2706" s="13" t="s">
        <v>3659</v>
      </c>
      <c r="D2706" s="13" t="s">
        <v>3660</v>
      </c>
      <c r="E2706" s="8">
        <v>8000</v>
      </c>
      <c r="F2706" s="13" t="s">
        <v>70</v>
      </c>
      <c r="G2706" s="14">
        <v>44756</v>
      </c>
      <c r="H2706" s="13" t="s">
        <v>9</v>
      </c>
    </row>
    <row r="2707" spans="1:8" ht="14.4" x14ac:dyDescent="0.3">
      <c r="A2707" s="8">
        <v>82187486</v>
      </c>
      <c r="B2707" s="11">
        <v>44754</v>
      </c>
      <c r="C2707" s="13" t="s">
        <v>3661</v>
      </c>
      <c r="D2707" s="13" t="s">
        <v>3662</v>
      </c>
      <c r="E2707" s="8">
        <v>20000</v>
      </c>
      <c r="F2707" s="13" t="s">
        <v>70</v>
      </c>
      <c r="G2707" s="14">
        <v>44756</v>
      </c>
      <c r="H2707" s="13" t="s">
        <v>9</v>
      </c>
    </row>
    <row r="2708" spans="1:8" ht="14.4" x14ac:dyDescent="0.3">
      <c r="A2708" s="8">
        <v>82187487</v>
      </c>
      <c r="B2708" s="11">
        <v>44754</v>
      </c>
      <c r="C2708" s="13" t="s">
        <v>3663</v>
      </c>
      <c r="D2708" s="13" t="s">
        <v>3664</v>
      </c>
      <c r="E2708" s="8">
        <v>10000</v>
      </c>
      <c r="F2708" s="13" t="s">
        <v>70</v>
      </c>
      <c r="G2708" s="14">
        <v>44756</v>
      </c>
      <c r="H2708" s="13" t="s">
        <v>9</v>
      </c>
    </row>
    <row r="2709" spans="1:8" ht="14.4" x14ac:dyDescent="0.3">
      <c r="A2709" s="8">
        <v>82187488</v>
      </c>
      <c r="B2709" s="11">
        <v>44754</v>
      </c>
      <c r="C2709" s="13" t="s">
        <v>3665</v>
      </c>
      <c r="D2709" s="13" t="s">
        <v>3666</v>
      </c>
      <c r="E2709" s="8">
        <v>30000</v>
      </c>
      <c r="F2709" s="13" t="s">
        <v>70</v>
      </c>
      <c r="G2709" s="14">
        <v>44757</v>
      </c>
      <c r="H2709" s="13" t="s">
        <v>9</v>
      </c>
    </row>
    <row r="2710" spans="1:8" ht="14.4" x14ac:dyDescent="0.3">
      <c r="A2710" s="8">
        <v>82187489</v>
      </c>
      <c r="B2710" s="11">
        <v>44754</v>
      </c>
      <c r="C2710" s="13" t="s">
        <v>3667</v>
      </c>
      <c r="D2710" s="13" t="s">
        <v>3668</v>
      </c>
      <c r="E2710" s="8">
        <v>45000</v>
      </c>
      <c r="F2710" s="13" t="s">
        <v>70</v>
      </c>
      <c r="G2710" s="14">
        <v>44756</v>
      </c>
      <c r="H2710" s="13" t="s">
        <v>9</v>
      </c>
    </row>
    <row r="2711" spans="1:8" ht="14.4" x14ac:dyDescent="0.3">
      <c r="A2711" s="8">
        <v>82187490</v>
      </c>
      <c r="B2711" s="11">
        <v>44754</v>
      </c>
      <c r="C2711" s="13" t="s">
        <v>3669</v>
      </c>
      <c r="D2711" s="13" t="s">
        <v>3670</v>
      </c>
      <c r="E2711" s="8">
        <v>8000</v>
      </c>
      <c r="F2711" s="13" t="s">
        <v>70</v>
      </c>
      <c r="G2711" s="14">
        <v>44756</v>
      </c>
      <c r="H2711" s="13" t="s">
        <v>9</v>
      </c>
    </row>
    <row r="2712" spans="1:8" ht="14.4" x14ac:dyDescent="0.3">
      <c r="A2712" s="8">
        <v>82187491</v>
      </c>
      <c r="B2712" s="11">
        <v>44754</v>
      </c>
      <c r="C2712" s="13" t="s">
        <v>3671</v>
      </c>
      <c r="D2712" s="13" t="s">
        <v>3672</v>
      </c>
      <c r="E2712" s="8">
        <v>30000</v>
      </c>
      <c r="F2712" s="13" t="s">
        <v>70</v>
      </c>
      <c r="G2712" s="14">
        <v>44757</v>
      </c>
      <c r="H2712" s="13" t="s">
        <v>9</v>
      </c>
    </row>
    <row r="2713" spans="1:8" ht="14.4" x14ac:dyDescent="0.3">
      <c r="A2713" s="8">
        <v>82187492</v>
      </c>
      <c r="B2713" s="11">
        <v>44754</v>
      </c>
      <c r="C2713" s="13" t="s">
        <v>3673</v>
      </c>
      <c r="D2713" s="13" t="s">
        <v>3674</v>
      </c>
      <c r="E2713" s="8">
        <v>50000</v>
      </c>
      <c r="F2713" s="13" t="s">
        <v>70</v>
      </c>
      <c r="G2713" s="14">
        <v>44756</v>
      </c>
      <c r="H2713" s="13" t="s">
        <v>9</v>
      </c>
    </row>
    <row r="2714" spans="1:8" ht="14.4" x14ac:dyDescent="0.3">
      <c r="A2714" s="8">
        <v>82187493</v>
      </c>
      <c r="B2714" s="11">
        <v>44754</v>
      </c>
      <c r="C2714" s="13" t="s">
        <v>3675</v>
      </c>
      <c r="D2714" s="13" t="s">
        <v>3676</v>
      </c>
      <c r="E2714" s="8">
        <v>20000</v>
      </c>
      <c r="F2714" s="13" t="s">
        <v>70</v>
      </c>
      <c r="G2714" s="14">
        <v>44756</v>
      </c>
      <c r="H2714" s="13" t="s">
        <v>9</v>
      </c>
    </row>
    <row r="2715" spans="1:8" ht="14.4" x14ac:dyDescent="0.3">
      <c r="A2715" s="8">
        <v>82187494</v>
      </c>
      <c r="B2715" s="11">
        <v>44754</v>
      </c>
      <c r="C2715" s="13" t="s">
        <v>3677</v>
      </c>
      <c r="D2715" s="13" t="s">
        <v>3678</v>
      </c>
      <c r="E2715" s="8">
        <v>50000</v>
      </c>
      <c r="F2715" s="13" t="s">
        <v>70</v>
      </c>
      <c r="G2715" s="14">
        <v>44756</v>
      </c>
      <c r="H2715" s="13" t="s">
        <v>9</v>
      </c>
    </row>
    <row r="2716" spans="1:8" ht="14.4" x14ac:dyDescent="0.3">
      <c r="A2716" s="8">
        <v>82187495</v>
      </c>
      <c r="B2716" s="11">
        <v>44754</v>
      </c>
      <c r="C2716" s="13" t="s">
        <v>3366</v>
      </c>
      <c r="D2716" s="13" t="s">
        <v>3679</v>
      </c>
      <c r="E2716" s="8">
        <v>8000</v>
      </c>
      <c r="F2716" s="13" t="s">
        <v>70</v>
      </c>
      <c r="G2716" s="14">
        <v>44760</v>
      </c>
      <c r="H2716" s="13" t="s">
        <v>9</v>
      </c>
    </row>
    <row r="2717" spans="1:8" ht="14.4" x14ac:dyDescent="0.3">
      <c r="A2717" s="8">
        <v>82187496</v>
      </c>
      <c r="B2717" s="11">
        <v>44754</v>
      </c>
      <c r="C2717" s="13" t="s">
        <v>3680</v>
      </c>
      <c r="D2717" s="13" t="s">
        <v>3681</v>
      </c>
      <c r="E2717" s="8">
        <v>8000</v>
      </c>
      <c r="F2717" s="13" t="s">
        <v>70</v>
      </c>
      <c r="G2717" s="14">
        <v>44757</v>
      </c>
      <c r="H2717" s="13" t="s">
        <v>9</v>
      </c>
    </row>
    <row r="2718" spans="1:8" ht="14.4" x14ac:dyDescent="0.3">
      <c r="A2718" s="8">
        <v>82187497</v>
      </c>
      <c r="B2718" s="11">
        <v>44754</v>
      </c>
      <c r="C2718" s="13" t="s">
        <v>3682</v>
      </c>
      <c r="D2718" s="13" t="s">
        <v>3683</v>
      </c>
      <c r="E2718" s="8">
        <v>30000</v>
      </c>
      <c r="F2718" s="13" t="s">
        <v>70</v>
      </c>
      <c r="G2718" s="14">
        <v>44756</v>
      </c>
      <c r="H2718" s="13" t="s">
        <v>9</v>
      </c>
    </row>
    <row r="2719" spans="1:8" ht="14.4" x14ac:dyDescent="0.3">
      <c r="A2719" s="8">
        <v>82187498</v>
      </c>
      <c r="B2719" s="11">
        <v>44754</v>
      </c>
      <c r="C2719" s="13" t="s">
        <v>83</v>
      </c>
      <c r="D2719" s="13" t="s">
        <v>3684</v>
      </c>
      <c r="E2719" s="8">
        <v>10000</v>
      </c>
      <c r="F2719" s="13" t="s">
        <v>70</v>
      </c>
      <c r="G2719" s="14">
        <v>44761</v>
      </c>
      <c r="H2719" s="13" t="s">
        <v>9</v>
      </c>
    </row>
    <row r="2720" spans="1:8" ht="14.4" x14ac:dyDescent="0.3">
      <c r="A2720" s="8">
        <v>82187499</v>
      </c>
      <c r="B2720" s="11">
        <v>44754</v>
      </c>
      <c r="C2720" s="13" t="s">
        <v>3685</v>
      </c>
      <c r="D2720" s="13" t="s">
        <v>3686</v>
      </c>
      <c r="E2720" s="8">
        <v>1103927.3600000001</v>
      </c>
      <c r="F2720" s="13" t="s">
        <v>70</v>
      </c>
      <c r="G2720" s="14">
        <v>44776</v>
      </c>
      <c r="H2720" s="13" t="s">
        <v>9</v>
      </c>
    </row>
    <row r="2721" spans="1:8" ht="14.4" x14ac:dyDescent="0.3">
      <c r="A2721" s="8">
        <v>82187500</v>
      </c>
      <c r="B2721" s="11">
        <v>44754</v>
      </c>
      <c r="C2721" s="13" t="s">
        <v>1584</v>
      </c>
      <c r="D2721" s="13" t="s">
        <v>3687</v>
      </c>
      <c r="E2721" s="8">
        <v>35178.74</v>
      </c>
      <c r="F2721" s="13" t="s">
        <v>70</v>
      </c>
      <c r="G2721" s="14">
        <v>44757</v>
      </c>
      <c r="H2721" s="13" t="s">
        <v>9</v>
      </c>
    </row>
    <row r="2722" spans="1:8" ht="14.4" x14ac:dyDescent="0.3">
      <c r="A2722" s="8">
        <v>82187502</v>
      </c>
      <c r="B2722" s="11">
        <v>44754</v>
      </c>
      <c r="C2722" s="13" t="s">
        <v>3688</v>
      </c>
      <c r="D2722" s="13" t="s">
        <v>3689</v>
      </c>
      <c r="E2722" s="8">
        <v>3858.12</v>
      </c>
      <c r="F2722" s="13" t="s">
        <v>70</v>
      </c>
      <c r="G2722" s="14">
        <v>44775</v>
      </c>
      <c r="H2722" s="13" t="s">
        <v>9</v>
      </c>
    </row>
    <row r="2723" spans="1:8" ht="14.4" x14ac:dyDescent="0.3">
      <c r="A2723" s="8">
        <v>82187503</v>
      </c>
      <c r="B2723" s="11">
        <v>44754</v>
      </c>
      <c r="C2723" s="13" t="s">
        <v>405</v>
      </c>
      <c r="D2723" s="13" t="s">
        <v>3690</v>
      </c>
      <c r="E2723" s="8">
        <v>9922.4699999999993</v>
      </c>
      <c r="F2723" s="13" t="s">
        <v>70</v>
      </c>
      <c r="G2723" s="14">
        <v>44757</v>
      </c>
      <c r="H2723" s="13" t="s">
        <v>9</v>
      </c>
    </row>
    <row r="2724" spans="1:8" ht="14.4" x14ac:dyDescent="0.3">
      <c r="A2724" s="8">
        <v>82187504</v>
      </c>
      <c r="B2724" s="11">
        <v>44754</v>
      </c>
      <c r="C2724" s="13" t="s">
        <v>1946</v>
      </c>
      <c r="D2724" s="13" t="s">
        <v>3691</v>
      </c>
      <c r="E2724" s="8">
        <v>16467.849999999999</v>
      </c>
      <c r="F2724" s="13" t="s">
        <v>70</v>
      </c>
      <c r="G2724" s="14">
        <v>44756</v>
      </c>
      <c r="H2724" s="13" t="s">
        <v>9</v>
      </c>
    </row>
    <row r="2725" spans="1:8" ht="14.4" x14ac:dyDescent="0.3">
      <c r="A2725" s="8">
        <v>82187505</v>
      </c>
      <c r="B2725" s="11">
        <v>44754</v>
      </c>
      <c r="C2725" s="13" t="s">
        <v>405</v>
      </c>
      <c r="D2725" s="13" t="s">
        <v>3692</v>
      </c>
      <c r="E2725" s="8">
        <v>1292.82</v>
      </c>
      <c r="F2725" s="13" t="s">
        <v>70</v>
      </c>
      <c r="G2725" s="14">
        <v>44757</v>
      </c>
      <c r="H2725" s="13" t="s">
        <v>9</v>
      </c>
    </row>
    <row r="2726" spans="1:8" ht="14.4" x14ac:dyDescent="0.3">
      <c r="A2726" s="8">
        <v>82187506</v>
      </c>
      <c r="B2726" s="11">
        <v>44754</v>
      </c>
      <c r="C2726" s="13" t="s">
        <v>1941</v>
      </c>
      <c r="D2726" s="13" t="s">
        <v>3693</v>
      </c>
      <c r="E2726" s="8">
        <v>32268.84</v>
      </c>
      <c r="F2726" s="13" t="s">
        <v>70</v>
      </c>
      <c r="G2726" s="14">
        <v>44760</v>
      </c>
      <c r="H2726" s="13" t="s">
        <v>9</v>
      </c>
    </row>
    <row r="2727" spans="1:8" ht="14.4" x14ac:dyDescent="0.3">
      <c r="A2727" s="8">
        <v>82187507</v>
      </c>
      <c r="B2727" s="11">
        <v>44754</v>
      </c>
      <c r="C2727" s="13" t="s">
        <v>1946</v>
      </c>
      <c r="D2727" s="13" t="s">
        <v>3694</v>
      </c>
      <c r="E2727" s="8">
        <v>7760.72</v>
      </c>
      <c r="F2727" s="13" t="s">
        <v>70</v>
      </c>
      <c r="G2727" s="14">
        <v>44756</v>
      </c>
      <c r="H2727" s="13" t="s">
        <v>9</v>
      </c>
    </row>
    <row r="2728" spans="1:8" ht="14.4" x14ac:dyDescent="0.3">
      <c r="A2728" s="8">
        <v>82187508</v>
      </c>
      <c r="B2728" s="11">
        <v>44754</v>
      </c>
      <c r="C2728" s="13" t="s">
        <v>1946</v>
      </c>
      <c r="D2728" s="13" t="s">
        <v>3695</v>
      </c>
      <c r="E2728" s="8">
        <v>69846.429999999993</v>
      </c>
      <c r="F2728" s="13" t="s">
        <v>70</v>
      </c>
      <c r="G2728" s="14">
        <v>44756</v>
      </c>
      <c r="H2728" s="13" t="s">
        <v>9</v>
      </c>
    </row>
    <row r="2729" spans="1:8" ht="14.4" x14ac:dyDescent="0.3">
      <c r="A2729" s="8">
        <v>82187509</v>
      </c>
      <c r="B2729" s="11">
        <v>44754</v>
      </c>
      <c r="C2729" s="13" t="s">
        <v>2711</v>
      </c>
      <c r="D2729" s="13" t="s">
        <v>3696</v>
      </c>
      <c r="E2729" s="8">
        <v>15805.35</v>
      </c>
      <c r="F2729" s="13" t="s">
        <v>70</v>
      </c>
      <c r="G2729" s="14">
        <v>44756</v>
      </c>
      <c r="H2729" s="13" t="s">
        <v>9</v>
      </c>
    </row>
    <row r="2730" spans="1:8" ht="14.4" x14ac:dyDescent="0.3">
      <c r="A2730" s="8">
        <v>82187510</v>
      </c>
      <c r="B2730" s="11">
        <v>44754</v>
      </c>
      <c r="C2730" s="13" t="s">
        <v>2711</v>
      </c>
      <c r="D2730" s="13" t="s">
        <v>3697</v>
      </c>
      <c r="E2730" s="8">
        <v>44008.93</v>
      </c>
      <c r="F2730" s="13" t="s">
        <v>70</v>
      </c>
      <c r="G2730" s="14">
        <v>44756</v>
      </c>
      <c r="H2730" s="13" t="s">
        <v>9</v>
      </c>
    </row>
    <row r="2731" spans="1:8" ht="14.4" x14ac:dyDescent="0.3">
      <c r="A2731" s="8">
        <v>82187511</v>
      </c>
      <c r="B2731" s="11">
        <v>44754</v>
      </c>
      <c r="C2731" s="13" t="s">
        <v>1946</v>
      </c>
      <c r="D2731" s="13" t="s">
        <v>3698</v>
      </c>
      <c r="E2731" s="8">
        <v>16751.78</v>
      </c>
      <c r="F2731" s="13" t="s">
        <v>70</v>
      </c>
      <c r="G2731" s="14">
        <v>44756</v>
      </c>
      <c r="H2731" s="13" t="s">
        <v>9</v>
      </c>
    </row>
    <row r="2732" spans="1:8" ht="14.4" x14ac:dyDescent="0.3">
      <c r="A2732" s="8">
        <v>82187512</v>
      </c>
      <c r="B2732" s="11">
        <v>44754</v>
      </c>
      <c r="C2732" s="13" t="s">
        <v>405</v>
      </c>
      <c r="D2732" s="13" t="s">
        <v>3699</v>
      </c>
      <c r="E2732" s="8">
        <v>17937.7</v>
      </c>
      <c r="F2732" s="13" t="s">
        <v>70</v>
      </c>
      <c r="G2732" s="14">
        <v>44757</v>
      </c>
      <c r="H2732" s="13" t="s">
        <v>9</v>
      </c>
    </row>
    <row r="2733" spans="1:8" ht="14.4" x14ac:dyDescent="0.3">
      <c r="A2733" s="8">
        <v>82187513</v>
      </c>
      <c r="B2733" s="11">
        <v>44754</v>
      </c>
      <c r="C2733" s="13" t="s">
        <v>405</v>
      </c>
      <c r="D2733" s="13" t="s">
        <v>3700</v>
      </c>
      <c r="E2733" s="8">
        <v>12993.79</v>
      </c>
      <c r="F2733" s="13" t="s">
        <v>70</v>
      </c>
      <c r="G2733" s="14">
        <v>44757</v>
      </c>
      <c r="H2733" s="13" t="s">
        <v>9</v>
      </c>
    </row>
    <row r="2734" spans="1:8" ht="14.4" x14ac:dyDescent="0.3">
      <c r="A2734" s="8">
        <v>82187514</v>
      </c>
      <c r="B2734" s="11">
        <v>44754</v>
      </c>
      <c r="C2734" s="13" t="s">
        <v>405</v>
      </c>
      <c r="D2734" s="13" t="s">
        <v>3701</v>
      </c>
      <c r="E2734" s="8">
        <v>53721.65</v>
      </c>
      <c r="F2734" s="13" t="s">
        <v>70</v>
      </c>
      <c r="G2734" s="14">
        <v>44763</v>
      </c>
      <c r="H2734" s="13" t="s">
        <v>9</v>
      </c>
    </row>
    <row r="2735" spans="1:8" ht="14.4" x14ac:dyDescent="0.3">
      <c r="A2735" s="8">
        <v>82187515</v>
      </c>
      <c r="B2735" s="11">
        <v>44754</v>
      </c>
      <c r="C2735" s="13" t="s">
        <v>3702</v>
      </c>
      <c r="D2735" s="13" t="s">
        <v>3703</v>
      </c>
      <c r="E2735" s="8">
        <v>35964.28</v>
      </c>
      <c r="F2735" s="13" t="s">
        <v>70</v>
      </c>
      <c r="G2735" s="14">
        <v>44756</v>
      </c>
      <c r="H2735" s="13" t="s">
        <v>9</v>
      </c>
    </row>
    <row r="2736" spans="1:8" ht="14.4" x14ac:dyDescent="0.3">
      <c r="A2736" s="8">
        <v>82187516</v>
      </c>
      <c r="B2736" s="11">
        <v>44754</v>
      </c>
      <c r="C2736" s="13" t="s">
        <v>254</v>
      </c>
      <c r="D2736" s="13" t="s">
        <v>3704</v>
      </c>
      <c r="E2736" s="8">
        <v>5300</v>
      </c>
      <c r="F2736" s="13" t="s">
        <v>70</v>
      </c>
      <c r="G2736" s="14">
        <v>44762</v>
      </c>
      <c r="H2736" s="13" t="s">
        <v>9</v>
      </c>
    </row>
    <row r="2737" spans="1:8" ht="14.4" x14ac:dyDescent="0.3">
      <c r="A2737" s="8">
        <v>82187517</v>
      </c>
      <c r="B2737" s="11">
        <v>44754</v>
      </c>
      <c r="C2737" s="13" t="s">
        <v>3705</v>
      </c>
      <c r="D2737" s="13" t="s">
        <v>3706</v>
      </c>
      <c r="E2737" s="8">
        <v>55333.56</v>
      </c>
      <c r="F2737" s="13" t="s">
        <v>70</v>
      </c>
      <c r="G2737" s="14">
        <v>44763</v>
      </c>
      <c r="H2737" s="13" t="s">
        <v>9</v>
      </c>
    </row>
    <row r="2738" spans="1:8" ht="14.4" x14ac:dyDescent="0.3">
      <c r="A2738" s="8">
        <v>82187518</v>
      </c>
      <c r="B2738" s="11">
        <v>44754</v>
      </c>
      <c r="C2738" s="13" t="s">
        <v>1941</v>
      </c>
      <c r="D2738" s="13" t="s">
        <v>3707</v>
      </c>
      <c r="E2738" s="8">
        <v>11350.9</v>
      </c>
      <c r="F2738" s="13" t="s">
        <v>70</v>
      </c>
      <c r="G2738" s="14">
        <v>44760</v>
      </c>
      <c r="H2738" s="13" t="s">
        <v>9</v>
      </c>
    </row>
    <row r="2739" spans="1:8" ht="14.4" x14ac:dyDescent="0.3">
      <c r="A2739" s="8">
        <v>82187519</v>
      </c>
      <c r="B2739" s="11">
        <v>44754</v>
      </c>
      <c r="C2739" s="13" t="s">
        <v>1524</v>
      </c>
      <c r="D2739" s="13" t="s">
        <v>3708</v>
      </c>
      <c r="E2739" s="8">
        <v>45737.11</v>
      </c>
      <c r="F2739" s="13" t="s">
        <v>70</v>
      </c>
      <c r="G2739" s="14">
        <v>44756</v>
      </c>
      <c r="H2739" s="13" t="s">
        <v>9</v>
      </c>
    </row>
    <row r="2740" spans="1:8" ht="14.4" x14ac:dyDescent="0.3">
      <c r="A2740" s="8">
        <v>82187520</v>
      </c>
      <c r="B2740" s="11">
        <v>44754</v>
      </c>
      <c r="C2740" s="13" t="s">
        <v>405</v>
      </c>
      <c r="D2740" s="13" t="s">
        <v>3709</v>
      </c>
      <c r="E2740" s="8">
        <v>33318.93</v>
      </c>
      <c r="F2740" s="13" t="s">
        <v>70</v>
      </c>
      <c r="G2740" s="14">
        <v>44757</v>
      </c>
      <c r="H2740" s="13" t="s">
        <v>9</v>
      </c>
    </row>
    <row r="2741" spans="1:8" ht="14.4" x14ac:dyDescent="0.3">
      <c r="A2741" s="8">
        <v>82187521</v>
      </c>
      <c r="B2741" s="11">
        <v>44754</v>
      </c>
      <c r="C2741" s="13" t="s">
        <v>1946</v>
      </c>
      <c r="D2741" s="13" t="s">
        <v>3710</v>
      </c>
      <c r="E2741" s="8">
        <v>3738.39</v>
      </c>
      <c r="F2741" s="13" t="s">
        <v>70</v>
      </c>
      <c r="G2741" s="14">
        <v>44756</v>
      </c>
      <c r="H2741" s="13" t="s">
        <v>9</v>
      </c>
    </row>
    <row r="2742" spans="1:8" ht="14.4" x14ac:dyDescent="0.3">
      <c r="A2742" s="8">
        <v>82187522</v>
      </c>
      <c r="B2742" s="11">
        <v>44754</v>
      </c>
      <c r="C2742" s="13" t="s">
        <v>127</v>
      </c>
      <c r="D2742" s="13" t="s">
        <v>3711</v>
      </c>
      <c r="E2742" s="8">
        <v>21377.08</v>
      </c>
      <c r="F2742" s="13" t="s">
        <v>70</v>
      </c>
      <c r="G2742" s="14">
        <v>44764</v>
      </c>
      <c r="H2742" s="13" t="s">
        <v>9</v>
      </c>
    </row>
    <row r="2743" spans="1:8" ht="14.4" x14ac:dyDescent="0.3">
      <c r="A2743" s="8">
        <v>82187523</v>
      </c>
      <c r="B2743" s="11">
        <v>44754</v>
      </c>
      <c r="C2743" s="13" t="s">
        <v>1524</v>
      </c>
      <c r="D2743" s="13" t="s">
        <v>3712</v>
      </c>
      <c r="E2743" s="8">
        <v>32377.32</v>
      </c>
      <c r="F2743" s="13" t="s">
        <v>70</v>
      </c>
      <c r="G2743" s="14">
        <v>44756</v>
      </c>
      <c r="H2743" s="13" t="s">
        <v>9</v>
      </c>
    </row>
    <row r="2744" spans="1:8" ht="14.4" x14ac:dyDescent="0.3">
      <c r="A2744" s="8">
        <v>82187524</v>
      </c>
      <c r="B2744" s="11">
        <v>44754</v>
      </c>
      <c r="C2744" s="13" t="s">
        <v>3713</v>
      </c>
      <c r="D2744" s="13" t="s">
        <v>3714</v>
      </c>
      <c r="E2744" s="8">
        <v>2799920.49</v>
      </c>
      <c r="F2744" s="13" t="s">
        <v>70</v>
      </c>
      <c r="G2744" s="14">
        <v>44756</v>
      </c>
      <c r="H2744" s="13" t="s">
        <v>9</v>
      </c>
    </row>
    <row r="2745" spans="1:8" ht="14.4" x14ac:dyDescent="0.3">
      <c r="A2745" s="8">
        <v>82187525</v>
      </c>
      <c r="B2745" s="11">
        <v>44754</v>
      </c>
      <c r="C2745" s="13" t="s">
        <v>202</v>
      </c>
      <c r="D2745" s="13" t="s">
        <v>3715</v>
      </c>
      <c r="E2745" s="8">
        <v>18427.14</v>
      </c>
      <c r="F2745" s="13" t="s">
        <v>70</v>
      </c>
      <c r="G2745" s="14">
        <v>44756</v>
      </c>
      <c r="H2745" s="13" t="s">
        <v>9</v>
      </c>
    </row>
    <row r="2746" spans="1:8" ht="14.4" x14ac:dyDescent="0.3">
      <c r="A2746" s="8">
        <v>82187526</v>
      </c>
      <c r="B2746" s="11">
        <v>44754</v>
      </c>
      <c r="C2746" s="13" t="s">
        <v>361</v>
      </c>
      <c r="D2746" s="13" t="s">
        <v>3716</v>
      </c>
      <c r="E2746" s="8">
        <v>6282.15</v>
      </c>
      <c r="F2746" s="13" t="s">
        <v>70</v>
      </c>
      <c r="G2746" s="14">
        <v>44756</v>
      </c>
      <c r="H2746" s="13" t="s">
        <v>9</v>
      </c>
    </row>
    <row r="2747" spans="1:8" ht="14.4" x14ac:dyDescent="0.3">
      <c r="A2747" s="8">
        <v>82187527</v>
      </c>
      <c r="B2747" s="11">
        <v>44754</v>
      </c>
      <c r="C2747" s="13" t="s">
        <v>677</v>
      </c>
      <c r="D2747" s="13" t="s">
        <v>3717</v>
      </c>
      <c r="E2747" s="8">
        <v>6570</v>
      </c>
      <c r="F2747" s="13" t="s">
        <v>70</v>
      </c>
      <c r="G2747" s="14">
        <v>44760</v>
      </c>
      <c r="H2747" s="13" t="s">
        <v>9</v>
      </c>
    </row>
    <row r="2748" spans="1:8" ht="14.4" x14ac:dyDescent="0.3">
      <c r="A2748" s="8">
        <v>82187528</v>
      </c>
      <c r="B2748" s="11">
        <v>44754</v>
      </c>
      <c r="C2748" s="13" t="s">
        <v>3718</v>
      </c>
      <c r="D2748" s="13" t="s">
        <v>3719</v>
      </c>
      <c r="E2748" s="8">
        <v>6000</v>
      </c>
      <c r="F2748" s="13" t="s">
        <v>70</v>
      </c>
      <c r="G2748" s="14">
        <v>44762</v>
      </c>
      <c r="H2748" s="13" t="s">
        <v>9</v>
      </c>
    </row>
    <row r="2749" spans="1:8" ht="14.4" x14ac:dyDescent="0.3">
      <c r="A2749" s="8">
        <v>82187529</v>
      </c>
      <c r="B2749" s="11">
        <v>44754</v>
      </c>
      <c r="C2749" s="13" t="s">
        <v>180</v>
      </c>
      <c r="D2749" s="13" t="s">
        <v>901</v>
      </c>
      <c r="E2749" s="8">
        <v>119922.93</v>
      </c>
      <c r="F2749" s="13" t="s">
        <v>70</v>
      </c>
      <c r="G2749" s="14">
        <v>44755</v>
      </c>
      <c r="H2749" s="13" t="s">
        <v>9</v>
      </c>
    </row>
    <row r="2750" spans="1:8" ht="14.4" x14ac:dyDescent="0.3">
      <c r="A2750" s="8">
        <v>82187530</v>
      </c>
      <c r="B2750" s="11">
        <v>44754</v>
      </c>
      <c r="C2750" s="13" t="s">
        <v>3720</v>
      </c>
      <c r="D2750" s="13" t="s">
        <v>3721</v>
      </c>
      <c r="E2750" s="8">
        <v>8000</v>
      </c>
      <c r="F2750" s="13" t="s">
        <v>70</v>
      </c>
      <c r="G2750" s="14">
        <v>44764</v>
      </c>
      <c r="H2750" s="13" t="s">
        <v>9</v>
      </c>
    </row>
    <row r="2751" spans="1:8" ht="14.4" x14ac:dyDescent="0.3">
      <c r="A2751" s="8">
        <v>82187532</v>
      </c>
      <c r="B2751" s="11">
        <v>44754</v>
      </c>
      <c r="C2751" s="13" t="s">
        <v>44</v>
      </c>
      <c r="D2751" s="13" t="s">
        <v>3722</v>
      </c>
      <c r="E2751" s="8">
        <v>12075</v>
      </c>
      <c r="F2751" s="13" t="s">
        <v>70</v>
      </c>
      <c r="G2751" s="14">
        <v>44771</v>
      </c>
      <c r="H2751" s="13" t="s">
        <v>9</v>
      </c>
    </row>
    <row r="2752" spans="1:8" ht="14.4" x14ac:dyDescent="0.3">
      <c r="A2752" s="8">
        <v>82187533</v>
      </c>
      <c r="B2752" s="11">
        <v>44754</v>
      </c>
      <c r="C2752" s="13" t="s">
        <v>44</v>
      </c>
      <c r="D2752" s="13" t="s">
        <v>3723</v>
      </c>
      <c r="E2752" s="8">
        <v>12075</v>
      </c>
      <c r="F2752" s="13" t="s">
        <v>70</v>
      </c>
      <c r="G2752" s="14">
        <v>44771</v>
      </c>
      <c r="H2752" s="13" t="s">
        <v>9</v>
      </c>
    </row>
    <row r="2753" spans="1:8" ht="14.4" x14ac:dyDescent="0.3">
      <c r="A2753" s="8">
        <v>82187534</v>
      </c>
      <c r="B2753" s="11">
        <v>44754</v>
      </c>
      <c r="C2753" s="13" t="s">
        <v>44</v>
      </c>
      <c r="D2753" s="13" t="s">
        <v>3724</v>
      </c>
      <c r="E2753" s="8">
        <v>12075</v>
      </c>
      <c r="F2753" s="13" t="s">
        <v>70</v>
      </c>
      <c r="G2753" s="14">
        <v>44771</v>
      </c>
      <c r="H2753" s="13" t="s">
        <v>9</v>
      </c>
    </row>
    <row r="2754" spans="1:8" ht="14.4" x14ac:dyDescent="0.3">
      <c r="A2754" s="8">
        <v>82187535</v>
      </c>
      <c r="B2754" s="11">
        <v>44754</v>
      </c>
      <c r="C2754" s="13" t="s">
        <v>3725</v>
      </c>
      <c r="D2754" s="13" t="s">
        <v>3726</v>
      </c>
      <c r="E2754" s="8">
        <v>49000</v>
      </c>
      <c r="F2754" s="13" t="s">
        <v>70</v>
      </c>
      <c r="G2754" s="14">
        <v>44760</v>
      </c>
      <c r="H2754" s="13" t="s">
        <v>9</v>
      </c>
    </row>
    <row r="2755" spans="1:8" ht="14.4" x14ac:dyDescent="0.3">
      <c r="A2755" s="8">
        <v>82187536</v>
      </c>
      <c r="B2755" s="11">
        <v>44754</v>
      </c>
      <c r="C2755" s="13" t="s">
        <v>506</v>
      </c>
      <c r="D2755" s="13" t="s">
        <v>3727</v>
      </c>
      <c r="E2755" s="8">
        <v>67500</v>
      </c>
      <c r="F2755" s="13" t="s">
        <v>70</v>
      </c>
      <c r="G2755" s="14">
        <v>44761</v>
      </c>
      <c r="H2755" s="13" t="s">
        <v>9</v>
      </c>
    </row>
    <row r="2756" spans="1:8" ht="14.4" x14ac:dyDescent="0.3">
      <c r="A2756" s="8">
        <v>82187537</v>
      </c>
      <c r="B2756" s="11">
        <v>44754</v>
      </c>
      <c r="C2756" s="13" t="s">
        <v>2480</v>
      </c>
      <c r="D2756" s="13" t="s">
        <v>3728</v>
      </c>
      <c r="E2756" s="8">
        <v>89000</v>
      </c>
      <c r="F2756" s="13" t="s">
        <v>70</v>
      </c>
      <c r="G2756" s="14">
        <v>44756</v>
      </c>
      <c r="H2756" s="13" t="s">
        <v>9</v>
      </c>
    </row>
    <row r="2757" spans="1:8" ht="14.4" x14ac:dyDescent="0.3">
      <c r="A2757" s="8">
        <v>82187538</v>
      </c>
      <c r="B2757" s="11">
        <v>44754</v>
      </c>
      <c r="C2757" s="13" t="s">
        <v>44</v>
      </c>
      <c r="D2757" s="13" t="s">
        <v>3729</v>
      </c>
      <c r="E2757" s="8">
        <v>6705.11</v>
      </c>
      <c r="F2757" s="13" t="s">
        <v>70</v>
      </c>
      <c r="G2757" s="14">
        <v>44771</v>
      </c>
      <c r="H2757" s="13" t="s">
        <v>9</v>
      </c>
    </row>
    <row r="2758" spans="1:8" ht="14.4" x14ac:dyDescent="0.3">
      <c r="A2758" s="8">
        <v>82187539</v>
      </c>
      <c r="B2758" s="11">
        <v>44754</v>
      </c>
      <c r="C2758" s="13" t="s">
        <v>3730</v>
      </c>
      <c r="D2758" s="13" t="s">
        <v>3731</v>
      </c>
      <c r="E2758" s="8">
        <v>6000</v>
      </c>
      <c r="F2758" s="13" t="s">
        <v>70</v>
      </c>
      <c r="G2758" s="14">
        <v>44755</v>
      </c>
      <c r="H2758" s="13" t="s">
        <v>9</v>
      </c>
    </row>
    <row r="2759" spans="1:8" ht="14.4" x14ac:dyDescent="0.3">
      <c r="A2759" s="8">
        <v>82187540</v>
      </c>
      <c r="B2759" s="11">
        <v>44754</v>
      </c>
      <c r="C2759" s="13" t="s">
        <v>1193</v>
      </c>
      <c r="D2759" s="13" t="s">
        <v>3732</v>
      </c>
      <c r="E2759" s="8">
        <v>11000</v>
      </c>
      <c r="F2759" s="13" t="s">
        <v>70</v>
      </c>
      <c r="G2759" s="14">
        <v>44761</v>
      </c>
      <c r="H2759" s="13" t="s">
        <v>9</v>
      </c>
    </row>
    <row r="2760" spans="1:8" ht="14.4" x14ac:dyDescent="0.3">
      <c r="A2760" s="8">
        <v>82187541</v>
      </c>
      <c r="B2760" s="11">
        <v>44754</v>
      </c>
      <c r="C2760" s="13" t="s">
        <v>893</v>
      </c>
      <c r="D2760" s="13" t="s">
        <v>3733</v>
      </c>
      <c r="E2760" s="8">
        <v>223000</v>
      </c>
      <c r="F2760" s="13" t="s">
        <v>70</v>
      </c>
      <c r="G2760" s="14">
        <v>44761</v>
      </c>
      <c r="H2760" s="13" t="s">
        <v>9</v>
      </c>
    </row>
    <row r="2761" spans="1:8" ht="14.4" x14ac:dyDescent="0.3">
      <c r="A2761" s="8">
        <v>82187542</v>
      </c>
      <c r="B2761" s="11">
        <v>44754</v>
      </c>
      <c r="C2761" s="13" t="s">
        <v>71</v>
      </c>
      <c r="D2761" s="13" t="s">
        <v>3734</v>
      </c>
      <c r="E2761" s="8">
        <v>44382.49</v>
      </c>
      <c r="F2761" s="13" t="s">
        <v>70</v>
      </c>
      <c r="G2761" s="14">
        <v>44762</v>
      </c>
      <c r="H2761" s="13" t="s">
        <v>9</v>
      </c>
    </row>
    <row r="2762" spans="1:8" ht="14.4" x14ac:dyDescent="0.3">
      <c r="A2762" s="8">
        <v>82187543</v>
      </c>
      <c r="B2762" s="11">
        <v>44754</v>
      </c>
      <c r="C2762" s="13" t="s">
        <v>74</v>
      </c>
      <c r="D2762" s="13" t="s">
        <v>3735</v>
      </c>
      <c r="E2762" s="8">
        <v>26412.32</v>
      </c>
      <c r="F2762" s="13" t="s">
        <v>70</v>
      </c>
      <c r="G2762" s="14">
        <v>44761</v>
      </c>
      <c r="H2762" s="13" t="s">
        <v>9</v>
      </c>
    </row>
    <row r="2763" spans="1:8" ht="14.4" x14ac:dyDescent="0.3">
      <c r="A2763" s="8">
        <v>82187544</v>
      </c>
      <c r="B2763" s="11">
        <v>44754</v>
      </c>
      <c r="C2763" s="13" t="s">
        <v>1286</v>
      </c>
      <c r="D2763" s="13" t="s">
        <v>3736</v>
      </c>
      <c r="E2763" s="8">
        <v>151851.65</v>
      </c>
      <c r="F2763" s="13" t="s">
        <v>70</v>
      </c>
      <c r="G2763" s="14">
        <v>44755</v>
      </c>
      <c r="H2763" s="13" t="s">
        <v>9</v>
      </c>
    </row>
    <row r="2764" spans="1:8" ht="14.4" x14ac:dyDescent="0.3">
      <c r="A2764" s="8">
        <v>82187545</v>
      </c>
      <c r="B2764" s="11">
        <v>44754</v>
      </c>
      <c r="C2764" s="13" t="s">
        <v>1286</v>
      </c>
      <c r="D2764" s="13" t="s">
        <v>3737</v>
      </c>
      <c r="E2764" s="8">
        <v>236926.94</v>
      </c>
      <c r="F2764" s="13" t="s">
        <v>70</v>
      </c>
      <c r="G2764" s="14">
        <v>44755</v>
      </c>
      <c r="H2764" s="13" t="s">
        <v>9</v>
      </c>
    </row>
    <row r="2765" spans="1:8" ht="14.4" x14ac:dyDescent="0.3">
      <c r="A2765" s="8">
        <v>82187546</v>
      </c>
      <c r="B2765" s="11">
        <v>44755</v>
      </c>
      <c r="C2765" s="13" t="s">
        <v>113</v>
      </c>
      <c r="D2765" s="13" t="s">
        <v>3738</v>
      </c>
      <c r="E2765" s="8">
        <v>20000</v>
      </c>
      <c r="F2765" s="13" t="s">
        <v>70</v>
      </c>
      <c r="G2765" s="14">
        <v>44768</v>
      </c>
      <c r="H2765" s="13" t="s">
        <v>9</v>
      </c>
    </row>
    <row r="2766" spans="1:8" ht="14.4" x14ac:dyDescent="0.3">
      <c r="A2766" s="8">
        <v>82187547</v>
      </c>
      <c r="B2766" s="11">
        <v>44755</v>
      </c>
      <c r="C2766" s="13" t="s">
        <v>114</v>
      </c>
      <c r="D2766" s="13" t="s">
        <v>3528</v>
      </c>
      <c r="E2766" s="8">
        <v>10000</v>
      </c>
      <c r="F2766" s="13" t="s">
        <v>70</v>
      </c>
      <c r="G2766" s="14">
        <v>44771</v>
      </c>
      <c r="H2766" s="13" t="s">
        <v>9</v>
      </c>
    </row>
    <row r="2767" spans="1:8" ht="14.4" x14ac:dyDescent="0.3">
      <c r="A2767" s="8">
        <v>82187548</v>
      </c>
      <c r="B2767" s="11">
        <v>44755</v>
      </c>
      <c r="C2767" s="13" t="s">
        <v>115</v>
      </c>
      <c r="D2767" s="13" t="s">
        <v>3528</v>
      </c>
      <c r="E2767" s="8">
        <v>5000</v>
      </c>
      <c r="F2767" s="13" t="s">
        <v>70</v>
      </c>
      <c r="G2767" s="14">
        <v>44775</v>
      </c>
      <c r="H2767" s="13" t="s">
        <v>9</v>
      </c>
    </row>
    <row r="2768" spans="1:8" ht="14.4" x14ac:dyDescent="0.3">
      <c r="A2768" s="8">
        <v>82187549</v>
      </c>
      <c r="B2768" s="11">
        <v>44755</v>
      </c>
      <c r="C2768" s="13" t="s">
        <v>116</v>
      </c>
      <c r="D2768" s="13" t="s">
        <v>3528</v>
      </c>
      <c r="E2768" s="8">
        <v>5000</v>
      </c>
      <c r="F2768" s="13" t="s">
        <v>70</v>
      </c>
      <c r="G2768" s="14">
        <v>44768</v>
      </c>
      <c r="H2768" s="13" t="s">
        <v>9</v>
      </c>
    </row>
    <row r="2769" spans="1:8" ht="14.4" x14ac:dyDescent="0.3">
      <c r="A2769" s="8">
        <v>82187550</v>
      </c>
      <c r="B2769" s="11">
        <v>44755</v>
      </c>
      <c r="C2769" s="13" t="s">
        <v>117</v>
      </c>
      <c r="D2769" s="13" t="s">
        <v>3528</v>
      </c>
      <c r="E2769" s="8">
        <v>3000</v>
      </c>
      <c r="F2769" s="13" t="s">
        <v>70</v>
      </c>
      <c r="G2769" s="14">
        <v>44771</v>
      </c>
      <c r="H2769" s="13" t="s">
        <v>9</v>
      </c>
    </row>
    <row r="2770" spans="1:8" ht="14.4" x14ac:dyDescent="0.3">
      <c r="A2770" s="8">
        <v>82187551</v>
      </c>
      <c r="B2770" s="11">
        <v>44755</v>
      </c>
      <c r="C2770" s="13" t="s">
        <v>87</v>
      </c>
      <c r="D2770" s="13" t="s">
        <v>3739</v>
      </c>
      <c r="E2770" s="8">
        <v>3000</v>
      </c>
      <c r="F2770" s="13" t="s">
        <v>70</v>
      </c>
      <c r="G2770" s="14">
        <v>44762</v>
      </c>
      <c r="H2770" s="13" t="s">
        <v>9</v>
      </c>
    </row>
    <row r="2771" spans="1:8" ht="14.4" x14ac:dyDescent="0.3">
      <c r="A2771" s="8">
        <v>82187552</v>
      </c>
      <c r="B2771" s="11">
        <v>44755</v>
      </c>
      <c r="C2771" s="13" t="s">
        <v>326</v>
      </c>
      <c r="D2771" s="13" t="s">
        <v>3739</v>
      </c>
      <c r="E2771" s="8">
        <v>3000</v>
      </c>
      <c r="F2771" s="13" t="s">
        <v>70</v>
      </c>
      <c r="G2771" s="14">
        <v>44859</v>
      </c>
      <c r="H2771" s="13" t="s">
        <v>9</v>
      </c>
    </row>
    <row r="2772" spans="1:8" ht="14.4" x14ac:dyDescent="0.3">
      <c r="A2772" s="8">
        <v>82187553</v>
      </c>
      <c r="B2772" s="11">
        <v>44755</v>
      </c>
      <c r="C2772" s="13" t="s">
        <v>88</v>
      </c>
      <c r="D2772" s="13" t="s">
        <v>3739</v>
      </c>
      <c r="E2772" s="8">
        <v>3000</v>
      </c>
      <c r="F2772" s="13" t="s">
        <v>70</v>
      </c>
      <c r="G2772" s="14">
        <v>44762</v>
      </c>
      <c r="H2772" s="13" t="s">
        <v>9</v>
      </c>
    </row>
    <row r="2773" spans="1:8" ht="14.4" x14ac:dyDescent="0.3">
      <c r="A2773" s="8">
        <v>82187554</v>
      </c>
      <c r="B2773" s="11">
        <v>44755</v>
      </c>
      <c r="C2773" s="13" t="s">
        <v>90</v>
      </c>
      <c r="D2773" s="13" t="s">
        <v>3739</v>
      </c>
      <c r="E2773" s="8">
        <v>3000</v>
      </c>
      <c r="F2773" s="13" t="s">
        <v>70</v>
      </c>
      <c r="G2773" s="14">
        <v>44762</v>
      </c>
      <c r="H2773" s="13" t="s">
        <v>9</v>
      </c>
    </row>
    <row r="2774" spans="1:8" ht="14.4" x14ac:dyDescent="0.3">
      <c r="A2774" s="8">
        <v>82187555</v>
      </c>
      <c r="B2774" s="11">
        <v>44755</v>
      </c>
      <c r="C2774" s="13" t="s">
        <v>91</v>
      </c>
      <c r="D2774" s="13" t="s">
        <v>3739</v>
      </c>
      <c r="E2774" s="8">
        <v>3000</v>
      </c>
      <c r="F2774" s="13" t="s">
        <v>70</v>
      </c>
      <c r="G2774" s="14">
        <v>44768</v>
      </c>
      <c r="H2774" s="13" t="s">
        <v>9</v>
      </c>
    </row>
    <row r="2775" spans="1:8" ht="14.4" x14ac:dyDescent="0.3">
      <c r="A2775" s="8">
        <v>82187556</v>
      </c>
      <c r="B2775" s="11">
        <v>44755</v>
      </c>
      <c r="C2775" s="13" t="s">
        <v>329</v>
      </c>
      <c r="D2775" s="13" t="s">
        <v>3739</v>
      </c>
      <c r="E2775" s="8">
        <v>3000</v>
      </c>
      <c r="F2775" s="13" t="s">
        <v>70</v>
      </c>
      <c r="G2775" s="14">
        <v>44768</v>
      </c>
      <c r="H2775" s="13" t="s">
        <v>9</v>
      </c>
    </row>
    <row r="2776" spans="1:8" ht="14.4" x14ac:dyDescent="0.3">
      <c r="A2776" s="8">
        <v>82187557</v>
      </c>
      <c r="B2776" s="11">
        <v>44755</v>
      </c>
      <c r="C2776" s="13" t="s">
        <v>92</v>
      </c>
      <c r="D2776" s="13" t="s">
        <v>3739</v>
      </c>
      <c r="E2776" s="8">
        <v>3000</v>
      </c>
      <c r="F2776" s="13" t="s">
        <v>70</v>
      </c>
      <c r="G2776" s="14">
        <v>44768</v>
      </c>
      <c r="H2776" s="13" t="s">
        <v>9</v>
      </c>
    </row>
    <row r="2777" spans="1:8" ht="14.4" x14ac:dyDescent="0.3">
      <c r="A2777" s="8">
        <v>82187558</v>
      </c>
      <c r="B2777" s="11">
        <v>44755</v>
      </c>
      <c r="C2777" s="13" t="s">
        <v>98</v>
      </c>
      <c r="D2777" s="13" t="s">
        <v>3739</v>
      </c>
      <c r="E2777" s="8">
        <v>3000</v>
      </c>
      <c r="F2777" s="13" t="s">
        <v>70</v>
      </c>
      <c r="G2777" s="14">
        <v>44768</v>
      </c>
      <c r="H2777" s="13" t="s">
        <v>9</v>
      </c>
    </row>
    <row r="2778" spans="1:8" ht="14.4" x14ac:dyDescent="0.3">
      <c r="A2778" s="8">
        <v>82187559</v>
      </c>
      <c r="B2778" s="11">
        <v>44755</v>
      </c>
      <c r="C2778" s="13" t="s">
        <v>1007</v>
      </c>
      <c r="D2778" s="13" t="s">
        <v>3740</v>
      </c>
      <c r="E2778" s="8">
        <v>20000</v>
      </c>
      <c r="F2778" s="13" t="s">
        <v>70</v>
      </c>
      <c r="G2778" s="14">
        <v>44763</v>
      </c>
      <c r="H2778" s="13" t="s">
        <v>9</v>
      </c>
    </row>
    <row r="2779" spans="1:8" ht="14.4" x14ac:dyDescent="0.3">
      <c r="A2779" s="8">
        <v>82187560</v>
      </c>
      <c r="B2779" s="11">
        <v>44755</v>
      </c>
      <c r="C2779" s="13" t="s">
        <v>3741</v>
      </c>
      <c r="D2779" s="13" t="s">
        <v>3742</v>
      </c>
      <c r="E2779" s="8">
        <v>20000</v>
      </c>
      <c r="F2779" s="13" t="s">
        <v>70</v>
      </c>
      <c r="G2779" s="14">
        <v>44757</v>
      </c>
      <c r="H2779" s="13" t="s">
        <v>9</v>
      </c>
    </row>
    <row r="2780" spans="1:8" ht="14.4" x14ac:dyDescent="0.3">
      <c r="A2780" s="8">
        <v>82187561</v>
      </c>
      <c r="B2780" s="11">
        <v>44755</v>
      </c>
      <c r="C2780" s="13" t="s">
        <v>3743</v>
      </c>
      <c r="D2780" s="13" t="s">
        <v>3744</v>
      </c>
      <c r="E2780" s="8">
        <v>30000</v>
      </c>
      <c r="F2780" s="13" t="s">
        <v>70</v>
      </c>
      <c r="G2780" s="14">
        <v>44763</v>
      </c>
      <c r="H2780" s="13" t="s">
        <v>9</v>
      </c>
    </row>
    <row r="2781" spans="1:8" ht="14.4" x14ac:dyDescent="0.3">
      <c r="A2781" s="8">
        <v>82187562</v>
      </c>
      <c r="B2781" s="11">
        <v>44755</v>
      </c>
      <c r="C2781" s="13" t="s">
        <v>3745</v>
      </c>
      <c r="D2781" s="13" t="s">
        <v>3746</v>
      </c>
      <c r="E2781" s="8">
        <v>35000</v>
      </c>
      <c r="F2781" s="13" t="s">
        <v>70</v>
      </c>
      <c r="G2781" s="14">
        <v>44757</v>
      </c>
      <c r="H2781" s="13" t="s">
        <v>9</v>
      </c>
    </row>
    <row r="2782" spans="1:8" ht="14.4" x14ac:dyDescent="0.3">
      <c r="A2782" s="8">
        <v>82187563</v>
      </c>
      <c r="B2782" s="11">
        <v>44755</v>
      </c>
      <c r="C2782" s="13" t="s">
        <v>3747</v>
      </c>
      <c r="D2782" s="13" t="s">
        <v>3748</v>
      </c>
      <c r="E2782" s="8">
        <v>50000</v>
      </c>
      <c r="F2782" s="13" t="s">
        <v>70</v>
      </c>
      <c r="G2782" s="14">
        <v>44757</v>
      </c>
      <c r="H2782" s="13" t="s">
        <v>9</v>
      </c>
    </row>
    <row r="2783" spans="1:8" ht="14.4" x14ac:dyDescent="0.3">
      <c r="A2783" s="8">
        <v>82187564</v>
      </c>
      <c r="B2783" s="11">
        <v>44755</v>
      </c>
      <c r="C2783" s="13" t="s">
        <v>3749</v>
      </c>
      <c r="D2783" s="13" t="s">
        <v>3750</v>
      </c>
      <c r="E2783" s="8">
        <v>10000</v>
      </c>
      <c r="F2783" s="13" t="s">
        <v>70</v>
      </c>
      <c r="G2783" s="14">
        <v>44768</v>
      </c>
      <c r="H2783" s="13" t="s">
        <v>9</v>
      </c>
    </row>
    <row r="2784" spans="1:8" ht="14.4" x14ac:dyDescent="0.3">
      <c r="A2784" s="8">
        <v>82187565</v>
      </c>
      <c r="B2784" s="11">
        <v>44755</v>
      </c>
      <c r="C2784" s="13" t="s">
        <v>3751</v>
      </c>
      <c r="D2784" s="13" t="s">
        <v>3752</v>
      </c>
      <c r="E2784" s="8">
        <v>12000</v>
      </c>
      <c r="F2784" s="13" t="s">
        <v>70</v>
      </c>
      <c r="G2784" s="14">
        <v>44757</v>
      </c>
      <c r="H2784" s="13" t="s">
        <v>9</v>
      </c>
    </row>
    <row r="2785" spans="1:8" ht="14.4" x14ac:dyDescent="0.3">
      <c r="A2785" s="8">
        <v>82187566</v>
      </c>
      <c r="B2785" s="11">
        <v>44755</v>
      </c>
      <c r="C2785" s="13" t="s">
        <v>3753</v>
      </c>
      <c r="D2785" s="13" t="s">
        <v>3754</v>
      </c>
      <c r="E2785" s="8">
        <v>8000</v>
      </c>
      <c r="F2785" s="13" t="s">
        <v>70</v>
      </c>
      <c r="G2785" s="14">
        <v>44757</v>
      </c>
      <c r="H2785" s="13" t="s">
        <v>9</v>
      </c>
    </row>
    <row r="2786" spans="1:8" ht="14.4" x14ac:dyDescent="0.3">
      <c r="A2786" s="8">
        <v>82187567</v>
      </c>
      <c r="B2786" s="11">
        <v>44755</v>
      </c>
      <c r="C2786" s="13" t="s">
        <v>275</v>
      </c>
      <c r="D2786" s="13" t="s">
        <v>3755</v>
      </c>
      <c r="E2786" s="8">
        <v>214444.21</v>
      </c>
      <c r="F2786" s="13" t="s">
        <v>70</v>
      </c>
      <c r="G2786" s="14">
        <v>44756</v>
      </c>
      <c r="H2786" s="13" t="s">
        <v>9</v>
      </c>
    </row>
    <row r="2787" spans="1:8" ht="14.4" x14ac:dyDescent="0.3">
      <c r="A2787" s="8">
        <v>82187568</v>
      </c>
      <c r="B2787" s="11">
        <v>44755</v>
      </c>
      <c r="C2787" s="13" t="s">
        <v>3756</v>
      </c>
      <c r="D2787" s="13" t="s">
        <v>3757</v>
      </c>
      <c r="E2787" s="8">
        <v>30000</v>
      </c>
      <c r="F2787" s="13" t="s">
        <v>70</v>
      </c>
      <c r="G2787" s="14">
        <v>44760</v>
      </c>
      <c r="H2787" s="13" t="s">
        <v>9</v>
      </c>
    </row>
    <row r="2788" spans="1:8" ht="14.4" x14ac:dyDescent="0.3">
      <c r="A2788" s="8">
        <v>82187569</v>
      </c>
      <c r="B2788" s="11">
        <v>44755</v>
      </c>
      <c r="C2788" s="13" t="s">
        <v>99</v>
      </c>
      <c r="D2788" s="13" t="s">
        <v>3758</v>
      </c>
      <c r="E2788" s="8">
        <v>10000</v>
      </c>
      <c r="F2788" s="13" t="s">
        <v>70</v>
      </c>
      <c r="G2788" s="14">
        <v>44757</v>
      </c>
      <c r="H2788" s="13" t="s">
        <v>9</v>
      </c>
    </row>
    <row r="2789" spans="1:8" ht="14.4" x14ac:dyDescent="0.3">
      <c r="A2789" s="8">
        <v>82187570</v>
      </c>
      <c r="B2789" s="11">
        <v>44755</v>
      </c>
      <c r="C2789" s="13" t="s">
        <v>99</v>
      </c>
      <c r="D2789" s="13" t="s">
        <v>3759</v>
      </c>
      <c r="E2789" s="8">
        <v>21000</v>
      </c>
      <c r="F2789" s="13" t="s">
        <v>70</v>
      </c>
      <c r="G2789" s="14">
        <v>44757</v>
      </c>
      <c r="H2789" s="13" t="s">
        <v>9</v>
      </c>
    </row>
    <row r="2790" spans="1:8" ht="14.4" x14ac:dyDescent="0.3">
      <c r="A2790" s="8">
        <v>82187571</v>
      </c>
      <c r="B2790" s="11">
        <v>44755</v>
      </c>
      <c r="C2790" s="13" t="s">
        <v>1033</v>
      </c>
      <c r="D2790" s="13" t="s">
        <v>3760</v>
      </c>
      <c r="E2790" s="8">
        <v>20000</v>
      </c>
      <c r="F2790" s="13" t="s">
        <v>70</v>
      </c>
      <c r="G2790" s="14">
        <v>44764</v>
      </c>
      <c r="H2790" s="13" t="s">
        <v>9</v>
      </c>
    </row>
    <row r="2791" spans="1:8" ht="14.4" x14ac:dyDescent="0.3">
      <c r="A2791" s="8">
        <v>82187572</v>
      </c>
      <c r="B2791" s="11">
        <v>44755</v>
      </c>
      <c r="C2791" s="13" t="s">
        <v>1486</v>
      </c>
      <c r="D2791" s="13" t="s">
        <v>3761</v>
      </c>
      <c r="E2791" s="8">
        <v>10000</v>
      </c>
      <c r="F2791" s="13" t="s">
        <v>70</v>
      </c>
      <c r="G2791" s="14">
        <v>44760</v>
      </c>
      <c r="H2791" s="13" t="s">
        <v>9</v>
      </c>
    </row>
    <row r="2792" spans="1:8" ht="14.4" x14ac:dyDescent="0.3">
      <c r="A2792" s="8">
        <v>82187573</v>
      </c>
      <c r="B2792" s="11">
        <v>44755</v>
      </c>
      <c r="C2792" s="13" t="s">
        <v>3762</v>
      </c>
      <c r="D2792" s="13" t="s">
        <v>3763</v>
      </c>
      <c r="E2792" s="8">
        <v>20000</v>
      </c>
      <c r="F2792" s="13" t="s">
        <v>70</v>
      </c>
      <c r="G2792" s="14">
        <v>44761</v>
      </c>
      <c r="H2792" s="13" t="s">
        <v>9</v>
      </c>
    </row>
    <row r="2793" spans="1:8" ht="14.4" x14ac:dyDescent="0.3">
      <c r="A2793" s="8">
        <v>82187574</v>
      </c>
      <c r="B2793" s="11">
        <v>44755</v>
      </c>
      <c r="C2793" s="13" t="s">
        <v>3764</v>
      </c>
      <c r="D2793" s="13" t="s">
        <v>3765</v>
      </c>
      <c r="E2793" s="8">
        <v>10000</v>
      </c>
      <c r="F2793" s="13" t="s">
        <v>70</v>
      </c>
      <c r="G2793" s="14">
        <v>44760</v>
      </c>
      <c r="H2793" s="13" t="s">
        <v>9</v>
      </c>
    </row>
    <row r="2794" spans="1:8" ht="14.4" x14ac:dyDescent="0.3">
      <c r="A2794" s="8">
        <v>82187575</v>
      </c>
      <c r="B2794" s="11">
        <v>44755</v>
      </c>
      <c r="C2794" s="13" t="s">
        <v>3766</v>
      </c>
      <c r="D2794" s="13" t="s">
        <v>3767</v>
      </c>
      <c r="E2794" s="8">
        <v>7000</v>
      </c>
      <c r="F2794" s="13" t="s">
        <v>70</v>
      </c>
      <c r="G2794" s="14">
        <v>44757</v>
      </c>
      <c r="H2794" s="13" t="s">
        <v>9</v>
      </c>
    </row>
    <row r="2795" spans="1:8" ht="14.4" x14ac:dyDescent="0.3">
      <c r="A2795" s="8">
        <v>82187576</v>
      </c>
      <c r="B2795" s="11">
        <v>44755</v>
      </c>
      <c r="C2795" s="13" t="s">
        <v>3768</v>
      </c>
      <c r="D2795" s="13" t="s">
        <v>3769</v>
      </c>
      <c r="E2795" s="8">
        <v>27000</v>
      </c>
      <c r="F2795" s="13" t="s">
        <v>70</v>
      </c>
      <c r="G2795" s="14">
        <v>44757</v>
      </c>
      <c r="H2795" s="13" t="s">
        <v>9</v>
      </c>
    </row>
    <row r="2796" spans="1:8" ht="14.4" x14ac:dyDescent="0.3">
      <c r="A2796" s="8">
        <v>82187577</v>
      </c>
      <c r="B2796" s="11">
        <v>44755</v>
      </c>
      <c r="C2796" s="13" t="s">
        <v>3770</v>
      </c>
      <c r="D2796" s="13" t="s">
        <v>3771</v>
      </c>
      <c r="E2796" s="8">
        <v>10000</v>
      </c>
      <c r="F2796" s="13" t="s">
        <v>70</v>
      </c>
      <c r="G2796" s="14">
        <v>44757</v>
      </c>
      <c r="H2796" s="13" t="s">
        <v>9</v>
      </c>
    </row>
    <row r="2797" spans="1:8" ht="14.4" x14ac:dyDescent="0.3">
      <c r="A2797" s="8">
        <v>82187578</v>
      </c>
      <c r="B2797" s="11">
        <v>44755</v>
      </c>
      <c r="C2797" s="13" t="s">
        <v>3772</v>
      </c>
      <c r="D2797" s="13" t="s">
        <v>3773</v>
      </c>
      <c r="E2797" s="8">
        <v>30000</v>
      </c>
      <c r="F2797" s="13" t="s">
        <v>70</v>
      </c>
      <c r="G2797" s="14">
        <v>44760</v>
      </c>
      <c r="H2797" s="13" t="s">
        <v>9</v>
      </c>
    </row>
    <row r="2798" spans="1:8" ht="14.4" x14ac:dyDescent="0.3">
      <c r="A2798" s="8">
        <v>82187580</v>
      </c>
      <c r="B2798" s="11">
        <v>44755</v>
      </c>
      <c r="C2798" s="13" t="s">
        <v>3774</v>
      </c>
      <c r="D2798" s="13" t="s">
        <v>3775</v>
      </c>
      <c r="E2798" s="8">
        <v>10000</v>
      </c>
      <c r="F2798" s="13" t="s">
        <v>70</v>
      </c>
      <c r="G2798" s="14">
        <v>44757</v>
      </c>
      <c r="H2798" s="13" t="s">
        <v>9</v>
      </c>
    </row>
    <row r="2799" spans="1:8" ht="14.4" x14ac:dyDescent="0.3">
      <c r="A2799" s="8">
        <v>82187581</v>
      </c>
      <c r="B2799" s="11">
        <v>44755</v>
      </c>
      <c r="C2799" s="13" t="s">
        <v>3776</v>
      </c>
      <c r="D2799" s="13" t="s">
        <v>3777</v>
      </c>
      <c r="E2799" s="8">
        <v>12000</v>
      </c>
      <c r="F2799" s="13" t="s">
        <v>70</v>
      </c>
      <c r="G2799" s="14">
        <v>44761</v>
      </c>
      <c r="H2799" s="13" t="s">
        <v>9</v>
      </c>
    </row>
    <row r="2800" spans="1:8" ht="14.4" x14ac:dyDescent="0.3">
      <c r="A2800" s="8">
        <v>82187582</v>
      </c>
      <c r="B2800" s="11">
        <v>44755</v>
      </c>
      <c r="C2800" s="13" t="s">
        <v>3778</v>
      </c>
      <c r="D2800" s="13" t="s">
        <v>3779</v>
      </c>
      <c r="E2800" s="8">
        <v>15000</v>
      </c>
      <c r="F2800" s="13" t="s">
        <v>70</v>
      </c>
      <c r="G2800" s="14">
        <v>44757</v>
      </c>
      <c r="H2800" s="13" t="s">
        <v>9</v>
      </c>
    </row>
    <row r="2801" spans="1:8" ht="14.4" x14ac:dyDescent="0.3">
      <c r="A2801" s="8">
        <v>82187583</v>
      </c>
      <c r="B2801" s="11">
        <v>44755</v>
      </c>
      <c r="C2801" s="13" t="s">
        <v>3780</v>
      </c>
      <c r="D2801" s="13" t="s">
        <v>3781</v>
      </c>
      <c r="E2801" s="8">
        <v>25000</v>
      </c>
      <c r="F2801" s="13" t="s">
        <v>70</v>
      </c>
      <c r="G2801" s="14">
        <v>44757</v>
      </c>
      <c r="H2801" s="13" t="s">
        <v>9</v>
      </c>
    </row>
    <row r="2802" spans="1:8" ht="14.4" x14ac:dyDescent="0.3">
      <c r="A2802" s="8">
        <v>82187584</v>
      </c>
      <c r="B2802" s="11">
        <v>44755</v>
      </c>
      <c r="C2802" s="13" t="s">
        <v>3782</v>
      </c>
      <c r="D2802" s="13" t="s">
        <v>3783</v>
      </c>
      <c r="E2802" s="8">
        <v>7000</v>
      </c>
      <c r="F2802" s="13" t="s">
        <v>70</v>
      </c>
      <c r="G2802" s="14">
        <v>44757</v>
      </c>
      <c r="H2802" s="13" t="s">
        <v>9</v>
      </c>
    </row>
    <row r="2803" spans="1:8" ht="14.4" x14ac:dyDescent="0.3">
      <c r="A2803" s="8">
        <v>82187585</v>
      </c>
      <c r="B2803" s="11">
        <v>44755</v>
      </c>
      <c r="C2803" s="13" t="s">
        <v>3784</v>
      </c>
      <c r="D2803" s="13" t="s">
        <v>3785</v>
      </c>
      <c r="E2803" s="8">
        <v>11000</v>
      </c>
      <c r="F2803" s="13" t="s">
        <v>70</v>
      </c>
      <c r="G2803" s="14">
        <v>44760</v>
      </c>
      <c r="H2803" s="13" t="s">
        <v>9</v>
      </c>
    </row>
    <row r="2804" spans="1:8" ht="14.4" x14ac:dyDescent="0.3">
      <c r="A2804" s="8">
        <v>82187586</v>
      </c>
      <c r="B2804" s="11">
        <v>44755</v>
      </c>
      <c r="C2804" s="13" t="s">
        <v>3786</v>
      </c>
      <c r="D2804" s="13" t="s">
        <v>3787</v>
      </c>
      <c r="E2804" s="8">
        <v>10000</v>
      </c>
      <c r="F2804" s="13" t="s">
        <v>70</v>
      </c>
      <c r="G2804" s="14">
        <v>44757</v>
      </c>
      <c r="H2804" s="13" t="s">
        <v>9</v>
      </c>
    </row>
    <row r="2805" spans="1:8" ht="14.4" x14ac:dyDescent="0.3">
      <c r="A2805" s="8">
        <v>82187587</v>
      </c>
      <c r="B2805" s="11">
        <v>44755</v>
      </c>
      <c r="C2805" s="13" t="s">
        <v>1436</v>
      </c>
      <c r="D2805" s="13" t="s">
        <v>3788</v>
      </c>
      <c r="E2805" s="8">
        <v>10000</v>
      </c>
      <c r="F2805" s="13" t="s">
        <v>70</v>
      </c>
      <c r="G2805" s="14">
        <v>44770</v>
      </c>
      <c r="H2805" s="13" t="s">
        <v>9</v>
      </c>
    </row>
    <row r="2806" spans="1:8" ht="14.4" x14ac:dyDescent="0.3">
      <c r="A2806" s="8">
        <v>82187588</v>
      </c>
      <c r="B2806" s="11">
        <v>44755</v>
      </c>
      <c r="C2806" s="13" t="s">
        <v>3789</v>
      </c>
      <c r="D2806" s="13" t="s">
        <v>3790</v>
      </c>
      <c r="E2806" s="8">
        <v>30000</v>
      </c>
      <c r="F2806" s="13" t="s">
        <v>70</v>
      </c>
      <c r="G2806" s="14">
        <v>44760</v>
      </c>
      <c r="H2806" s="13" t="s">
        <v>9</v>
      </c>
    </row>
    <row r="2807" spans="1:8" ht="14.4" x14ac:dyDescent="0.3">
      <c r="A2807" s="8">
        <v>82187589</v>
      </c>
      <c r="B2807" s="11">
        <v>44755</v>
      </c>
      <c r="C2807" s="13" t="s">
        <v>3791</v>
      </c>
      <c r="D2807" s="13" t="s">
        <v>3792</v>
      </c>
      <c r="E2807" s="8">
        <v>11000</v>
      </c>
      <c r="F2807" s="13" t="s">
        <v>70</v>
      </c>
      <c r="G2807" s="14">
        <v>44763</v>
      </c>
      <c r="H2807" s="13" t="s">
        <v>9</v>
      </c>
    </row>
    <row r="2808" spans="1:8" ht="14.4" x14ac:dyDescent="0.3">
      <c r="A2808" s="8">
        <v>82187590</v>
      </c>
      <c r="B2808" s="11">
        <v>44755</v>
      </c>
      <c r="C2808" s="13" t="s">
        <v>3793</v>
      </c>
      <c r="D2808" s="13" t="s">
        <v>3794</v>
      </c>
      <c r="E2808" s="8">
        <v>10000</v>
      </c>
      <c r="F2808" s="13" t="s">
        <v>70</v>
      </c>
      <c r="G2808" s="14">
        <v>44760</v>
      </c>
      <c r="H2808" s="13" t="s">
        <v>9</v>
      </c>
    </row>
    <row r="2809" spans="1:8" ht="14.4" x14ac:dyDescent="0.3">
      <c r="A2809" s="8">
        <v>82187591</v>
      </c>
      <c r="B2809" s="11">
        <v>44755</v>
      </c>
      <c r="C2809" s="13" t="s">
        <v>3795</v>
      </c>
      <c r="D2809" s="13" t="s">
        <v>3796</v>
      </c>
      <c r="E2809" s="8">
        <v>20000</v>
      </c>
      <c r="F2809" s="13" t="s">
        <v>70</v>
      </c>
      <c r="G2809" s="14">
        <v>44757</v>
      </c>
      <c r="H2809" s="13" t="s">
        <v>9</v>
      </c>
    </row>
    <row r="2810" spans="1:8" ht="14.4" x14ac:dyDescent="0.3">
      <c r="A2810" s="8">
        <v>82187592</v>
      </c>
      <c r="B2810" s="11">
        <v>44755</v>
      </c>
      <c r="C2810" s="13" t="s">
        <v>3797</v>
      </c>
      <c r="D2810" s="13" t="s">
        <v>3798</v>
      </c>
      <c r="E2810" s="8">
        <v>30000</v>
      </c>
      <c r="F2810" s="13" t="s">
        <v>70</v>
      </c>
      <c r="G2810" s="14">
        <v>44770</v>
      </c>
      <c r="H2810" s="13" t="s">
        <v>9</v>
      </c>
    </row>
    <row r="2811" spans="1:8" ht="14.4" x14ac:dyDescent="0.3">
      <c r="A2811" s="8">
        <v>82187593</v>
      </c>
      <c r="B2811" s="11">
        <v>44755</v>
      </c>
      <c r="C2811" s="13" t="s">
        <v>3799</v>
      </c>
      <c r="D2811" s="13" t="s">
        <v>3800</v>
      </c>
      <c r="E2811" s="8">
        <v>6000</v>
      </c>
      <c r="F2811" s="13" t="s">
        <v>70</v>
      </c>
      <c r="G2811" s="14">
        <v>44760</v>
      </c>
      <c r="H2811" s="13" t="s">
        <v>9</v>
      </c>
    </row>
    <row r="2812" spans="1:8" ht="14.4" x14ac:dyDescent="0.3">
      <c r="A2812" s="8">
        <v>82187594</v>
      </c>
      <c r="B2812" s="11">
        <v>44755</v>
      </c>
      <c r="C2812" s="13" t="s">
        <v>3801</v>
      </c>
      <c r="D2812" s="13" t="s">
        <v>3802</v>
      </c>
      <c r="E2812" s="8">
        <v>11500</v>
      </c>
      <c r="F2812" s="13" t="s">
        <v>70</v>
      </c>
      <c r="G2812" s="14">
        <v>44757</v>
      </c>
      <c r="H2812" s="13" t="s">
        <v>9</v>
      </c>
    </row>
    <row r="2813" spans="1:8" ht="14.4" x14ac:dyDescent="0.3">
      <c r="A2813" s="8">
        <v>82187595</v>
      </c>
      <c r="B2813" s="11">
        <v>44755</v>
      </c>
      <c r="C2813" s="13" t="s">
        <v>3803</v>
      </c>
      <c r="D2813" s="13" t="s">
        <v>3804</v>
      </c>
      <c r="E2813" s="8">
        <v>15000</v>
      </c>
      <c r="F2813" s="13" t="s">
        <v>70</v>
      </c>
      <c r="G2813" s="14">
        <v>44757</v>
      </c>
      <c r="H2813" s="13" t="s">
        <v>9</v>
      </c>
    </row>
    <row r="2814" spans="1:8" ht="14.4" x14ac:dyDescent="0.3">
      <c r="A2814" s="8">
        <v>82187596</v>
      </c>
      <c r="B2814" s="11">
        <v>44755</v>
      </c>
      <c r="C2814" s="13" t="s">
        <v>3805</v>
      </c>
      <c r="D2814" s="13" t="s">
        <v>3806</v>
      </c>
      <c r="E2814" s="8">
        <v>17500</v>
      </c>
      <c r="F2814" s="13" t="s">
        <v>70</v>
      </c>
      <c r="G2814" s="14">
        <v>44757</v>
      </c>
      <c r="H2814" s="13" t="s">
        <v>9</v>
      </c>
    </row>
    <row r="2815" spans="1:8" ht="14.4" x14ac:dyDescent="0.3">
      <c r="A2815" s="8">
        <v>82187597</v>
      </c>
      <c r="B2815" s="11">
        <v>44755</v>
      </c>
      <c r="C2815" s="13" t="s">
        <v>3807</v>
      </c>
      <c r="D2815" s="13" t="s">
        <v>3808</v>
      </c>
      <c r="E2815" s="8">
        <v>11000</v>
      </c>
      <c r="F2815" s="13" t="s">
        <v>70</v>
      </c>
      <c r="G2815" s="14">
        <v>44761</v>
      </c>
      <c r="H2815" s="13" t="s">
        <v>9</v>
      </c>
    </row>
    <row r="2816" spans="1:8" ht="14.4" x14ac:dyDescent="0.3">
      <c r="A2816" s="8">
        <v>82187598</v>
      </c>
      <c r="B2816" s="11">
        <v>44755</v>
      </c>
      <c r="C2816" s="13" t="s">
        <v>3809</v>
      </c>
      <c r="D2816" s="13" t="s">
        <v>3810</v>
      </c>
      <c r="E2816" s="8">
        <v>15000</v>
      </c>
      <c r="F2816" s="13" t="s">
        <v>70</v>
      </c>
      <c r="G2816" s="14">
        <v>44757</v>
      </c>
      <c r="H2816" s="13" t="s">
        <v>9</v>
      </c>
    </row>
    <row r="2817" spans="1:8" ht="14.4" x14ac:dyDescent="0.3">
      <c r="A2817" s="8">
        <v>82187599</v>
      </c>
      <c r="B2817" s="11">
        <v>44755</v>
      </c>
      <c r="C2817" s="13" t="s">
        <v>3811</v>
      </c>
      <c r="D2817" s="13" t="s">
        <v>3812</v>
      </c>
      <c r="E2817" s="8">
        <v>15000</v>
      </c>
      <c r="F2817" s="13" t="s">
        <v>70</v>
      </c>
      <c r="G2817" s="14">
        <v>44757</v>
      </c>
      <c r="H2817" s="13" t="s">
        <v>9</v>
      </c>
    </row>
    <row r="2818" spans="1:8" ht="14.4" x14ac:dyDescent="0.3">
      <c r="A2818" s="8">
        <v>82187600</v>
      </c>
      <c r="B2818" s="11">
        <v>44755</v>
      </c>
      <c r="C2818" s="13" t="s">
        <v>613</v>
      </c>
      <c r="D2818" s="13" t="s">
        <v>3813</v>
      </c>
      <c r="E2818" s="8">
        <v>40000</v>
      </c>
      <c r="F2818" s="13" t="s">
        <v>70</v>
      </c>
      <c r="G2818" s="14">
        <v>44757</v>
      </c>
      <c r="H2818" s="13" t="s">
        <v>9</v>
      </c>
    </row>
    <row r="2819" spans="1:8" ht="14.4" x14ac:dyDescent="0.3">
      <c r="A2819" s="8">
        <v>82187601</v>
      </c>
      <c r="B2819" s="11">
        <v>44755</v>
      </c>
      <c r="C2819" s="13" t="s">
        <v>3814</v>
      </c>
      <c r="D2819" s="13" t="s">
        <v>3815</v>
      </c>
      <c r="E2819" s="8">
        <v>28000</v>
      </c>
      <c r="F2819" s="13" t="s">
        <v>70</v>
      </c>
      <c r="G2819" s="14">
        <v>44771</v>
      </c>
      <c r="H2819" s="13" t="s">
        <v>9</v>
      </c>
    </row>
    <row r="2820" spans="1:8" ht="14.4" x14ac:dyDescent="0.3">
      <c r="A2820" s="8">
        <v>82187602</v>
      </c>
      <c r="B2820" s="11">
        <v>44755</v>
      </c>
      <c r="C2820" s="13" t="s">
        <v>3816</v>
      </c>
      <c r="D2820" s="13" t="s">
        <v>3817</v>
      </c>
      <c r="E2820" s="8">
        <v>15000</v>
      </c>
      <c r="F2820" s="13" t="s">
        <v>70</v>
      </c>
      <c r="G2820" s="14">
        <v>44757</v>
      </c>
      <c r="H2820" s="13" t="s">
        <v>9</v>
      </c>
    </row>
    <row r="2821" spans="1:8" ht="14.4" x14ac:dyDescent="0.3">
      <c r="A2821" s="8">
        <v>82187603</v>
      </c>
      <c r="B2821" s="11">
        <v>44755</v>
      </c>
      <c r="C2821" s="13" t="s">
        <v>3818</v>
      </c>
      <c r="D2821" s="13" t="s">
        <v>3819</v>
      </c>
      <c r="E2821" s="8">
        <v>12000</v>
      </c>
      <c r="F2821" s="13" t="s">
        <v>70</v>
      </c>
      <c r="G2821" s="14">
        <v>44767</v>
      </c>
      <c r="H2821" s="13" t="s">
        <v>9</v>
      </c>
    </row>
    <row r="2822" spans="1:8" ht="14.4" x14ac:dyDescent="0.3">
      <c r="A2822" s="8">
        <v>82187604</v>
      </c>
      <c r="B2822" s="11">
        <v>44755</v>
      </c>
      <c r="C2822" s="13" t="s">
        <v>3820</v>
      </c>
      <c r="D2822" s="13" t="s">
        <v>3821</v>
      </c>
      <c r="E2822" s="8">
        <v>10000</v>
      </c>
      <c r="F2822" s="13" t="s">
        <v>70</v>
      </c>
      <c r="G2822" s="14">
        <v>44757</v>
      </c>
      <c r="H2822" s="13" t="s">
        <v>9</v>
      </c>
    </row>
    <row r="2823" spans="1:8" ht="14.4" x14ac:dyDescent="0.3">
      <c r="A2823" s="8">
        <v>82187605</v>
      </c>
      <c r="B2823" s="11">
        <v>44755</v>
      </c>
      <c r="C2823" s="13" t="s">
        <v>3822</v>
      </c>
      <c r="D2823" s="13" t="s">
        <v>3823</v>
      </c>
      <c r="E2823" s="8">
        <v>15000</v>
      </c>
      <c r="F2823" s="13" t="s">
        <v>70</v>
      </c>
      <c r="G2823" s="14">
        <v>44757</v>
      </c>
      <c r="H2823" s="13" t="s">
        <v>9</v>
      </c>
    </row>
    <row r="2824" spans="1:8" ht="14.4" x14ac:dyDescent="0.3">
      <c r="A2824" s="8">
        <v>82187606</v>
      </c>
      <c r="B2824" s="11">
        <v>44755</v>
      </c>
      <c r="C2824" s="13" t="s">
        <v>3824</v>
      </c>
      <c r="D2824" s="13" t="s">
        <v>3825</v>
      </c>
      <c r="E2824" s="8">
        <v>10000</v>
      </c>
      <c r="F2824" s="13" t="s">
        <v>70</v>
      </c>
      <c r="G2824" s="14">
        <v>44757</v>
      </c>
      <c r="H2824" s="13" t="s">
        <v>9</v>
      </c>
    </row>
    <row r="2825" spans="1:8" ht="14.4" x14ac:dyDescent="0.3">
      <c r="A2825" s="8">
        <v>82187607</v>
      </c>
      <c r="B2825" s="11">
        <v>44755</v>
      </c>
      <c r="C2825" s="13" t="s">
        <v>3826</v>
      </c>
      <c r="D2825" s="13" t="s">
        <v>3827</v>
      </c>
      <c r="E2825" s="8">
        <v>10000</v>
      </c>
      <c r="F2825" s="13" t="s">
        <v>70</v>
      </c>
      <c r="G2825" s="14">
        <v>44757</v>
      </c>
      <c r="H2825" s="13" t="s">
        <v>9</v>
      </c>
    </row>
    <row r="2826" spans="1:8" ht="14.4" x14ac:dyDescent="0.3">
      <c r="A2826" s="8">
        <v>82187608</v>
      </c>
      <c r="B2826" s="11">
        <v>44755</v>
      </c>
      <c r="C2826" s="13" t="s">
        <v>1286</v>
      </c>
      <c r="D2826" s="13" t="s">
        <v>3828</v>
      </c>
      <c r="E2826" s="8">
        <v>10172.64</v>
      </c>
      <c r="F2826" s="13" t="s">
        <v>70</v>
      </c>
      <c r="G2826" s="14">
        <v>44757</v>
      </c>
      <c r="H2826" s="13" t="s">
        <v>9</v>
      </c>
    </row>
    <row r="2827" spans="1:8" ht="14.4" x14ac:dyDescent="0.3">
      <c r="A2827" s="8">
        <v>82187609</v>
      </c>
      <c r="B2827" s="11">
        <v>44755</v>
      </c>
      <c r="C2827" s="13" t="s">
        <v>1286</v>
      </c>
      <c r="D2827" s="13" t="s">
        <v>3829</v>
      </c>
      <c r="E2827" s="8">
        <v>10191.39</v>
      </c>
      <c r="F2827" s="13" t="s">
        <v>70</v>
      </c>
      <c r="G2827" s="14">
        <v>44757</v>
      </c>
      <c r="H2827" s="13" t="s">
        <v>9</v>
      </c>
    </row>
    <row r="2828" spans="1:8" ht="14.4" x14ac:dyDescent="0.3">
      <c r="A2828" s="8">
        <v>82187610</v>
      </c>
      <c r="B2828" s="11">
        <v>44755</v>
      </c>
      <c r="C2828" s="13" t="s">
        <v>1286</v>
      </c>
      <c r="D2828" s="13" t="s">
        <v>3830</v>
      </c>
      <c r="E2828" s="8">
        <v>11583.09</v>
      </c>
      <c r="F2828" s="13" t="s">
        <v>70</v>
      </c>
      <c r="G2828" s="14">
        <v>44757</v>
      </c>
      <c r="H2828" s="13" t="s">
        <v>9</v>
      </c>
    </row>
    <row r="2829" spans="1:8" ht="14.4" x14ac:dyDescent="0.3">
      <c r="A2829" s="8">
        <v>82187611</v>
      </c>
      <c r="B2829" s="11">
        <v>44755</v>
      </c>
      <c r="C2829" s="13" t="s">
        <v>1286</v>
      </c>
      <c r="D2829" s="13" t="s">
        <v>3831</v>
      </c>
      <c r="E2829" s="8">
        <v>4326.75</v>
      </c>
      <c r="F2829" s="13" t="s">
        <v>70</v>
      </c>
      <c r="G2829" s="14">
        <v>44757</v>
      </c>
      <c r="H2829" s="13" t="s">
        <v>9</v>
      </c>
    </row>
    <row r="2830" spans="1:8" ht="14.4" x14ac:dyDescent="0.3">
      <c r="A2830" s="8">
        <v>82187612</v>
      </c>
      <c r="B2830" s="11">
        <v>44755</v>
      </c>
      <c r="C2830" s="13" t="s">
        <v>1286</v>
      </c>
      <c r="D2830" s="13" t="s">
        <v>3832</v>
      </c>
      <c r="E2830" s="8">
        <v>11229.37</v>
      </c>
      <c r="F2830" s="13" t="s">
        <v>70</v>
      </c>
      <c r="G2830" s="14">
        <v>44757</v>
      </c>
      <c r="H2830" s="13" t="s">
        <v>9</v>
      </c>
    </row>
    <row r="2831" spans="1:8" ht="14.4" x14ac:dyDescent="0.3">
      <c r="A2831" s="8">
        <v>82187613</v>
      </c>
      <c r="B2831" s="11">
        <v>44755</v>
      </c>
      <c r="C2831" s="13" t="s">
        <v>3833</v>
      </c>
      <c r="D2831" s="13" t="s">
        <v>3834</v>
      </c>
      <c r="E2831" s="8">
        <v>53973.04</v>
      </c>
      <c r="F2831" s="13" t="s">
        <v>70</v>
      </c>
      <c r="G2831" s="14">
        <v>44764</v>
      </c>
      <c r="H2831" s="13" t="s">
        <v>9</v>
      </c>
    </row>
    <row r="2832" spans="1:8" ht="14.4" x14ac:dyDescent="0.3">
      <c r="A2832" s="8">
        <v>82187614</v>
      </c>
      <c r="B2832" s="11">
        <v>44755</v>
      </c>
      <c r="C2832" s="13" t="s">
        <v>186</v>
      </c>
      <c r="D2832" s="13" t="s">
        <v>3642</v>
      </c>
      <c r="E2832" s="8">
        <v>550</v>
      </c>
      <c r="F2832" s="13" t="s">
        <v>70</v>
      </c>
      <c r="G2832" s="14">
        <v>44756</v>
      </c>
      <c r="H2832" s="13" t="s">
        <v>9</v>
      </c>
    </row>
    <row r="2833" spans="1:8" ht="14.4" x14ac:dyDescent="0.3">
      <c r="A2833" s="8">
        <v>82187615</v>
      </c>
      <c r="B2833" s="11">
        <v>44755</v>
      </c>
      <c r="C2833" s="13" t="s">
        <v>186</v>
      </c>
      <c r="D2833" s="13" t="s">
        <v>3642</v>
      </c>
      <c r="E2833" s="8">
        <v>550</v>
      </c>
      <c r="F2833" s="13" t="s">
        <v>70</v>
      </c>
      <c r="G2833" s="14">
        <v>44756</v>
      </c>
      <c r="H2833" s="13" t="s">
        <v>9</v>
      </c>
    </row>
    <row r="2834" spans="1:8" ht="14.4" x14ac:dyDescent="0.3">
      <c r="A2834" s="8">
        <v>82187616</v>
      </c>
      <c r="B2834" s="11">
        <v>44755</v>
      </c>
      <c r="C2834" s="13" t="s">
        <v>3835</v>
      </c>
      <c r="D2834" s="13" t="s">
        <v>3836</v>
      </c>
      <c r="E2834" s="8">
        <v>6000</v>
      </c>
      <c r="F2834" s="13" t="s">
        <v>70</v>
      </c>
      <c r="G2834" s="14">
        <v>44761</v>
      </c>
      <c r="H2834" s="13" t="s">
        <v>9</v>
      </c>
    </row>
    <row r="2835" spans="1:8" ht="14.4" x14ac:dyDescent="0.3">
      <c r="A2835" s="8">
        <v>82187618</v>
      </c>
      <c r="B2835" s="11">
        <v>44755</v>
      </c>
      <c r="C2835" s="13" t="s">
        <v>395</v>
      </c>
      <c r="D2835" s="13" t="s">
        <v>3837</v>
      </c>
      <c r="E2835" s="8">
        <v>29450</v>
      </c>
      <c r="F2835" s="13" t="s">
        <v>70</v>
      </c>
      <c r="G2835" s="14">
        <v>44761</v>
      </c>
      <c r="H2835" s="13" t="s">
        <v>9</v>
      </c>
    </row>
    <row r="2836" spans="1:8" ht="14.4" x14ac:dyDescent="0.3">
      <c r="A2836" s="8">
        <v>82187619</v>
      </c>
      <c r="B2836" s="11">
        <v>44755</v>
      </c>
      <c r="C2836" s="13" t="s">
        <v>3838</v>
      </c>
      <c r="D2836" s="13" t="s">
        <v>3839</v>
      </c>
      <c r="E2836" s="8">
        <v>13026</v>
      </c>
      <c r="F2836" s="13" t="s">
        <v>70</v>
      </c>
      <c r="G2836" s="14">
        <v>44757</v>
      </c>
      <c r="H2836" s="13" t="s">
        <v>9</v>
      </c>
    </row>
    <row r="2837" spans="1:8" ht="14.4" x14ac:dyDescent="0.3">
      <c r="A2837" s="8">
        <v>82187621</v>
      </c>
      <c r="B2837" s="11">
        <v>44755</v>
      </c>
      <c r="C2837" s="13" t="s">
        <v>52</v>
      </c>
      <c r="D2837" s="13" t="s">
        <v>3840</v>
      </c>
      <c r="E2837" s="8">
        <v>2839.28</v>
      </c>
      <c r="F2837" s="13" t="s">
        <v>70</v>
      </c>
      <c r="G2837" s="14">
        <v>44761</v>
      </c>
      <c r="H2837" s="13" t="s">
        <v>9</v>
      </c>
    </row>
    <row r="2838" spans="1:8" ht="14.4" x14ac:dyDescent="0.3">
      <c r="A2838" s="8">
        <v>82187622</v>
      </c>
      <c r="B2838" s="11">
        <v>44755</v>
      </c>
      <c r="C2838" s="13" t="s">
        <v>1412</v>
      </c>
      <c r="D2838" s="13" t="s">
        <v>3841</v>
      </c>
      <c r="E2838" s="8">
        <v>4500</v>
      </c>
      <c r="F2838" s="13" t="s">
        <v>70</v>
      </c>
      <c r="G2838" s="14">
        <v>44774</v>
      </c>
      <c r="H2838" s="13" t="s">
        <v>9</v>
      </c>
    </row>
    <row r="2839" spans="1:8" ht="14.4" x14ac:dyDescent="0.3">
      <c r="A2839" s="8">
        <v>82187623</v>
      </c>
      <c r="B2839" s="11">
        <v>44755</v>
      </c>
      <c r="C2839" s="13" t="s">
        <v>247</v>
      </c>
      <c r="D2839" s="13" t="s">
        <v>3840</v>
      </c>
      <c r="E2839" s="8">
        <v>38141.07</v>
      </c>
      <c r="F2839" s="13" t="s">
        <v>70</v>
      </c>
      <c r="G2839" s="14">
        <v>44762</v>
      </c>
      <c r="H2839" s="13" t="s">
        <v>9</v>
      </c>
    </row>
    <row r="2840" spans="1:8" ht="14.4" x14ac:dyDescent="0.3">
      <c r="A2840" s="8">
        <v>82187624</v>
      </c>
      <c r="B2840" s="11">
        <v>44755</v>
      </c>
      <c r="C2840" s="13" t="s">
        <v>2438</v>
      </c>
      <c r="D2840" s="13" t="s">
        <v>3842</v>
      </c>
      <c r="E2840" s="8">
        <v>11877.68</v>
      </c>
      <c r="F2840" s="13" t="s">
        <v>70</v>
      </c>
      <c r="G2840" s="14">
        <v>44783</v>
      </c>
      <c r="H2840" s="13" t="s">
        <v>9</v>
      </c>
    </row>
    <row r="2841" spans="1:8" ht="14.4" x14ac:dyDescent="0.3">
      <c r="A2841" s="8">
        <v>82187625</v>
      </c>
      <c r="B2841" s="11">
        <v>44755</v>
      </c>
      <c r="C2841" s="13" t="s">
        <v>2436</v>
      </c>
      <c r="D2841" s="13" t="s">
        <v>3843</v>
      </c>
      <c r="E2841" s="8">
        <v>5880</v>
      </c>
      <c r="F2841" s="13" t="s">
        <v>70</v>
      </c>
      <c r="G2841" s="14">
        <v>44757</v>
      </c>
      <c r="H2841" s="13" t="s">
        <v>9</v>
      </c>
    </row>
    <row r="2842" spans="1:8" ht="14.4" x14ac:dyDescent="0.3">
      <c r="A2842" s="8">
        <v>82187626</v>
      </c>
      <c r="B2842" s="11">
        <v>44755</v>
      </c>
      <c r="C2842" s="13" t="s">
        <v>3838</v>
      </c>
      <c r="D2842" s="13" t="s">
        <v>3844</v>
      </c>
      <c r="E2842" s="8">
        <v>7335</v>
      </c>
      <c r="F2842" s="13" t="s">
        <v>70</v>
      </c>
      <c r="G2842" s="14">
        <v>44757</v>
      </c>
      <c r="H2842" s="13" t="s">
        <v>9</v>
      </c>
    </row>
    <row r="2843" spans="1:8" ht="14.4" x14ac:dyDescent="0.3">
      <c r="A2843" s="8">
        <v>82187627</v>
      </c>
      <c r="B2843" s="11">
        <v>44755</v>
      </c>
      <c r="C2843" s="13" t="s">
        <v>2262</v>
      </c>
      <c r="D2843" s="13" t="s">
        <v>3845</v>
      </c>
      <c r="E2843" s="8">
        <v>28125</v>
      </c>
      <c r="F2843" s="13" t="s">
        <v>70</v>
      </c>
      <c r="G2843" s="14">
        <v>44756</v>
      </c>
      <c r="H2843" s="13" t="s">
        <v>9</v>
      </c>
    </row>
    <row r="2844" spans="1:8" ht="14.4" x14ac:dyDescent="0.3">
      <c r="A2844" s="8">
        <v>82187628</v>
      </c>
      <c r="B2844" s="11">
        <v>44755</v>
      </c>
      <c r="C2844" s="13" t="s">
        <v>405</v>
      </c>
      <c r="D2844" s="13" t="s">
        <v>3846</v>
      </c>
      <c r="E2844" s="8">
        <v>13765.79</v>
      </c>
      <c r="F2844" s="13" t="s">
        <v>70</v>
      </c>
      <c r="G2844" s="14">
        <v>44757</v>
      </c>
      <c r="H2844" s="13" t="s">
        <v>9</v>
      </c>
    </row>
    <row r="2845" spans="1:8" ht="14.4" x14ac:dyDescent="0.3">
      <c r="A2845" s="8">
        <v>82187629</v>
      </c>
      <c r="B2845" s="11">
        <v>44755</v>
      </c>
      <c r="C2845" s="13" t="s">
        <v>405</v>
      </c>
      <c r="D2845" s="13" t="s">
        <v>3847</v>
      </c>
      <c r="E2845" s="8">
        <v>18564.77</v>
      </c>
      <c r="F2845" s="13" t="s">
        <v>70</v>
      </c>
      <c r="G2845" s="14">
        <v>44757</v>
      </c>
      <c r="H2845" s="13" t="s">
        <v>9</v>
      </c>
    </row>
    <row r="2846" spans="1:8" ht="14.4" x14ac:dyDescent="0.3">
      <c r="A2846" s="8">
        <v>82187630</v>
      </c>
      <c r="B2846" s="11">
        <v>44755</v>
      </c>
      <c r="C2846" s="13" t="s">
        <v>2077</v>
      </c>
      <c r="D2846" s="13" t="s">
        <v>3840</v>
      </c>
      <c r="E2846" s="8">
        <v>33352.15</v>
      </c>
      <c r="F2846" s="13" t="s">
        <v>70</v>
      </c>
      <c r="G2846" s="14">
        <v>44775</v>
      </c>
      <c r="H2846" s="13" t="s">
        <v>9</v>
      </c>
    </row>
    <row r="2847" spans="1:8" ht="14.4" x14ac:dyDescent="0.3">
      <c r="A2847" s="8">
        <v>82187631</v>
      </c>
      <c r="B2847" s="11">
        <v>44755</v>
      </c>
      <c r="C2847" s="13" t="s">
        <v>3848</v>
      </c>
      <c r="D2847" s="13" t="s">
        <v>3849</v>
      </c>
      <c r="E2847" s="8">
        <v>11000</v>
      </c>
      <c r="F2847" s="13" t="s">
        <v>70</v>
      </c>
      <c r="G2847" s="14">
        <v>44757</v>
      </c>
      <c r="H2847" s="13" t="s">
        <v>9</v>
      </c>
    </row>
    <row r="2848" spans="1:8" ht="14.4" x14ac:dyDescent="0.3">
      <c r="A2848" s="8">
        <v>82187632</v>
      </c>
      <c r="B2848" s="11">
        <v>44755</v>
      </c>
      <c r="C2848" s="13" t="s">
        <v>1286</v>
      </c>
      <c r="D2848" s="13" t="s">
        <v>3850</v>
      </c>
      <c r="E2848" s="8">
        <v>11609.84</v>
      </c>
      <c r="F2848" s="13" t="s">
        <v>70</v>
      </c>
      <c r="G2848" s="14">
        <v>44757</v>
      </c>
      <c r="H2848" s="13" t="s">
        <v>9</v>
      </c>
    </row>
    <row r="2849" spans="1:8" ht="14.4" x14ac:dyDescent="0.3">
      <c r="A2849" s="8">
        <v>82187633</v>
      </c>
      <c r="B2849" s="11">
        <v>44755</v>
      </c>
      <c r="C2849" s="13" t="s">
        <v>1286</v>
      </c>
      <c r="D2849" s="13" t="s">
        <v>3851</v>
      </c>
      <c r="E2849" s="8">
        <v>4298.1099999999997</v>
      </c>
      <c r="F2849" s="13" t="s">
        <v>70</v>
      </c>
      <c r="G2849" s="14">
        <v>44757</v>
      </c>
      <c r="H2849" s="13" t="s">
        <v>9</v>
      </c>
    </row>
    <row r="2850" spans="1:8" ht="14.4" x14ac:dyDescent="0.3">
      <c r="A2850" s="8">
        <v>82187634</v>
      </c>
      <c r="B2850" s="11">
        <v>44755</v>
      </c>
      <c r="C2850" s="13" t="s">
        <v>1286</v>
      </c>
      <c r="D2850" s="13" t="s">
        <v>3852</v>
      </c>
      <c r="E2850" s="8">
        <v>6965.9</v>
      </c>
      <c r="F2850" s="13" t="s">
        <v>70</v>
      </c>
      <c r="G2850" s="14">
        <v>44757</v>
      </c>
      <c r="H2850" s="13" t="s">
        <v>9</v>
      </c>
    </row>
    <row r="2851" spans="1:8" ht="14.4" x14ac:dyDescent="0.3">
      <c r="A2851" s="8">
        <v>82187635</v>
      </c>
      <c r="B2851" s="11">
        <v>44755</v>
      </c>
      <c r="C2851" s="13" t="s">
        <v>1286</v>
      </c>
      <c r="D2851" s="13" t="s">
        <v>3853</v>
      </c>
      <c r="E2851" s="8">
        <v>8219.74</v>
      </c>
      <c r="F2851" s="13" t="s">
        <v>70</v>
      </c>
      <c r="G2851" s="14">
        <v>44757</v>
      </c>
      <c r="H2851" s="13" t="s">
        <v>9</v>
      </c>
    </row>
    <row r="2852" spans="1:8" ht="14.4" x14ac:dyDescent="0.3">
      <c r="A2852" s="8">
        <v>82187636</v>
      </c>
      <c r="B2852" s="11">
        <v>44755</v>
      </c>
      <c r="C2852" s="13" t="s">
        <v>2583</v>
      </c>
      <c r="D2852" s="13" t="s">
        <v>3854</v>
      </c>
      <c r="E2852" s="8">
        <v>37500</v>
      </c>
      <c r="F2852" s="13" t="s">
        <v>70</v>
      </c>
      <c r="G2852" s="14">
        <v>44792</v>
      </c>
      <c r="H2852" s="13" t="s">
        <v>9</v>
      </c>
    </row>
    <row r="2853" spans="1:8" ht="14.4" x14ac:dyDescent="0.3">
      <c r="A2853" s="8">
        <v>82187637</v>
      </c>
      <c r="B2853" s="11">
        <v>44755</v>
      </c>
      <c r="C2853" s="13" t="s">
        <v>60</v>
      </c>
      <c r="D2853" s="13" t="s">
        <v>3855</v>
      </c>
      <c r="E2853" s="8">
        <v>1742771.23</v>
      </c>
      <c r="F2853" s="13" t="s">
        <v>70</v>
      </c>
      <c r="G2853" s="14">
        <v>44760</v>
      </c>
      <c r="H2853" s="13" t="s">
        <v>9</v>
      </c>
    </row>
    <row r="2854" spans="1:8" ht="14.4" x14ac:dyDescent="0.3">
      <c r="A2854" s="8">
        <v>82187638</v>
      </c>
      <c r="B2854" s="11">
        <v>44755</v>
      </c>
      <c r="C2854" s="13" t="s">
        <v>3838</v>
      </c>
      <c r="D2854" s="13" t="s">
        <v>3856</v>
      </c>
      <c r="E2854" s="8">
        <v>36655</v>
      </c>
      <c r="F2854" s="13" t="s">
        <v>70</v>
      </c>
      <c r="G2854" s="14">
        <v>44757</v>
      </c>
      <c r="H2854" s="13" t="s">
        <v>9</v>
      </c>
    </row>
    <row r="2855" spans="1:8" ht="14.4" x14ac:dyDescent="0.3">
      <c r="A2855" s="8">
        <v>82187639</v>
      </c>
      <c r="B2855" s="11">
        <v>44755</v>
      </c>
      <c r="C2855" s="13" t="s">
        <v>180</v>
      </c>
      <c r="D2855" s="13" t="s">
        <v>901</v>
      </c>
      <c r="E2855" s="8">
        <v>88670.25</v>
      </c>
      <c r="F2855" s="13" t="s">
        <v>70</v>
      </c>
      <c r="G2855" s="14">
        <v>44755</v>
      </c>
      <c r="H2855" s="13" t="s">
        <v>9</v>
      </c>
    </row>
    <row r="2856" spans="1:8" ht="14.4" x14ac:dyDescent="0.3">
      <c r="A2856" s="8">
        <v>82187640</v>
      </c>
      <c r="B2856" s="11">
        <v>44755</v>
      </c>
      <c r="C2856" s="13" t="s">
        <v>2583</v>
      </c>
      <c r="D2856" s="13" t="s">
        <v>3857</v>
      </c>
      <c r="E2856" s="8">
        <v>21673.53</v>
      </c>
      <c r="F2856" s="13" t="s">
        <v>70</v>
      </c>
      <c r="G2856" s="14">
        <v>44792</v>
      </c>
      <c r="H2856" s="13" t="s">
        <v>9</v>
      </c>
    </row>
    <row r="2857" spans="1:8" ht="14.4" x14ac:dyDescent="0.3">
      <c r="A2857" s="8">
        <v>82187641</v>
      </c>
      <c r="B2857" s="11">
        <v>44755</v>
      </c>
      <c r="C2857" s="13" t="s">
        <v>2583</v>
      </c>
      <c r="D2857" s="13" t="s">
        <v>3858</v>
      </c>
      <c r="E2857" s="8">
        <v>29062.5</v>
      </c>
      <c r="F2857" s="13" t="s">
        <v>70</v>
      </c>
      <c r="G2857" s="14">
        <v>44792</v>
      </c>
      <c r="H2857" s="13" t="s">
        <v>9</v>
      </c>
    </row>
    <row r="2858" spans="1:8" ht="14.4" x14ac:dyDescent="0.3">
      <c r="A2858" s="8">
        <v>82187642</v>
      </c>
      <c r="B2858" s="11">
        <v>44755</v>
      </c>
      <c r="C2858" s="13" t="s">
        <v>53</v>
      </c>
      <c r="D2858" s="13" t="s">
        <v>3859</v>
      </c>
      <c r="E2858" s="8">
        <v>267932</v>
      </c>
      <c r="F2858" s="13" t="s">
        <v>70</v>
      </c>
      <c r="G2858" s="14">
        <v>44761</v>
      </c>
      <c r="H2858" s="13" t="s">
        <v>9</v>
      </c>
    </row>
    <row r="2859" spans="1:8" ht="14.4" x14ac:dyDescent="0.3">
      <c r="A2859" s="8">
        <v>82187643</v>
      </c>
      <c r="B2859" s="11">
        <v>44755</v>
      </c>
      <c r="C2859" s="13" t="s">
        <v>376</v>
      </c>
      <c r="D2859" s="13" t="s">
        <v>3860</v>
      </c>
      <c r="E2859" s="8">
        <v>56105</v>
      </c>
      <c r="F2859" s="13" t="s">
        <v>70</v>
      </c>
      <c r="G2859" s="14">
        <v>44768</v>
      </c>
      <c r="H2859" s="13" t="s">
        <v>9</v>
      </c>
    </row>
    <row r="2860" spans="1:8" ht="14.4" x14ac:dyDescent="0.3">
      <c r="A2860" s="8">
        <v>82187644</v>
      </c>
      <c r="B2860" s="11">
        <v>44755</v>
      </c>
      <c r="C2860" s="13" t="s">
        <v>52</v>
      </c>
      <c r="D2860" s="13" t="s">
        <v>3861</v>
      </c>
      <c r="E2860" s="8">
        <v>33795.07</v>
      </c>
      <c r="F2860" s="13" t="s">
        <v>70</v>
      </c>
      <c r="G2860" s="14">
        <v>44761</v>
      </c>
      <c r="H2860" s="13" t="s">
        <v>9</v>
      </c>
    </row>
    <row r="2861" spans="1:8" ht="14.4" x14ac:dyDescent="0.3">
      <c r="A2861" s="8">
        <v>82187645</v>
      </c>
      <c r="B2861" s="11">
        <v>44755</v>
      </c>
      <c r="C2861" s="13" t="s">
        <v>376</v>
      </c>
      <c r="D2861" s="13" t="s">
        <v>3862</v>
      </c>
      <c r="E2861" s="8">
        <v>69580</v>
      </c>
      <c r="F2861" s="13" t="s">
        <v>70</v>
      </c>
      <c r="G2861" s="14">
        <v>44768</v>
      </c>
      <c r="H2861" s="13" t="s">
        <v>9</v>
      </c>
    </row>
    <row r="2862" spans="1:8" ht="14.4" x14ac:dyDescent="0.3">
      <c r="A2862" s="8">
        <v>82187646</v>
      </c>
      <c r="B2862" s="11">
        <v>44755</v>
      </c>
      <c r="C2862" s="13" t="s">
        <v>159</v>
      </c>
      <c r="D2862" s="13" t="s">
        <v>3863</v>
      </c>
      <c r="E2862" s="8">
        <v>326400</v>
      </c>
      <c r="F2862" s="13" t="s">
        <v>70</v>
      </c>
      <c r="G2862" s="14">
        <v>44756</v>
      </c>
      <c r="H2862" s="13" t="s">
        <v>9</v>
      </c>
    </row>
    <row r="2863" spans="1:8" ht="14.4" x14ac:dyDescent="0.3">
      <c r="A2863" s="8">
        <v>82187647</v>
      </c>
      <c r="B2863" s="11">
        <v>44757</v>
      </c>
      <c r="C2863" s="13" t="s">
        <v>2403</v>
      </c>
      <c r="D2863" s="13" t="s">
        <v>3864</v>
      </c>
      <c r="E2863" s="8">
        <v>60867.85</v>
      </c>
      <c r="F2863" s="13" t="s">
        <v>70</v>
      </c>
      <c r="G2863" s="14">
        <v>44764</v>
      </c>
      <c r="H2863" s="13" t="s">
        <v>9</v>
      </c>
    </row>
    <row r="2864" spans="1:8" ht="14.4" x14ac:dyDescent="0.3">
      <c r="A2864" s="8">
        <v>82187648</v>
      </c>
      <c r="B2864" s="11">
        <v>44757</v>
      </c>
      <c r="C2864" s="13" t="s">
        <v>3865</v>
      </c>
      <c r="D2864" s="13" t="s">
        <v>3866</v>
      </c>
      <c r="E2864" s="8">
        <v>5096</v>
      </c>
      <c r="F2864" s="13" t="s">
        <v>70</v>
      </c>
      <c r="G2864" s="14">
        <v>44762</v>
      </c>
      <c r="H2864" s="13" t="s">
        <v>9</v>
      </c>
    </row>
    <row r="2865" spans="1:8" ht="14.4" x14ac:dyDescent="0.3">
      <c r="A2865" s="8">
        <v>82187649</v>
      </c>
      <c r="B2865" s="11">
        <v>44757</v>
      </c>
      <c r="C2865" s="13" t="s">
        <v>3865</v>
      </c>
      <c r="D2865" s="13" t="s">
        <v>3866</v>
      </c>
      <c r="E2865" s="8">
        <v>18728.57</v>
      </c>
      <c r="F2865" s="13" t="s">
        <v>70</v>
      </c>
      <c r="G2865" s="14">
        <v>44764</v>
      </c>
      <c r="H2865" s="13" t="s">
        <v>9</v>
      </c>
    </row>
    <row r="2866" spans="1:8" ht="14.4" x14ac:dyDescent="0.3">
      <c r="A2866" s="8">
        <v>82187650</v>
      </c>
      <c r="B2866" s="11">
        <v>44757</v>
      </c>
      <c r="C2866" s="13" t="s">
        <v>1581</v>
      </c>
      <c r="D2866" s="13" t="s">
        <v>3867</v>
      </c>
      <c r="E2866" s="8">
        <v>22950.89</v>
      </c>
      <c r="F2866" s="13" t="s">
        <v>70</v>
      </c>
      <c r="G2866" s="14">
        <v>44762</v>
      </c>
      <c r="H2866" s="13" t="s">
        <v>9</v>
      </c>
    </row>
    <row r="2867" spans="1:8" ht="14.4" x14ac:dyDescent="0.3">
      <c r="A2867" s="8">
        <v>82187651</v>
      </c>
      <c r="B2867" s="11">
        <v>44757</v>
      </c>
      <c r="C2867" s="13" t="s">
        <v>1581</v>
      </c>
      <c r="D2867" s="13" t="s">
        <v>3868</v>
      </c>
      <c r="E2867" s="8">
        <v>18928.57</v>
      </c>
      <c r="F2867" s="13" t="s">
        <v>70</v>
      </c>
      <c r="G2867" s="14">
        <v>44762</v>
      </c>
      <c r="H2867" s="13" t="s">
        <v>9</v>
      </c>
    </row>
    <row r="2868" spans="1:8" ht="14.4" x14ac:dyDescent="0.3">
      <c r="A2868" s="8">
        <v>82187652</v>
      </c>
      <c r="B2868" s="11">
        <v>44757</v>
      </c>
      <c r="C2868" s="13" t="s">
        <v>2403</v>
      </c>
      <c r="D2868" s="13" t="s">
        <v>3869</v>
      </c>
      <c r="E2868" s="8">
        <v>154510.72</v>
      </c>
      <c r="F2868" s="13" t="s">
        <v>70</v>
      </c>
      <c r="G2868" s="14">
        <v>44764</v>
      </c>
      <c r="H2868" s="13" t="s">
        <v>9</v>
      </c>
    </row>
    <row r="2869" spans="1:8" ht="14.4" x14ac:dyDescent="0.3">
      <c r="A2869" s="8">
        <v>82187653</v>
      </c>
      <c r="B2869" s="11">
        <v>44757</v>
      </c>
      <c r="C2869" s="13" t="s">
        <v>3870</v>
      </c>
      <c r="D2869" s="13" t="s">
        <v>3871</v>
      </c>
      <c r="E2869" s="8">
        <v>15035</v>
      </c>
      <c r="F2869" s="13" t="s">
        <v>70</v>
      </c>
      <c r="G2869" s="14">
        <v>44795</v>
      </c>
      <c r="H2869" s="13" t="s">
        <v>9</v>
      </c>
    </row>
    <row r="2870" spans="1:8" ht="14.4" x14ac:dyDescent="0.3">
      <c r="A2870" s="8">
        <v>82187654</v>
      </c>
      <c r="B2870" s="11">
        <v>44757</v>
      </c>
      <c r="C2870" s="13" t="s">
        <v>3872</v>
      </c>
      <c r="D2870" s="13" t="s">
        <v>3873</v>
      </c>
      <c r="E2870" s="8">
        <v>120862</v>
      </c>
      <c r="F2870" s="13" t="s">
        <v>70</v>
      </c>
      <c r="G2870" s="14">
        <v>44763</v>
      </c>
      <c r="H2870" s="13" t="s">
        <v>9</v>
      </c>
    </row>
    <row r="2871" spans="1:8" ht="14.4" x14ac:dyDescent="0.3">
      <c r="A2871" s="8">
        <v>82187655</v>
      </c>
      <c r="B2871" s="11">
        <v>44757</v>
      </c>
      <c r="C2871" s="13" t="s">
        <v>3874</v>
      </c>
      <c r="D2871" s="13" t="s">
        <v>3875</v>
      </c>
      <c r="E2871" s="8">
        <v>11721.08</v>
      </c>
      <c r="F2871" s="13" t="s">
        <v>70</v>
      </c>
      <c r="G2871" s="14">
        <v>44763</v>
      </c>
      <c r="H2871" s="13" t="s">
        <v>9</v>
      </c>
    </row>
    <row r="2872" spans="1:8" ht="14.4" x14ac:dyDescent="0.3">
      <c r="A2872" s="8">
        <v>82187656</v>
      </c>
      <c r="B2872" s="11">
        <v>44757</v>
      </c>
      <c r="C2872" s="13" t="s">
        <v>52</v>
      </c>
      <c r="D2872" s="13" t="s">
        <v>3876</v>
      </c>
      <c r="E2872" s="8">
        <v>34323.18</v>
      </c>
      <c r="F2872" s="13" t="s">
        <v>70</v>
      </c>
      <c r="G2872" s="14">
        <v>44761</v>
      </c>
      <c r="H2872" s="13" t="s">
        <v>9</v>
      </c>
    </row>
    <row r="2873" spans="1:8" ht="14.4" x14ac:dyDescent="0.3">
      <c r="A2873" s="8">
        <v>82187657</v>
      </c>
      <c r="B2873" s="11">
        <v>44757</v>
      </c>
      <c r="C2873" s="13" t="s">
        <v>3877</v>
      </c>
      <c r="D2873" s="13" t="s">
        <v>3878</v>
      </c>
      <c r="E2873" s="8">
        <v>123035.72</v>
      </c>
      <c r="F2873" s="13" t="s">
        <v>70</v>
      </c>
      <c r="G2873" s="14">
        <v>44761</v>
      </c>
      <c r="H2873" s="13" t="s">
        <v>9</v>
      </c>
    </row>
    <row r="2874" spans="1:8" ht="14.4" x14ac:dyDescent="0.3">
      <c r="A2874" s="8">
        <v>82187658</v>
      </c>
      <c r="B2874" s="11">
        <v>44757</v>
      </c>
      <c r="C2874" s="13" t="s">
        <v>3879</v>
      </c>
      <c r="D2874" s="13" t="s">
        <v>3880</v>
      </c>
      <c r="E2874" s="8">
        <v>508277</v>
      </c>
      <c r="F2874" s="13" t="s">
        <v>70</v>
      </c>
      <c r="G2874" s="14">
        <v>44768</v>
      </c>
      <c r="H2874" s="13" t="s">
        <v>9</v>
      </c>
    </row>
    <row r="2875" spans="1:8" ht="14.4" x14ac:dyDescent="0.3">
      <c r="A2875" s="8">
        <v>82187659</v>
      </c>
      <c r="B2875" s="11">
        <v>44757</v>
      </c>
      <c r="C2875" s="13" t="s">
        <v>3874</v>
      </c>
      <c r="D2875" s="13" t="s">
        <v>3881</v>
      </c>
      <c r="E2875" s="8">
        <v>20683.29</v>
      </c>
      <c r="F2875" s="13" t="s">
        <v>70</v>
      </c>
      <c r="G2875" s="14">
        <v>44763</v>
      </c>
      <c r="H2875" s="13" t="s">
        <v>9</v>
      </c>
    </row>
    <row r="2876" spans="1:8" ht="14.4" x14ac:dyDescent="0.3">
      <c r="A2876" s="8">
        <v>82187660</v>
      </c>
      <c r="B2876" s="11">
        <v>44757</v>
      </c>
      <c r="C2876" s="13" t="s">
        <v>2072</v>
      </c>
      <c r="D2876" s="13" t="s">
        <v>3882</v>
      </c>
      <c r="E2876" s="8">
        <v>13556.65</v>
      </c>
      <c r="F2876" s="13" t="s">
        <v>70</v>
      </c>
      <c r="G2876" s="14">
        <v>44763</v>
      </c>
      <c r="H2876" s="13" t="s">
        <v>9</v>
      </c>
    </row>
    <row r="2877" spans="1:8" ht="14.4" x14ac:dyDescent="0.3">
      <c r="A2877" s="8">
        <v>82187661</v>
      </c>
      <c r="B2877" s="11">
        <v>44757</v>
      </c>
      <c r="C2877" s="13" t="s">
        <v>3883</v>
      </c>
      <c r="D2877" s="13" t="s">
        <v>3882</v>
      </c>
      <c r="E2877" s="8">
        <v>21697.200000000001</v>
      </c>
      <c r="F2877" s="13" t="s">
        <v>70</v>
      </c>
      <c r="G2877" s="14">
        <v>44761</v>
      </c>
      <c r="H2877" s="13" t="s">
        <v>9</v>
      </c>
    </row>
    <row r="2878" spans="1:8" ht="14.4" x14ac:dyDescent="0.3">
      <c r="A2878" s="8">
        <v>82187662</v>
      </c>
      <c r="B2878" s="11">
        <v>44757</v>
      </c>
      <c r="C2878" s="13" t="s">
        <v>1581</v>
      </c>
      <c r="D2878" s="13" t="s">
        <v>3884</v>
      </c>
      <c r="E2878" s="8">
        <v>9937.5</v>
      </c>
      <c r="F2878" s="13" t="s">
        <v>70</v>
      </c>
      <c r="G2878" s="14">
        <v>44762</v>
      </c>
      <c r="H2878" s="13" t="s">
        <v>9</v>
      </c>
    </row>
    <row r="2879" spans="1:8" ht="14.4" x14ac:dyDescent="0.3">
      <c r="A2879" s="8">
        <v>82187663</v>
      </c>
      <c r="B2879" s="11">
        <v>44757</v>
      </c>
      <c r="C2879" s="13" t="s">
        <v>3874</v>
      </c>
      <c r="D2879" s="13" t="s">
        <v>3885</v>
      </c>
      <c r="E2879" s="8">
        <v>31157.05</v>
      </c>
      <c r="F2879" s="13" t="s">
        <v>70</v>
      </c>
      <c r="G2879" s="14">
        <v>44763</v>
      </c>
      <c r="H2879" s="13" t="s">
        <v>9</v>
      </c>
    </row>
    <row r="2880" spans="1:8" ht="14.4" x14ac:dyDescent="0.3">
      <c r="A2880" s="8">
        <v>82187664</v>
      </c>
      <c r="B2880" s="11">
        <v>44757</v>
      </c>
      <c r="C2880" s="13" t="s">
        <v>1581</v>
      </c>
      <c r="D2880" s="13" t="s">
        <v>3886</v>
      </c>
      <c r="E2880" s="8">
        <v>8517.85</v>
      </c>
      <c r="F2880" s="13" t="s">
        <v>70</v>
      </c>
      <c r="G2880" s="14">
        <v>44762</v>
      </c>
      <c r="H2880" s="13" t="s">
        <v>9</v>
      </c>
    </row>
    <row r="2881" spans="1:8" ht="14.4" x14ac:dyDescent="0.3">
      <c r="A2881" s="8">
        <v>82187665</v>
      </c>
      <c r="B2881" s="11">
        <v>44757</v>
      </c>
      <c r="C2881" s="13" t="s">
        <v>3887</v>
      </c>
      <c r="D2881" s="13" t="s">
        <v>3888</v>
      </c>
      <c r="E2881" s="8">
        <v>35025.620000000003</v>
      </c>
      <c r="F2881" s="13" t="s">
        <v>70</v>
      </c>
      <c r="G2881" s="14">
        <v>44760</v>
      </c>
      <c r="H2881" s="13" t="s">
        <v>9</v>
      </c>
    </row>
    <row r="2882" spans="1:8" ht="14.4" x14ac:dyDescent="0.3">
      <c r="A2882" s="8">
        <v>82187666</v>
      </c>
      <c r="B2882" s="11">
        <v>44757</v>
      </c>
      <c r="C2882" s="13" t="s">
        <v>3889</v>
      </c>
      <c r="D2882" s="13" t="s">
        <v>3890</v>
      </c>
      <c r="E2882" s="8">
        <v>25661.89</v>
      </c>
      <c r="F2882" s="13" t="s">
        <v>70</v>
      </c>
      <c r="G2882" s="14">
        <v>44771</v>
      </c>
      <c r="H2882" s="13" t="s">
        <v>9</v>
      </c>
    </row>
    <row r="2883" spans="1:8" ht="14.4" x14ac:dyDescent="0.3">
      <c r="A2883" s="8">
        <v>82187667</v>
      </c>
      <c r="B2883" s="11">
        <v>44757</v>
      </c>
      <c r="C2883" s="13" t="s">
        <v>3891</v>
      </c>
      <c r="D2883" s="13" t="s">
        <v>3892</v>
      </c>
      <c r="E2883" s="8">
        <v>22295.02</v>
      </c>
      <c r="F2883" s="13" t="s">
        <v>70</v>
      </c>
      <c r="G2883" s="14">
        <v>44760</v>
      </c>
      <c r="H2883" s="13" t="s">
        <v>9</v>
      </c>
    </row>
    <row r="2884" spans="1:8" ht="14.4" x14ac:dyDescent="0.3">
      <c r="A2884" s="8">
        <v>82187669</v>
      </c>
      <c r="B2884" s="11">
        <v>44757</v>
      </c>
      <c r="C2884" s="13" t="s">
        <v>3893</v>
      </c>
      <c r="D2884" s="13" t="s">
        <v>3894</v>
      </c>
      <c r="E2884" s="8">
        <v>30000</v>
      </c>
      <c r="F2884" s="13" t="s">
        <v>70</v>
      </c>
      <c r="G2884" s="14">
        <v>44760</v>
      </c>
      <c r="H2884" s="13" t="s">
        <v>9</v>
      </c>
    </row>
    <row r="2885" spans="1:8" ht="14.4" x14ac:dyDescent="0.3">
      <c r="A2885" s="8">
        <v>82187670</v>
      </c>
      <c r="B2885" s="11">
        <v>44757</v>
      </c>
      <c r="C2885" s="13" t="s">
        <v>3895</v>
      </c>
      <c r="D2885" s="13" t="s">
        <v>3896</v>
      </c>
      <c r="E2885" s="8">
        <v>20000</v>
      </c>
      <c r="F2885" s="13" t="s">
        <v>70</v>
      </c>
      <c r="G2885" s="14">
        <v>44761</v>
      </c>
      <c r="H2885" s="13" t="s">
        <v>9</v>
      </c>
    </row>
    <row r="2886" spans="1:8" ht="14.4" x14ac:dyDescent="0.3">
      <c r="A2886" s="8">
        <v>82187671</v>
      </c>
      <c r="B2886" s="11">
        <v>44757</v>
      </c>
      <c r="C2886" s="13" t="s">
        <v>158</v>
      </c>
      <c r="D2886" s="13" t="s">
        <v>3897</v>
      </c>
      <c r="E2886" s="8">
        <v>20000</v>
      </c>
      <c r="F2886" s="13" t="s">
        <v>70</v>
      </c>
      <c r="G2886" s="14">
        <v>44761</v>
      </c>
      <c r="H2886" s="13" t="s">
        <v>9</v>
      </c>
    </row>
    <row r="2887" spans="1:8" ht="14.4" x14ac:dyDescent="0.3">
      <c r="A2887" s="8">
        <v>82187672</v>
      </c>
      <c r="B2887" s="11">
        <v>44757</v>
      </c>
      <c r="C2887" s="13" t="s">
        <v>3898</v>
      </c>
      <c r="D2887" s="13" t="s">
        <v>3899</v>
      </c>
      <c r="E2887" s="8">
        <v>16602.189999999999</v>
      </c>
      <c r="F2887" s="13" t="s">
        <v>70</v>
      </c>
      <c r="G2887" s="14">
        <v>44761</v>
      </c>
      <c r="H2887" s="13" t="s">
        <v>9</v>
      </c>
    </row>
    <row r="2888" spans="1:8" ht="14.4" x14ac:dyDescent="0.3">
      <c r="A2888" s="8">
        <v>82187673</v>
      </c>
      <c r="B2888" s="11">
        <v>44757</v>
      </c>
      <c r="C2888" s="13" t="s">
        <v>3900</v>
      </c>
      <c r="D2888" s="13" t="s">
        <v>3901</v>
      </c>
      <c r="E2888" s="8">
        <v>11620.4</v>
      </c>
      <c r="F2888" s="13" t="s">
        <v>70</v>
      </c>
      <c r="G2888" s="14">
        <v>44781</v>
      </c>
      <c r="H2888" s="13" t="s">
        <v>9</v>
      </c>
    </row>
    <row r="2889" spans="1:8" ht="14.4" x14ac:dyDescent="0.3">
      <c r="A2889" s="8">
        <v>82187674</v>
      </c>
      <c r="B2889" s="11">
        <v>44757</v>
      </c>
      <c r="C2889" s="13" t="s">
        <v>1509</v>
      </c>
      <c r="D2889" s="13" t="s">
        <v>3901</v>
      </c>
      <c r="E2889" s="8">
        <v>20017.34</v>
      </c>
      <c r="F2889" s="13" t="s">
        <v>70</v>
      </c>
      <c r="G2889" s="14">
        <v>44761</v>
      </c>
      <c r="H2889" s="13" t="s">
        <v>9</v>
      </c>
    </row>
    <row r="2890" spans="1:8" ht="14.4" x14ac:dyDescent="0.3">
      <c r="A2890" s="8">
        <v>82187675</v>
      </c>
      <c r="B2890" s="11">
        <v>44757</v>
      </c>
      <c r="C2890" s="13" t="s">
        <v>1510</v>
      </c>
      <c r="D2890" s="13" t="s">
        <v>3901</v>
      </c>
      <c r="E2890" s="8">
        <v>6315.83</v>
      </c>
      <c r="F2890" s="13" t="s">
        <v>70</v>
      </c>
      <c r="G2890" s="14">
        <v>44770</v>
      </c>
      <c r="H2890" s="13" t="s">
        <v>9</v>
      </c>
    </row>
    <row r="2891" spans="1:8" ht="14.4" x14ac:dyDescent="0.3">
      <c r="A2891" s="8">
        <v>82187676</v>
      </c>
      <c r="B2891" s="11">
        <v>44757</v>
      </c>
      <c r="C2891" s="13" t="s">
        <v>3902</v>
      </c>
      <c r="D2891" s="13" t="s">
        <v>3901</v>
      </c>
      <c r="E2891" s="8">
        <v>17923.5</v>
      </c>
      <c r="F2891" s="13" t="s">
        <v>70</v>
      </c>
      <c r="G2891" s="14">
        <v>44762</v>
      </c>
      <c r="H2891" s="13" t="s">
        <v>9</v>
      </c>
    </row>
    <row r="2892" spans="1:8" ht="14.4" x14ac:dyDescent="0.3">
      <c r="A2892" s="8">
        <v>82187677</v>
      </c>
      <c r="B2892" s="11">
        <v>44757</v>
      </c>
      <c r="C2892" s="13" t="s">
        <v>3903</v>
      </c>
      <c r="D2892" s="13" t="s">
        <v>3904</v>
      </c>
      <c r="E2892" s="8">
        <v>20326.939999999999</v>
      </c>
      <c r="F2892" s="13" t="s">
        <v>70</v>
      </c>
      <c r="G2892" s="14">
        <v>44762</v>
      </c>
      <c r="H2892" s="13" t="s">
        <v>9</v>
      </c>
    </row>
    <row r="2893" spans="1:8" ht="14.4" x14ac:dyDescent="0.3">
      <c r="A2893" s="8">
        <v>82187678</v>
      </c>
      <c r="B2893" s="11">
        <v>44757</v>
      </c>
      <c r="C2893" s="13" t="s">
        <v>3905</v>
      </c>
      <c r="D2893" s="13" t="s">
        <v>3901</v>
      </c>
      <c r="E2893" s="8">
        <v>22899.11</v>
      </c>
      <c r="F2893" s="13" t="s">
        <v>70</v>
      </c>
      <c r="G2893" s="14">
        <v>44761</v>
      </c>
      <c r="H2893" s="13" t="s">
        <v>9</v>
      </c>
    </row>
    <row r="2894" spans="1:8" ht="14.4" x14ac:dyDescent="0.3">
      <c r="A2894" s="8">
        <v>82187679</v>
      </c>
      <c r="B2894" s="11">
        <v>44757</v>
      </c>
      <c r="C2894" s="13" t="s">
        <v>282</v>
      </c>
      <c r="D2894" s="13" t="s">
        <v>3906</v>
      </c>
      <c r="E2894" s="8">
        <v>20000</v>
      </c>
      <c r="F2894" s="13" t="s">
        <v>70</v>
      </c>
      <c r="G2894" s="14">
        <v>44761</v>
      </c>
      <c r="H2894" s="13" t="s">
        <v>9</v>
      </c>
    </row>
    <row r="2895" spans="1:8" ht="14.4" x14ac:dyDescent="0.3">
      <c r="A2895" s="8">
        <v>82187680</v>
      </c>
      <c r="B2895" s="11">
        <v>44757</v>
      </c>
      <c r="C2895" s="13" t="s">
        <v>3907</v>
      </c>
      <c r="D2895" s="13" t="s">
        <v>3908</v>
      </c>
      <c r="E2895" s="8">
        <v>257516.02</v>
      </c>
      <c r="F2895" s="13" t="s">
        <v>70</v>
      </c>
      <c r="G2895" s="14">
        <v>44760</v>
      </c>
      <c r="H2895" s="13" t="s">
        <v>9</v>
      </c>
    </row>
    <row r="2896" spans="1:8" ht="14.4" x14ac:dyDescent="0.3">
      <c r="A2896" s="8">
        <v>82187681</v>
      </c>
      <c r="B2896" s="11">
        <v>44757</v>
      </c>
      <c r="C2896" s="13" t="s">
        <v>1991</v>
      </c>
      <c r="D2896" s="13" t="s">
        <v>3909</v>
      </c>
      <c r="E2896" s="8">
        <v>24756.68</v>
      </c>
      <c r="F2896" s="13" t="s">
        <v>70</v>
      </c>
      <c r="G2896" s="14">
        <v>44763</v>
      </c>
      <c r="H2896" s="13" t="s">
        <v>9</v>
      </c>
    </row>
    <row r="2897" spans="1:8" ht="14.4" x14ac:dyDescent="0.3">
      <c r="A2897" s="8">
        <v>82187683</v>
      </c>
      <c r="B2897" s="11">
        <v>44757</v>
      </c>
      <c r="C2897" s="13" t="s">
        <v>3910</v>
      </c>
      <c r="D2897" s="13" t="s">
        <v>3911</v>
      </c>
      <c r="E2897" s="8">
        <v>31767</v>
      </c>
      <c r="F2897" s="13" t="s">
        <v>70</v>
      </c>
      <c r="G2897" s="14">
        <v>44761</v>
      </c>
      <c r="H2897" s="13" t="s">
        <v>9</v>
      </c>
    </row>
    <row r="2898" spans="1:8" ht="14.4" x14ac:dyDescent="0.3">
      <c r="A2898" s="8">
        <v>82187684</v>
      </c>
      <c r="B2898" s="11">
        <v>44757</v>
      </c>
      <c r="C2898" s="13" t="s">
        <v>1668</v>
      </c>
      <c r="D2898" s="13" t="s">
        <v>3912</v>
      </c>
      <c r="E2898" s="8">
        <v>20000</v>
      </c>
      <c r="F2898" s="13" t="s">
        <v>70</v>
      </c>
      <c r="G2898" s="14">
        <v>44760</v>
      </c>
      <c r="H2898" s="13" t="s">
        <v>9</v>
      </c>
    </row>
    <row r="2899" spans="1:8" ht="14.4" x14ac:dyDescent="0.3">
      <c r="A2899" s="8">
        <v>82187685</v>
      </c>
      <c r="B2899" s="11">
        <v>44757</v>
      </c>
      <c r="C2899" s="13" t="s">
        <v>3913</v>
      </c>
      <c r="D2899" s="13" t="s">
        <v>3912</v>
      </c>
      <c r="E2899" s="8">
        <v>75000</v>
      </c>
      <c r="F2899" s="13" t="s">
        <v>70</v>
      </c>
      <c r="G2899" s="14">
        <v>44767</v>
      </c>
      <c r="H2899" s="13" t="s">
        <v>9</v>
      </c>
    </row>
    <row r="2900" spans="1:8" ht="14.4" x14ac:dyDescent="0.3">
      <c r="A2900" s="8">
        <v>82187686</v>
      </c>
      <c r="B2900" s="11">
        <v>44757</v>
      </c>
      <c r="C2900" s="13" t="s">
        <v>3913</v>
      </c>
      <c r="D2900" s="13" t="s">
        <v>3914</v>
      </c>
      <c r="E2900" s="8">
        <v>71741.25</v>
      </c>
      <c r="F2900" s="13" t="s">
        <v>70</v>
      </c>
      <c r="G2900" s="14">
        <v>44767</v>
      </c>
      <c r="H2900" s="13" t="s">
        <v>9</v>
      </c>
    </row>
    <row r="2901" spans="1:8" ht="14.4" x14ac:dyDescent="0.3">
      <c r="A2901" s="8">
        <v>82187687</v>
      </c>
      <c r="B2901" s="11">
        <v>44757</v>
      </c>
      <c r="C2901" s="13" t="s">
        <v>3913</v>
      </c>
      <c r="D2901" s="13" t="s">
        <v>3914</v>
      </c>
      <c r="E2901" s="8">
        <v>14062.5</v>
      </c>
      <c r="F2901" s="13" t="s">
        <v>70</v>
      </c>
      <c r="G2901" s="14">
        <v>44767</v>
      </c>
      <c r="H2901" s="13" t="s">
        <v>9</v>
      </c>
    </row>
    <row r="2902" spans="1:8" ht="14.4" x14ac:dyDescent="0.3">
      <c r="A2902" s="8">
        <v>82187688</v>
      </c>
      <c r="B2902" s="11">
        <v>44757</v>
      </c>
      <c r="C2902" s="13" t="s">
        <v>3915</v>
      </c>
      <c r="D2902" s="13" t="s">
        <v>3916</v>
      </c>
      <c r="E2902" s="8">
        <v>23467.5</v>
      </c>
      <c r="F2902" s="13" t="s">
        <v>70</v>
      </c>
      <c r="G2902" s="14">
        <v>44796</v>
      </c>
      <c r="H2902" s="13" t="s">
        <v>9</v>
      </c>
    </row>
    <row r="2903" spans="1:8" ht="14.4" x14ac:dyDescent="0.3">
      <c r="A2903" s="8">
        <v>82187689</v>
      </c>
      <c r="B2903" s="11">
        <v>44757</v>
      </c>
      <c r="C2903" s="13" t="s">
        <v>3917</v>
      </c>
      <c r="D2903" s="13" t="s">
        <v>3918</v>
      </c>
      <c r="E2903" s="8">
        <v>1689805.96</v>
      </c>
      <c r="F2903" s="13" t="s">
        <v>70</v>
      </c>
      <c r="G2903" s="14">
        <v>44761</v>
      </c>
      <c r="H2903" s="13" t="s">
        <v>9</v>
      </c>
    </row>
    <row r="2904" spans="1:8" ht="14.4" x14ac:dyDescent="0.3">
      <c r="A2904" s="8">
        <v>82187690</v>
      </c>
      <c r="B2904" s="11">
        <v>44757</v>
      </c>
      <c r="C2904" s="13" t="s">
        <v>3919</v>
      </c>
      <c r="D2904" s="13" t="s">
        <v>3920</v>
      </c>
      <c r="E2904" s="8">
        <v>1650</v>
      </c>
      <c r="F2904" s="13" t="s">
        <v>70</v>
      </c>
      <c r="G2904" s="14">
        <v>44769</v>
      </c>
      <c r="H2904" s="13" t="s">
        <v>9</v>
      </c>
    </row>
    <row r="2905" spans="1:8" ht="14.4" x14ac:dyDescent="0.3">
      <c r="A2905" s="8">
        <v>82187691</v>
      </c>
      <c r="B2905" s="11">
        <v>44757</v>
      </c>
      <c r="C2905" s="13" t="s">
        <v>361</v>
      </c>
      <c r="D2905" s="13" t="s">
        <v>3921</v>
      </c>
      <c r="E2905" s="8">
        <v>13125</v>
      </c>
      <c r="F2905" s="13" t="s">
        <v>70</v>
      </c>
      <c r="G2905" s="14">
        <v>44767</v>
      </c>
      <c r="H2905" s="13" t="s">
        <v>9</v>
      </c>
    </row>
    <row r="2906" spans="1:8" ht="14.4" x14ac:dyDescent="0.3">
      <c r="A2906" s="8">
        <v>82187692</v>
      </c>
      <c r="B2906" s="11">
        <v>44757</v>
      </c>
      <c r="C2906" s="13" t="s">
        <v>3922</v>
      </c>
      <c r="D2906" s="13" t="s">
        <v>3923</v>
      </c>
      <c r="E2906" s="8">
        <v>10000</v>
      </c>
      <c r="F2906" s="13" t="s">
        <v>70</v>
      </c>
      <c r="G2906" s="14">
        <v>44761</v>
      </c>
      <c r="H2906" s="13" t="s">
        <v>9</v>
      </c>
    </row>
    <row r="2907" spans="1:8" ht="14.4" x14ac:dyDescent="0.3">
      <c r="A2907" s="8">
        <v>82187693</v>
      </c>
      <c r="B2907" s="11">
        <v>44757</v>
      </c>
      <c r="C2907" s="13" t="s">
        <v>3924</v>
      </c>
      <c r="D2907" s="13" t="s">
        <v>150</v>
      </c>
      <c r="E2907" s="8">
        <v>9000</v>
      </c>
      <c r="F2907" s="13" t="s">
        <v>70</v>
      </c>
      <c r="G2907" s="14">
        <v>44761</v>
      </c>
      <c r="H2907" s="13" t="s">
        <v>9</v>
      </c>
    </row>
    <row r="2908" spans="1:8" ht="14.4" x14ac:dyDescent="0.3">
      <c r="A2908" s="8">
        <v>82187694</v>
      </c>
      <c r="B2908" s="11">
        <v>44757</v>
      </c>
      <c r="C2908" s="13" t="s">
        <v>3925</v>
      </c>
      <c r="D2908" s="13" t="s">
        <v>3836</v>
      </c>
      <c r="E2908" s="8">
        <v>6000</v>
      </c>
      <c r="F2908" s="13" t="s">
        <v>70</v>
      </c>
      <c r="G2908" s="14">
        <v>44767</v>
      </c>
      <c r="H2908" s="13" t="s">
        <v>9</v>
      </c>
    </row>
    <row r="2909" spans="1:8" ht="14.4" x14ac:dyDescent="0.3">
      <c r="A2909" s="8">
        <v>82187695</v>
      </c>
      <c r="B2909" s="11">
        <v>44757</v>
      </c>
      <c r="C2909" s="13" t="s">
        <v>3926</v>
      </c>
      <c r="D2909" s="13" t="s">
        <v>3927</v>
      </c>
      <c r="E2909" s="8">
        <v>4558.2</v>
      </c>
      <c r="F2909" s="13" t="s">
        <v>70</v>
      </c>
      <c r="G2909" s="14">
        <v>44761</v>
      </c>
      <c r="H2909" s="13" t="s">
        <v>9</v>
      </c>
    </row>
    <row r="2910" spans="1:8" ht="14.4" x14ac:dyDescent="0.3">
      <c r="A2910" s="8">
        <v>82187696</v>
      </c>
      <c r="B2910" s="11">
        <v>44757</v>
      </c>
      <c r="C2910" s="13" t="s">
        <v>3928</v>
      </c>
      <c r="D2910" s="13" t="s">
        <v>3528</v>
      </c>
      <c r="E2910" s="8">
        <v>15000</v>
      </c>
      <c r="F2910" s="13" t="s">
        <v>70</v>
      </c>
      <c r="G2910" s="14">
        <v>44761</v>
      </c>
      <c r="H2910" s="13" t="s">
        <v>9</v>
      </c>
    </row>
    <row r="2911" spans="1:8" ht="14.4" x14ac:dyDescent="0.3">
      <c r="A2911" s="8">
        <v>82187697</v>
      </c>
      <c r="B2911" s="11">
        <v>44757</v>
      </c>
      <c r="C2911" s="13" t="s">
        <v>3929</v>
      </c>
      <c r="D2911" s="13" t="s">
        <v>3528</v>
      </c>
      <c r="E2911" s="8">
        <v>5000</v>
      </c>
      <c r="F2911" s="13" t="s">
        <v>70</v>
      </c>
      <c r="G2911" s="14">
        <v>44761</v>
      </c>
      <c r="H2911" s="13" t="s">
        <v>9</v>
      </c>
    </row>
    <row r="2912" spans="1:8" ht="14.4" x14ac:dyDescent="0.3">
      <c r="A2912" s="8">
        <v>82187699</v>
      </c>
      <c r="B2912" s="11">
        <v>44757</v>
      </c>
      <c r="C2912" s="13" t="s">
        <v>3930</v>
      </c>
      <c r="D2912" s="13" t="s">
        <v>3528</v>
      </c>
      <c r="E2912" s="8">
        <v>15000</v>
      </c>
      <c r="F2912" s="13" t="s">
        <v>70</v>
      </c>
      <c r="G2912" s="14">
        <v>44769</v>
      </c>
      <c r="H2912" s="13" t="s">
        <v>9</v>
      </c>
    </row>
    <row r="2913" spans="1:8" ht="14.4" x14ac:dyDescent="0.3">
      <c r="A2913" s="8">
        <v>82187700</v>
      </c>
      <c r="B2913" s="11">
        <v>44757</v>
      </c>
      <c r="C2913" s="13" t="s">
        <v>3931</v>
      </c>
      <c r="D2913" s="13" t="s">
        <v>3932</v>
      </c>
      <c r="E2913" s="8">
        <v>15000</v>
      </c>
      <c r="F2913" s="13" t="s">
        <v>70</v>
      </c>
      <c r="G2913" s="14">
        <v>44764</v>
      </c>
      <c r="H2913" s="13" t="s">
        <v>9</v>
      </c>
    </row>
    <row r="2914" spans="1:8" ht="14.4" x14ac:dyDescent="0.3">
      <c r="A2914" s="8">
        <v>82187703</v>
      </c>
      <c r="B2914" s="11">
        <v>44757</v>
      </c>
      <c r="C2914" s="13" t="s">
        <v>400</v>
      </c>
      <c r="D2914" s="13" t="s">
        <v>3528</v>
      </c>
      <c r="E2914" s="8">
        <v>15000</v>
      </c>
      <c r="F2914" s="13" t="s">
        <v>70</v>
      </c>
      <c r="G2914" s="14">
        <v>44761</v>
      </c>
      <c r="H2914" s="13" t="s">
        <v>9</v>
      </c>
    </row>
    <row r="2915" spans="1:8" ht="14.4" x14ac:dyDescent="0.3">
      <c r="A2915" s="8">
        <v>82187704</v>
      </c>
      <c r="B2915" s="11">
        <v>44757</v>
      </c>
      <c r="C2915" s="13" t="s">
        <v>3933</v>
      </c>
      <c r="D2915" s="13" t="s">
        <v>3934</v>
      </c>
      <c r="E2915" s="8">
        <v>15000</v>
      </c>
      <c r="F2915" s="13" t="s">
        <v>70</v>
      </c>
      <c r="G2915" s="14">
        <v>44764</v>
      </c>
      <c r="H2915" s="13" t="s">
        <v>9</v>
      </c>
    </row>
    <row r="2916" spans="1:8" ht="14.4" x14ac:dyDescent="0.3">
      <c r="A2916" s="8">
        <v>82187705</v>
      </c>
      <c r="B2916" s="11">
        <v>44757</v>
      </c>
      <c r="C2916" s="13" t="s">
        <v>295</v>
      </c>
      <c r="D2916" s="13" t="s">
        <v>3528</v>
      </c>
      <c r="E2916" s="8">
        <v>20000</v>
      </c>
      <c r="F2916" s="13" t="s">
        <v>70</v>
      </c>
      <c r="G2916" s="14">
        <v>44763</v>
      </c>
      <c r="H2916" s="13" t="s">
        <v>9</v>
      </c>
    </row>
    <row r="2917" spans="1:8" ht="14.4" x14ac:dyDescent="0.3">
      <c r="A2917" s="8">
        <v>82187706</v>
      </c>
      <c r="B2917" s="11">
        <v>44757</v>
      </c>
      <c r="C2917" s="13" t="s">
        <v>303</v>
      </c>
      <c r="D2917" s="13" t="s">
        <v>3528</v>
      </c>
      <c r="E2917" s="8">
        <v>6000</v>
      </c>
      <c r="F2917" s="13" t="s">
        <v>70</v>
      </c>
      <c r="G2917" s="14">
        <v>44767</v>
      </c>
      <c r="H2917" s="13" t="s">
        <v>9</v>
      </c>
    </row>
    <row r="2918" spans="1:8" ht="14.4" x14ac:dyDescent="0.3">
      <c r="A2918" s="8">
        <v>82187707</v>
      </c>
      <c r="B2918" s="11">
        <v>44757</v>
      </c>
      <c r="C2918" s="13" t="s">
        <v>303</v>
      </c>
      <c r="D2918" s="13" t="s">
        <v>3528</v>
      </c>
      <c r="E2918" s="8">
        <v>6000</v>
      </c>
      <c r="F2918" s="13" t="s">
        <v>70</v>
      </c>
      <c r="G2918" s="14">
        <v>44761</v>
      </c>
      <c r="H2918" s="13" t="s">
        <v>9</v>
      </c>
    </row>
    <row r="2919" spans="1:8" ht="14.4" x14ac:dyDescent="0.3">
      <c r="A2919" s="8">
        <v>82187708</v>
      </c>
      <c r="B2919" s="11">
        <v>44757</v>
      </c>
      <c r="C2919" s="13" t="s">
        <v>3935</v>
      </c>
      <c r="D2919" s="13" t="s">
        <v>3936</v>
      </c>
      <c r="E2919" s="8">
        <v>5000</v>
      </c>
      <c r="F2919" s="13" t="s">
        <v>70</v>
      </c>
      <c r="G2919" s="14">
        <v>44764</v>
      </c>
      <c r="H2919" s="13" t="s">
        <v>9</v>
      </c>
    </row>
    <row r="2920" spans="1:8" ht="14.4" x14ac:dyDescent="0.3">
      <c r="A2920" s="8">
        <v>82187710</v>
      </c>
      <c r="B2920" s="11">
        <v>44757</v>
      </c>
      <c r="C2920" s="13" t="s">
        <v>3937</v>
      </c>
      <c r="D2920" s="13" t="s">
        <v>13</v>
      </c>
      <c r="E2920" s="8">
        <v>6000</v>
      </c>
      <c r="F2920" s="13" t="s">
        <v>70</v>
      </c>
      <c r="G2920" s="14">
        <v>44761</v>
      </c>
      <c r="H2920" s="13" t="s">
        <v>9</v>
      </c>
    </row>
    <row r="2921" spans="1:8" ht="14.4" x14ac:dyDescent="0.3">
      <c r="A2921" s="8">
        <v>82187711</v>
      </c>
      <c r="B2921" s="11">
        <v>44757</v>
      </c>
      <c r="C2921" s="13" t="s">
        <v>300</v>
      </c>
      <c r="D2921" s="13" t="s">
        <v>13</v>
      </c>
      <c r="E2921" s="8">
        <v>6000</v>
      </c>
      <c r="F2921" s="13" t="s">
        <v>70</v>
      </c>
      <c r="G2921" s="14">
        <v>44761</v>
      </c>
      <c r="H2921" s="13" t="s">
        <v>9</v>
      </c>
    </row>
    <row r="2922" spans="1:8" ht="14.4" x14ac:dyDescent="0.3">
      <c r="A2922" s="8">
        <v>82187712</v>
      </c>
      <c r="B2922" s="11">
        <v>44757</v>
      </c>
      <c r="C2922" s="13" t="s">
        <v>3938</v>
      </c>
      <c r="D2922" s="13" t="s">
        <v>3939</v>
      </c>
      <c r="E2922" s="8">
        <v>19580</v>
      </c>
      <c r="F2922" s="13" t="s">
        <v>70</v>
      </c>
      <c r="G2922" s="14">
        <v>44767</v>
      </c>
      <c r="H2922" s="13" t="s">
        <v>9</v>
      </c>
    </row>
    <row r="2923" spans="1:8" ht="14.4" x14ac:dyDescent="0.3">
      <c r="A2923" s="8">
        <v>82187713</v>
      </c>
      <c r="B2923" s="11">
        <v>44757</v>
      </c>
      <c r="C2923" s="13" t="s">
        <v>330</v>
      </c>
      <c r="D2923" s="13" t="s">
        <v>3528</v>
      </c>
      <c r="E2923" s="8">
        <v>20000</v>
      </c>
      <c r="F2923" s="13" t="s">
        <v>70</v>
      </c>
      <c r="G2923" s="14">
        <v>44761</v>
      </c>
      <c r="H2923" s="13" t="s">
        <v>9</v>
      </c>
    </row>
    <row r="2924" spans="1:8" ht="14.4" x14ac:dyDescent="0.3">
      <c r="A2924" s="8">
        <v>82187714</v>
      </c>
      <c r="B2924" s="11">
        <v>44757</v>
      </c>
      <c r="C2924" s="13" t="s">
        <v>333</v>
      </c>
      <c r="D2924" s="13" t="s">
        <v>3528</v>
      </c>
      <c r="E2924" s="8">
        <v>3000</v>
      </c>
      <c r="F2924" s="13" t="s">
        <v>70</v>
      </c>
      <c r="G2924" s="14">
        <v>44761</v>
      </c>
      <c r="H2924" s="13" t="s">
        <v>9</v>
      </c>
    </row>
    <row r="2925" spans="1:8" ht="14.4" x14ac:dyDescent="0.3">
      <c r="A2925" s="8">
        <v>82187715</v>
      </c>
      <c r="B2925" s="11">
        <v>44757</v>
      </c>
      <c r="C2925" s="13" t="s">
        <v>332</v>
      </c>
      <c r="D2925" s="13" t="s">
        <v>3940</v>
      </c>
      <c r="E2925" s="8">
        <v>5000</v>
      </c>
      <c r="F2925" s="13" t="s">
        <v>70</v>
      </c>
      <c r="G2925" s="14">
        <v>44761</v>
      </c>
      <c r="H2925" s="13" t="s">
        <v>9</v>
      </c>
    </row>
    <row r="2926" spans="1:8" ht="14.4" x14ac:dyDescent="0.3">
      <c r="A2926" s="8">
        <v>82187716</v>
      </c>
      <c r="B2926" s="11">
        <v>44757</v>
      </c>
      <c r="C2926" s="13" t="s">
        <v>331</v>
      </c>
      <c r="D2926" s="16" t="s">
        <v>3528</v>
      </c>
      <c r="E2926" s="8">
        <v>10000</v>
      </c>
      <c r="F2926" s="13" t="s">
        <v>70</v>
      </c>
      <c r="G2926" s="14">
        <v>44761</v>
      </c>
      <c r="H2926" s="13" t="s">
        <v>9</v>
      </c>
    </row>
    <row r="2927" spans="1:8" ht="14.4" x14ac:dyDescent="0.3">
      <c r="A2927" s="8">
        <v>82187717</v>
      </c>
      <c r="B2927" s="11">
        <v>44757</v>
      </c>
      <c r="C2927" s="13" t="s">
        <v>3941</v>
      </c>
      <c r="D2927" s="13" t="s">
        <v>3942</v>
      </c>
      <c r="E2927" s="8">
        <v>11000</v>
      </c>
      <c r="F2927" s="13" t="s">
        <v>70</v>
      </c>
      <c r="G2927" s="14">
        <v>44762</v>
      </c>
      <c r="H2927" s="13" t="s">
        <v>9</v>
      </c>
    </row>
    <row r="2928" spans="1:8" ht="14.4" x14ac:dyDescent="0.3">
      <c r="A2928" s="8">
        <v>82187718</v>
      </c>
      <c r="B2928" s="11">
        <v>44757</v>
      </c>
      <c r="C2928" s="13" t="s">
        <v>3943</v>
      </c>
      <c r="D2928" s="13" t="s">
        <v>3944</v>
      </c>
      <c r="E2928" s="8">
        <v>20000</v>
      </c>
      <c r="F2928" s="13" t="s">
        <v>70</v>
      </c>
      <c r="G2928" s="14">
        <v>44764</v>
      </c>
      <c r="H2928" s="13" t="s">
        <v>9</v>
      </c>
    </row>
    <row r="2929" spans="1:8" ht="14.4" x14ac:dyDescent="0.3">
      <c r="A2929" s="8">
        <v>82187719</v>
      </c>
      <c r="B2929" s="11">
        <v>44757</v>
      </c>
      <c r="C2929" s="13" t="s">
        <v>3945</v>
      </c>
      <c r="D2929" s="13" t="s">
        <v>3946</v>
      </c>
      <c r="E2929" s="8">
        <v>25000</v>
      </c>
      <c r="F2929" s="13" t="s">
        <v>70</v>
      </c>
      <c r="G2929" s="14">
        <v>44761</v>
      </c>
      <c r="H2929" s="13" t="s">
        <v>9</v>
      </c>
    </row>
    <row r="2930" spans="1:8" ht="14.4" x14ac:dyDescent="0.3">
      <c r="A2930" s="8">
        <v>82187720</v>
      </c>
      <c r="B2930" s="11">
        <v>44757</v>
      </c>
      <c r="C2930" s="13" t="s">
        <v>3947</v>
      </c>
      <c r="D2930" s="13" t="s">
        <v>3948</v>
      </c>
      <c r="E2930" s="8">
        <v>10000</v>
      </c>
      <c r="F2930" s="13" t="s">
        <v>70</v>
      </c>
      <c r="G2930" s="14">
        <v>44762</v>
      </c>
      <c r="H2930" s="13" t="s">
        <v>9</v>
      </c>
    </row>
    <row r="2931" spans="1:8" ht="14.4" x14ac:dyDescent="0.3">
      <c r="A2931" s="8">
        <v>82187721</v>
      </c>
      <c r="B2931" s="11">
        <v>44757</v>
      </c>
      <c r="C2931" s="13" t="s">
        <v>3949</v>
      </c>
      <c r="D2931" s="13" t="s">
        <v>3950</v>
      </c>
      <c r="E2931" s="8">
        <v>10000</v>
      </c>
      <c r="F2931" s="13" t="s">
        <v>70</v>
      </c>
      <c r="G2931" s="14">
        <v>44761</v>
      </c>
      <c r="H2931" s="13" t="s">
        <v>9</v>
      </c>
    </row>
    <row r="2932" spans="1:8" ht="14.4" x14ac:dyDescent="0.3">
      <c r="A2932" s="8">
        <v>82187722</v>
      </c>
      <c r="B2932" s="11">
        <v>44757</v>
      </c>
      <c r="C2932" s="13" t="s">
        <v>451</v>
      </c>
      <c r="D2932" s="13" t="s">
        <v>3951</v>
      </c>
      <c r="E2932" s="8">
        <v>15000</v>
      </c>
      <c r="F2932" s="13" t="s">
        <v>70</v>
      </c>
      <c r="G2932" s="14">
        <v>44820</v>
      </c>
      <c r="H2932" s="13" t="s">
        <v>9</v>
      </c>
    </row>
    <row r="2933" spans="1:8" ht="14.4" x14ac:dyDescent="0.3">
      <c r="A2933" s="8">
        <v>82187723</v>
      </c>
      <c r="B2933" s="11">
        <v>44757</v>
      </c>
      <c r="C2933" s="13" t="s">
        <v>2195</v>
      </c>
      <c r="D2933" s="13" t="s">
        <v>3528</v>
      </c>
      <c r="E2933" s="8">
        <v>3000</v>
      </c>
      <c r="F2933" s="13" t="s">
        <v>70</v>
      </c>
      <c r="G2933" s="14">
        <v>44764</v>
      </c>
      <c r="H2933" s="13" t="s">
        <v>9</v>
      </c>
    </row>
    <row r="2934" spans="1:8" ht="14.4" x14ac:dyDescent="0.3">
      <c r="A2934" s="8">
        <v>82187724</v>
      </c>
      <c r="B2934" s="11">
        <v>44757</v>
      </c>
      <c r="C2934" s="13" t="s">
        <v>120</v>
      </c>
      <c r="D2934" s="13" t="s">
        <v>3528</v>
      </c>
      <c r="E2934" s="8">
        <v>15000</v>
      </c>
      <c r="F2934" s="13" t="s">
        <v>70</v>
      </c>
      <c r="G2934" s="14">
        <v>44767</v>
      </c>
      <c r="H2934" s="13" t="s">
        <v>9</v>
      </c>
    </row>
    <row r="2935" spans="1:8" ht="14.4" x14ac:dyDescent="0.3">
      <c r="A2935" s="8">
        <v>82187725</v>
      </c>
      <c r="B2935" s="11">
        <v>44757</v>
      </c>
      <c r="C2935" s="13" t="s">
        <v>3952</v>
      </c>
      <c r="D2935" s="13" t="s">
        <v>3528</v>
      </c>
      <c r="E2935" s="8">
        <v>15000</v>
      </c>
      <c r="F2935" s="13" t="s">
        <v>70</v>
      </c>
      <c r="G2935" s="14">
        <v>44768</v>
      </c>
      <c r="H2935" s="13" t="s">
        <v>9</v>
      </c>
    </row>
    <row r="2936" spans="1:8" ht="14.4" x14ac:dyDescent="0.3">
      <c r="A2936" s="8">
        <v>82187726</v>
      </c>
      <c r="B2936" s="11">
        <v>44757</v>
      </c>
      <c r="C2936" s="13" t="s">
        <v>402</v>
      </c>
      <c r="D2936" s="13" t="s">
        <v>3528</v>
      </c>
      <c r="E2936" s="8">
        <v>15000</v>
      </c>
      <c r="F2936" s="13" t="s">
        <v>70</v>
      </c>
      <c r="G2936" s="14">
        <v>44789</v>
      </c>
      <c r="H2936" s="13" t="s">
        <v>9</v>
      </c>
    </row>
    <row r="2937" spans="1:8" ht="14.4" x14ac:dyDescent="0.3">
      <c r="A2937" s="8">
        <v>82187727</v>
      </c>
      <c r="B2937" s="11">
        <v>44757</v>
      </c>
      <c r="C2937" s="13" t="s">
        <v>3953</v>
      </c>
      <c r="D2937" s="13" t="s">
        <v>3954</v>
      </c>
      <c r="E2937" s="8">
        <v>10000</v>
      </c>
      <c r="F2937" s="13" t="s">
        <v>70</v>
      </c>
      <c r="G2937" s="14">
        <v>44762</v>
      </c>
      <c r="H2937" s="13" t="s">
        <v>9</v>
      </c>
    </row>
    <row r="2938" spans="1:8" ht="14.4" x14ac:dyDescent="0.3">
      <c r="A2938" s="8">
        <v>82187728</v>
      </c>
      <c r="B2938" s="11">
        <v>44757</v>
      </c>
      <c r="C2938" s="13" t="s">
        <v>3955</v>
      </c>
      <c r="D2938" s="13" t="s">
        <v>3956</v>
      </c>
      <c r="E2938" s="8">
        <v>15000</v>
      </c>
      <c r="F2938" s="13" t="s">
        <v>70</v>
      </c>
      <c r="G2938" s="14">
        <v>44761</v>
      </c>
      <c r="H2938" s="13" t="s">
        <v>9</v>
      </c>
    </row>
    <row r="2939" spans="1:8" ht="14.4" x14ac:dyDescent="0.3">
      <c r="A2939" s="8">
        <v>82187729</v>
      </c>
      <c r="B2939" s="11">
        <v>44757</v>
      </c>
      <c r="C2939" s="13" t="s">
        <v>3957</v>
      </c>
      <c r="D2939" s="13" t="s">
        <v>3958</v>
      </c>
      <c r="E2939" s="8">
        <v>18000</v>
      </c>
      <c r="F2939" s="13" t="s">
        <v>70</v>
      </c>
      <c r="G2939" s="14">
        <v>44761</v>
      </c>
      <c r="H2939" s="13" t="s">
        <v>9</v>
      </c>
    </row>
    <row r="2940" spans="1:8" ht="14.4" x14ac:dyDescent="0.3">
      <c r="A2940" s="8">
        <v>82187730</v>
      </c>
      <c r="B2940" s="11">
        <v>44757</v>
      </c>
      <c r="C2940" s="13" t="s">
        <v>3959</v>
      </c>
      <c r="D2940" s="13"/>
      <c r="E2940" s="8">
        <v>19000</v>
      </c>
      <c r="F2940" s="13" t="s">
        <v>70</v>
      </c>
      <c r="G2940" s="14">
        <v>44761</v>
      </c>
      <c r="H2940" s="13" t="s">
        <v>9</v>
      </c>
    </row>
    <row r="2941" spans="1:8" ht="14.4" x14ac:dyDescent="0.3">
      <c r="A2941" s="8">
        <v>82187731</v>
      </c>
      <c r="B2941" s="11">
        <v>44757</v>
      </c>
      <c r="C2941" s="13" t="s">
        <v>3960</v>
      </c>
      <c r="D2941" s="13" t="s">
        <v>3961</v>
      </c>
      <c r="E2941" s="8">
        <v>13000</v>
      </c>
      <c r="F2941" s="13" t="s">
        <v>70</v>
      </c>
      <c r="G2941" s="14">
        <v>44761</v>
      </c>
      <c r="H2941" s="13" t="s">
        <v>9</v>
      </c>
    </row>
    <row r="2942" spans="1:8" ht="14.4" x14ac:dyDescent="0.3">
      <c r="A2942" s="8">
        <v>82187732</v>
      </c>
      <c r="B2942" s="11">
        <v>44757</v>
      </c>
      <c r="C2942" s="13" t="s">
        <v>3962</v>
      </c>
      <c r="D2942" s="13" t="s">
        <v>3963</v>
      </c>
      <c r="E2942" s="8">
        <v>10400</v>
      </c>
      <c r="F2942" s="13" t="s">
        <v>70</v>
      </c>
      <c r="G2942" s="14">
        <v>44762</v>
      </c>
      <c r="H2942" s="13" t="s">
        <v>9</v>
      </c>
    </row>
    <row r="2943" spans="1:8" ht="14.4" x14ac:dyDescent="0.3">
      <c r="A2943" s="8">
        <v>82187733</v>
      </c>
      <c r="B2943" s="11">
        <v>44757</v>
      </c>
      <c r="C2943" s="13" t="s">
        <v>3964</v>
      </c>
      <c r="D2943" s="13" t="s">
        <v>47</v>
      </c>
      <c r="E2943" s="8">
        <v>12000</v>
      </c>
      <c r="F2943" s="13" t="s">
        <v>70</v>
      </c>
      <c r="G2943" s="14">
        <v>44760</v>
      </c>
      <c r="H2943" s="13" t="s">
        <v>9</v>
      </c>
    </row>
    <row r="2944" spans="1:8" ht="14.4" x14ac:dyDescent="0.3">
      <c r="A2944" s="8">
        <v>82187734</v>
      </c>
      <c r="B2944" s="11">
        <v>44757</v>
      </c>
      <c r="C2944" s="13" t="s">
        <v>3965</v>
      </c>
      <c r="D2944" s="13" t="s">
        <v>3966</v>
      </c>
      <c r="E2944" s="8">
        <v>10000</v>
      </c>
      <c r="F2944" s="13" t="s">
        <v>70</v>
      </c>
      <c r="G2944" s="14">
        <v>44761</v>
      </c>
      <c r="H2944" s="13" t="s">
        <v>9</v>
      </c>
    </row>
    <row r="2945" spans="1:8" ht="14.4" x14ac:dyDescent="0.3">
      <c r="A2945" s="8">
        <v>82187735</v>
      </c>
      <c r="B2945" s="11">
        <v>44757</v>
      </c>
      <c r="C2945" s="13" t="s">
        <v>3967</v>
      </c>
      <c r="D2945" s="13" t="s">
        <v>3968</v>
      </c>
      <c r="E2945" s="8">
        <v>6800</v>
      </c>
      <c r="F2945" s="13" t="s">
        <v>70</v>
      </c>
      <c r="G2945" s="14">
        <v>44761</v>
      </c>
      <c r="H2945" s="13" t="s">
        <v>9</v>
      </c>
    </row>
    <row r="2946" spans="1:8" ht="14.4" x14ac:dyDescent="0.3">
      <c r="A2946" s="8">
        <v>82187736</v>
      </c>
      <c r="B2946" s="11">
        <v>44757</v>
      </c>
      <c r="C2946" s="13" t="s">
        <v>3969</v>
      </c>
      <c r="D2946" s="13" t="s">
        <v>3970</v>
      </c>
      <c r="E2946" s="8">
        <v>50000</v>
      </c>
      <c r="F2946" s="13" t="s">
        <v>70</v>
      </c>
      <c r="G2946" s="14">
        <v>44761</v>
      </c>
      <c r="H2946" s="13" t="s">
        <v>9</v>
      </c>
    </row>
    <row r="2947" spans="1:8" ht="14.4" x14ac:dyDescent="0.3">
      <c r="A2947" s="8">
        <v>82187737</v>
      </c>
      <c r="B2947" s="11">
        <v>44757</v>
      </c>
      <c r="C2947" s="13" t="s">
        <v>3971</v>
      </c>
      <c r="D2947" s="13" t="s">
        <v>3972</v>
      </c>
      <c r="E2947" s="8">
        <v>50000</v>
      </c>
      <c r="F2947" s="13" t="s">
        <v>70</v>
      </c>
      <c r="G2947" s="14">
        <v>44762</v>
      </c>
      <c r="H2947" s="13" t="s">
        <v>9</v>
      </c>
    </row>
    <row r="2948" spans="1:8" ht="14.4" x14ac:dyDescent="0.3">
      <c r="A2948" s="8">
        <v>82187738</v>
      </c>
      <c r="B2948" s="11">
        <v>44757</v>
      </c>
      <c r="C2948" s="13" t="s">
        <v>3973</v>
      </c>
      <c r="D2948" s="13" t="s">
        <v>3974</v>
      </c>
      <c r="E2948" s="8">
        <v>39000</v>
      </c>
      <c r="F2948" s="13" t="s">
        <v>70</v>
      </c>
      <c r="G2948" s="14">
        <v>44761</v>
      </c>
      <c r="H2948" s="13" t="s">
        <v>9</v>
      </c>
    </row>
    <row r="2949" spans="1:8" ht="14.4" x14ac:dyDescent="0.3">
      <c r="A2949" s="8">
        <v>82187739</v>
      </c>
      <c r="B2949" s="11">
        <v>44757</v>
      </c>
      <c r="C2949" s="13" t="s">
        <v>3975</v>
      </c>
      <c r="D2949" s="13" t="s">
        <v>3976</v>
      </c>
      <c r="E2949" s="8">
        <v>10000</v>
      </c>
      <c r="F2949" s="13" t="s">
        <v>70</v>
      </c>
      <c r="G2949" s="14">
        <v>44761</v>
      </c>
      <c r="H2949" s="13" t="s">
        <v>9</v>
      </c>
    </row>
    <row r="2950" spans="1:8" ht="14.4" x14ac:dyDescent="0.3">
      <c r="A2950" s="8">
        <v>82187740</v>
      </c>
      <c r="B2950" s="11">
        <v>44757</v>
      </c>
      <c r="C2950" s="13" t="s">
        <v>3977</v>
      </c>
      <c r="D2950" s="16" t="s">
        <v>3978</v>
      </c>
      <c r="E2950" s="8">
        <v>8000</v>
      </c>
      <c r="F2950" s="13" t="s">
        <v>70</v>
      </c>
      <c r="G2950" s="14">
        <v>44762</v>
      </c>
      <c r="H2950" s="13" t="s">
        <v>9</v>
      </c>
    </row>
    <row r="2951" spans="1:8" ht="14.4" x14ac:dyDescent="0.3">
      <c r="A2951" s="8">
        <v>82187741</v>
      </c>
      <c r="B2951" s="11">
        <v>44757</v>
      </c>
      <c r="C2951" s="13" t="s">
        <v>3979</v>
      </c>
      <c r="D2951" s="13" t="s">
        <v>3980</v>
      </c>
      <c r="E2951" s="8">
        <v>11000</v>
      </c>
      <c r="F2951" s="13" t="s">
        <v>70</v>
      </c>
      <c r="G2951" s="14">
        <v>44761</v>
      </c>
      <c r="H2951" s="13" t="s">
        <v>9</v>
      </c>
    </row>
    <row r="2952" spans="1:8" ht="14.4" x14ac:dyDescent="0.3">
      <c r="A2952" s="8">
        <v>82187742</v>
      </c>
      <c r="B2952" s="11">
        <v>44757</v>
      </c>
      <c r="C2952" s="13" t="s">
        <v>161</v>
      </c>
      <c r="D2952" s="16" t="s">
        <v>3981</v>
      </c>
      <c r="E2952" s="8">
        <v>6000</v>
      </c>
      <c r="F2952" s="13" t="s">
        <v>70</v>
      </c>
      <c r="G2952" s="14">
        <v>44769</v>
      </c>
      <c r="H2952" s="13" t="s">
        <v>9</v>
      </c>
    </row>
    <row r="2953" spans="1:8" ht="14.4" x14ac:dyDescent="0.3">
      <c r="A2953" s="8">
        <v>82187743</v>
      </c>
      <c r="B2953" s="11">
        <v>44757</v>
      </c>
      <c r="C2953" s="13" t="s">
        <v>789</v>
      </c>
      <c r="D2953" s="13" t="s">
        <v>13</v>
      </c>
      <c r="E2953" s="8">
        <v>6000</v>
      </c>
      <c r="F2953" s="13" t="s">
        <v>70</v>
      </c>
      <c r="G2953" s="14">
        <v>44769</v>
      </c>
      <c r="H2953" s="13" t="s">
        <v>9</v>
      </c>
    </row>
    <row r="2954" spans="1:8" ht="14.4" x14ac:dyDescent="0.3">
      <c r="A2954" s="8">
        <v>82187744</v>
      </c>
      <c r="B2954" s="11">
        <v>44760</v>
      </c>
      <c r="C2954" s="13" t="s">
        <v>3982</v>
      </c>
      <c r="D2954" s="13" t="s">
        <v>3983</v>
      </c>
      <c r="E2954" s="8">
        <v>50000</v>
      </c>
      <c r="F2954" s="13" t="s">
        <v>70</v>
      </c>
      <c r="G2954" s="14">
        <v>44763</v>
      </c>
      <c r="H2954" s="13" t="s">
        <v>9</v>
      </c>
    </row>
    <row r="2955" spans="1:8" ht="14.4" x14ac:dyDescent="0.3">
      <c r="A2955" s="8">
        <v>82187745</v>
      </c>
      <c r="B2955" s="11">
        <v>44760</v>
      </c>
      <c r="C2955" s="13" t="s">
        <v>3984</v>
      </c>
      <c r="D2955" s="13" t="s">
        <v>3985</v>
      </c>
      <c r="E2955" s="8">
        <v>13000</v>
      </c>
      <c r="F2955" s="13" t="s">
        <v>70</v>
      </c>
      <c r="G2955" s="14">
        <v>44763</v>
      </c>
      <c r="H2955" s="13" t="s">
        <v>9</v>
      </c>
    </row>
    <row r="2956" spans="1:8" ht="14.4" x14ac:dyDescent="0.3">
      <c r="A2956" s="8">
        <v>82187746</v>
      </c>
      <c r="B2956" s="11">
        <v>44760</v>
      </c>
      <c r="C2956" s="13" t="s">
        <v>3986</v>
      </c>
      <c r="D2956" s="13" t="s">
        <v>3987</v>
      </c>
      <c r="E2956" s="8">
        <v>23000</v>
      </c>
      <c r="F2956" s="13" t="s">
        <v>70</v>
      </c>
      <c r="G2956" s="14">
        <v>44762</v>
      </c>
      <c r="H2956" s="13" t="s">
        <v>9</v>
      </c>
    </row>
    <row r="2957" spans="1:8" ht="14.4" x14ac:dyDescent="0.3">
      <c r="A2957" s="8">
        <v>82187747</v>
      </c>
      <c r="B2957" s="11">
        <v>44760</v>
      </c>
      <c r="C2957" s="13" t="s">
        <v>3988</v>
      </c>
      <c r="D2957" s="13" t="s">
        <v>3989</v>
      </c>
      <c r="E2957" s="8">
        <v>16000</v>
      </c>
      <c r="F2957" s="13" t="s">
        <v>70</v>
      </c>
      <c r="G2957" s="14">
        <v>44762</v>
      </c>
      <c r="H2957" s="13" t="s">
        <v>9</v>
      </c>
    </row>
    <row r="2958" spans="1:8" ht="14.4" x14ac:dyDescent="0.3">
      <c r="A2958" s="8">
        <v>82187748</v>
      </c>
      <c r="B2958" s="11">
        <v>44760</v>
      </c>
      <c r="C2958" s="13" t="s">
        <v>3990</v>
      </c>
      <c r="D2958" s="13" t="s">
        <v>3991</v>
      </c>
      <c r="E2958" s="8">
        <v>15000</v>
      </c>
      <c r="F2958" s="13" t="s">
        <v>70</v>
      </c>
      <c r="G2958" s="14">
        <v>44762</v>
      </c>
      <c r="H2958" s="13" t="s">
        <v>9</v>
      </c>
    </row>
    <row r="2959" spans="1:8" ht="14.4" x14ac:dyDescent="0.3">
      <c r="A2959" s="8">
        <v>82187749</v>
      </c>
      <c r="B2959" s="11">
        <v>44760</v>
      </c>
      <c r="C2959" s="13" t="s">
        <v>3992</v>
      </c>
      <c r="D2959" s="13" t="s">
        <v>3993</v>
      </c>
      <c r="E2959" s="8">
        <v>9000</v>
      </c>
      <c r="F2959" s="13" t="s">
        <v>70</v>
      </c>
      <c r="G2959" s="14">
        <v>44763</v>
      </c>
      <c r="H2959" s="13" t="s">
        <v>9</v>
      </c>
    </row>
    <row r="2960" spans="1:8" ht="14.4" x14ac:dyDescent="0.3">
      <c r="A2960" s="8">
        <v>82187750</v>
      </c>
      <c r="B2960" s="11">
        <v>44760</v>
      </c>
      <c r="C2960" s="13" t="s">
        <v>3994</v>
      </c>
      <c r="D2960" s="13" t="s">
        <v>3995</v>
      </c>
      <c r="E2960" s="8">
        <v>50000</v>
      </c>
      <c r="F2960" s="13" t="s">
        <v>70</v>
      </c>
      <c r="G2960" s="14">
        <v>44763</v>
      </c>
      <c r="H2960" s="13" t="s">
        <v>9</v>
      </c>
    </row>
    <row r="2961" spans="1:8" ht="14.4" x14ac:dyDescent="0.3">
      <c r="A2961" s="8">
        <v>82187751</v>
      </c>
      <c r="B2961" s="11">
        <v>44760</v>
      </c>
      <c r="C2961" s="13" t="s">
        <v>3996</v>
      </c>
      <c r="D2961" s="13" t="s">
        <v>150</v>
      </c>
      <c r="E2961" s="8">
        <v>23000</v>
      </c>
      <c r="F2961" s="13" t="s">
        <v>70</v>
      </c>
      <c r="G2961" s="14">
        <v>44762</v>
      </c>
      <c r="H2961" s="13" t="s">
        <v>9</v>
      </c>
    </row>
    <row r="2962" spans="1:8" ht="14.4" x14ac:dyDescent="0.3">
      <c r="A2962" s="8">
        <v>82187752</v>
      </c>
      <c r="B2962" s="11">
        <v>44760</v>
      </c>
      <c r="C2962" s="13" t="s">
        <v>3997</v>
      </c>
      <c r="D2962" s="13" t="s">
        <v>3998</v>
      </c>
      <c r="E2962" s="8">
        <v>4031.25</v>
      </c>
      <c r="F2962" s="13" t="s">
        <v>70</v>
      </c>
      <c r="G2962" s="14">
        <v>44767</v>
      </c>
      <c r="H2962" s="13" t="s">
        <v>9</v>
      </c>
    </row>
    <row r="2963" spans="1:8" ht="14.4" x14ac:dyDescent="0.3">
      <c r="A2963" s="8">
        <v>82187753</v>
      </c>
      <c r="B2963" s="11">
        <v>44760</v>
      </c>
      <c r="C2963" s="13" t="s">
        <v>44</v>
      </c>
      <c r="D2963" s="13" t="s">
        <v>3999</v>
      </c>
      <c r="E2963" s="8">
        <v>3043.04</v>
      </c>
      <c r="F2963" s="13" t="s">
        <v>70</v>
      </c>
      <c r="G2963" s="14">
        <v>44771</v>
      </c>
      <c r="H2963" s="13" t="s">
        <v>9</v>
      </c>
    </row>
    <row r="2964" spans="1:8" ht="14.4" x14ac:dyDescent="0.3">
      <c r="A2964" s="8">
        <v>82187754</v>
      </c>
      <c r="B2964" s="11">
        <v>44760</v>
      </c>
      <c r="C2964" s="13" t="s">
        <v>44</v>
      </c>
      <c r="D2964" s="13" t="s">
        <v>4000</v>
      </c>
      <c r="E2964" s="8">
        <v>14501.96</v>
      </c>
      <c r="F2964" s="13" t="s">
        <v>70</v>
      </c>
      <c r="G2964" s="14">
        <v>44771</v>
      </c>
      <c r="H2964" s="13" t="s">
        <v>9</v>
      </c>
    </row>
    <row r="2965" spans="1:8" ht="14.4" x14ac:dyDescent="0.3">
      <c r="A2965" s="8">
        <v>82187755</v>
      </c>
      <c r="B2965" s="11">
        <v>44760</v>
      </c>
      <c r="C2965" s="13" t="s">
        <v>4001</v>
      </c>
      <c r="D2965" s="13" t="s">
        <v>4002</v>
      </c>
      <c r="E2965" s="8">
        <v>3046.87</v>
      </c>
      <c r="F2965" s="13" t="s">
        <v>70</v>
      </c>
      <c r="G2965" s="14">
        <v>44791</v>
      </c>
      <c r="H2965" s="13" t="s">
        <v>9</v>
      </c>
    </row>
    <row r="2966" spans="1:8" ht="14.4" x14ac:dyDescent="0.3">
      <c r="A2966" s="8">
        <v>82187756</v>
      </c>
      <c r="B2966" s="11">
        <v>44760</v>
      </c>
      <c r="C2966" s="13" t="s">
        <v>3751</v>
      </c>
      <c r="D2966" s="13" t="s">
        <v>3752</v>
      </c>
      <c r="E2966" s="8">
        <v>6000</v>
      </c>
      <c r="F2966" s="13" t="s">
        <v>70</v>
      </c>
      <c r="G2966" s="14">
        <v>44764</v>
      </c>
      <c r="H2966" s="13" t="s">
        <v>9</v>
      </c>
    </row>
    <row r="2967" spans="1:8" ht="14.4" x14ac:dyDescent="0.3">
      <c r="A2967" s="8">
        <v>82187757</v>
      </c>
      <c r="B2967" s="11">
        <v>44760</v>
      </c>
      <c r="C2967" s="13" t="s">
        <v>4003</v>
      </c>
      <c r="D2967" s="13" t="s">
        <v>4004</v>
      </c>
      <c r="E2967" s="8">
        <v>1778881.46</v>
      </c>
      <c r="F2967" s="13" t="s">
        <v>70</v>
      </c>
      <c r="G2967" s="14">
        <v>44762</v>
      </c>
      <c r="H2967" s="13" t="s">
        <v>9</v>
      </c>
    </row>
    <row r="2968" spans="1:8" ht="14.4" x14ac:dyDescent="0.3">
      <c r="A2968" s="8">
        <v>82187758</v>
      </c>
      <c r="B2968" s="11">
        <v>44760</v>
      </c>
      <c r="C2968" s="13" t="s">
        <v>4005</v>
      </c>
      <c r="D2968" s="13" t="s">
        <v>4006</v>
      </c>
      <c r="E2968" s="8">
        <v>150352.19</v>
      </c>
      <c r="F2968" s="13" t="s">
        <v>70</v>
      </c>
      <c r="G2968" s="14">
        <v>44760</v>
      </c>
      <c r="H2968" s="13" t="s">
        <v>9</v>
      </c>
    </row>
    <row r="2969" spans="1:8" ht="14.4" x14ac:dyDescent="0.3">
      <c r="A2969" s="8">
        <v>82187759</v>
      </c>
      <c r="B2969" s="11">
        <v>44760</v>
      </c>
      <c r="C2969" s="13" t="s">
        <v>4007</v>
      </c>
      <c r="D2969" s="13" t="s">
        <v>4008</v>
      </c>
      <c r="E2969" s="8">
        <v>15000</v>
      </c>
      <c r="F2969" s="13" t="s">
        <v>70</v>
      </c>
      <c r="G2969" s="14">
        <v>44764</v>
      </c>
      <c r="H2969" s="13" t="s">
        <v>9</v>
      </c>
    </row>
    <row r="2970" spans="1:8" ht="14.4" x14ac:dyDescent="0.3">
      <c r="A2970" s="8">
        <v>82187760</v>
      </c>
      <c r="B2970" s="11">
        <v>44760</v>
      </c>
      <c r="C2970" s="13" t="s">
        <v>4009</v>
      </c>
      <c r="D2970" s="13" t="s">
        <v>4010</v>
      </c>
      <c r="E2970" s="8">
        <v>20000</v>
      </c>
      <c r="F2970" s="13" t="s">
        <v>70</v>
      </c>
      <c r="G2970" s="14">
        <v>44764</v>
      </c>
      <c r="H2970" s="13" t="s">
        <v>9</v>
      </c>
    </row>
    <row r="2971" spans="1:8" ht="14.4" x14ac:dyDescent="0.3">
      <c r="A2971" s="8">
        <v>82187761</v>
      </c>
      <c r="B2971" s="11">
        <v>44760</v>
      </c>
      <c r="C2971" s="13" t="s">
        <v>4011</v>
      </c>
      <c r="D2971" s="13" t="s">
        <v>4012</v>
      </c>
      <c r="E2971" s="8">
        <v>156081.20000000001</v>
      </c>
      <c r="F2971" s="13" t="s">
        <v>70</v>
      </c>
      <c r="G2971" s="14">
        <v>44762</v>
      </c>
      <c r="H2971" s="13" t="s">
        <v>9</v>
      </c>
    </row>
    <row r="2972" spans="1:8" ht="14.4" x14ac:dyDescent="0.3">
      <c r="A2972" s="8">
        <v>82187762</v>
      </c>
      <c r="B2972" s="11">
        <v>44760</v>
      </c>
      <c r="C2972" s="13" t="s">
        <v>4013</v>
      </c>
      <c r="D2972" s="13" t="s">
        <v>4014</v>
      </c>
      <c r="E2972" s="8">
        <v>6000</v>
      </c>
      <c r="F2972" s="13" t="s">
        <v>70</v>
      </c>
      <c r="G2972" s="14">
        <v>44762</v>
      </c>
      <c r="H2972" s="13" t="s">
        <v>9</v>
      </c>
    </row>
    <row r="2973" spans="1:8" ht="14.4" x14ac:dyDescent="0.3">
      <c r="A2973" s="8">
        <v>82187763</v>
      </c>
      <c r="B2973" s="11">
        <v>44760</v>
      </c>
      <c r="C2973" s="13" t="s">
        <v>4015</v>
      </c>
      <c r="D2973" s="13" t="s">
        <v>4016</v>
      </c>
      <c r="E2973" s="8">
        <v>6000</v>
      </c>
      <c r="F2973" s="13" t="s">
        <v>70</v>
      </c>
      <c r="G2973" s="14">
        <v>44761</v>
      </c>
      <c r="H2973" s="13" t="s">
        <v>9</v>
      </c>
    </row>
    <row r="2974" spans="1:8" ht="14.4" x14ac:dyDescent="0.3">
      <c r="A2974" s="8">
        <v>82187764</v>
      </c>
      <c r="B2974" s="11">
        <v>44760</v>
      </c>
      <c r="C2974" s="13" t="s">
        <v>4017</v>
      </c>
      <c r="D2974" s="13"/>
      <c r="E2974" s="8">
        <v>20000</v>
      </c>
      <c r="F2974" s="13" t="s">
        <v>70</v>
      </c>
      <c r="G2974" s="14">
        <v>44768</v>
      </c>
      <c r="H2974" s="13" t="s">
        <v>9</v>
      </c>
    </row>
    <row r="2975" spans="1:8" ht="14.4" x14ac:dyDescent="0.3">
      <c r="A2975" s="8">
        <v>82187765</v>
      </c>
      <c r="B2975" s="11">
        <v>44760</v>
      </c>
      <c r="C2975" s="13" t="s">
        <v>4018</v>
      </c>
      <c r="D2975" s="13"/>
      <c r="E2975" s="8">
        <v>15000</v>
      </c>
      <c r="F2975" s="13" t="s">
        <v>70</v>
      </c>
      <c r="G2975" s="14">
        <v>44770</v>
      </c>
      <c r="H2975" s="13" t="s">
        <v>9</v>
      </c>
    </row>
    <row r="2976" spans="1:8" ht="14.4" x14ac:dyDescent="0.3">
      <c r="A2976" s="8">
        <v>82187766</v>
      </c>
      <c r="B2976" s="11">
        <v>44760</v>
      </c>
      <c r="C2976" s="13" t="s">
        <v>4019</v>
      </c>
      <c r="D2976" s="13"/>
      <c r="E2976" s="8">
        <v>14000</v>
      </c>
      <c r="F2976" s="13" t="s">
        <v>70</v>
      </c>
      <c r="G2976" s="14">
        <v>44782</v>
      </c>
      <c r="H2976" s="13" t="s">
        <v>9</v>
      </c>
    </row>
    <row r="2977" spans="1:8" ht="14.4" x14ac:dyDescent="0.3">
      <c r="A2977" s="8">
        <v>82187767</v>
      </c>
      <c r="B2977" s="11">
        <v>44760</v>
      </c>
      <c r="C2977" s="13" t="s">
        <v>4020</v>
      </c>
      <c r="D2977" s="13"/>
      <c r="E2977" s="8">
        <v>17000</v>
      </c>
      <c r="F2977" s="13" t="s">
        <v>70</v>
      </c>
      <c r="G2977" s="14">
        <v>44762</v>
      </c>
      <c r="H2977" s="13" t="s">
        <v>9</v>
      </c>
    </row>
    <row r="2978" spans="1:8" ht="14.4" x14ac:dyDescent="0.3">
      <c r="A2978" s="8">
        <v>82187768</v>
      </c>
      <c r="B2978" s="11">
        <v>44760</v>
      </c>
      <c r="C2978" s="13" t="s">
        <v>4021</v>
      </c>
      <c r="D2978" s="13"/>
      <c r="E2978" s="8">
        <v>17000</v>
      </c>
      <c r="F2978" s="13" t="s">
        <v>70</v>
      </c>
      <c r="G2978" s="14">
        <v>44792</v>
      </c>
      <c r="H2978" s="13" t="s">
        <v>9</v>
      </c>
    </row>
    <row r="2979" spans="1:8" ht="14.4" x14ac:dyDescent="0.3">
      <c r="A2979" s="8">
        <v>82187769</v>
      </c>
      <c r="B2979" s="11">
        <v>44760</v>
      </c>
      <c r="C2979" s="13" t="s">
        <v>4022</v>
      </c>
      <c r="D2979" s="13"/>
      <c r="E2979" s="8">
        <v>12000</v>
      </c>
      <c r="F2979" s="13" t="s">
        <v>70</v>
      </c>
      <c r="G2979" s="14">
        <v>44792</v>
      </c>
      <c r="H2979" s="13" t="s">
        <v>9</v>
      </c>
    </row>
    <row r="2980" spans="1:8" ht="14.4" x14ac:dyDescent="0.3">
      <c r="A2980" s="8">
        <v>82187770</v>
      </c>
      <c r="B2980" s="11">
        <v>44760</v>
      </c>
      <c r="C2980" s="13" t="s">
        <v>4023</v>
      </c>
      <c r="D2980" s="13"/>
      <c r="E2980" s="8">
        <v>10500</v>
      </c>
      <c r="F2980" s="13" t="s">
        <v>70</v>
      </c>
      <c r="G2980" s="14">
        <v>44763</v>
      </c>
      <c r="H2980" s="13" t="s">
        <v>9</v>
      </c>
    </row>
    <row r="2981" spans="1:8" ht="14.4" x14ac:dyDescent="0.3">
      <c r="A2981" s="8">
        <v>82187771</v>
      </c>
      <c r="B2981" s="11">
        <v>44760</v>
      </c>
      <c r="C2981" s="13" t="s">
        <v>4024</v>
      </c>
      <c r="D2981" s="13"/>
      <c r="E2981" s="8">
        <v>11500</v>
      </c>
      <c r="F2981" s="13" t="s">
        <v>70</v>
      </c>
      <c r="G2981" s="14">
        <v>44762</v>
      </c>
      <c r="H2981" s="13" t="s">
        <v>9</v>
      </c>
    </row>
    <row r="2982" spans="1:8" ht="14.4" x14ac:dyDescent="0.3">
      <c r="A2982" s="8">
        <v>82187772</v>
      </c>
      <c r="B2982" s="11">
        <v>44760</v>
      </c>
      <c r="C2982" s="13" t="s">
        <v>4025</v>
      </c>
      <c r="D2982" s="13" t="s">
        <v>4026</v>
      </c>
      <c r="E2982" s="8">
        <v>492096.02</v>
      </c>
      <c r="F2982" s="13" t="s">
        <v>70</v>
      </c>
      <c r="G2982" s="14">
        <v>44763</v>
      </c>
      <c r="H2982" s="13" t="s">
        <v>9</v>
      </c>
    </row>
    <row r="2983" spans="1:8" ht="14.4" x14ac:dyDescent="0.3">
      <c r="A2983" s="8">
        <v>82187773</v>
      </c>
      <c r="B2983" s="11">
        <v>44760</v>
      </c>
      <c r="C2983" s="13" t="s">
        <v>4025</v>
      </c>
      <c r="D2983" s="13" t="s">
        <v>4027</v>
      </c>
      <c r="E2983" s="8">
        <v>128188.64</v>
      </c>
      <c r="F2983" s="13" t="s">
        <v>70</v>
      </c>
      <c r="G2983" s="14">
        <v>44763</v>
      </c>
      <c r="H2983" s="13" t="s">
        <v>9</v>
      </c>
    </row>
    <row r="2984" spans="1:8" ht="14.4" x14ac:dyDescent="0.3">
      <c r="A2984" s="8">
        <v>82187774</v>
      </c>
      <c r="B2984" s="11">
        <v>44760</v>
      </c>
      <c r="C2984" s="13" t="s">
        <v>4028</v>
      </c>
      <c r="D2984" s="13" t="s">
        <v>4029</v>
      </c>
      <c r="E2984" s="8">
        <v>501780.07</v>
      </c>
      <c r="F2984" s="13" t="s">
        <v>70</v>
      </c>
      <c r="G2984" s="14">
        <v>44762</v>
      </c>
      <c r="H2984" s="13" t="s">
        <v>9</v>
      </c>
    </row>
    <row r="2985" spans="1:8" ht="14.4" x14ac:dyDescent="0.3">
      <c r="A2985" s="8">
        <v>82187775</v>
      </c>
      <c r="B2985" s="11">
        <v>44760</v>
      </c>
      <c r="C2985" s="13" t="s">
        <v>2086</v>
      </c>
      <c r="D2985" s="13" t="s">
        <v>4030</v>
      </c>
      <c r="E2985" s="8">
        <v>21571.87</v>
      </c>
      <c r="F2985" s="13" t="s">
        <v>70</v>
      </c>
      <c r="G2985" s="14">
        <v>44764</v>
      </c>
      <c r="H2985" s="13" t="s">
        <v>9</v>
      </c>
    </row>
    <row r="2986" spans="1:8" ht="14.4" x14ac:dyDescent="0.3">
      <c r="A2986" s="8">
        <v>82187776</v>
      </c>
      <c r="B2986" s="11">
        <v>44760</v>
      </c>
      <c r="C2986" s="13" t="s">
        <v>2086</v>
      </c>
      <c r="D2986" s="13" t="s">
        <v>4031</v>
      </c>
      <c r="E2986" s="8">
        <v>27312.23</v>
      </c>
      <c r="F2986" s="13" t="s">
        <v>70</v>
      </c>
      <c r="G2986" s="14">
        <v>44764</v>
      </c>
      <c r="H2986" s="13" t="s">
        <v>9</v>
      </c>
    </row>
    <row r="2987" spans="1:8" ht="14.4" x14ac:dyDescent="0.3">
      <c r="A2987" s="8">
        <v>82187777</v>
      </c>
      <c r="B2987" s="11">
        <v>44760</v>
      </c>
      <c r="C2987" s="13" t="s">
        <v>2072</v>
      </c>
      <c r="D2987" s="13" t="s">
        <v>4032</v>
      </c>
      <c r="E2987" s="8">
        <v>116692.07</v>
      </c>
      <c r="F2987" s="13" t="s">
        <v>70</v>
      </c>
      <c r="G2987" s="14">
        <v>44763</v>
      </c>
      <c r="H2987" s="13" t="s">
        <v>9</v>
      </c>
    </row>
    <row r="2988" spans="1:8" ht="14.4" x14ac:dyDescent="0.3">
      <c r="A2988" s="8">
        <v>82187778</v>
      </c>
      <c r="B2988" s="11">
        <v>44760</v>
      </c>
      <c r="C2988" s="13" t="s">
        <v>3874</v>
      </c>
      <c r="D2988" s="13" t="s">
        <v>4033</v>
      </c>
      <c r="E2988" s="8">
        <v>12575.82</v>
      </c>
      <c r="F2988" s="13" t="s">
        <v>70</v>
      </c>
      <c r="G2988" s="14">
        <v>44763</v>
      </c>
      <c r="H2988" s="13" t="s">
        <v>9</v>
      </c>
    </row>
    <row r="2989" spans="1:8" ht="14.4" x14ac:dyDescent="0.3">
      <c r="A2989" s="8">
        <v>82187779</v>
      </c>
      <c r="B2989" s="11">
        <v>44760</v>
      </c>
      <c r="C2989" s="13" t="s">
        <v>3874</v>
      </c>
      <c r="D2989" s="13" t="s">
        <v>4034</v>
      </c>
      <c r="E2989" s="8">
        <v>16705.43</v>
      </c>
      <c r="F2989" s="13" t="s">
        <v>70</v>
      </c>
      <c r="G2989" s="14">
        <v>44763</v>
      </c>
      <c r="H2989" s="13" t="s">
        <v>9</v>
      </c>
    </row>
    <row r="2990" spans="1:8" ht="14.4" x14ac:dyDescent="0.3">
      <c r="A2990" s="8">
        <v>82187780</v>
      </c>
      <c r="B2990" s="11">
        <v>44760</v>
      </c>
      <c r="C2990" s="13" t="s">
        <v>1946</v>
      </c>
      <c r="D2990" s="13" t="s">
        <v>4035</v>
      </c>
      <c r="E2990" s="8">
        <v>11925</v>
      </c>
      <c r="F2990" s="13" t="s">
        <v>70</v>
      </c>
      <c r="G2990" s="14">
        <v>44763</v>
      </c>
      <c r="H2990" s="13" t="s">
        <v>9</v>
      </c>
    </row>
    <row r="2991" spans="1:8" ht="14.4" x14ac:dyDescent="0.3">
      <c r="A2991" s="8">
        <v>82187781</v>
      </c>
      <c r="B2991" s="11">
        <v>44760</v>
      </c>
      <c r="C2991" s="13" t="s">
        <v>4036</v>
      </c>
      <c r="D2991" s="13" t="s">
        <v>4037</v>
      </c>
      <c r="E2991" s="8">
        <v>19354.46</v>
      </c>
      <c r="F2991" s="13" t="s">
        <v>70</v>
      </c>
      <c r="G2991" s="14">
        <v>44763</v>
      </c>
      <c r="H2991" s="13" t="s">
        <v>9</v>
      </c>
    </row>
    <row r="2992" spans="1:8" ht="14.4" x14ac:dyDescent="0.3">
      <c r="A2992" s="8">
        <v>82187782</v>
      </c>
      <c r="B2992" s="11">
        <v>44760</v>
      </c>
      <c r="C2992" s="13" t="s">
        <v>1946</v>
      </c>
      <c r="D2992" s="13" t="s">
        <v>4038</v>
      </c>
      <c r="E2992" s="8">
        <v>3312.5</v>
      </c>
      <c r="F2992" s="13" t="s">
        <v>70</v>
      </c>
      <c r="G2992" s="14">
        <v>44763</v>
      </c>
      <c r="H2992" s="13" t="s">
        <v>9</v>
      </c>
    </row>
    <row r="2993" spans="1:8" ht="14.4" x14ac:dyDescent="0.3">
      <c r="A2993" s="8">
        <v>82187783</v>
      </c>
      <c r="B2993" s="11">
        <v>44760</v>
      </c>
      <c r="C2993" s="13" t="s">
        <v>3174</v>
      </c>
      <c r="D2993" s="13" t="s">
        <v>4039</v>
      </c>
      <c r="E2993" s="8">
        <v>4375</v>
      </c>
      <c r="F2993" s="13" t="s">
        <v>70</v>
      </c>
      <c r="G2993" s="14">
        <v>44767</v>
      </c>
      <c r="H2993" s="13" t="s">
        <v>9</v>
      </c>
    </row>
    <row r="2994" spans="1:8" ht="14.4" x14ac:dyDescent="0.3">
      <c r="A2994" s="8">
        <v>82187784</v>
      </c>
      <c r="B2994" s="11">
        <v>44760</v>
      </c>
      <c r="C2994" s="13" t="s">
        <v>4040</v>
      </c>
      <c r="D2994" s="13" t="s">
        <v>4041</v>
      </c>
      <c r="E2994" s="8">
        <v>15116.07</v>
      </c>
      <c r="F2994" s="13" t="s">
        <v>70</v>
      </c>
      <c r="G2994" s="14">
        <v>44763</v>
      </c>
      <c r="H2994" s="13" t="s">
        <v>9</v>
      </c>
    </row>
    <row r="2995" spans="1:8" ht="14.4" x14ac:dyDescent="0.3">
      <c r="A2995" s="8">
        <v>82187785</v>
      </c>
      <c r="B2995" s="11">
        <v>44760</v>
      </c>
      <c r="C2995" s="13" t="s">
        <v>159</v>
      </c>
      <c r="D2995" s="13" t="s">
        <v>4042</v>
      </c>
      <c r="E2995" s="8">
        <v>491700</v>
      </c>
      <c r="F2995" s="13" t="s">
        <v>70</v>
      </c>
      <c r="G2995" s="14">
        <v>44760</v>
      </c>
      <c r="H2995" s="13" t="s">
        <v>9</v>
      </c>
    </row>
    <row r="2996" spans="1:8" ht="14.4" x14ac:dyDescent="0.3">
      <c r="A2996" s="8">
        <v>82187786</v>
      </c>
      <c r="B2996" s="11">
        <v>44760</v>
      </c>
      <c r="C2996" s="13" t="s">
        <v>202</v>
      </c>
      <c r="D2996" s="13" t="s">
        <v>4043</v>
      </c>
      <c r="E2996" s="8">
        <v>792654.01</v>
      </c>
      <c r="F2996" s="13" t="s">
        <v>70</v>
      </c>
      <c r="G2996" s="14">
        <v>44763</v>
      </c>
      <c r="H2996" s="13" t="s">
        <v>9</v>
      </c>
    </row>
    <row r="2997" spans="1:8" ht="14.4" x14ac:dyDescent="0.3">
      <c r="A2997" s="8">
        <v>82187787</v>
      </c>
      <c r="B2997" s="11">
        <v>44760</v>
      </c>
      <c r="C2997" s="13" t="s">
        <v>2571</v>
      </c>
      <c r="D2997" s="13" t="s">
        <v>4044</v>
      </c>
      <c r="E2997" s="8">
        <v>70028.600000000006</v>
      </c>
      <c r="F2997" s="13" t="s">
        <v>70</v>
      </c>
      <c r="G2997" s="14">
        <v>44761</v>
      </c>
      <c r="H2997" s="13" t="s">
        <v>9</v>
      </c>
    </row>
    <row r="2998" spans="1:8" ht="14.4" x14ac:dyDescent="0.3">
      <c r="A2998" s="8">
        <v>82187788</v>
      </c>
      <c r="B2998" s="11">
        <v>44760</v>
      </c>
      <c r="C2998" s="13" t="s">
        <v>245</v>
      </c>
      <c r="D2998" s="13" t="s">
        <v>4045</v>
      </c>
      <c r="E2998" s="8">
        <v>125669.65</v>
      </c>
      <c r="F2998" s="13" t="s">
        <v>70</v>
      </c>
      <c r="G2998" s="14">
        <v>44761</v>
      </c>
      <c r="H2998" s="13" t="s">
        <v>9</v>
      </c>
    </row>
    <row r="2999" spans="1:8" ht="14.4" x14ac:dyDescent="0.3">
      <c r="A2999" s="8">
        <v>82187789</v>
      </c>
      <c r="B2999" s="11">
        <v>44760</v>
      </c>
      <c r="C2999" s="13" t="s">
        <v>4040</v>
      </c>
      <c r="D2999" s="13" t="s">
        <v>4046</v>
      </c>
      <c r="E2999" s="8">
        <v>6577.68</v>
      </c>
      <c r="F2999" s="13" t="s">
        <v>70</v>
      </c>
      <c r="G2999" s="14">
        <v>44763</v>
      </c>
      <c r="H2999" s="13" t="s">
        <v>9</v>
      </c>
    </row>
    <row r="3000" spans="1:8" ht="14.4" x14ac:dyDescent="0.3">
      <c r="A3000" s="8">
        <v>82187790</v>
      </c>
      <c r="B3000" s="11">
        <v>44760</v>
      </c>
      <c r="C3000" s="13" t="s">
        <v>4047</v>
      </c>
      <c r="D3000" s="13" t="s">
        <v>4048</v>
      </c>
      <c r="E3000" s="8">
        <v>13723.22</v>
      </c>
      <c r="F3000" s="13" t="s">
        <v>70</v>
      </c>
      <c r="G3000" s="14">
        <v>44762</v>
      </c>
      <c r="H3000" s="13" t="s">
        <v>9</v>
      </c>
    </row>
    <row r="3001" spans="1:8" ht="14.4" x14ac:dyDescent="0.3">
      <c r="A3001" s="8">
        <v>82187791</v>
      </c>
      <c r="B3001" s="11">
        <v>44760</v>
      </c>
      <c r="C3001" s="13" t="s">
        <v>2262</v>
      </c>
      <c r="D3001" s="13" t="s">
        <v>4049</v>
      </c>
      <c r="E3001" s="8">
        <v>7760.72</v>
      </c>
      <c r="F3001" s="13" t="s">
        <v>70</v>
      </c>
      <c r="G3001" s="14">
        <v>44763</v>
      </c>
      <c r="H3001" s="13" t="s">
        <v>9</v>
      </c>
    </row>
    <row r="3002" spans="1:8" ht="14.4" x14ac:dyDescent="0.3">
      <c r="A3002" s="8">
        <v>82187792</v>
      </c>
      <c r="B3002" s="11">
        <v>44760</v>
      </c>
      <c r="C3002" s="13" t="s">
        <v>3838</v>
      </c>
      <c r="D3002" s="13" t="s">
        <v>4050</v>
      </c>
      <c r="E3002" s="8">
        <v>21946</v>
      </c>
      <c r="F3002" s="13" t="s">
        <v>70</v>
      </c>
      <c r="G3002" s="14">
        <v>44762</v>
      </c>
      <c r="H3002" s="13" t="s">
        <v>9</v>
      </c>
    </row>
    <row r="3003" spans="1:8" ht="14.4" x14ac:dyDescent="0.3">
      <c r="A3003" s="8">
        <v>82187793</v>
      </c>
      <c r="B3003" s="11">
        <v>44760</v>
      </c>
      <c r="C3003" s="13" t="s">
        <v>4051</v>
      </c>
      <c r="D3003" s="13" t="s">
        <v>4052</v>
      </c>
      <c r="E3003" s="8">
        <v>20016.96</v>
      </c>
      <c r="F3003" s="13" t="s">
        <v>70</v>
      </c>
      <c r="G3003" s="14">
        <v>44763</v>
      </c>
      <c r="H3003" s="13" t="s">
        <v>9</v>
      </c>
    </row>
    <row r="3004" spans="1:8" ht="14.4" x14ac:dyDescent="0.3">
      <c r="A3004" s="8">
        <v>82187794</v>
      </c>
      <c r="B3004" s="11">
        <v>44760</v>
      </c>
      <c r="C3004" s="13" t="s">
        <v>2711</v>
      </c>
      <c r="D3004" s="13" t="s">
        <v>4053</v>
      </c>
      <c r="E3004" s="8">
        <v>1892.85</v>
      </c>
      <c r="F3004" s="13" t="s">
        <v>70</v>
      </c>
      <c r="G3004" s="14">
        <v>44762</v>
      </c>
      <c r="H3004" s="13" t="s">
        <v>9</v>
      </c>
    </row>
    <row r="3005" spans="1:8" ht="14.4" x14ac:dyDescent="0.3">
      <c r="A3005" s="8">
        <v>82187795</v>
      </c>
      <c r="B3005" s="11">
        <v>44760</v>
      </c>
      <c r="C3005" s="13" t="s">
        <v>2262</v>
      </c>
      <c r="D3005" s="13" t="s">
        <v>4054</v>
      </c>
      <c r="E3005" s="8">
        <v>39362.5</v>
      </c>
      <c r="F3005" s="13" t="s">
        <v>70</v>
      </c>
      <c r="G3005" s="14">
        <v>44763</v>
      </c>
      <c r="H3005" s="13" t="s">
        <v>9</v>
      </c>
    </row>
    <row r="3006" spans="1:8" ht="14.4" x14ac:dyDescent="0.3">
      <c r="A3006" s="8">
        <v>82187796</v>
      </c>
      <c r="B3006" s="11">
        <v>44760</v>
      </c>
      <c r="C3006" s="13" t="s">
        <v>4055</v>
      </c>
      <c r="D3006" s="13" t="s">
        <v>4056</v>
      </c>
      <c r="E3006" s="8">
        <v>4410</v>
      </c>
      <c r="F3006" s="13" t="s">
        <v>70</v>
      </c>
      <c r="G3006" s="14">
        <v>44763</v>
      </c>
      <c r="H3006" s="13" t="s">
        <v>9</v>
      </c>
    </row>
    <row r="3007" spans="1:8" ht="14.4" x14ac:dyDescent="0.3">
      <c r="A3007" s="8">
        <v>82187797</v>
      </c>
      <c r="B3007" s="11">
        <v>44760</v>
      </c>
      <c r="C3007" s="13" t="s">
        <v>4057</v>
      </c>
      <c r="D3007" s="13" t="s">
        <v>4058</v>
      </c>
      <c r="E3007" s="8">
        <v>8148.74</v>
      </c>
      <c r="F3007" s="13" t="s">
        <v>70</v>
      </c>
      <c r="G3007" s="14">
        <v>44771</v>
      </c>
      <c r="H3007" s="13" t="s">
        <v>9</v>
      </c>
    </row>
    <row r="3008" spans="1:8" ht="14.4" x14ac:dyDescent="0.3">
      <c r="A3008" s="8">
        <v>82187798</v>
      </c>
      <c r="B3008" s="11">
        <v>44760</v>
      </c>
      <c r="C3008" s="13" t="s">
        <v>4059</v>
      </c>
      <c r="D3008" s="13" t="s">
        <v>4060</v>
      </c>
      <c r="E3008" s="8">
        <v>2381.4</v>
      </c>
      <c r="F3008" s="13" t="s">
        <v>70</v>
      </c>
      <c r="G3008" s="14">
        <v>44762</v>
      </c>
      <c r="H3008" s="13" t="s">
        <v>9</v>
      </c>
    </row>
    <row r="3009" spans="1:8" ht="14.4" x14ac:dyDescent="0.3">
      <c r="A3009" s="8">
        <v>82187799</v>
      </c>
      <c r="B3009" s="11">
        <v>44760</v>
      </c>
      <c r="C3009" s="13" t="s">
        <v>1728</v>
      </c>
      <c r="D3009" s="13" t="s">
        <v>4061</v>
      </c>
      <c r="E3009" s="8">
        <v>14700</v>
      </c>
      <c r="F3009" s="13" t="s">
        <v>70</v>
      </c>
      <c r="G3009" s="14">
        <v>44762</v>
      </c>
      <c r="H3009" s="13" t="s">
        <v>9</v>
      </c>
    </row>
    <row r="3010" spans="1:8" ht="14.4" x14ac:dyDescent="0.3">
      <c r="A3010" s="8">
        <v>82187800</v>
      </c>
      <c r="B3010" s="11">
        <v>44760</v>
      </c>
      <c r="C3010" s="13" t="s">
        <v>4062</v>
      </c>
      <c r="D3010" s="13" t="s">
        <v>4063</v>
      </c>
      <c r="E3010" s="8">
        <v>183370.54</v>
      </c>
      <c r="F3010" s="13" t="s">
        <v>70</v>
      </c>
      <c r="G3010" s="14">
        <v>44763</v>
      </c>
      <c r="H3010" s="13" t="s">
        <v>9</v>
      </c>
    </row>
    <row r="3011" spans="1:8" ht="14.4" x14ac:dyDescent="0.3">
      <c r="A3011" s="8">
        <v>82187801</v>
      </c>
      <c r="B3011" s="11">
        <v>44760</v>
      </c>
      <c r="C3011" s="13" t="s">
        <v>4064</v>
      </c>
      <c r="D3011" s="13" t="s">
        <v>4065</v>
      </c>
      <c r="E3011" s="8">
        <v>48500</v>
      </c>
      <c r="F3011" s="13" t="s">
        <v>70</v>
      </c>
      <c r="G3011" s="14">
        <v>44763</v>
      </c>
      <c r="H3011" s="13" t="s">
        <v>9</v>
      </c>
    </row>
    <row r="3012" spans="1:8" ht="14.4" x14ac:dyDescent="0.3">
      <c r="A3012" s="8">
        <v>82187802</v>
      </c>
      <c r="B3012" s="11">
        <v>44760</v>
      </c>
      <c r="C3012" s="13" t="s">
        <v>4066</v>
      </c>
      <c r="D3012" s="13" t="s">
        <v>4067</v>
      </c>
      <c r="E3012" s="8">
        <v>762599.34</v>
      </c>
      <c r="F3012" s="13" t="s">
        <v>70</v>
      </c>
      <c r="G3012" s="14">
        <v>44761</v>
      </c>
      <c r="H3012" s="13" t="s">
        <v>9</v>
      </c>
    </row>
    <row r="3013" spans="1:8" ht="14.4" x14ac:dyDescent="0.3">
      <c r="A3013" s="8">
        <v>82187803</v>
      </c>
      <c r="B3013" s="11">
        <v>44760</v>
      </c>
      <c r="C3013" s="13" t="s">
        <v>2072</v>
      </c>
      <c r="D3013" s="13" t="s">
        <v>4068</v>
      </c>
      <c r="E3013" s="8">
        <v>2847.11</v>
      </c>
      <c r="F3013" s="13" t="s">
        <v>70</v>
      </c>
      <c r="G3013" s="14">
        <v>44763</v>
      </c>
      <c r="H3013" s="13" t="s">
        <v>9</v>
      </c>
    </row>
    <row r="3014" spans="1:8" ht="14.4" x14ac:dyDescent="0.3">
      <c r="A3014" s="8">
        <v>82187804</v>
      </c>
      <c r="B3014" s="11">
        <v>44760</v>
      </c>
      <c r="C3014" s="13" t="s">
        <v>2072</v>
      </c>
      <c r="D3014" s="13" t="s">
        <v>4069</v>
      </c>
      <c r="E3014" s="8">
        <v>7814.64</v>
      </c>
      <c r="F3014" s="13" t="s">
        <v>70</v>
      </c>
      <c r="G3014" s="14">
        <v>44763</v>
      </c>
      <c r="H3014" s="13" t="s">
        <v>9</v>
      </c>
    </row>
    <row r="3015" spans="1:8" ht="14.4" x14ac:dyDescent="0.3">
      <c r="A3015" s="8">
        <v>82187805</v>
      </c>
      <c r="B3015" s="11">
        <v>44760</v>
      </c>
      <c r="C3015" s="13" t="s">
        <v>4070</v>
      </c>
      <c r="D3015" s="13" t="s">
        <v>4071</v>
      </c>
      <c r="E3015" s="8">
        <v>1845.54</v>
      </c>
      <c r="F3015" s="13" t="s">
        <v>70</v>
      </c>
      <c r="G3015" s="14">
        <v>44763</v>
      </c>
      <c r="H3015" s="13" t="s">
        <v>9</v>
      </c>
    </row>
    <row r="3016" spans="1:8" ht="14.4" x14ac:dyDescent="0.3">
      <c r="A3016" s="8">
        <v>82187806</v>
      </c>
      <c r="B3016" s="11">
        <v>44760</v>
      </c>
      <c r="C3016" s="13" t="s">
        <v>2711</v>
      </c>
      <c r="D3016" s="13" t="s">
        <v>4072</v>
      </c>
      <c r="E3016" s="8">
        <v>1325</v>
      </c>
      <c r="F3016" s="13" t="s">
        <v>70</v>
      </c>
      <c r="G3016" s="14">
        <v>44762</v>
      </c>
      <c r="H3016" s="13" t="s">
        <v>9</v>
      </c>
    </row>
    <row r="3017" spans="1:8" ht="14.4" x14ac:dyDescent="0.3">
      <c r="A3017" s="8">
        <v>82187807</v>
      </c>
      <c r="B3017" s="11">
        <v>44760</v>
      </c>
      <c r="C3017" s="13" t="s">
        <v>202</v>
      </c>
      <c r="D3017" s="13" t="s">
        <v>4043</v>
      </c>
      <c r="E3017" s="8">
        <v>520169.22</v>
      </c>
      <c r="F3017" s="13" t="s">
        <v>70</v>
      </c>
      <c r="G3017" s="14">
        <v>44763</v>
      </c>
      <c r="H3017" s="13" t="s">
        <v>9</v>
      </c>
    </row>
    <row r="3018" spans="1:8" ht="14.4" x14ac:dyDescent="0.3">
      <c r="A3018" s="8">
        <v>82187808</v>
      </c>
      <c r="B3018" s="11">
        <v>44760</v>
      </c>
      <c r="C3018" s="13" t="s">
        <v>4073</v>
      </c>
      <c r="D3018" s="13" t="s">
        <v>4074</v>
      </c>
      <c r="E3018" s="8">
        <v>32034.37</v>
      </c>
      <c r="F3018" s="13" t="s">
        <v>70</v>
      </c>
      <c r="G3018" s="14">
        <v>44764</v>
      </c>
      <c r="H3018" s="13" t="s">
        <v>9</v>
      </c>
    </row>
    <row r="3019" spans="1:8" ht="14.4" x14ac:dyDescent="0.3">
      <c r="A3019" s="8">
        <v>82187809</v>
      </c>
      <c r="B3019" s="11">
        <v>44760</v>
      </c>
      <c r="C3019" s="13" t="s">
        <v>180</v>
      </c>
      <c r="D3019" s="13" t="s">
        <v>901</v>
      </c>
      <c r="E3019" s="8">
        <v>143394.64000000001</v>
      </c>
      <c r="F3019" s="13" t="s">
        <v>70</v>
      </c>
      <c r="G3019" s="14">
        <v>44761</v>
      </c>
      <c r="H3019" s="13" t="s">
        <v>9</v>
      </c>
    </row>
    <row r="3020" spans="1:8" ht="14.4" x14ac:dyDescent="0.3">
      <c r="A3020" s="8">
        <v>82187810</v>
      </c>
      <c r="B3020" s="11">
        <v>44761</v>
      </c>
      <c r="C3020" s="13" t="s">
        <v>156</v>
      </c>
      <c r="D3020" s="13" t="s">
        <v>4075</v>
      </c>
      <c r="E3020" s="8">
        <v>13640.02</v>
      </c>
      <c r="F3020" s="13" t="s">
        <v>70</v>
      </c>
      <c r="G3020" s="14">
        <v>44762</v>
      </c>
      <c r="H3020" s="13" t="s">
        <v>9</v>
      </c>
    </row>
    <row r="3021" spans="1:8" ht="14.4" x14ac:dyDescent="0.3">
      <c r="A3021" s="8">
        <v>82187811</v>
      </c>
      <c r="B3021" s="11">
        <v>44761</v>
      </c>
      <c r="C3021" s="13" t="s">
        <v>4076</v>
      </c>
      <c r="D3021" s="13" t="s">
        <v>4077</v>
      </c>
      <c r="E3021" s="8">
        <v>84278.57</v>
      </c>
      <c r="F3021" s="13" t="s">
        <v>70</v>
      </c>
      <c r="G3021" s="14">
        <v>44762</v>
      </c>
      <c r="H3021" s="13" t="s">
        <v>9</v>
      </c>
    </row>
    <row r="3022" spans="1:8" ht="14.4" x14ac:dyDescent="0.3">
      <c r="A3022" s="8">
        <v>82187812</v>
      </c>
      <c r="B3022" s="11">
        <v>44761</v>
      </c>
      <c r="C3022" s="13" t="s">
        <v>4078</v>
      </c>
      <c r="D3022" s="13" t="s">
        <v>4079</v>
      </c>
      <c r="E3022" s="8">
        <v>7155.75</v>
      </c>
      <c r="F3022" s="13" t="s">
        <v>70</v>
      </c>
      <c r="G3022" s="14">
        <v>44767</v>
      </c>
      <c r="H3022" s="13" t="s">
        <v>9</v>
      </c>
    </row>
    <row r="3023" spans="1:8" ht="14.4" x14ac:dyDescent="0.3">
      <c r="A3023" s="8">
        <v>82187813</v>
      </c>
      <c r="B3023" s="11">
        <v>44761</v>
      </c>
      <c r="C3023" s="13" t="s">
        <v>4080</v>
      </c>
      <c r="D3023" s="13" t="s">
        <v>4081</v>
      </c>
      <c r="E3023" s="8">
        <v>8820</v>
      </c>
      <c r="F3023" s="13" t="s">
        <v>70</v>
      </c>
      <c r="G3023" s="14">
        <v>44762</v>
      </c>
      <c r="H3023" s="13" t="s">
        <v>9</v>
      </c>
    </row>
    <row r="3024" spans="1:8" ht="14.4" x14ac:dyDescent="0.3">
      <c r="A3024" s="8">
        <v>82187814</v>
      </c>
      <c r="B3024" s="11">
        <v>44761</v>
      </c>
      <c r="C3024" s="13" t="s">
        <v>4082</v>
      </c>
      <c r="D3024" s="13" t="s">
        <v>4083</v>
      </c>
      <c r="E3024" s="8">
        <v>275644.59999999998</v>
      </c>
      <c r="F3024" s="13" t="s">
        <v>70</v>
      </c>
      <c r="G3024" s="14">
        <v>44764</v>
      </c>
      <c r="H3024" s="13" t="s">
        <v>9</v>
      </c>
    </row>
    <row r="3025" spans="1:8" ht="14.4" x14ac:dyDescent="0.3">
      <c r="A3025" s="8">
        <v>82187815</v>
      </c>
      <c r="B3025" s="11">
        <v>44761</v>
      </c>
      <c r="C3025" s="13" t="s">
        <v>4084</v>
      </c>
      <c r="D3025" s="13" t="s">
        <v>4085</v>
      </c>
      <c r="E3025" s="8">
        <v>554092</v>
      </c>
      <c r="F3025" s="13" t="s">
        <v>70</v>
      </c>
      <c r="G3025" s="14">
        <v>44768</v>
      </c>
      <c r="H3025" s="13" t="s">
        <v>9</v>
      </c>
    </row>
    <row r="3026" spans="1:8" ht="14.4" x14ac:dyDescent="0.3">
      <c r="A3026" s="8">
        <v>82187816</v>
      </c>
      <c r="B3026" s="11">
        <v>44761</v>
      </c>
      <c r="C3026" s="13" t="s">
        <v>1578</v>
      </c>
      <c r="D3026" s="13" t="s">
        <v>4086</v>
      </c>
      <c r="E3026" s="8">
        <v>20000</v>
      </c>
      <c r="F3026" s="13" t="s">
        <v>70</v>
      </c>
      <c r="G3026" s="14">
        <v>44762</v>
      </c>
      <c r="H3026" s="13" t="s">
        <v>9</v>
      </c>
    </row>
    <row r="3027" spans="1:8" ht="14.4" x14ac:dyDescent="0.3">
      <c r="A3027" s="8">
        <v>82187817</v>
      </c>
      <c r="B3027" s="11">
        <v>44761</v>
      </c>
      <c r="C3027" s="13" t="s">
        <v>502</v>
      </c>
      <c r="D3027" s="13" t="s">
        <v>4087</v>
      </c>
      <c r="E3027" s="8">
        <v>20000</v>
      </c>
      <c r="F3027" s="13" t="s">
        <v>70</v>
      </c>
      <c r="G3027" s="14">
        <v>44762</v>
      </c>
      <c r="H3027" s="13" t="s">
        <v>9</v>
      </c>
    </row>
    <row r="3028" spans="1:8" ht="14.4" x14ac:dyDescent="0.3">
      <c r="A3028" s="8">
        <v>82187818</v>
      </c>
      <c r="B3028" s="11">
        <v>44761</v>
      </c>
      <c r="C3028" s="13" t="s">
        <v>3907</v>
      </c>
      <c r="D3028" s="13" t="s">
        <v>4088</v>
      </c>
      <c r="E3028" s="8">
        <v>34277.64</v>
      </c>
      <c r="F3028" s="13" t="s">
        <v>70</v>
      </c>
      <c r="G3028" s="14">
        <v>44762</v>
      </c>
      <c r="H3028" s="13" t="s">
        <v>9</v>
      </c>
    </row>
    <row r="3029" spans="1:8" ht="14.4" x14ac:dyDescent="0.3">
      <c r="A3029" s="8">
        <v>82187819</v>
      </c>
      <c r="B3029" s="11">
        <v>44761</v>
      </c>
      <c r="C3029" s="13" t="s">
        <v>4089</v>
      </c>
      <c r="D3029" s="13" t="s">
        <v>3528</v>
      </c>
      <c r="E3029" s="8">
        <v>5000</v>
      </c>
      <c r="F3029" s="13" t="s">
        <v>70</v>
      </c>
      <c r="G3029" s="14">
        <v>44770</v>
      </c>
      <c r="H3029" s="13" t="s">
        <v>9</v>
      </c>
    </row>
    <row r="3030" spans="1:8" ht="14.4" x14ac:dyDescent="0.3">
      <c r="A3030" s="8">
        <v>82187820</v>
      </c>
      <c r="B3030" s="11">
        <v>44761</v>
      </c>
      <c r="C3030" s="13" t="s">
        <v>356</v>
      </c>
      <c r="D3030" s="13" t="s">
        <v>4090</v>
      </c>
      <c r="E3030" s="8">
        <v>3000</v>
      </c>
      <c r="F3030" s="13" t="s">
        <v>70</v>
      </c>
      <c r="G3030" s="14">
        <v>44769</v>
      </c>
      <c r="H3030" s="13" t="s">
        <v>9</v>
      </c>
    </row>
    <row r="3031" spans="1:8" ht="14.4" x14ac:dyDescent="0.3">
      <c r="A3031" s="8">
        <v>82187821</v>
      </c>
      <c r="B3031" s="11">
        <v>44761</v>
      </c>
      <c r="C3031" s="13" t="s">
        <v>4091</v>
      </c>
      <c r="D3031" s="13" t="s">
        <v>3528</v>
      </c>
      <c r="E3031" s="8">
        <v>20000</v>
      </c>
      <c r="F3031" s="13" t="s">
        <v>70</v>
      </c>
      <c r="G3031" s="14">
        <v>44769</v>
      </c>
      <c r="H3031" s="13" t="s">
        <v>9</v>
      </c>
    </row>
    <row r="3032" spans="1:8" ht="14.4" x14ac:dyDescent="0.3">
      <c r="A3032" s="8">
        <v>82187822</v>
      </c>
      <c r="B3032" s="11">
        <v>44761</v>
      </c>
      <c r="C3032" s="13" t="s">
        <v>195</v>
      </c>
      <c r="D3032" s="13" t="s">
        <v>4092</v>
      </c>
      <c r="E3032" s="8">
        <v>232800</v>
      </c>
      <c r="F3032" s="13" t="s">
        <v>70</v>
      </c>
      <c r="G3032" s="14">
        <v>44761</v>
      </c>
      <c r="H3032" s="13" t="s">
        <v>9</v>
      </c>
    </row>
    <row r="3033" spans="1:8" ht="14.4" x14ac:dyDescent="0.3">
      <c r="A3033" s="8">
        <v>82187823</v>
      </c>
      <c r="B3033" s="11">
        <v>44761</v>
      </c>
      <c r="C3033" s="13" t="s">
        <v>1401</v>
      </c>
      <c r="D3033" s="13" t="s">
        <v>4093</v>
      </c>
      <c r="E3033" s="8">
        <v>6000</v>
      </c>
      <c r="F3033" s="13" t="s">
        <v>70</v>
      </c>
      <c r="G3033" s="14">
        <v>44763</v>
      </c>
      <c r="H3033" s="13" t="s">
        <v>9</v>
      </c>
    </row>
    <row r="3034" spans="1:8" ht="14.4" x14ac:dyDescent="0.3">
      <c r="A3034" s="8">
        <v>82187824</v>
      </c>
      <c r="B3034" s="11">
        <v>44761</v>
      </c>
      <c r="C3034" s="13" t="s">
        <v>4094</v>
      </c>
      <c r="D3034" s="13" t="s">
        <v>4095</v>
      </c>
      <c r="E3034" s="8">
        <v>129097.61</v>
      </c>
      <c r="F3034" s="13" t="s">
        <v>70</v>
      </c>
      <c r="G3034" s="14">
        <v>44762</v>
      </c>
      <c r="H3034" s="13" t="s">
        <v>9</v>
      </c>
    </row>
    <row r="3035" spans="1:8" ht="14.4" x14ac:dyDescent="0.3">
      <c r="A3035" s="8">
        <v>82187825</v>
      </c>
      <c r="B3035" s="11">
        <v>44761</v>
      </c>
      <c r="C3035" s="13" t="s">
        <v>350</v>
      </c>
      <c r="D3035" s="13" t="s">
        <v>3528</v>
      </c>
      <c r="E3035" s="8">
        <v>10000</v>
      </c>
      <c r="F3035" s="13" t="s">
        <v>70</v>
      </c>
      <c r="G3035" s="14">
        <v>44769</v>
      </c>
      <c r="H3035" s="13" t="s">
        <v>9</v>
      </c>
    </row>
    <row r="3036" spans="1:8" ht="14.4" x14ac:dyDescent="0.3">
      <c r="A3036" s="8">
        <v>82187826</v>
      </c>
      <c r="B3036" s="11">
        <v>44761</v>
      </c>
      <c r="C3036" s="13" t="s">
        <v>4096</v>
      </c>
      <c r="D3036" s="13" t="s">
        <v>4097</v>
      </c>
      <c r="E3036" s="8">
        <v>8000</v>
      </c>
      <c r="F3036" s="13" t="s">
        <v>70</v>
      </c>
      <c r="G3036" s="14">
        <v>44764</v>
      </c>
      <c r="H3036" s="13" t="s">
        <v>9</v>
      </c>
    </row>
    <row r="3037" spans="1:8" ht="14.4" x14ac:dyDescent="0.3">
      <c r="A3037" s="8">
        <v>82187827</v>
      </c>
      <c r="B3037" s="11">
        <v>44761</v>
      </c>
      <c r="C3037" s="13" t="s">
        <v>4098</v>
      </c>
      <c r="D3037" s="13" t="s">
        <v>47</v>
      </c>
      <c r="E3037" s="8">
        <v>10000</v>
      </c>
      <c r="F3037" s="13" t="s">
        <v>70</v>
      </c>
      <c r="G3037" s="14">
        <v>44763</v>
      </c>
      <c r="H3037" s="13" t="s">
        <v>9</v>
      </c>
    </row>
    <row r="3038" spans="1:8" ht="14.4" x14ac:dyDescent="0.3">
      <c r="A3038" s="8">
        <v>82187828</v>
      </c>
      <c r="B3038" s="11">
        <v>44761</v>
      </c>
      <c r="C3038" s="13" t="s">
        <v>4099</v>
      </c>
      <c r="D3038" s="13" t="s">
        <v>4100</v>
      </c>
      <c r="E3038" s="8">
        <v>40000</v>
      </c>
      <c r="F3038" s="13" t="s">
        <v>70</v>
      </c>
      <c r="G3038" s="14">
        <v>44763</v>
      </c>
      <c r="H3038" s="13" t="s">
        <v>9</v>
      </c>
    </row>
    <row r="3039" spans="1:8" ht="14.4" x14ac:dyDescent="0.3">
      <c r="A3039" s="8">
        <v>82187829</v>
      </c>
      <c r="B3039" s="11">
        <v>44761</v>
      </c>
      <c r="C3039" s="13" t="s">
        <v>4101</v>
      </c>
      <c r="D3039" s="13" t="s">
        <v>47</v>
      </c>
      <c r="E3039" s="8">
        <v>10000</v>
      </c>
      <c r="F3039" s="13" t="s">
        <v>70</v>
      </c>
      <c r="G3039" s="14">
        <v>44763</v>
      </c>
      <c r="H3039" s="13" t="s">
        <v>9</v>
      </c>
    </row>
    <row r="3040" spans="1:8" ht="14.4" x14ac:dyDescent="0.3">
      <c r="A3040" s="8">
        <v>82187830</v>
      </c>
      <c r="B3040" s="11">
        <v>44761</v>
      </c>
      <c r="C3040" s="13" t="s">
        <v>4102</v>
      </c>
      <c r="D3040" s="13" t="s">
        <v>4103</v>
      </c>
      <c r="E3040" s="8">
        <v>8000</v>
      </c>
      <c r="F3040" s="13" t="s">
        <v>70</v>
      </c>
      <c r="G3040" s="14">
        <v>44767</v>
      </c>
      <c r="H3040" s="13" t="s">
        <v>9</v>
      </c>
    </row>
    <row r="3041" spans="1:8" ht="14.4" x14ac:dyDescent="0.3">
      <c r="A3041" s="8">
        <v>82187831</v>
      </c>
      <c r="B3041" s="11">
        <v>44761</v>
      </c>
      <c r="C3041" s="13" t="s">
        <v>4094</v>
      </c>
      <c r="D3041" s="13" t="s">
        <v>4104</v>
      </c>
      <c r="E3041" s="8">
        <v>28898.87</v>
      </c>
      <c r="F3041" s="13" t="s">
        <v>70</v>
      </c>
      <c r="G3041" s="14">
        <v>44768</v>
      </c>
      <c r="H3041" s="13" t="s">
        <v>9</v>
      </c>
    </row>
    <row r="3042" spans="1:8" ht="14.4" x14ac:dyDescent="0.3">
      <c r="A3042" s="8">
        <v>82187832</v>
      </c>
      <c r="B3042" s="11">
        <v>44761</v>
      </c>
      <c r="C3042" s="13" t="s">
        <v>4105</v>
      </c>
      <c r="D3042" s="13" t="s">
        <v>4106</v>
      </c>
      <c r="E3042" s="8">
        <v>869.64</v>
      </c>
      <c r="F3042" s="13" t="s">
        <v>70</v>
      </c>
      <c r="G3042" s="14">
        <v>44771</v>
      </c>
      <c r="H3042" s="13" t="s">
        <v>9</v>
      </c>
    </row>
    <row r="3043" spans="1:8" ht="14.4" x14ac:dyDescent="0.3">
      <c r="A3043" s="8">
        <v>82187833</v>
      </c>
      <c r="B3043" s="11">
        <v>44761</v>
      </c>
      <c r="C3043" s="13" t="s">
        <v>2307</v>
      </c>
      <c r="D3043" s="13" t="s">
        <v>4107</v>
      </c>
      <c r="E3043" s="8">
        <v>20000</v>
      </c>
      <c r="F3043" s="13" t="s">
        <v>70</v>
      </c>
      <c r="G3043" s="14">
        <v>44762</v>
      </c>
      <c r="H3043" s="13" t="s">
        <v>9</v>
      </c>
    </row>
    <row r="3044" spans="1:8" ht="14.4" x14ac:dyDescent="0.3">
      <c r="A3044" s="8">
        <v>82187834</v>
      </c>
      <c r="B3044" s="11">
        <v>44761</v>
      </c>
      <c r="C3044" s="13" t="s">
        <v>1592</v>
      </c>
      <c r="D3044" s="13" t="s">
        <v>4108</v>
      </c>
      <c r="E3044" s="8">
        <v>20000</v>
      </c>
      <c r="F3044" s="13" t="s">
        <v>70</v>
      </c>
      <c r="G3044" s="14">
        <v>44762</v>
      </c>
      <c r="H3044" s="13" t="s">
        <v>9</v>
      </c>
    </row>
    <row r="3045" spans="1:8" ht="14.4" x14ac:dyDescent="0.3">
      <c r="A3045" s="8">
        <v>82187835</v>
      </c>
      <c r="B3045" s="11">
        <v>44761</v>
      </c>
      <c r="C3045" s="13" t="s">
        <v>4109</v>
      </c>
      <c r="D3045" s="13" t="s">
        <v>3863</v>
      </c>
      <c r="E3045" s="8">
        <v>28820</v>
      </c>
      <c r="F3045" s="13" t="s">
        <v>70</v>
      </c>
      <c r="G3045" s="14">
        <v>44762</v>
      </c>
      <c r="H3045" s="13" t="s">
        <v>9</v>
      </c>
    </row>
    <row r="3046" spans="1:8" ht="14.4" x14ac:dyDescent="0.3">
      <c r="A3046" s="8">
        <v>82187836</v>
      </c>
      <c r="B3046" s="11">
        <v>44761</v>
      </c>
      <c r="C3046" s="13" t="s">
        <v>4110</v>
      </c>
      <c r="D3046" s="13" t="s">
        <v>13</v>
      </c>
      <c r="E3046" s="8">
        <v>6000</v>
      </c>
      <c r="F3046" s="13" t="s">
        <v>70</v>
      </c>
      <c r="G3046" s="14">
        <v>44767</v>
      </c>
      <c r="H3046" s="13" t="s">
        <v>9</v>
      </c>
    </row>
    <row r="3047" spans="1:8" ht="14.4" x14ac:dyDescent="0.3">
      <c r="A3047" s="8">
        <v>82187837</v>
      </c>
      <c r="B3047" s="11">
        <v>44761</v>
      </c>
      <c r="C3047" s="13" t="s">
        <v>2445</v>
      </c>
      <c r="D3047" s="13" t="s">
        <v>3528</v>
      </c>
      <c r="E3047" s="8">
        <v>20000</v>
      </c>
      <c r="F3047" s="13" t="s">
        <v>70</v>
      </c>
      <c r="G3047" s="14">
        <v>44764</v>
      </c>
      <c r="H3047" s="13" t="s">
        <v>9</v>
      </c>
    </row>
    <row r="3048" spans="1:8" ht="14.4" x14ac:dyDescent="0.3">
      <c r="A3048" s="8">
        <v>82187838</v>
      </c>
      <c r="B3048" s="11">
        <v>44761</v>
      </c>
      <c r="C3048" s="13" t="s">
        <v>2449</v>
      </c>
      <c r="D3048" s="13" t="s">
        <v>3528</v>
      </c>
      <c r="E3048" s="8">
        <v>10000</v>
      </c>
      <c r="F3048" s="13" t="s">
        <v>70</v>
      </c>
      <c r="G3048" s="14">
        <v>44764</v>
      </c>
      <c r="H3048" s="13" t="s">
        <v>9</v>
      </c>
    </row>
    <row r="3049" spans="1:8" ht="14.4" x14ac:dyDescent="0.3">
      <c r="A3049" s="8">
        <v>82187839</v>
      </c>
      <c r="B3049" s="11">
        <v>44761</v>
      </c>
      <c r="C3049" s="13" t="s">
        <v>398</v>
      </c>
      <c r="D3049" s="13" t="s">
        <v>3528</v>
      </c>
      <c r="E3049" s="8">
        <v>3000</v>
      </c>
      <c r="F3049" s="13" t="s">
        <v>70</v>
      </c>
      <c r="G3049" s="14">
        <v>44764</v>
      </c>
      <c r="H3049" s="13" t="s">
        <v>9</v>
      </c>
    </row>
    <row r="3050" spans="1:8" ht="14.4" x14ac:dyDescent="0.3">
      <c r="A3050" s="8">
        <v>82187840</v>
      </c>
      <c r="B3050" s="11">
        <v>44761</v>
      </c>
      <c r="C3050" s="13" t="s">
        <v>4111</v>
      </c>
      <c r="D3050" s="13" t="s">
        <v>4112</v>
      </c>
      <c r="E3050" s="8">
        <v>10595</v>
      </c>
      <c r="F3050" s="13" t="s">
        <v>70</v>
      </c>
      <c r="G3050" s="14">
        <v>44767</v>
      </c>
      <c r="H3050" s="13" t="s">
        <v>9</v>
      </c>
    </row>
    <row r="3051" spans="1:8" ht="14.4" x14ac:dyDescent="0.3">
      <c r="A3051" s="8">
        <v>82187841</v>
      </c>
      <c r="B3051" s="11">
        <v>44761</v>
      </c>
      <c r="C3051" s="13" t="s">
        <v>3907</v>
      </c>
      <c r="D3051" s="13" t="s">
        <v>3830</v>
      </c>
      <c r="E3051" s="8">
        <v>422862.37</v>
      </c>
      <c r="F3051" s="13" t="s">
        <v>70</v>
      </c>
      <c r="G3051" s="14">
        <v>44762</v>
      </c>
      <c r="H3051" s="13" t="s">
        <v>9</v>
      </c>
    </row>
    <row r="3052" spans="1:8" ht="14.4" x14ac:dyDescent="0.3">
      <c r="A3052" s="8">
        <v>82187842</v>
      </c>
      <c r="B3052" s="11">
        <v>44761</v>
      </c>
      <c r="C3052" s="13" t="s">
        <v>3907</v>
      </c>
      <c r="D3052" s="13" t="s">
        <v>4113</v>
      </c>
      <c r="E3052" s="8">
        <v>9787.5</v>
      </c>
      <c r="F3052" s="13" t="s">
        <v>70</v>
      </c>
      <c r="G3052" s="14">
        <v>44762</v>
      </c>
      <c r="H3052" s="13" t="s">
        <v>9</v>
      </c>
    </row>
    <row r="3053" spans="1:8" ht="14.4" x14ac:dyDescent="0.3">
      <c r="A3053" s="8">
        <v>82187843</v>
      </c>
      <c r="B3053" s="11">
        <v>44761</v>
      </c>
      <c r="C3053" s="13" t="s">
        <v>3907</v>
      </c>
      <c r="D3053" s="13" t="s">
        <v>4114</v>
      </c>
      <c r="E3053" s="8">
        <v>54024.7</v>
      </c>
      <c r="F3053" s="13" t="s">
        <v>70</v>
      </c>
      <c r="G3053" s="14">
        <v>44762</v>
      </c>
      <c r="H3053" s="13" t="s">
        <v>9</v>
      </c>
    </row>
    <row r="3054" spans="1:8" ht="14.4" x14ac:dyDescent="0.3">
      <c r="A3054" s="8">
        <v>82187844</v>
      </c>
      <c r="B3054" s="11">
        <v>44761</v>
      </c>
      <c r="C3054" s="13" t="s">
        <v>4115</v>
      </c>
      <c r="D3054" s="13" t="s">
        <v>4116</v>
      </c>
      <c r="E3054" s="8">
        <v>53326</v>
      </c>
      <c r="F3054" s="13" t="s">
        <v>70</v>
      </c>
      <c r="G3054" s="14">
        <v>44764</v>
      </c>
      <c r="H3054" s="13" t="s">
        <v>9</v>
      </c>
    </row>
    <row r="3055" spans="1:8" ht="14.4" x14ac:dyDescent="0.3">
      <c r="A3055" s="8">
        <v>82187845</v>
      </c>
      <c r="B3055" s="11">
        <v>44761</v>
      </c>
      <c r="C3055" s="13" t="s">
        <v>677</v>
      </c>
      <c r="D3055" s="13" t="s">
        <v>4117</v>
      </c>
      <c r="E3055" s="8">
        <v>20000</v>
      </c>
      <c r="F3055" s="13" t="s">
        <v>70</v>
      </c>
      <c r="G3055" s="14">
        <v>44762</v>
      </c>
      <c r="H3055" s="13" t="s">
        <v>9</v>
      </c>
    </row>
    <row r="3056" spans="1:8" ht="14.4" x14ac:dyDescent="0.3">
      <c r="A3056" s="8">
        <v>82187846</v>
      </c>
      <c r="B3056" s="11">
        <v>44761</v>
      </c>
      <c r="C3056" s="13" t="s">
        <v>156</v>
      </c>
      <c r="D3056" s="13" t="s">
        <v>4118</v>
      </c>
      <c r="E3056" s="8">
        <v>20000</v>
      </c>
      <c r="F3056" s="13" t="s">
        <v>70</v>
      </c>
      <c r="G3056" s="14">
        <v>44762</v>
      </c>
      <c r="H3056" s="13" t="s">
        <v>9</v>
      </c>
    </row>
    <row r="3057" spans="1:8" ht="14.4" x14ac:dyDescent="0.3">
      <c r="A3057" s="8">
        <v>82187847</v>
      </c>
      <c r="B3057" s="11">
        <v>44761</v>
      </c>
      <c r="C3057" s="13" t="s">
        <v>2474</v>
      </c>
      <c r="D3057" s="13" t="s">
        <v>4119</v>
      </c>
      <c r="E3057" s="8">
        <v>3816.01</v>
      </c>
      <c r="F3057" s="13" t="s">
        <v>70</v>
      </c>
      <c r="G3057" s="14">
        <v>44789</v>
      </c>
      <c r="H3057" s="13" t="s">
        <v>9</v>
      </c>
    </row>
    <row r="3058" spans="1:8" ht="14.4" x14ac:dyDescent="0.3">
      <c r="A3058" s="8">
        <v>82187848</v>
      </c>
      <c r="B3058" s="11">
        <v>44762</v>
      </c>
      <c r="C3058" s="13" t="s">
        <v>4120</v>
      </c>
      <c r="D3058" s="13" t="s">
        <v>4121</v>
      </c>
      <c r="E3058" s="8">
        <v>5900</v>
      </c>
      <c r="F3058" s="13" t="s">
        <v>70</v>
      </c>
      <c r="G3058" s="14">
        <v>44770</v>
      </c>
      <c r="H3058" s="13" t="s">
        <v>9</v>
      </c>
    </row>
    <row r="3059" spans="1:8" ht="14.4" x14ac:dyDescent="0.3">
      <c r="A3059" s="8">
        <v>82187849</v>
      </c>
      <c r="B3059" s="11">
        <v>44762</v>
      </c>
      <c r="C3059" s="13" t="s">
        <v>4122</v>
      </c>
      <c r="D3059" s="13" t="s">
        <v>4123</v>
      </c>
      <c r="E3059" s="8">
        <v>10000</v>
      </c>
      <c r="F3059" s="13" t="s">
        <v>70</v>
      </c>
      <c r="G3059" s="14">
        <v>44764</v>
      </c>
      <c r="H3059" s="13" t="s">
        <v>9</v>
      </c>
    </row>
    <row r="3060" spans="1:8" ht="14.4" x14ac:dyDescent="0.3">
      <c r="A3060" s="8">
        <v>82187850</v>
      </c>
      <c r="B3060" s="11">
        <v>44762</v>
      </c>
      <c r="C3060" s="13" t="s">
        <v>4124</v>
      </c>
      <c r="D3060" s="13" t="s">
        <v>4125</v>
      </c>
      <c r="E3060" s="8">
        <v>47000</v>
      </c>
      <c r="F3060" s="13" t="s">
        <v>70</v>
      </c>
      <c r="G3060" s="14">
        <v>44767</v>
      </c>
      <c r="H3060" s="13" t="s">
        <v>9</v>
      </c>
    </row>
    <row r="3061" spans="1:8" ht="14.4" x14ac:dyDescent="0.3">
      <c r="A3061" s="8">
        <v>82187851</v>
      </c>
      <c r="B3061" s="11">
        <v>44762</v>
      </c>
      <c r="C3061" s="13" t="s">
        <v>1286</v>
      </c>
      <c r="D3061" s="13" t="s">
        <v>4126</v>
      </c>
      <c r="E3061" s="8">
        <v>5325.14</v>
      </c>
      <c r="F3061" s="13" t="s">
        <v>70</v>
      </c>
      <c r="G3061" s="14">
        <v>44768</v>
      </c>
      <c r="H3061" s="13" t="s">
        <v>9</v>
      </c>
    </row>
    <row r="3062" spans="1:8" ht="14.4" x14ac:dyDescent="0.3">
      <c r="A3062" s="8">
        <v>82187852</v>
      </c>
      <c r="B3062" s="11">
        <v>44762</v>
      </c>
      <c r="C3062" s="13" t="s">
        <v>1322</v>
      </c>
      <c r="D3062" s="13" t="s">
        <v>4127</v>
      </c>
      <c r="E3062" s="8">
        <v>333.68</v>
      </c>
      <c r="F3062" s="13" t="s">
        <v>70</v>
      </c>
      <c r="G3062" s="14">
        <v>44768</v>
      </c>
      <c r="H3062" s="13" t="s">
        <v>9</v>
      </c>
    </row>
    <row r="3063" spans="1:8" ht="14.4" x14ac:dyDescent="0.3">
      <c r="A3063" s="8">
        <v>82187853</v>
      </c>
      <c r="B3063" s="11">
        <v>44762</v>
      </c>
      <c r="C3063" s="13" t="s">
        <v>4128</v>
      </c>
      <c r="D3063" s="13" t="s">
        <v>4129</v>
      </c>
      <c r="E3063" s="8">
        <v>9861.5300000000007</v>
      </c>
      <c r="F3063" s="13" t="s">
        <v>70</v>
      </c>
      <c r="G3063" s="14">
        <v>44789</v>
      </c>
      <c r="H3063" s="13" t="s">
        <v>9</v>
      </c>
    </row>
    <row r="3064" spans="1:8" ht="14.4" x14ac:dyDescent="0.3">
      <c r="A3064" s="8">
        <v>82187854</v>
      </c>
      <c r="B3064" s="11">
        <v>44762</v>
      </c>
      <c r="C3064" s="13" t="s">
        <v>876</v>
      </c>
      <c r="D3064" s="13" t="s">
        <v>4130</v>
      </c>
      <c r="E3064" s="8">
        <v>20000</v>
      </c>
      <c r="F3064" s="13" t="s">
        <v>70</v>
      </c>
      <c r="G3064" s="14">
        <v>44771</v>
      </c>
      <c r="H3064" s="13" t="s">
        <v>9</v>
      </c>
    </row>
    <row r="3065" spans="1:8" ht="14.4" x14ac:dyDescent="0.3">
      <c r="A3065" s="8">
        <v>82187855</v>
      </c>
      <c r="B3065" s="11">
        <v>44762</v>
      </c>
      <c r="C3065" s="13" t="s">
        <v>155</v>
      </c>
      <c r="D3065" s="13" t="s">
        <v>4131</v>
      </c>
      <c r="E3065" s="8">
        <v>20000</v>
      </c>
      <c r="F3065" s="13" t="s">
        <v>70</v>
      </c>
      <c r="G3065" s="14">
        <v>44763</v>
      </c>
      <c r="H3065" s="13" t="s">
        <v>9</v>
      </c>
    </row>
    <row r="3066" spans="1:8" ht="14.4" x14ac:dyDescent="0.3">
      <c r="A3066" s="8">
        <v>82187856</v>
      </c>
      <c r="B3066" s="11">
        <v>44762</v>
      </c>
      <c r="C3066" s="13" t="s">
        <v>3621</v>
      </c>
      <c r="D3066" s="13" t="s">
        <v>4132</v>
      </c>
      <c r="E3066" s="8">
        <v>30672.26</v>
      </c>
      <c r="F3066" s="13" t="s">
        <v>70</v>
      </c>
      <c r="G3066" s="14">
        <v>44768</v>
      </c>
      <c r="H3066" s="13" t="s">
        <v>9</v>
      </c>
    </row>
    <row r="3067" spans="1:8" ht="14.4" x14ac:dyDescent="0.3">
      <c r="A3067" s="8">
        <v>82187857</v>
      </c>
      <c r="B3067" s="11">
        <v>44762</v>
      </c>
      <c r="C3067" s="13" t="s">
        <v>265</v>
      </c>
      <c r="D3067" s="13" t="s">
        <v>4133</v>
      </c>
      <c r="E3067" s="8">
        <v>146747.45000000001</v>
      </c>
      <c r="F3067" s="13" t="s">
        <v>70</v>
      </c>
      <c r="G3067" s="14">
        <v>44764</v>
      </c>
      <c r="H3067" s="13" t="s">
        <v>9</v>
      </c>
    </row>
    <row r="3068" spans="1:8" ht="14.4" x14ac:dyDescent="0.3">
      <c r="A3068" s="8">
        <v>82187858</v>
      </c>
      <c r="B3068" s="11">
        <v>44762</v>
      </c>
      <c r="C3068" s="13" t="s">
        <v>395</v>
      </c>
      <c r="D3068" s="13" t="s">
        <v>4134</v>
      </c>
      <c r="E3068" s="8">
        <v>36655</v>
      </c>
      <c r="F3068" s="13" t="s">
        <v>70</v>
      </c>
      <c r="G3068" s="14">
        <v>44767</v>
      </c>
      <c r="H3068" s="13" t="s">
        <v>9</v>
      </c>
    </row>
    <row r="3069" spans="1:8" ht="14.4" x14ac:dyDescent="0.3">
      <c r="A3069" s="8">
        <v>82187859</v>
      </c>
      <c r="B3069" s="11">
        <v>44762</v>
      </c>
      <c r="C3069" s="13" t="s">
        <v>152</v>
      </c>
      <c r="D3069" s="13" t="s">
        <v>4135</v>
      </c>
      <c r="E3069" s="8">
        <v>17000</v>
      </c>
      <c r="F3069" s="13" t="s">
        <v>70</v>
      </c>
      <c r="G3069" s="14">
        <v>44770</v>
      </c>
      <c r="H3069" s="13" t="s">
        <v>9</v>
      </c>
    </row>
    <row r="3070" spans="1:8" ht="14.4" x14ac:dyDescent="0.3">
      <c r="A3070" s="8">
        <v>82187860</v>
      </c>
      <c r="B3070" s="11">
        <v>44762</v>
      </c>
      <c r="C3070" s="13" t="s">
        <v>492</v>
      </c>
      <c r="D3070" s="13" t="s">
        <v>4136</v>
      </c>
      <c r="E3070" s="8">
        <v>31930.75</v>
      </c>
      <c r="F3070" s="13" t="s">
        <v>70</v>
      </c>
      <c r="G3070" s="14">
        <v>44764</v>
      </c>
      <c r="H3070" s="13" t="s">
        <v>9</v>
      </c>
    </row>
    <row r="3071" spans="1:8" ht="14.4" x14ac:dyDescent="0.3">
      <c r="A3071" s="8">
        <v>82187861</v>
      </c>
      <c r="B3071" s="11">
        <v>44762</v>
      </c>
      <c r="C3071" s="13" t="s">
        <v>363</v>
      </c>
      <c r="D3071" s="13" t="s">
        <v>4137</v>
      </c>
      <c r="E3071" s="8">
        <v>36529.72</v>
      </c>
      <c r="F3071" s="13" t="s">
        <v>70</v>
      </c>
      <c r="G3071" s="14">
        <v>44768</v>
      </c>
      <c r="H3071" s="13" t="s">
        <v>9</v>
      </c>
    </row>
    <row r="3072" spans="1:8" ht="14.4" x14ac:dyDescent="0.3">
      <c r="A3072" s="8">
        <v>82187862</v>
      </c>
      <c r="B3072" s="11">
        <v>44762</v>
      </c>
      <c r="C3072" s="13" t="s">
        <v>1286</v>
      </c>
      <c r="D3072" s="13" t="s">
        <v>4138</v>
      </c>
      <c r="E3072" s="8">
        <v>4902.6499999999996</v>
      </c>
      <c r="F3072" s="13" t="s">
        <v>70</v>
      </c>
      <c r="G3072" s="14">
        <v>44768</v>
      </c>
      <c r="H3072" s="13" t="s">
        <v>9</v>
      </c>
    </row>
    <row r="3073" spans="1:8" ht="14.4" x14ac:dyDescent="0.3">
      <c r="A3073" s="8">
        <v>82187863</v>
      </c>
      <c r="B3073" s="11">
        <v>44762</v>
      </c>
      <c r="C3073" s="13" t="s">
        <v>1286</v>
      </c>
      <c r="D3073" s="13" t="s">
        <v>4126</v>
      </c>
      <c r="E3073" s="8">
        <v>11234.11</v>
      </c>
      <c r="F3073" s="13" t="s">
        <v>70</v>
      </c>
      <c r="G3073" s="14">
        <v>44768</v>
      </c>
      <c r="H3073" s="13" t="s">
        <v>9</v>
      </c>
    </row>
    <row r="3074" spans="1:8" ht="14.4" x14ac:dyDescent="0.3">
      <c r="A3074" s="8">
        <v>82187864</v>
      </c>
      <c r="B3074" s="11">
        <v>44762</v>
      </c>
      <c r="C3074" s="13" t="s">
        <v>1286</v>
      </c>
      <c r="D3074" s="13" t="s">
        <v>4138</v>
      </c>
      <c r="E3074" s="8">
        <v>8431.16</v>
      </c>
      <c r="F3074" s="13" t="s">
        <v>70</v>
      </c>
      <c r="G3074" s="14">
        <v>44768</v>
      </c>
      <c r="H3074" s="13" t="s">
        <v>9</v>
      </c>
    </row>
    <row r="3075" spans="1:8" ht="14.4" x14ac:dyDescent="0.3">
      <c r="A3075" s="8">
        <v>82187865</v>
      </c>
      <c r="B3075" s="11">
        <v>44762</v>
      </c>
      <c r="C3075" s="13" t="s">
        <v>1286</v>
      </c>
      <c r="D3075" s="13" t="s">
        <v>4139</v>
      </c>
      <c r="E3075" s="8">
        <v>7917.25</v>
      </c>
      <c r="F3075" s="13" t="s">
        <v>70</v>
      </c>
      <c r="G3075" s="14">
        <v>44768</v>
      </c>
      <c r="H3075" s="13" t="s">
        <v>9</v>
      </c>
    </row>
    <row r="3076" spans="1:8" ht="14.4" x14ac:dyDescent="0.3">
      <c r="A3076" s="8">
        <v>82187866</v>
      </c>
      <c r="B3076" s="11">
        <v>44762</v>
      </c>
      <c r="C3076" s="13" t="s">
        <v>265</v>
      </c>
      <c r="D3076" s="13" t="s">
        <v>4140</v>
      </c>
      <c r="E3076" s="8">
        <v>64328</v>
      </c>
      <c r="F3076" s="13" t="s">
        <v>70</v>
      </c>
      <c r="G3076" s="14">
        <v>44764</v>
      </c>
      <c r="H3076" s="13" t="s">
        <v>9</v>
      </c>
    </row>
    <row r="3077" spans="1:8" ht="14.4" x14ac:dyDescent="0.3">
      <c r="A3077" s="8">
        <v>82187867</v>
      </c>
      <c r="B3077" s="11">
        <v>44762</v>
      </c>
      <c r="C3077" s="13" t="s">
        <v>1286</v>
      </c>
      <c r="D3077" s="13" t="s">
        <v>4141</v>
      </c>
      <c r="E3077" s="8">
        <v>78087.740000000005</v>
      </c>
      <c r="F3077" s="13" t="s">
        <v>70</v>
      </c>
      <c r="G3077" s="14">
        <v>44768</v>
      </c>
      <c r="H3077" s="13" t="s">
        <v>9</v>
      </c>
    </row>
    <row r="3078" spans="1:8" ht="14.4" x14ac:dyDescent="0.3">
      <c r="A3078" s="8">
        <v>82187868</v>
      </c>
      <c r="B3078" s="11">
        <v>44762</v>
      </c>
      <c r="C3078" s="13" t="s">
        <v>1286</v>
      </c>
      <c r="D3078" s="13" t="s">
        <v>4142</v>
      </c>
      <c r="E3078" s="8">
        <v>19483.88</v>
      </c>
      <c r="F3078" s="13" t="s">
        <v>70</v>
      </c>
      <c r="G3078" s="14">
        <v>44768</v>
      </c>
      <c r="H3078" s="13" t="s">
        <v>9</v>
      </c>
    </row>
    <row r="3079" spans="1:8" ht="14.4" x14ac:dyDescent="0.3">
      <c r="A3079" s="8">
        <v>82187869</v>
      </c>
      <c r="B3079" s="11">
        <v>44762</v>
      </c>
      <c r="C3079" s="13" t="s">
        <v>152</v>
      </c>
      <c r="D3079" s="13" t="s">
        <v>4143</v>
      </c>
      <c r="E3079" s="8">
        <v>15893.25</v>
      </c>
      <c r="F3079" s="13" t="s">
        <v>70</v>
      </c>
      <c r="G3079" s="14">
        <v>44770</v>
      </c>
      <c r="H3079" s="13" t="s">
        <v>9</v>
      </c>
    </row>
    <row r="3080" spans="1:8" ht="14.4" x14ac:dyDescent="0.3">
      <c r="A3080" s="8">
        <v>82187870</v>
      </c>
      <c r="B3080" s="11">
        <v>44762</v>
      </c>
      <c r="C3080" s="13" t="s">
        <v>159</v>
      </c>
      <c r="D3080" s="13" t="s">
        <v>4144</v>
      </c>
      <c r="E3080" s="8">
        <v>282600</v>
      </c>
      <c r="F3080" s="13" t="s">
        <v>70</v>
      </c>
      <c r="G3080" s="14">
        <v>44763</v>
      </c>
      <c r="H3080" s="13" t="s">
        <v>9</v>
      </c>
    </row>
    <row r="3081" spans="1:8" ht="14.4" x14ac:dyDescent="0.3">
      <c r="A3081" s="8">
        <v>82187871</v>
      </c>
      <c r="B3081" s="11">
        <v>44762</v>
      </c>
      <c r="C3081" s="13" t="s">
        <v>180</v>
      </c>
      <c r="D3081" s="13" t="s">
        <v>901</v>
      </c>
      <c r="E3081" s="8">
        <v>46343.5</v>
      </c>
      <c r="F3081" s="13" t="s">
        <v>70</v>
      </c>
      <c r="G3081" s="14">
        <v>44762</v>
      </c>
      <c r="H3081" s="13" t="s">
        <v>9</v>
      </c>
    </row>
    <row r="3082" spans="1:8" ht="14.4" x14ac:dyDescent="0.3">
      <c r="A3082" s="8">
        <v>82187872</v>
      </c>
      <c r="B3082" s="11">
        <v>44762</v>
      </c>
      <c r="C3082" s="13" t="s">
        <v>4145</v>
      </c>
      <c r="D3082" s="13" t="s">
        <v>4146</v>
      </c>
      <c r="E3082" s="8">
        <v>6110.78</v>
      </c>
      <c r="F3082" s="13" t="s">
        <v>70</v>
      </c>
      <c r="G3082" s="14">
        <v>44770</v>
      </c>
      <c r="H3082" s="13" t="s">
        <v>9</v>
      </c>
    </row>
    <row r="3083" spans="1:8" ht="14.4" x14ac:dyDescent="0.3">
      <c r="A3083" s="8">
        <v>82187873</v>
      </c>
      <c r="B3083" s="11">
        <v>44762</v>
      </c>
      <c r="C3083" s="13" t="s">
        <v>1286</v>
      </c>
      <c r="D3083" s="13" t="s">
        <v>4139</v>
      </c>
      <c r="E3083" s="8">
        <v>4905.72</v>
      </c>
      <c r="F3083" s="13" t="s">
        <v>70</v>
      </c>
      <c r="G3083" s="14">
        <v>44768</v>
      </c>
      <c r="H3083" s="13" t="s">
        <v>9</v>
      </c>
    </row>
    <row r="3084" spans="1:8" ht="14.4" x14ac:dyDescent="0.3">
      <c r="A3084" s="8">
        <v>82187874</v>
      </c>
      <c r="B3084" s="11">
        <v>44762</v>
      </c>
      <c r="C3084" s="13" t="s">
        <v>1286</v>
      </c>
      <c r="D3084" s="13" t="s">
        <v>4126</v>
      </c>
      <c r="E3084" s="8">
        <v>5234.7</v>
      </c>
      <c r="F3084" s="13" t="s">
        <v>70</v>
      </c>
      <c r="G3084" s="14">
        <v>44768</v>
      </c>
      <c r="H3084" s="13" t="s">
        <v>9</v>
      </c>
    </row>
    <row r="3085" spans="1:8" ht="14.4" x14ac:dyDescent="0.3">
      <c r="A3085" s="8">
        <v>82187875</v>
      </c>
      <c r="B3085" s="11">
        <v>44762</v>
      </c>
      <c r="C3085" s="13" t="s">
        <v>4147</v>
      </c>
      <c r="D3085" s="13" t="s">
        <v>4148</v>
      </c>
      <c r="E3085" s="8">
        <v>11000</v>
      </c>
      <c r="F3085" s="13" t="s">
        <v>70</v>
      </c>
      <c r="G3085" s="14">
        <v>44763</v>
      </c>
      <c r="H3085" s="13" t="s">
        <v>9</v>
      </c>
    </row>
    <row r="3086" spans="1:8" ht="14.4" x14ac:dyDescent="0.3">
      <c r="A3086" s="8">
        <v>82187876</v>
      </c>
      <c r="B3086" s="11">
        <v>44762</v>
      </c>
      <c r="C3086" s="13" t="s">
        <v>4149</v>
      </c>
      <c r="D3086" s="13" t="s">
        <v>4150</v>
      </c>
      <c r="E3086" s="8">
        <v>20000</v>
      </c>
      <c r="F3086" s="13" t="s">
        <v>70</v>
      </c>
      <c r="G3086" s="14">
        <v>44764</v>
      </c>
      <c r="H3086" s="13" t="s">
        <v>9</v>
      </c>
    </row>
    <row r="3087" spans="1:8" ht="14.4" x14ac:dyDescent="0.3">
      <c r="A3087" s="8">
        <v>82187877</v>
      </c>
      <c r="B3087" s="11">
        <v>44762</v>
      </c>
      <c r="C3087" s="13" t="s">
        <v>4151</v>
      </c>
      <c r="D3087" s="13" t="s">
        <v>4152</v>
      </c>
      <c r="E3087" s="8">
        <v>50000</v>
      </c>
      <c r="F3087" s="13" t="s">
        <v>70</v>
      </c>
      <c r="G3087" s="14">
        <v>44764</v>
      </c>
      <c r="H3087" s="13" t="s">
        <v>9</v>
      </c>
    </row>
    <row r="3088" spans="1:8" ht="14.4" x14ac:dyDescent="0.3">
      <c r="A3088" s="8">
        <v>82187878</v>
      </c>
      <c r="B3088" s="11">
        <v>44762</v>
      </c>
      <c r="C3088" s="13" t="s">
        <v>1728</v>
      </c>
      <c r="D3088" s="13" t="s">
        <v>4153</v>
      </c>
      <c r="E3088" s="8">
        <v>9800</v>
      </c>
      <c r="F3088" s="13" t="s">
        <v>70</v>
      </c>
      <c r="G3088" s="14">
        <v>44769</v>
      </c>
      <c r="H3088" s="13" t="s">
        <v>9</v>
      </c>
    </row>
    <row r="3089" spans="1:8" ht="14.4" x14ac:dyDescent="0.3">
      <c r="A3089" s="8">
        <v>82187879</v>
      </c>
      <c r="B3089" s="11">
        <v>44762</v>
      </c>
      <c r="C3089" s="13" t="s">
        <v>19</v>
      </c>
      <c r="D3089" s="13" t="s">
        <v>4154</v>
      </c>
      <c r="E3089" s="8">
        <v>8000000</v>
      </c>
      <c r="F3089" s="13" t="s">
        <v>70</v>
      </c>
      <c r="G3089" s="14">
        <v>44763</v>
      </c>
      <c r="H3089" s="13" t="s">
        <v>9</v>
      </c>
    </row>
    <row r="3090" spans="1:8" ht="14.4" x14ac:dyDescent="0.3">
      <c r="A3090" s="8">
        <v>82187880</v>
      </c>
      <c r="B3090" s="11">
        <v>44763</v>
      </c>
      <c r="C3090" s="13" t="s">
        <v>245</v>
      </c>
      <c r="D3090" s="13" t="s">
        <v>4155</v>
      </c>
      <c r="E3090" s="8">
        <v>8674.65</v>
      </c>
      <c r="F3090" s="13" t="s">
        <v>70</v>
      </c>
      <c r="G3090" s="14">
        <v>44770</v>
      </c>
      <c r="H3090" s="13" t="s">
        <v>9</v>
      </c>
    </row>
    <row r="3091" spans="1:8" ht="14.4" x14ac:dyDescent="0.3">
      <c r="A3091" s="8">
        <v>82187881</v>
      </c>
      <c r="B3091" s="11">
        <v>44763</v>
      </c>
      <c r="C3091" s="13" t="s">
        <v>3202</v>
      </c>
      <c r="D3091" s="13" t="s">
        <v>34</v>
      </c>
      <c r="E3091" s="8">
        <v>3559.65</v>
      </c>
      <c r="F3091" s="13" t="s">
        <v>70</v>
      </c>
      <c r="G3091" s="14">
        <v>44834</v>
      </c>
      <c r="H3091" s="13" t="s">
        <v>9</v>
      </c>
    </row>
    <row r="3092" spans="1:8" ht="14.4" x14ac:dyDescent="0.3">
      <c r="A3092" s="8">
        <v>82187882</v>
      </c>
      <c r="B3092" s="11">
        <v>44763</v>
      </c>
      <c r="C3092" s="13" t="s">
        <v>1524</v>
      </c>
      <c r="D3092" s="13" t="s">
        <v>34</v>
      </c>
      <c r="E3092" s="8">
        <v>8868.34</v>
      </c>
      <c r="F3092" s="13" t="s">
        <v>70</v>
      </c>
      <c r="G3092" s="14">
        <v>44770</v>
      </c>
      <c r="H3092" s="13" t="s">
        <v>9</v>
      </c>
    </row>
    <row r="3093" spans="1:8" ht="14.4" x14ac:dyDescent="0.3">
      <c r="A3093" s="8">
        <v>82187883</v>
      </c>
      <c r="B3093" s="11">
        <v>44763</v>
      </c>
      <c r="C3093" s="13" t="s">
        <v>4156</v>
      </c>
      <c r="D3093" s="13" t="s">
        <v>4157</v>
      </c>
      <c r="E3093" s="8">
        <v>2625</v>
      </c>
      <c r="F3093" s="13" t="s">
        <v>70</v>
      </c>
      <c r="G3093" s="14">
        <v>44769</v>
      </c>
      <c r="H3093" s="13" t="s">
        <v>9</v>
      </c>
    </row>
    <row r="3094" spans="1:8" ht="14.4" x14ac:dyDescent="0.3">
      <c r="A3094" s="8">
        <v>82187884</v>
      </c>
      <c r="B3094" s="11">
        <v>44763</v>
      </c>
      <c r="C3094" s="13" t="s">
        <v>673</v>
      </c>
      <c r="D3094" s="13" t="s">
        <v>4158</v>
      </c>
      <c r="E3094" s="8">
        <v>900</v>
      </c>
      <c r="F3094" s="13" t="s">
        <v>70</v>
      </c>
      <c r="G3094" s="14">
        <v>44767</v>
      </c>
      <c r="H3094" s="13" t="s">
        <v>9</v>
      </c>
    </row>
    <row r="3095" spans="1:8" ht="14.4" x14ac:dyDescent="0.3">
      <c r="A3095" s="8">
        <v>82187885</v>
      </c>
      <c r="B3095" s="11">
        <v>44763</v>
      </c>
      <c r="C3095" s="13" t="s">
        <v>1784</v>
      </c>
      <c r="D3095" s="13" t="s">
        <v>4159</v>
      </c>
      <c r="E3095" s="8">
        <v>8000</v>
      </c>
      <c r="F3095" s="13" t="s">
        <v>70</v>
      </c>
      <c r="G3095" s="14">
        <v>44769</v>
      </c>
      <c r="H3095" s="13" t="s">
        <v>9</v>
      </c>
    </row>
    <row r="3096" spans="1:8" ht="14.4" x14ac:dyDescent="0.3">
      <c r="A3096" s="8">
        <v>82187886</v>
      </c>
      <c r="B3096" s="11">
        <v>44763</v>
      </c>
      <c r="C3096" s="13" t="s">
        <v>1559</v>
      </c>
      <c r="D3096" s="13" t="s">
        <v>4160</v>
      </c>
      <c r="E3096" s="8">
        <v>10000</v>
      </c>
      <c r="F3096" s="13" t="s">
        <v>70</v>
      </c>
      <c r="G3096" s="14">
        <v>44774</v>
      </c>
      <c r="H3096" s="13" t="s">
        <v>9</v>
      </c>
    </row>
    <row r="3097" spans="1:8" ht="14.4" x14ac:dyDescent="0.3">
      <c r="A3097" s="8">
        <v>82187887</v>
      </c>
      <c r="B3097" s="11">
        <v>44763</v>
      </c>
      <c r="C3097" s="13" t="s">
        <v>548</v>
      </c>
      <c r="D3097" s="13" t="s">
        <v>4160</v>
      </c>
      <c r="E3097" s="8">
        <v>3000</v>
      </c>
      <c r="F3097" s="13" t="s">
        <v>70</v>
      </c>
      <c r="G3097" s="14">
        <v>44774</v>
      </c>
      <c r="H3097" s="13" t="s">
        <v>9</v>
      </c>
    </row>
    <row r="3098" spans="1:8" ht="14.4" x14ac:dyDescent="0.3">
      <c r="A3098" s="8">
        <v>82187888</v>
      </c>
      <c r="B3098" s="11">
        <v>44763</v>
      </c>
      <c r="C3098" s="13" t="s">
        <v>547</v>
      </c>
      <c r="D3098" s="13" t="s">
        <v>4160</v>
      </c>
      <c r="E3098" s="8">
        <v>3000</v>
      </c>
      <c r="F3098" s="13" t="s">
        <v>70</v>
      </c>
      <c r="G3098" s="14">
        <v>44774</v>
      </c>
      <c r="H3098" s="13" t="s">
        <v>9</v>
      </c>
    </row>
    <row r="3099" spans="1:8" ht="14.4" x14ac:dyDescent="0.3">
      <c r="A3099" s="8">
        <v>82187889</v>
      </c>
      <c r="B3099" s="11">
        <v>44763</v>
      </c>
      <c r="C3099" s="13" t="s">
        <v>549</v>
      </c>
      <c r="D3099" s="13" t="s">
        <v>4160</v>
      </c>
      <c r="E3099" s="8">
        <v>3000</v>
      </c>
      <c r="F3099" s="13" t="s">
        <v>70</v>
      </c>
      <c r="G3099" s="14">
        <v>44774</v>
      </c>
      <c r="H3099" s="13" t="s">
        <v>9</v>
      </c>
    </row>
    <row r="3100" spans="1:8" ht="14.4" x14ac:dyDescent="0.3">
      <c r="A3100" s="8">
        <v>82187890</v>
      </c>
      <c r="B3100" s="11">
        <v>44763</v>
      </c>
      <c r="C3100" s="13" t="s">
        <v>550</v>
      </c>
      <c r="D3100" s="13" t="s">
        <v>4160</v>
      </c>
      <c r="E3100" s="8">
        <v>3000</v>
      </c>
      <c r="F3100" s="13" t="s">
        <v>70</v>
      </c>
      <c r="G3100" s="14">
        <v>44774</v>
      </c>
      <c r="H3100" s="13" t="s">
        <v>9</v>
      </c>
    </row>
    <row r="3101" spans="1:8" ht="14.4" x14ac:dyDescent="0.3">
      <c r="A3101" s="8">
        <v>82187891</v>
      </c>
      <c r="B3101" s="11">
        <v>44763</v>
      </c>
      <c r="C3101" s="13" t="s">
        <v>1563</v>
      </c>
      <c r="D3101" s="13" t="s">
        <v>4160</v>
      </c>
      <c r="E3101" s="8">
        <v>3000</v>
      </c>
      <c r="F3101" s="13" t="s">
        <v>70</v>
      </c>
      <c r="G3101" s="14">
        <v>44774</v>
      </c>
      <c r="H3101" s="13" t="s">
        <v>9</v>
      </c>
    </row>
    <row r="3102" spans="1:8" ht="14.4" x14ac:dyDescent="0.3">
      <c r="A3102" s="8">
        <v>82187892</v>
      </c>
      <c r="B3102" s="11">
        <v>44763</v>
      </c>
      <c r="C3102" s="13" t="s">
        <v>553</v>
      </c>
      <c r="D3102" s="13" t="s">
        <v>4160</v>
      </c>
      <c r="E3102" s="8">
        <v>3000</v>
      </c>
      <c r="F3102" s="13" t="s">
        <v>70</v>
      </c>
      <c r="G3102" s="14">
        <v>44774</v>
      </c>
      <c r="H3102" s="13" t="s">
        <v>9</v>
      </c>
    </row>
    <row r="3103" spans="1:8" ht="14.4" x14ac:dyDescent="0.3">
      <c r="A3103" s="8">
        <v>82187893</v>
      </c>
      <c r="B3103" s="11">
        <v>44763</v>
      </c>
      <c r="C3103" s="13" t="s">
        <v>554</v>
      </c>
      <c r="D3103" s="13" t="s">
        <v>4160</v>
      </c>
      <c r="E3103" s="8">
        <v>3000</v>
      </c>
      <c r="F3103" s="13" t="s">
        <v>70</v>
      </c>
      <c r="G3103" s="14">
        <v>44774</v>
      </c>
      <c r="H3103" s="13" t="s">
        <v>9</v>
      </c>
    </row>
    <row r="3104" spans="1:8" ht="14.4" x14ac:dyDescent="0.3">
      <c r="A3104" s="8">
        <v>82187894</v>
      </c>
      <c r="B3104" s="11">
        <v>44763</v>
      </c>
      <c r="C3104" s="13" t="s">
        <v>555</v>
      </c>
      <c r="D3104" s="13" t="s">
        <v>4160</v>
      </c>
      <c r="E3104" s="8">
        <v>3000</v>
      </c>
      <c r="F3104" s="13" t="s">
        <v>70</v>
      </c>
      <c r="G3104" s="14">
        <v>44774</v>
      </c>
      <c r="H3104" s="13" t="s">
        <v>9</v>
      </c>
    </row>
    <row r="3105" spans="1:8" ht="14.4" x14ac:dyDescent="0.3">
      <c r="A3105" s="8">
        <v>82187895</v>
      </c>
      <c r="B3105" s="11">
        <v>44763</v>
      </c>
      <c r="C3105" s="13" t="s">
        <v>557</v>
      </c>
      <c r="D3105" s="13" t="s">
        <v>4160</v>
      </c>
      <c r="E3105" s="8">
        <v>3000</v>
      </c>
      <c r="F3105" s="13" t="s">
        <v>70</v>
      </c>
      <c r="G3105" s="14">
        <v>44774</v>
      </c>
      <c r="H3105" s="13" t="s">
        <v>9</v>
      </c>
    </row>
    <row r="3106" spans="1:8" ht="14.4" x14ac:dyDescent="0.3">
      <c r="A3106" s="8">
        <v>82187896</v>
      </c>
      <c r="B3106" s="11">
        <v>44763</v>
      </c>
      <c r="C3106" s="13" t="s">
        <v>558</v>
      </c>
      <c r="D3106" s="13" t="s">
        <v>4160</v>
      </c>
      <c r="E3106" s="8">
        <v>3000</v>
      </c>
      <c r="F3106" s="13" t="s">
        <v>70</v>
      </c>
      <c r="G3106" s="14">
        <v>44774</v>
      </c>
      <c r="H3106" s="13" t="s">
        <v>9</v>
      </c>
    </row>
    <row r="3107" spans="1:8" ht="14.4" x14ac:dyDescent="0.3">
      <c r="A3107" s="8">
        <v>82187897</v>
      </c>
      <c r="B3107" s="11">
        <v>44763</v>
      </c>
      <c r="C3107" s="13" t="s">
        <v>559</v>
      </c>
      <c r="D3107" s="13" t="s">
        <v>4160</v>
      </c>
      <c r="E3107" s="8">
        <v>3000</v>
      </c>
      <c r="F3107" s="13" t="s">
        <v>70</v>
      </c>
      <c r="G3107" s="14">
        <v>44774</v>
      </c>
      <c r="H3107" s="13" t="s">
        <v>9</v>
      </c>
    </row>
    <row r="3108" spans="1:8" ht="14.4" x14ac:dyDescent="0.3">
      <c r="A3108" s="8">
        <v>82187898</v>
      </c>
      <c r="B3108" s="11">
        <v>44763</v>
      </c>
      <c r="C3108" s="13" t="s">
        <v>556</v>
      </c>
      <c r="D3108" s="13" t="s">
        <v>4160</v>
      </c>
      <c r="E3108" s="8">
        <v>3000</v>
      </c>
      <c r="F3108" s="13" t="s">
        <v>70</v>
      </c>
      <c r="G3108" s="14">
        <v>44774</v>
      </c>
      <c r="H3108" s="13" t="s">
        <v>9</v>
      </c>
    </row>
    <row r="3109" spans="1:8" ht="14.4" x14ac:dyDescent="0.3">
      <c r="A3109" s="8">
        <v>82187899</v>
      </c>
      <c r="B3109" s="11">
        <v>44763</v>
      </c>
      <c r="C3109" s="13" t="s">
        <v>1924</v>
      </c>
      <c r="D3109" s="13" t="s">
        <v>4161</v>
      </c>
      <c r="E3109" s="8">
        <v>39600</v>
      </c>
      <c r="F3109" s="13" t="s">
        <v>70</v>
      </c>
      <c r="G3109" s="14">
        <v>44781</v>
      </c>
      <c r="H3109" s="13" t="s">
        <v>9</v>
      </c>
    </row>
    <row r="3110" spans="1:8" ht="14.4" x14ac:dyDescent="0.3">
      <c r="A3110" s="8">
        <v>82187901</v>
      </c>
      <c r="B3110" s="11">
        <v>44763</v>
      </c>
      <c r="C3110" s="13" t="s">
        <v>1424</v>
      </c>
      <c r="D3110" s="13" t="s">
        <v>2562</v>
      </c>
      <c r="E3110" s="8">
        <v>24275.89</v>
      </c>
      <c r="F3110" s="13" t="s">
        <v>70</v>
      </c>
      <c r="G3110" s="14">
        <v>44769</v>
      </c>
      <c r="H3110" s="13" t="s">
        <v>9</v>
      </c>
    </row>
    <row r="3111" spans="1:8" ht="14.4" x14ac:dyDescent="0.3">
      <c r="A3111" s="8">
        <v>82187902</v>
      </c>
      <c r="B3111" s="11">
        <v>44763</v>
      </c>
      <c r="C3111" s="13" t="s">
        <v>4162</v>
      </c>
      <c r="D3111" s="13" t="s">
        <v>3199</v>
      </c>
      <c r="E3111" s="8">
        <v>3079.59</v>
      </c>
      <c r="F3111" s="13" t="s">
        <v>70</v>
      </c>
      <c r="G3111" s="14">
        <v>44798</v>
      </c>
      <c r="H3111" s="13" t="s">
        <v>9</v>
      </c>
    </row>
    <row r="3112" spans="1:8" ht="14.4" x14ac:dyDescent="0.3">
      <c r="A3112" s="8">
        <v>82187903</v>
      </c>
      <c r="B3112" s="11">
        <v>44763</v>
      </c>
      <c r="C3112" s="13" t="s">
        <v>37</v>
      </c>
      <c r="D3112" s="13" t="s">
        <v>4163</v>
      </c>
      <c r="E3112" s="8">
        <v>7571.43</v>
      </c>
      <c r="F3112" s="13" t="s">
        <v>70</v>
      </c>
      <c r="G3112" s="14">
        <v>44820</v>
      </c>
      <c r="H3112" s="13" t="s">
        <v>9</v>
      </c>
    </row>
    <row r="3113" spans="1:8" ht="14.4" x14ac:dyDescent="0.3">
      <c r="A3113" s="8">
        <v>82187904</v>
      </c>
      <c r="B3113" s="11">
        <v>44763</v>
      </c>
      <c r="C3113" s="13" t="s">
        <v>1581</v>
      </c>
      <c r="D3113" s="13" t="s">
        <v>4164</v>
      </c>
      <c r="E3113" s="8">
        <v>7453.13</v>
      </c>
      <c r="F3113" s="13" t="s">
        <v>70</v>
      </c>
      <c r="G3113" s="14">
        <v>44768</v>
      </c>
      <c r="H3113" s="13" t="s">
        <v>9</v>
      </c>
    </row>
    <row r="3114" spans="1:8" ht="14.4" x14ac:dyDescent="0.3">
      <c r="A3114" s="8">
        <v>82187905</v>
      </c>
      <c r="B3114" s="11">
        <v>44763</v>
      </c>
      <c r="C3114" s="13" t="s">
        <v>1581</v>
      </c>
      <c r="D3114" s="13" t="s">
        <v>4165</v>
      </c>
      <c r="E3114" s="8">
        <v>42589.279999999999</v>
      </c>
      <c r="F3114" s="13" t="s">
        <v>70</v>
      </c>
      <c r="G3114" s="14">
        <v>44768</v>
      </c>
      <c r="H3114" s="13" t="s">
        <v>9</v>
      </c>
    </row>
    <row r="3115" spans="1:8" ht="14.4" x14ac:dyDescent="0.3">
      <c r="A3115" s="8">
        <v>82187906</v>
      </c>
      <c r="B3115" s="11">
        <v>44763</v>
      </c>
      <c r="C3115" s="13" t="s">
        <v>1581</v>
      </c>
      <c r="D3115" s="13" t="s">
        <v>4166</v>
      </c>
      <c r="E3115" s="8">
        <v>15970.98</v>
      </c>
      <c r="F3115" s="13" t="s">
        <v>70</v>
      </c>
      <c r="G3115" s="14">
        <v>44768</v>
      </c>
      <c r="H3115" s="13" t="s">
        <v>9</v>
      </c>
    </row>
    <row r="3116" spans="1:8" ht="14.4" x14ac:dyDescent="0.3">
      <c r="A3116" s="8">
        <v>82187907</v>
      </c>
      <c r="B3116" s="11">
        <v>44763</v>
      </c>
      <c r="C3116" s="13" t="s">
        <v>405</v>
      </c>
      <c r="D3116" s="13" t="s">
        <v>4167</v>
      </c>
      <c r="E3116" s="8">
        <v>9512.32</v>
      </c>
      <c r="F3116" s="13" t="s">
        <v>70</v>
      </c>
      <c r="G3116" s="14">
        <v>44767</v>
      </c>
      <c r="H3116" s="13" t="s">
        <v>9</v>
      </c>
    </row>
    <row r="3117" spans="1:8" ht="14.4" x14ac:dyDescent="0.3">
      <c r="A3117" s="8">
        <v>82187908</v>
      </c>
      <c r="B3117" s="11">
        <v>44763</v>
      </c>
      <c r="C3117" s="13" t="s">
        <v>2262</v>
      </c>
      <c r="D3117" s="13" t="s">
        <v>4168</v>
      </c>
      <c r="E3117" s="8">
        <v>23282.15</v>
      </c>
      <c r="F3117" s="13" t="s">
        <v>70</v>
      </c>
      <c r="G3117" s="14">
        <v>44767</v>
      </c>
      <c r="H3117" s="13" t="s">
        <v>9</v>
      </c>
    </row>
    <row r="3118" spans="1:8" ht="14.4" x14ac:dyDescent="0.3">
      <c r="A3118" s="8">
        <v>82187909</v>
      </c>
      <c r="B3118" s="11">
        <v>44763</v>
      </c>
      <c r="C3118" s="13" t="s">
        <v>1941</v>
      </c>
      <c r="D3118" s="13" t="s">
        <v>4169</v>
      </c>
      <c r="E3118" s="8">
        <v>27312.23</v>
      </c>
      <c r="F3118" s="13" t="s">
        <v>70</v>
      </c>
      <c r="G3118" s="14">
        <v>44767</v>
      </c>
      <c r="H3118" s="13" t="s">
        <v>9</v>
      </c>
    </row>
    <row r="3119" spans="1:8" ht="14.4" x14ac:dyDescent="0.3">
      <c r="A3119" s="8">
        <v>82187910</v>
      </c>
      <c r="B3119" s="11">
        <v>44763</v>
      </c>
      <c r="C3119" s="13" t="s">
        <v>2077</v>
      </c>
      <c r="D3119" s="13" t="s">
        <v>4170</v>
      </c>
      <c r="E3119" s="8">
        <v>36342.85</v>
      </c>
      <c r="F3119" s="13" t="s">
        <v>70</v>
      </c>
      <c r="G3119" s="14">
        <v>44775</v>
      </c>
      <c r="H3119" s="13" t="s">
        <v>9</v>
      </c>
    </row>
    <row r="3120" spans="1:8" ht="14.4" x14ac:dyDescent="0.3">
      <c r="A3120" s="8">
        <v>82187911</v>
      </c>
      <c r="B3120" s="11">
        <v>44763</v>
      </c>
      <c r="C3120" s="13" t="s">
        <v>673</v>
      </c>
      <c r="D3120" s="13" t="s">
        <v>4171</v>
      </c>
      <c r="E3120" s="8">
        <v>35280</v>
      </c>
      <c r="F3120" s="13" t="s">
        <v>70</v>
      </c>
      <c r="G3120" s="14">
        <v>44767</v>
      </c>
      <c r="H3120" s="13" t="s">
        <v>9</v>
      </c>
    </row>
    <row r="3121" spans="1:8" ht="14.4" x14ac:dyDescent="0.3">
      <c r="A3121" s="8">
        <v>82187912</v>
      </c>
      <c r="B3121" s="11">
        <v>44763</v>
      </c>
      <c r="C3121" s="13" t="s">
        <v>1581</v>
      </c>
      <c r="D3121" s="13" t="s">
        <v>4172</v>
      </c>
      <c r="E3121" s="8">
        <v>8517.85</v>
      </c>
      <c r="F3121" s="13" t="s">
        <v>70</v>
      </c>
      <c r="G3121" s="14">
        <v>44768</v>
      </c>
      <c r="H3121" s="13" t="s">
        <v>9</v>
      </c>
    </row>
    <row r="3122" spans="1:8" ht="14.4" x14ac:dyDescent="0.3">
      <c r="A3122" s="8">
        <v>82187913</v>
      </c>
      <c r="B3122" s="11">
        <v>44763</v>
      </c>
      <c r="C3122" s="13" t="s">
        <v>1524</v>
      </c>
      <c r="D3122" s="13" t="s">
        <v>4173</v>
      </c>
      <c r="E3122" s="8">
        <v>8745</v>
      </c>
      <c r="F3122" s="13" t="s">
        <v>70</v>
      </c>
      <c r="G3122" s="14">
        <v>44770</v>
      </c>
      <c r="H3122" s="13" t="s">
        <v>9</v>
      </c>
    </row>
    <row r="3123" spans="1:8" ht="14.4" x14ac:dyDescent="0.3">
      <c r="A3123" s="8">
        <v>82187914</v>
      </c>
      <c r="B3123" s="11">
        <v>44763</v>
      </c>
      <c r="C3123" s="13" t="s">
        <v>1581</v>
      </c>
      <c r="D3123" s="13" t="s">
        <v>4174</v>
      </c>
      <c r="E3123" s="8">
        <v>2555.35</v>
      </c>
      <c r="F3123" s="13" t="s">
        <v>70</v>
      </c>
      <c r="G3123" s="14">
        <v>44768</v>
      </c>
      <c r="H3123" s="13" t="s">
        <v>9</v>
      </c>
    </row>
    <row r="3124" spans="1:8" ht="14.4" x14ac:dyDescent="0.3">
      <c r="A3124" s="8">
        <v>82187916</v>
      </c>
      <c r="B3124" s="11">
        <v>44763</v>
      </c>
      <c r="C3124" s="13" t="s">
        <v>1581</v>
      </c>
      <c r="D3124" s="13" t="s">
        <v>4175</v>
      </c>
      <c r="E3124" s="8">
        <v>20821.43</v>
      </c>
      <c r="F3124" s="13" t="s">
        <v>70</v>
      </c>
      <c r="G3124" s="14">
        <v>44768</v>
      </c>
      <c r="H3124" s="13" t="s">
        <v>9</v>
      </c>
    </row>
    <row r="3125" spans="1:8" ht="14.4" x14ac:dyDescent="0.3">
      <c r="A3125" s="8">
        <v>82187917</v>
      </c>
      <c r="B3125" s="11">
        <v>44763</v>
      </c>
      <c r="C3125" s="13" t="s">
        <v>1743</v>
      </c>
      <c r="D3125" s="13" t="s">
        <v>4176</v>
      </c>
      <c r="E3125" s="8">
        <v>2572.5</v>
      </c>
      <c r="F3125" s="13" t="s">
        <v>70</v>
      </c>
      <c r="G3125" s="14">
        <v>44764</v>
      </c>
      <c r="H3125" s="13" t="s">
        <v>9</v>
      </c>
    </row>
    <row r="3126" spans="1:8" ht="14.4" x14ac:dyDescent="0.3">
      <c r="A3126" s="8">
        <v>82187918</v>
      </c>
      <c r="B3126" s="11">
        <v>44763</v>
      </c>
      <c r="C3126" s="13" t="s">
        <v>1581</v>
      </c>
      <c r="D3126" s="13" t="s">
        <v>4177</v>
      </c>
      <c r="E3126" s="8">
        <v>4258.93</v>
      </c>
      <c r="F3126" s="13" t="s">
        <v>70</v>
      </c>
      <c r="G3126" s="14">
        <v>44768</v>
      </c>
      <c r="H3126" s="13" t="s">
        <v>9</v>
      </c>
    </row>
    <row r="3127" spans="1:8" ht="14.4" x14ac:dyDescent="0.3">
      <c r="A3127" s="8">
        <v>82187919</v>
      </c>
      <c r="B3127" s="11">
        <v>44763</v>
      </c>
      <c r="C3127" s="13" t="s">
        <v>1728</v>
      </c>
      <c r="D3127" s="13" t="s">
        <v>4178</v>
      </c>
      <c r="E3127" s="8">
        <v>27440</v>
      </c>
      <c r="F3127" s="13" t="s">
        <v>70</v>
      </c>
      <c r="G3127" s="14">
        <v>44769</v>
      </c>
      <c r="H3127" s="13" t="s">
        <v>9</v>
      </c>
    </row>
    <row r="3128" spans="1:8" ht="14.4" x14ac:dyDescent="0.3">
      <c r="A3128" s="8">
        <v>82187920</v>
      </c>
      <c r="B3128" s="11">
        <v>44763</v>
      </c>
      <c r="C3128" s="13" t="s">
        <v>1581</v>
      </c>
      <c r="D3128" s="13" t="s">
        <v>4179</v>
      </c>
      <c r="E3128" s="8">
        <v>5323.66</v>
      </c>
      <c r="F3128" s="13" t="s">
        <v>70</v>
      </c>
      <c r="G3128" s="14">
        <v>44768</v>
      </c>
      <c r="H3128" s="13" t="s">
        <v>9</v>
      </c>
    </row>
    <row r="3129" spans="1:8" ht="14.4" x14ac:dyDescent="0.3">
      <c r="A3129" s="8">
        <v>82187921</v>
      </c>
      <c r="B3129" s="11">
        <v>44763</v>
      </c>
      <c r="C3129" s="13" t="s">
        <v>1581</v>
      </c>
      <c r="D3129" s="13" t="s">
        <v>4180</v>
      </c>
      <c r="E3129" s="8">
        <v>4258.93</v>
      </c>
      <c r="F3129" s="13" t="s">
        <v>70</v>
      </c>
      <c r="G3129" s="14">
        <v>44768</v>
      </c>
      <c r="H3129" s="13" t="s">
        <v>9</v>
      </c>
    </row>
    <row r="3130" spans="1:8" ht="14.4" x14ac:dyDescent="0.3">
      <c r="A3130" s="8">
        <v>82187922</v>
      </c>
      <c r="B3130" s="11">
        <v>44763</v>
      </c>
      <c r="C3130" s="13" t="s">
        <v>4181</v>
      </c>
      <c r="D3130" s="13" t="s">
        <v>4182</v>
      </c>
      <c r="E3130" s="8">
        <v>6511.43</v>
      </c>
      <c r="F3130" s="13" t="s">
        <v>70</v>
      </c>
      <c r="G3130" s="14">
        <v>44771</v>
      </c>
      <c r="H3130" s="13" t="s">
        <v>9</v>
      </c>
    </row>
    <row r="3131" spans="1:8" ht="14.4" x14ac:dyDescent="0.3">
      <c r="A3131" s="8">
        <v>82187923</v>
      </c>
      <c r="B3131" s="11">
        <v>44763</v>
      </c>
      <c r="C3131" s="13" t="s">
        <v>1743</v>
      </c>
      <c r="D3131" s="13" t="s">
        <v>4183</v>
      </c>
      <c r="E3131" s="8">
        <v>4410</v>
      </c>
      <c r="F3131" s="13" t="s">
        <v>70</v>
      </c>
      <c r="G3131" s="14">
        <v>44764</v>
      </c>
      <c r="H3131" s="13" t="s">
        <v>9</v>
      </c>
    </row>
    <row r="3132" spans="1:8" ht="14.4" x14ac:dyDescent="0.3">
      <c r="A3132" s="8">
        <v>82187924</v>
      </c>
      <c r="B3132" s="11">
        <v>44763</v>
      </c>
      <c r="C3132" s="13" t="s">
        <v>171</v>
      </c>
      <c r="D3132" s="13" t="s">
        <v>4184</v>
      </c>
      <c r="E3132" s="8">
        <v>33971.74</v>
      </c>
      <c r="F3132" s="13" t="s">
        <v>70</v>
      </c>
      <c r="G3132" s="14">
        <v>44764</v>
      </c>
      <c r="H3132" s="13" t="s">
        <v>9</v>
      </c>
    </row>
    <row r="3133" spans="1:8" ht="14.4" x14ac:dyDescent="0.3">
      <c r="A3133" s="8">
        <v>82187925</v>
      </c>
      <c r="B3133" s="11">
        <v>44763</v>
      </c>
      <c r="C3133" s="13" t="s">
        <v>4185</v>
      </c>
      <c r="D3133" s="13" t="s">
        <v>4159</v>
      </c>
      <c r="E3133" s="8">
        <v>17800</v>
      </c>
      <c r="F3133" s="13" t="s">
        <v>70</v>
      </c>
      <c r="G3133" s="14">
        <v>44769</v>
      </c>
      <c r="H3133" s="13" t="s">
        <v>9</v>
      </c>
    </row>
    <row r="3134" spans="1:8" ht="14.4" x14ac:dyDescent="0.3">
      <c r="A3134" s="8">
        <v>82187926</v>
      </c>
      <c r="B3134" s="11">
        <v>44763</v>
      </c>
      <c r="C3134" s="13" t="s">
        <v>405</v>
      </c>
      <c r="D3134" s="13" t="s">
        <v>4186</v>
      </c>
      <c r="E3134" s="8">
        <v>13382.64</v>
      </c>
      <c r="F3134" s="13" t="s">
        <v>70</v>
      </c>
      <c r="G3134" s="14">
        <v>44767</v>
      </c>
      <c r="H3134" s="13" t="s">
        <v>9</v>
      </c>
    </row>
    <row r="3135" spans="1:8" ht="14.4" x14ac:dyDescent="0.3">
      <c r="A3135" s="8">
        <v>82187927</v>
      </c>
      <c r="B3135" s="11">
        <v>44763</v>
      </c>
      <c r="C3135" s="13" t="s">
        <v>4181</v>
      </c>
      <c r="D3135" s="13" t="s">
        <v>4187</v>
      </c>
      <c r="E3135" s="8">
        <v>5565</v>
      </c>
      <c r="F3135" s="13" t="s">
        <v>70</v>
      </c>
      <c r="G3135" s="14">
        <v>44776</v>
      </c>
      <c r="H3135" s="13" t="s">
        <v>9</v>
      </c>
    </row>
    <row r="3136" spans="1:8" ht="14.4" x14ac:dyDescent="0.3">
      <c r="A3136" s="8">
        <v>82187928</v>
      </c>
      <c r="B3136" s="11">
        <v>44763</v>
      </c>
      <c r="C3136" s="13" t="s">
        <v>405</v>
      </c>
      <c r="D3136" s="13" t="s">
        <v>4188</v>
      </c>
      <c r="E3136" s="8">
        <v>10704.32</v>
      </c>
      <c r="F3136" s="13" t="s">
        <v>70</v>
      </c>
      <c r="G3136" s="14">
        <v>44767</v>
      </c>
      <c r="H3136" s="13" t="s">
        <v>9</v>
      </c>
    </row>
    <row r="3137" spans="1:8" ht="14.4" x14ac:dyDescent="0.3">
      <c r="A3137" s="8">
        <v>82187929</v>
      </c>
      <c r="B3137" s="11">
        <v>44763</v>
      </c>
      <c r="C3137" s="13" t="s">
        <v>4189</v>
      </c>
      <c r="D3137" s="13" t="s">
        <v>4190</v>
      </c>
      <c r="E3137" s="8">
        <v>40949.300000000003</v>
      </c>
      <c r="F3137" s="13" t="s">
        <v>70</v>
      </c>
      <c r="G3137" s="14">
        <v>44771</v>
      </c>
      <c r="H3137" s="13" t="s">
        <v>9</v>
      </c>
    </row>
    <row r="3138" spans="1:8" ht="14.4" x14ac:dyDescent="0.3">
      <c r="A3138" s="8">
        <v>82187930</v>
      </c>
      <c r="B3138" s="11">
        <v>44763</v>
      </c>
      <c r="C3138" s="13" t="s">
        <v>4191</v>
      </c>
      <c r="D3138" s="13" t="s">
        <v>4192</v>
      </c>
      <c r="E3138" s="8">
        <v>13964.55</v>
      </c>
      <c r="F3138" s="13" t="s">
        <v>70</v>
      </c>
      <c r="G3138" s="14">
        <v>44818</v>
      </c>
      <c r="H3138" s="13" t="s">
        <v>9</v>
      </c>
    </row>
    <row r="3139" spans="1:8" ht="14.4" x14ac:dyDescent="0.3">
      <c r="A3139" s="8">
        <v>82187931</v>
      </c>
      <c r="B3139" s="11">
        <v>44763</v>
      </c>
      <c r="C3139" s="13" t="s">
        <v>193</v>
      </c>
      <c r="D3139" s="13" t="s">
        <v>4193</v>
      </c>
      <c r="E3139" s="8">
        <v>8517.85</v>
      </c>
      <c r="F3139" s="13" t="s">
        <v>70</v>
      </c>
      <c r="G3139" s="14">
        <v>44768</v>
      </c>
      <c r="H3139" s="13" t="s">
        <v>9</v>
      </c>
    </row>
    <row r="3140" spans="1:8" ht="14.4" x14ac:dyDescent="0.3">
      <c r="A3140" s="8">
        <v>82187932</v>
      </c>
      <c r="B3140" s="11">
        <v>44763</v>
      </c>
      <c r="C3140" s="13" t="s">
        <v>1941</v>
      </c>
      <c r="D3140" s="13" t="s">
        <v>4194</v>
      </c>
      <c r="E3140" s="8">
        <v>20119.38</v>
      </c>
      <c r="F3140" s="13" t="s">
        <v>70</v>
      </c>
      <c r="G3140" s="14">
        <v>44767</v>
      </c>
      <c r="H3140" s="13" t="s">
        <v>9</v>
      </c>
    </row>
    <row r="3141" spans="1:8" ht="14.4" x14ac:dyDescent="0.3">
      <c r="A3141" s="8">
        <v>82187933</v>
      </c>
      <c r="B3141" s="11">
        <v>44763</v>
      </c>
      <c r="C3141" s="13" t="s">
        <v>405</v>
      </c>
      <c r="D3141" s="13" t="s">
        <v>4195</v>
      </c>
      <c r="E3141" s="8">
        <v>17044.669999999998</v>
      </c>
      <c r="F3141" s="13" t="s">
        <v>70</v>
      </c>
      <c r="G3141" s="14">
        <v>44767</v>
      </c>
      <c r="H3141" s="13" t="s">
        <v>9</v>
      </c>
    </row>
    <row r="3142" spans="1:8" ht="14.4" x14ac:dyDescent="0.3">
      <c r="A3142" s="8">
        <v>82187934</v>
      </c>
      <c r="B3142" s="11">
        <v>44763</v>
      </c>
      <c r="C3142" s="13" t="s">
        <v>405</v>
      </c>
      <c r="D3142" s="13" t="s">
        <v>4196</v>
      </c>
      <c r="E3142" s="8">
        <v>13548.15</v>
      </c>
      <c r="F3142" s="13" t="s">
        <v>70</v>
      </c>
      <c r="G3142" s="14">
        <v>44767</v>
      </c>
      <c r="H3142" s="13" t="s">
        <v>9</v>
      </c>
    </row>
    <row r="3143" spans="1:8" ht="14.4" x14ac:dyDescent="0.3">
      <c r="A3143" s="8">
        <v>82187935</v>
      </c>
      <c r="B3143" s="11">
        <v>44763</v>
      </c>
      <c r="C3143" s="13" t="s">
        <v>405</v>
      </c>
      <c r="D3143" s="13" t="s">
        <v>4197</v>
      </c>
      <c r="E3143" s="8">
        <v>39865.019999999997</v>
      </c>
      <c r="F3143" s="13" t="s">
        <v>70</v>
      </c>
      <c r="G3143" s="14">
        <v>44767</v>
      </c>
      <c r="H3143" s="13" t="s">
        <v>9</v>
      </c>
    </row>
    <row r="3144" spans="1:8" ht="14.4" x14ac:dyDescent="0.3">
      <c r="A3144" s="8">
        <v>82187936</v>
      </c>
      <c r="B3144" s="11">
        <v>44763</v>
      </c>
      <c r="C3144" s="13" t="s">
        <v>3174</v>
      </c>
      <c r="D3144" s="13" t="s">
        <v>4198</v>
      </c>
      <c r="E3144" s="8">
        <v>17794</v>
      </c>
      <c r="F3144" s="13" t="s">
        <v>70</v>
      </c>
      <c r="G3144" s="14">
        <v>44767</v>
      </c>
      <c r="H3144" s="13" t="s">
        <v>9</v>
      </c>
    </row>
    <row r="3145" spans="1:8" ht="14.4" x14ac:dyDescent="0.3">
      <c r="A3145" s="8">
        <v>82187937</v>
      </c>
      <c r="B3145" s="11">
        <v>44763</v>
      </c>
      <c r="C3145" s="13" t="s">
        <v>2711</v>
      </c>
      <c r="D3145" s="13" t="s">
        <v>4199</v>
      </c>
      <c r="E3145" s="8">
        <v>41737.5</v>
      </c>
      <c r="F3145" s="13" t="s">
        <v>70</v>
      </c>
      <c r="G3145" s="14">
        <v>44767</v>
      </c>
      <c r="H3145" s="13" t="s">
        <v>9</v>
      </c>
    </row>
    <row r="3146" spans="1:8" ht="14.4" x14ac:dyDescent="0.3">
      <c r="A3146" s="8">
        <v>82187938</v>
      </c>
      <c r="B3146" s="11">
        <v>44763</v>
      </c>
      <c r="C3146" s="13" t="s">
        <v>2438</v>
      </c>
      <c r="D3146" s="13" t="s">
        <v>4200</v>
      </c>
      <c r="E3146" s="8">
        <v>6397.85</v>
      </c>
      <c r="F3146" s="13" t="s">
        <v>70</v>
      </c>
      <c r="G3146" s="14">
        <v>44783</v>
      </c>
      <c r="H3146" s="13" t="s">
        <v>9</v>
      </c>
    </row>
    <row r="3147" spans="1:8" ht="14.4" x14ac:dyDescent="0.3">
      <c r="A3147" s="8">
        <v>82187939</v>
      </c>
      <c r="B3147" s="11">
        <v>44763</v>
      </c>
      <c r="C3147" s="13" t="s">
        <v>1784</v>
      </c>
      <c r="D3147" s="13" t="s">
        <v>3181</v>
      </c>
      <c r="E3147" s="8">
        <v>20000</v>
      </c>
      <c r="F3147" s="13" t="s">
        <v>70</v>
      </c>
      <c r="G3147" s="14">
        <v>44769</v>
      </c>
      <c r="H3147" s="13" t="s">
        <v>9</v>
      </c>
    </row>
    <row r="3148" spans="1:8" ht="14.4" x14ac:dyDescent="0.3">
      <c r="A3148" s="8">
        <v>82187940</v>
      </c>
      <c r="B3148" s="11">
        <v>44763</v>
      </c>
      <c r="C3148" s="13" t="s">
        <v>3210</v>
      </c>
      <c r="D3148" s="13" t="s">
        <v>4201</v>
      </c>
      <c r="E3148" s="8">
        <v>20821.43</v>
      </c>
      <c r="F3148" s="13" t="s">
        <v>70</v>
      </c>
      <c r="G3148" s="14">
        <v>44768</v>
      </c>
      <c r="H3148" s="13" t="s">
        <v>9</v>
      </c>
    </row>
    <row r="3149" spans="1:8" ht="14.4" x14ac:dyDescent="0.3">
      <c r="A3149" s="8">
        <v>82187941</v>
      </c>
      <c r="B3149" s="11">
        <v>44763</v>
      </c>
      <c r="C3149" s="13" t="s">
        <v>3210</v>
      </c>
      <c r="D3149" s="13" t="s">
        <v>4202</v>
      </c>
      <c r="E3149" s="8">
        <v>2484.37</v>
      </c>
      <c r="F3149" s="13" t="s">
        <v>70</v>
      </c>
      <c r="G3149" s="14">
        <v>44768</v>
      </c>
      <c r="H3149" s="13" t="s">
        <v>9</v>
      </c>
    </row>
    <row r="3150" spans="1:8" ht="14.4" x14ac:dyDescent="0.3">
      <c r="A3150" s="8">
        <v>82187942</v>
      </c>
      <c r="B3150" s="11">
        <v>44763</v>
      </c>
      <c r="C3150" s="13" t="s">
        <v>2080</v>
      </c>
      <c r="D3150" s="13" t="s">
        <v>4203</v>
      </c>
      <c r="E3150" s="8">
        <v>45570</v>
      </c>
      <c r="F3150" s="13" t="s">
        <v>70</v>
      </c>
      <c r="G3150" s="14">
        <v>44769</v>
      </c>
      <c r="H3150" s="13" t="s">
        <v>9</v>
      </c>
    </row>
    <row r="3151" spans="1:8" ht="14.4" x14ac:dyDescent="0.3">
      <c r="A3151" s="8">
        <v>82187943</v>
      </c>
      <c r="B3151" s="11">
        <v>44763</v>
      </c>
      <c r="C3151" s="13" t="s">
        <v>1941</v>
      </c>
      <c r="D3151" s="13" t="s">
        <v>4204</v>
      </c>
      <c r="E3151" s="8">
        <v>8044.65</v>
      </c>
      <c r="F3151" s="13" t="s">
        <v>70</v>
      </c>
      <c r="G3151" s="14">
        <v>44767</v>
      </c>
      <c r="H3151" s="13" t="s">
        <v>9</v>
      </c>
    </row>
    <row r="3152" spans="1:8" ht="14.4" x14ac:dyDescent="0.3">
      <c r="A3152" s="8">
        <v>82187944</v>
      </c>
      <c r="B3152" s="11">
        <v>44763</v>
      </c>
      <c r="C3152" s="13" t="s">
        <v>4205</v>
      </c>
      <c r="D3152" s="13" t="s">
        <v>4206</v>
      </c>
      <c r="E3152" s="8">
        <v>8036</v>
      </c>
      <c r="F3152" s="13" t="s">
        <v>70</v>
      </c>
      <c r="G3152" s="14">
        <v>44795</v>
      </c>
      <c r="H3152" s="13" t="s">
        <v>9</v>
      </c>
    </row>
    <row r="3153" spans="1:8" ht="14.4" x14ac:dyDescent="0.3">
      <c r="A3153" s="8">
        <v>82187945</v>
      </c>
      <c r="B3153" s="11">
        <v>44763</v>
      </c>
      <c r="C3153" s="13" t="s">
        <v>202</v>
      </c>
      <c r="D3153" s="13" t="s">
        <v>4207</v>
      </c>
      <c r="E3153" s="8">
        <v>18715.63</v>
      </c>
      <c r="F3153" s="13" t="s">
        <v>70</v>
      </c>
      <c r="G3153" s="14">
        <v>44770</v>
      </c>
      <c r="H3153" s="13" t="s">
        <v>9</v>
      </c>
    </row>
    <row r="3154" spans="1:8" ht="14.4" x14ac:dyDescent="0.3">
      <c r="A3154" s="8">
        <v>82187946</v>
      </c>
      <c r="B3154" s="11">
        <v>44763</v>
      </c>
      <c r="C3154" s="13" t="s">
        <v>405</v>
      </c>
      <c r="D3154" s="13" t="s">
        <v>4208</v>
      </c>
      <c r="E3154" s="8">
        <v>15169.17</v>
      </c>
      <c r="F3154" s="13" t="s">
        <v>70</v>
      </c>
      <c r="G3154" s="14">
        <v>44767</v>
      </c>
      <c r="H3154" s="13" t="s">
        <v>9</v>
      </c>
    </row>
    <row r="3155" spans="1:8" ht="14.4" x14ac:dyDescent="0.3">
      <c r="A3155" s="8">
        <v>82187947</v>
      </c>
      <c r="B3155" s="11">
        <v>44763</v>
      </c>
      <c r="C3155" s="13" t="s">
        <v>202</v>
      </c>
      <c r="D3155" s="13" t="s">
        <v>4209</v>
      </c>
      <c r="E3155" s="8">
        <v>46375</v>
      </c>
      <c r="F3155" s="13" t="s">
        <v>70</v>
      </c>
      <c r="G3155" s="14">
        <v>44770</v>
      </c>
      <c r="H3155" s="13" t="s">
        <v>9</v>
      </c>
    </row>
    <row r="3156" spans="1:8" ht="14.4" x14ac:dyDescent="0.3">
      <c r="A3156" s="8">
        <v>82187948</v>
      </c>
      <c r="B3156" s="11">
        <v>44763</v>
      </c>
      <c r="C3156" s="13" t="s">
        <v>1524</v>
      </c>
      <c r="D3156" s="13" t="s">
        <v>4210</v>
      </c>
      <c r="E3156" s="8">
        <v>35775</v>
      </c>
      <c r="F3156" s="13" t="s">
        <v>70</v>
      </c>
      <c r="G3156" s="14">
        <v>44770</v>
      </c>
      <c r="H3156" s="13" t="s">
        <v>9</v>
      </c>
    </row>
    <row r="3157" spans="1:8" ht="14.4" x14ac:dyDescent="0.3">
      <c r="A3157" s="8">
        <v>82187949</v>
      </c>
      <c r="B3157" s="11">
        <v>44763</v>
      </c>
      <c r="C3157" s="13" t="s">
        <v>4211</v>
      </c>
      <c r="D3157" s="13" t="s">
        <v>4212</v>
      </c>
      <c r="E3157" s="8">
        <v>4687.5</v>
      </c>
      <c r="F3157" s="13" t="s">
        <v>70</v>
      </c>
      <c r="G3157" s="14">
        <v>44774</v>
      </c>
      <c r="H3157" s="13" t="s">
        <v>9</v>
      </c>
    </row>
    <row r="3158" spans="1:8" ht="14.4" x14ac:dyDescent="0.3">
      <c r="A3158" s="8">
        <v>82187950</v>
      </c>
      <c r="B3158" s="11">
        <v>44763</v>
      </c>
      <c r="C3158" s="13" t="s">
        <v>2711</v>
      </c>
      <c r="D3158" s="13" t="s">
        <v>4213</v>
      </c>
      <c r="E3158" s="8">
        <v>17035.72</v>
      </c>
      <c r="F3158" s="13" t="s">
        <v>70</v>
      </c>
      <c r="G3158" s="14">
        <v>44767</v>
      </c>
      <c r="H3158" s="13" t="s">
        <v>9</v>
      </c>
    </row>
    <row r="3159" spans="1:8" ht="14.4" x14ac:dyDescent="0.3">
      <c r="A3159" s="8">
        <v>82187951</v>
      </c>
      <c r="B3159" s="11">
        <v>44763</v>
      </c>
      <c r="C3159" s="13" t="s">
        <v>405</v>
      </c>
      <c r="D3159" s="13" t="s">
        <v>4214</v>
      </c>
      <c r="E3159" s="8">
        <v>25595.27</v>
      </c>
      <c r="F3159" s="13" t="s">
        <v>70</v>
      </c>
      <c r="G3159" s="14">
        <v>44767</v>
      </c>
      <c r="H3159" s="13" t="s">
        <v>9</v>
      </c>
    </row>
    <row r="3160" spans="1:8" ht="14.4" x14ac:dyDescent="0.3">
      <c r="A3160" s="8">
        <v>82187952</v>
      </c>
      <c r="B3160" s="11">
        <v>44763</v>
      </c>
      <c r="C3160" s="13" t="s">
        <v>2711</v>
      </c>
      <c r="D3160" s="13" t="s">
        <v>4215</v>
      </c>
      <c r="E3160" s="8">
        <v>2366.0700000000002</v>
      </c>
      <c r="F3160" s="13" t="s">
        <v>70</v>
      </c>
      <c r="G3160" s="14">
        <v>44767</v>
      </c>
      <c r="H3160" s="13" t="s">
        <v>9</v>
      </c>
    </row>
    <row r="3161" spans="1:8" ht="14.4" x14ac:dyDescent="0.3">
      <c r="A3161" s="8">
        <v>82187953</v>
      </c>
      <c r="B3161" s="11">
        <v>44763</v>
      </c>
      <c r="C3161" s="13" t="s">
        <v>2074</v>
      </c>
      <c r="D3161" s="13" t="s">
        <v>4216</v>
      </c>
      <c r="E3161" s="8">
        <v>1247.3900000000001</v>
      </c>
      <c r="F3161" s="13" t="s">
        <v>70</v>
      </c>
      <c r="G3161" s="14">
        <v>44777</v>
      </c>
      <c r="H3161" s="13" t="s">
        <v>9</v>
      </c>
    </row>
    <row r="3162" spans="1:8" ht="14.4" x14ac:dyDescent="0.3">
      <c r="A3162" s="8">
        <v>82187954</v>
      </c>
      <c r="B3162" s="11">
        <v>44763</v>
      </c>
      <c r="C3162" s="13" t="s">
        <v>1946</v>
      </c>
      <c r="D3162" s="13" t="s">
        <v>4217</v>
      </c>
      <c r="E3162" s="8">
        <v>18550</v>
      </c>
      <c r="F3162" s="13" t="s">
        <v>70</v>
      </c>
      <c r="G3162" s="14">
        <v>44770</v>
      </c>
      <c r="H3162" s="13" t="s">
        <v>9</v>
      </c>
    </row>
    <row r="3163" spans="1:8" ht="14.4" x14ac:dyDescent="0.3">
      <c r="A3163" s="8">
        <v>82187955</v>
      </c>
      <c r="B3163" s="11">
        <v>44763</v>
      </c>
      <c r="C3163" s="13" t="s">
        <v>3444</v>
      </c>
      <c r="D3163" s="13" t="s">
        <v>4218</v>
      </c>
      <c r="E3163" s="8">
        <v>1455</v>
      </c>
      <c r="F3163" s="13" t="s">
        <v>70</v>
      </c>
      <c r="G3163" s="14">
        <v>44767</v>
      </c>
      <c r="H3163" s="13" t="s">
        <v>9</v>
      </c>
    </row>
    <row r="3164" spans="1:8" ht="14.4" x14ac:dyDescent="0.3">
      <c r="A3164" s="8">
        <v>82187956</v>
      </c>
      <c r="B3164" s="11">
        <v>44763</v>
      </c>
      <c r="C3164" s="13" t="s">
        <v>180</v>
      </c>
      <c r="D3164" s="13" t="s">
        <v>4219</v>
      </c>
      <c r="E3164" s="8">
        <v>18705.45</v>
      </c>
      <c r="F3164" s="13" t="s">
        <v>70</v>
      </c>
      <c r="G3164" s="14">
        <v>44768</v>
      </c>
      <c r="H3164" s="13" t="s">
        <v>9</v>
      </c>
    </row>
    <row r="3165" spans="1:8" ht="14.4" x14ac:dyDescent="0.3">
      <c r="A3165" s="8">
        <v>82187957</v>
      </c>
      <c r="B3165" s="11">
        <v>44763</v>
      </c>
      <c r="C3165" s="13" t="s">
        <v>4220</v>
      </c>
      <c r="D3165" s="13" t="s">
        <v>4221</v>
      </c>
      <c r="E3165" s="8">
        <v>34042.97</v>
      </c>
      <c r="F3165" s="13" t="s">
        <v>70</v>
      </c>
      <c r="G3165" s="14">
        <v>44767</v>
      </c>
      <c r="H3165" s="13" t="s">
        <v>9</v>
      </c>
    </row>
    <row r="3166" spans="1:8" ht="14.4" x14ac:dyDescent="0.3">
      <c r="A3166" s="8">
        <v>82187958</v>
      </c>
      <c r="B3166" s="11">
        <v>44763</v>
      </c>
      <c r="C3166" s="13" t="s">
        <v>4222</v>
      </c>
      <c r="D3166" s="13" t="s">
        <v>4223</v>
      </c>
      <c r="E3166" s="8">
        <v>6482</v>
      </c>
      <c r="F3166" s="13" t="s">
        <v>70</v>
      </c>
      <c r="G3166" s="14">
        <v>44788</v>
      </c>
      <c r="H3166" s="13" t="s">
        <v>9</v>
      </c>
    </row>
    <row r="3167" spans="1:8" ht="14.4" x14ac:dyDescent="0.3">
      <c r="A3167" s="8">
        <v>82187959</v>
      </c>
      <c r="B3167" s="11">
        <v>44763</v>
      </c>
      <c r="C3167" s="13" t="s">
        <v>4224</v>
      </c>
      <c r="D3167" s="13" t="s">
        <v>4225</v>
      </c>
      <c r="E3167" s="8">
        <v>14603.39</v>
      </c>
      <c r="F3167" s="13" t="s">
        <v>70</v>
      </c>
      <c r="G3167" s="14">
        <v>44770</v>
      </c>
      <c r="H3167" s="13" t="s">
        <v>9</v>
      </c>
    </row>
    <row r="3168" spans="1:8" ht="14.4" x14ac:dyDescent="0.3">
      <c r="A3168" s="8">
        <v>82187960</v>
      </c>
      <c r="B3168" s="11">
        <v>44763</v>
      </c>
      <c r="C3168" s="13" t="s">
        <v>151</v>
      </c>
      <c r="D3168" s="13" t="s">
        <v>4226</v>
      </c>
      <c r="E3168" s="8">
        <v>12201</v>
      </c>
      <c r="F3168" s="13" t="s">
        <v>70</v>
      </c>
      <c r="G3168" s="14">
        <v>44771</v>
      </c>
      <c r="H3168" s="13" t="s">
        <v>9</v>
      </c>
    </row>
    <row r="3169" spans="1:8" ht="14.4" x14ac:dyDescent="0.3">
      <c r="A3169" s="8">
        <v>82187961</v>
      </c>
      <c r="B3169" s="11">
        <v>44763</v>
      </c>
      <c r="C3169" s="13" t="s">
        <v>4227</v>
      </c>
      <c r="D3169" s="13" t="s">
        <v>4228</v>
      </c>
      <c r="E3169" s="8">
        <v>45000</v>
      </c>
      <c r="F3169" s="13" t="s">
        <v>70</v>
      </c>
      <c r="G3169" s="14">
        <v>44768</v>
      </c>
      <c r="H3169" s="13" t="s">
        <v>9</v>
      </c>
    </row>
    <row r="3170" spans="1:8" ht="14.4" x14ac:dyDescent="0.3">
      <c r="A3170" s="8">
        <v>82187962</v>
      </c>
      <c r="B3170" s="11">
        <v>44763</v>
      </c>
      <c r="C3170" s="13" t="s">
        <v>4229</v>
      </c>
      <c r="D3170" s="13" t="s">
        <v>4230</v>
      </c>
      <c r="E3170" s="8">
        <v>8000</v>
      </c>
      <c r="F3170" s="13" t="s">
        <v>70</v>
      </c>
      <c r="G3170" s="14">
        <v>44768</v>
      </c>
      <c r="H3170" s="13" t="s">
        <v>9</v>
      </c>
    </row>
    <row r="3171" spans="1:8" ht="14.4" x14ac:dyDescent="0.3">
      <c r="A3171" s="8">
        <v>82187963</v>
      </c>
      <c r="B3171" s="11">
        <v>44763</v>
      </c>
      <c r="C3171" s="13" t="s">
        <v>4231</v>
      </c>
      <c r="D3171" s="13" t="s">
        <v>4232</v>
      </c>
      <c r="E3171" s="8">
        <v>15000</v>
      </c>
      <c r="F3171" s="13" t="s">
        <v>70</v>
      </c>
      <c r="G3171" s="14">
        <v>44784</v>
      </c>
      <c r="H3171" s="13" t="s">
        <v>9</v>
      </c>
    </row>
    <row r="3172" spans="1:8" ht="14.4" x14ac:dyDescent="0.3">
      <c r="A3172" s="8">
        <v>82187964</v>
      </c>
      <c r="B3172" s="11">
        <v>44763</v>
      </c>
      <c r="C3172" s="13" t="s">
        <v>4233</v>
      </c>
      <c r="D3172" s="13" t="s">
        <v>4234</v>
      </c>
      <c r="E3172" s="8">
        <v>23000</v>
      </c>
      <c r="F3172" s="13" t="s">
        <v>70</v>
      </c>
      <c r="G3172" s="14">
        <v>44774</v>
      </c>
      <c r="H3172" s="13" t="s">
        <v>9</v>
      </c>
    </row>
    <row r="3173" spans="1:8" ht="14.4" x14ac:dyDescent="0.3">
      <c r="A3173" s="8">
        <v>82187965</v>
      </c>
      <c r="B3173" s="11">
        <v>44763</v>
      </c>
      <c r="C3173" s="13" t="s">
        <v>4235</v>
      </c>
      <c r="D3173" s="13" t="s">
        <v>4236</v>
      </c>
      <c r="E3173" s="8">
        <v>10000</v>
      </c>
      <c r="F3173" s="13" t="s">
        <v>70</v>
      </c>
      <c r="G3173" s="14">
        <v>44768</v>
      </c>
      <c r="H3173" s="13" t="s">
        <v>9</v>
      </c>
    </row>
    <row r="3174" spans="1:8" ht="14.4" x14ac:dyDescent="0.3">
      <c r="A3174" s="8">
        <v>82187966</v>
      </c>
      <c r="B3174" s="11">
        <v>44763</v>
      </c>
      <c r="C3174" s="13" t="s">
        <v>4237</v>
      </c>
      <c r="D3174" s="13" t="s">
        <v>4238</v>
      </c>
      <c r="E3174" s="8">
        <v>12000</v>
      </c>
      <c r="F3174" s="13" t="s">
        <v>70</v>
      </c>
      <c r="G3174" s="14">
        <v>44769</v>
      </c>
      <c r="H3174" s="13" t="s">
        <v>9</v>
      </c>
    </row>
    <row r="3175" spans="1:8" ht="14.4" x14ac:dyDescent="0.3">
      <c r="A3175" s="8">
        <v>82187967</v>
      </c>
      <c r="B3175" s="11">
        <v>44763</v>
      </c>
      <c r="C3175" s="13" t="s">
        <v>4239</v>
      </c>
      <c r="D3175" s="13" t="s">
        <v>4240</v>
      </c>
      <c r="E3175" s="8">
        <v>17000</v>
      </c>
      <c r="F3175" s="13" t="s">
        <v>70</v>
      </c>
      <c r="G3175" s="14">
        <v>44774</v>
      </c>
      <c r="H3175" s="13" t="s">
        <v>9</v>
      </c>
    </row>
    <row r="3176" spans="1:8" ht="14.4" x14ac:dyDescent="0.3">
      <c r="A3176" s="8">
        <v>82187968</v>
      </c>
      <c r="B3176" s="11">
        <v>44763</v>
      </c>
      <c r="C3176" s="13" t="s">
        <v>4241</v>
      </c>
      <c r="D3176" s="13" t="s">
        <v>4242</v>
      </c>
      <c r="E3176" s="8">
        <v>8000</v>
      </c>
      <c r="F3176" s="13" t="s">
        <v>70</v>
      </c>
      <c r="G3176" s="14">
        <v>44768</v>
      </c>
      <c r="H3176" s="13" t="s">
        <v>9</v>
      </c>
    </row>
    <row r="3177" spans="1:8" ht="14.4" x14ac:dyDescent="0.3">
      <c r="A3177" s="8">
        <v>82187969</v>
      </c>
      <c r="B3177" s="11">
        <v>44763</v>
      </c>
      <c r="C3177" s="13" t="s">
        <v>4243</v>
      </c>
      <c r="D3177" s="13" t="s">
        <v>4244</v>
      </c>
      <c r="E3177" s="8">
        <v>10000</v>
      </c>
      <c r="F3177" s="13" t="s">
        <v>70</v>
      </c>
      <c r="G3177" s="14">
        <v>44768</v>
      </c>
      <c r="H3177" s="13" t="s">
        <v>9</v>
      </c>
    </row>
    <row r="3178" spans="1:8" ht="14.4" x14ac:dyDescent="0.3">
      <c r="A3178" s="8">
        <v>82187970</v>
      </c>
      <c r="B3178" s="11">
        <v>44763</v>
      </c>
      <c r="C3178" s="13" t="s">
        <v>123</v>
      </c>
      <c r="D3178" s="13" t="s">
        <v>4245</v>
      </c>
      <c r="E3178" s="8">
        <v>10000</v>
      </c>
      <c r="F3178" s="13" t="s">
        <v>70</v>
      </c>
      <c r="G3178" s="14">
        <v>44769</v>
      </c>
      <c r="H3178" s="13" t="s">
        <v>9</v>
      </c>
    </row>
    <row r="3179" spans="1:8" ht="14.4" x14ac:dyDescent="0.3">
      <c r="A3179" s="8">
        <v>82187971</v>
      </c>
      <c r="B3179" s="11">
        <v>44763</v>
      </c>
      <c r="C3179" s="13" t="s">
        <v>4246</v>
      </c>
      <c r="D3179" s="13" t="s">
        <v>4247</v>
      </c>
      <c r="E3179" s="8">
        <v>10000</v>
      </c>
      <c r="F3179" s="13" t="s">
        <v>70</v>
      </c>
      <c r="G3179" s="14">
        <v>44769</v>
      </c>
      <c r="H3179" s="13" t="s">
        <v>9</v>
      </c>
    </row>
    <row r="3180" spans="1:8" ht="14.4" x14ac:dyDescent="0.3">
      <c r="A3180" s="8">
        <v>82187972</v>
      </c>
      <c r="B3180" s="11">
        <v>44763</v>
      </c>
      <c r="C3180" s="13" t="s">
        <v>4248</v>
      </c>
      <c r="D3180" s="13" t="s">
        <v>4249</v>
      </c>
      <c r="E3180" s="8">
        <v>30000</v>
      </c>
      <c r="F3180" s="13" t="s">
        <v>70</v>
      </c>
      <c r="G3180" s="14">
        <v>44768</v>
      </c>
      <c r="H3180" s="13" t="s">
        <v>9</v>
      </c>
    </row>
    <row r="3181" spans="1:8" ht="14.4" x14ac:dyDescent="0.3">
      <c r="A3181" s="8">
        <v>82187973</v>
      </c>
      <c r="B3181" s="11">
        <v>44763</v>
      </c>
      <c r="C3181" s="13" t="s">
        <v>4250</v>
      </c>
      <c r="D3181" s="13" t="s">
        <v>4251</v>
      </c>
      <c r="E3181" s="8">
        <v>21000</v>
      </c>
      <c r="F3181" s="13" t="s">
        <v>70</v>
      </c>
      <c r="G3181" s="14">
        <v>44768</v>
      </c>
      <c r="H3181" s="13" t="s">
        <v>9</v>
      </c>
    </row>
    <row r="3182" spans="1:8" ht="14.4" x14ac:dyDescent="0.3">
      <c r="A3182" s="8">
        <v>82187974</v>
      </c>
      <c r="B3182" s="11">
        <v>44763</v>
      </c>
      <c r="C3182" s="13" t="s">
        <v>4252</v>
      </c>
      <c r="D3182" s="13" t="s">
        <v>4253</v>
      </c>
      <c r="E3182" s="8">
        <v>12000</v>
      </c>
      <c r="F3182" s="13" t="s">
        <v>70</v>
      </c>
      <c r="G3182" s="14">
        <v>44768</v>
      </c>
      <c r="H3182" s="13" t="s">
        <v>9</v>
      </c>
    </row>
    <row r="3183" spans="1:8" ht="14.4" x14ac:dyDescent="0.3">
      <c r="A3183" s="8">
        <v>82187976</v>
      </c>
      <c r="B3183" s="11">
        <v>44763</v>
      </c>
      <c r="C3183" s="13" t="s">
        <v>4254</v>
      </c>
      <c r="D3183" s="13" t="s">
        <v>4255</v>
      </c>
      <c r="E3183" s="8">
        <v>10000</v>
      </c>
      <c r="F3183" s="13" t="s">
        <v>70</v>
      </c>
      <c r="G3183" s="14">
        <v>44768</v>
      </c>
      <c r="H3183" s="13" t="s">
        <v>9</v>
      </c>
    </row>
    <row r="3184" spans="1:8" ht="14.4" x14ac:dyDescent="0.3">
      <c r="A3184" s="8">
        <v>82187977</v>
      </c>
      <c r="B3184" s="11">
        <v>44763</v>
      </c>
      <c r="C3184" s="13" t="s">
        <v>4256</v>
      </c>
      <c r="D3184" s="13" t="s">
        <v>4257</v>
      </c>
      <c r="E3184" s="8">
        <v>9000</v>
      </c>
      <c r="F3184" s="13" t="s">
        <v>70</v>
      </c>
      <c r="G3184" s="14">
        <v>44769</v>
      </c>
      <c r="H3184" s="13" t="s">
        <v>9</v>
      </c>
    </row>
    <row r="3185" spans="1:8" ht="14.4" x14ac:dyDescent="0.3">
      <c r="A3185" s="8">
        <v>82187978</v>
      </c>
      <c r="B3185" s="11">
        <v>44763</v>
      </c>
      <c r="C3185" s="13" t="s">
        <v>4258</v>
      </c>
      <c r="D3185" s="13" t="s">
        <v>4259</v>
      </c>
      <c r="E3185" s="8">
        <v>50000</v>
      </c>
      <c r="F3185" s="13" t="s">
        <v>70</v>
      </c>
      <c r="G3185" s="14">
        <v>44768</v>
      </c>
      <c r="H3185" s="13" t="s">
        <v>9</v>
      </c>
    </row>
    <row r="3186" spans="1:8" ht="14.4" x14ac:dyDescent="0.3">
      <c r="A3186" s="8">
        <v>82187979</v>
      </c>
      <c r="B3186" s="11">
        <v>44763</v>
      </c>
      <c r="C3186" s="13" t="s">
        <v>4260</v>
      </c>
      <c r="D3186" s="13" t="s">
        <v>4261</v>
      </c>
      <c r="E3186" s="8">
        <v>20000</v>
      </c>
      <c r="F3186" s="13" t="s">
        <v>70</v>
      </c>
      <c r="G3186" s="14">
        <v>44769</v>
      </c>
      <c r="H3186" s="13" t="s">
        <v>9</v>
      </c>
    </row>
    <row r="3187" spans="1:8" ht="14.4" x14ac:dyDescent="0.3">
      <c r="A3187" s="8">
        <v>82187980</v>
      </c>
      <c r="B3187" s="11">
        <v>44763</v>
      </c>
      <c r="C3187" s="13" t="s">
        <v>4262</v>
      </c>
      <c r="D3187" s="13" t="s">
        <v>4263</v>
      </c>
      <c r="E3187" s="8">
        <v>11000</v>
      </c>
      <c r="F3187" s="13" t="s">
        <v>70</v>
      </c>
      <c r="G3187" s="14">
        <v>44764</v>
      </c>
      <c r="H3187" s="13" t="s">
        <v>9</v>
      </c>
    </row>
    <row r="3188" spans="1:8" ht="14.4" x14ac:dyDescent="0.3">
      <c r="A3188" s="8">
        <v>82187981</v>
      </c>
      <c r="B3188" s="11">
        <v>44763</v>
      </c>
      <c r="C3188" s="13" t="s">
        <v>4264</v>
      </c>
      <c r="D3188" s="13" t="s">
        <v>4265</v>
      </c>
      <c r="E3188" s="8">
        <v>6000</v>
      </c>
      <c r="F3188" s="13" t="s">
        <v>70</v>
      </c>
      <c r="G3188" s="14">
        <v>44768</v>
      </c>
      <c r="H3188" s="13" t="s">
        <v>9</v>
      </c>
    </row>
    <row r="3189" spans="1:8" ht="14.4" x14ac:dyDescent="0.3">
      <c r="A3189" s="8">
        <v>82187982</v>
      </c>
      <c r="B3189" s="11">
        <v>44763</v>
      </c>
      <c r="C3189" s="13" t="s">
        <v>4266</v>
      </c>
      <c r="D3189" s="13" t="s">
        <v>4267</v>
      </c>
      <c r="E3189" s="8">
        <v>7000</v>
      </c>
      <c r="F3189" s="13" t="s">
        <v>70</v>
      </c>
      <c r="G3189" s="14">
        <v>44764</v>
      </c>
      <c r="H3189" s="13" t="s">
        <v>9</v>
      </c>
    </row>
    <row r="3190" spans="1:8" ht="14.4" x14ac:dyDescent="0.3">
      <c r="A3190" s="8">
        <v>82187983</v>
      </c>
      <c r="B3190" s="11">
        <v>44763</v>
      </c>
      <c r="C3190" s="13" t="s">
        <v>275</v>
      </c>
      <c r="D3190" s="13" t="s">
        <v>4268</v>
      </c>
      <c r="E3190" s="8">
        <v>286664.2</v>
      </c>
      <c r="F3190" s="13" t="s">
        <v>70</v>
      </c>
      <c r="G3190" s="14">
        <v>44764</v>
      </c>
      <c r="H3190" s="13" t="s">
        <v>9</v>
      </c>
    </row>
    <row r="3191" spans="1:8" ht="14.4" x14ac:dyDescent="0.3">
      <c r="A3191" s="8">
        <v>82187984</v>
      </c>
      <c r="B3191" s="11">
        <v>44763</v>
      </c>
      <c r="C3191" s="13" t="s">
        <v>4269</v>
      </c>
      <c r="D3191" s="13" t="s">
        <v>4270</v>
      </c>
      <c r="E3191" s="8">
        <v>10000</v>
      </c>
      <c r="F3191" s="13" t="s">
        <v>70</v>
      </c>
      <c r="G3191" s="14">
        <v>44764</v>
      </c>
      <c r="H3191" s="13" t="s">
        <v>9</v>
      </c>
    </row>
    <row r="3192" spans="1:8" ht="14.4" x14ac:dyDescent="0.3">
      <c r="A3192" s="8">
        <v>82187985</v>
      </c>
      <c r="B3192" s="11">
        <v>44763</v>
      </c>
      <c r="C3192" s="13" t="s">
        <v>4271</v>
      </c>
      <c r="D3192" s="13" t="s">
        <v>4272</v>
      </c>
      <c r="E3192" s="8">
        <v>50000</v>
      </c>
      <c r="F3192" s="13" t="s">
        <v>70</v>
      </c>
      <c r="G3192" s="14">
        <v>44768</v>
      </c>
      <c r="H3192" s="13" t="s">
        <v>9</v>
      </c>
    </row>
    <row r="3193" spans="1:8" ht="14.4" x14ac:dyDescent="0.3">
      <c r="A3193" s="8">
        <v>82187986</v>
      </c>
      <c r="B3193" s="11">
        <v>44763</v>
      </c>
      <c r="C3193" s="13" t="s">
        <v>4273</v>
      </c>
      <c r="D3193" s="13" t="s">
        <v>4274</v>
      </c>
      <c r="E3193" s="8">
        <v>9000</v>
      </c>
      <c r="F3193" s="13" t="s">
        <v>70</v>
      </c>
      <c r="G3193" s="14">
        <v>44769</v>
      </c>
      <c r="H3193" s="13" t="s">
        <v>9</v>
      </c>
    </row>
    <row r="3194" spans="1:8" ht="14.4" x14ac:dyDescent="0.3">
      <c r="A3194" s="8">
        <v>82187987</v>
      </c>
      <c r="B3194" s="11">
        <v>44763</v>
      </c>
      <c r="C3194" s="13" t="s">
        <v>4275</v>
      </c>
      <c r="D3194" s="13" t="s">
        <v>4276</v>
      </c>
      <c r="E3194" s="8">
        <v>8000</v>
      </c>
      <c r="F3194" s="13" t="s">
        <v>70</v>
      </c>
      <c r="G3194" s="14">
        <v>44769</v>
      </c>
      <c r="H3194" s="13" t="s">
        <v>9</v>
      </c>
    </row>
    <row r="3195" spans="1:8" ht="14.4" x14ac:dyDescent="0.3">
      <c r="A3195" s="8">
        <v>82187988</v>
      </c>
      <c r="B3195" s="11">
        <v>44763</v>
      </c>
      <c r="C3195" s="13" t="s">
        <v>4277</v>
      </c>
      <c r="D3195" s="13" t="s">
        <v>4278</v>
      </c>
      <c r="E3195" s="8">
        <v>11000</v>
      </c>
      <c r="F3195" s="13" t="s">
        <v>70</v>
      </c>
      <c r="G3195" s="14">
        <v>44774</v>
      </c>
      <c r="H3195" s="13" t="s">
        <v>9</v>
      </c>
    </row>
    <row r="3196" spans="1:8" ht="14.4" x14ac:dyDescent="0.3">
      <c r="A3196" s="8">
        <v>82187989</v>
      </c>
      <c r="B3196" s="11">
        <v>44763</v>
      </c>
      <c r="C3196" s="13" t="s">
        <v>4279</v>
      </c>
      <c r="D3196" s="13" t="s">
        <v>4280</v>
      </c>
      <c r="E3196" s="8">
        <v>14000</v>
      </c>
      <c r="F3196" s="13" t="s">
        <v>70</v>
      </c>
      <c r="G3196" s="14">
        <v>44771</v>
      </c>
      <c r="H3196" s="13" t="s">
        <v>9</v>
      </c>
    </row>
    <row r="3197" spans="1:8" ht="14.4" x14ac:dyDescent="0.3">
      <c r="A3197" s="8">
        <v>82187990</v>
      </c>
      <c r="B3197" s="11">
        <v>44763</v>
      </c>
      <c r="C3197" s="13" t="s">
        <v>4281</v>
      </c>
      <c r="D3197" s="13" t="s">
        <v>4282</v>
      </c>
      <c r="E3197" s="8">
        <v>15000</v>
      </c>
      <c r="F3197" s="13" t="s">
        <v>70</v>
      </c>
      <c r="G3197" s="14">
        <v>44774</v>
      </c>
      <c r="H3197" s="13" t="s">
        <v>9</v>
      </c>
    </row>
    <row r="3198" spans="1:8" ht="14.4" x14ac:dyDescent="0.3">
      <c r="A3198" s="8">
        <v>82187991</v>
      </c>
      <c r="B3198" s="11">
        <v>44763</v>
      </c>
      <c r="C3198" s="13" t="s">
        <v>4283</v>
      </c>
      <c r="D3198" s="13" t="s">
        <v>4284</v>
      </c>
      <c r="E3198" s="8">
        <v>10000</v>
      </c>
      <c r="F3198" s="13" t="s">
        <v>70</v>
      </c>
      <c r="G3198" s="14">
        <v>44768</v>
      </c>
      <c r="H3198" s="13" t="s">
        <v>9</v>
      </c>
    </row>
    <row r="3199" spans="1:8" ht="14.4" x14ac:dyDescent="0.3">
      <c r="A3199" s="8">
        <v>82187992</v>
      </c>
      <c r="B3199" s="11">
        <v>44763</v>
      </c>
      <c r="C3199" s="13" t="s">
        <v>4285</v>
      </c>
      <c r="D3199" s="13" t="s">
        <v>4286</v>
      </c>
      <c r="E3199" s="8">
        <v>11700</v>
      </c>
      <c r="F3199" s="13" t="s">
        <v>70</v>
      </c>
      <c r="G3199" s="14">
        <v>44768</v>
      </c>
      <c r="H3199" s="13" t="s">
        <v>9</v>
      </c>
    </row>
    <row r="3200" spans="1:8" ht="14.4" x14ac:dyDescent="0.3">
      <c r="A3200" s="8">
        <v>82187993</v>
      </c>
      <c r="B3200" s="11">
        <v>44763</v>
      </c>
      <c r="C3200" s="13" t="s">
        <v>4287</v>
      </c>
      <c r="D3200" s="13" t="s">
        <v>4288</v>
      </c>
      <c r="E3200" s="8">
        <v>7000</v>
      </c>
      <c r="F3200" s="13" t="s">
        <v>70</v>
      </c>
      <c r="G3200" s="14">
        <v>44768</v>
      </c>
      <c r="H3200" s="13" t="s">
        <v>9</v>
      </c>
    </row>
    <row r="3201" spans="1:8" ht="14.4" x14ac:dyDescent="0.3">
      <c r="A3201" s="8">
        <v>82187994</v>
      </c>
      <c r="B3201" s="11">
        <v>44763</v>
      </c>
      <c r="C3201" s="13" t="s">
        <v>718</v>
      </c>
      <c r="D3201" s="13" t="s">
        <v>4289</v>
      </c>
      <c r="E3201" s="8">
        <v>12000</v>
      </c>
      <c r="F3201" s="13" t="s">
        <v>70</v>
      </c>
      <c r="G3201" s="14">
        <v>44770</v>
      </c>
      <c r="H3201" s="13" t="s">
        <v>9</v>
      </c>
    </row>
    <row r="3202" spans="1:8" ht="14.4" x14ac:dyDescent="0.3">
      <c r="A3202" s="8">
        <v>82187995</v>
      </c>
      <c r="B3202" s="11">
        <v>44763</v>
      </c>
      <c r="C3202" s="13" t="s">
        <v>4290</v>
      </c>
      <c r="D3202" s="13" t="s">
        <v>4291</v>
      </c>
      <c r="E3202" s="8">
        <v>28000</v>
      </c>
      <c r="F3202" s="13" t="s">
        <v>70</v>
      </c>
      <c r="G3202" s="14">
        <v>44768</v>
      </c>
      <c r="H3202" s="13" t="s">
        <v>9</v>
      </c>
    </row>
    <row r="3203" spans="1:8" ht="14.4" x14ac:dyDescent="0.3">
      <c r="A3203" s="8">
        <v>82187996</v>
      </c>
      <c r="B3203" s="11">
        <v>44763</v>
      </c>
      <c r="C3203" s="13" t="s">
        <v>4292</v>
      </c>
      <c r="D3203" s="13" t="s">
        <v>4293</v>
      </c>
      <c r="E3203" s="8">
        <v>15000</v>
      </c>
      <c r="F3203" s="13" t="s">
        <v>70</v>
      </c>
      <c r="G3203" s="14">
        <v>44768</v>
      </c>
      <c r="H3203" s="13" t="s">
        <v>9</v>
      </c>
    </row>
    <row r="3204" spans="1:8" ht="14.4" x14ac:dyDescent="0.3">
      <c r="A3204" s="8">
        <v>82187997</v>
      </c>
      <c r="B3204" s="11">
        <v>44763</v>
      </c>
      <c r="C3204" s="13" t="s">
        <v>4294</v>
      </c>
      <c r="D3204" s="13" t="s">
        <v>4295</v>
      </c>
      <c r="E3204" s="8">
        <v>10000</v>
      </c>
      <c r="F3204" s="13" t="s">
        <v>70</v>
      </c>
      <c r="G3204" s="14">
        <v>44768</v>
      </c>
      <c r="H3204" s="13" t="s">
        <v>9</v>
      </c>
    </row>
    <row r="3205" spans="1:8" ht="14.4" x14ac:dyDescent="0.3">
      <c r="A3205" s="8">
        <v>82187998</v>
      </c>
      <c r="B3205" s="11">
        <v>44763</v>
      </c>
      <c r="C3205" s="13" t="s">
        <v>4296</v>
      </c>
      <c r="D3205" s="13" t="s">
        <v>4297</v>
      </c>
      <c r="E3205" s="8">
        <v>8000</v>
      </c>
      <c r="F3205" s="13" t="s">
        <v>70</v>
      </c>
      <c r="G3205" s="14">
        <v>44768</v>
      </c>
      <c r="H3205" s="13" t="s">
        <v>9</v>
      </c>
    </row>
    <row r="3206" spans="1:8" ht="14.4" x14ac:dyDescent="0.3">
      <c r="A3206" s="8">
        <v>82187999</v>
      </c>
      <c r="B3206" s="11">
        <v>44763</v>
      </c>
      <c r="C3206" s="13" t="s">
        <v>4298</v>
      </c>
      <c r="D3206" s="13" t="s">
        <v>4299</v>
      </c>
      <c r="E3206" s="8">
        <v>45000</v>
      </c>
      <c r="F3206" s="13" t="s">
        <v>70</v>
      </c>
      <c r="G3206" s="14">
        <v>44769</v>
      </c>
      <c r="H3206" s="13" t="s">
        <v>9</v>
      </c>
    </row>
    <row r="3207" spans="1:8" ht="14.4" x14ac:dyDescent="0.3">
      <c r="A3207" s="8">
        <v>82188000</v>
      </c>
      <c r="B3207" s="11">
        <v>44763</v>
      </c>
      <c r="C3207" s="13" t="s">
        <v>4300</v>
      </c>
      <c r="D3207" s="13" t="s">
        <v>4301</v>
      </c>
      <c r="E3207" s="8">
        <v>10000</v>
      </c>
      <c r="F3207" s="13" t="s">
        <v>70</v>
      </c>
      <c r="G3207" s="14">
        <v>44768</v>
      </c>
      <c r="H3207" s="13" t="s">
        <v>9</v>
      </c>
    </row>
    <row r="3208" spans="1:8" ht="14.4" x14ac:dyDescent="0.3">
      <c r="A3208" s="8">
        <v>82188001</v>
      </c>
      <c r="B3208" s="11">
        <v>44763</v>
      </c>
      <c r="C3208" s="13" t="s">
        <v>4302</v>
      </c>
      <c r="D3208" s="13" t="s">
        <v>4303</v>
      </c>
      <c r="E3208" s="8">
        <v>15000</v>
      </c>
      <c r="F3208" s="13" t="s">
        <v>70</v>
      </c>
      <c r="G3208" s="14">
        <v>44768</v>
      </c>
      <c r="H3208" s="13" t="s">
        <v>9</v>
      </c>
    </row>
    <row r="3209" spans="1:8" ht="14.4" x14ac:dyDescent="0.3">
      <c r="A3209" s="8">
        <v>82188002</v>
      </c>
      <c r="B3209" s="11">
        <v>44763</v>
      </c>
      <c r="C3209" s="13" t="s">
        <v>2624</v>
      </c>
      <c r="D3209" s="13" t="s">
        <v>4304</v>
      </c>
      <c r="E3209" s="8">
        <v>20000000</v>
      </c>
      <c r="F3209" s="13" t="s">
        <v>70</v>
      </c>
      <c r="G3209" s="14">
        <v>44764</v>
      </c>
      <c r="H3209" s="13" t="s">
        <v>9</v>
      </c>
    </row>
    <row r="3210" spans="1:8" ht="14.4" x14ac:dyDescent="0.3">
      <c r="A3210" s="8">
        <v>82188003</v>
      </c>
      <c r="B3210" s="11">
        <v>44764</v>
      </c>
      <c r="C3210" s="13" t="s">
        <v>159</v>
      </c>
      <c r="D3210" s="13" t="s">
        <v>4305</v>
      </c>
      <c r="E3210" s="8">
        <v>341500</v>
      </c>
      <c r="F3210" s="13" t="s">
        <v>70</v>
      </c>
      <c r="G3210" s="14">
        <v>44767</v>
      </c>
      <c r="H3210" s="13" t="s">
        <v>9</v>
      </c>
    </row>
    <row r="3211" spans="1:8" ht="14.4" x14ac:dyDescent="0.3">
      <c r="A3211" s="8">
        <v>82188004</v>
      </c>
      <c r="B3211" s="11">
        <v>44764</v>
      </c>
      <c r="C3211" s="13" t="s">
        <v>4306</v>
      </c>
      <c r="D3211" s="13" t="s">
        <v>4307</v>
      </c>
      <c r="E3211" s="8">
        <v>40000</v>
      </c>
      <c r="F3211" s="13" t="s">
        <v>70</v>
      </c>
      <c r="G3211" s="14">
        <v>44767</v>
      </c>
      <c r="H3211" s="13" t="s">
        <v>9</v>
      </c>
    </row>
    <row r="3212" spans="1:8" ht="14.4" x14ac:dyDescent="0.3">
      <c r="A3212" s="8">
        <v>82188005</v>
      </c>
      <c r="B3212" s="11">
        <v>44764</v>
      </c>
      <c r="C3212" s="13" t="s">
        <v>4308</v>
      </c>
      <c r="D3212" s="13" t="s">
        <v>4309</v>
      </c>
      <c r="E3212" s="8">
        <v>6475</v>
      </c>
      <c r="F3212" s="13" t="s">
        <v>70</v>
      </c>
      <c r="G3212" s="14">
        <v>44764</v>
      </c>
      <c r="H3212" s="13" t="s">
        <v>9</v>
      </c>
    </row>
    <row r="3213" spans="1:8" ht="14.4" x14ac:dyDescent="0.3">
      <c r="A3213" s="8">
        <v>82188006</v>
      </c>
      <c r="B3213" s="11">
        <v>44764</v>
      </c>
      <c r="C3213" s="13" t="s">
        <v>1286</v>
      </c>
      <c r="D3213" s="13" t="s">
        <v>4310</v>
      </c>
      <c r="E3213" s="8">
        <v>39609.410000000003</v>
      </c>
      <c r="F3213" s="13" t="s">
        <v>70</v>
      </c>
      <c r="G3213" s="14">
        <v>44768</v>
      </c>
      <c r="H3213" s="13" t="s">
        <v>9</v>
      </c>
    </row>
    <row r="3214" spans="1:8" ht="14.4" x14ac:dyDescent="0.3">
      <c r="A3214" s="8">
        <v>82188007</v>
      </c>
      <c r="B3214" s="11">
        <v>44764</v>
      </c>
      <c r="C3214" s="13" t="s">
        <v>2336</v>
      </c>
      <c r="D3214" s="13" t="s">
        <v>4311</v>
      </c>
      <c r="E3214" s="8">
        <v>15000</v>
      </c>
      <c r="F3214" s="13" t="s">
        <v>70</v>
      </c>
      <c r="G3214" s="14">
        <v>44769</v>
      </c>
      <c r="H3214" s="13" t="s">
        <v>9</v>
      </c>
    </row>
    <row r="3215" spans="1:8" ht="14.4" x14ac:dyDescent="0.3">
      <c r="A3215" s="8">
        <v>82188008</v>
      </c>
      <c r="B3215" s="11">
        <v>44764</v>
      </c>
      <c r="C3215" s="13" t="s">
        <v>1286</v>
      </c>
      <c r="D3215" s="13" t="s">
        <v>4312</v>
      </c>
      <c r="E3215" s="8">
        <v>9249.85</v>
      </c>
      <c r="F3215" s="13" t="s">
        <v>70</v>
      </c>
      <c r="G3215" s="14">
        <v>44768</v>
      </c>
      <c r="H3215" s="13" t="s">
        <v>9</v>
      </c>
    </row>
    <row r="3216" spans="1:8" ht="14.4" x14ac:dyDescent="0.3">
      <c r="A3216" s="8">
        <v>82188009</v>
      </c>
      <c r="B3216" s="11">
        <v>44764</v>
      </c>
      <c r="C3216" s="13" t="s">
        <v>1286</v>
      </c>
      <c r="D3216" s="13" t="s">
        <v>4139</v>
      </c>
      <c r="E3216" s="8">
        <v>5936.74</v>
      </c>
      <c r="F3216" s="13" t="s">
        <v>70</v>
      </c>
      <c r="G3216" s="14">
        <v>44768</v>
      </c>
      <c r="H3216" s="13" t="s">
        <v>9</v>
      </c>
    </row>
    <row r="3217" spans="1:8" ht="14.4" x14ac:dyDescent="0.3">
      <c r="A3217" s="8">
        <v>82188010</v>
      </c>
      <c r="B3217" s="11">
        <v>44764</v>
      </c>
      <c r="C3217" s="13" t="s">
        <v>1286</v>
      </c>
      <c r="D3217" s="13" t="s">
        <v>4313</v>
      </c>
      <c r="E3217" s="8">
        <v>101016.63</v>
      </c>
      <c r="F3217" s="13" t="s">
        <v>70</v>
      </c>
      <c r="G3217" s="14">
        <v>44768</v>
      </c>
      <c r="H3217" s="13" t="s">
        <v>9</v>
      </c>
    </row>
    <row r="3218" spans="1:8" ht="14.4" x14ac:dyDescent="0.3">
      <c r="A3218" s="8">
        <v>82188011</v>
      </c>
      <c r="B3218" s="11">
        <v>44764</v>
      </c>
      <c r="C3218" s="13" t="s">
        <v>1380</v>
      </c>
      <c r="D3218" s="13" t="s">
        <v>4314</v>
      </c>
      <c r="E3218" s="8">
        <v>46875</v>
      </c>
      <c r="F3218" s="13" t="s">
        <v>70</v>
      </c>
      <c r="G3218" s="14">
        <v>44804</v>
      </c>
      <c r="H3218" s="13" t="s">
        <v>9</v>
      </c>
    </row>
    <row r="3219" spans="1:8" ht="14.4" x14ac:dyDescent="0.3">
      <c r="A3219" s="8">
        <v>82188012</v>
      </c>
      <c r="B3219" s="11">
        <v>44764</v>
      </c>
      <c r="C3219" s="13" t="s">
        <v>884</v>
      </c>
      <c r="D3219" s="13" t="s">
        <v>4315</v>
      </c>
      <c r="E3219" s="8">
        <v>250000</v>
      </c>
      <c r="F3219" s="13" t="s">
        <v>70</v>
      </c>
      <c r="G3219" s="14">
        <v>44767</v>
      </c>
      <c r="H3219" s="13" t="s">
        <v>9</v>
      </c>
    </row>
    <row r="3220" spans="1:8" ht="14.4" x14ac:dyDescent="0.3">
      <c r="A3220" s="8">
        <v>82188013</v>
      </c>
      <c r="B3220" s="11">
        <v>44764</v>
      </c>
      <c r="C3220" s="13" t="s">
        <v>2204</v>
      </c>
      <c r="D3220" s="13" t="s">
        <v>4316</v>
      </c>
      <c r="E3220" s="8">
        <v>2889.36</v>
      </c>
      <c r="F3220" s="13" t="s">
        <v>70</v>
      </c>
      <c r="G3220" s="14">
        <v>44767</v>
      </c>
      <c r="H3220" s="13" t="s">
        <v>9</v>
      </c>
    </row>
    <row r="3221" spans="1:8" ht="14.4" x14ac:dyDescent="0.3">
      <c r="A3221" s="8">
        <v>82188014</v>
      </c>
      <c r="B3221" s="11">
        <v>44764</v>
      </c>
      <c r="C3221" s="13" t="s">
        <v>1424</v>
      </c>
      <c r="D3221" s="13" t="s">
        <v>2585</v>
      </c>
      <c r="E3221" s="8">
        <v>6743.3</v>
      </c>
      <c r="F3221" s="13" t="s">
        <v>70</v>
      </c>
      <c r="G3221" s="14">
        <v>44769</v>
      </c>
      <c r="H3221" s="13" t="s">
        <v>9</v>
      </c>
    </row>
    <row r="3222" spans="1:8" ht="14.4" x14ac:dyDescent="0.3">
      <c r="A3222" s="8">
        <v>82188015</v>
      </c>
      <c r="B3222" s="11">
        <v>44764</v>
      </c>
      <c r="C3222" s="13" t="s">
        <v>844</v>
      </c>
      <c r="D3222" s="13" t="s">
        <v>4317</v>
      </c>
      <c r="E3222" s="8">
        <v>2000</v>
      </c>
      <c r="F3222" s="13" t="s">
        <v>70</v>
      </c>
      <c r="G3222" s="14">
        <v>44775</v>
      </c>
      <c r="H3222" s="13" t="s">
        <v>9</v>
      </c>
    </row>
    <row r="3223" spans="1:8" ht="14.4" x14ac:dyDescent="0.3">
      <c r="A3223" s="8">
        <v>82188016</v>
      </c>
      <c r="B3223" s="11">
        <v>44764</v>
      </c>
      <c r="C3223" s="13" t="s">
        <v>836</v>
      </c>
      <c r="D3223" s="13" t="s">
        <v>4318</v>
      </c>
      <c r="E3223" s="8">
        <v>2000</v>
      </c>
      <c r="F3223" s="13" t="s">
        <v>70</v>
      </c>
      <c r="G3223" s="14">
        <v>44775</v>
      </c>
      <c r="H3223" s="13" t="s">
        <v>9</v>
      </c>
    </row>
    <row r="3224" spans="1:8" ht="14.4" x14ac:dyDescent="0.3">
      <c r="A3224" s="8">
        <v>82188017</v>
      </c>
      <c r="B3224" s="11">
        <v>44764</v>
      </c>
      <c r="C3224" s="13" t="s">
        <v>849</v>
      </c>
      <c r="D3224" s="13" t="s">
        <v>4318</v>
      </c>
      <c r="E3224" s="8">
        <v>2000</v>
      </c>
      <c r="F3224" s="13" t="s">
        <v>70</v>
      </c>
      <c r="G3224" s="14">
        <v>44775</v>
      </c>
      <c r="H3224" s="13" t="s">
        <v>9</v>
      </c>
    </row>
    <row r="3225" spans="1:8" ht="14.4" x14ac:dyDescent="0.3">
      <c r="A3225" s="8">
        <v>82188018</v>
      </c>
      <c r="B3225" s="11">
        <v>44764</v>
      </c>
      <c r="C3225" s="13" t="s">
        <v>850</v>
      </c>
      <c r="D3225" s="13" t="s">
        <v>4318</v>
      </c>
      <c r="E3225" s="8">
        <v>2000</v>
      </c>
      <c r="F3225" s="13" t="s">
        <v>70</v>
      </c>
      <c r="G3225" s="14">
        <v>44775</v>
      </c>
      <c r="H3225" s="13" t="s">
        <v>9</v>
      </c>
    </row>
    <row r="3226" spans="1:8" ht="14.4" x14ac:dyDescent="0.3">
      <c r="A3226" s="8">
        <v>82188019</v>
      </c>
      <c r="B3226" s="11">
        <v>44764</v>
      </c>
      <c r="C3226" s="13" t="s">
        <v>851</v>
      </c>
      <c r="D3226" s="13" t="s">
        <v>4318</v>
      </c>
      <c r="E3226" s="8">
        <v>2000</v>
      </c>
      <c r="F3226" s="13" t="s">
        <v>70</v>
      </c>
      <c r="G3226" s="14">
        <v>44775</v>
      </c>
      <c r="H3226" s="13" t="s">
        <v>9</v>
      </c>
    </row>
    <row r="3227" spans="1:8" ht="14.4" x14ac:dyDescent="0.3">
      <c r="A3227" s="8">
        <v>82188020</v>
      </c>
      <c r="B3227" s="11">
        <v>44764</v>
      </c>
      <c r="C3227" s="13" t="s">
        <v>1286</v>
      </c>
      <c r="D3227" s="13" t="s">
        <v>4319</v>
      </c>
      <c r="E3227" s="8">
        <v>143373.22</v>
      </c>
      <c r="F3227" s="13" t="s">
        <v>70</v>
      </c>
      <c r="G3227" s="14">
        <v>44768</v>
      </c>
      <c r="H3227" s="13" t="s">
        <v>9</v>
      </c>
    </row>
    <row r="3228" spans="1:8" ht="14.4" x14ac:dyDescent="0.3">
      <c r="A3228" s="8">
        <v>82188021</v>
      </c>
      <c r="B3228" s="11">
        <v>44764</v>
      </c>
      <c r="C3228" s="13" t="s">
        <v>846</v>
      </c>
      <c r="D3228" s="13" t="s">
        <v>4318</v>
      </c>
      <c r="E3228" s="8">
        <v>2000</v>
      </c>
      <c r="F3228" s="13" t="s">
        <v>70</v>
      </c>
      <c r="G3228" s="14">
        <v>44775</v>
      </c>
      <c r="H3228" s="13" t="s">
        <v>9</v>
      </c>
    </row>
    <row r="3229" spans="1:8" ht="14.4" x14ac:dyDescent="0.3">
      <c r="A3229" s="8">
        <v>82188022</v>
      </c>
      <c r="B3229" s="11">
        <v>44764</v>
      </c>
      <c r="C3229" s="13" t="s">
        <v>847</v>
      </c>
      <c r="D3229" s="13" t="s">
        <v>4318</v>
      </c>
      <c r="E3229" s="8">
        <v>2000</v>
      </c>
      <c r="F3229" s="13" t="s">
        <v>70</v>
      </c>
      <c r="G3229" s="14">
        <v>44775</v>
      </c>
      <c r="H3229" s="13" t="s">
        <v>9</v>
      </c>
    </row>
    <row r="3230" spans="1:8" ht="14.4" x14ac:dyDescent="0.3">
      <c r="A3230" s="8">
        <v>82188024</v>
      </c>
      <c r="B3230" s="11">
        <v>44764</v>
      </c>
      <c r="C3230" s="13" t="s">
        <v>44</v>
      </c>
      <c r="D3230" s="13" t="s">
        <v>4320</v>
      </c>
      <c r="E3230" s="8">
        <v>185850</v>
      </c>
      <c r="F3230" s="13" t="s">
        <v>70</v>
      </c>
      <c r="G3230" s="14">
        <v>44771</v>
      </c>
      <c r="H3230" s="13" t="s">
        <v>9</v>
      </c>
    </row>
    <row r="3231" spans="1:8" ht="14.4" x14ac:dyDescent="0.3">
      <c r="A3231" s="8">
        <v>82188025</v>
      </c>
      <c r="B3231" s="11">
        <v>44764</v>
      </c>
      <c r="C3231" s="13" t="s">
        <v>4321</v>
      </c>
      <c r="D3231" s="13" t="s">
        <v>4322</v>
      </c>
      <c r="E3231" s="8">
        <v>6000</v>
      </c>
      <c r="F3231" s="13" t="s">
        <v>70</v>
      </c>
      <c r="G3231" s="14">
        <v>44769</v>
      </c>
      <c r="H3231" s="13" t="s">
        <v>9</v>
      </c>
    </row>
    <row r="3232" spans="1:8" ht="14.4" x14ac:dyDescent="0.3">
      <c r="A3232" s="8">
        <v>82188026</v>
      </c>
      <c r="B3232" s="11">
        <v>44764</v>
      </c>
      <c r="C3232" s="13" t="s">
        <v>4323</v>
      </c>
      <c r="D3232" s="13" t="s">
        <v>4324</v>
      </c>
      <c r="E3232" s="8">
        <v>100000</v>
      </c>
      <c r="F3232" s="13" t="s">
        <v>70</v>
      </c>
      <c r="G3232" s="14">
        <v>44768</v>
      </c>
      <c r="H3232" s="13" t="s">
        <v>9</v>
      </c>
    </row>
    <row r="3233" spans="1:8" ht="14.4" x14ac:dyDescent="0.3">
      <c r="A3233" s="8">
        <v>82188027</v>
      </c>
      <c r="B3233" s="11">
        <v>44764</v>
      </c>
      <c r="C3233" s="13" t="s">
        <v>3725</v>
      </c>
      <c r="D3233" s="13" t="s">
        <v>4325</v>
      </c>
      <c r="E3233" s="8">
        <v>5500</v>
      </c>
      <c r="F3233" s="13" t="s">
        <v>70</v>
      </c>
      <c r="G3233" s="14">
        <v>44770</v>
      </c>
      <c r="H3233" s="13" t="s">
        <v>9</v>
      </c>
    </row>
    <row r="3234" spans="1:8" ht="14.4" x14ac:dyDescent="0.3">
      <c r="A3234" s="8">
        <v>82188028</v>
      </c>
      <c r="B3234" s="11">
        <v>44764</v>
      </c>
      <c r="C3234" s="13" t="s">
        <v>565</v>
      </c>
      <c r="D3234" s="13" t="s">
        <v>3684</v>
      </c>
      <c r="E3234" s="8">
        <v>6000</v>
      </c>
      <c r="F3234" s="13" t="s">
        <v>70</v>
      </c>
      <c r="G3234" s="14">
        <v>44768</v>
      </c>
      <c r="H3234" s="13" t="s">
        <v>9</v>
      </c>
    </row>
    <row r="3235" spans="1:8" ht="14.4" x14ac:dyDescent="0.3">
      <c r="A3235" s="8">
        <v>82188029</v>
      </c>
      <c r="B3235" s="11">
        <v>44764</v>
      </c>
      <c r="C3235" s="13" t="s">
        <v>2650</v>
      </c>
      <c r="D3235" s="13" t="s">
        <v>13</v>
      </c>
      <c r="E3235" s="8">
        <v>5000</v>
      </c>
      <c r="F3235" s="13" t="s">
        <v>70</v>
      </c>
      <c r="G3235" s="14">
        <v>44775</v>
      </c>
      <c r="H3235" s="13" t="s">
        <v>9</v>
      </c>
    </row>
    <row r="3236" spans="1:8" ht="14.4" x14ac:dyDescent="0.3">
      <c r="A3236" s="8">
        <v>82188030</v>
      </c>
      <c r="B3236" s="11">
        <v>44764</v>
      </c>
      <c r="C3236" s="13" t="s">
        <v>2791</v>
      </c>
      <c r="D3236" s="13" t="s">
        <v>4318</v>
      </c>
      <c r="E3236" s="8">
        <v>2000</v>
      </c>
      <c r="F3236" s="13" t="s">
        <v>70</v>
      </c>
      <c r="G3236" s="14">
        <v>44775</v>
      </c>
      <c r="H3236" s="13" t="s">
        <v>9</v>
      </c>
    </row>
    <row r="3237" spans="1:8" ht="14.4" x14ac:dyDescent="0.3">
      <c r="A3237" s="8">
        <v>82188031</v>
      </c>
      <c r="B3237" s="11">
        <v>44764</v>
      </c>
      <c r="C3237" s="13" t="s">
        <v>2792</v>
      </c>
      <c r="D3237" s="13" t="s">
        <v>4318</v>
      </c>
      <c r="E3237" s="8">
        <v>2000</v>
      </c>
      <c r="F3237" s="13" t="s">
        <v>70</v>
      </c>
      <c r="G3237" s="14">
        <v>44775</v>
      </c>
      <c r="H3237" s="13" t="s">
        <v>9</v>
      </c>
    </row>
    <row r="3238" spans="1:8" ht="14.4" x14ac:dyDescent="0.3">
      <c r="A3238" s="8">
        <v>82188032</v>
      </c>
      <c r="B3238" s="11">
        <v>44764</v>
      </c>
      <c r="C3238" s="13" t="s">
        <v>854</v>
      </c>
      <c r="D3238" s="13" t="s">
        <v>4318</v>
      </c>
      <c r="E3238" s="8">
        <v>2000</v>
      </c>
      <c r="F3238" s="13" t="s">
        <v>70</v>
      </c>
      <c r="G3238" s="14">
        <v>44775</v>
      </c>
      <c r="H3238" s="13" t="s">
        <v>9</v>
      </c>
    </row>
    <row r="3239" spans="1:8" ht="14.4" x14ac:dyDescent="0.3">
      <c r="A3239" s="8">
        <v>82188033</v>
      </c>
      <c r="B3239" s="11">
        <v>44764</v>
      </c>
      <c r="C3239" s="13" t="s">
        <v>1286</v>
      </c>
      <c r="D3239" s="13" t="s">
        <v>4326</v>
      </c>
      <c r="E3239" s="8">
        <v>2580.35</v>
      </c>
      <c r="F3239" s="13" t="s">
        <v>70</v>
      </c>
      <c r="G3239" s="14">
        <v>44768</v>
      </c>
      <c r="H3239" s="13" t="s">
        <v>9</v>
      </c>
    </row>
    <row r="3240" spans="1:8" ht="14.4" x14ac:dyDescent="0.3">
      <c r="A3240" s="8">
        <v>82188034</v>
      </c>
      <c r="B3240" s="11">
        <v>44764</v>
      </c>
      <c r="C3240" s="13" t="s">
        <v>1745</v>
      </c>
      <c r="D3240" s="13" t="s">
        <v>4327</v>
      </c>
      <c r="E3240" s="8">
        <v>6585.6</v>
      </c>
      <c r="F3240" s="13" t="s">
        <v>70</v>
      </c>
      <c r="G3240" s="14">
        <v>44769</v>
      </c>
      <c r="H3240" s="13" t="s">
        <v>9</v>
      </c>
    </row>
    <row r="3241" spans="1:8" ht="14.4" x14ac:dyDescent="0.3">
      <c r="A3241" s="8">
        <v>82188035</v>
      </c>
      <c r="B3241" s="11">
        <v>44764</v>
      </c>
      <c r="C3241" s="13" t="s">
        <v>127</v>
      </c>
      <c r="D3241" s="13" t="s">
        <v>4328</v>
      </c>
      <c r="E3241" s="8">
        <v>34071.43</v>
      </c>
      <c r="F3241" s="13" t="s">
        <v>70</v>
      </c>
      <c r="G3241" s="14">
        <v>44781</v>
      </c>
      <c r="H3241" s="13" t="s">
        <v>9</v>
      </c>
    </row>
    <row r="3242" spans="1:8" ht="14.4" x14ac:dyDescent="0.3">
      <c r="A3242" s="8">
        <v>82188036</v>
      </c>
      <c r="B3242" s="11">
        <v>44764</v>
      </c>
      <c r="C3242" s="13" t="s">
        <v>52</v>
      </c>
      <c r="D3242" s="13" t="s">
        <v>4329</v>
      </c>
      <c r="E3242" s="8">
        <v>683592.85</v>
      </c>
      <c r="F3242" s="13" t="s">
        <v>70</v>
      </c>
      <c r="G3242" s="14">
        <v>44768</v>
      </c>
      <c r="H3242" s="13" t="s">
        <v>9</v>
      </c>
    </row>
    <row r="3243" spans="1:8" ht="14.4" x14ac:dyDescent="0.3">
      <c r="A3243" s="8">
        <v>82188037</v>
      </c>
      <c r="B3243" s="11">
        <v>44764</v>
      </c>
      <c r="C3243" s="13" t="s">
        <v>1596</v>
      </c>
      <c r="D3243" s="13" t="s">
        <v>4330</v>
      </c>
      <c r="E3243" s="8">
        <v>470.4</v>
      </c>
      <c r="F3243" s="13" t="s">
        <v>70</v>
      </c>
      <c r="G3243" s="14">
        <v>44769</v>
      </c>
      <c r="H3243" s="13" t="s">
        <v>9</v>
      </c>
    </row>
    <row r="3244" spans="1:8" ht="14.4" x14ac:dyDescent="0.3">
      <c r="A3244" s="8">
        <v>82188038</v>
      </c>
      <c r="B3244" s="11">
        <v>44764</v>
      </c>
      <c r="C3244" s="13" t="s">
        <v>2403</v>
      </c>
      <c r="D3244" s="13" t="s">
        <v>4331</v>
      </c>
      <c r="E3244" s="8">
        <v>93455.57</v>
      </c>
      <c r="F3244" s="13" t="s">
        <v>70</v>
      </c>
      <c r="G3244" s="14">
        <v>44771</v>
      </c>
      <c r="H3244" s="13" t="s">
        <v>9</v>
      </c>
    </row>
    <row r="3245" spans="1:8" ht="14.4" x14ac:dyDescent="0.3">
      <c r="A3245" s="8">
        <v>82188039</v>
      </c>
      <c r="B3245" s="11">
        <v>44764</v>
      </c>
      <c r="C3245" s="13" t="s">
        <v>1596</v>
      </c>
      <c r="D3245" s="13" t="s">
        <v>4332</v>
      </c>
      <c r="E3245" s="8">
        <v>35088.9</v>
      </c>
      <c r="F3245" s="13" t="s">
        <v>70</v>
      </c>
      <c r="G3245" s="14">
        <v>44769</v>
      </c>
      <c r="H3245" s="13" t="s">
        <v>9</v>
      </c>
    </row>
    <row r="3246" spans="1:8" ht="14.4" x14ac:dyDescent="0.3">
      <c r="A3246" s="8">
        <v>82188040</v>
      </c>
      <c r="B3246" s="11">
        <v>44764</v>
      </c>
      <c r="C3246" s="13" t="s">
        <v>1596</v>
      </c>
      <c r="D3246" s="13" t="s">
        <v>4333</v>
      </c>
      <c r="E3246" s="8">
        <v>39969.300000000003</v>
      </c>
      <c r="F3246" s="13" t="s">
        <v>70</v>
      </c>
      <c r="G3246" s="14">
        <v>44769</v>
      </c>
      <c r="H3246" s="13" t="s">
        <v>9</v>
      </c>
    </row>
    <row r="3247" spans="1:8" ht="14.4" x14ac:dyDescent="0.3">
      <c r="A3247" s="8">
        <v>82188041</v>
      </c>
      <c r="B3247" s="11">
        <v>44764</v>
      </c>
      <c r="C3247" s="13" t="s">
        <v>282</v>
      </c>
      <c r="D3247" s="13" t="s">
        <v>4334</v>
      </c>
      <c r="E3247" s="8">
        <v>4058.93</v>
      </c>
      <c r="F3247" s="13" t="s">
        <v>70</v>
      </c>
      <c r="G3247" s="14">
        <v>44771</v>
      </c>
      <c r="H3247" s="13" t="s">
        <v>9</v>
      </c>
    </row>
    <row r="3248" spans="1:8" ht="14.4" x14ac:dyDescent="0.3">
      <c r="A3248" s="8">
        <v>82188042</v>
      </c>
      <c r="B3248" s="11">
        <v>44764</v>
      </c>
      <c r="C3248" s="13" t="s">
        <v>127</v>
      </c>
      <c r="D3248" s="13" t="s">
        <v>4335</v>
      </c>
      <c r="E3248" s="8">
        <v>1817.15</v>
      </c>
      <c r="F3248" s="13" t="s">
        <v>70</v>
      </c>
      <c r="G3248" s="14">
        <v>44781</v>
      </c>
      <c r="H3248" s="13" t="s">
        <v>9</v>
      </c>
    </row>
    <row r="3249" spans="1:8" ht="14.4" x14ac:dyDescent="0.3">
      <c r="A3249" s="8">
        <v>82188043</v>
      </c>
      <c r="B3249" s="11">
        <v>44764</v>
      </c>
      <c r="C3249" s="13" t="s">
        <v>65</v>
      </c>
      <c r="D3249" s="13" t="s">
        <v>4336</v>
      </c>
      <c r="E3249" s="8">
        <v>18682.5</v>
      </c>
      <c r="F3249" s="13" t="s">
        <v>70</v>
      </c>
      <c r="G3249" s="14">
        <v>44770</v>
      </c>
      <c r="H3249" s="13" t="s">
        <v>9</v>
      </c>
    </row>
    <row r="3250" spans="1:8" ht="14.4" x14ac:dyDescent="0.3">
      <c r="A3250" s="8">
        <v>82188044</v>
      </c>
      <c r="B3250" s="11">
        <v>44764</v>
      </c>
      <c r="C3250" s="13" t="s">
        <v>1941</v>
      </c>
      <c r="D3250" s="13" t="s">
        <v>4337</v>
      </c>
      <c r="E3250" s="8">
        <v>7950</v>
      </c>
      <c r="F3250" s="13" t="s">
        <v>70</v>
      </c>
      <c r="G3250" s="14">
        <v>44767</v>
      </c>
      <c r="H3250" s="13" t="s">
        <v>9</v>
      </c>
    </row>
    <row r="3251" spans="1:8" ht="14.4" x14ac:dyDescent="0.3">
      <c r="A3251" s="8">
        <v>82188045</v>
      </c>
      <c r="B3251" s="11">
        <v>44764</v>
      </c>
      <c r="C3251" s="13" t="s">
        <v>405</v>
      </c>
      <c r="D3251" s="13" t="s">
        <v>4338</v>
      </c>
      <c r="E3251" s="8">
        <v>11709.74</v>
      </c>
      <c r="F3251" s="13" t="s">
        <v>70</v>
      </c>
      <c r="G3251" s="14">
        <v>44767</v>
      </c>
      <c r="H3251" s="13" t="s">
        <v>9</v>
      </c>
    </row>
    <row r="3252" spans="1:8" ht="14.4" x14ac:dyDescent="0.3">
      <c r="A3252" s="8">
        <v>82188046</v>
      </c>
      <c r="B3252" s="11">
        <v>44764</v>
      </c>
      <c r="C3252" s="13" t="s">
        <v>673</v>
      </c>
      <c r="D3252" s="13" t="s">
        <v>4339</v>
      </c>
      <c r="E3252" s="8">
        <v>13171.2</v>
      </c>
      <c r="F3252" s="13" t="s">
        <v>70</v>
      </c>
      <c r="G3252" s="14">
        <v>44767</v>
      </c>
      <c r="H3252" s="13" t="s">
        <v>9</v>
      </c>
    </row>
    <row r="3253" spans="1:8" ht="14.4" x14ac:dyDescent="0.3">
      <c r="A3253" s="8">
        <v>82188047</v>
      </c>
      <c r="B3253" s="11">
        <v>44764</v>
      </c>
      <c r="C3253" s="13" t="s">
        <v>1784</v>
      </c>
      <c r="D3253" s="13" t="s">
        <v>4340</v>
      </c>
      <c r="E3253" s="8">
        <v>8500</v>
      </c>
      <c r="F3253" s="13" t="s">
        <v>70</v>
      </c>
      <c r="G3253" s="14">
        <v>44769</v>
      </c>
      <c r="H3253" s="13" t="s">
        <v>9</v>
      </c>
    </row>
    <row r="3254" spans="1:8" ht="14.4" x14ac:dyDescent="0.3">
      <c r="A3254" s="8">
        <v>82188048</v>
      </c>
      <c r="B3254" s="11">
        <v>44764</v>
      </c>
      <c r="C3254" s="13" t="s">
        <v>848</v>
      </c>
      <c r="D3254" s="13" t="s">
        <v>4318</v>
      </c>
      <c r="E3254" s="8">
        <v>2000</v>
      </c>
      <c r="F3254" s="13" t="s">
        <v>70</v>
      </c>
      <c r="G3254" s="14">
        <v>44775</v>
      </c>
      <c r="H3254" s="13" t="s">
        <v>9</v>
      </c>
    </row>
    <row r="3255" spans="1:8" ht="14.4" x14ac:dyDescent="0.3">
      <c r="A3255" s="8">
        <v>82188049</v>
      </c>
      <c r="B3255" s="11">
        <v>44764</v>
      </c>
      <c r="C3255" s="13" t="s">
        <v>4341</v>
      </c>
      <c r="D3255" s="13" t="s">
        <v>4342</v>
      </c>
      <c r="E3255" s="8">
        <v>3000</v>
      </c>
      <c r="F3255" s="13" t="s">
        <v>70</v>
      </c>
      <c r="G3255" s="14">
        <v>44799</v>
      </c>
      <c r="H3255" s="13" t="s">
        <v>9</v>
      </c>
    </row>
    <row r="3256" spans="1:8" ht="14.4" x14ac:dyDescent="0.3">
      <c r="A3256" s="8">
        <v>82188050</v>
      </c>
      <c r="B3256" s="11">
        <v>44764</v>
      </c>
      <c r="C3256" s="13" t="s">
        <v>162</v>
      </c>
      <c r="D3256" s="13" t="s">
        <v>4343</v>
      </c>
      <c r="E3256" s="8">
        <v>571382.22</v>
      </c>
      <c r="F3256" s="13" t="s">
        <v>70</v>
      </c>
      <c r="G3256" s="14">
        <v>44769</v>
      </c>
      <c r="H3256" s="13" t="s">
        <v>9</v>
      </c>
    </row>
    <row r="3257" spans="1:8" ht="14.4" x14ac:dyDescent="0.3">
      <c r="A3257" s="8">
        <v>82188051</v>
      </c>
      <c r="B3257" s="11">
        <v>44764</v>
      </c>
      <c r="C3257" s="13" t="s">
        <v>2583</v>
      </c>
      <c r="D3257" s="13" t="s">
        <v>4344</v>
      </c>
      <c r="E3257" s="8">
        <v>19108.39</v>
      </c>
      <c r="F3257" s="13" t="s">
        <v>70</v>
      </c>
      <c r="G3257" s="14">
        <v>44792</v>
      </c>
      <c r="H3257" s="13" t="s">
        <v>9</v>
      </c>
    </row>
    <row r="3258" spans="1:8" ht="14.4" x14ac:dyDescent="0.3">
      <c r="A3258" s="8">
        <v>82188052</v>
      </c>
      <c r="B3258" s="11">
        <v>44764</v>
      </c>
      <c r="C3258" s="13" t="s">
        <v>4345</v>
      </c>
      <c r="D3258" s="13" t="s">
        <v>4342</v>
      </c>
      <c r="E3258" s="8">
        <v>3000</v>
      </c>
      <c r="F3258" s="13" t="s">
        <v>70</v>
      </c>
      <c r="G3258" s="14">
        <v>44796</v>
      </c>
      <c r="H3258" s="13" t="s">
        <v>9</v>
      </c>
    </row>
    <row r="3259" spans="1:8" ht="14.4" x14ac:dyDescent="0.3">
      <c r="A3259" s="8">
        <v>82188053</v>
      </c>
      <c r="B3259" s="11">
        <v>44767</v>
      </c>
      <c r="C3259" s="13" t="s">
        <v>405</v>
      </c>
      <c r="D3259" s="13" t="s">
        <v>4346</v>
      </c>
      <c r="E3259" s="8">
        <v>13874.65</v>
      </c>
      <c r="F3259" s="13" t="s">
        <v>70</v>
      </c>
      <c r="G3259" s="14">
        <v>44769</v>
      </c>
      <c r="H3259" s="13" t="s">
        <v>9</v>
      </c>
    </row>
    <row r="3260" spans="1:8" ht="14.4" x14ac:dyDescent="0.3">
      <c r="A3260" s="8">
        <v>82188054</v>
      </c>
      <c r="B3260" s="11">
        <v>44767</v>
      </c>
      <c r="C3260" s="13" t="s">
        <v>1596</v>
      </c>
      <c r="D3260" s="13" t="s">
        <v>4347</v>
      </c>
      <c r="E3260" s="8">
        <v>5586</v>
      </c>
      <c r="F3260" s="13" t="s">
        <v>70</v>
      </c>
      <c r="G3260" s="14">
        <v>44769</v>
      </c>
      <c r="H3260" s="13" t="s">
        <v>9</v>
      </c>
    </row>
    <row r="3261" spans="1:8" ht="14.4" x14ac:dyDescent="0.3">
      <c r="A3261" s="8">
        <v>82188055</v>
      </c>
      <c r="B3261" s="11">
        <v>44767</v>
      </c>
      <c r="C3261" s="13" t="s">
        <v>4348</v>
      </c>
      <c r="D3261" s="13" t="s">
        <v>4342</v>
      </c>
      <c r="E3261" s="8">
        <v>3000</v>
      </c>
      <c r="F3261" s="13" t="s">
        <v>70</v>
      </c>
      <c r="G3261" s="14">
        <v>44804</v>
      </c>
      <c r="H3261" s="13" t="s">
        <v>9</v>
      </c>
    </row>
    <row r="3262" spans="1:8" ht="14.4" x14ac:dyDescent="0.3">
      <c r="A3262" s="8">
        <v>82188056</v>
      </c>
      <c r="B3262" s="11">
        <v>44767</v>
      </c>
      <c r="C3262" s="13" t="s">
        <v>4349</v>
      </c>
      <c r="D3262" s="13" t="s">
        <v>4342</v>
      </c>
      <c r="E3262" s="8">
        <v>3000</v>
      </c>
      <c r="F3262" s="13" t="s">
        <v>70</v>
      </c>
      <c r="G3262" s="14">
        <v>44798</v>
      </c>
      <c r="H3262" s="13" t="s">
        <v>9</v>
      </c>
    </row>
    <row r="3263" spans="1:8" ht="14.4" x14ac:dyDescent="0.3">
      <c r="A3263" s="8">
        <v>82188057</v>
      </c>
      <c r="B3263" s="11">
        <v>44767</v>
      </c>
      <c r="C3263" s="13" t="s">
        <v>4350</v>
      </c>
      <c r="D3263" s="13" t="s">
        <v>4342</v>
      </c>
      <c r="E3263" s="8">
        <v>3000</v>
      </c>
      <c r="F3263" s="13" t="s">
        <v>70</v>
      </c>
      <c r="G3263" s="14">
        <v>44876</v>
      </c>
      <c r="H3263" s="13" t="s">
        <v>9</v>
      </c>
    </row>
    <row r="3264" spans="1:8" ht="14.4" x14ac:dyDescent="0.3">
      <c r="A3264" s="8">
        <v>82188058</v>
      </c>
      <c r="B3264" s="11">
        <v>44767</v>
      </c>
      <c r="C3264" s="13" t="s">
        <v>4351</v>
      </c>
      <c r="D3264" s="13" t="s">
        <v>4342</v>
      </c>
      <c r="E3264" s="8">
        <v>3000</v>
      </c>
      <c r="F3264" s="13" t="s">
        <v>70</v>
      </c>
      <c r="G3264" s="14">
        <v>44798</v>
      </c>
      <c r="H3264" s="13" t="s">
        <v>9</v>
      </c>
    </row>
    <row r="3265" spans="1:8" ht="14.4" x14ac:dyDescent="0.3">
      <c r="A3265" s="8">
        <v>82188059</v>
      </c>
      <c r="B3265" s="11">
        <v>44767</v>
      </c>
      <c r="C3265" s="13" t="s">
        <v>4352</v>
      </c>
      <c r="D3265" s="13" t="s">
        <v>4342</v>
      </c>
      <c r="E3265" s="8">
        <v>3000</v>
      </c>
      <c r="F3265" s="13" t="s">
        <v>70</v>
      </c>
      <c r="G3265" s="14">
        <v>44810</v>
      </c>
      <c r="H3265" s="13" t="s">
        <v>9</v>
      </c>
    </row>
    <row r="3266" spans="1:8" ht="14.4" x14ac:dyDescent="0.3">
      <c r="A3266" s="8">
        <v>82188061</v>
      </c>
      <c r="B3266" s="11">
        <v>44767</v>
      </c>
      <c r="C3266" s="13" t="s">
        <v>4353</v>
      </c>
      <c r="D3266" s="13" t="s">
        <v>4342</v>
      </c>
      <c r="E3266" s="8">
        <v>3000</v>
      </c>
      <c r="F3266" s="13" t="s">
        <v>70</v>
      </c>
      <c r="G3266" s="14">
        <v>44809</v>
      </c>
      <c r="H3266" s="13" t="s">
        <v>9</v>
      </c>
    </row>
    <row r="3267" spans="1:8" ht="14.4" x14ac:dyDescent="0.3">
      <c r="A3267" s="8">
        <v>82188062</v>
      </c>
      <c r="B3267" s="11">
        <v>44767</v>
      </c>
      <c r="C3267" s="13" t="s">
        <v>4354</v>
      </c>
      <c r="D3267" s="13" t="s">
        <v>4342</v>
      </c>
      <c r="E3267" s="8">
        <v>3000</v>
      </c>
      <c r="F3267" s="13" t="s">
        <v>70</v>
      </c>
      <c r="G3267" s="14">
        <v>44799</v>
      </c>
      <c r="H3267" s="13" t="s">
        <v>9</v>
      </c>
    </row>
    <row r="3268" spans="1:8" ht="14.4" x14ac:dyDescent="0.3">
      <c r="A3268" s="8">
        <v>82188063</v>
      </c>
      <c r="B3268" s="11">
        <v>44767</v>
      </c>
      <c r="C3268" s="13" t="s">
        <v>4355</v>
      </c>
      <c r="D3268" s="13" t="s">
        <v>4342</v>
      </c>
      <c r="E3268" s="8">
        <v>3000</v>
      </c>
      <c r="F3268" s="13" t="s">
        <v>70</v>
      </c>
      <c r="G3268" s="14">
        <v>44798</v>
      </c>
      <c r="H3268" s="13" t="s">
        <v>9</v>
      </c>
    </row>
    <row r="3269" spans="1:8" ht="14.4" x14ac:dyDescent="0.3">
      <c r="A3269" s="8">
        <v>82188064</v>
      </c>
      <c r="B3269" s="11">
        <v>44767</v>
      </c>
      <c r="C3269" s="13" t="s">
        <v>4356</v>
      </c>
      <c r="D3269" s="13" t="s">
        <v>4342</v>
      </c>
      <c r="E3269" s="8">
        <v>3000</v>
      </c>
      <c r="F3269" s="13" t="s">
        <v>70</v>
      </c>
      <c r="G3269" s="14">
        <v>44799</v>
      </c>
      <c r="H3269" s="13" t="s">
        <v>9</v>
      </c>
    </row>
    <row r="3270" spans="1:8" ht="14.4" x14ac:dyDescent="0.3">
      <c r="A3270" s="8">
        <v>82188065</v>
      </c>
      <c r="B3270" s="11">
        <v>44767</v>
      </c>
      <c r="C3270" s="13" t="s">
        <v>748</v>
      </c>
      <c r="D3270" s="13" t="s">
        <v>4357</v>
      </c>
      <c r="E3270" s="8">
        <v>4124.07</v>
      </c>
      <c r="F3270" s="13" t="s">
        <v>70</v>
      </c>
      <c r="G3270" s="14">
        <v>44770</v>
      </c>
      <c r="H3270" s="13" t="s">
        <v>9</v>
      </c>
    </row>
    <row r="3271" spans="1:8" ht="14.4" x14ac:dyDescent="0.3">
      <c r="A3271" s="8">
        <v>82188066</v>
      </c>
      <c r="B3271" s="11">
        <v>44767</v>
      </c>
      <c r="C3271" s="13" t="s">
        <v>748</v>
      </c>
      <c r="D3271" s="13" t="s">
        <v>4358</v>
      </c>
      <c r="E3271" s="8">
        <v>3186.56</v>
      </c>
      <c r="F3271" s="13" t="s">
        <v>70</v>
      </c>
      <c r="G3271" s="14">
        <v>44770</v>
      </c>
      <c r="H3271" s="13" t="s">
        <v>9</v>
      </c>
    </row>
    <row r="3272" spans="1:8" ht="14.4" x14ac:dyDescent="0.3">
      <c r="A3272" s="8">
        <v>82188067</v>
      </c>
      <c r="B3272" s="11">
        <v>44767</v>
      </c>
      <c r="C3272" s="13" t="s">
        <v>748</v>
      </c>
      <c r="D3272" s="13" t="s">
        <v>4359</v>
      </c>
      <c r="E3272" s="8">
        <v>3186.56</v>
      </c>
      <c r="F3272" s="13" t="s">
        <v>70</v>
      </c>
      <c r="G3272" s="14">
        <v>44770</v>
      </c>
      <c r="H3272" s="13" t="s">
        <v>9</v>
      </c>
    </row>
    <row r="3273" spans="1:8" ht="14.4" x14ac:dyDescent="0.3">
      <c r="A3273" s="8">
        <v>82188068</v>
      </c>
      <c r="B3273" s="11">
        <v>44767</v>
      </c>
      <c r="C3273" s="13" t="s">
        <v>748</v>
      </c>
      <c r="D3273" s="13" t="s">
        <v>4360</v>
      </c>
      <c r="E3273" s="8">
        <v>3972.18</v>
      </c>
      <c r="F3273" s="13" t="s">
        <v>70</v>
      </c>
      <c r="G3273" s="14">
        <v>44770</v>
      </c>
      <c r="H3273" s="13" t="s">
        <v>9</v>
      </c>
    </row>
    <row r="3274" spans="1:8" ht="14.4" x14ac:dyDescent="0.3">
      <c r="A3274" s="8">
        <v>82188069</v>
      </c>
      <c r="B3274" s="11">
        <v>44767</v>
      </c>
      <c r="C3274" s="13" t="s">
        <v>44</v>
      </c>
      <c r="D3274" s="13" t="s">
        <v>4361</v>
      </c>
      <c r="E3274" s="8">
        <v>12187.5</v>
      </c>
      <c r="F3274" s="13" t="s">
        <v>70</v>
      </c>
      <c r="G3274" s="14">
        <v>44771</v>
      </c>
      <c r="H3274" s="13" t="s">
        <v>9</v>
      </c>
    </row>
    <row r="3275" spans="1:8" ht="14.4" x14ac:dyDescent="0.3">
      <c r="A3275" s="8">
        <v>82188070</v>
      </c>
      <c r="B3275" s="11">
        <v>44767</v>
      </c>
      <c r="C3275" s="13" t="s">
        <v>748</v>
      </c>
      <c r="D3275" s="13" t="s">
        <v>4362</v>
      </c>
      <c r="E3275" s="8">
        <v>4687.5</v>
      </c>
      <c r="F3275" s="13" t="s">
        <v>70</v>
      </c>
      <c r="G3275" s="14">
        <v>44770</v>
      </c>
      <c r="H3275" s="13" t="s">
        <v>9</v>
      </c>
    </row>
    <row r="3276" spans="1:8" ht="14.4" x14ac:dyDescent="0.3">
      <c r="A3276" s="8">
        <v>82188071</v>
      </c>
      <c r="B3276" s="11">
        <v>44767</v>
      </c>
      <c r="C3276" s="13" t="s">
        <v>19</v>
      </c>
      <c r="D3276" s="13" t="s">
        <v>4363</v>
      </c>
      <c r="E3276" s="8">
        <v>6665</v>
      </c>
      <c r="F3276" s="13" t="s">
        <v>70</v>
      </c>
      <c r="G3276" s="14">
        <v>44801</v>
      </c>
      <c r="H3276" s="13" t="s">
        <v>9</v>
      </c>
    </row>
    <row r="3277" spans="1:8" ht="14.4" x14ac:dyDescent="0.3">
      <c r="A3277" s="8">
        <v>82188072</v>
      </c>
      <c r="B3277" s="11">
        <v>44767</v>
      </c>
      <c r="C3277" s="13" t="s">
        <v>44</v>
      </c>
      <c r="D3277" s="13" t="s">
        <v>4364</v>
      </c>
      <c r="E3277" s="8">
        <v>94500</v>
      </c>
      <c r="F3277" s="13" t="s">
        <v>70</v>
      </c>
      <c r="G3277" s="14">
        <v>44771</v>
      </c>
      <c r="H3277" s="13" t="s">
        <v>9</v>
      </c>
    </row>
    <row r="3278" spans="1:8" ht="14.4" x14ac:dyDescent="0.3">
      <c r="A3278" s="8">
        <v>82188073</v>
      </c>
      <c r="B3278" s="11">
        <v>44767</v>
      </c>
      <c r="C3278" s="13" t="s">
        <v>265</v>
      </c>
      <c r="D3278" s="13" t="s">
        <v>4365</v>
      </c>
      <c r="E3278" s="8">
        <v>62630</v>
      </c>
      <c r="F3278" s="13" t="s">
        <v>70</v>
      </c>
      <c r="G3278" s="14">
        <v>44769</v>
      </c>
      <c r="H3278" s="13" t="s">
        <v>9</v>
      </c>
    </row>
    <row r="3279" spans="1:8" ht="14.4" x14ac:dyDescent="0.3">
      <c r="A3279" s="8">
        <v>82188074</v>
      </c>
      <c r="B3279" s="11">
        <v>44767</v>
      </c>
      <c r="C3279" s="13" t="s">
        <v>265</v>
      </c>
      <c r="D3279" s="13" t="s">
        <v>4366</v>
      </c>
      <c r="E3279" s="8">
        <v>156284.5</v>
      </c>
      <c r="F3279" s="13" t="s">
        <v>70</v>
      </c>
      <c r="G3279" s="14">
        <v>44769</v>
      </c>
      <c r="H3279" s="13" t="s">
        <v>9</v>
      </c>
    </row>
    <row r="3280" spans="1:8" ht="14.4" x14ac:dyDescent="0.3">
      <c r="A3280" s="8">
        <v>82188075</v>
      </c>
      <c r="B3280" s="11">
        <v>44767</v>
      </c>
      <c r="C3280" s="13" t="s">
        <v>265</v>
      </c>
      <c r="D3280" s="13" t="s">
        <v>4367</v>
      </c>
      <c r="E3280" s="8">
        <v>43620</v>
      </c>
      <c r="F3280" s="13" t="s">
        <v>70</v>
      </c>
      <c r="G3280" s="14">
        <v>44769</v>
      </c>
      <c r="H3280" s="13" t="s">
        <v>9</v>
      </c>
    </row>
    <row r="3281" spans="1:8" ht="14.4" x14ac:dyDescent="0.3">
      <c r="A3281" s="8">
        <v>82188076</v>
      </c>
      <c r="B3281" s="11">
        <v>44767</v>
      </c>
      <c r="C3281" s="13" t="s">
        <v>395</v>
      </c>
      <c r="D3281" s="13" t="s">
        <v>4368</v>
      </c>
      <c r="E3281" s="8">
        <v>32939</v>
      </c>
      <c r="F3281" s="13" t="s">
        <v>70</v>
      </c>
      <c r="G3281" s="14">
        <v>44770</v>
      </c>
      <c r="H3281" s="13" t="s">
        <v>9</v>
      </c>
    </row>
    <row r="3282" spans="1:8" ht="14.4" x14ac:dyDescent="0.3">
      <c r="A3282" s="8">
        <v>82188077</v>
      </c>
      <c r="B3282" s="11">
        <v>44767</v>
      </c>
      <c r="C3282" s="13" t="s">
        <v>4369</v>
      </c>
      <c r="D3282" s="13" t="s">
        <v>4342</v>
      </c>
      <c r="E3282" s="8">
        <v>3000</v>
      </c>
      <c r="F3282" s="13" t="s">
        <v>70</v>
      </c>
      <c r="G3282" s="14">
        <v>44832</v>
      </c>
      <c r="H3282" s="13" t="s">
        <v>9</v>
      </c>
    </row>
    <row r="3283" spans="1:8" ht="14.4" x14ac:dyDescent="0.3">
      <c r="A3283" s="8">
        <v>82188078</v>
      </c>
      <c r="B3283" s="11">
        <v>44767</v>
      </c>
      <c r="C3283" s="13" t="s">
        <v>988</v>
      </c>
      <c r="D3283" s="13" t="s">
        <v>4370</v>
      </c>
      <c r="E3283" s="8">
        <v>102900</v>
      </c>
      <c r="F3283" s="13" t="s">
        <v>70</v>
      </c>
      <c r="G3283" s="14">
        <v>44769</v>
      </c>
      <c r="H3283" s="13" t="s">
        <v>9</v>
      </c>
    </row>
    <row r="3284" spans="1:8" ht="14.4" x14ac:dyDescent="0.3">
      <c r="A3284" s="8">
        <v>82188079</v>
      </c>
      <c r="B3284" s="11">
        <v>44767</v>
      </c>
      <c r="C3284" s="13" t="s">
        <v>124</v>
      </c>
      <c r="D3284" s="13" t="s">
        <v>4371</v>
      </c>
      <c r="E3284" s="8">
        <v>151.9</v>
      </c>
      <c r="F3284" s="13" t="s">
        <v>70</v>
      </c>
      <c r="G3284" s="14">
        <v>44770</v>
      </c>
      <c r="H3284" s="13" t="s">
        <v>9</v>
      </c>
    </row>
    <row r="3285" spans="1:8" ht="14.4" x14ac:dyDescent="0.3">
      <c r="A3285" s="8">
        <v>82188080</v>
      </c>
      <c r="B3285" s="11">
        <v>44767</v>
      </c>
      <c r="C3285" s="13" t="s">
        <v>534</v>
      </c>
      <c r="D3285" s="13" t="s">
        <v>3532</v>
      </c>
      <c r="E3285" s="8">
        <v>20000</v>
      </c>
      <c r="F3285" s="13" t="s">
        <v>70</v>
      </c>
      <c r="G3285" s="14">
        <v>44769</v>
      </c>
      <c r="H3285" s="13" t="s">
        <v>9</v>
      </c>
    </row>
    <row r="3286" spans="1:8" ht="14.4" x14ac:dyDescent="0.3">
      <c r="A3286" s="8">
        <v>82188081</v>
      </c>
      <c r="B3286" s="11">
        <v>44767</v>
      </c>
      <c r="C3286" s="13" t="s">
        <v>535</v>
      </c>
      <c r="D3286" s="13" t="s">
        <v>3532</v>
      </c>
      <c r="E3286" s="8">
        <v>10000</v>
      </c>
      <c r="F3286" s="13" t="s">
        <v>70</v>
      </c>
      <c r="G3286" s="14">
        <v>44769</v>
      </c>
      <c r="H3286" s="13" t="s">
        <v>9</v>
      </c>
    </row>
    <row r="3287" spans="1:8" ht="14.4" x14ac:dyDescent="0.3">
      <c r="A3287" s="8">
        <v>82188082</v>
      </c>
      <c r="B3287" s="11">
        <v>44767</v>
      </c>
      <c r="C3287" s="13" t="s">
        <v>536</v>
      </c>
      <c r="D3287" s="13" t="s">
        <v>3532</v>
      </c>
      <c r="E3287" s="8">
        <v>5000</v>
      </c>
      <c r="F3287" s="13" t="s">
        <v>70</v>
      </c>
      <c r="G3287" s="14">
        <v>44769</v>
      </c>
      <c r="H3287" s="13" t="s">
        <v>9</v>
      </c>
    </row>
    <row r="3288" spans="1:8" ht="14.4" x14ac:dyDescent="0.3">
      <c r="A3288" s="8">
        <v>82188083</v>
      </c>
      <c r="B3288" s="11">
        <v>44767</v>
      </c>
      <c r="C3288" s="13" t="s">
        <v>153</v>
      </c>
      <c r="D3288" s="13" t="s">
        <v>4372</v>
      </c>
      <c r="E3288" s="8">
        <v>76734</v>
      </c>
      <c r="F3288" s="13" t="s">
        <v>70</v>
      </c>
      <c r="G3288" s="14">
        <v>44769</v>
      </c>
      <c r="H3288" s="13" t="s">
        <v>9</v>
      </c>
    </row>
    <row r="3289" spans="1:8" ht="14.4" x14ac:dyDescent="0.3">
      <c r="A3289" s="8">
        <v>82188084</v>
      </c>
      <c r="B3289" s="11">
        <v>44767</v>
      </c>
      <c r="C3289" s="13" t="s">
        <v>363</v>
      </c>
      <c r="D3289" s="13" t="s">
        <v>4373</v>
      </c>
      <c r="E3289" s="8">
        <v>27075.25</v>
      </c>
      <c r="F3289" s="13" t="s">
        <v>70</v>
      </c>
      <c r="G3289" s="14">
        <v>44769</v>
      </c>
      <c r="H3289" s="13" t="s">
        <v>9</v>
      </c>
    </row>
    <row r="3290" spans="1:8" ht="14.4" x14ac:dyDescent="0.3">
      <c r="A3290" s="8">
        <v>82188085</v>
      </c>
      <c r="B3290" s="11">
        <v>44767</v>
      </c>
      <c r="C3290" s="13" t="s">
        <v>492</v>
      </c>
      <c r="D3290" s="13" t="s">
        <v>4374</v>
      </c>
      <c r="E3290" s="8">
        <v>34950.9</v>
      </c>
      <c r="F3290" s="13" t="s">
        <v>70</v>
      </c>
      <c r="G3290" s="14">
        <v>44770</v>
      </c>
      <c r="H3290" s="13" t="s">
        <v>9</v>
      </c>
    </row>
    <row r="3291" spans="1:8" ht="14.4" x14ac:dyDescent="0.3">
      <c r="A3291" s="8">
        <v>82188086</v>
      </c>
      <c r="B3291" s="11">
        <v>44767</v>
      </c>
      <c r="C3291" s="13" t="s">
        <v>363</v>
      </c>
      <c r="D3291" s="13" t="s">
        <v>4375</v>
      </c>
      <c r="E3291" s="8">
        <v>36285.75</v>
      </c>
      <c r="F3291" s="13" t="s">
        <v>70</v>
      </c>
      <c r="G3291" s="14">
        <v>44769</v>
      </c>
      <c r="H3291" s="13" t="s">
        <v>9</v>
      </c>
    </row>
    <row r="3292" spans="1:8" ht="14.4" x14ac:dyDescent="0.3">
      <c r="A3292" s="8">
        <v>82188087</v>
      </c>
      <c r="B3292" s="11">
        <v>44767</v>
      </c>
      <c r="C3292" s="13" t="s">
        <v>44</v>
      </c>
      <c r="D3292" s="13" t="s">
        <v>4376</v>
      </c>
      <c r="E3292" s="8">
        <v>19114.22</v>
      </c>
      <c r="F3292" s="13" t="s">
        <v>70</v>
      </c>
      <c r="G3292" s="14">
        <v>44771</v>
      </c>
      <c r="H3292" s="13" t="s">
        <v>9</v>
      </c>
    </row>
    <row r="3293" spans="1:8" ht="14.4" x14ac:dyDescent="0.3">
      <c r="A3293" s="8">
        <v>82188088</v>
      </c>
      <c r="B3293" s="11">
        <v>44767</v>
      </c>
      <c r="C3293" s="13" t="s">
        <v>3350</v>
      </c>
      <c r="D3293" s="13" t="s">
        <v>4377</v>
      </c>
      <c r="E3293" s="8">
        <v>2343.75</v>
      </c>
      <c r="F3293" s="13" t="s">
        <v>70</v>
      </c>
      <c r="G3293" s="14">
        <v>44844</v>
      </c>
      <c r="H3293" s="13" t="s">
        <v>9</v>
      </c>
    </row>
    <row r="3294" spans="1:8" ht="14.4" x14ac:dyDescent="0.3">
      <c r="A3294" s="8">
        <v>82188089</v>
      </c>
      <c r="B3294" s="11">
        <v>44767</v>
      </c>
      <c r="C3294" s="13" t="s">
        <v>1286</v>
      </c>
      <c r="D3294" s="13" t="s">
        <v>4378</v>
      </c>
      <c r="E3294" s="8">
        <v>195519.5</v>
      </c>
      <c r="F3294" s="13" t="s">
        <v>70</v>
      </c>
      <c r="G3294" s="14">
        <v>44768</v>
      </c>
      <c r="H3294" s="13" t="s">
        <v>9</v>
      </c>
    </row>
    <row r="3295" spans="1:8" ht="14.4" x14ac:dyDescent="0.3">
      <c r="A3295" s="8">
        <v>82188091</v>
      </c>
      <c r="B3295" s="11">
        <v>44767</v>
      </c>
      <c r="C3295" s="13" t="s">
        <v>526</v>
      </c>
      <c r="D3295" s="13" t="s">
        <v>3532</v>
      </c>
      <c r="E3295" s="8">
        <v>3000</v>
      </c>
      <c r="F3295" s="13" t="s">
        <v>70</v>
      </c>
      <c r="G3295" s="14">
        <v>44769</v>
      </c>
      <c r="H3295" s="13" t="s">
        <v>9</v>
      </c>
    </row>
    <row r="3296" spans="1:8" ht="14.4" x14ac:dyDescent="0.3">
      <c r="A3296" s="8">
        <v>82188092</v>
      </c>
      <c r="B3296" s="11">
        <v>44767</v>
      </c>
      <c r="C3296" s="13" t="s">
        <v>2583</v>
      </c>
      <c r="D3296" s="13" t="s">
        <v>4379</v>
      </c>
      <c r="E3296" s="8">
        <v>3746.25</v>
      </c>
      <c r="F3296" s="13" t="s">
        <v>70</v>
      </c>
      <c r="G3296" s="14">
        <v>44792</v>
      </c>
      <c r="H3296" s="13" t="s">
        <v>9</v>
      </c>
    </row>
    <row r="3297" spans="1:8" ht="14.4" x14ac:dyDescent="0.3">
      <c r="A3297" s="8">
        <v>82188093</v>
      </c>
      <c r="B3297" s="11">
        <v>44767</v>
      </c>
      <c r="C3297" s="13" t="s">
        <v>4380</v>
      </c>
      <c r="D3297" s="13" t="s">
        <v>4381</v>
      </c>
      <c r="E3297" s="8">
        <v>41250</v>
      </c>
      <c r="F3297" s="13" t="s">
        <v>70</v>
      </c>
      <c r="G3297" s="14">
        <v>44774</v>
      </c>
      <c r="H3297" s="13" t="s">
        <v>9</v>
      </c>
    </row>
    <row r="3298" spans="1:8" ht="14.4" x14ac:dyDescent="0.3">
      <c r="A3298" s="8">
        <v>82188094</v>
      </c>
      <c r="B3298" s="11">
        <v>44767</v>
      </c>
      <c r="C3298" s="13" t="s">
        <v>2583</v>
      </c>
      <c r="D3298" s="13" t="s">
        <v>4382</v>
      </c>
      <c r="E3298" s="8">
        <v>7112.41</v>
      </c>
      <c r="F3298" s="13" t="s">
        <v>70</v>
      </c>
      <c r="G3298" s="14">
        <v>44792</v>
      </c>
      <c r="H3298" s="13" t="s">
        <v>9</v>
      </c>
    </row>
    <row r="3299" spans="1:8" ht="14.4" x14ac:dyDescent="0.3">
      <c r="A3299" s="8">
        <v>82188095</v>
      </c>
      <c r="B3299" s="11">
        <v>44767</v>
      </c>
      <c r="C3299" s="13" t="s">
        <v>697</v>
      </c>
      <c r="D3299" s="13" t="s">
        <v>4383</v>
      </c>
      <c r="E3299" s="8">
        <v>3448.35</v>
      </c>
      <c r="F3299" s="13" t="s">
        <v>70</v>
      </c>
      <c r="G3299" s="14">
        <v>44770</v>
      </c>
      <c r="H3299" s="13" t="s">
        <v>9</v>
      </c>
    </row>
    <row r="3300" spans="1:8" ht="14.4" x14ac:dyDescent="0.3">
      <c r="A3300" s="8">
        <v>82188096</v>
      </c>
      <c r="B3300" s="11">
        <v>44767</v>
      </c>
      <c r="C3300" s="13" t="s">
        <v>1286</v>
      </c>
      <c r="D3300" s="13" t="s">
        <v>4384</v>
      </c>
      <c r="E3300" s="8">
        <v>292133.64</v>
      </c>
      <c r="F3300" s="13" t="s">
        <v>70</v>
      </c>
      <c r="G3300" s="14">
        <v>44768</v>
      </c>
      <c r="H3300" s="13" t="s">
        <v>9</v>
      </c>
    </row>
    <row r="3301" spans="1:8" ht="14.4" x14ac:dyDescent="0.3">
      <c r="A3301" s="8">
        <v>82188097</v>
      </c>
      <c r="B3301" s="11">
        <v>44768</v>
      </c>
      <c r="C3301" s="13" t="s">
        <v>1286</v>
      </c>
      <c r="D3301" s="13" t="s">
        <v>4385</v>
      </c>
      <c r="E3301" s="8">
        <v>309800.93</v>
      </c>
      <c r="F3301" s="13" t="s">
        <v>70</v>
      </c>
      <c r="G3301" s="14">
        <v>44775</v>
      </c>
      <c r="H3301" s="13" t="s">
        <v>9</v>
      </c>
    </row>
    <row r="3302" spans="1:8" ht="14.4" x14ac:dyDescent="0.3">
      <c r="A3302" s="8">
        <v>82188098</v>
      </c>
      <c r="B3302" s="11">
        <v>44768</v>
      </c>
      <c r="C3302" s="13" t="s">
        <v>1286</v>
      </c>
      <c r="D3302" s="13" t="s">
        <v>4386</v>
      </c>
      <c r="E3302" s="8">
        <v>195853.69</v>
      </c>
      <c r="F3302" s="13" t="s">
        <v>70</v>
      </c>
      <c r="G3302" s="14">
        <v>44775</v>
      </c>
      <c r="H3302" s="13" t="s">
        <v>9</v>
      </c>
    </row>
    <row r="3303" spans="1:8" ht="14.4" x14ac:dyDescent="0.3">
      <c r="A3303" s="8">
        <v>82188099</v>
      </c>
      <c r="B3303" s="11">
        <v>44768</v>
      </c>
      <c r="C3303" s="13" t="s">
        <v>4387</v>
      </c>
      <c r="D3303" s="13" t="s">
        <v>4388</v>
      </c>
      <c r="E3303" s="8">
        <v>42000</v>
      </c>
      <c r="F3303" s="13" t="s">
        <v>70</v>
      </c>
      <c r="G3303" s="14">
        <v>44770</v>
      </c>
      <c r="H3303" s="13" t="s">
        <v>9</v>
      </c>
    </row>
    <row r="3304" spans="1:8" ht="14.4" x14ac:dyDescent="0.3">
      <c r="A3304" s="8">
        <v>82188100</v>
      </c>
      <c r="B3304" s="11">
        <v>44768</v>
      </c>
      <c r="C3304" s="13" t="s">
        <v>4389</v>
      </c>
      <c r="D3304" s="13" t="s">
        <v>4390</v>
      </c>
      <c r="E3304" s="8">
        <v>15000</v>
      </c>
      <c r="F3304" s="13" t="s">
        <v>70</v>
      </c>
      <c r="G3304" s="14">
        <v>44770</v>
      </c>
      <c r="H3304" s="13" t="s">
        <v>9</v>
      </c>
    </row>
    <row r="3305" spans="1:8" ht="14.4" x14ac:dyDescent="0.3">
      <c r="A3305" s="8">
        <v>82188101</v>
      </c>
      <c r="B3305" s="11">
        <v>44768</v>
      </c>
      <c r="C3305" s="13" t="s">
        <v>4391</v>
      </c>
      <c r="D3305" s="13" t="s">
        <v>4392</v>
      </c>
      <c r="E3305" s="8">
        <v>10000</v>
      </c>
      <c r="F3305" s="13" t="s">
        <v>70</v>
      </c>
      <c r="G3305" s="14">
        <v>44771</v>
      </c>
      <c r="H3305" s="13" t="s">
        <v>9</v>
      </c>
    </row>
    <row r="3306" spans="1:8" ht="14.4" x14ac:dyDescent="0.3">
      <c r="A3306" s="8">
        <v>82188102</v>
      </c>
      <c r="B3306" s="11">
        <v>44768</v>
      </c>
      <c r="C3306" s="13" t="s">
        <v>4393</v>
      </c>
      <c r="D3306" s="13" t="s">
        <v>4394</v>
      </c>
      <c r="E3306" s="8">
        <v>35000</v>
      </c>
      <c r="F3306" s="13" t="s">
        <v>70</v>
      </c>
      <c r="G3306" s="14">
        <v>44770</v>
      </c>
      <c r="H3306" s="13" t="s">
        <v>9</v>
      </c>
    </row>
    <row r="3307" spans="1:8" ht="14.4" x14ac:dyDescent="0.3">
      <c r="A3307" s="8">
        <v>82188103</v>
      </c>
      <c r="B3307" s="11">
        <v>44768</v>
      </c>
      <c r="C3307" s="13" t="s">
        <v>4395</v>
      </c>
      <c r="D3307" s="13" t="s">
        <v>4396</v>
      </c>
      <c r="E3307" s="8">
        <v>20000</v>
      </c>
      <c r="F3307" s="13" t="s">
        <v>70</v>
      </c>
      <c r="G3307" s="14">
        <v>44774</v>
      </c>
      <c r="H3307" s="13" t="s">
        <v>9</v>
      </c>
    </row>
    <row r="3308" spans="1:8" ht="14.4" x14ac:dyDescent="0.3">
      <c r="A3308" s="8">
        <v>82188104</v>
      </c>
      <c r="B3308" s="11">
        <v>44768</v>
      </c>
      <c r="C3308" s="13" t="s">
        <v>4397</v>
      </c>
      <c r="D3308" s="13" t="s">
        <v>4398</v>
      </c>
      <c r="E3308" s="8">
        <v>12000</v>
      </c>
      <c r="F3308" s="13" t="s">
        <v>70</v>
      </c>
      <c r="G3308" s="14">
        <v>44771</v>
      </c>
      <c r="H3308" s="13" t="s">
        <v>9</v>
      </c>
    </row>
    <row r="3309" spans="1:8" ht="14.4" x14ac:dyDescent="0.3">
      <c r="A3309" s="8">
        <v>82188105</v>
      </c>
      <c r="B3309" s="11">
        <v>44768</v>
      </c>
      <c r="C3309" s="13" t="s">
        <v>4399</v>
      </c>
      <c r="D3309" s="13" t="s">
        <v>4400</v>
      </c>
      <c r="E3309" s="8">
        <v>50000</v>
      </c>
      <c r="F3309" s="13" t="s">
        <v>70</v>
      </c>
      <c r="G3309" s="14">
        <v>44778</v>
      </c>
      <c r="H3309" s="13" t="s">
        <v>9</v>
      </c>
    </row>
    <row r="3310" spans="1:8" ht="14.4" x14ac:dyDescent="0.3">
      <c r="A3310" s="8">
        <v>82188106</v>
      </c>
      <c r="B3310" s="11">
        <v>44768</v>
      </c>
      <c r="C3310" s="13" t="s">
        <v>4401</v>
      </c>
      <c r="D3310" s="13" t="s">
        <v>4402</v>
      </c>
      <c r="E3310" s="8">
        <v>50000</v>
      </c>
      <c r="F3310" s="13" t="s">
        <v>70</v>
      </c>
      <c r="G3310" s="14">
        <v>44771</v>
      </c>
      <c r="H3310" s="13" t="s">
        <v>9</v>
      </c>
    </row>
    <row r="3311" spans="1:8" ht="14.4" x14ac:dyDescent="0.3">
      <c r="A3311" s="8">
        <v>82188107</v>
      </c>
      <c r="B3311" s="11">
        <v>44768</v>
      </c>
      <c r="C3311" s="13" t="s">
        <v>4403</v>
      </c>
      <c r="D3311" s="13" t="s">
        <v>4404</v>
      </c>
      <c r="E3311" s="8">
        <v>10000</v>
      </c>
      <c r="F3311" s="13" t="s">
        <v>70</v>
      </c>
      <c r="G3311" s="14">
        <v>44771</v>
      </c>
      <c r="H3311" s="13" t="s">
        <v>9</v>
      </c>
    </row>
    <row r="3312" spans="1:8" ht="14.4" x14ac:dyDescent="0.3">
      <c r="A3312" s="8">
        <v>82188108</v>
      </c>
      <c r="B3312" s="11">
        <v>44768</v>
      </c>
      <c r="C3312" s="13" t="s">
        <v>4405</v>
      </c>
      <c r="D3312" s="13" t="s">
        <v>4406</v>
      </c>
      <c r="E3312" s="8">
        <v>10000</v>
      </c>
      <c r="F3312" s="13" t="s">
        <v>70</v>
      </c>
      <c r="G3312" s="14">
        <v>44770</v>
      </c>
      <c r="H3312" s="13" t="s">
        <v>9</v>
      </c>
    </row>
    <row r="3313" spans="1:8" ht="14.4" x14ac:dyDescent="0.3">
      <c r="A3313" s="8">
        <v>82188109</v>
      </c>
      <c r="B3313" s="11">
        <v>44768</v>
      </c>
      <c r="C3313" s="13" t="s">
        <v>4407</v>
      </c>
      <c r="D3313" s="13" t="s">
        <v>4408</v>
      </c>
      <c r="E3313" s="8">
        <v>20000</v>
      </c>
      <c r="F3313" s="13" t="s">
        <v>70</v>
      </c>
      <c r="G3313" s="14">
        <v>44770</v>
      </c>
      <c r="H3313" s="13" t="s">
        <v>9</v>
      </c>
    </row>
    <row r="3314" spans="1:8" ht="14.4" x14ac:dyDescent="0.3">
      <c r="A3314" s="8">
        <v>82188110</v>
      </c>
      <c r="B3314" s="11">
        <v>44768</v>
      </c>
      <c r="C3314" s="13" t="s">
        <v>4409</v>
      </c>
      <c r="D3314" s="13" t="s">
        <v>4410</v>
      </c>
      <c r="E3314" s="8">
        <v>20000</v>
      </c>
      <c r="F3314" s="13" t="s">
        <v>70</v>
      </c>
      <c r="G3314" s="14">
        <v>44770</v>
      </c>
      <c r="H3314" s="13" t="s">
        <v>9</v>
      </c>
    </row>
    <row r="3315" spans="1:8" ht="14.4" x14ac:dyDescent="0.3">
      <c r="A3315" s="8">
        <v>82188111</v>
      </c>
      <c r="B3315" s="11">
        <v>44768</v>
      </c>
      <c r="C3315" s="13" t="s">
        <v>4411</v>
      </c>
      <c r="D3315" s="13" t="s">
        <v>4412</v>
      </c>
      <c r="E3315" s="8">
        <v>9000</v>
      </c>
      <c r="F3315" s="13" t="s">
        <v>70</v>
      </c>
      <c r="G3315" s="14">
        <v>44771</v>
      </c>
      <c r="H3315" s="13" t="s">
        <v>9</v>
      </c>
    </row>
    <row r="3316" spans="1:8" ht="14.4" x14ac:dyDescent="0.3">
      <c r="A3316" s="8">
        <v>82188112</v>
      </c>
      <c r="B3316" s="11">
        <v>44768</v>
      </c>
      <c r="C3316" s="13" t="s">
        <v>4413</v>
      </c>
      <c r="D3316" s="13" t="s">
        <v>4414</v>
      </c>
      <c r="E3316" s="8">
        <v>18000</v>
      </c>
      <c r="F3316" s="13" t="s">
        <v>70</v>
      </c>
      <c r="G3316" s="14">
        <v>44770</v>
      </c>
      <c r="H3316" s="13" t="s">
        <v>9</v>
      </c>
    </row>
    <row r="3317" spans="1:8" ht="14.4" x14ac:dyDescent="0.3">
      <c r="A3317" s="8">
        <v>82188113</v>
      </c>
      <c r="B3317" s="11">
        <v>44768</v>
      </c>
      <c r="C3317" s="13" t="s">
        <v>176</v>
      </c>
      <c r="D3317" s="13" t="s">
        <v>4415</v>
      </c>
      <c r="E3317" s="8">
        <v>8000</v>
      </c>
      <c r="F3317" s="13" t="s">
        <v>70</v>
      </c>
      <c r="G3317" s="14">
        <v>44783</v>
      </c>
      <c r="H3317" s="13" t="s">
        <v>9</v>
      </c>
    </row>
    <row r="3318" spans="1:8" ht="14.4" x14ac:dyDescent="0.3">
      <c r="A3318" s="8">
        <v>82188114</v>
      </c>
      <c r="B3318" s="11">
        <v>44768</v>
      </c>
      <c r="C3318" s="13" t="s">
        <v>4416</v>
      </c>
      <c r="D3318" s="13" t="s">
        <v>4417</v>
      </c>
      <c r="E3318" s="8">
        <v>45000</v>
      </c>
      <c r="F3318" s="13" t="s">
        <v>70</v>
      </c>
      <c r="G3318" s="14">
        <v>44771</v>
      </c>
      <c r="H3318" s="13" t="s">
        <v>9</v>
      </c>
    </row>
    <row r="3319" spans="1:8" ht="14.4" x14ac:dyDescent="0.3">
      <c r="A3319" s="8">
        <v>82188115</v>
      </c>
      <c r="B3319" s="11">
        <v>44768</v>
      </c>
      <c r="C3319" s="13" t="s">
        <v>4418</v>
      </c>
      <c r="D3319" s="13" t="s">
        <v>4419</v>
      </c>
      <c r="E3319" s="8">
        <v>18000</v>
      </c>
      <c r="F3319" s="13" t="s">
        <v>70</v>
      </c>
      <c r="G3319" s="14">
        <v>44771</v>
      </c>
      <c r="H3319" s="13" t="s">
        <v>9</v>
      </c>
    </row>
    <row r="3320" spans="1:8" ht="14.4" x14ac:dyDescent="0.3">
      <c r="A3320" s="8">
        <v>82188116</v>
      </c>
      <c r="B3320" s="11">
        <v>44768</v>
      </c>
      <c r="C3320" s="13" t="s">
        <v>4420</v>
      </c>
      <c r="D3320" s="13" t="s">
        <v>4421</v>
      </c>
      <c r="E3320" s="8">
        <v>12000</v>
      </c>
      <c r="F3320" s="13" t="s">
        <v>70</v>
      </c>
      <c r="G3320" s="14">
        <v>44771</v>
      </c>
      <c r="H3320" s="13" t="s">
        <v>9</v>
      </c>
    </row>
    <row r="3321" spans="1:8" ht="14.4" x14ac:dyDescent="0.3">
      <c r="A3321" s="8">
        <v>82188117</v>
      </c>
      <c r="B3321" s="11">
        <v>44768</v>
      </c>
      <c r="C3321" s="13" t="s">
        <v>4422</v>
      </c>
      <c r="D3321" s="13" t="s">
        <v>4423</v>
      </c>
      <c r="E3321" s="8">
        <v>25000</v>
      </c>
      <c r="F3321" s="13" t="s">
        <v>70</v>
      </c>
      <c r="G3321" s="14">
        <v>44771</v>
      </c>
      <c r="H3321" s="13" t="s">
        <v>9</v>
      </c>
    </row>
    <row r="3322" spans="1:8" ht="14.4" x14ac:dyDescent="0.3">
      <c r="A3322" s="8">
        <v>82188118</v>
      </c>
      <c r="B3322" s="11">
        <v>44768</v>
      </c>
      <c r="C3322" s="13" t="s">
        <v>4424</v>
      </c>
      <c r="D3322" s="13" t="s">
        <v>4425</v>
      </c>
      <c r="E3322" s="8">
        <v>13000</v>
      </c>
      <c r="F3322" s="13" t="s">
        <v>70</v>
      </c>
      <c r="G3322" s="14">
        <v>44771</v>
      </c>
      <c r="H3322" s="13" t="s">
        <v>9</v>
      </c>
    </row>
    <row r="3323" spans="1:8" ht="14.4" x14ac:dyDescent="0.3">
      <c r="A3323" s="8">
        <v>82188119</v>
      </c>
      <c r="B3323" s="11">
        <v>44768</v>
      </c>
      <c r="C3323" s="13" t="s">
        <v>4426</v>
      </c>
      <c r="D3323" s="13" t="s">
        <v>4427</v>
      </c>
      <c r="E3323" s="8">
        <v>9000</v>
      </c>
      <c r="F3323" s="13" t="s">
        <v>70</v>
      </c>
      <c r="G3323" s="14">
        <v>44771</v>
      </c>
      <c r="H3323" s="13" t="s">
        <v>9</v>
      </c>
    </row>
    <row r="3324" spans="1:8" ht="14.4" x14ac:dyDescent="0.3">
      <c r="A3324" s="8">
        <v>82188120</v>
      </c>
      <c r="B3324" s="11">
        <v>44768</v>
      </c>
      <c r="C3324" s="13" t="s">
        <v>363</v>
      </c>
      <c r="D3324" s="13" t="s">
        <v>4428</v>
      </c>
      <c r="E3324" s="8">
        <v>32828.6</v>
      </c>
      <c r="F3324" s="13" t="s">
        <v>70</v>
      </c>
      <c r="G3324" s="14">
        <v>44771</v>
      </c>
      <c r="H3324" s="13" t="s">
        <v>9</v>
      </c>
    </row>
    <row r="3325" spans="1:8" ht="14.4" x14ac:dyDescent="0.3">
      <c r="A3325" s="8">
        <v>82188121</v>
      </c>
      <c r="B3325" s="11">
        <v>44768</v>
      </c>
      <c r="C3325" s="13" t="s">
        <v>265</v>
      </c>
      <c r="D3325" s="13" t="s">
        <v>4429</v>
      </c>
      <c r="E3325" s="8">
        <v>43070</v>
      </c>
      <c r="F3325" s="13" t="s">
        <v>70</v>
      </c>
      <c r="G3325" s="14">
        <v>44770</v>
      </c>
      <c r="H3325" s="13" t="s">
        <v>9</v>
      </c>
    </row>
    <row r="3326" spans="1:8" ht="14.4" x14ac:dyDescent="0.3">
      <c r="A3326" s="8">
        <v>82188122</v>
      </c>
      <c r="B3326" s="11">
        <v>44768</v>
      </c>
      <c r="C3326" s="13" t="s">
        <v>1286</v>
      </c>
      <c r="D3326" s="13" t="s">
        <v>4430</v>
      </c>
      <c r="E3326" s="8">
        <v>23392.11</v>
      </c>
      <c r="F3326" s="13" t="s">
        <v>70</v>
      </c>
      <c r="G3326" s="14">
        <v>44775</v>
      </c>
      <c r="H3326" s="13" t="s">
        <v>9</v>
      </c>
    </row>
    <row r="3327" spans="1:8" ht="14.4" x14ac:dyDescent="0.3">
      <c r="A3327" s="8">
        <v>82188123</v>
      </c>
      <c r="B3327" s="11">
        <v>44768</v>
      </c>
      <c r="C3327" s="13" t="s">
        <v>3210</v>
      </c>
      <c r="D3327" s="13" t="s">
        <v>4431</v>
      </c>
      <c r="E3327" s="8">
        <v>187179.91</v>
      </c>
      <c r="F3327" s="13" t="s">
        <v>70</v>
      </c>
      <c r="G3327" s="14">
        <v>44770</v>
      </c>
      <c r="H3327" s="13" t="s">
        <v>9</v>
      </c>
    </row>
    <row r="3328" spans="1:8" ht="14.4" x14ac:dyDescent="0.3">
      <c r="A3328" s="8">
        <v>82188124</v>
      </c>
      <c r="B3328" s="11">
        <v>44768</v>
      </c>
      <c r="C3328" s="13" t="s">
        <v>3210</v>
      </c>
      <c r="D3328" s="13" t="s">
        <v>4432</v>
      </c>
      <c r="E3328" s="8">
        <v>5678.57</v>
      </c>
      <c r="F3328" s="13" t="s">
        <v>70</v>
      </c>
      <c r="G3328" s="14">
        <v>44770</v>
      </c>
      <c r="H3328" s="13" t="s">
        <v>9</v>
      </c>
    </row>
    <row r="3329" spans="1:8" ht="14.4" x14ac:dyDescent="0.3">
      <c r="A3329" s="8">
        <v>82188125</v>
      </c>
      <c r="B3329" s="11">
        <v>44768</v>
      </c>
      <c r="C3329" s="13" t="s">
        <v>1596</v>
      </c>
      <c r="D3329" s="13" t="s">
        <v>4433</v>
      </c>
      <c r="E3329" s="8">
        <v>764.4</v>
      </c>
      <c r="F3329" s="13" t="s">
        <v>70</v>
      </c>
      <c r="G3329" s="14">
        <v>44778</v>
      </c>
      <c r="H3329" s="13" t="s">
        <v>9</v>
      </c>
    </row>
    <row r="3330" spans="1:8" ht="14.4" x14ac:dyDescent="0.3">
      <c r="A3330" s="8">
        <v>82188126</v>
      </c>
      <c r="B3330" s="11">
        <v>44768</v>
      </c>
      <c r="C3330" s="13" t="s">
        <v>159</v>
      </c>
      <c r="D3330" s="13" t="s">
        <v>4434</v>
      </c>
      <c r="E3330" s="8">
        <v>312400</v>
      </c>
      <c r="F3330" s="13" t="s">
        <v>70</v>
      </c>
      <c r="G3330" s="14">
        <v>44769</v>
      </c>
      <c r="H3330" s="13" t="s">
        <v>9</v>
      </c>
    </row>
    <row r="3331" spans="1:8" ht="14.4" x14ac:dyDescent="0.3">
      <c r="A3331" s="8">
        <v>82188127</v>
      </c>
      <c r="B3331" s="11">
        <v>44768</v>
      </c>
      <c r="C3331" s="13" t="s">
        <v>884</v>
      </c>
      <c r="D3331" s="13" t="s">
        <v>4435</v>
      </c>
      <c r="E3331" s="8">
        <v>1500000</v>
      </c>
      <c r="F3331" s="13" t="s">
        <v>70</v>
      </c>
      <c r="G3331" s="14">
        <v>44768</v>
      </c>
      <c r="H3331" s="13" t="s">
        <v>9</v>
      </c>
    </row>
    <row r="3332" spans="1:8" ht="14.4" x14ac:dyDescent="0.3">
      <c r="A3332" s="8">
        <v>82188128</v>
      </c>
      <c r="B3332" s="11">
        <v>44768</v>
      </c>
      <c r="C3332" s="13" t="s">
        <v>1592</v>
      </c>
      <c r="D3332" s="13" t="s">
        <v>4436</v>
      </c>
      <c r="E3332" s="8">
        <v>13640.02</v>
      </c>
      <c r="F3332" s="13" t="s">
        <v>70</v>
      </c>
      <c r="G3332" s="14">
        <v>44770</v>
      </c>
      <c r="H3332" s="13" t="s">
        <v>9</v>
      </c>
    </row>
    <row r="3333" spans="1:8" ht="14.4" x14ac:dyDescent="0.3">
      <c r="A3333" s="8">
        <v>82188129</v>
      </c>
      <c r="B3333" s="11">
        <v>44768</v>
      </c>
      <c r="C3333" s="13" t="s">
        <v>405</v>
      </c>
      <c r="D3333" s="13" t="s">
        <v>4437</v>
      </c>
      <c r="E3333" s="8">
        <v>29882.44</v>
      </c>
      <c r="F3333" s="13" t="s">
        <v>70</v>
      </c>
      <c r="G3333" s="14">
        <v>44769</v>
      </c>
      <c r="H3333" s="13" t="s">
        <v>9</v>
      </c>
    </row>
    <row r="3334" spans="1:8" ht="14.4" x14ac:dyDescent="0.3">
      <c r="A3334" s="8">
        <v>82188130</v>
      </c>
      <c r="B3334" s="11">
        <v>44768</v>
      </c>
      <c r="C3334" s="13" t="s">
        <v>3838</v>
      </c>
      <c r="D3334" s="13" t="s">
        <v>4438</v>
      </c>
      <c r="E3334" s="8">
        <v>39165</v>
      </c>
      <c r="F3334" s="13" t="s">
        <v>70</v>
      </c>
      <c r="G3334" s="14">
        <v>44776</v>
      </c>
      <c r="H3334" s="13" t="s">
        <v>9</v>
      </c>
    </row>
    <row r="3335" spans="1:8" ht="14.4" x14ac:dyDescent="0.3">
      <c r="A3335" s="8">
        <v>82188131</v>
      </c>
      <c r="B3335" s="11">
        <v>44768</v>
      </c>
      <c r="C3335" s="13" t="s">
        <v>2711</v>
      </c>
      <c r="D3335" s="13" t="s">
        <v>4439</v>
      </c>
      <c r="E3335" s="8">
        <v>14906.24</v>
      </c>
      <c r="F3335" s="13" t="s">
        <v>70</v>
      </c>
      <c r="G3335" s="14">
        <v>44770</v>
      </c>
      <c r="H3335" s="13" t="s">
        <v>9</v>
      </c>
    </row>
    <row r="3336" spans="1:8" ht="14.4" x14ac:dyDescent="0.3">
      <c r="A3336" s="8">
        <v>82188132</v>
      </c>
      <c r="B3336" s="11">
        <v>44768</v>
      </c>
      <c r="C3336" s="13" t="s">
        <v>2711</v>
      </c>
      <c r="D3336" s="13" t="s">
        <v>4440</v>
      </c>
      <c r="E3336" s="8">
        <v>15710.72</v>
      </c>
      <c r="F3336" s="13" t="s">
        <v>70</v>
      </c>
      <c r="G3336" s="14">
        <v>44770</v>
      </c>
      <c r="H3336" s="13" t="s">
        <v>9</v>
      </c>
    </row>
    <row r="3337" spans="1:8" ht="14.4" x14ac:dyDescent="0.3">
      <c r="A3337" s="8">
        <v>82188133</v>
      </c>
      <c r="B3337" s="11">
        <v>44768</v>
      </c>
      <c r="C3337" s="13" t="s">
        <v>4441</v>
      </c>
      <c r="D3337" s="13" t="s">
        <v>4442</v>
      </c>
      <c r="E3337" s="8">
        <v>50000</v>
      </c>
      <c r="F3337" s="13" t="s">
        <v>70</v>
      </c>
      <c r="G3337" s="14">
        <v>44770</v>
      </c>
      <c r="H3337" s="13" t="s">
        <v>9</v>
      </c>
    </row>
    <row r="3338" spans="1:8" ht="14.4" x14ac:dyDescent="0.3">
      <c r="A3338" s="8">
        <v>82188134</v>
      </c>
      <c r="B3338" s="11">
        <v>44768</v>
      </c>
      <c r="C3338" s="13" t="s">
        <v>4443</v>
      </c>
      <c r="D3338" s="13" t="s">
        <v>4444</v>
      </c>
      <c r="E3338" s="8">
        <v>6000</v>
      </c>
      <c r="F3338" s="13" t="s">
        <v>70</v>
      </c>
      <c r="G3338" s="14">
        <v>44774</v>
      </c>
      <c r="H3338" s="13" t="s">
        <v>9</v>
      </c>
    </row>
    <row r="3339" spans="1:8" ht="14.4" x14ac:dyDescent="0.3">
      <c r="A3339" s="8">
        <v>82188136</v>
      </c>
      <c r="B3339" s="11">
        <v>44768</v>
      </c>
      <c r="C3339" s="13" t="s">
        <v>152</v>
      </c>
      <c r="D3339" s="13" t="s">
        <v>4445</v>
      </c>
      <c r="E3339" s="8">
        <v>31642</v>
      </c>
      <c r="F3339" s="13" t="s">
        <v>70</v>
      </c>
      <c r="G3339" s="14">
        <v>44770</v>
      </c>
      <c r="H3339" s="13" t="s">
        <v>9</v>
      </c>
    </row>
    <row r="3340" spans="1:8" ht="14.4" x14ac:dyDescent="0.3">
      <c r="A3340" s="8">
        <v>82188137</v>
      </c>
      <c r="B3340" s="11">
        <v>44768</v>
      </c>
      <c r="C3340" s="13" t="s">
        <v>1286</v>
      </c>
      <c r="D3340" s="13" t="s">
        <v>4446</v>
      </c>
      <c r="E3340" s="8">
        <v>19461.46</v>
      </c>
      <c r="F3340" s="13" t="s">
        <v>70</v>
      </c>
      <c r="G3340" s="14">
        <v>44775</v>
      </c>
      <c r="H3340" s="13" t="s">
        <v>9</v>
      </c>
    </row>
    <row r="3341" spans="1:8" ht="14.4" x14ac:dyDescent="0.3">
      <c r="A3341" s="8">
        <v>82188138</v>
      </c>
      <c r="B3341" s="11">
        <v>44768</v>
      </c>
      <c r="C3341" s="13" t="s">
        <v>1286</v>
      </c>
      <c r="D3341" s="13" t="s">
        <v>3830</v>
      </c>
      <c r="E3341" s="8">
        <v>5160.68</v>
      </c>
      <c r="F3341" s="13" t="s">
        <v>70</v>
      </c>
      <c r="G3341" s="14">
        <v>44775</v>
      </c>
      <c r="H3341" s="13" t="s">
        <v>9</v>
      </c>
    </row>
    <row r="3342" spans="1:8" ht="14.4" x14ac:dyDescent="0.3">
      <c r="A3342" s="8">
        <v>82188139</v>
      </c>
      <c r="B3342" s="11">
        <v>44768</v>
      </c>
      <c r="C3342" s="13" t="s">
        <v>1286</v>
      </c>
      <c r="D3342" s="13" t="s">
        <v>4447</v>
      </c>
      <c r="E3342" s="8">
        <v>142983.76999999999</v>
      </c>
      <c r="F3342" s="13" t="s">
        <v>70</v>
      </c>
      <c r="G3342" s="14">
        <v>44775</v>
      </c>
      <c r="H3342" s="13" t="s">
        <v>9</v>
      </c>
    </row>
    <row r="3343" spans="1:8" ht="14.4" x14ac:dyDescent="0.3">
      <c r="A3343" s="8">
        <v>82188140</v>
      </c>
      <c r="B3343" s="11">
        <v>44768</v>
      </c>
      <c r="C3343" s="13" t="s">
        <v>4448</v>
      </c>
      <c r="D3343" s="13" t="s">
        <v>4449</v>
      </c>
      <c r="E3343" s="8">
        <v>20000</v>
      </c>
      <c r="F3343" s="13" t="s">
        <v>70</v>
      </c>
      <c r="G3343" s="14">
        <v>44770</v>
      </c>
      <c r="H3343" s="13" t="s">
        <v>9</v>
      </c>
    </row>
    <row r="3344" spans="1:8" ht="14.4" x14ac:dyDescent="0.3">
      <c r="A3344" s="8">
        <v>82188141</v>
      </c>
      <c r="B3344" s="11">
        <v>44768</v>
      </c>
      <c r="C3344" s="13" t="s">
        <v>4450</v>
      </c>
      <c r="D3344" s="13" t="s">
        <v>4451</v>
      </c>
      <c r="E3344" s="8">
        <v>13000</v>
      </c>
      <c r="F3344" s="13" t="s">
        <v>70</v>
      </c>
      <c r="G3344" s="14">
        <v>44770</v>
      </c>
      <c r="H3344" s="13" t="s">
        <v>9</v>
      </c>
    </row>
    <row r="3345" spans="1:8" ht="14.4" x14ac:dyDescent="0.3">
      <c r="A3345" s="8">
        <v>82188142</v>
      </c>
      <c r="B3345" s="11">
        <v>44768</v>
      </c>
      <c r="C3345" s="13" t="s">
        <v>4452</v>
      </c>
      <c r="D3345" s="13" t="s">
        <v>4453</v>
      </c>
      <c r="E3345" s="8">
        <v>8000</v>
      </c>
      <c r="F3345" s="13" t="s">
        <v>70</v>
      </c>
      <c r="G3345" s="14">
        <v>44770</v>
      </c>
      <c r="H3345" s="13" t="s">
        <v>9</v>
      </c>
    </row>
    <row r="3346" spans="1:8" ht="14.4" x14ac:dyDescent="0.3">
      <c r="A3346" s="8">
        <v>82188143</v>
      </c>
      <c r="B3346" s="11">
        <v>44768</v>
      </c>
      <c r="C3346" s="13" t="s">
        <v>4454</v>
      </c>
      <c r="D3346" s="13" t="s">
        <v>4455</v>
      </c>
      <c r="E3346" s="8">
        <v>25000</v>
      </c>
      <c r="F3346" s="13" t="s">
        <v>70</v>
      </c>
      <c r="G3346" s="14">
        <v>44770</v>
      </c>
      <c r="H3346" s="13" t="s">
        <v>9</v>
      </c>
    </row>
    <row r="3347" spans="1:8" ht="14.4" x14ac:dyDescent="0.3">
      <c r="A3347" s="8">
        <v>82188144</v>
      </c>
      <c r="B3347" s="11">
        <v>44768</v>
      </c>
      <c r="C3347" s="13" t="s">
        <v>1193</v>
      </c>
      <c r="D3347" s="13" t="s">
        <v>4456</v>
      </c>
      <c r="E3347" s="8">
        <v>8000</v>
      </c>
      <c r="F3347" s="13" t="s">
        <v>70</v>
      </c>
      <c r="G3347" s="14">
        <v>44783</v>
      </c>
      <c r="H3347" s="13" t="s">
        <v>9</v>
      </c>
    </row>
    <row r="3348" spans="1:8" ht="14.4" x14ac:dyDescent="0.3">
      <c r="A3348" s="8">
        <v>82188145</v>
      </c>
      <c r="B3348" s="11">
        <v>44768</v>
      </c>
      <c r="C3348" s="13" t="s">
        <v>4457</v>
      </c>
      <c r="D3348" s="13" t="s">
        <v>4458</v>
      </c>
      <c r="E3348" s="8">
        <v>8000</v>
      </c>
      <c r="F3348" s="13" t="s">
        <v>70</v>
      </c>
      <c r="G3348" s="14">
        <v>44775</v>
      </c>
      <c r="H3348" s="13" t="s">
        <v>9</v>
      </c>
    </row>
    <row r="3349" spans="1:8" ht="14.4" x14ac:dyDescent="0.3">
      <c r="A3349" s="8">
        <v>82188146</v>
      </c>
      <c r="B3349" s="11">
        <v>44768</v>
      </c>
      <c r="C3349" s="13" t="s">
        <v>4459</v>
      </c>
      <c r="D3349" s="13" t="s">
        <v>4460</v>
      </c>
      <c r="E3349" s="8">
        <v>9000</v>
      </c>
      <c r="F3349" s="13" t="s">
        <v>70</v>
      </c>
      <c r="G3349" s="14">
        <v>44770</v>
      </c>
      <c r="H3349" s="13" t="s">
        <v>9</v>
      </c>
    </row>
    <row r="3350" spans="1:8" ht="14.4" x14ac:dyDescent="0.3">
      <c r="A3350" s="8">
        <v>82188147</v>
      </c>
      <c r="B3350" s="11">
        <v>44768</v>
      </c>
      <c r="C3350" s="13" t="s">
        <v>4461</v>
      </c>
      <c r="D3350" s="13" t="s">
        <v>4462</v>
      </c>
      <c r="E3350" s="8">
        <v>16000</v>
      </c>
      <c r="F3350" s="13" t="s">
        <v>70</v>
      </c>
      <c r="G3350" s="14">
        <v>44770</v>
      </c>
      <c r="H3350" s="13" t="s">
        <v>9</v>
      </c>
    </row>
    <row r="3351" spans="1:8" ht="14.4" x14ac:dyDescent="0.3">
      <c r="A3351" s="8">
        <v>82188148</v>
      </c>
      <c r="B3351" s="11">
        <v>44768</v>
      </c>
      <c r="C3351" s="13" t="s">
        <v>4463</v>
      </c>
      <c r="D3351" s="13" t="s">
        <v>4464</v>
      </c>
      <c r="E3351" s="8">
        <v>30000</v>
      </c>
      <c r="F3351" s="13" t="s">
        <v>70</v>
      </c>
      <c r="G3351" s="14">
        <v>44774</v>
      </c>
      <c r="H3351" s="13" t="s">
        <v>9</v>
      </c>
    </row>
    <row r="3352" spans="1:8" ht="14.4" x14ac:dyDescent="0.3">
      <c r="A3352" s="8">
        <v>82188149</v>
      </c>
      <c r="B3352" s="11">
        <v>44768</v>
      </c>
      <c r="C3352" s="13" t="s">
        <v>1308</v>
      </c>
      <c r="D3352" s="13" t="s">
        <v>4465</v>
      </c>
      <c r="E3352" s="8">
        <v>18750</v>
      </c>
      <c r="F3352" s="13" t="s">
        <v>70</v>
      </c>
      <c r="G3352" s="14">
        <v>44782</v>
      </c>
      <c r="H3352" s="13" t="s">
        <v>9</v>
      </c>
    </row>
    <row r="3353" spans="1:8" ht="14.4" x14ac:dyDescent="0.3">
      <c r="A3353" s="8">
        <v>82188150</v>
      </c>
      <c r="B3353" s="11">
        <v>44768</v>
      </c>
      <c r="C3353" s="13" t="s">
        <v>4466</v>
      </c>
      <c r="D3353" s="13" t="s">
        <v>4467</v>
      </c>
      <c r="E3353" s="8">
        <v>36437.5</v>
      </c>
      <c r="F3353" s="13" t="s">
        <v>70</v>
      </c>
      <c r="G3353" s="14">
        <v>44813</v>
      </c>
      <c r="H3353" s="13" t="s">
        <v>9</v>
      </c>
    </row>
    <row r="3354" spans="1:8" ht="14.4" x14ac:dyDescent="0.3">
      <c r="A3354" s="8">
        <v>82188151</v>
      </c>
      <c r="B3354" s="11">
        <v>44768</v>
      </c>
      <c r="C3354" s="13" t="s">
        <v>202</v>
      </c>
      <c r="D3354" s="13" t="s">
        <v>4468</v>
      </c>
      <c r="E3354" s="8">
        <v>45563.91</v>
      </c>
      <c r="F3354" s="13" t="s">
        <v>70</v>
      </c>
      <c r="G3354" s="14">
        <v>44770</v>
      </c>
      <c r="H3354" s="13" t="s">
        <v>9</v>
      </c>
    </row>
    <row r="3355" spans="1:8" ht="14.4" x14ac:dyDescent="0.3">
      <c r="A3355" s="8">
        <v>82188152</v>
      </c>
      <c r="B3355" s="11">
        <v>44768</v>
      </c>
      <c r="C3355" s="13" t="s">
        <v>193</v>
      </c>
      <c r="D3355" s="13" t="s">
        <v>4469</v>
      </c>
      <c r="E3355" s="8">
        <v>46375</v>
      </c>
      <c r="F3355" s="13" t="s">
        <v>70</v>
      </c>
      <c r="G3355" s="14">
        <v>44769</v>
      </c>
      <c r="H3355" s="13" t="s">
        <v>9</v>
      </c>
    </row>
    <row r="3356" spans="1:8" ht="14.4" x14ac:dyDescent="0.3">
      <c r="A3356" s="8">
        <v>82188154</v>
      </c>
      <c r="B3356" s="11">
        <v>44768</v>
      </c>
      <c r="C3356" s="13" t="s">
        <v>3263</v>
      </c>
      <c r="D3356" s="13" t="s">
        <v>4470</v>
      </c>
      <c r="E3356" s="8">
        <v>51400.02</v>
      </c>
      <c r="F3356" s="13" t="s">
        <v>70</v>
      </c>
      <c r="G3356" s="14">
        <v>44777</v>
      </c>
      <c r="H3356" s="13" t="s">
        <v>9</v>
      </c>
    </row>
    <row r="3357" spans="1:8" ht="14.4" x14ac:dyDescent="0.3">
      <c r="A3357" s="8">
        <v>82188155</v>
      </c>
      <c r="B3357" s="11">
        <v>44768</v>
      </c>
      <c r="C3357" s="13" t="s">
        <v>1424</v>
      </c>
      <c r="D3357" s="13" t="s">
        <v>4471</v>
      </c>
      <c r="E3357" s="8">
        <v>58441.96</v>
      </c>
      <c r="F3357" s="13" t="s">
        <v>70</v>
      </c>
      <c r="G3357" s="14">
        <v>44769</v>
      </c>
      <c r="H3357" s="13" t="s">
        <v>9</v>
      </c>
    </row>
    <row r="3358" spans="1:8" ht="14.4" x14ac:dyDescent="0.3">
      <c r="A3358" s="8">
        <v>82188156</v>
      </c>
      <c r="B3358" s="11">
        <v>44768</v>
      </c>
      <c r="C3358" s="13" t="s">
        <v>2077</v>
      </c>
      <c r="D3358" s="13" t="s">
        <v>4472</v>
      </c>
      <c r="E3358" s="8">
        <v>51296.43</v>
      </c>
      <c r="F3358" s="13" t="s">
        <v>70</v>
      </c>
      <c r="G3358" s="14">
        <v>44775</v>
      </c>
      <c r="H3358" s="13" t="s">
        <v>9</v>
      </c>
    </row>
    <row r="3359" spans="1:8" ht="14.4" x14ac:dyDescent="0.3">
      <c r="A3359" s="8">
        <v>82188157</v>
      </c>
      <c r="B3359" s="11">
        <v>44768</v>
      </c>
      <c r="C3359" s="13" t="s">
        <v>2403</v>
      </c>
      <c r="D3359" s="13" t="s">
        <v>4473</v>
      </c>
      <c r="E3359" s="8">
        <v>79128.22</v>
      </c>
      <c r="F3359" s="13" t="s">
        <v>70</v>
      </c>
      <c r="G3359" s="14">
        <v>44771</v>
      </c>
      <c r="H3359" s="13" t="s">
        <v>9</v>
      </c>
    </row>
    <row r="3360" spans="1:8" ht="14.4" x14ac:dyDescent="0.3">
      <c r="A3360" s="8">
        <v>82188158</v>
      </c>
      <c r="B3360" s="11">
        <v>44768</v>
      </c>
      <c r="C3360" s="13" t="s">
        <v>405</v>
      </c>
      <c r="D3360" s="13" t="s">
        <v>4474</v>
      </c>
      <c r="E3360" s="8">
        <v>87478.25</v>
      </c>
      <c r="F3360" s="13" t="s">
        <v>70</v>
      </c>
      <c r="G3360" s="14">
        <v>44769</v>
      </c>
      <c r="H3360" s="13" t="s">
        <v>9</v>
      </c>
    </row>
    <row r="3361" spans="1:8" ht="14.4" x14ac:dyDescent="0.3">
      <c r="A3361" s="8">
        <v>82188159</v>
      </c>
      <c r="B3361" s="11">
        <v>44768</v>
      </c>
      <c r="C3361" s="13" t="s">
        <v>1524</v>
      </c>
      <c r="D3361" s="13" t="s">
        <v>4475</v>
      </c>
      <c r="E3361" s="8">
        <v>49973.15</v>
      </c>
      <c r="F3361" s="13" t="s">
        <v>70</v>
      </c>
      <c r="G3361" s="14">
        <v>44775</v>
      </c>
      <c r="H3361" s="13" t="s">
        <v>9</v>
      </c>
    </row>
    <row r="3362" spans="1:8" ht="14.4" x14ac:dyDescent="0.3">
      <c r="A3362" s="8">
        <v>82188160</v>
      </c>
      <c r="B3362" s="11">
        <v>44768</v>
      </c>
      <c r="C3362" s="13" t="s">
        <v>245</v>
      </c>
      <c r="D3362" s="13" t="s">
        <v>4476</v>
      </c>
      <c r="E3362" s="8">
        <v>74642.720000000001</v>
      </c>
      <c r="F3362" s="13" t="s">
        <v>70</v>
      </c>
      <c r="G3362" s="14">
        <v>44770</v>
      </c>
      <c r="H3362" s="13" t="s">
        <v>9</v>
      </c>
    </row>
    <row r="3363" spans="1:8" ht="14.4" x14ac:dyDescent="0.3">
      <c r="A3363" s="8">
        <v>82188161</v>
      </c>
      <c r="B3363" s="11">
        <v>44768</v>
      </c>
      <c r="C3363" s="13" t="s">
        <v>1941</v>
      </c>
      <c r="D3363" s="13" t="s">
        <v>4477</v>
      </c>
      <c r="E3363" s="8">
        <v>58894.91</v>
      </c>
      <c r="F3363" s="13" t="s">
        <v>70</v>
      </c>
      <c r="G3363" s="14">
        <v>44770</v>
      </c>
      <c r="H3363" s="13" t="s">
        <v>9</v>
      </c>
    </row>
    <row r="3364" spans="1:8" ht="14.4" x14ac:dyDescent="0.3">
      <c r="A3364" s="8">
        <v>82188162</v>
      </c>
      <c r="B3364" s="11">
        <v>44768</v>
      </c>
      <c r="C3364" s="13" t="s">
        <v>1524</v>
      </c>
      <c r="D3364" s="13" t="s">
        <v>4478</v>
      </c>
      <c r="E3364" s="8">
        <v>53563.72</v>
      </c>
      <c r="F3364" s="13" t="s">
        <v>70</v>
      </c>
      <c r="G3364" s="14">
        <v>44770</v>
      </c>
      <c r="H3364" s="13" t="s">
        <v>9</v>
      </c>
    </row>
    <row r="3365" spans="1:8" ht="14.4" x14ac:dyDescent="0.3">
      <c r="A3365" s="8">
        <v>82188163</v>
      </c>
      <c r="B3365" s="11">
        <v>44768</v>
      </c>
      <c r="C3365" s="13" t="s">
        <v>405</v>
      </c>
      <c r="D3365" s="13" t="s">
        <v>4479</v>
      </c>
      <c r="E3365" s="8">
        <v>93347.02</v>
      </c>
      <c r="F3365" s="13" t="s">
        <v>70</v>
      </c>
      <c r="G3365" s="14">
        <v>44769</v>
      </c>
      <c r="H3365" s="13" t="s">
        <v>9</v>
      </c>
    </row>
    <row r="3366" spans="1:8" ht="14.4" x14ac:dyDescent="0.3">
      <c r="A3366" s="8">
        <v>82188164</v>
      </c>
      <c r="B3366" s="11">
        <v>44768</v>
      </c>
      <c r="C3366" s="13" t="s">
        <v>4480</v>
      </c>
      <c r="D3366" s="13" t="s">
        <v>4481</v>
      </c>
      <c r="E3366" s="8">
        <v>11928.72</v>
      </c>
      <c r="F3366" s="13" t="s">
        <v>70</v>
      </c>
      <c r="G3366" s="14">
        <v>44770</v>
      </c>
      <c r="H3366" s="13" t="s">
        <v>9</v>
      </c>
    </row>
    <row r="3367" spans="1:8" ht="14.4" x14ac:dyDescent="0.3">
      <c r="A3367" s="8">
        <v>82188165</v>
      </c>
      <c r="B3367" s="11">
        <v>44768</v>
      </c>
      <c r="C3367" s="13" t="s">
        <v>4482</v>
      </c>
      <c r="D3367" s="13" t="s">
        <v>4483</v>
      </c>
      <c r="E3367" s="8">
        <v>40000</v>
      </c>
      <c r="F3367" s="13" t="s">
        <v>70</v>
      </c>
      <c r="G3367" s="14">
        <v>44775</v>
      </c>
      <c r="H3367" s="13" t="s">
        <v>9</v>
      </c>
    </row>
    <row r="3368" spans="1:8" ht="14.4" x14ac:dyDescent="0.3">
      <c r="A3368" s="8">
        <v>82188166</v>
      </c>
      <c r="B3368" s="11">
        <v>44768</v>
      </c>
      <c r="C3368" s="13" t="s">
        <v>189</v>
      </c>
      <c r="D3368" s="13" t="s">
        <v>4484</v>
      </c>
      <c r="E3368" s="8">
        <v>194830.7</v>
      </c>
      <c r="F3368" s="13" t="s">
        <v>70</v>
      </c>
      <c r="G3368" s="14">
        <v>44783</v>
      </c>
      <c r="H3368" s="13" t="s">
        <v>9</v>
      </c>
    </row>
    <row r="3369" spans="1:8" ht="14.4" x14ac:dyDescent="0.3">
      <c r="A3369" s="8">
        <v>82188167</v>
      </c>
      <c r="B3369" s="11">
        <v>44768</v>
      </c>
      <c r="C3369" s="13" t="s">
        <v>4485</v>
      </c>
      <c r="D3369" s="13" t="s">
        <v>4486</v>
      </c>
      <c r="E3369" s="8">
        <v>12925.79</v>
      </c>
      <c r="F3369" s="13" t="s">
        <v>70</v>
      </c>
      <c r="G3369" s="14">
        <v>44770</v>
      </c>
      <c r="H3369" s="13" t="s">
        <v>9</v>
      </c>
    </row>
    <row r="3370" spans="1:8" ht="14.4" x14ac:dyDescent="0.3">
      <c r="A3370" s="8">
        <v>82188168</v>
      </c>
      <c r="B3370" s="11">
        <v>44768</v>
      </c>
      <c r="C3370" s="13" t="s">
        <v>395</v>
      </c>
      <c r="D3370" s="13" t="s">
        <v>4487</v>
      </c>
      <c r="E3370" s="8">
        <v>40009</v>
      </c>
      <c r="F3370" s="13" t="s">
        <v>70</v>
      </c>
      <c r="G3370" s="14">
        <v>44770</v>
      </c>
      <c r="H3370" s="13" t="s">
        <v>9</v>
      </c>
    </row>
    <row r="3371" spans="1:8" ht="14.4" x14ac:dyDescent="0.3">
      <c r="A3371" s="8">
        <v>82188169</v>
      </c>
      <c r="B3371" s="11">
        <v>44768</v>
      </c>
      <c r="C3371" s="13" t="s">
        <v>162</v>
      </c>
      <c r="D3371" s="13" t="s">
        <v>4488</v>
      </c>
      <c r="E3371" s="8">
        <v>1138.2</v>
      </c>
      <c r="F3371" s="13" t="s">
        <v>70</v>
      </c>
      <c r="G3371" s="14">
        <v>44777</v>
      </c>
      <c r="H3371" s="13" t="s">
        <v>9</v>
      </c>
    </row>
    <row r="3372" spans="1:8" ht="14.4" x14ac:dyDescent="0.3">
      <c r="A3372" s="8">
        <v>82188170</v>
      </c>
      <c r="B3372" s="11">
        <v>44768</v>
      </c>
      <c r="C3372" s="13" t="s">
        <v>162</v>
      </c>
      <c r="D3372" s="13" t="s">
        <v>4489</v>
      </c>
      <c r="E3372" s="8">
        <v>11752.61</v>
      </c>
      <c r="F3372" s="13" t="s">
        <v>70</v>
      </c>
      <c r="G3372" s="14">
        <v>44777</v>
      </c>
      <c r="H3372" s="13" t="s">
        <v>9</v>
      </c>
    </row>
    <row r="3373" spans="1:8" ht="14.4" x14ac:dyDescent="0.3">
      <c r="A3373" s="8">
        <v>82188171</v>
      </c>
      <c r="B3373" s="11">
        <v>44768</v>
      </c>
      <c r="C3373" s="13" t="s">
        <v>162</v>
      </c>
      <c r="D3373" s="13" t="s">
        <v>4490</v>
      </c>
      <c r="E3373" s="8">
        <v>769239.79</v>
      </c>
      <c r="F3373" s="13" t="s">
        <v>70</v>
      </c>
      <c r="G3373" s="14">
        <v>44777</v>
      </c>
      <c r="H3373" s="13" t="s">
        <v>9</v>
      </c>
    </row>
    <row r="3374" spans="1:8" ht="14.4" x14ac:dyDescent="0.3">
      <c r="A3374" s="8">
        <v>82188172</v>
      </c>
      <c r="B3374" s="11">
        <v>44768</v>
      </c>
      <c r="C3374" s="13" t="s">
        <v>162</v>
      </c>
      <c r="D3374" s="13" t="s">
        <v>4491</v>
      </c>
      <c r="E3374" s="8">
        <v>28154.81</v>
      </c>
      <c r="F3374" s="13" t="s">
        <v>70</v>
      </c>
      <c r="G3374" s="14">
        <v>44776</v>
      </c>
      <c r="H3374" s="13" t="s">
        <v>9</v>
      </c>
    </row>
    <row r="3375" spans="1:8" ht="14.4" x14ac:dyDescent="0.3">
      <c r="A3375" s="8">
        <v>82188173</v>
      </c>
      <c r="B3375" s="11">
        <v>44768</v>
      </c>
      <c r="C3375" s="13" t="s">
        <v>1286</v>
      </c>
      <c r="D3375" s="13" t="s">
        <v>4492</v>
      </c>
      <c r="E3375" s="8">
        <v>7529.36</v>
      </c>
      <c r="F3375" s="13" t="s">
        <v>70</v>
      </c>
      <c r="G3375" s="14">
        <v>44775</v>
      </c>
      <c r="H3375" s="13" t="s">
        <v>9</v>
      </c>
    </row>
    <row r="3376" spans="1:8" ht="14.4" x14ac:dyDescent="0.3">
      <c r="A3376" s="8">
        <v>82188174</v>
      </c>
      <c r="B3376" s="11">
        <v>44768</v>
      </c>
      <c r="C3376" s="13" t="s">
        <v>279</v>
      </c>
      <c r="D3376" s="13" t="s">
        <v>4493</v>
      </c>
      <c r="E3376" s="8">
        <v>20000</v>
      </c>
      <c r="F3376" s="13" t="s">
        <v>70</v>
      </c>
      <c r="G3376" s="14">
        <v>44788</v>
      </c>
      <c r="H3376" s="13" t="s">
        <v>9</v>
      </c>
    </row>
    <row r="3377" spans="1:8" ht="14.4" x14ac:dyDescent="0.3">
      <c r="A3377" s="8">
        <v>82188175</v>
      </c>
      <c r="B3377" s="11">
        <v>44768</v>
      </c>
      <c r="C3377" s="13" t="s">
        <v>4494</v>
      </c>
      <c r="D3377" s="13" t="s">
        <v>4444</v>
      </c>
      <c r="E3377" s="8">
        <v>6000</v>
      </c>
      <c r="F3377" s="13" t="s">
        <v>70</v>
      </c>
      <c r="G3377" s="14">
        <v>44769</v>
      </c>
      <c r="H3377" s="13" t="s">
        <v>9</v>
      </c>
    </row>
    <row r="3378" spans="1:8" ht="14.4" x14ac:dyDescent="0.3">
      <c r="A3378" s="8">
        <v>82188176</v>
      </c>
      <c r="B3378" s="11">
        <v>44768</v>
      </c>
      <c r="C3378" s="13" t="s">
        <v>1286</v>
      </c>
      <c r="D3378" s="13" t="s">
        <v>4495</v>
      </c>
      <c r="E3378" s="8">
        <v>19660.22</v>
      </c>
      <c r="F3378" s="13" t="s">
        <v>70</v>
      </c>
      <c r="G3378" s="14">
        <v>44775</v>
      </c>
      <c r="H3378" s="13" t="s">
        <v>9</v>
      </c>
    </row>
    <row r="3379" spans="1:8" ht="14.4" x14ac:dyDescent="0.3">
      <c r="A3379" s="8">
        <v>82188177</v>
      </c>
      <c r="B3379" s="11">
        <v>44768</v>
      </c>
      <c r="C3379" s="13" t="s">
        <v>1286</v>
      </c>
      <c r="D3379" s="13" t="s">
        <v>4496</v>
      </c>
      <c r="E3379" s="8">
        <v>8785.1299999999992</v>
      </c>
      <c r="F3379" s="13" t="s">
        <v>70</v>
      </c>
      <c r="G3379" s="14">
        <v>44775</v>
      </c>
      <c r="H3379" s="13" t="s">
        <v>9</v>
      </c>
    </row>
    <row r="3380" spans="1:8" ht="14.4" x14ac:dyDescent="0.3">
      <c r="A3380" s="8">
        <v>82188178</v>
      </c>
      <c r="B3380" s="11">
        <v>44768</v>
      </c>
      <c r="C3380" s="13" t="s">
        <v>1424</v>
      </c>
      <c r="D3380" s="13" t="s">
        <v>3630</v>
      </c>
      <c r="E3380" s="8">
        <v>51698.66</v>
      </c>
      <c r="F3380" s="13" t="s">
        <v>70</v>
      </c>
      <c r="G3380" s="14">
        <v>44769</v>
      </c>
      <c r="H3380" s="13" t="s">
        <v>9</v>
      </c>
    </row>
    <row r="3381" spans="1:8" ht="14.4" x14ac:dyDescent="0.3">
      <c r="A3381" s="8">
        <v>82188179</v>
      </c>
      <c r="B3381" s="11">
        <v>44768</v>
      </c>
      <c r="C3381" s="13" t="s">
        <v>162</v>
      </c>
      <c r="D3381" s="13" t="s">
        <v>4497</v>
      </c>
      <c r="E3381" s="8">
        <v>81315.47</v>
      </c>
      <c r="F3381" s="13" t="s">
        <v>70</v>
      </c>
      <c r="G3381" s="14">
        <v>44777</v>
      </c>
      <c r="H3381" s="13" t="s">
        <v>9</v>
      </c>
    </row>
    <row r="3382" spans="1:8" ht="14.4" x14ac:dyDescent="0.3">
      <c r="A3382" s="8">
        <v>82188180</v>
      </c>
      <c r="B3382" s="11">
        <v>44768</v>
      </c>
      <c r="C3382" s="13" t="s">
        <v>3725</v>
      </c>
      <c r="D3382" s="13" t="s">
        <v>4498</v>
      </c>
      <c r="E3382" s="8">
        <v>16718.66</v>
      </c>
      <c r="F3382" s="13" t="s">
        <v>70</v>
      </c>
      <c r="G3382" s="14">
        <v>44770</v>
      </c>
      <c r="H3382" s="13" t="s">
        <v>9</v>
      </c>
    </row>
    <row r="3383" spans="1:8" ht="14.4" x14ac:dyDescent="0.3">
      <c r="A3383" s="8">
        <v>82188181</v>
      </c>
      <c r="B3383" s="11">
        <v>44768</v>
      </c>
      <c r="C3383" s="13" t="s">
        <v>502</v>
      </c>
      <c r="D3383" s="13" t="s">
        <v>4499</v>
      </c>
      <c r="E3383" s="8">
        <v>14000</v>
      </c>
      <c r="F3383" s="13" t="s">
        <v>70</v>
      </c>
      <c r="G3383" s="14">
        <v>44771</v>
      </c>
      <c r="H3383" s="13" t="s">
        <v>9</v>
      </c>
    </row>
    <row r="3384" spans="1:8" ht="14.4" x14ac:dyDescent="0.3">
      <c r="A3384" s="8">
        <v>82188182</v>
      </c>
      <c r="B3384" s="11">
        <v>44768</v>
      </c>
      <c r="C3384" s="13" t="s">
        <v>265</v>
      </c>
      <c r="D3384" s="13" t="s">
        <v>4500</v>
      </c>
      <c r="E3384" s="8">
        <v>15000</v>
      </c>
      <c r="F3384" s="13" t="s">
        <v>70</v>
      </c>
      <c r="G3384" s="14">
        <v>44770</v>
      </c>
      <c r="H3384" s="13" t="s">
        <v>9</v>
      </c>
    </row>
    <row r="3385" spans="1:8" ht="14.4" x14ac:dyDescent="0.3">
      <c r="A3385" s="8">
        <v>82188183</v>
      </c>
      <c r="B3385" s="11">
        <v>44768</v>
      </c>
      <c r="C3385" s="13" t="s">
        <v>265</v>
      </c>
      <c r="D3385" s="13" t="s">
        <v>4501</v>
      </c>
      <c r="E3385" s="8">
        <v>32500</v>
      </c>
      <c r="F3385" s="13" t="s">
        <v>70</v>
      </c>
      <c r="G3385" s="14">
        <v>44770</v>
      </c>
      <c r="H3385" s="13" t="s">
        <v>9</v>
      </c>
    </row>
    <row r="3386" spans="1:8" ht="14.4" x14ac:dyDescent="0.3">
      <c r="A3386" s="8">
        <v>82188184</v>
      </c>
      <c r="B3386" s="11">
        <v>44769</v>
      </c>
      <c r="C3386" s="13" t="s">
        <v>1726</v>
      </c>
      <c r="D3386" s="13" t="s">
        <v>4502</v>
      </c>
      <c r="E3386" s="8">
        <v>54320</v>
      </c>
      <c r="F3386" s="13" t="s">
        <v>70</v>
      </c>
      <c r="G3386" s="14">
        <v>44798</v>
      </c>
      <c r="H3386" s="13" t="s">
        <v>9</v>
      </c>
    </row>
    <row r="3387" spans="1:8" ht="14.4" x14ac:dyDescent="0.3">
      <c r="A3387" s="8">
        <v>82188185</v>
      </c>
      <c r="B3387" s="11">
        <v>44769</v>
      </c>
      <c r="C3387" s="13" t="s">
        <v>405</v>
      </c>
      <c r="D3387" s="13" t="s">
        <v>4503</v>
      </c>
      <c r="E3387" s="8">
        <v>43643.01</v>
      </c>
      <c r="F3387" s="13" t="s">
        <v>70</v>
      </c>
      <c r="G3387" s="14">
        <v>44776</v>
      </c>
      <c r="H3387" s="13" t="s">
        <v>9</v>
      </c>
    </row>
    <row r="3388" spans="1:8" ht="14.4" x14ac:dyDescent="0.3">
      <c r="A3388" s="8">
        <v>82188186</v>
      </c>
      <c r="B3388" s="11">
        <v>44769</v>
      </c>
      <c r="C3388" s="13" t="s">
        <v>4504</v>
      </c>
      <c r="D3388" s="13" t="s">
        <v>4505</v>
      </c>
      <c r="E3388" s="8">
        <v>4900</v>
      </c>
      <c r="F3388" s="13" t="s">
        <v>70</v>
      </c>
      <c r="G3388" s="14">
        <v>44770</v>
      </c>
      <c r="H3388" s="13" t="s">
        <v>9</v>
      </c>
    </row>
    <row r="3389" spans="1:8" ht="14.4" x14ac:dyDescent="0.3">
      <c r="A3389" s="8">
        <v>82188187</v>
      </c>
      <c r="B3389" s="11">
        <v>44769</v>
      </c>
      <c r="C3389" s="13" t="s">
        <v>1524</v>
      </c>
      <c r="D3389" s="13" t="s">
        <v>4506</v>
      </c>
      <c r="E3389" s="8">
        <v>2650</v>
      </c>
      <c r="F3389" s="13" t="s">
        <v>70</v>
      </c>
      <c r="G3389" s="14">
        <v>44770</v>
      </c>
      <c r="H3389" s="13" t="s">
        <v>9</v>
      </c>
    </row>
    <row r="3390" spans="1:8" ht="14.4" x14ac:dyDescent="0.3">
      <c r="A3390" s="8">
        <v>82188188</v>
      </c>
      <c r="B3390" s="11">
        <v>44769</v>
      </c>
      <c r="C3390" s="13" t="s">
        <v>52</v>
      </c>
      <c r="D3390" s="13" t="s">
        <v>4507</v>
      </c>
      <c r="E3390" s="8">
        <v>67422.850000000006</v>
      </c>
      <c r="F3390" s="13" t="s">
        <v>70</v>
      </c>
      <c r="G3390" s="14">
        <v>44778</v>
      </c>
      <c r="H3390" s="13" t="s">
        <v>9</v>
      </c>
    </row>
    <row r="3391" spans="1:8" ht="14.4" x14ac:dyDescent="0.3">
      <c r="A3391" s="8">
        <v>82188189</v>
      </c>
      <c r="B3391" s="11">
        <v>44769</v>
      </c>
      <c r="C3391" s="13" t="s">
        <v>1745</v>
      </c>
      <c r="D3391" s="13" t="s">
        <v>4508</v>
      </c>
      <c r="E3391" s="8">
        <v>10878</v>
      </c>
      <c r="F3391" s="13" t="s">
        <v>70</v>
      </c>
      <c r="G3391" s="14">
        <v>44770</v>
      </c>
      <c r="H3391" s="13" t="s">
        <v>9</v>
      </c>
    </row>
    <row r="3392" spans="1:8" ht="14.4" x14ac:dyDescent="0.3">
      <c r="A3392" s="8">
        <v>82188190</v>
      </c>
      <c r="B3392" s="11">
        <v>44769</v>
      </c>
      <c r="C3392" s="13" t="s">
        <v>4509</v>
      </c>
      <c r="D3392" s="13" t="s">
        <v>4510</v>
      </c>
      <c r="E3392" s="8">
        <v>15237.5</v>
      </c>
      <c r="F3392" s="13" t="s">
        <v>70</v>
      </c>
      <c r="G3392" s="14">
        <v>44770</v>
      </c>
      <c r="H3392" s="13" t="s">
        <v>9</v>
      </c>
    </row>
    <row r="3393" spans="1:8" ht="14.4" x14ac:dyDescent="0.3">
      <c r="A3393" s="8">
        <v>82188191</v>
      </c>
      <c r="B3393" s="11">
        <v>44769</v>
      </c>
      <c r="C3393" s="13" t="s">
        <v>1412</v>
      </c>
      <c r="D3393" s="13" t="s">
        <v>4511</v>
      </c>
      <c r="E3393" s="8">
        <v>11953.12</v>
      </c>
      <c r="F3393" s="13" t="s">
        <v>70</v>
      </c>
      <c r="G3393" s="14">
        <v>44774</v>
      </c>
      <c r="H3393" s="13" t="s">
        <v>9</v>
      </c>
    </row>
    <row r="3394" spans="1:8" ht="14.4" x14ac:dyDescent="0.3">
      <c r="A3394" s="8">
        <v>82188192</v>
      </c>
      <c r="B3394" s="11">
        <v>44769</v>
      </c>
      <c r="C3394" s="13" t="s">
        <v>1581</v>
      </c>
      <c r="D3394" s="13" t="s">
        <v>4512</v>
      </c>
      <c r="E3394" s="8">
        <v>5678.57</v>
      </c>
      <c r="F3394" s="13" t="s">
        <v>70</v>
      </c>
      <c r="G3394" s="14">
        <v>44770</v>
      </c>
      <c r="H3394" s="13" t="s">
        <v>9</v>
      </c>
    </row>
    <row r="3395" spans="1:8" ht="14.4" x14ac:dyDescent="0.3">
      <c r="A3395" s="8">
        <v>82188193</v>
      </c>
      <c r="B3395" s="11">
        <v>44769</v>
      </c>
      <c r="C3395" s="13" t="s">
        <v>1522</v>
      </c>
      <c r="D3395" s="13" t="s">
        <v>4513</v>
      </c>
      <c r="E3395" s="8">
        <v>4998</v>
      </c>
      <c r="F3395" s="13" t="s">
        <v>70</v>
      </c>
      <c r="G3395" s="14">
        <v>44789</v>
      </c>
      <c r="H3395" s="13" t="s">
        <v>9</v>
      </c>
    </row>
    <row r="3396" spans="1:8" ht="14.4" x14ac:dyDescent="0.3">
      <c r="A3396" s="8">
        <v>82188194</v>
      </c>
      <c r="B3396" s="11">
        <v>44769</v>
      </c>
      <c r="C3396" s="13" t="s">
        <v>405</v>
      </c>
      <c r="D3396" s="13" t="s">
        <v>4514</v>
      </c>
      <c r="E3396" s="8">
        <v>19411.71</v>
      </c>
      <c r="F3396" s="13" t="s">
        <v>70</v>
      </c>
      <c r="G3396" s="14">
        <v>44776</v>
      </c>
      <c r="H3396" s="13" t="s">
        <v>9</v>
      </c>
    </row>
    <row r="3397" spans="1:8" ht="14.4" x14ac:dyDescent="0.3">
      <c r="A3397" s="8">
        <v>82188196</v>
      </c>
      <c r="B3397" s="11">
        <v>44769</v>
      </c>
      <c r="C3397" s="13" t="s">
        <v>405</v>
      </c>
      <c r="D3397" s="13" t="s">
        <v>4515</v>
      </c>
      <c r="E3397" s="8">
        <v>29289.200000000001</v>
      </c>
      <c r="F3397" s="13" t="s">
        <v>70</v>
      </c>
      <c r="G3397" s="14">
        <v>44776</v>
      </c>
      <c r="H3397" s="13" t="s">
        <v>9</v>
      </c>
    </row>
    <row r="3398" spans="1:8" ht="14.4" x14ac:dyDescent="0.3">
      <c r="A3398" s="8">
        <v>82188197</v>
      </c>
      <c r="B3398" s="11">
        <v>44769</v>
      </c>
      <c r="C3398" s="13" t="s">
        <v>1946</v>
      </c>
      <c r="D3398" s="13" t="s">
        <v>4516</v>
      </c>
      <c r="E3398" s="8">
        <v>7760.72</v>
      </c>
      <c r="F3398" s="13" t="s">
        <v>70</v>
      </c>
      <c r="G3398" s="14">
        <v>44770</v>
      </c>
      <c r="H3398" s="13" t="s">
        <v>9</v>
      </c>
    </row>
    <row r="3399" spans="1:8" ht="14.4" x14ac:dyDescent="0.3">
      <c r="A3399" s="8">
        <v>82188198</v>
      </c>
      <c r="B3399" s="11">
        <v>44769</v>
      </c>
      <c r="C3399" s="13" t="s">
        <v>4517</v>
      </c>
      <c r="D3399" s="13" t="s">
        <v>4518</v>
      </c>
      <c r="E3399" s="8">
        <v>20524.099999999999</v>
      </c>
      <c r="F3399" s="13" t="s">
        <v>70</v>
      </c>
      <c r="G3399" s="14">
        <v>44770</v>
      </c>
      <c r="H3399" s="13" t="s">
        <v>9</v>
      </c>
    </row>
    <row r="3400" spans="1:8" ht="14.4" x14ac:dyDescent="0.3">
      <c r="A3400" s="8">
        <v>82188199</v>
      </c>
      <c r="B3400" s="11">
        <v>44769</v>
      </c>
      <c r="C3400" s="13" t="s">
        <v>52</v>
      </c>
      <c r="D3400" s="13" t="s">
        <v>4519</v>
      </c>
      <c r="E3400" s="8">
        <v>56185.72</v>
      </c>
      <c r="F3400" s="13" t="s">
        <v>70</v>
      </c>
      <c r="G3400" s="14">
        <v>44778</v>
      </c>
      <c r="H3400" s="13" t="s">
        <v>9</v>
      </c>
    </row>
    <row r="3401" spans="1:8" ht="14.4" x14ac:dyDescent="0.3">
      <c r="A3401" s="8">
        <v>82188200</v>
      </c>
      <c r="B3401" s="11">
        <v>44769</v>
      </c>
      <c r="C3401" s="13" t="s">
        <v>1946</v>
      </c>
      <c r="D3401" s="13" t="s">
        <v>4520</v>
      </c>
      <c r="E3401" s="8">
        <v>6672.32</v>
      </c>
      <c r="F3401" s="13" t="s">
        <v>70</v>
      </c>
      <c r="G3401" s="14">
        <v>44775</v>
      </c>
      <c r="H3401" s="13" t="s">
        <v>9</v>
      </c>
    </row>
    <row r="3402" spans="1:8" ht="14.4" x14ac:dyDescent="0.3">
      <c r="A3402" s="8">
        <v>82188201</v>
      </c>
      <c r="B3402" s="11">
        <v>44769</v>
      </c>
      <c r="C3402" s="13" t="s">
        <v>405</v>
      </c>
      <c r="D3402" s="13" t="s">
        <v>4521</v>
      </c>
      <c r="E3402" s="8">
        <v>13438.69</v>
      </c>
      <c r="F3402" s="13" t="s">
        <v>70</v>
      </c>
      <c r="G3402" s="14">
        <v>44776</v>
      </c>
      <c r="H3402" s="13" t="s">
        <v>9</v>
      </c>
    </row>
    <row r="3403" spans="1:8" ht="14.4" x14ac:dyDescent="0.3">
      <c r="A3403" s="8">
        <v>82188202</v>
      </c>
      <c r="B3403" s="11">
        <v>44769</v>
      </c>
      <c r="C3403" s="13" t="s">
        <v>1937</v>
      </c>
      <c r="D3403" s="13" t="s">
        <v>4522</v>
      </c>
      <c r="E3403" s="8">
        <v>20712.59</v>
      </c>
      <c r="F3403" s="13" t="s">
        <v>70</v>
      </c>
      <c r="G3403" s="14">
        <v>44778</v>
      </c>
      <c r="H3403" s="13" t="s">
        <v>9</v>
      </c>
    </row>
    <row r="3404" spans="1:8" ht="14.4" x14ac:dyDescent="0.3">
      <c r="A3404" s="8">
        <v>82188203</v>
      </c>
      <c r="B3404" s="11">
        <v>44769</v>
      </c>
      <c r="C3404" s="13" t="s">
        <v>56</v>
      </c>
      <c r="D3404" s="13" t="s">
        <v>57</v>
      </c>
      <c r="E3404" s="8">
        <v>1781250</v>
      </c>
      <c r="F3404" s="13" t="s">
        <v>70</v>
      </c>
      <c r="G3404" s="14">
        <v>44775</v>
      </c>
      <c r="H3404" s="13" t="s">
        <v>9</v>
      </c>
    </row>
    <row r="3405" spans="1:8" ht="14.4" x14ac:dyDescent="0.3">
      <c r="A3405" s="8">
        <v>82188204</v>
      </c>
      <c r="B3405" s="11">
        <v>44769</v>
      </c>
      <c r="C3405" s="13" t="s">
        <v>4523</v>
      </c>
      <c r="D3405" s="13" t="s">
        <v>4524</v>
      </c>
      <c r="E3405" s="8">
        <v>5871.65</v>
      </c>
      <c r="F3405" s="13" t="s">
        <v>70</v>
      </c>
      <c r="G3405" s="14">
        <v>44770</v>
      </c>
      <c r="H3405" s="13" t="s">
        <v>9</v>
      </c>
    </row>
    <row r="3406" spans="1:8" ht="14.4" x14ac:dyDescent="0.3">
      <c r="A3406" s="8">
        <v>82188205</v>
      </c>
      <c r="B3406" s="11">
        <v>44770</v>
      </c>
      <c r="C3406" s="13" t="s">
        <v>4525</v>
      </c>
      <c r="D3406" s="13" t="s">
        <v>4526</v>
      </c>
      <c r="E3406" s="8">
        <v>34923.01</v>
      </c>
      <c r="F3406" s="13" t="s">
        <v>70</v>
      </c>
      <c r="G3406" s="14">
        <v>44818</v>
      </c>
      <c r="H3406" s="13" t="s">
        <v>9</v>
      </c>
    </row>
    <row r="3407" spans="1:8" ht="14.4" x14ac:dyDescent="0.3">
      <c r="A3407" s="8">
        <v>82188206</v>
      </c>
      <c r="B3407" s="11">
        <v>44770</v>
      </c>
      <c r="C3407" s="13" t="s">
        <v>4222</v>
      </c>
      <c r="D3407" s="13" t="s">
        <v>4527</v>
      </c>
      <c r="E3407" s="8">
        <v>50000</v>
      </c>
      <c r="F3407" s="13" t="s">
        <v>70</v>
      </c>
      <c r="G3407" s="14">
        <v>44788</v>
      </c>
      <c r="H3407" s="13" t="s">
        <v>9</v>
      </c>
    </row>
    <row r="3408" spans="1:8" ht="14.4" x14ac:dyDescent="0.3">
      <c r="A3408" s="8">
        <v>82188207</v>
      </c>
      <c r="B3408" s="11">
        <v>44770</v>
      </c>
      <c r="C3408" s="13" t="s">
        <v>4528</v>
      </c>
      <c r="D3408" s="13" t="s">
        <v>4529</v>
      </c>
      <c r="E3408" s="8">
        <v>15000</v>
      </c>
      <c r="F3408" s="13" t="s">
        <v>70</v>
      </c>
      <c r="G3408" s="14">
        <v>44774</v>
      </c>
      <c r="H3408" s="13" t="s">
        <v>9</v>
      </c>
    </row>
    <row r="3409" spans="1:8" ht="14.4" x14ac:dyDescent="0.3">
      <c r="A3409" s="8">
        <v>82188208</v>
      </c>
      <c r="B3409" s="11">
        <v>44770</v>
      </c>
      <c r="C3409" s="13" t="s">
        <v>3725</v>
      </c>
      <c r="D3409" s="13" t="s">
        <v>4530</v>
      </c>
      <c r="E3409" s="8">
        <v>12000</v>
      </c>
      <c r="F3409" s="13" t="s">
        <v>70</v>
      </c>
      <c r="G3409" s="14">
        <v>44774</v>
      </c>
      <c r="H3409" s="13" t="s">
        <v>9</v>
      </c>
    </row>
    <row r="3410" spans="1:8" ht="14.4" x14ac:dyDescent="0.3">
      <c r="A3410" s="8">
        <v>82188209</v>
      </c>
      <c r="B3410" s="11">
        <v>44770</v>
      </c>
      <c r="C3410" s="13" t="s">
        <v>4531</v>
      </c>
      <c r="D3410" s="13" t="s">
        <v>4532</v>
      </c>
      <c r="E3410" s="8">
        <v>12000</v>
      </c>
      <c r="F3410" s="13" t="s">
        <v>70</v>
      </c>
      <c r="G3410" s="14">
        <v>44771</v>
      </c>
      <c r="H3410" s="13" t="s">
        <v>9</v>
      </c>
    </row>
    <row r="3411" spans="1:8" ht="14.4" x14ac:dyDescent="0.3">
      <c r="A3411" s="8">
        <v>82188210</v>
      </c>
      <c r="B3411" s="11">
        <v>44770</v>
      </c>
      <c r="C3411" s="13" t="s">
        <v>4533</v>
      </c>
      <c r="D3411" s="13" t="s">
        <v>4534</v>
      </c>
      <c r="E3411" s="8">
        <v>10000</v>
      </c>
      <c r="F3411" s="13" t="s">
        <v>70</v>
      </c>
      <c r="G3411" s="14">
        <v>44775</v>
      </c>
      <c r="H3411" s="13" t="s">
        <v>9</v>
      </c>
    </row>
    <row r="3412" spans="1:8" ht="14.4" x14ac:dyDescent="0.3">
      <c r="A3412" s="8">
        <v>82188211</v>
      </c>
      <c r="B3412" s="11">
        <v>44770</v>
      </c>
      <c r="C3412" s="13" t="s">
        <v>4535</v>
      </c>
      <c r="D3412" s="13" t="s">
        <v>4536</v>
      </c>
      <c r="E3412" s="8">
        <v>9000</v>
      </c>
      <c r="F3412" s="13" t="s">
        <v>70</v>
      </c>
      <c r="G3412" s="14">
        <v>44771</v>
      </c>
      <c r="H3412" s="13" t="s">
        <v>9</v>
      </c>
    </row>
    <row r="3413" spans="1:8" ht="14.4" x14ac:dyDescent="0.3">
      <c r="A3413" s="8">
        <v>82188212</v>
      </c>
      <c r="B3413" s="11">
        <v>44770</v>
      </c>
      <c r="C3413" s="13" t="s">
        <v>4537</v>
      </c>
      <c r="D3413" s="13" t="s">
        <v>4538</v>
      </c>
      <c r="E3413" s="8">
        <v>10000</v>
      </c>
      <c r="F3413" s="13" t="s">
        <v>70</v>
      </c>
      <c r="G3413" s="14">
        <v>44774</v>
      </c>
      <c r="H3413" s="13" t="s">
        <v>9</v>
      </c>
    </row>
    <row r="3414" spans="1:8" ht="14.4" x14ac:dyDescent="0.3">
      <c r="A3414" s="8">
        <v>82188213</v>
      </c>
      <c r="B3414" s="11">
        <v>44770</v>
      </c>
      <c r="C3414" s="13" t="s">
        <v>4539</v>
      </c>
      <c r="D3414" s="13" t="s">
        <v>4540</v>
      </c>
      <c r="E3414" s="8">
        <v>18000</v>
      </c>
      <c r="F3414" s="13" t="s">
        <v>70</v>
      </c>
      <c r="G3414" s="14">
        <v>44771</v>
      </c>
      <c r="H3414" s="13" t="s">
        <v>9</v>
      </c>
    </row>
    <row r="3415" spans="1:8" ht="14.4" x14ac:dyDescent="0.3">
      <c r="A3415" s="8">
        <v>82188214</v>
      </c>
      <c r="B3415" s="11">
        <v>44770</v>
      </c>
      <c r="C3415" s="13" t="s">
        <v>4541</v>
      </c>
      <c r="D3415" s="13" t="s">
        <v>4542</v>
      </c>
      <c r="E3415" s="8">
        <v>10000</v>
      </c>
      <c r="F3415" s="13" t="s">
        <v>70</v>
      </c>
      <c r="G3415" s="14">
        <v>44771</v>
      </c>
      <c r="H3415" s="13" t="s">
        <v>9</v>
      </c>
    </row>
    <row r="3416" spans="1:8" ht="14.4" x14ac:dyDescent="0.3">
      <c r="A3416" s="8">
        <v>82188215</v>
      </c>
      <c r="B3416" s="11">
        <v>44770</v>
      </c>
      <c r="C3416" s="13" t="s">
        <v>4543</v>
      </c>
      <c r="D3416" s="13" t="s">
        <v>4544</v>
      </c>
      <c r="E3416" s="8">
        <v>7000</v>
      </c>
      <c r="F3416" s="13" t="s">
        <v>70</v>
      </c>
      <c r="G3416" s="14">
        <v>44771</v>
      </c>
      <c r="H3416" s="13" t="s">
        <v>9</v>
      </c>
    </row>
    <row r="3417" spans="1:8" ht="14.4" x14ac:dyDescent="0.3">
      <c r="A3417" s="8">
        <v>82188216</v>
      </c>
      <c r="B3417" s="11">
        <v>44770</v>
      </c>
      <c r="C3417" s="13" t="s">
        <v>4545</v>
      </c>
      <c r="D3417" s="13" t="s">
        <v>4546</v>
      </c>
      <c r="E3417" s="8">
        <v>12000</v>
      </c>
      <c r="F3417" s="13" t="s">
        <v>70</v>
      </c>
      <c r="G3417" s="14">
        <v>44771</v>
      </c>
      <c r="H3417" s="13" t="s">
        <v>9</v>
      </c>
    </row>
    <row r="3418" spans="1:8" ht="14.4" x14ac:dyDescent="0.3">
      <c r="A3418" s="8">
        <v>82188217</v>
      </c>
      <c r="B3418" s="11">
        <v>44770</v>
      </c>
      <c r="C3418" s="13" t="s">
        <v>4547</v>
      </c>
      <c r="D3418" s="13" t="s">
        <v>4548</v>
      </c>
      <c r="E3418" s="8">
        <v>7000</v>
      </c>
      <c r="F3418" s="13" t="s">
        <v>70</v>
      </c>
      <c r="G3418" s="14">
        <v>44771</v>
      </c>
      <c r="H3418" s="13" t="s">
        <v>9</v>
      </c>
    </row>
    <row r="3419" spans="1:8" ht="14.4" x14ac:dyDescent="0.3">
      <c r="A3419" s="8">
        <v>82188218</v>
      </c>
      <c r="B3419" s="11">
        <v>44770</v>
      </c>
      <c r="C3419" s="13" t="s">
        <v>4549</v>
      </c>
      <c r="D3419" s="13" t="s">
        <v>4550</v>
      </c>
      <c r="E3419" s="8">
        <v>14700</v>
      </c>
      <c r="F3419" s="13" t="s">
        <v>70</v>
      </c>
      <c r="G3419" s="14">
        <v>44771</v>
      </c>
      <c r="H3419" s="13" t="s">
        <v>9</v>
      </c>
    </row>
    <row r="3420" spans="1:8" ht="14.4" x14ac:dyDescent="0.3">
      <c r="A3420" s="8">
        <v>82188219</v>
      </c>
      <c r="B3420" s="11">
        <v>44770</v>
      </c>
      <c r="C3420" s="13" t="s">
        <v>4551</v>
      </c>
      <c r="D3420" s="13" t="s">
        <v>4552</v>
      </c>
      <c r="E3420" s="8">
        <v>8000</v>
      </c>
      <c r="F3420" s="13" t="s">
        <v>70</v>
      </c>
      <c r="G3420" s="14">
        <v>44774</v>
      </c>
      <c r="H3420" s="13" t="s">
        <v>9</v>
      </c>
    </row>
    <row r="3421" spans="1:8" ht="14.4" x14ac:dyDescent="0.3">
      <c r="A3421" s="8">
        <v>82188220</v>
      </c>
      <c r="B3421" s="11">
        <v>44770</v>
      </c>
      <c r="C3421" s="13" t="s">
        <v>4553</v>
      </c>
      <c r="D3421" s="13" t="s">
        <v>4554</v>
      </c>
      <c r="E3421" s="8">
        <v>8000</v>
      </c>
      <c r="F3421" s="13" t="s">
        <v>70</v>
      </c>
      <c r="G3421" s="14">
        <v>44792</v>
      </c>
      <c r="H3421" s="13" t="s">
        <v>9</v>
      </c>
    </row>
    <row r="3422" spans="1:8" ht="14.4" x14ac:dyDescent="0.3">
      <c r="A3422" s="8">
        <v>82188221</v>
      </c>
      <c r="B3422" s="11">
        <v>44770</v>
      </c>
      <c r="C3422" s="13" t="s">
        <v>153</v>
      </c>
      <c r="D3422" s="13" t="s">
        <v>4555</v>
      </c>
      <c r="E3422" s="8">
        <v>69595.5</v>
      </c>
      <c r="F3422" s="13" t="s">
        <v>70</v>
      </c>
      <c r="G3422" s="14">
        <v>44775</v>
      </c>
      <c r="H3422" s="13" t="s">
        <v>9</v>
      </c>
    </row>
    <row r="3423" spans="1:8" ht="14.4" x14ac:dyDescent="0.3">
      <c r="A3423" s="8">
        <v>82188222</v>
      </c>
      <c r="B3423" s="11">
        <v>44770</v>
      </c>
      <c r="C3423" s="13" t="s">
        <v>1286</v>
      </c>
      <c r="D3423" s="13" t="s">
        <v>4556</v>
      </c>
      <c r="E3423" s="8">
        <v>13916.45</v>
      </c>
      <c r="F3423" s="13" t="s">
        <v>70</v>
      </c>
      <c r="G3423" s="14">
        <v>44775</v>
      </c>
      <c r="H3423" s="13" t="s">
        <v>9</v>
      </c>
    </row>
    <row r="3424" spans="1:8" ht="14.4" x14ac:dyDescent="0.3">
      <c r="A3424" s="8">
        <v>82188223</v>
      </c>
      <c r="B3424" s="11">
        <v>44770</v>
      </c>
      <c r="C3424" s="13" t="s">
        <v>1286</v>
      </c>
      <c r="D3424" s="13" t="s">
        <v>4496</v>
      </c>
      <c r="E3424" s="8">
        <v>5252.68</v>
      </c>
      <c r="F3424" s="13" t="s">
        <v>70</v>
      </c>
      <c r="G3424" s="14">
        <v>44775</v>
      </c>
      <c r="H3424" s="13" t="s">
        <v>9</v>
      </c>
    </row>
    <row r="3425" spans="1:8" ht="14.4" x14ac:dyDescent="0.3">
      <c r="A3425" s="8">
        <v>82188224</v>
      </c>
      <c r="B3425" s="11">
        <v>44770</v>
      </c>
      <c r="C3425" s="13" t="s">
        <v>1286</v>
      </c>
      <c r="D3425" s="13" t="s">
        <v>4557</v>
      </c>
      <c r="E3425" s="8">
        <v>10049.82</v>
      </c>
      <c r="F3425" s="13" t="s">
        <v>70</v>
      </c>
      <c r="G3425" s="14">
        <v>44775</v>
      </c>
      <c r="H3425" s="13" t="s">
        <v>9</v>
      </c>
    </row>
    <row r="3426" spans="1:8" ht="14.4" x14ac:dyDescent="0.3">
      <c r="A3426" s="8">
        <v>82188225</v>
      </c>
      <c r="B3426" s="11">
        <v>44770</v>
      </c>
      <c r="C3426" s="13" t="s">
        <v>1286</v>
      </c>
      <c r="D3426" s="13" t="s">
        <v>4496</v>
      </c>
      <c r="E3426" s="8">
        <v>7002.41</v>
      </c>
      <c r="F3426" s="13" t="s">
        <v>70</v>
      </c>
      <c r="G3426" s="14">
        <v>44775</v>
      </c>
      <c r="H3426" s="13" t="s">
        <v>9</v>
      </c>
    </row>
    <row r="3427" spans="1:8" ht="14.4" x14ac:dyDescent="0.3">
      <c r="A3427" s="8">
        <v>82188226</v>
      </c>
      <c r="B3427" s="11">
        <v>44770</v>
      </c>
      <c r="C3427" s="13" t="s">
        <v>775</v>
      </c>
      <c r="D3427" s="13" t="s">
        <v>4558</v>
      </c>
      <c r="E3427" s="8">
        <v>30000</v>
      </c>
      <c r="F3427" s="13" t="s">
        <v>70</v>
      </c>
      <c r="G3427" s="14">
        <v>44774</v>
      </c>
      <c r="H3427" s="13" t="s">
        <v>9</v>
      </c>
    </row>
    <row r="3428" spans="1:8" ht="14.4" x14ac:dyDescent="0.3">
      <c r="A3428" s="8">
        <v>82188227</v>
      </c>
      <c r="B3428" s="11">
        <v>44770</v>
      </c>
      <c r="C3428" s="13" t="s">
        <v>1946</v>
      </c>
      <c r="D3428" s="13" t="s">
        <v>4559</v>
      </c>
      <c r="E3428" s="8">
        <v>2650</v>
      </c>
      <c r="F3428" s="13" t="s">
        <v>70</v>
      </c>
      <c r="G3428" s="14">
        <v>44775</v>
      </c>
      <c r="H3428" s="13" t="s">
        <v>9</v>
      </c>
    </row>
    <row r="3429" spans="1:8" ht="14.4" x14ac:dyDescent="0.3">
      <c r="A3429" s="8">
        <v>82188228</v>
      </c>
      <c r="B3429" s="11">
        <v>44770</v>
      </c>
      <c r="C3429" s="13" t="s">
        <v>1946</v>
      </c>
      <c r="D3429" s="13" t="s">
        <v>4560</v>
      </c>
      <c r="E3429" s="8">
        <v>7098.22</v>
      </c>
      <c r="F3429" s="13" t="s">
        <v>70</v>
      </c>
      <c r="G3429" s="14">
        <v>44775</v>
      </c>
      <c r="H3429" s="13" t="s">
        <v>9</v>
      </c>
    </row>
    <row r="3430" spans="1:8" ht="14.4" x14ac:dyDescent="0.3">
      <c r="A3430" s="8">
        <v>82188229</v>
      </c>
      <c r="B3430" s="11">
        <v>44770</v>
      </c>
      <c r="C3430" s="13" t="s">
        <v>405</v>
      </c>
      <c r="D3430" s="13" t="s">
        <v>4561</v>
      </c>
      <c r="E3430" s="8">
        <v>72429.119999999995</v>
      </c>
      <c r="F3430" s="13" t="s">
        <v>70</v>
      </c>
      <c r="G3430" s="14">
        <v>44776</v>
      </c>
      <c r="H3430" s="13" t="s">
        <v>9</v>
      </c>
    </row>
    <row r="3431" spans="1:8" ht="14.4" x14ac:dyDescent="0.3">
      <c r="A3431" s="8">
        <v>82188230</v>
      </c>
      <c r="B3431" s="11">
        <v>44770</v>
      </c>
      <c r="C3431" s="13" t="s">
        <v>201</v>
      </c>
      <c r="D3431" s="13" t="s">
        <v>4562</v>
      </c>
      <c r="E3431" s="8">
        <v>19733.04</v>
      </c>
      <c r="F3431" s="13" t="s">
        <v>70</v>
      </c>
      <c r="G3431" s="14">
        <v>44775</v>
      </c>
      <c r="H3431" s="13" t="s">
        <v>9</v>
      </c>
    </row>
    <row r="3432" spans="1:8" ht="14.4" x14ac:dyDescent="0.3">
      <c r="A3432" s="8">
        <v>82188231</v>
      </c>
      <c r="B3432" s="11">
        <v>44770</v>
      </c>
      <c r="C3432" s="13" t="s">
        <v>1946</v>
      </c>
      <c r="D3432" s="13" t="s">
        <v>4563</v>
      </c>
      <c r="E3432" s="8">
        <v>3691.07</v>
      </c>
      <c r="F3432" s="13" t="s">
        <v>70</v>
      </c>
      <c r="G3432" s="14">
        <v>44775</v>
      </c>
      <c r="H3432" s="13" t="s">
        <v>9</v>
      </c>
    </row>
    <row r="3433" spans="1:8" ht="14.4" x14ac:dyDescent="0.3">
      <c r="A3433" s="8">
        <v>82188232</v>
      </c>
      <c r="B3433" s="11">
        <v>44770</v>
      </c>
      <c r="C3433" s="13" t="s">
        <v>1581</v>
      </c>
      <c r="D3433" s="13" t="s">
        <v>4564</v>
      </c>
      <c r="E3433" s="8">
        <v>7453.13</v>
      </c>
      <c r="F3433" s="13" t="s">
        <v>70</v>
      </c>
      <c r="G3433" s="14">
        <v>44778</v>
      </c>
      <c r="H3433" s="13" t="s">
        <v>9</v>
      </c>
    </row>
    <row r="3434" spans="1:8" ht="14.4" x14ac:dyDescent="0.3">
      <c r="A3434" s="8">
        <v>82188233</v>
      </c>
      <c r="B3434" s="11">
        <v>44770</v>
      </c>
      <c r="C3434" s="13" t="s">
        <v>1581</v>
      </c>
      <c r="D3434" s="13" t="s">
        <v>4565</v>
      </c>
      <c r="E3434" s="8">
        <v>3785.72</v>
      </c>
      <c r="F3434" s="13" t="s">
        <v>70</v>
      </c>
      <c r="G3434" s="14">
        <v>44778</v>
      </c>
      <c r="H3434" s="13" t="s">
        <v>9</v>
      </c>
    </row>
    <row r="3435" spans="1:8" ht="14.4" x14ac:dyDescent="0.3">
      <c r="A3435" s="8">
        <v>82188234</v>
      </c>
      <c r="B3435" s="11">
        <v>44770</v>
      </c>
      <c r="C3435" s="13" t="s">
        <v>1581</v>
      </c>
      <c r="D3435" s="13" t="s">
        <v>4566</v>
      </c>
      <c r="E3435" s="8">
        <v>4258.93</v>
      </c>
      <c r="F3435" s="13" t="s">
        <v>70</v>
      </c>
      <c r="G3435" s="14">
        <v>44778</v>
      </c>
      <c r="H3435" s="13" t="s">
        <v>9</v>
      </c>
    </row>
    <row r="3436" spans="1:8" ht="14.4" x14ac:dyDescent="0.3">
      <c r="A3436" s="8">
        <v>82188235</v>
      </c>
      <c r="B3436" s="11">
        <v>44770</v>
      </c>
      <c r="C3436" s="13" t="s">
        <v>4567</v>
      </c>
      <c r="D3436" s="13" t="s">
        <v>4568</v>
      </c>
      <c r="E3436" s="8">
        <v>31422.37</v>
      </c>
      <c r="F3436" s="13" t="s">
        <v>70</v>
      </c>
      <c r="G3436" s="14">
        <v>44782</v>
      </c>
      <c r="H3436" s="13" t="s">
        <v>9</v>
      </c>
    </row>
    <row r="3437" spans="1:8" ht="14.4" x14ac:dyDescent="0.3">
      <c r="A3437" s="8">
        <v>82188236</v>
      </c>
      <c r="B3437" s="11">
        <v>44770</v>
      </c>
      <c r="C3437" s="13" t="s">
        <v>259</v>
      </c>
      <c r="D3437" s="13" t="s">
        <v>4569</v>
      </c>
      <c r="E3437" s="8">
        <v>57777.65</v>
      </c>
      <c r="F3437" s="13" t="s">
        <v>70</v>
      </c>
      <c r="G3437" s="14">
        <v>44777</v>
      </c>
      <c r="H3437" s="13" t="s">
        <v>9</v>
      </c>
    </row>
    <row r="3438" spans="1:8" ht="14.4" x14ac:dyDescent="0.3">
      <c r="A3438" s="8">
        <v>82188237</v>
      </c>
      <c r="B3438" s="11">
        <v>44770</v>
      </c>
      <c r="C3438" s="13" t="s">
        <v>1581</v>
      </c>
      <c r="D3438" s="13" t="s">
        <v>4570</v>
      </c>
      <c r="E3438" s="8">
        <v>3407.15</v>
      </c>
      <c r="F3438" s="13" t="s">
        <v>70</v>
      </c>
      <c r="G3438" s="14">
        <v>44778</v>
      </c>
      <c r="H3438" s="13" t="s">
        <v>9</v>
      </c>
    </row>
    <row r="3439" spans="1:8" ht="14.4" x14ac:dyDescent="0.3">
      <c r="A3439" s="8">
        <v>82188238</v>
      </c>
      <c r="B3439" s="11">
        <v>44770</v>
      </c>
      <c r="C3439" s="13" t="s">
        <v>4571</v>
      </c>
      <c r="D3439" s="13" t="s">
        <v>4572</v>
      </c>
      <c r="E3439" s="8">
        <v>17000</v>
      </c>
      <c r="F3439" s="13" t="s">
        <v>70</v>
      </c>
      <c r="G3439" s="14">
        <v>44774</v>
      </c>
      <c r="H3439" s="13" t="s">
        <v>9</v>
      </c>
    </row>
    <row r="3440" spans="1:8" ht="14.4" x14ac:dyDescent="0.3">
      <c r="A3440" s="8">
        <v>82188239</v>
      </c>
      <c r="B3440" s="11">
        <v>44770</v>
      </c>
      <c r="C3440" s="13" t="s">
        <v>4573</v>
      </c>
      <c r="D3440" s="13" t="s">
        <v>4574</v>
      </c>
      <c r="E3440" s="8">
        <v>10000</v>
      </c>
      <c r="F3440" s="13" t="s">
        <v>70</v>
      </c>
      <c r="G3440" s="14">
        <v>44771</v>
      </c>
      <c r="H3440" s="13" t="s">
        <v>9</v>
      </c>
    </row>
    <row r="3441" spans="1:8" ht="14.4" x14ac:dyDescent="0.3">
      <c r="A3441" s="8">
        <v>82188240</v>
      </c>
      <c r="B3441" s="11">
        <v>44770</v>
      </c>
      <c r="C3441" s="13" t="s">
        <v>180</v>
      </c>
      <c r="D3441" s="13" t="s">
        <v>901</v>
      </c>
      <c r="E3441" s="8">
        <v>277750.88</v>
      </c>
      <c r="F3441" s="13" t="s">
        <v>70</v>
      </c>
      <c r="G3441" s="14">
        <v>44770</v>
      </c>
      <c r="H3441" s="13" t="s">
        <v>9</v>
      </c>
    </row>
    <row r="3442" spans="1:8" ht="14.4" x14ac:dyDescent="0.3">
      <c r="A3442" s="8">
        <v>82188241</v>
      </c>
      <c r="B3442" s="11">
        <v>44770</v>
      </c>
      <c r="C3442" s="13" t="s">
        <v>405</v>
      </c>
      <c r="D3442" s="13" t="s">
        <v>4575</v>
      </c>
      <c r="E3442" s="8">
        <v>14609.9</v>
      </c>
      <c r="F3442" s="13" t="s">
        <v>70</v>
      </c>
      <c r="G3442" s="14">
        <v>44776</v>
      </c>
      <c r="H3442" s="13" t="s">
        <v>9</v>
      </c>
    </row>
    <row r="3443" spans="1:8" ht="14.4" x14ac:dyDescent="0.3">
      <c r="A3443" s="8">
        <v>82188242</v>
      </c>
      <c r="B3443" s="11">
        <v>44770</v>
      </c>
      <c r="C3443" s="13" t="s">
        <v>405</v>
      </c>
      <c r="D3443" s="13" t="s">
        <v>4576</v>
      </c>
      <c r="E3443" s="8">
        <v>11812.63</v>
      </c>
      <c r="F3443" s="13" t="s">
        <v>70</v>
      </c>
      <c r="G3443" s="14">
        <v>44776</v>
      </c>
      <c r="H3443" s="13" t="s">
        <v>9</v>
      </c>
    </row>
    <row r="3444" spans="1:8" ht="14.4" x14ac:dyDescent="0.3">
      <c r="A3444" s="8">
        <v>82188243</v>
      </c>
      <c r="B3444" s="11">
        <v>44770</v>
      </c>
      <c r="C3444" s="13" t="s">
        <v>405</v>
      </c>
      <c r="D3444" s="13" t="s">
        <v>4577</v>
      </c>
      <c r="E3444" s="8">
        <v>38505.660000000003</v>
      </c>
      <c r="F3444" s="13" t="s">
        <v>70</v>
      </c>
      <c r="G3444" s="14">
        <v>44776</v>
      </c>
      <c r="H3444" s="13" t="s">
        <v>9</v>
      </c>
    </row>
    <row r="3445" spans="1:8" ht="14.4" x14ac:dyDescent="0.3">
      <c r="A3445" s="8">
        <v>82188244</v>
      </c>
      <c r="B3445" s="11">
        <v>44770</v>
      </c>
      <c r="C3445" s="13" t="s">
        <v>405</v>
      </c>
      <c r="D3445" s="13" t="s">
        <v>4578</v>
      </c>
      <c r="E3445" s="8">
        <v>14385.99</v>
      </c>
      <c r="F3445" s="13" t="s">
        <v>70</v>
      </c>
      <c r="G3445" s="14">
        <v>44776</v>
      </c>
      <c r="H3445" s="13" t="s">
        <v>9</v>
      </c>
    </row>
    <row r="3446" spans="1:8" ht="14.4" x14ac:dyDescent="0.3">
      <c r="A3446" s="8">
        <v>82188245</v>
      </c>
      <c r="B3446" s="11">
        <v>44770</v>
      </c>
      <c r="C3446" s="13" t="s">
        <v>405</v>
      </c>
      <c r="D3446" s="13" t="s">
        <v>4579</v>
      </c>
      <c r="E3446" s="8">
        <v>22032.15</v>
      </c>
      <c r="F3446" s="13" t="s">
        <v>70</v>
      </c>
      <c r="G3446" s="14">
        <v>44776</v>
      </c>
      <c r="H3446" s="13" t="s">
        <v>9</v>
      </c>
    </row>
    <row r="3447" spans="1:8" ht="14.4" x14ac:dyDescent="0.3">
      <c r="A3447" s="8">
        <v>82188246</v>
      </c>
      <c r="B3447" s="11">
        <v>44770</v>
      </c>
      <c r="C3447" s="13" t="s">
        <v>405</v>
      </c>
      <c r="D3447" s="13" t="s">
        <v>4580</v>
      </c>
      <c r="E3447" s="8">
        <v>33276.910000000003</v>
      </c>
      <c r="F3447" s="13" t="s">
        <v>70</v>
      </c>
      <c r="G3447" s="14">
        <v>44776</v>
      </c>
      <c r="H3447" s="13" t="s">
        <v>9</v>
      </c>
    </row>
    <row r="3448" spans="1:8" ht="14.4" x14ac:dyDescent="0.3">
      <c r="A3448" s="8">
        <v>82188247</v>
      </c>
      <c r="B3448" s="11">
        <v>44770</v>
      </c>
      <c r="C3448" s="13" t="s">
        <v>405</v>
      </c>
      <c r="D3448" s="13" t="s">
        <v>4581</v>
      </c>
      <c r="E3448" s="8">
        <v>13660.99</v>
      </c>
      <c r="F3448" s="13" t="s">
        <v>70</v>
      </c>
      <c r="G3448" s="14">
        <v>44776</v>
      </c>
      <c r="H3448" s="13" t="s">
        <v>9</v>
      </c>
    </row>
    <row r="3449" spans="1:8" ht="14.4" x14ac:dyDescent="0.3">
      <c r="A3449" s="8">
        <v>82188248</v>
      </c>
      <c r="B3449" s="11">
        <v>44770</v>
      </c>
      <c r="C3449" s="13" t="s">
        <v>405</v>
      </c>
      <c r="D3449" s="13" t="s">
        <v>4582</v>
      </c>
      <c r="E3449" s="8">
        <v>7457.93</v>
      </c>
      <c r="F3449" s="13" t="s">
        <v>70</v>
      </c>
      <c r="G3449" s="14">
        <v>44776</v>
      </c>
      <c r="H3449" s="13" t="s">
        <v>9</v>
      </c>
    </row>
    <row r="3450" spans="1:8" ht="14.4" x14ac:dyDescent="0.3">
      <c r="A3450" s="8">
        <v>82188249</v>
      </c>
      <c r="B3450" s="11">
        <v>44770</v>
      </c>
      <c r="C3450" s="13" t="s">
        <v>405</v>
      </c>
      <c r="D3450" s="13" t="s">
        <v>4583</v>
      </c>
      <c r="E3450" s="8">
        <v>18545.240000000002</v>
      </c>
      <c r="F3450" s="13" t="s">
        <v>70</v>
      </c>
      <c r="G3450" s="14">
        <v>44776</v>
      </c>
      <c r="H3450" s="13" t="s">
        <v>9</v>
      </c>
    </row>
    <row r="3451" spans="1:8" ht="14.4" x14ac:dyDescent="0.3">
      <c r="A3451" s="8">
        <v>82188250</v>
      </c>
      <c r="B3451" s="11">
        <v>44771</v>
      </c>
      <c r="C3451" s="13" t="s">
        <v>3434</v>
      </c>
      <c r="D3451" s="13" t="s">
        <v>4584</v>
      </c>
      <c r="E3451" s="8">
        <v>150</v>
      </c>
      <c r="F3451" s="13" t="s">
        <v>70</v>
      </c>
      <c r="G3451" s="14">
        <v>44781</v>
      </c>
      <c r="H3451" s="13" t="s">
        <v>9</v>
      </c>
    </row>
    <row r="3452" spans="1:8" ht="14.4" x14ac:dyDescent="0.3">
      <c r="A3452" s="8">
        <v>82188251</v>
      </c>
      <c r="B3452" s="11">
        <v>44771</v>
      </c>
      <c r="C3452" s="13" t="s">
        <v>3434</v>
      </c>
      <c r="D3452" s="13" t="s">
        <v>4585</v>
      </c>
      <c r="E3452" s="8">
        <v>150</v>
      </c>
      <c r="F3452" s="13" t="s">
        <v>70</v>
      </c>
      <c r="G3452" s="14">
        <v>44781</v>
      </c>
      <c r="H3452" s="13" t="s">
        <v>9</v>
      </c>
    </row>
    <row r="3453" spans="1:8" ht="14.4" x14ac:dyDescent="0.3">
      <c r="A3453" s="8">
        <v>82188252</v>
      </c>
      <c r="B3453" s="11">
        <v>44771</v>
      </c>
      <c r="C3453" s="13" t="s">
        <v>162</v>
      </c>
      <c r="D3453" s="13" t="s">
        <v>4586</v>
      </c>
      <c r="E3453" s="8">
        <v>6020.54</v>
      </c>
      <c r="F3453" s="13" t="s">
        <v>70</v>
      </c>
      <c r="G3453" s="14">
        <v>44776</v>
      </c>
      <c r="H3453" s="13" t="s">
        <v>9</v>
      </c>
    </row>
    <row r="3454" spans="1:8" ht="14.4" x14ac:dyDescent="0.3">
      <c r="A3454" s="8">
        <v>82188253</v>
      </c>
      <c r="B3454" s="11">
        <v>44771</v>
      </c>
      <c r="C3454" s="13" t="s">
        <v>162</v>
      </c>
      <c r="D3454" s="13" t="s">
        <v>4587</v>
      </c>
      <c r="E3454" s="8">
        <v>141593.19</v>
      </c>
      <c r="F3454" s="13" t="s">
        <v>70</v>
      </c>
      <c r="G3454" s="14">
        <v>44776</v>
      </c>
      <c r="H3454" s="13" t="s">
        <v>9</v>
      </c>
    </row>
    <row r="3455" spans="1:8" ht="14.4" x14ac:dyDescent="0.3">
      <c r="A3455" s="8">
        <v>82188254</v>
      </c>
      <c r="B3455" s="11">
        <v>44771</v>
      </c>
      <c r="C3455" s="13" t="s">
        <v>162</v>
      </c>
      <c r="D3455" s="13" t="s">
        <v>4588</v>
      </c>
      <c r="E3455" s="8">
        <v>49855.58</v>
      </c>
      <c r="F3455" s="13" t="s">
        <v>70</v>
      </c>
      <c r="G3455" s="14">
        <v>44776</v>
      </c>
      <c r="H3455" s="13" t="s">
        <v>9</v>
      </c>
    </row>
    <row r="3456" spans="1:8" ht="14.4" x14ac:dyDescent="0.3">
      <c r="A3456" s="8">
        <v>82188255</v>
      </c>
      <c r="B3456" s="11">
        <v>44771</v>
      </c>
      <c r="C3456" s="13" t="s">
        <v>162</v>
      </c>
      <c r="D3456" s="13" t="s">
        <v>4589</v>
      </c>
      <c r="E3456" s="8">
        <v>293882.83</v>
      </c>
      <c r="F3456" s="13" t="s">
        <v>70</v>
      </c>
      <c r="G3456" s="14">
        <v>44776</v>
      </c>
      <c r="H3456" s="13" t="s">
        <v>9</v>
      </c>
    </row>
    <row r="3457" spans="1:8" ht="14.4" x14ac:dyDescent="0.3">
      <c r="A3457" s="8">
        <v>82188256</v>
      </c>
      <c r="B3457" s="11">
        <v>44771</v>
      </c>
      <c r="C3457" s="13" t="s">
        <v>159</v>
      </c>
      <c r="D3457" s="13" t="s">
        <v>4590</v>
      </c>
      <c r="E3457" s="8">
        <v>308000</v>
      </c>
      <c r="F3457" s="13" t="s">
        <v>70</v>
      </c>
      <c r="G3457" s="14">
        <v>44771</v>
      </c>
      <c r="H3457" s="13" t="s">
        <v>9</v>
      </c>
    </row>
    <row r="3458" spans="1:8" ht="14.4" x14ac:dyDescent="0.3">
      <c r="A3458" s="8">
        <v>82188257</v>
      </c>
      <c r="B3458" s="11">
        <v>44781</v>
      </c>
      <c r="C3458" s="13" t="s">
        <v>4591</v>
      </c>
      <c r="D3458" s="13" t="s">
        <v>4592</v>
      </c>
      <c r="E3458" s="8">
        <v>8528564.1400000006</v>
      </c>
      <c r="F3458" s="13" t="s">
        <v>70</v>
      </c>
      <c r="G3458" s="14">
        <v>44784</v>
      </c>
      <c r="H3458" s="13" t="s">
        <v>9</v>
      </c>
    </row>
    <row r="3459" spans="1:8" ht="14.4" x14ac:dyDescent="0.3">
      <c r="A3459" s="8">
        <v>82188258</v>
      </c>
      <c r="B3459" s="11">
        <v>44788</v>
      </c>
      <c r="C3459" s="13" t="s">
        <v>4591</v>
      </c>
      <c r="D3459" s="13" t="s">
        <v>4593</v>
      </c>
      <c r="E3459" s="8">
        <v>4677590.87</v>
      </c>
      <c r="F3459" s="13" t="s">
        <v>70</v>
      </c>
      <c r="G3459" s="14">
        <v>44790</v>
      </c>
      <c r="H3459" s="13" t="s">
        <v>9</v>
      </c>
    </row>
    <row r="3460" spans="1:8" ht="14.4" x14ac:dyDescent="0.3">
      <c r="A3460" s="8">
        <v>82188259</v>
      </c>
      <c r="B3460" s="11">
        <v>44791</v>
      </c>
      <c r="C3460" s="13" t="s">
        <v>1286</v>
      </c>
      <c r="D3460" s="13" t="s">
        <v>4594</v>
      </c>
      <c r="E3460" s="8">
        <v>47123.839999999997</v>
      </c>
      <c r="F3460" s="13" t="s">
        <v>70</v>
      </c>
      <c r="G3460" s="14">
        <v>44795</v>
      </c>
      <c r="H3460" s="13" t="s">
        <v>9</v>
      </c>
    </row>
    <row r="3461" spans="1:8" ht="14.4" x14ac:dyDescent="0.3">
      <c r="A3461" s="8">
        <v>82188260</v>
      </c>
      <c r="B3461" s="11">
        <v>44791</v>
      </c>
      <c r="C3461" s="13" t="s">
        <v>1286</v>
      </c>
      <c r="D3461" s="13" t="s">
        <v>4595</v>
      </c>
      <c r="E3461" s="8">
        <v>11253.23</v>
      </c>
      <c r="F3461" s="13" t="s">
        <v>70</v>
      </c>
      <c r="G3461" s="14">
        <v>44795</v>
      </c>
      <c r="H3461" s="13" t="s">
        <v>9</v>
      </c>
    </row>
    <row r="3462" spans="1:8" ht="14.4" x14ac:dyDescent="0.3">
      <c r="A3462" s="8">
        <v>82188261</v>
      </c>
      <c r="B3462" s="11">
        <v>44791</v>
      </c>
      <c r="C3462" s="13" t="s">
        <v>1424</v>
      </c>
      <c r="D3462" s="13" t="s">
        <v>3630</v>
      </c>
      <c r="E3462" s="8">
        <v>49450.89</v>
      </c>
      <c r="F3462" s="13" t="s">
        <v>70</v>
      </c>
      <c r="G3462" s="14">
        <v>44795</v>
      </c>
      <c r="H3462" s="13" t="s">
        <v>9</v>
      </c>
    </row>
    <row r="3463" spans="1:8" ht="14.4" x14ac:dyDescent="0.3">
      <c r="A3463" s="8">
        <v>82188262</v>
      </c>
      <c r="B3463" s="11">
        <v>44791</v>
      </c>
      <c r="C3463" s="13" t="s">
        <v>4596</v>
      </c>
      <c r="D3463" s="13" t="s">
        <v>4597</v>
      </c>
      <c r="E3463" s="8">
        <v>14626.24</v>
      </c>
      <c r="F3463" s="13" t="s">
        <v>70</v>
      </c>
      <c r="G3463" s="14">
        <v>44795</v>
      </c>
      <c r="H3463" s="13" t="s">
        <v>9</v>
      </c>
    </row>
    <row r="3464" spans="1:8" ht="14.4" x14ac:dyDescent="0.3">
      <c r="A3464" s="8">
        <v>82188263</v>
      </c>
      <c r="B3464" s="11">
        <v>44791</v>
      </c>
      <c r="C3464" s="13" t="s">
        <v>48</v>
      </c>
      <c r="D3464" s="13" t="s">
        <v>4598</v>
      </c>
      <c r="E3464" s="8">
        <v>64020</v>
      </c>
      <c r="F3464" s="13" t="s">
        <v>70</v>
      </c>
      <c r="G3464" s="14">
        <v>44806</v>
      </c>
      <c r="H3464" s="13" t="s">
        <v>9</v>
      </c>
    </row>
    <row r="3465" spans="1:8" ht="14.4" x14ac:dyDescent="0.3">
      <c r="A3465" s="8">
        <v>82188264</v>
      </c>
      <c r="B3465" s="11">
        <v>44791</v>
      </c>
      <c r="C3465" s="13" t="s">
        <v>51</v>
      </c>
      <c r="D3465" s="13" t="s">
        <v>4599</v>
      </c>
      <c r="E3465" s="8">
        <v>39770</v>
      </c>
      <c r="F3465" s="13" t="s">
        <v>70</v>
      </c>
      <c r="G3465" s="14">
        <v>44804</v>
      </c>
      <c r="H3465" s="13" t="s">
        <v>9</v>
      </c>
    </row>
    <row r="3466" spans="1:8" ht="14.4" x14ac:dyDescent="0.3">
      <c r="A3466" s="8">
        <v>82188265</v>
      </c>
      <c r="B3466" s="11">
        <v>44791</v>
      </c>
      <c r="C3466" s="13" t="s">
        <v>601</v>
      </c>
      <c r="D3466" s="13" t="s">
        <v>4600</v>
      </c>
      <c r="E3466" s="8">
        <v>56250</v>
      </c>
      <c r="F3466" s="13" t="s">
        <v>70</v>
      </c>
      <c r="G3466" s="14">
        <v>44792</v>
      </c>
      <c r="H3466" s="13" t="s">
        <v>9</v>
      </c>
    </row>
    <row r="3467" spans="1:8" ht="14.4" x14ac:dyDescent="0.3">
      <c r="A3467" s="8">
        <v>82188266</v>
      </c>
      <c r="B3467" s="11">
        <v>44791</v>
      </c>
      <c r="C3467" s="13" t="s">
        <v>2428</v>
      </c>
      <c r="D3467" s="13" t="s">
        <v>4601</v>
      </c>
      <c r="E3467" s="8">
        <v>65960</v>
      </c>
      <c r="F3467" s="13" t="s">
        <v>70</v>
      </c>
      <c r="G3467" s="14">
        <v>44806</v>
      </c>
      <c r="H3467" s="13" t="s">
        <v>9</v>
      </c>
    </row>
    <row r="3468" spans="1:8" ht="14.4" x14ac:dyDescent="0.3">
      <c r="A3468" s="8">
        <v>82188267</v>
      </c>
      <c r="B3468" s="11">
        <v>44791</v>
      </c>
      <c r="C3468" s="13" t="s">
        <v>4602</v>
      </c>
      <c r="D3468" s="13" t="s">
        <v>4603</v>
      </c>
      <c r="E3468" s="8">
        <v>58200</v>
      </c>
      <c r="F3468" s="13" t="s">
        <v>70</v>
      </c>
      <c r="G3468" s="14">
        <v>44795</v>
      </c>
      <c r="H3468" s="13" t="s">
        <v>9</v>
      </c>
    </row>
    <row r="3469" spans="1:8" ht="14.4" x14ac:dyDescent="0.3">
      <c r="A3469" s="8">
        <v>82188268</v>
      </c>
      <c r="B3469" s="11">
        <v>44791</v>
      </c>
      <c r="C3469" s="13" t="s">
        <v>265</v>
      </c>
      <c r="D3469" s="13" t="s">
        <v>4604</v>
      </c>
      <c r="E3469" s="8">
        <v>46254</v>
      </c>
      <c r="F3469" s="13" t="s">
        <v>70</v>
      </c>
      <c r="G3469" s="14">
        <v>44792</v>
      </c>
      <c r="H3469" s="13" t="s">
        <v>9</v>
      </c>
    </row>
    <row r="3470" spans="1:8" ht="14.4" x14ac:dyDescent="0.3">
      <c r="A3470" s="8">
        <v>82188269</v>
      </c>
      <c r="B3470" s="11">
        <v>44791</v>
      </c>
      <c r="C3470" s="13" t="s">
        <v>395</v>
      </c>
      <c r="D3470" s="13" t="s">
        <v>4605</v>
      </c>
      <c r="E3470" s="8">
        <v>47287</v>
      </c>
      <c r="F3470" s="13" t="s">
        <v>70</v>
      </c>
      <c r="G3470" s="14">
        <v>44795</v>
      </c>
      <c r="H3470" s="13" t="s">
        <v>9</v>
      </c>
    </row>
    <row r="3471" spans="1:8" ht="14.4" x14ac:dyDescent="0.3">
      <c r="A3471" s="8">
        <v>82188270</v>
      </c>
      <c r="B3471" s="11">
        <v>44792</v>
      </c>
      <c r="C3471" s="13" t="s">
        <v>4606</v>
      </c>
      <c r="D3471" s="13" t="s">
        <v>4607</v>
      </c>
      <c r="E3471" s="8">
        <v>30000</v>
      </c>
      <c r="F3471" s="13" t="s">
        <v>70</v>
      </c>
      <c r="G3471" s="14">
        <v>44795</v>
      </c>
      <c r="H3471" s="13" t="s">
        <v>9</v>
      </c>
    </row>
    <row r="3472" spans="1:8" ht="14.4" x14ac:dyDescent="0.3">
      <c r="A3472" s="8">
        <v>82188271</v>
      </c>
      <c r="B3472" s="11">
        <v>44792</v>
      </c>
      <c r="C3472" s="13" t="s">
        <v>4608</v>
      </c>
      <c r="D3472" s="13" t="s">
        <v>4609</v>
      </c>
      <c r="E3472" s="8">
        <v>32000</v>
      </c>
      <c r="F3472" s="13" t="s">
        <v>70</v>
      </c>
      <c r="G3472" s="14">
        <v>44798</v>
      </c>
      <c r="H3472" s="13" t="s">
        <v>9</v>
      </c>
    </row>
    <row r="3473" spans="1:8" ht="14.4" x14ac:dyDescent="0.3">
      <c r="A3473" s="8">
        <v>82188272</v>
      </c>
      <c r="B3473" s="11">
        <v>44792</v>
      </c>
      <c r="C3473" s="13" t="s">
        <v>4610</v>
      </c>
      <c r="D3473" s="13" t="s">
        <v>4611</v>
      </c>
      <c r="E3473" s="8">
        <v>14000</v>
      </c>
      <c r="F3473" s="13" t="s">
        <v>70</v>
      </c>
      <c r="G3473" s="14">
        <v>44795</v>
      </c>
      <c r="H3473" s="13" t="s">
        <v>9</v>
      </c>
    </row>
    <row r="3474" spans="1:8" ht="14.4" x14ac:dyDescent="0.3">
      <c r="A3474" s="8">
        <v>82188273</v>
      </c>
      <c r="B3474" s="11">
        <v>44792</v>
      </c>
      <c r="C3474" s="13" t="s">
        <v>4612</v>
      </c>
      <c r="D3474" s="13" t="s">
        <v>4613</v>
      </c>
      <c r="E3474" s="8">
        <v>50000</v>
      </c>
      <c r="F3474" s="13" t="s">
        <v>70</v>
      </c>
      <c r="G3474" s="14">
        <v>44798</v>
      </c>
      <c r="H3474" s="13" t="s">
        <v>9</v>
      </c>
    </row>
    <row r="3475" spans="1:8" ht="14.4" x14ac:dyDescent="0.3">
      <c r="A3475" s="8">
        <v>82188274</v>
      </c>
      <c r="B3475" s="11">
        <v>44792</v>
      </c>
      <c r="C3475" s="13" t="s">
        <v>4614</v>
      </c>
      <c r="D3475" s="13" t="s">
        <v>4615</v>
      </c>
      <c r="E3475" s="8">
        <v>50000</v>
      </c>
      <c r="F3475" s="13" t="s">
        <v>70</v>
      </c>
      <c r="G3475" s="14">
        <v>44796</v>
      </c>
      <c r="H3475" s="13" t="s">
        <v>9</v>
      </c>
    </row>
    <row r="3476" spans="1:8" ht="14.4" x14ac:dyDescent="0.3">
      <c r="A3476" s="8">
        <v>82188275</v>
      </c>
      <c r="B3476" s="11">
        <v>44792</v>
      </c>
      <c r="C3476" s="13" t="s">
        <v>4616</v>
      </c>
      <c r="D3476" s="13" t="s">
        <v>4617</v>
      </c>
      <c r="E3476" s="8">
        <v>8000</v>
      </c>
      <c r="F3476" s="13" t="s">
        <v>70</v>
      </c>
      <c r="G3476" s="14">
        <v>44795</v>
      </c>
      <c r="H3476" s="13" t="s">
        <v>9</v>
      </c>
    </row>
    <row r="3477" spans="1:8" ht="14.4" x14ac:dyDescent="0.3">
      <c r="A3477" s="8">
        <v>82188276</v>
      </c>
      <c r="B3477" s="11">
        <v>44792</v>
      </c>
      <c r="C3477" s="13" t="s">
        <v>4618</v>
      </c>
      <c r="D3477" s="13" t="s">
        <v>4619</v>
      </c>
      <c r="E3477" s="8">
        <v>19000</v>
      </c>
      <c r="F3477" s="13" t="s">
        <v>70</v>
      </c>
      <c r="G3477" s="14">
        <v>44795</v>
      </c>
      <c r="H3477" s="13" t="s">
        <v>9</v>
      </c>
    </row>
    <row r="3478" spans="1:8" ht="14.4" x14ac:dyDescent="0.3">
      <c r="A3478" s="8">
        <v>82188277</v>
      </c>
      <c r="B3478" s="11">
        <v>44792</v>
      </c>
      <c r="C3478" s="13" t="s">
        <v>4620</v>
      </c>
      <c r="D3478" s="13" t="s">
        <v>4621</v>
      </c>
      <c r="E3478" s="8">
        <v>11000</v>
      </c>
      <c r="F3478" s="13" t="s">
        <v>70</v>
      </c>
      <c r="G3478" s="14">
        <v>44795</v>
      </c>
      <c r="H3478" s="13" t="s">
        <v>9</v>
      </c>
    </row>
    <row r="3479" spans="1:8" ht="14.4" x14ac:dyDescent="0.3">
      <c r="A3479" s="8">
        <v>82188278</v>
      </c>
      <c r="B3479" s="11">
        <v>44792</v>
      </c>
      <c r="C3479" s="13" t="s">
        <v>4622</v>
      </c>
      <c r="D3479" s="13" t="s">
        <v>4623</v>
      </c>
      <c r="E3479" s="8">
        <v>9000</v>
      </c>
      <c r="F3479" s="13" t="s">
        <v>70</v>
      </c>
      <c r="G3479" s="14">
        <v>44796</v>
      </c>
      <c r="H3479" s="13" t="s">
        <v>9</v>
      </c>
    </row>
    <row r="3480" spans="1:8" ht="14.4" x14ac:dyDescent="0.3">
      <c r="A3480" s="8">
        <v>82188279</v>
      </c>
      <c r="B3480" s="11">
        <v>44792</v>
      </c>
      <c r="C3480" s="13" t="s">
        <v>4624</v>
      </c>
      <c r="D3480" s="13" t="s">
        <v>4625</v>
      </c>
      <c r="E3480" s="8">
        <v>10000</v>
      </c>
      <c r="F3480" s="13" t="s">
        <v>70</v>
      </c>
      <c r="G3480" s="14">
        <v>44795</v>
      </c>
      <c r="H3480" s="13" t="s">
        <v>9</v>
      </c>
    </row>
    <row r="3481" spans="1:8" ht="14.4" x14ac:dyDescent="0.3">
      <c r="A3481" s="8">
        <v>82188280</v>
      </c>
      <c r="B3481" s="11">
        <v>44792</v>
      </c>
      <c r="C3481" s="13" t="s">
        <v>1894</v>
      </c>
      <c r="D3481" s="13" t="s">
        <v>4626</v>
      </c>
      <c r="E3481" s="8">
        <v>10000</v>
      </c>
      <c r="F3481" s="13" t="s">
        <v>70</v>
      </c>
      <c r="G3481" s="14">
        <v>44795</v>
      </c>
      <c r="H3481" s="13" t="s">
        <v>9</v>
      </c>
    </row>
    <row r="3482" spans="1:8" ht="14.4" x14ac:dyDescent="0.3">
      <c r="A3482" s="8">
        <v>82188281</v>
      </c>
      <c r="B3482" s="11">
        <v>44792</v>
      </c>
      <c r="C3482" s="13" t="s">
        <v>4627</v>
      </c>
      <c r="D3482" s="13" t="s">
        <v>4628</v>
      </c>
      <c r="E3482" s="8">
        <v>11500</v>
      </c>
      <c r="F3482" s="13" t="s">
        <v>70</v>
      </c>
      <c r="G3482" s="14">
        <v>44795</v>
      </c>
      <c r="H3482" s="13" t="s">
        <v>9</v>
      </c>
    </row>
    <row r="3483" spans="1:8" ht="14.4" x14ac:dyDescent="0.3">
      <c r="A3483" s="8">
        <v>82188282</v>
      </c>
      <c r="B3483" s="11">
        <v>44792</v>
      </c>
      <c r="C3483" s="13" t="s">
        <v>4629</v>
      </c>
      <c r="D3483" s="13" t="s">
        <v>4630</v>
      </c>
      <c r="E3483" s="8">
        <v>16000</v>
      </c>
      <c r="F3483" s="13" t="s">
        <v>70</v>
      </c>
      <c r="G3483" s="14">
        <v>44806</v>
      </c>
      <c r="H3483" s="13" t="s">
        <v>9</v>
      </c>
    </row>
    <row r="3484" spans="1:8" ht="14.4" x14ac:dyDescent="0.3">
      <c r="A3484" s="8">
        <v>82188283</v>
      </c>
      <c r="B3484" s="11">
        <v>44792</v>
      </c>
      <c r="C3484" s="13" t="s">
        <v>4631</v>
      </c>
      <c r="D3484" s="13" t="s">
        <v>4632</v>
      </c>
      <c r="E3484" s="8">
        <v>12000</v>
      </c>
      <c r="F3484" s="13" t="s">
        <v>70</v>
      </c>
      <c r="G3484" s="14">
        <v>44798</v>
      </c>
      <c r="H3484" s="13" t="s">
        <v>9</v>
      </c>
    </row>
    <row r="3485" spans="1:8" ht="14.4" x14ac:dyDescent="0.3">
      <c r="A3485" s="8">
        <v>82188284</v>
      </c>
      <c r="B3485" s="11">
        <v>44792</v>
      </c>
      <c r="C3485" s="13" t="s">
        <v>153</v>
      </c>
      <c r="D3485" s="13" t="s">
        <v>4633</v>
      </c>
      <c r="E3485" s="8">
        <v>79997.5</v>
      </c>
      <c r="F3485" s="13" t="s">
        <v>70</v>
      </c>
      <c r="G3485" s="14">
        <v>44798</v>
      </c>
      <c r="H3485" s="13" t="s">
        <v>9</v>
      </c>
    </row>
    <row r="3486" spans="1:8" ht="14.4" x14ac:dyDescent="0.3">
      <c r="A3486" s="8">
        <v>82188285</v>
      </c>
      <c r="B3486" s="11">
        <v>44792</v>
      </c>
      <c r="C3486" s="13" t="s">
        <v>4634</v>
      </c>
      <c r="D3486" s="13" t="s">
        <v>4635</v>
      </c>
      <c r="E3486" s="8">
        <v>20000</v>
      </c>
      <c r="F3486" s="13" t="s">
        <v>70</v>
      </c>
      <c r="G3486" s="14">
        <v>44805</v>
      </c>
      <c r="H3486" s="13" t="s">
        <v>9</v>
      </c>
    </row>
    <row r="3487" spans="1:8" ht="14.4" x14ac:dyDescent="0.3">
      <c r="A3487" s="8">
        <v>82188286</v>
      </c>
      <c r="B3487" s="11">
        <v>44792</v>
      </c>
      <c r="C3487" s="13" t="s">
        <v>4636</v>
      </c>
      <c r="D3487" s="13" t="s">
        <v>4637</v>
      </c>
      <c r="E3487" s="8">
        <v>20000</v>
      </c>
      <c r="F3487" s="13" t="s">
        <v>70</v>
      </c>
      <c r="G3487" s="14">
        <v>44809</v>
      </c>
      <c r="H3487" s="13" t="s">
        <v>9</v>
      </c>
    </row>
    <row r="3488" spans="1:8" ht="14.4" x14ac:dyDescent="0.3">
      <c r="A3488" s="8">
        <v>82188287</v>
      </c>
      <c r="B3488" s="11">
        <v>44792</v>
      </c>
      <c r="C3488" s="13" t="s">
        <v>4308</v>
      </c>
      <c r="D3488" s="13" t="s">
        <v>4638</v>
      </c>
      <c r="E3488" s="8">
        <v>109774.3</v>
      </c>
      <c r="F3488" s="13" t="s">
        <v>70</v>
      </c>
      <c r="G3488" s="14">
        <v>44792</v>
      </c>
      <c r="H3488" s="13" t="s">
        <v>9</v>
      </c>
    </row>
    <row r="3489" spans="1:8" ht="14.4" x14ac:dyDescent="0.3">
      <c r="A3489" s="8">
        <v>82188288</v>
      </c>
      <c r="B3489" s="11">
        <v>44792</v>
      </c>
      <c r="C3489" s="13" t="s">
        <v>2567</v>
      </c>
      <c r="D3489" s="13" t="s">
        <v>4639</v>
      </c>
      <c r="E3489" s="8">
        <v>126201.52</v>
      </c>
      <c r="F3489" s="13" t="s">
        <v>70</v>
      </c>
      <c r="G3489" s="14">
        <v>44795</v>
      </c>
      <c r="H3489" s="13" t="s">
        <v>9</v>
      </c>
    </row>
    <row r="3490" spans="1:8" ht="14.4" x14ac:dyDescent="0.3">
      <c r="A3490" s="8">
        <v>82188289</v>
      </c>
      <c r="B3490" s="11">
        <v>44792</v>
      </c>
      <c r="C3490" s="13" t="s">
        <v>255</v>
      </c>
      <c r="D3490" s="13" t="s">
        <v>4640</v>
      </c>
      <c r="E3490" s="8">
        <v>14196.43</v>
      </c>
      <c r="F3490" s="13" t="s">
        <v>70</v>
      </c>
      <c r="G3490" s="14">
        <v>44798</v>
      </c>
      <c r="H3490" s="13" t="s">
        <v>9</v>
      </c>
    </row>
    <row r="3491" spans="1:8" ht="14.4" x14ac:dyDescent="0.3">
      <c r="A3491" s="8">
        <v>82188290</v>
      </c>
      <c r="B3491" s="11">
        <v>44792</v>
      </c>
      <c r="C3491" s="13" t="s">
        <v>3203</v>
      </c>
      <c r="D3491" s="13" t="s">
        <v>4641</v>
      </c>
      <c r="E3491" s="8">
        <v>310132.03000000003</v>
      </c>
      <c r="F3491" s="13" t="s">
        <v>70</v>
      </c>
      <c r="G3491" s="14">
        <v>44796</v>
      </c>
      <c r="H3491" s="13" t="s">
        <v>9</v>
      </c>
    </row>
    <row r="3492" spans="1:8" ht="14.4" x14ac:dyDescent="0.3">
      <c r="A3492" s="8">
        <v>82188291</v>
      </c>
      <c r="B3492" s="11">
        <v>44792</v>
      </c>
      <c r="C3492" s="13" t="s">
        <v>1522</v>
      </c>
      <c r="D3492" s="13" t="s">
        <v>4642</v>
      </c>
      <c r="E3492" s="8">
        <v>52865</v>
      </c>
      <c r="F3492" s="13" t="s">
        <v>70</v>
      </c>
      <c r="G3492" s="14">
        <v>44799</v>
      </c>
      <c r="H3492" s="13" t="s">
        <v>9</v>
      </c>
    </row>
    <row r="3493" spans="1:8" ht="14.4" x14ac:dyDescent="0.3">
      <c r="A3493" s="8">
        <v>82188292</v>
      </c>
      <c r="B3493" s="11">
        <v>44792</v>
      </c>
      <c r="C3493" s="13" t="s">
        <v>193</v>
      </c>
      <c r="D3493" s="13" t="s">
        <v>4643</v>
      </c>
      <c r="E3493" s="8">
        <v>23206.43</v>
      </c>
      <c r="F3493" s="13" t="s">
        <v>70</v>
      </c>
      <c r="G3493" s="14">
        <v>44798</v>
      </c>
      <c r="H3493" s="13" t="s">
        <v>9</v>
      </c>
    </row>
    <row r="3494" spans="1:8" ht="14.4" x14ac:dyDescent="0.3">
      <c r="A3494" s="8">
        <v>82188293</v>
      </c>
      <c r="B3494" s="11">
        <v>44792</v>
      </c>
      <c r="C3494" s="13" t="s">
        <v>1522</v>
      </c>
      <c r="D3494" s="13" t="s">
        <v>4644</v>
      </c>
      <c r="E3494" s="8">
        <v>23520</v>
      </c>
      <c r="F3494" s="13" t="s">
        <v>70</v>
      </c>
      <c r="G3494" s="14">
        <v>44799</v>
      </c>
      <c r="H3494" s="13" t="s">
        <v>9</v>
      </c>
    </row>
    <row r="3495" spans="1:8" ht="14.4" x14ac:dyDescent="0.3">
      <c r="A3495" s="8">
        <v>82188294</v>
      </c>
      <c r="B3495" s="11">
        <v>44792</v>
      </c>
      <c r="C3495" s="13" t="s">
        <v>405</v>
      </c>
      <c r="D3495" s="13" t="s">
        <v>4645</v>
      </c>
      <c r="E3495" s="8">
        <v>26290.720000000001</v>
      </c>
      <c r="F3495" s="13" t="s">
        <v>70</v>
      </c>
      <c r="G3495" s="14">
        <v>44798</v>
      </c>
      <c r="H3495" s="13" t="s">
        <v>9</v>
      </c>
    </row>
    <row r="3496" spans="1:8" ht="14.4" x14ac:dyDescent="0.3">
      <c r="A3496" s="8">
        <v>82188295</v>
      </c>
      <c r="B3496" s="11">
        <v>44792</v>
      </c>
      <c r="C3496" s="13" t="s">
        <v>405</v>
      </c>
      <c r="D3496" s="13" t="s">
        <v>4646</v>
      </c>
      <c r="E3496" s="8">
        <v>20731.34</v>
      </c>
      <c r="F3496" s="13" t="s">
        <v>70</v>
      </c>
      <c r="G3496" s="14">
        <v>44798</v>
      </c>
      <c r="H3496" s="13" t="s">
        <v>9</v>
      </c>
    </row>
    <row r="3497" spans="1:8" ht="14.4" x14ac:dyDescent="0.3">
      <c r="A3497" s="8">
        <v>82188296</v>
      </c>
      <c r="B3497" s="11">
        <v>44792</v>
      </c>
      <c r="C3497" s="13" t="s">
        <v>361</v>
      </c>
      <c r="D3497" s="13" t="s">
        <v>4647</v>
      </c>
      <c r="E3497" s="8">
        <v>15237.16</v>
      </c>
      <c r="F3497" s="13" t="s">
        <v>70</v>
      </c>
      <c r="G3497" s="14">
        <v>44796</v>
      </c>
      <c r="H3497" s="13" t="s">
        <v>9</v>
      </c>
    </row>
    <row r="3498" spans="1:8" ht="14.4" x14ac:dyDescent="0.3">
      <c r="A3498" s="8">
        <v>82188297</v>
      </c>
      <c r="B3498" s="11">
        <v>44792</v>
      </c>
      <c r="C3498" s="13" t="s">
        <v>4648</v>
      </c>
      <c r="D3498" s="13" t="s">
        <v>4649</v>
      </c>
      <c r="E3498" s="8">
        <v>25480</v>
      </c>
      <c r="F3498" s="13" t="s">
        <v>70</v>
      </c>
      <c r="G3498" s="14">
        <v>44796</v>
      </c>
      <c r="H3498" s="13" t="s">
        <v>9</v>
      </c>
    </row>
    <row r="3499" spans="1:8" ht="14.4" x14ac:dyDescent="0.3">
      <c r="A3499" s="8">
        <v>82188298</v>
      </c>
      <c r="B3499" s="11">
        <v>44792</v>
      </c>
      <c r="C3499" s="13" t="s">
        <v>4650</v>
      </c>
      <c r="D3499" s="13" t="s">
        <v>4651</v>
      </c>
      <c r="E3499" s="8">
        <v>8100</v>
      </c>
      <c r="F3499" s="13" t="s">
        <v>70</v>
      </c>
      <c r="G3499" s="14">
        <v>44795</v>
      </c>
      <c r="H3499" s="13" t="s">
        <v>9</v>
      </c>
    </row>
    <row r="3500" spans="1:8" ht="14.4" x14ac:dyDescent="0.3">
      <c r="A3500" s="8">
        <v>82188299</v>
      </c>
      <c r="B3500" s="11">
        <v>44792</v>
      </c>
      <c r="C3500" s="13" t="s">
        <v>361</v>
      </c>
      <c r="D3500" s="13" t="s">
        <v>4652</v>
      </c>
      <c r="E3500" s="8">
        <v>17058.419999999998</v>
      </c>
      <c r="F3500" s="13" t="s">
        <v>70</v>
      </c>
      <c r="G3500" s="14">
        <v>44796</v>
      </c>
      <c r="H3500" s="13" t="s">
        <v>9</v>
      </c>
    </row>
    <row r="3501" spans="1:8" ht="14.4" x14ac:dyDescent="0.3">
      <c r="A3501" s="8">
        <v>82188300</v>
      </c>
      <c r="B3501" s="11">
        <v>44792</v>
      </c>
      <c r="C3501" s="13" t="s">
        <v>361</v>
      </c>
      <c r="D3501" s="13" t="s">
        <v>4653</v>
      </c>
      <c r="E3501" s="8">
        <v>6673</v>
      </c>
      <c r="F3501" s="13" t="s">
        <v>70</v>
      </c>
      <c r="G3501" s="14">
        <v>44796</v>
      </c>
      <c r="H3501" s="13" t="s">
        <v>9</v>
      </c>
    </row>
    <row r="3502" spans="1:8" ht="14.4" x14ac:dyDescent="0.3">
      <c r="A3502" s="8">
        <v>82188301</v>
      </c>
      <c r="B3502" s="11">
        <v>44792</v>
      </c>
      <c r="C3502" s="13" t="s">
        <v>4654</v>
      </c>
      <c r="D3502" s="13" t="s">
        <v>4655</v>
      </c>
      <c r="E3502" s="8">
        <v>426897</v>
      </c>
      <c r="F3502" s="13" t="s">
        <v>70</v>
      </c>
      <c r="G3502" s="14">
        <v>44795</v>
      </c>
      <c r="H3502" s="13" t="s">
        <v>9</v>
      </c>
    </row>
    <row r="3503" spans="1:8" ht="14.4" x14ac:dyDescent="0.3">
      <c r="A3503" s="8">
        <v>82188302</v>
      </c>
      <c r="B3503" s="11">
        <v>44792</v>
      </c>
      <c r="C3503" s="13" t="s">
        <v>25</v>
      </c>
      <c r="D3503" s="13" t="s">
        <v>4656</v>
      </c>
      <c r="E3503" s="8">
        <v>177921.43</v>
      </c>
      <c r="F3503" s="13" t="s">
        <v>70</v>
      </c>
      <c r="G3503" s="14">
        <v>44795</v>
      </c>
      <c r="H3503" s="13" t="s">
        <v>9</v>
      </c>
    </row>
    <row r="3504" spans="1:8" ht="14.4" x14ac:dyDescent="0.3">
      <c r="A3504" s="8">
        <v>82188303</v>
      </c>
      <c r="B3504" s="11">
        <v>44792</v>
      </c>
      <c r="C3504" s="13" t="s">
        <v>127</v>
      </c>
      <c r="D3504" s="13" t="s">
        <v>4657</v>
      </c>
      <c r="E3504" s="8">
        <v>11593.74</v>
      </c>
      <c r="F3504" s="13" t="s">
        <v>70</v>
      </c>
      <c r="G3504" s="14">
        <v>44798</v>
      </c>
      <c r="H3504" s="13" t="s">
        <v>9</v>
      </c>
    </row>
    <row r="3505" spans="1:8" ht="14.4" x14ac:dyDescent="0.3">
      <c r="A3505" s="8">
        <v>82188304</v>
      </c>
      <c r="B3505" s="11">
        <v>44792</v>
      </c>
      <c r="C3505" s="13" t="s">
        <v>1581</v>
      </c>
      <c r="D3505" s="13" t="s">
        <v>4658</v>
      </c>
      <c r="E3505" s="8">
        <v>23850</v>
      </c>
      <c r="F3505" s="13" t="s">
        <v>70</v>
      </c>
      <c r="G3505" s="14">
        <v>44795</v>
      </c>
      <c r="H3505" s="13" t="s">
        <v>9</v>
      </c>
    </row>
    <row r="3506" spans="1:8" ht="14.4" x14ac:dyDescent="0.3">
      <c r="A3506" s="8">
        <v>82188305</v>
      </c>
      <c r="B3506" s="11">
        <v>44792</v>
      </c>
      <c r="C3506" s="13" t="s">
        <v>1941</v>
      </c>
      <c r="D3506" s="13" t="s">
        <v>4659</v>
      </c>
      <c r="E3506" s="8">
        <v>16373.22</v>
      </c>
      <c r="F3506" s="13" t="s">
        <v>70</v>
      </c>
      <c r="G3506" s="14">
        <v>44803</v>
      </c>
      <c r="H3506" s="13" t="s">
        <v>9</v>
      </c>
    </row>
    <row r="3507" spans="1:8" ht="14.4" x14ac:dyDescent="0.3">
      <c r="A3507" s="8">
        <v>82188306</v>
      </c>
      <c r="B3507" s="11">
        <v>44792</v>
      </c>
      <c r="C3507" s="13" t="s">
        <v>2262</v>
      </c>
      <c r="D3507" s="13" t="s">
        <v>4660</v>
      </c>
      <c r="E3507" s="8">
        <v>28100</v>
      </c>
      <c r="F3507" s="13" t="s">
        <v>70</v>
      </c>
      <c r="G3507" s="14">
        <v>44798</v>
      </c>
      <c r="H3507" s="13" t="s">
        <v>9</v>
      </c>
    </row>
    <row r="3508" spans="1:8" ht="14.4" x14ac:dyDescent="0.3">
      <c r="A3508" s="8">
        <v>82188307</v>
      </c>
      <c r="B3508" s="11">
        <v>44792</v>
      </c>
      <c r="C3508" s="13" t="s">
        <v>4661</v>
      </c>
      <c r="D3508" s="13" t="s">
        <v>4662</v>
      </c>
      <c r="E3508" s="8">
        <v>10000</v>
      </c>
      <c r="F3508" s="13" t="s">
        <v>70</v>
      </c>
      <c r="G3508" s="14">
        <v>44803</v>
      </c>
      <c r="H3508" s="13" t="s">
        <v>9</v>
      </c>
    </row>
    <row r="3509" spans="1:8" ht="14.4" x14ac:dyDescent="0.3">
      <c r="A3509" s="8">
        <v>82188308</v>
      </c>
      <c r="B3509" s="11">
        <v>44792</v>
      </c>
      <c r="C3509" s="13" t="s">
        <v>2336</v>
      </c>
      <c r="D3509" s="13" t="s">
        <v>4663</v>
      </c>
      <c r="E3509" s="8">
        <v>15000</v>
      </c>
      <c r="F3509" s="13" t="s">
        <v>70</v>
      </c>
      <c r="G3509" s="14">
        <v>44796</v>
      </c>
      <c r="H3509" s="13" t="s">
        <v>9</v>
      </c>
    </row>
    <row r="3510" spans="1:8" ht="14.4" x14ac:dyDescent="0.3">
      <c r="A3510" s="8">
        <v>82188309</v>
      </c>
      <c r="B3510" s="11">
        <v>44792</v>
      </c>
      <c r="C3510" s="13" t="s">
        <v>4664</v>
      </c>
      <c r="D3510" s="13" t="s">
        <v>4665</v>
      </c>
      <c r="E3510" s="8">
        <v>60000</v>
      </c>
      <c r="F3510" s="13" t="s">
        <v>70</v>
      </c>
      <c r="G3510" s="14">
        <v>44838</v>
      </c>
      <c r="H3510" s="13" t="s">
        <v>9</v>
      </c>
    </row>
    <row r="3511" spans="1:8" ht="14.4" x14ac:dyDescent="0.3">
      <c r="A3511" s="8">
        <v>82188310</v>
      </c>
      <c r="B3511" s="11">
        <v>44792</v>
      </c>
      <c r="C3511" s="13" t="s">
        <v>158</v>
      </c>
      <c r="D3511" s="13" t="s">
        <v>4666</v>
      </c>
      <c r="E3511" s="8">
        <v>307650</v>
      </c>
      <c r="F3511" s="13" t="s">
        <v>70</v>
      </c>
      <c r="G3511" s="14">
        <v>44795</v>
      </c>
      <c r="H3511" s="13" t="s">
        <v>9</v>
      </c>
    </row>
    <row r="3512" spans="1:8" ht="14.4" x14ac:dyDescent="0.3">
      <c r="A3512" s="8">
        <v>82188311</v>
      </c>
      <c r="B3512" s="11">
        <v>44792</v>
      </c>
      <c r="C3512" s="13" t="s">
        <v>1958</v>
      </c>
      <c r="D3512" s="13" t="s">
        <v>4667</v>
      </c>
      <c r="E3512" s="8">
        <v>1778881.46</v>
      </c>
      <c r="F3512" s="13" t="s">
        <v>70</v>
      </c>
      <c r="G3512" s="14">
        <v>44795</v>
      </c>
      <c r="H3512" s="13" t="s">
        <v>9</v>
      </c>
    </row>
    <row r="3513" spans="1:8" ht="14.4" x14ac:dyDescent="0.3">
      <c r="A3513" s="8">
        <v>82188312</v>
      </c>
      <c r="B3513" s="11">
        <v>44792</v>
      </c>
      <c r="C3513" s="13" t="s">
        <v>4648</v>
      </c>
      <c r="D3513" s="13" t="s">
        <v>4668</v>
      </c>
      <c r="E3513" s="8">
        <v>36505</v>
      </c>
      <c r="F3513" s="13" t="s">
        <v>70</v>
      </c>
      <c r="G3513" s="14">
        <v>44796</v>
      </c>
      <c r="H3513" s="13" t="s">
        <v>9</v>
      </c>
    </row>
    <row r="3514" spans="1:8" ht="14.4" x14ac:dyDescent="0.3">
      <c r="A3514" s="8">
        <v>82188313</v>
      </c>
      <c r="B3514" s="11">
        <v>44792</v>
      </c>
      <c r="C3514" s="13" t="s">
        <v>1946</v>
      </c>
      <c r="D3514" s="13" t="s">
        <v>4669</v>
      </c>
      <c r="E3514" s="8">
        <v>1334.46</v>
      </c>
      <c r="F3514" s="13" t="s">
        <v>70</v>
      </c>
      <c r="G3514" s="14">
        <v>44796</v>
      </c>
      <c r="H3514" s="13" t="s">
        <v>9</v>
      </c>
    </row>
    <row r="3515" spans="1:8" ht="14.4" x14ac:dyDescent="0.3">
      <c r="A3515" s="8">
        <v>82188314</v>
      </c>
      <c r="B3515" s="11">
        <v>44792</v>
      </c>
      <c r="C3515" s="13" t="s">
        <v>2579</v>
      </c>
      <c r="D3515" s="13" t="s">
        <v>4670</v>
      </c>
      <c r="E3515" s="8">
        <v>1323</v>
      </c>
      <c r="F3515" s="13" t="s">
        <v>70</v>
      </c>
      <c r="G3515" s="14">
        <v>44840</v>
      </c>
      <c r="H3515" s="13" t="s">
        <v>9</v>
      </c>
    </row>
    <row r="3516" spans="1:8" ht="14.4" x14ac:dyDescent="0.3">
      <c r="A3516" s="8">
        <v>82188315</v>
      </c>
      <c r="B3516" s="11">
        <v>44792</v>
      </c>
      <c r="C3516" s="13" t="s">
        <v>2711</v>
      </c>
      <c r="D3516" s="13" t="s">
        <v>4671</v>
      </c>
      <c r="E3516" s="8">
        <v>14196.43</v>
      </c>
      <c r="F3516" s="13" t="s">
        <v>70</v>
      </c>
      <c r="G3516" s="14">
        <v>44796</v>
      </c>
      <c r="H3516" s="13" t="s">
        <v>9</v>
      </c>
    </row>
    <row r="3517" spans="1:8" ht="14.4" x14ac:dyDescent="0.3">
      <c r="A3517" s="8">
        <v>82188316</v>
      </c>
      <c r="B3517" s="11">
        <v>44792</v>
      </c>
      <c r="C3517" s="13" t="s">
        <v>1424</v>
      </c>
      <c r="D3517" s="13" t="s">
        <v>4672</v>
      </c>
      <c r="E3517" s="8">
        <v>50799.55</v>
      </c>
      <c r="F3517" s="13" t="s">
        <v>70</v>
      </c>
      <c r="G3517" s="14">
        <v>44795</v>
      </c>
      <c r="H3517" s="13" t="s">
        <v>9</v>
      </c>
    </row>
    <row r="3518" spans="1:8" ht="14.4" x14ac:dyDescent="0.3">
      <c r="A3518" s="8">
        <v>82188317</v>
      </c>
      <c r="B3518" s="11">
        <v>44792</v>
      </c>
      <c r="C3518" s="13" t="s">
        <v>127</v>
      </c>
      <c r="D3518" s="13" t="s">
        <v>4673</v>
      </c>
      <c r="E3518" s="8">
        <v>567.85</v>
      </c>
      <c r="F3518" s="13" t="s">
        <v>70</v>
      </c>
      <c r="G3518" s="14">
        <v>44798</v>
      </c>
      <c r="H3518" s="13" t="s">
        <v>9</v>
      </c>
    </row>
    <row r="3519" spans="1:8" ht="14.4" x14ac:dyDescent="0.3">
      <c r="A3519" s="8">
        <v>82188318</v>
      </c>
      <c r="B3519" s="11">
        <v>44792</v>
      </c>
      <c r="C3519" s="13" t="s">
        <v>259</v>
      </c>
      <c r="D3519" s="13" t="s">
        <v>4674</v>
      </c>
      <c r="E3519" s="8">
        <v>77676.740000000005</v>
      </c>
      <c r="F3519" s="13" t="s">
        <v>70</v>
      </c>
      <c r="G3519" s="14">
        <v>44805</v>
      </c>
      <c r="H3519" s="13" t="s">
        <v>9</v>
      </c>
    </row>
    <row r="3520" spans="1:8" ht="14.4" x14ac:dyDescent="0.3">
      <c r="A3520" s="8">
        <v>82188319</v>
      </c>
      <c r="B3520" s="11">
        <v>44792</v>
      </c>
      <c r="C3520" s="13" t="s">
        <v>2567</v>
      </c>
      <c r="D3520" s="13" t="s">
        <v>4675</v>
      </c>
      <c r="E3520" s="8">
        <v>44597.61</v>
      </c>
      <c r="F3520" s="13" t="s">
        <v>70</v>
      </c>
      <c r="G3520" s="14">
        <v>44803</v>
      </c>
      <c r="H3520" s="13" t="s">
        <v>9</v>
      </c>
    </row>
    <row r="3521" spans="1:8" ht="14.4" x14ac:dyDescent="0.3">
      <c r="A3521" s="8">
        <v>82188320</v>
      </c>
      <c r="B3521" s="11">
        <v>44792</v>
      </c>
      <c r="C3521" s="13" t="s">
        <v>259</v>
      </c>
      <c r="D3521" s="13" t="s">
        <v>4676</v>
      </c>
      <c r="E3521" s="8">
        <v>16893.740000000002</v>
      </c>
      <c r="F3521" s="13" t="s">
        <v>70</v>
      </c>
      <c r="G3521" s="14">
        <v>44805</v>
      </c>
      <c r="H3521" s="13" t="s">
        <v>9</v>
      </c>
    </row>
    <row r="3522" spans="1:8" ht="14.4" x14ac:dyDescent="0.3">
      <c r="A3522" s="8">
        <v>82188321</v>
      </c>
      <c r="B3522" s="11">
        <v>44792</v>
      </c>
      <c r="C3522" s="13" t="s">
        <v>25</v>
      </c>
      <c r="D3522" s="13" t="s">
        <v>4677</v>
      </c>
      <c r="E3522" s="8">
        <v>30309.37</v>
      </c>
      <c r="F3522" s="13" t="s">
        <v>70</v>
      </c>
      <c r="G3522" s="14">
        <v>44795</v>
      </c>
      <c r="H3522" s="13" t="s">
        <v>9</v>
      </c>
    </row>
    <row r="3523" spans="1:8" ht="14.4" x14ac:dyDescent="0.3">
      <c r="A3523" s="8">
        <v>82188322</v>
      </c>
      <c r="B3523" s="11">
        <v>44792</v>
      </c>
      <c r="C3523" s="13" t="s">
        <v>1286</v>
      </c>
      <c r="D3523" s="13" t="s">
        <v>4678</v>
      </c>
      <c r="E3523" s="8">
        <v>2860.01</v>
      </c>
      <c r="F3523" s="13" t="s">
        <v>70</v>
      </c>
      <c r="G3523" s="14">
        <v>44795</v>
      </c>
      <c r="H3523" s="13" t="s">
        <v>9</v>
      </c>
    </row>
    <row r="3524" spans="1:8" ht="14.4" x14ac:dyDescent="0.3">
      <c r="A3524" s="8">
        <v>82188323</v>
      </c>
      <c r="B3524" s="11">
        <v>44792</v>
      </c>
      <c r="C3524" s="13" t="s">
        <v>1286</v>
      </c>
      <c r="D3524" s="13" t="s">
        <v>4679</v>
      </c>
      <c r="E3524" s="8">
        <v>5703.33</v>
      </c>
      <c r="F3524" s="13" t="s">
        <v>70</v>
      </c>
      <c r="G3524" s="14">
        <v>44795</v>
      </c>
      <c r="H3524" s="13" t="s">
        <v>9</v>
      </c>
    </row>
    <row r="3525" spans="1:8" ht="14.4" x14ac:dyDescent="0.3">
      <c r="A3525" s="8">
        <v>82188324</v>
      </c>
      <c r="B3525" s="11">
        <v>44792</v>
      </c>
      <c r="C3525" s="13" t="s">
        <v>1286</v>
      </c>
      <c r="D3525" s="13" t="s">
        <v>4680</v>
      </c>
      <c r="E3525" s="8">
        <v>368859.18</v>
      </c>
      <c r="F3525" s="13" t="s">
        <v>70</v>
      </c>
      <c r="G3525" s="14">
        <v>44795</v>
      </c>
      <c r="H3525" s="13" t="s">
        <v>9</v>
      </c>
    </row>
    <row r="3526" spans="1:8" ht="14.4" x14ac:dyDescent="0.3">
      <c r="A3526" s="8">
        <v>82188325</v>
      </c>
      <c r="B3526" s="11">
        <v>44792</v>
      </c>
      <c r="C3526" s="13" t="s">
        <v>4681</v>
      </c>
      <c r="D3526" s="13" t="s">
        <v>4682</v>
      </c>
      <c r="E3526" s="8">
        <v>10000</v>
      </c>
      <c r="F3526" s="13" t="s">
        <v>70</v>
      </c>
      <c r="G3526" s="14">
        <v>44798</v>
      </c>
      <c r="H3526" s="13" t="s">
        <v>9</v>
      </c>
    </row>
    <row r="3527" spans="1:8" ht="14.4" x14ac:dyDescent="0.3">
      <c r="A3527" s="8">
        <v>82188326</v>
      </c>
      <c r="B3527" s="11">
        <v>44792</v>
      </c>
      <c r="C3527" s="13" t="s">
        <v>547</v>
      </c>
      <c r="D3527" s="13" t="s">
        <v>4682</v>
      </c>
      <c r="E3527" s="8">
        <v>3000</v>
      </c>
      <c r="F3527" s="13" t="s">
        <v>70</v>
      </c>
      <c r="G3527" s="14">
        <v>44798</v>
      </c>
      <c r="H3527" s="13" t="s">
        <v>9</v>
      </c>
    </row>
    <row r="3528" spans="1:8" ht="14.4" x14ac:dyDescent="0.3">
      <c r="A3528" s="8">
        <v>82188327</v>
      </c>
      <c r="B3528" s="11">
        <v>44792</v>
      </c>
      <c r="C3528" s="13" t="s">
        <v>548</v>
      </c>
      <c r="D3528" s="13" t="s">
        <v>4682</v>
      </c>
      <c r="E3528" s="8">
        <v>3000</v>
      </c>
      <c r="F3528" s="13" t="s">
        <v>70</v>
      </c>
      <c r="G3528" s="14">
        <v>44798</v>
      </c>
      <c r="H3528" s="13" t="s">
        <v>9</v>
      </c>
    </row>
    <row r="3529" spans="1:8" ht="14.4" x14ac:dyDescent="0.3">
      <c r="A3529" s="8">
        <v>82188328</v>
      </c>
      <c r="B3529" s="11">
        <v>44792</v>
      </c>
      <c r="C3529" s="13" t="s">
        <v>549</v>
      </c>
      <c r="D3529" s="13" t="s">
        <v>4682</v>
      </c>
      <c r="E3529" s="8">
        <v>3000</v>
      </c>
      <c r="F3529" s="13" t="s">
        <v>70</v>
      </c>
      <c r="G3529" s="14">
        <v>44798</v>
      </c>
      <c r="H3529" s="13" t="s">
        <v>9</v>
      </c>
    </row>
    <row r="3530" spans="1:8" ht="14.4" x14ac:dyDescent="0.3">
      <c r="A3530" s="8">
        <v>82188329</v>
      </c>
      <c r="B3530" s="11">
        <v>44792</v>
      </c>
      <c r="C3530" s="13" t="s">
        <v>550</v>
      </c>
      <c r="D3530" s="13" t="s">
        <v>4682</v>
      </c>
      <c r="E3530" s="8">
        <v>3000</v>
      </c>
      <c r="F3530" s="13" t="s">
        <v>70</v>
      </c>
      <c r="G3530" s="14">
        <v>44798</v>
      </c>
      <c r="H3530" s="13" t="s">
        <v>9</v>
      </c>
    </row>
    <row r="3531" spans="1:8" ht="14.4" x14ac:dyDescent="0.3">
      <c r="A3531" s="8">
        <v>82188330</v>
      </c>
      <c r="B3531" s="11">
        <v>44792</v>
      </c>
      <c r="C3531" s="13" t="s">
        <v>1563</v>
      </c>
      <c r="D3531" s="13" t="s">
        <v>4682</v>
      </c>
      <c r="E3531" s="8">
        <v>3000</v>
      </c>
      <c r="F3531" s="13" t="s">
        <v>70</v>
      </c>
      <c r="G3531" s="14">
        <v>44798</v>
      </c>
      <c r="H3531" s="13" t="s">
        <v>9</v>
      </c>
    </row>
    <row r="3532" spans="1:8" ht="14.4" x14ac:dyDescent="0.3">
      <c r="A3532" s="8">
        <v>82188331</v>
      </c>
      <c r="B3532" s="11">
        <v>44792</v>
      </c>
      <c r="C3532" s="13" t="s">
        <v>553</v>
      </c>
      <c r="D3532" s="13" t="s">
        <v>4682</v>
      </c>
      <c r="E3532" s="8">
        <v>3000</v>
      </c>
      <c r="F3532" s="13" t="s">
        <v>70</v>
      </c>
      <c r="G3532" s="14">
        <v>44798</v>
      </c>
      <c r="H3532" s="13" t="s">
        <v>9</v>
      </c>
    </row>
    <row r="3533" spans="1:8" ht="14.4" x14ac:dyDescent="0.3">
      <c r="A3533" s="8">
        <v>82188332</v>
      </c>
      <c r="B3533" s="11">
        <v>44792</v>
      </c>
      <c r="C3533" s="13" t="s">
        <v>554</v>
      </c>
      <c r="D3533" s="13" t="s">
        <v>4682</v>
      </c>
      <c r="E3533" s="8">
        <v>3000</v>
      </c>
      <c r="F3533" s="13" t="s">
        <v>70</v>
      </c>
      <c r="G3533" s="14">
        <v>44798</v>
      </c>
      <c r="H3533" s="13" t="s">
        <v>9</v>
      </c>
    </row>
    <row r="3534" spans="1:8" ht="14.4" x14ac:dyDescent="0.3">
      <c r="A3534" s="8">
        <v>82188333</v>
      </c>
      <c r="B3534" s="11">
        <v>44792</v>
      </c>
      <c r="C3534" s="13" t="s">
        <v>134</v>
      </c>
      <c r="D3534" s="13" t="s">
        <v>4682</v>
      </c>
      <c r="E3534" s="8">
        <v>3000</v>
      </c>
      <c r="F3534" s="13" t="s">
        <v>70</v>
      </c>
      <c r="G3534" s="14">
        <v>44798</v>
      </c>
      <c r="H3534" s="13" t="s">
        <v>9</v>
      </c>
    </row>
    <row r="3535" spans="1:8" ht="14.4" x14ac:dyDescent="0.3">
      <c r="A3535" s="8">
        <v>82188334</v>
      </c>
      <c r="B3535" s="11">
        <v>44792</v>
      </c>
      <c r="C3535" s="13" t="s">
        <v>133</v>
      </c>
      <c r="D3535" s="13" t="s">
        <v>4682</v>
      </c>
      <c r="E3535" s="8">
        <v>3000</v>
      </c>
      <c r="F3535" s="13" t="s">
        <v>70</v>
      </c>
      <c r="G3535" s="14">
        <v>44798</v>
      </c>
      <c r="H3535" s="13" t="s">
        <v>9</v>
      </c>
    </row>
    <row r="3536" spans="1:8" ht="14.4" x14ac:dyDescent="0.3">
      <c r="A3536" s="8">
        <v>82188335</v>
      </c>
      <c r="B3536" s="11">
        <v>44792</v>
      </c>
      <c r="C3536" s="13" t="s">
        <v>132</v>
      </c>
      <c r="D3536" s="13" t="s">
        <v>4682</v>
      </c>
      <c r="E3536" s="8">
        <v>3000</v>
      </c>
      <c r="F3536" s="13" t="s">
        <v>70</v>
      </c>
      <c r="G3536" s="14">
        <v>44798</v>
      </c>
      <c r="H3536" s="13" t="s">
        <v>9</v>
      </c>
    </row>
    <row r="3537" spans="1:8" ht="14.4" x14ac:dyDescent="0.3">
      <c r="A3537" s="8">
        <v>82188336</v>
      </c>
      <c r="B3537" s="11">
        <v>44792</v>
      </c>
      <c r="C3537" s="13" t="s">
        <v>4683</v>
      </c>
      <c r="D3537" s="13" t="s">
        <v>4682</v>
      </c>
      <c r="E3537" s="8">
        <v>3000</v>
      </c>
      <c r="F3537" s="13" t="s">
        <v>70</v>
      </c>
      <c r="G3537" s="14">
        <v>44798</v>
      </c>
      <c r="H3537" s="13" t="s">
        <v>9</v>
      </c>
    </row>
    <row r="3538" spans="1:8" ht="14.4" x14ac:dyDescent="0.3">
      <c r="A3538" s="8">
        <v>82188337</v>
      </c>
      <c r="B3538" s="11">
        <v>44792</v>
      </c>
      <c r="C3538" s="13" t="s">
        <v>4684</v>
      </c>
      <c r="D3538" s="13" t="s">
        <v>4682</v>
      </c>
      <c r="E3538" s="8">
        <v>3000</v>
      </c>
      <c r="F3538" s="13" t="s">
        <v>70</v>
      </c>
      <c r="G3538" s="14">
        <v>44798</v>
      </c>
      <c r="H3538" s="13" t="s">
        <v>9</v>
      </c>
    </row>
    <row r="3539" spans="1:8" ht="14.4" x14ac:dyDescent="0.3">
      <c r="A3539" s="8">
        <v>82188338</v>
      </c>
      <c r="B3539" s="11">
        <v>44792</v>
      </c>
      <c r="C3539" s="13" t="s">
        <v>4685</v>
      </c>
      <c r="D3539" s="13" t="s">
        <v>4686</v>
      </c>
      <c r="E3539" s="8">
        <v>33075</v>
      </c>
      <c r="F3539" s="13" t="s">
        <v>70</v>
      </c>
      <c r="G3539" s="14">
        <v>44804</v>
      </c>
      <c r="H3539" s="13" t="s">
        <v>9</v>
      </c>
    </row>
    <row r="3540" spans="1:8" ht="14.4" x14ac:dyDescent="0.3">
      <c r="A3540" s="8">
        <v>82188340</v>
      </c>
      <c r="B3540" s="11">
        <v>44795</v>
      </c>
      <c r="C3540" s="13" t="s">
        <v>159</v>
      </c>
      <c r="D3540" s="13" t="s">
        <v>4687</v>
      </c>
      <c r="E3540" s="8">
        <v>372500</v>
      </c>
      <c r="F3540" s="13" t="s">
        <v>70</v>
      </c>
      <c r="G3540" s="14">
        <v>44795</v>
      </c>
      <c r="H3540" s="13" t="s">
        <v>9</v>
      </c>
    </row>
    <row r="3541" spans="1:8" ht="14.4" x14ac:dyDescent="0.3">
      <c r="A3541" s="8">
        <v>82188341</v>
      </c>
      <c r="B3541" s="11">
        <v>44795</v>
      </c>
      <c r="C3541" s="13" t="s">
        <v>3174</v>
      </c>
      <c r="D3541" s="13" t="s">
        <v>4688</v>
      </c>
      <c r="E3541" s="8">
        <v>30918</v>
      </c>
      <c r="F3541" s="13" t="s">
        <v>70</v>
      </c>
      <c r="G3541" s="14">
        <v>44798</v>
      </c>
      <c r="H3541" s="13" t="s">
        <v>9</v>
      </c>
    </row>
    <row r="3542" spans="1:8" ht="14.4" x14ac:dyDescent="0.3">
      <c r="A3542" s="8">
        <v>82188343</v>
      </c>
      <c r="B3542" s="11">
        <v>44795</v>
      </c>
      <c r="C3542" s="13" t="s">
        <v>4689</v>
      </c>
      <c r="D3542" s="13" t="s">
        <v>4690</v>
      </c>
      <c r="E3542" s="8">
        <v>10000</v>
      </c>
      <c r="F3542" s="13" t="s">
        <v>70</v>
      </c>
      <c r="G3542" s="14">
        <v>44798</v>
      </c>
      <c r="H3542" s="13" t="s">
        <v>9</v>
      </c>
    </row>
    <row r="3543" spans="1:8" ht="14.4" x14ac:dyDescent="0.3">
      <c r="A3543" s="8">
        <v>82188344</v>
      </c>
      <c r="B3543" s="11">
        <v>44795</v>
      </c>
      <c r="C3543" s="13" t="s">
        <v>4691</v>
      </c>
      <c r="D3543" s="13" t="s">
        <v>4692</v>
      </c>
      <c r="E3543" s="8">
        <v>23000</v>
      </c>
      <c r="F3543" s="13" t="s">
        <v>70</v>
      </c>
      <c r="G3543" s="14">
        <v>44798</v>
      </c>
      <c r="H3543" s="13" t="s">
        <v>9</v>
      </c>
    </row>
    <row r="3544" spans="1:8" ht="14.4" x14ac:dyDescent="0.3">
      <c r="A3544" s="8">
        <v>82188345</v>
      </c>
      <c r="B3544" s="11">
        <v>44795</v>
      </c>
      <c r="C3544" s="13" t="s">
        <v>4693</v>
      </c>
      <c r="D3544" s="13" t="s">
        <v>4694</v>
      </c>
      <c r="E3544" s="8">
        <v>40000</v>
      </c>
      <c r="F3544" s="13" t="s">
        <v>70</v>
      </c>
      <c r="G3544" s="14">
        <v>44796</v>
      </c>
      <c r="H3544" s="13" t="s">
        <v>9</v>
      </c>
    </row>
    <row r="3545" spans="1:8" ht="14.4" x14ac:dyDescent="0.3">
      <c r="A3545" s="8">
        <v>82188346</v>
      </c>
      <c r="B3545" s="11">
        <v>44795</v>
      </c>
      <c r="C3545" s="13" t="s">
        <v>4695</v>
      </c>
      <c r="D3545" s="13" t="s">
        <v>4696</v>
      </c>
      <c r="E3545" s="8">
        <v>22000</v>
      </c>
      <c r="F3545" s="13" t="s">
        <v>70</v>
      </c>
      <c r="G3545" s="14">
        <v>44798</v>
      </c>
      <c r="H3545" s="13" t="s">
        <v>9</v>
      </c>
    </row>
    <row r="3546" spans="1:8" ht="14.4" x14ac:dyDescent="0.3">
      <c r="A3546" s="8">
        <v>82188347</v>
      </c>
      <c r="B3546" s="11">
        <v>44795</v>
      </c>
      <c r="C3546" s="13" t="s">
        <v>4697</v>
      </c>
      <c r="D3546" s="13" t="s">
        <v>4698</v>
      </c>
      <c r="E3546" s="8">
        <v>12000</v>
      </c>
      <c r="F3546" s="13" t="s">
        <v>70</v>
      </c>
      <c r="G3546" s="14">
        <v>44798</v>
      </c>
      <c r="H3546" s="13" t="s">
        <v>9</v>
      </c>
    </row>
    <row r="3547" spans="1:8" ht="14.4" x14ac:dyDescent="0.3">
      <c r="A3547" s="8">
        <v>82188349</v>
      </c>
      <c r="B3547" s="11">
        <v>44795</v>
      </c>
      <c r="C3547" s="13" t="s">
        <v>4699</v>
      </c>
      <c r="D3547" s="13" t="s">
        <v>4700</v>
      </c>
      <c r="E3547" s="8">
        <v>22000</v>
      </c>
      <c r="F3547" s="13" t="s">
        <v>70</v>
      </c>
      <c r="G3547" s="14">
        <v>44799</v>
      </c>
      <c r="H3547" s="13" t="s">
        <v>9</v>
      </c>
    </row>
    <row r="3548" spans="1:8" ht="14.4" x14ac:dyDescent="0.3">
      <c r="A3548" s="8">
        <v>82188350</v>
      </c>
      <c r="B3548" s="11">
        <v>44795</v>
      </c>
      <c r="C3548" s="13" t="s">
        <v>4701</v>
      </c>
      <c r="D3548" s="13" t="s">
        <v>4702</v>
      </c>
      <c r="E3548" s="8">
        <v>12000</v>
      </c>
      <c r="F3548" s="13" t="s">
        <v>70</v>
      </c>
      <c r="G3548" s="14">
        <v>44798</v>
      </c>
      <c r="H3548" s="13" t="s">
        <v>9</v>
      </c>
    </row>
    <row r="3549" spans="1:8" ht="14.4" x14ac:dyDescent="0.3">
      <c r="A3549" s="8">
        <v>82188351</v>
      </c>
      <c r="B3549" s="11">
        <v>44795</v>
      </c>
      <c r="C3549" s="13" t="s">
        <v>4703</v>
      </c>
      <c r="D3549" s="13" t="s">
        <v>4704</v>
      </c>
      <c r="E3549" s="8">
        <v>11000</v>
      </c>
      <c r="F3549" s="13" t="s">
        <v>70</v>
      </c>
      <c r="G3549" s="14">
        <v>44796</v>
      </c>
      <c r="H3549" s="13" t="s">
        <v>9</v>
      </c>
    </row>
    <row r="3550" spans="1:8" ht="14.4" x14ac:dyDescent="0.3">
      <c r="A3550" s="8">
        <v>82188352</v>
      </c>
      <c r="B3550" s="11">
        <v>44795</v>
      </c>
      <c r="C3550" s="13" t="s">
        <v>4705</v>
      </c>
      <c r="D3550" s="13" t="s">
        <v>4706</v>
      </c>
      <c r="E3550" s="8">
        <v>23000</v>
      </c>
      <c r="F3550" s="13" t="s">
        <v>70</v>
      </c>
      <c r="G3550" s="14">
        <v>44813</v>
      </c>
      <c r="H3550" s="13" t="s">
        <v>9</v>
      </c>
    </row>
    <row r="3551" spans="1:8" ht="14.4" x14ac:dyDescent="0.3">
      <c r="A3551" s="8">
        <v>82188353</v>
      </c>
      <c r="B3551" s="11">
        <v>44795</v>
      </c>
      <c r="C3551" s="13" t="s">
        <v>4707</v>
      </c>
      <c r="D3551" s="13" t="s">
        <v>4708</v>
      </c>
      <c r="E3551" s="8">
        <v>10000</v>
      </c>
      <c r="F3551" s="13" t="s">
        <v>70</v>
      </c>
      <c r="G3551" s="14">
        <v>44798</v>
      </c>
      <c r="H3551" s="13" t="s">
        <v>9</v>
      </c>
    </row>
    <row r="3552" spans="1:8" ht="14.4" x14ac:dyDescent="0.3">
      <c r="A3552" s="8">
        <v>82188354</v>
      </c>
      <c r="B3552" s="11">
        <v>44795</v>
      </c>
      <c r="C3552" s="13" t="s">
        <v>4709</v>
      </c>
      <c r="D3552" s="13" t="s">
        <v>4710</v>
      </c>
      <c r="E3552" s="8">
        <v>10000</v>
      </c>
      <c r="F3552" s="13" t="s">
        <v>70</v>
      </c>
      <c r="G3552" s="14">
        <v>44798</v>
      </c>
      <c r="H3552" s="13" t="s">
        <v>9</v>
      </c>
    </row>
    <row r="3553" spans="1:8" ht="14.4" x14ac:dyDescent="0.3">
      <c r="A3553" s="8">
        <v>82188355</v>
      </c>
      <c r="B3553" s="11">
        <v>44795</v>
      </c>
      <c r="C3553" s="13" t="s">
        <v>4711</v>
      </c>
      <c r="D3553" s="13" t="s">
        <v>4712</v>
      </c>
      <c r="E3553" s="8">
        <v>10000</v>
      </c>
      <c r="F3553" s="13" t="s">
        <v>70</v>
      </c>
      <c r="G3553" s="14">
        <v>44798</v>
      </c>
      <c r="H3553" s="13" t="s">
        <v>9</v>
      </c>
    </row>
    <row r="3554" spans="1:8" ht="14.4" x14ac:dyDescent="0.3">
      <c r="A3554" s="8">
        <v>82188356</v>
      </c>
      <c r="B3554" s="11">
        <v>44795</v>
      </c>
      <c r="C3554" s="13" t="s">
        <v>4713</v>
      </c>
      <c r="D3554" s="13" t="s">
        <v>4714</v>
      </c>
      <c r="E3554" s="8">
        <v>10000</v>
      </c>
      <c r="F3554" s="13" t="s">
        <v>70</v>
      </c>
      <c r="G3554" s="14">
        <v>44796</v>
      </c>
      <c r="H3554" s="13" t="s">
        <v>9</v>
      </c>
    </row>
    <row r="3555" spans="1:8" ht="14.4" x14ac:dyDescent="0.3">
      <c r="A3555" s="8">
        <v>82188358</v>
      </c>
      <c r="B3555" s="11">
        <v>44795</v>
      </c>
      <c r="C3555" s="13" t="s">
        <v>4715</v>
      </c>
      <c r="D3555" s="13" t="s">
        <v>4716</v>
      </c>
      <c r="E3555" s="8">
        <v>50000</v>
      </c>
      <c r="F3555" s="13" t="s">
        <v>70</v>
      </c>
      <c r="G3555" s="14">
        <v>44798</v>
      </c>
      <c r="H3555" s="13" t="s">
        <v>9</v>
      </c>
    </row>
    <row r="3556" spans="1:8" ht="14.4" x14ac:dyDescent="0.3">
      <c r="A3556" s="8">
        <v>82188359</v>
      </c>
      <c r="B3556" s="11">
        <v>44795</v>
      </c>
      <c r="C3556" s="13" t="s">
        <v>4717</v>
      </c>
      <c r="D3556" s="13" t="s">
        <v>4718</v>
      </c>
      <c r="E3556" s="8">
        <v>9000</v>
      </c>
      <c r="F3556" s="13" t="s">
        <v>70</v>
      </c>
      <c r="G3556" s="14">
        <v>44796</v>
      </c>
      <c r="H3556" s="13" t="s">
        <v>9</v>
      </c>
    </row>
    <row r="3557" spans="1:8" ht="14.4" x14ac:dyDescent="0.3">
      <c r="A3557" s="8">
        <v>82188360</v>
      </c>
      <c r="B3557" s="11">
        <v>44795</v>
      </c>
      <c r="C3557" s="13" t="s">
        <v>4719</v>
      </c>
      <c r="D3557" s="13" t="s">
        <v>4720</v>
      </c>
      <c r="E3557" s="8">
        <v>23000</v>
      </c>
      <c r="F3557" s="13" t="s">
        <v>70</v>
      </c>
      <c r="G3557" s="14">
        <v>44829</v>
      </c>
      <c r="H3557" s="13" t="s">
        <v>9</v>
      </c>
    </row>
    <row r="3558" spans="1:8" ht="14.4" x14ac:dyDescent="0.3">
      <c r="A3558" s="8">
        <v>82188361</v>
      </c>
      <c r="B3558" s="11">
        <v>44795</v>
      </c>
      <c r="C3558" s="13" t="s">
        <v>4721</v>
      </c>
      <c r="D3558" s="13" t="s">
        <v>4722</v>
      </c>
      <c r="E3558" s="8">
        <v>13000</v>
      </c>
      <c r="F3558" s="13" t="s">
        <v>70</v>
      </c>
      <c r="G3558" s="14">
        <v>44803</v>
      </c>
      <c r="H3558" s="13" t="s">
        <v>9</v>
      </c>
    </row>
    <row r="3559" spans="1:8" ht="14.4" x14ac:dyDescent="0.3">
      <c r="A3559" s="8">
        <v>82188362</v>
      </c>
      <c r="B3559" s="11">
        <v>44795</v>
      </c>
      <c r="C3559" s="13" t="s">
        <v>2987</v>
      </c>
      <c r="D3559" s="13" t="s">
        <v>4723</v>
      </c>
      <c r="E3559" s="8">
        <v>12000</v>
      </c>
      <c r="F3559" s="13" t="s">
        <v>70</v>
      </c>
      <c r="G3559" s="14">
        <v>44799</v>
      </c>
      <c r="H3559" s="13" t="s">
        <v>9</v>
      </c>
    </row>
    <row r="3560" spans="1:8" ht="14.4" x14ac:dyDescent="0.3">
      <c r="A3560" s="8">
        <v>82188363</v>
      </c>
      <c r="B3560" s="11">
        <v>44795</v>
      </c>
      <c r="C3560" s="13" t="s">
        <v>4724</v>
      </c>
      <c r="D3560" s="13" t="s">
        <v>4725</v>
      </c>
      <c r="E3560" s="8">
        <v>20000</v>
      </c>
      <c r="F3560" s="13" t="s">
        <v>70</v>
      </c>
      <c r="G3560" s="14">
        <v>44818</v>
      </c>
      <c r="H3560" s="13" t="s">
        <v>9</v>
      </c>
    </row>
    <row r="3561" spans="1:8" ht="14.4" x14ac:dyDescent="0.3">
      <c r="A3561" s="8">
        <v>82188364</v>
      </c>
      <c r="B3561" s="11">
        <v>44795</v>
      </c>
      <c r="C3561" s="13" t="s">
        <v>4726</v>
      </c>
      <c r="D3561" s="13" t="s">
        <v>4727</v>
      </c>
      <c r="E3561" s="8">
        <v>9000</v>
      </c>
      <c r="F3561" s="13" t="s">
        <v>70</v>
      </c>
      <c r="G3561" s="14">
        <v>44799</v>
      </c>
      <c r="H3561" s="13" t="s">
        <v>9</v>
      </c>
    </row>
    <row r="3562" spans="1:8" ht="14.4" x14ac:dyDescent="0.3">
      <c r="A3562" s="8">
        <v>82188365</v>
      </c>
      <c r="B3562" s="11">
        <v>44795</v>
      </c>
      <c r="C3562" s="13" t="s">
        <v>4728</v>
      </c>
      <c r="D3562" s="13" t="s">
        <v>4729</v>
      </c>
      <c r="E3562" s="8">
        <v>32000</v>
      </c>
      <c r="F3562" s="13" t="s">
        <v>70</v>
      </c>
      <c r="G3562" s="14">
        <v>44798</v>
      </c>
      <c r="H3562" s="13" t="s">
        <v>9</v>
      </c>
    </row>
    <row r="3563" spans="1:8" ht="14.4" x14ac:dyDescent="0.3">
      <c r="A3563" s="8">
        <v>82188366</v>
      </c>
      <c r="B3563" s="11">
        <v>44795</v>
      </c>
      <c r="C3563" s="13" t="s">
        <v>4730</v>
      </c>
      <c r="D3563" s="13" t="s">
        <v>4731</v>
      </c>
      <c r="E3563" s="8">
        <v>9000</v>
      </c>
      <c r="F3563" s="13" t="s">
        <v>70</v>
      </c>
      <c r="G3563" s="14">
        <v>44798</v>
      </c>
      <c r="H3563" s="13" t="s">
        <v>9</v>
      </c>
    </row>
    <row r="3564" spans="1:8" ht="14.4" x14ac:dyDescent="0.3">
      <c r="A3564" s="8">
        <v>82188367</v>
      </c>
      <c r="B3564" s="11">
        <v>44795</v>
      </c>
      <c r="C3564" s="13" t="s">
        <v>4732</v>
      </c>
      <c r="D3564" s="13" t="s">
        <v>4733</v>
      </c>
      <c r="E3564" s="8">
        <v>9000</v>
      </c>
      <c r="F3564" s="13" t="s">
        <v>70</v>
      </c>
      <c r="G3564" s="14">
        <v>44798</v>
      </c>
      <c r="H3564" s="13" t="s">
        <v>9</v>
      </c>
    </row>
    <row r="3565" spans="1:8" ht="14.4" x14ac:dyDescent="0.3">
      <c r="A3565" s="8">
        <v>82188368</v>
      </c>
      <c r="B3565" s="11">
        <v>44795</v>
      </c>
      <c r="C3565" s="13" t="s">
        <v>4734</v>
      </c>
      <c r="D3565" s="13" t="s">
        <v>4735</v>
      </c>
      <c r="E3565" s="8">
        <v>20000</v>
      </c>
      <c r="F3565" s="13" t="s">
        <v>70</v>
      </c>
      <c r="G3565" s="14">
        <v>44798</v>
      </c>
      <c r="H3565" s="13" t="s">
        <v>9</v>
      </c>
    </row>
    <row r="3566" spans="1:8" ht="14.4" x14ac:dyDescent="0.3">
      <c r="A3566" s="8">
        <v>82188369</v>
      </c>
      <c r="B3566" s="11">
        <v>44795</v>
      </c>
      <c r="C3566" s="13" t="s">
        <v>4736</v>
      </c>
      <c r="D3566" s="13" t="s">
        <v>4737</v>
      </c>
      <c r="E3566" s="8">
        <v>17000</v>
      </c>
      <c r="F3566" s="13" t="s">
        <v>70</v>
      </c>
      <c r="G3566" s="14">
        <v>44799</v>
      </c>
      <c r="H3566" s="13" t="s">
        <v>9</v>
      </c>
    </row>
    <row r="3567" spans="1:8" ht="14.4" x14ac:dyDescent="0.3">
      <c r="A3567" s="8">
        <v>82188370</v>
      </c>
      <c r="B3567" s="11">
        <v>44795</v>
      </c>
      <c r="C3567" s="13" t="s">
        <v>4738</v>
      </c>
      <c r="D3567" s="13" t="s">
        <v>4739</v>
      </c>
      <c r="E3567" s="8">
        <v>10000</v>
      </c>
      <c r="F3567" s="13" t="s">
        <v>70</v>
      </c>
      <c r="G3567" s="14">
        <v>44798</v>
      </c>
      <c r="H3567" s="13" t="s">
        <v>9</v>
      </c>
    </row>
    <row r="3568" spans="1:8" ht="14.4" x14ac:dyDescent="0.3">
      <c r="A3568" s="8">
        <v>82188371</v>
      </c>
      <c r="B3568" s="11">
        <v>44795</v>
      </c>
      <c r="C3568" s="13" t="s">
        <v>4740</v>
      </c>
      <c r="D3568" s="13" t="s">
        <v>4741</v>
      </c>
      <c r="E3568" s="8">
        <v>14000</v>
      </c>
      <c r="F3568" s="13" t="s">
        <v>70</v>
      </c>
      <c r="G3568" s="14">
        <v>44799</v>
      </c>
      <c r="H3568" s="13" t="s">
        <v>9</v>
      </c>
    </row>
    <row r="3569" spans="1:8" ht="14.4" x14ac:dyDescent="0.3">
      <c r="A3569" s="8">
        <v>82188372</v>
      </c>
      <c r="B3569" s="11">
        <v>44795</v>
      </c>
      <c r="C3569" s="13" t="s">
        <v>4742</v>
      </c>
      <c r="D3569" s="13" t="s">
        <v>4743</v>
      </c>
      <c r="E3569" s="8">
        <v>10000</v>
      </c>
      <c r="F3569" s="13" t="s">
        <v>70</v>
      </c>
      <c r="G3569" s="14">
        <v>44798</v>
      </c>
      <c r="H3569" s="13" t="s">
        <v>9</v>
      </c>
    </row>
    <row r="3570" spans="1:8" ht="14.4" x14ac:dyDescent="0.3">
      <c r="A3570" s="8">
        <v>82188374</v>
      </c>
      <c r="B3570" s="11">
        <v>44795</v>
      </c>
      <c r="C3570" s="13" t="s">
        <v>158</v>
      </c>
      <c r="D3570" s="13"/>
      <c r="E3570" s="8">
        <v>16974.82</v>
      </c>
      <c r="F3570" s="13" t="s">
        <v>70</v>
      </c>
      <c r="G3570" s="14">
        <v>44796</v>
      </c>
      <c r="H3570" s="13" t="s">
        <v>9</v>
      </c>
    </row>
    <row r="3571" spans="1:8" ht="14.4" x14ac:dyDescent="0.3">
      <c r="A3571" s="8">
        <v>82188375</v>
      </c>
      <c r="B3571" s="11">
        <v>44795</v>
      </c>
      <c r="C3571" s="13" t="s">
        <v>4744</v>
      </c>
      <c r="D3571" s="13" t="s">
        <v>4745</v>
      </c>
      <c r="E3571" s="8">
        <v>10000</v>
      </c>
      <c r="F3571" s="13" t="s">
        <v>70</v>
      </c>
      <c r="G3571" s="14">
        <v>44798</v>
      </c>
      <c r="H3571" s="13" t="s">
        <v>9</v>
      </c>
    </row>
    <row r="3572" spans="1:8" ht="14.4" x14ac:dyDescent="0.3">
      <c r="A3572" s="8">
        <v>82188376</v>
      </c>
      <c r="B3572" s="11">
        <v>44795</v>
      </c>
      <c r="C3572" s="13" t="s">
        <v>122</v>
      </c>
      <c r="D3572" s="13" t="s">
        <v>4746</v>
      </c>
      <c r="E3572" s="8">
        <v>18000</v>
      </c>
      <c r="F3572" s="13" t="s">
        <v>70</v>
      </c>
      <c r="G3572" s="14">
        <v>44799</v>
      </c>
      <c r="H3572" s="13" t="s">
        <v>9</v>
      </c>
    </row>
    <row r="3573" spans="1:8" ht="14.4" x14ac:dyDescent="0.3">
      <c r="A3573" s="8">
        <v>82188377</v>
      </c>
      <c r="B3573" s="11">
        <v>44795</v>
      </c>
      <c r="C3573" s="13" t="s">
        <v>4747</v>
      </c>
      <c r="D3573" s="13" t="s">
        <v>4748</v>
      </c>
      <c r="E3573" s="8">
        <v>10000</v>
      </c>
      <c r="F3573" s="13" t="s">
        <v>70</v>
      </c>
      <c r="G3573" s="14">
        <v>44799</v>
      </c>
      <c r="H3573" s="13" t="s">
        <v>9</v>
      </c>
    </row>
    <row r="3574" spans="1:8" ht="14.4" x14ac:dyDescent="0.3">
      <c r="A3574" s="8">
        <v>82188378</v>
      </c>
      <c r="B3574" s="11">
        <v>44795</v>
      </c>
      <c r="C3574" s="13" t="s">
        <v>4749</v>
      </c>
      <c r="D3574" s="13" t="s">
        <v>4750</v>
      </c>
      <c r="E3574" s="8">
        <v>47000</v>
      </c>
      <c r="F3574" s="13" t="s">
        <v>70</v>
      </c>
      <c r="G3574" s="14">
        <v>44799</v>
      </c>
      <c r="H3574" s="13" t="s">
        <v>9</v>
      </c>
    </row>
    <row r="3575" spans="1:8" ht="14.4" x14ac:dyDescent="0.3">
      <c r="A3575" s="8">
        <v>82188379</v>
      </c>
      <c r="B3575" s="11">
        <v>44795</v>
      </c>
      <c r="C3575" s="13" t="s">
        <v>4751</v>
      </c>
      <c r="D3575" s="13" t="s">
        <v>4752</v>
      </c>
      <c r="E3575" s="8">
        <v>17000</v>
      </c>
      <c r="F3575" s="13" t="s">
        <v>70</v>
      </c>
      <c r="G3575" s="14">
        <v>44798</v>
      </c>
      <c r="H3575" s="13" t="s">
        <v>9</v>
      </c>
    </row>
    <row r="3576" spans="1:8" ht="14.4" x14ac:dyDescent="0.3">
      <c r="A3576" s="8">
        <v>82188380</v>
      </c>
      <c r="B3576" s="11">
        <v>44795</v>
      </c>
      <c r="C3576" s="13" t="s">
        <v>4693</v>
      </c>
      <c r="D3576" s="13" t="s">
        <v>4753</v>
      </c>
      <c r="E3576" s="8">
        <v>15000</v>
      </c>
      <c r="F3576" s="13" t="s">
        <v>70</v>
      </c>
      <c r="G3576" s="14">
        <v>44796</v>
      </c>
      <c r="H3576" s="13" t="s">
        <v>9</v>
      </c>
    </row>
    <row r="3577" spans="1:8" ht="14.4" x14ac:dyDescent="0.3">
      <c r="A3577" s="8">
        <v>82188381</v>
      </c>
      <c r="B3577" s="11">
        <v>44795</v>
      </c>
      <c r="C3577" s="13" t="s">
        <v>4754</v>
      </c>
      <c r="D3577" s="13" t="s">
        <v>4755</v>
      </c>
      <c r="E3577" s="8">
        <v>8000</v>
      </c>
      <c r="F3577" s="13" t="s">
        <v>70</v>
      </c>
      <c r="G3577" s="14">
        <v>44798</v>
      </c>
      <c r="H3577" s="13" t="s">
        <v>9</v>
      </c>
    </row>
    <row r="3578" spans="1:8" ht="14.4" x14ac:dyDescent="0.3">
      <c r="A3578" s="8">
        <v>82188382</v>
      </c>
      <c r="B3578" s="11">
        <v>44795</v>
      </c>
      <c r="C3578" s="13" t="s">
        <v>4756</v>
      </c>
      <c r="D3578" s="13" t="s">
        <v>4757</v>
      </c>
      <c r="E3578" s="8">
        <v>9000</v>
      </c>
      <c r="F3578" s="13" t="s">
        <v>70</v>
      </c>
      <c r="G3578" s="14">
        <v>44798</v>
      </c>
      <c r="H3578" s="13" t="s">
        <v>9</v>
      </c>
    </row>
    <row r="3579" spans="1:8" ht="14.4" x14ac:dyDescent="0.3">
      <c r="A3579" s="8">
        <v>82188383</v>
      </c>
      <c r="B3579" s="11">
        <v>44795</v>
      </c>
      <c r="C3579" s="13" t="s">
        <v>4758</v>
      </c>
      <c r="D3579" s="13" t="s">
        <v>4759</v>
      </c>
      <c r="E3579" s="8">
        <v>10000</v>
      </c>
      <c r="F3579" s="13" t="s">
        <v>70</v>
      </c>
      <c r="G3579" s="14">
        <v>44798</v>
      </c>
      <c r="H3579" s="13" t="s">
        <v>9</v>
      </c>
    </row>
    <row r="3580" spans="1:8" ht="14.4" x14ac:dyDescent="0.3">
      <c r="A3580" s="8">
        <v>82188384</v>
      </c>
      <c r="B3580" s="11">
        <v>44795</v>
      </c>
      <c r="C3580" s="13" t="s">
        <v>4760</v>
      </c>
      <c r="D3580" s="13" t="s">
        <v>4761</v>
      </c>
      <c r="E3580" s="8">
        <v>8000</v>
      </c>
      <c r="F3580" s="13" t="s">
        <v>70</v>
      </c>
      <c r="G3580" s="14">
        <v>44798</v>
      </c>
      <c r="H3580" s="13" t="s">
        <v>9</v>
      </c>
    </row>
    <row r="3581" spans="1:8" ht="14.4" x14ac:dyDescent="0.3">
      <c r="A3581" s="8">
        <v>82188385</v>
      </c>
      <c r="B3581" s="11">
        <v>44795</v>
      </c>
      <c r="C3581" s="13" t="s">
        <v>4762</v>
      </c>
      <c r="D3581" s="13" t="s">
        <v>4763</v>
      </c>
      <c r="E3581" s="8">
        <v>8000</v>
      </c>
      <c r="F3581" s="13" t="s">
        <v>70</v>
      </c>
      <c r="G3581" s="14">
        <v>44798</v>
      </c>
      <c r="H3581" s="13" t="s">
        <v>9</v>
      </c>
    </row>
    <row r="3582" spans="1:8" ht="14.4" x14ac:dyDescent="0.3">
      <c r="A3582" s="8">
        <v>82188386</v>
      </c>
      <c r="B3582" s="11">
        <v>44795</v>
      </c>
      <c r="C3582" s="13" t="s">
        <v>361</v>
      </c>
      <c r="D3582" s="13" t="s">
        <v>4764</v>
      </c>
      <c r="E3582" s="8">
        <v>20644.14</v>
      </c>
      <c r="F3582" s="13" t="s">
        <v>70</v>
      </c>
      <c r="G3582" s="14">
        <v>44812</v>
      </c>
      <c r="H3582" s="13" t="s">
        <v>9</v>
      </c>
    </row>
    <row r="3583" spans="1:8" ht="14.4" x14ac:dyDescent="0.3">
      <c r="A3583" s="8">
        <v>82188387</v>
      </c>
      <c r="B3583" s="11">
        <v>44795</v>
      </c>
      <c r="C3583" s="13" t="s">
        <v>4765</v>
      </c>
      <c r="D3583" s="13" t="s">
        <v>4766</v>
      </c>
      <c r="E3583" s="8">
        <v>9860</v>
      </c>
      <c r="F3583" s="13" t="s">
        <v>70</v>
      </c>
      <c r="G3583" s="14">
        <v>44804</v>
      </c>
      <c r="H3583" s="13" t="s">
        <v>9</v>
      </c>
    </row>
    <row r="3584" spans="1:8" ht="14.4" x14ac:dyDescent="0.3">
      <c r="A3584" s="8">
        <v>82188388</v>
      </c>
      <c r="B3584" s="11">
        <v>44795</v>
      </c>
      <c r="C3584" s="13" t="s">
        <v>4767</v>
      </c>
      <c r="D3584" s="13" t="s">
        <v>4768</v>
      </c>
      <c r="E3584" s="8">
        <v>10675</v>
      </c>
      <c r="F3584" s="13" t="s">
        <v>70</v>
      </c>
      <c r="G3584" s="14">
        <v>44806</v>
      </c>
      <c r="H3584" s="13" t="s">
        <v>9</v>
      </c>
    </row>
    <row r="3585" spans="1:8" ht="14.4" x14ac:dyDescent="0.3">
      <c r="A3585" s="8">
        <v>82188389</v>
      </c>
      <c r="B3585" s="11">
        <v>44795</v>
      </c>
      <c r="C3585" s="13" t="s">
        <v>1569</v>
      </c>
      <c r="D3585" s="13" t="s">
        <v>4769</v>
      </c>
      <c r="E3585" s="8">
        <v>49490</v>
      </c>
      <c r="F3585" s="13" t="s">
        <v>70</v>
      </c>
      <c r="G3585" s="14">
        <v>44805</v>
      </c>
      <c r="H3585" s="13" t="s">
        <v>9</v>
      </c>
    </row>
    <row r="3586" spans="1:8" ht="14.4" x14ac:dyDescent="0.3">
      <c r="A3586" s="8">
        <v>82188390</v>
      </c>
      <c r="B3586" s="11">
        <v>44795</v>
      </c>
      <c r="C3586" s="13" t="s">
        <v>4770</v>
      </c>
      <c r="D3586" s="13" t="s">
        <v>4771</v>
      </c>
      <c r="E3586" s="8">
        <v>5000</v>
      </c>
      <c r="F3586" s="13" t="s">
        <v>70</v>
      </c>
      <c r="G3586" s="14">
        <v>44798</v>
      </c>
      <c r="H3586" s="13" t="s">
        <v>9</v>
      </c>
    </row>
    <row r="3587" spans="1:8" ht="14.4" x14ac:dyDescent="0.3">
      <c r="A3587" s="8">
        <v>82188391</v>
      </c>
      <c r="B3587" s="11">
        <v>44795</v>
      </c>
      <c r="C3587" s="13" t="s">
        <v>884</v>
      </c>
      <c r="D3587" s="13" t="s">
        <v>4772</v>
      </c>
      <c r="E3587" s="8">
        <v>910000</v>
      </c>
      <c r="F3587" s="13" t="s">
        <v>70</v>
      </c>
      <c r="G3587" s="14">
        <v>44798</v>
      </c>
      <c r="H3587" s="13" t="s">
        <v>9</v>
      </c>
    </row>
    <row r="3588" spans="1:8" ht="14.4" x14ac:dyDescent="0.3">
      <c r="A3588" s="8">
        <v>82188392</v>
      </c>
      <c r="B3588" s="11">
        <v>44795</v>
      </c>
      <c r="C3588" s="13" t="s">
        <v>2497</v>
      </c>
      <c r="D3588" s="13" t="s">
        <v>4773</v>
      </c>
      <c r="E3588" s="8">
        <v>7000</v>
      </c>
      <c r="F3588" s="13" t="s">
        <v>70</v>
      </c>
      <c r="G3588" s="14">
        <v>44803</v>
      </c>
      <c r="H3588" s="13" t="s">
        <v>9</v>
      </c>
    </row>
    <row r="3589" spans="1:8" ht="14.4" x14ac:dyDescent="0.3">
      <c r="A3589" s="8">
        <v>82188393</v>
      </c>
      <c r="B3589" s="11">
        <v>44796</v>
      </c>
      <c r="C3589" s="13" t="s">
        <v>180</v>
      </c>
      <c r="D3589" s="13" t="s">
        <v>4774</v>
      </c>
      <c r="E3589" s="8">
        <v>151556.96</v>
      </c>
      <c r="F3589" s="13" t="s">
        <v>70</v>
      </c>
      <c r="G3589" s="14">
        <v>44796</v>
      </c>
      <c r="H3589" s="13" t="s">
        <v>9</v>
      </c>
    </row>
    <row r="3590" spans="1:8" ht="14.4" x14ac:dyDescent="0.3">
      <c r="A3590" s="8">
        <v>82188394</v>
      </c>
      <c r="B3590" s="11">
        <v>44796</v>
      </c>
      <c r="C3590" s="13" t="s">
        <v>265</v>
      </c>
      <c r="D3590" s="13" t="s">
        <v>4775</v>
      </c>
      <c r="E3590" s="8">
        <v>36346</v>
      </c>
      <c r="F3590" s="13" t="s">
        <v>70</v>
      </c>
      <c r="G3590" s="14">
        <v>44804</v>
      </c>
      <c r="H3590" s="13" t="s">
        <v>9</v>
      </c>
    </row>
    <row r="3591" spans="1:8" ht="14.4" x14ac:dyDescent="0.3">
      <c r="A3591" s="8">
        <v>82188395</v>
      </c>
      <c r="B3591" s="11">
        <v>44796</v>
      </c>
      <c r="C3591" s="13" t="s">
        <v>492</v>
      </c>
      <c r="D3591" s="13" t="s">
        <v>4776</v>
      </c>
      <c r="E3591" s="8">
        <v>34254.9</v>
      </c>
      <c r="F3591" s="13" t="s">
        <v>70</v>
      </c>
      <c r="G3591" s="14">
        <v>44799</v>
      </c>
      <c r="H3591" s="13" t="s">
        <v>9</v>
      </c>
    </row>
    <row r="3592" spans="1:8" ht="14.4" x14ac:dyDescent="0.3">
      <c r="A3592" s="8">
        <v>82188396</v>
      </c>
      <c r="B3592" s="11">
        <v>44798</v>
      </c>
      <c r="C3592" s="13" t="s">
        <v>4777</v>
      </c>
      <c r="D3592" s="13" t="s">
        <v>4778</v>
      </c>
      <c r="E3592" s="8">
        <v>113386.82</v>
      </c>
      <c r="F3592" s="13" t="s">
        <v>70</v>
      </c>
      <c r="G3592" s="14">
        <v>44803</v>
      </c>
      <c r="H3592" s="13" t="s">
        <v>9</v>
      </c>
    </row>
    <row r="3593" spans="1:8" ht="14.4" x14ac:dyDescent="0.3">
      <c r="A3593" s="8">
        <v>82188397</v>
      </c>
      <c r="B3593" s="11">
        <v>44798</v>
      </c>
      <c r="C3593" s="13" t="s">
        <v>159</v>
      </c>
      <c r="D3593" s="13" t="s">
        <v>4779</v>
      </c>
      <c r="E3593" s="8">
        <v>354300</v>
      </c>
      <c r="F3593" s="13" t="s">
        <v>70</v>
      </c>
      <c r="G3593" s="14">
        <v>44798</v>
      </c>
      <c r="H3593" s="13" t="s">
        <v>9</v>
      </c>
    </row>
    <row r="3594" spans="1:8" ht="14.4" x14ac:dyDescent="0.3">
      <c r="A3594" s="8">
        <v>82188398</v>
      </c>
      <c r="B3594" s="11">
        <v>44798</v>
      </c>
      <c r="C3594" s="13" t="s">
        <v>4780</v>
      </c>
      <c r="D3594" s="13" t="s">
        <v>4781</v>
      </c>
      <c r="E3594" s="8">
        <v>9790</v>
      </c>
      <c r="F3594" s="13" t="s">
        <v>70</v>
      </c>
      <c r="G3594" s="14">
        <v>44839</v>
      </c>
      <c r="H3594" s="13" t="s">
        <v>9</v>
      </c>
    </row>
    <row r="3595" spans="1:8" ht="14.4" x14ac:dyDescent="0.3">
      <c r="A3595" s="8">
        <v>82188399</v>
      </c>
      <c r="B3595" s="11">
        <v>44798</v>
      </c>
      <c r="C3595" s="13" t="s">
        <v>2650</v>
      </c>
      <c r="D3595" s="13" t="s">
        <v>4781</v>
      </c>
      <c r="E3595" s="8">
        <v>5000</v>
      </c>
      <c r="F3595" s="13" t="s">
        <v>70</v>
      </c>
      <c r="G3595" s="14">
        <v>44805</v>
      </c>
      <c r="H3595" s="13" t="s">
        <v>9</v>
      </c>
    </row>
    <row r="3596" spans="1:8" ht="14.4" x14ac:dyDescent="0.3">
      <c r="A3596" s="8">
        <v>82188400</v>
      </c>
      <c r="B3596" s="11">
        <v>44798</v>
      </c>
      <c r="C3596" s="13" t="s">
        <v>1286</v>
      </c>
      <c r="D3596" s="13" t="s">
        <v>4782</v>
      </c>
      <c r="E3596" s="8">
        <v>89744.29</v>
      </c>
      <c r="F3596" s="13" t="s">
        <v>70</v>
      </c>
      <c r="G3596" s="14">
        <v>44803</v>
      </c>
      <c r="H3596" s="13" t="s">
        <v>9</v>
      </c>
    </row>
    <row r="3597" spans="1:8" ht="14.4" x14ac:dyDescent="0.3">
      <c r="A3597" s="8">
        <v>82188401</v>
      </c>
      <c r="B3597" s="11">
        <v>44798</v>
      </c>
      <c r="C3597" s="13" t="s">
        <v>1286</v>
      </c>
      <c r="D3597" s="13" t="s">
        <v>4783</v>
      </c>
      <c r="E3597" s="8">
        <v>166393.03</v>
      </c>
      <c r="F3597" s="13" t="s">
        <v>70</v>
      </c>
      <c r="G3597" s="14">
        <v>44803</v>
      </c>
      <c r="H3597" s="13" t="s">
        <v>9</v>
      </c>
    </row>
    <row r="3598" spans="1:8" ht="14.4" x14ac:dyDescent="0.3">
      <c r="A3598" s="8">
        <v>82188402</v>
      </c>
      <c r="B3598" s="11">
        <v>44798</v>
      </c>
      <c r="C3598" s="13" t="s">
        <v>19</v>
      </c>
      <c r="D3598" s="13" t="s">
        <v>4784</v>
      </c>
      <c r="E3598" s="8">
        <v>245953.04</v>
      </c>
      <c r="F3598" s="13" t="s">
        <v>70</v>
      </c>
      <c r="G3598" s="14">
        <v>44804</v>
      </c>
      <c r="H3598" s="13" t="s">
        <v>9</v>
      </c>
    </row>
    <row r="3599" spans="1:8" ht="14.4" x14ac:dyDescent="0.3">
      <c r="A3599" s="8">
        <v>82188403</v>
      </c>
      <c r="B3599" s="11">
        <v>44798</v>
      </c>
      <c r="C3599" s="13" t="s">
        <v>188</v>
      </c>
      <c r="D3599" s="13" t="s">
        <v>4785</v>
      </c>
      <c r="E3599" s="8">
        <v>93816</v>
      </c>
      <c r="F3599" s="13" t="s">
        <v>70</v>
      </c>
      <c r="G3599" s="14">
        <v>44799</v>
      </c>
      <c r="H3599" s="13" t="s">
        <v>9</v>
      </c>
    </row>
    <row r="3600" spans="1:8" ht="14.4" x14ac:dyDescent="0.3">
      <c r="A3600" s="8">
        <v>82188404</v>
      </c>
      <c r="B3600" s="11">
        <v>44798</v>
      </c>
      <c r="C3600" s="13" t="s">
        <v>188</v>
      </c>
      <c r="D3600" s="13" t="s">
        <v>4786</v>
      </c>
      <c r="E3600" s="8">
        <v>724978.63</v>
      </c>
      <c r="F3600" s="13" t="s">
        <v>70</v>
      </c>
      <c r="G3600" s="14">
        <v>44799</v>
      </c>
      <c r="H3600" s="13" t="s">
        <v>9</v>
      </c>
    </row>
    <row r="3601" spans="1:8" ht="14.4" x14ac:dyDescent="0.3">
      <c r="A3601" s="8">
        <v>82188405</v>
      </c>
      <c r="B3601" s="11">
        <v>44799</v>
      </c>
      <c r="C3601" s="13" t="s">
        <v>4787</v>
      </c>
      <c r="D3601" s="13" t="s">
        <v>4788</v>
      </c>
      <c r="E3601" s="8">
        <v>184316.96</v>
      </c>
      <c r="F3601" s="13" t="s">
        <v>70</v>
      </c>
      <c r="G3601" s="14">
        <v>44825</v>
      </c>
      <c r="H3601" s="13" t="s">
        <v>9</v>
      </c>
    </row>
    <row r="3602" spans="1:8" ht="14.4" x14ac:dyDescent="0.3">
      <c r="A3602" s="8">
        <v>82188406</v>
      </c>
      <c r="B3602" s="11">
        <v>44799</v>
      </c>
      <c r="C3602" s="13" t="s">
        <v>3907</v>
      </c>
      <c r="D3602" s="13" t="s">
        <v>4789</v>
      </c>
      <c r="E3602" s="8">
        <v>10648.08</v>
      </c>
      <c r="F3602" s="13" t="s">
        <v>70</v>
      </c>
      <c r="G3602" s="14">
        <v>44803</v>
      </c>
      <c r="H3602" s="13" t="s">
        <v>9</v>
      </c>
    </row>
    <row r="3603" spans="1:8" ht="14.4" x14ac:dyDescent="0.3">
      <c r="A3603" s="8">
        <v>82188407</v>
      </c>
      <c r="B3603" s="11">
        <v>44799</v>
      </c>
      <c r="C3603" s="13" t="s">
        <v>3907</v>
      </c>
      <c r="D3603" s="13" t="s">
        <v>4790</v>
      </c>
      <c r="E3603" s="8">
        <v>10046.91</v>
      </c>
      <c r="F3603" s="13" t="s">
        <v>70</v>
      </c>
      <c r="G3603" s="14">
        <v>44803</v>
      </c>
      <c r="H3603" s="13" t="s">
        <v>9</v>
      </c>
    </row>
    <row r="3604" spans="1:8" ht="14.4" x14ac:dyDescent="0.3">
      <c r="A3604" s="8">
        <v>82188408</v>
      </c>
      <c r="B3604" s="11">
        <v>44799</v>
      </c>
      <c r="C3604" s="13" t="s">
        <v>4791</v>
      </c>
      <c r="D3604" s="13" t="s">
        <v>4792</v>
      </c>
      <c r="E3604" s="8">
        <v>7000</v>
      </c>
      <c r="F3604" s="13" t="s">
        <v>70</v>
      </c>
      <c r="G3604" s="14">
        <v>44806</v>
      </c>
      <c r="H3604" s="13" t="s">
        <v>9</v>
      </c>
    </row>
    <row r="3605" spans="1:8" ht="14.4" x14ac:dyDescent="0.3">
      <c r="A3605" s="8">
        <v>82188409</v>
      </c>
      <c r="B3605" s="11">
        <v>44799</v>
      </c>
      <c r="C3605" s="13" t="s">
        <v>4793</v>
      </c>
      <c r="D3605" s="13" t="s">
        <v>4794</v>
      </c>
      <c r="E3605" s="8">
        <v>45000</v>
      </c>
      <c r="F3605" s="13" t="s">
        <v>70</v>
      </c>
      <c r="G3605" s="14">
        <v>44803</v>
      </c>
      <c r="H3605" s="13" t="s">
        <v>9</v>
      </c>
    </row>
    <row r="3606" spans="1:8" ht="14.4" x14ac:dyDescent="0.3">
      <c r="A3606" s="8">
        <v>82188410</v>
      </c>
      <c r="B3606" s="11">
        <v>44799</v>
      </c>
      <c r="C3606" s="13" t="s">
        <v>4795</v>
      </c>
      <c r="D3606" s="13" t="s">
        <v>4796</v>
      </c>
      <c r="E3606" s="8">
        <v>21000</v>
      </c>
      <c r="F3606" s="13" t="s">
        <v>70</v>
      </c>
      <c r="G3606" s="14">
        <v>44803</v>
      </c>
      <c r="H3606" s="13" t="s">
        <v>9</v>
      </c>
    </row>
    <row r="3607" spans="1:8" ht="14.4" x14ac:dyDescent="0.3">
      <c r="A3607" s="8">
        <v>82188411</v>
      </c>
      <c r="B3607" s="11">
        <v>44799</v>
      </c>
      <c r="C3607" s="13" t="s">
        <v>4797</v>
      </c>
      <c r="D3607" s="13" t="s">
        <v>4798</v>
      </c>
      <c r="E3607" s="8">
        <v>21000</v>
      </c>
      <c r="F3607" s="13" t="s">
        <v>70</v>
      </c>
      <c r="G3607" s="14">
        <v>44799</v>
      </c>
      <c r="H3607" s="13" t="s">
        <v>9</v>
      </c>
    </row>
    <row r="3608" spans="1:8" ht="14.4" x14ac:dyDescent="0.3">
      <c r="A3608" s="8">
        <v>82188412</v>
      </c>
      <c r="B3608" s="11">
        <v>44799</v>
      </c>
      <c r="C3608" s="13" t="s">
        <v>4799</v>
      </c>
      <c r="D3608" s="13" t="s">
        <v>4800</v>
      </c>
      <c r="E3608" s="8">
        <v>17000</v>
      </c>
      <c r="F3608" s="13" t="s">
        <v>70</v>
      </c>
      <c r="G3608" s="14">
        <v>44812</v>
      </c>
      <c r="H3608" s="13" t="s">
        <v>9</v>
      </c>
    </row>
    <row r="3609" spans="1:8" ht="14.4" x14ac:dyDescent="0.3">
      <c r="A3609" s="8">
        <v>82188413</v>
      </c>
      <c r="B3609" s="11">
        <v>44799</v>
      </c>
      <c r="C3609" s="13" t="s">
        <v>4801</v>
      </c>
      <c r="D3609" s="13" t="s">
        <v>4802</v>
      </c>
      <c r="E3609" s="8">
        <v>50000</v>
      </c>
      <c r="F3609" s="13" t="s">
        <v>70</v>
      </c>
      <c r="G3609" s="14">
        <v>44803</v>
      </c>
      <c r="H3609" s="13" t="s">
        <v>9</v>
      </c>
    </row>
    <row r="3610" spans="1:8" ht="14.4" x14ac:dyDescent="0.3">
      <c r="A3610" s="8">
        <v>82188414</v>
      </c>
      <c r="B3610" s="11">
        <v>44799</v>
      </c>
      <c r="C3610" s="13" t="s">
        <v>4803</v>
      </c>
      <c r="D3610" s="13" t="s">
        <v>4804</v>
      </c>
      <c r="E3610" s="8">
        <v>23000</v>
      </c>
      <c r="F3610" s="13" t="s">
        <v>70</v>
      </c>
      <c r="G3610" s="14">
        <v>44803</v>
      </c>
      <c r="H3610" s="13" t="s">
        <v>9</v>
      </c>
    </row>
    <row r="3611" spans="1:8" ht="14.4" x14ac:dyDescent="0.3">
      <c r="A3611" s="8">
        <v>82188415</v>
      </c>
      <c r="B3611" s="11">
        <v>44799</v>
      </c>
      <c r="C3611" s="13" t="s">
        <v>4805</v>
      </c>
      <c r="D3611" s="13" t="s">
        <v>100</v>
      </c>
      <c r="E3611" s="8">
        <v>7000</v>
      </c>
      <c r="F3611" s="13" t="s">
        <v>70</v>
      </c>
      <c r="G3611" s="14">
        <v>44803</v>
      </c>
      <c r="H3611" s="13" t="s">
        <v>9</v>
      </c>
    </row>
    <row r="3612" spans="1:8" ht="14.4" x14ac:dyDescent="0.3">
      <c r="A3612" s="8">
        <v>82188416</v>
      </c>
      <c r="B3612" s="11">
        <v>44799</v>
      </c>
      <c r="C3612" s="13" t="s">
        <v>4806</v>
      </c>
      <c r="D3612" s="13" t="s">
        <v>4807</v>
      </c>
      <c r="E3612" s="8">
        <v>20000</v>
      </c>
      <c r="F3612" s="13" t="s">
        <v>70</v>
      </c>
      <c r="G3612" s="14">
        <v>44803</v>
      </c>
      <c r="H3612" s="13" t="s">
        <v>9</v>
      </c>
    </row>
    <row r="3613" spans="1:8" ht="14.4" x14ac:dyDescent="0.3">
      <c r="A3613" s="8">
        <v>82188417</v>
      </c>
      <c r="B3613" s="11">
        <v>44799</v>
      </c>
      <c r="C3613" s="13" t="s">
        <v>4808</v>
      </c>
      <c r="D3613" s="13" t="s">
        <v>4809</v>
      </c>
      <c r="E3613" s="8">
        <v>20000</v>
      </c>
      <c r="F3613" s="13" t="s">
        <v>70</v>
      </c>
      <c r="G3613" s="14">
        <v>44803</v>
      </c>
      <c r="H3613" s="13" t="s">
        <v>9</v>
      </c>
    </row>
    <row r="3614" spans="1:8" ht="14.4" x14ac:dyDescent="0.3">
      <c r="A3614" s="8">
        <v>82188418</v>
      </c>
      <c r="B3614" s="11">
        <v>44799</v>
      </c>
      <c r="C3614" s="13" t="s">
        <v>4810</v>
      </c>
      <c r="D3614" s="13" t="s">
        <v>4811</v>
      </c>
      <c r="E3614" s="8">
        <v>8000</v>
      </c>
      <c r="F3614" s="13" t="s">
        <v>70</v>
      </c>
      <c r="G3614" s="14">
        <v>44803</v>
      </c>
      <c r="H3614" s="13" t="s">
        <v>9</v>
      </c>
    </row>
    <row r="3615" spans="1:8" ht="14.4" x14ac:dyDescent="0.3">
      <c r="A3615" s="8">
        <v>82188419</v>
      </c>
      <c r="B3615" s="11">
        <v>44799</v>
      </c>
      <c r="C3615" s="13" t="s">
        <v>4812</v>
      </c>
      <c r="D3615" s="13" t="s">
        <v>4813</v>
      </c>
      <c r="E3615" s="8">
        <v>10000</v>
      </c>
      <c r="F3615" s="13" t="s">
        <v>70</v>
      </c>
      <c r="G3615" s="14">
        <v>44803</v>
      </c>
      <c r="H3615" s="13" t="s">
        <v>9</v>
      </c>
    </row>
    <row r="3616" spans="1:8" ht="14.4" x14ac:dyDescent="0.3">
      <c r="A3616" s="8">
        <v>82188420</v>
      </c>
      <c r="B3616" s="11">
        <v>44799</v>
      </c>
      <c r="C3616" s="13" t="s">
        <v>4814</v>
      </c>
      <c r="D3616" s="13" t="s">
        <v>4815</v>
      </c>
      <c r="E3616" s="8">
        <v>8000</v>
      </c>
      <c r="F3616" s="13" t="s">
        <v>70</v>
      </c>
      <c r="G3616" s="14">
        <v>44803</v>
      </c>
      <c r="H3616" s="13" t="s">
        <v>9</v>
      </c>
    </row>
    <row r="3617" spans="1:8" ht="14.4" x14ac:dyDescent="0.3">
      <c r="A3617" s="8">
        <v>82188421</v>
      </c>
      <c r="B3617" s="11">
        <v>44799</v>
      </c>
      <c r="C3617" s="13" t="s">
        <v>4816</v>
      </c>
      <c r="D3617" s="13" t="s">
        <v>4817</v>
      </c>
      <c r="E3617" s="8">
        <v>10000</v>
      </c>
      <c r="F3617" s="13" t="s">
        <v>70</v>
      </c>
      <c r="G3617" s="14">
        <v>44803</v>
      </c>
      <c r="H3617" s="13" t="s">
        <v>9</v>
      </c>
    </row>
    <row r="3618" spans="1:8" ht="14.4" x14ac:dyDescent="0.3">
      <c r="A3618" s="8">
        <v>82188422</v>
      </c>
      <c r="B3618" s="11">
        <v>44799</v>
      </c>
      <c r="C3618" s="13" t="s">
        <v>4818</v>
      </c>
      <c r="D3618" s="13" t="s">
        <v>4819</v>
      </c>
      <c r="E3618" s="8">
        <v>10000</v>
      </c>
      <c r="F3618" s="13" t="s">
        <v>70</v>
      </c>
      <c r="G3618" s="14">
        <v>44803</v>
      </c>
      <c r="H3618" s="13" t="s">
        <v>9</v>
      </c>
    </row>
    <row r="3619" spans="1:8" ht="14.4" x14ac:dyDescent="0.3">
      <c r="A3619" s="8">
        <v>82188423</v>
      </c>
      <c r="B3619" s="11">
        <v>44799</v>
      </c>
      <c r="C3619" s="13" t="s">
        <v>4820</v>
      </c>
      <c r="D3619" s="13" t="s">
        <v>4821</v>
      </c>
      <c r="E3619" s="8">
        <v>19000</v>
      </c>
      <c r="F3619" s="13" t="s">
        <v>70</v>
      </c>
      <c r="G3619" s="14">
        <v>44803</v>
      </c>
      <c r="H3619" s="13" t="s">
        <v>9</v>
      </c>
    </row>
    <row r="3620" spans="1:8" ht="14.4" x14ac:dyDescent="0.3">
      <c r="A3620" s="8">
        <v>82188424</v>
      </c>
      <c r="B3620" s="11">
        <v>44799</v>
      </c>
      <c r="C3620" s="13" t="s">
        <v>4822</v>
      </c>
      <c r="D3620" s="13" t="s">
        <v>4823</v>
      </c>
      <c r="E3620" s="8">
        <v>12000</v>
      </c>
      <c r="F3620" s="13" t="s">
        <v>70</v>
      </c>
      <c r="G3620" s="14">
        <v>44799</v>
      </c>
      <c r="H3620" s="13" t="s">
        <v>9</v>
      </c>
    </row>
    <row r="3621" spans="1:8" ht="14.4" x14ac:dyDescent="0.3">
      <c r="A3621" s="8">
        <v>82188425</v>
      </c>
      <c r="B3621" s="11">
        <v>44799</v>
      </c>
      <c r="C3621" s="13" t="s">
        <v>4824</v>
      </c>
      <c r="D3621" s="13" t="s">
        <v>47</v>
      </c>
      <c r="E3621" s="8">
        <v>10000</v>
      </c>
      <c r="F3621" s="13" t="s">
        <v>70</v>
      </c>
      <c r="G3621" s="14">
        <v>44803</v>
      </c>
      <c r="H3621" s="13" t="s">
        <v>9</v>
      </c>
    </row>
    <row r="3622" spans="1:8" ht="14.4" x14ac:dyDescent="0.3">
      <c r="A3622" s="8">
        <v>82188426</v>
      </c>
      <c r="B3622" s="11">
        <v>44799</v>
      </c>
      <c r="C3622" s="13" t="s">
        <v>4825</v>
      </c>
      <c r="D3622" s="13" t="s">
        <v>47</v>
      </c>
      <c r="E3622" s="8">
        <v>48000</v>
      </c>
      <c r="F3622" s="13" t="s">
        <v>70</v>
      </c>
      <c r="G3622" s="14">
        <v>44812</v>
      </c>
      <c r="H3622" s="13" t="s">
        <v>9</v>
      </c>
    </row>
    <row r="3623" spans="1:8" ht="14.4" x14ac:dyDescent="0.3">
      <c r="A3623" s="8">
        <v>82188427</v>
      </c>
      <c r="B3623" s="11">
        <v>44799</v>
      </c>
      <c r="C3623" s="13" t="s">
        <v>4826</v>
      </c>
      <c r="D3623" s="13" t="s">
        <v>4827</v>
      </c>
      <c r="E3623" s="8">
        <v>17000</v>
      </c>
      <c r="F3623" s="13" t="s">
        <v>70</v>
      </c>
      <c r="G3623" s="14">
        <v>44804</v>
      </c>
      <c r="H3623" s="13" t="s">
        <v>9</v>
      </c>
    </row>
    <row r="3624" spans="1:8" ht="14.4" x14ac:dyDescent="0.3">
      <c r="A3624" s="8">
        <v>82188429</v>
      </c>
      <c r="B3624" s="11">
        <v>44799</v>
      </c>
      <c r="C3624" s="13" t="s">
        <v>4828</v>
      </c>
      <c r="D3624" s="13" t="s">
        <v>901</v>
      </c>
      <c r="E3624" s="8">
        <v>40367.69</v>
      </c>
      <c r="F3624" s="13" t="s">
        <v>70</v>
      </c>
      <c r="G3624" s="14">
        <v>44799</v>
      </c>
      <c r="H3624" s="13" t="s">
        <v>9</v>
      </c>
    </row>
    <row r="3625" spans="1:8" ht="14.4" x14ac:dyDescent="0.3">
      <c r="A3625" s="8">
        <v>82188430</v>
      </c>
      <c r="B3625" s="11">
        <v>44799</v>
      </c>
      <c r="C3625" s="13" t="s">
        <v>4829</v>
      </c>
      <c r="D3625" s="13" t="s">
        <v>4830</v>
      </c>
      <c r="E3625" s="8">
        <v>81640</v>
      </c>
      <c r="F3625" s="13" t="s">
        <v>70</v>
      </c>
      <c r="G3625" s="14">
        <v>44811</v>
      </c>
      <c r="H3625" s="13" t="s">
        <v>9</v>
      </c>
    </row>
    <row r="3626" spans="1:8" ht="14.4" x14ac:dyDescent="0.3">
      <c r="A3626" s="8">
        <v>82188431</v>
      </c>
      <c r="B3626" s="11">
        <v>44799</v>
      </c>
      <c r="C3626" s="13" t="s">
        <v>4831</v>
      </c>
      <c r="D3626" s="13" t="s">
        <v>4832</v>
      </c>
      <c r="E3626" s="8">
        <v>10000</v>
      </c>
      <c r="F3626" s="13" t="s">
        <v>70</v>
      </c>
      <c r="G3626" s="14">
        <v>44803</v>
      </c>
      <c r="H3626" s="13" t="s">
        <v>9</v>
      </c>
    </row>
    <row r="3627" spans="1:8" ht="14.4" x14ac:dyDescent="0.3">
      <c r="A3627" s="8">
        <v>82188432</v>
      </c>
      <c r="B3627" s="11">
        <v>44799</v>
      </c>
      <c r="C3627" s="13" t="s">
        <v>4833</v>
      </c>
      <c r="D3627" s="13" t="s">
        <v>4834</v>
      </c>
      <c r="E3627" s="8">
        <v>10000</v>
      </c>
      <c r="F3627" s="13" t="s">
        <v>70</v>
      </c>
      <c r="G3627" s="14">
        <v>44803</v>
      </c>
      <c r="H3627" s="13" t="s">
        <v>9</v>
      </c>
    </row>
    <row r="3628" spans="1:8" ht="14.4" x14ac:dyDescent="0.3">
      <c r="A3628" s="8">
        <v>82188433</v>
      </c>
      <c r="B3628" s="11">
        <v>44799</v>
      </c>
      <c r="C3628" s="13" t="s">
        <v>159</v>
      </c>
      <c r="D3628" s="13" t="s">
        <v>4835</v>
      </c>
      <c r="E3628" s="8">
        <v>266200</v>
      </c>
      <c r="F3628" s="13" t="s">
        <v>70</v>
      </c>
      <c r="G3628" s="14">
        <v>44803</v>
      </c>
      <c r="H3628" s="13" t="s">
        <v>9</v>
      </c>
    </row>
    <row r="3629" spans="1:8" ht="14.4" x14ac:dyDescent="0.3">
      <c r="A3629" s="8">
        <v>82188434</v>
      </c>
      <c r="B3629" s="11">
        <v>44799</v>
      </c>
      <c r="C3629" s="13" t="s">
        <v>265</v>
      </c>
      <c r="D3629" s="13" t="s">
        <v>4836</v>
      </c>
      <c r="E3629" s="8">
        <v>160591.4</v>
      </c>
      <c r="F3629" s="13" t="s">
        <v>70</v>
      </c>
      <c r="G3629" s="14">
        <v>44804</v>
      </c>
      <c r="H3629" s="13" t="s">
        <v>9</v>
      </c>
    </row>
    <row r="3630" spans="1:8" ht="14.4" x14ac:dyDescent="0.3">
      <c r="A3630" s="8">
        <v>82188435</v>
      </c>
      <c r="B3630" s="11">
        <v>44799</v>
      </c>
      <c r="C3630" s="13" t="s">
        <v>265</v>
      </c>
      <c r="D3630" s="13" t="s">
        <v>4837</v>
      </c>
      <c r="E3630" s="8">
        <v>160246.20000000001</v>
      </c>
      <c r="F3630" s="13" t="s">
        <v>70</v>
      </c>
      <c r="G3630" s="14">
        <v>44804</v>
      </c>
      <c r="H3630" s="13" t="s">
        <v>9</v>
      </c>
    </row>
    <row r="3631" spans="1:8" ht="14.4" x14ac:dyDescent="0.3">
      <c r="A3631" s="8">
        <v>82188436</v>
      </c>
      <c r="B3631" s="11">
        <v>44799</v>
      </c>
      <c r="C3631" s="13" t="s">
        <v>2624</v>
      </c>
      <c r="D3631" s="13" t="s">
        <v>4838</v>
      </c>
      <c r="E3631" s="8">
        <v>6000000</v>
      </c>
      <c r="F3631" s="13" t="s">
        <v>70</v>
      </c>
      <c r="G3631" s="14">
        <v>44803</v>
      </c>
      <c r="H3631" s="13" t="s">
        <v>9</v>
      </c>
    </row>
    <row r="3632" spans="1:8" ht="14.4" x14ac:dyDescent="0.3">
      <c r="A3632" s="8">
        <v>82188437</v>
      </c>
      <c r="B3632" s="11">
        <v>44825</v>
      </c>
      <c r="C3632" s="13" t="s">
        <v>259</v>
      </c>
      <c r="D3632" s="13" t="s">
        <v>4839</v>
      </c>
      <c r="E3632" s="8">
        <v>28780.89</v>
      </c>
      <c r="F3632" s="13" t="s">
        <v>70</v>
      </c>
      <c r="G3632" s="14">
        <v>44831</v>
      </c>
      <c r="H3632" s="13" t="s">
        <v>9</v>
      </c>
    </row>
    <row r="3633" spans="1:8" ht="14.4" x14ac:dyDescent="0.3">
      <c r="A3633" s="8">
        <v>82188438</v>
      </c>
      <c r="B3633" s="11">
        <v>44825</v>
      </c>
      <c r="C3633" s="13" t="s">
        <v>1522</v>
      </c>
      <c r="D3633" s="13" t="s">
        <v>4840</v>
      </c>
      <c r="E3633" s="8">
        <v>7350</v>
      </c>
      <c r="F3633" s="13" t="s">
        <v>70</v>
      </c>
      <c r="G3633" s="14">
        <v>44834</v>
      </c>
      <c r="H3633" s="13" t="s">
        <v>9</v>
      </c>
    </row>
    <row r="3634" spans="1:8" ht="14.4" x14ac:dyDescent="0.3">
      <c r="A3634" s="8">
        <v>82188439</v>
      </c>
      <c r="B3634" s="11">
        <v>44825</v>
      </c>
      <c r="C3634" s="13" t="s">
        <v>3174</v>
      </c>
      <c r="D3634" s="13" t="s">
        <v>4841</v>
      </c>
      <c r="E3634" s="8">
        <v>11225</v>
      </c>
      <c r="F3634" s="13" t="s">
        <v>70</v>
      </c>
      <c r="G3634" s="14">
        <v>44831</v>
      </c>
      <c r="H3634" s="13" t="s">
        <v>9</v>
      </c>
    </row>
    <row r="3635" spans="1:8" ht="14.4" x14ac:dyDescent="0.3">
      <c r="A3635" s="8">
        <v>82188440</v>
      </c>
      <c r="B3635" s="11">
        <v>44825</v>
      </c>
      <c r="C3635" s="13" t="s">
        <v>4842</v>
      </c>
      <c r="D3635" s="13" t="s">
        <v>4843</v>
      </c>
      <c r="E3635" s="8">
        <v>3549.11</v>
      </c>
      <c r="F3635" s="13" t="s">
        <v>70</v>
      </c>
      <c r="G3635" s="14">
        <v>44833</v>
      </c>
      <c r="H3635" s="13" t="s">
        <v>9</v>
      </c>
    </row>
    <row r="3636" spans="1:8" ht="14.4" x14ac:dyDescent="0.3">
      <c r="A3636" s="8">
        <v>82188441</v>
      </c>
      <c r="B3636" s="11">
        <v>44825</v>
      </c>
      <c r="C3636" s="13" t="s">
        <v>201</v>
      </c>
      <c r="D3636" s="13" t="s">
        <v>4844</v>
      </c>
      <c r="E3636" s="8">
        <v>6598.5</v>
      </c>
      <c r="F3636" s="13" t="s">
        <v>70</v>
      </c>
      <c r="G3636" s="14">
        <v>44831</v>
      </c>
      <c r="H3636" s="13" t="s">
        <v>9</v>
      </c>
    </row>
    <row r="3637" spans="1:8" ht="14.4" x14ac:dyDescent="0.3">
      <c r="A3637" s="8">
        <v>82188443</v>
      </c>
      <c r="B3637" s="11">
        <v>44825</v>
      </c>
      <c r="C3637" s="13" t="s">
        <v>202</v>
      </c>
      <c r="D3637" s="13" t="s">
        <v>4845</v>
      </c>
      <c r="E3637" s="8">
        <v>768311.54</v>
      </c>
      <c r="F3637" s="13" t="s">
        <v>70</v>
      </c>
      <c r="G3637" s="14">
        <v>44826</v>
      </c>
      <c r="H3637" s="13" t="s">
        <v>9</v>
      </c>
    </row>
    <row r="3638" spans="1:8" ht="14.4" x14ac:dyDescent="0.3">
      <c r="A3638" s="8">
        <v>82188444</v>
      </c>
      <c r="B3638" s="11">
        <v>44825</v>
      </c>
      <c r="C3638" s="13" t="s">
        <v>2395</v>
      </c>
      <c r="D3638" s="13" t="s">
        <v>4846</v>
      </c>
      <c r="E3638" s="8">
        <v>14112</v>
      </c>
      <c r="F3638" s="13" t="s">
        <v>70</v>
      </c>
      <c r="G3638" s="14">
        <v>44833</v>
      </c>
      <c r="H3638" s="13" t="s">
        <v>9</v>
      </c>
    </row>
    <row r="3639" spans="1:8" ht="14.4" x14ac:dyDescent="0.3">
      <c r="A3639" s="8">
        <v>82188445</v>
      </c>
      <c r="B3639" s="11">
        <v>44825</v>
      </c>
      <c r="C3639" s="13" t="s">
        <v>4847</v>
      </c>
      <c r="D3639" s="13" t="s">
        <v>4848</v>
      </c>
      <c r="E3639" s="8">
        <v>5300</v>
      </c>
      <c r="F3639" s="13" t="s">
        <v>70</v>
      </c>
      <c r="G3639" s="14">
        <v>44832</v>
      </c>
      <c r="H3639" s="13" t="s">
        <v>9</v>
      </c>
    </row>
    <row r="3640" spans="1:8" ht="14.4" x14ac:dyDescent="0.3">
      <c r="A3640" s="8">
        <v>82188446</v>
      </c>
      <c r="B3640" s="11">
        <v>44825</v>
      </c>
      <c r="C3640" s="13" t="s">
        <v>2711</v>
      </c>
      <c r="D3640" s="13" t="s">
        <v>4849</v>
      </c>
      <c r="E3640" s="8">
        <v>4258.93</v>
      </c>
      <c r="F3640" s="13" t="s">
        <v>70</v>
      </c>
      <c r="G3640" s="14">
        <v>44827</v>
      </c>
      <c r="H3640" s="13" t="s">
        <v>9</v>
      </c>
    </row>
    <row r="3641" spans="1:8" ht="14.4" x14ac:dyDescent="0.3">
      <c r="A3641" s="8">
        <v>82188447</v>
      </c>
      <c r="B3641" s="11">
        <v>44825</v>
      </c>
      <c r="C3641" s="13" t="s">
        <v>52</v>
      </c>
      <c r="D3641" s="13" t="s">
        <v>4850</v>
      </c>
      <c r="E3641" s="8">
        <v>24001.43</v>
      </c>
      <c r="F3641" s="13" t="s">
        <v>70</v>
      </c>
      <c r="G3641" s="14">
        <v>44831</v>
      </c>
      <c r="H3641" s="13" t="s">
        <v>9</v>
      </c>
    </row>
    <row r="3642" spans="1:8" ht="14.4" x14ac:dyDescent="0.3">
      <c r="A3642" s="8">
        <v>82188448</v>
      </c>
      <c r="B3642" s="11">
        <v>44825</v>
      </c>
      <c r="C3642" s="13" t="s">
        <v>2072</v>
      </c>
      <c r="D3642" s="13" t="s">
        <v>4851</v>
      </c>
      <c r="E3642" s="8">
        <v>22542.85</v>
      </c>
      <c r="F3642" s="13" t="s">
        <v>70</v>
      </c>
      <c r="G3642" s="14">
        <v>44831</v>
      </c>
      <c r="H3642" s="13" t="s">
        <v>9</v>
      </c>
    </row>
    <row r="3643" spans="1:8" ht="14.4" x14ac:dyDescent="0.3">
      <c r="A3643" s="8">
        <v>82188449</v>
      </c>
      <c r="B3643" s="11">
        <v>44840</v>
      </c>
      <c r="C3643" s="13" t="s">
        <v>180</v>
      </c>
      <c r="D3643" s="13" t="s">
        <v>901</v>
      </c>
      <c r="E3643" s="8">
        <v>323748.69</v>
      </c>
      <c r="F3643" s="13" t="s">
        <v>70</v>
      </c>
      <c r="G3643" s="14">
        <v>44840</v>
      </c>
      <c r="H3643" s="13" t="s">
        <v>9</v>
      </c>
    </row>
    <row r="3644" spans="1:8" ht="14.4" x14ac:dyDescent="0.3">
      <c r="A3644" s="8">
        <v>82188450</v>
      </c>
      <c r="B3644" s="11">
        <v>44840</v>
      </c>
      <c r="C3644" s="13" t="s">
        <v>4852</v>
      </c>
      <c r="D3644" s="13" t="s">
        <v>16</v>
      </c>
      <c r="E3644" s="8">
        <v>10000</v>
      </c>
      <c r="F3644" s="13" t="s">
        <v>70</v>
      </c>
      <c r="G3644" s="14">
        <v>44844</v>
      </c>
      <c r="H3644" s="13" t="s">
        <v>9</v>
      </c>
    </row>
    <row r="3645" spans="1:8" ht="14.4" x14ac:dyDescent="0.3">
      <c r="A3645" s="8">
        <v>82188451</v>
      </c>
      <c r="B3645" s="11">
        <v>44840</v>
      </c>
      <c r="C3645" s="13" t="s">
        <v>4853</v>
      </c>
      <c r="D3645" s="13" t="s">
        <v>16</v>
      </c>
      <c r="E3645" s="8">
        <v>10000</v>
      </c>
      <c r="F3645" s="13" t="s">
        <v>70</v>
      </c>
      <c r="G3645" s="14">
        <v>44844</v>
      </c>
      <c r="H3645" s="13" t="s">
        <v>9</v>
      </c>
    </row>
    <row r="3646" spans="1:8" ht="14.4" x14ac:dyDescent="0.3">
      <c r="A3646" s="8">
        <v>82188453</v>
      </c>
      <c r="B3646" s="11">
        <v>44840</v>
      </c>
      <c r="C3646" s="13" t="s">
        <v>4854</v>
      </c>
      <c r="D3646" s="13" t="s">
        <v>16</v>
      </c>
      <c r="E3646" s="8">
        <v>10000</v>
      </c>
      <c r="F3646" s="13" t="s">
        <v>70</v>
      </c>
      <c r="G3646" s="14">
        <v>44844</v>
      </c>
      <c r="H3646" s="13" t="s">
        <v>9</v>
      </c>
    </row>
    <row r="3647" spans="1:8" ht="14.4" x14ac:dyDescent="0.3">
      <c r="A3647" s="8">
        <v>82188454</v>
      </c>
      <c r="B3647" s="11">
        <v>44840</v>
      </c>
      <c r="C3647" s="13" t="s">
        <v>4855</v>
      </c>
      <c r="D3647" s="13" t="s">
        <v>16</v>
      </c>
      <c r="E3647" s="8">
        <v>10000</v>
      </c>
      <c r="F3647" s="13" t="s">
        <v>70</v>
      </c>
      <c r="G3647" s="14">
        <v>44844</v>
      </c>
      <c r="H3647" s="13" t="s">
        <v>9</v>
      </c>
    </row>
    <row r="3648" spans="1:8" ht="14.4" x14ac:dyDescent="0.3">
      <c r="A3648" s="8">
        <v>82188455</v>
      </c>
      <c r="B3648" s="11">
        <v>44840</v>
      </c>
      <c r="C3648" s="13" t="s">
        <v>4856</v>
      </c>
      <c r="D3648" s="13" t="s">
        <v>16</v>
      </c>
      <c r="E3648" s="8">
        <v>10000</v>
      </c>
      <c r="F3648" s="13" t="s">
        <v>70</v>
      </c>
      <c r="G3648" s="14">
        <v>44844</v>
      </c>
      <c r="H3648" s="13" t="s">
        <v>9</v>
      </c>
    </row>
    <row r="3649" spans="1:8" ht="14.4" x14ac:dyDescent="0.3">
      <c r="A3649" s="8">
        <v>82188456</v>
      </c>
      <c r="B3649" s="11">
        <v>44840</v>
      </c>
      <c r="C3649" s="13" t="s">
        <v>4857</v>
      </c>
      <c r="D3649" s="13" t="s">
        <v>16</v>
      </c>
      <c r="E3649" s="8">
        <v>10000</v>
      </c>
      <c r="F3649" s="13" t="s">
        <v>70</v>
      </c>
      <c r="G3649" s="14">
        <v>44844</v>
      </c>
      <c r="H3649" s="13" t="s">
        <v>9</v>
      </c>
    </row>
    <row r="3650" spans="1:8" ht="14.4" x14ac:dyDescent="0.3">
      <c r="A3650" s="8">
        <v>82188457</v>
      </c>
      <c r="B3650" s="11">
        <v>44840</v>
      </c>
      <c r="C3650" s="13" t="s">
        <v>4858</v>
      </c>
      <c r="D3650" s="13" t="s">
        <v>16</v>
      </c>
      <c r="E3650" s="8">
        <v>10000</v>
      </c>
      <c r="F3650" s="13" t="s">
        <v>70</v>
      </c>
      <c r="G3650" s="14">
        <v>44844</v>
      </c>
      <c r="H3650" s="13" t="s">
        <v>9</v>
      </c>
    </row>
    <row r="3651" spans="1:8" ht="14.4" x14ac:dyDescent="0.3">
      <c r="A3651" s="8">
        <v>82188458</v>
      </c>
      <c r="B3651" s="11">
        <v>44840</v>
      </c>
      <c r="C3651" s="13" t="s">
        <v>4859</v>
      </c>
      <c r="D3651" s="13" t="s">
        <v>16</v>
      </c>
      <c r="E3651" s="8">
        <v>10000</v>
      </c>
      <c r="F3651" s="13" t="s">
        <v>70</v>
      </c>
      <c r="G3651" s="14">
        <v>44844</v>
      </c>
      <c r="H3651" s="13" t="s">
        <v>9</v>
      </c>
    </row>
    <row r="3652" spans="1:8" ht="14.4" x14ac:dyDescent="0.3">
      <c r="A3652" s="8">
        <v>82188459</v>
      </c>
      <c r="B3652" s="11">
        <v>44840</v>
      </c>
      <c r="C3652" s="13" t="s">
        <v>4860</v>
      </c>
      <c r="D3652" s="13" t="s">
        <v>16</v>
      </c>
      <c r="E3652" s="8">
        <v>10000</v>
      </c>
      <c r="F3652" s="13" t="s">
        <v>70</v>
      </c>
      <c r="G3652" s="14">
        <v>44844</v>
      </c>
      <c r="H3652" s="13" t="s">
        <v>9</v>
      </c>
    </row>
    <row r="3653" spans="1:8" ht="14.4" x14ac:dyDescent="0.3">
      <c r="A3653" s="8">
        <v>82188461</v>
      </c>
      <c r="B3653" s="11">
        <v>44840</v>
      </c>
      <c r="C3653" s="13" t="s">
        <v>4861</v>
      </c>
      <c r="D3653" s="13" t="s">
        <v>16</v>
      </c>
      <c r="E3653" s="8">
        <v>10000</v>
      </c>
      <c r="F3653" s="13" t="s">
        <v>70</v>
      </c>
      <c r="G3653" s="14">
        <v>44844</v>
      </c>
      <c r="H3653" s="13" t="s">
        <v>9</v>
      </c>
    </row>
    <row r="3654" spans="1:8" ht="14.4" x14ac:dyDescent="0.3">
      <c r="A3654" s="8">
        <v>82188463</v>
      </c>
      <c r="B3654" s="11">
        <v>44840</v>
      </c>
      <c r="C3654" s="13" t="s">
        <v>4862</v>
      </c>
      <c r="D3654" s="13" t="s">
        <v>16</v>
      </c>
      <c r="E3654" s="8">
        <v>10000</v>
      </c>
      <c r="F3654" s="13" t="s">
        <v>70</v>
      </c>
      <c r="G3654" s="14">
        <v>44844</v>
      </c>
      <c r="H3654" s="13" t="s">
        <v>9</v>
      </c>
    </row>
    <row r="3655" spans="1:8" ht="14.4" x14ac:dyDescent="0.3">
      <c r="A3655" s="8">
        <v>82188464</v>
      </c>
      <c r="B3655" s="11">
        <v>44840</v>
      </c>
      <c r="C3655" s="13" t="s">
        <v>4863</v>
      </c>
      <c r="D3655" s="13" t="s">
        <v>16</v>
      </c>
      <c r="E3655" s="8">
        <v>10000</v>
      </c>
      <c r="F3655" s="13" t="s">
        <v>70</v>
      </c>
      <c r="G3655" s="14">
        <v>44844</v>
      </c>
      <c r="H3655" s="13" t="s">
        <v>9</v>
      </c>
    </row>
    <row r="3656" spans="1:8" ht="14.4" x14ac:dyDescent="0.3">
      <c r="A3656" s="8">
        <v>82188465</v>
      </c>
      <c r="B3656" s="11">
        <v>44840</v>
      </c>
      <c r="C3656" s="13" t="s">
        <v>4864</v>
      </c>
      <c r="D3656" s="13" t="s">
        <v>4865</v>
      </c>
      <c r="E3656" s="8">
        <v>13930</v>
      </c>
      <c r="F3656" s="13" t="s">
        <v>70</v>
      </c>
      <c r="G3656" s="14">
        <v>44848</v>
      </c>
      <c r="H3656" s="13" t="s">
        <v>9</v>
      </c>
    </row>
    <row r="3657" spans="1:8" ht="14.4" x14ac:dyDescent="0.3">
      <c r="A3657" s="8">
        <v>82188466</v>
      </c>
      <c r="B3657" s="11">
        <v>44840</v>
      </c>
      <c r="C3657" s="13" t="s">
        <v>42</v>
      </c>
      <c r="D3657" s="13" t="s">
        <v>4866</v>
      </c>
      <c r="E3657" s="8">
        <v>61621.84</v>
      </c>
      <c r="F3657" s="13" t="s">
        <v>70</v>
      </c>
      <c r="G3657" s="14">
        <v>44841</v>
      </c>
      <c r="H3657" s="13" t="s">
        <v>9</v>
      </c>
    </row>
    <row r="3658" spans="1:8" ht="14.4" x14ac:dyDescent="0.3">
      <c r="A3658" s="8">
        <v>82188467</v>
      </c>
      <c r="B3658" s="11">
        <v>44840</v>
      </c>
      <c r="C3658" s="13" t="s">
        <v>893</v>
      </c>
      <c r="D3658" s="13" t="s">
        <v>4867</v>
      </c>
      <c r="E3658" s="8">
        <v>282008.09999999998</v>
      </c>
      <c r="F3658" s="13" t="s">
        <v>70</v>
      </c>
      <c r="G3658" s="14">
        <v>44854</v>
      </c>
      <c r="H3658" s="13" t="s">
        <v>9</v>
      </c>
    </row>
    <row r="3659" spans="1:8" ht="14.4" x14ac:dyDescent="0.3">
      <c r="A3659" s="8">
        <v>82188468</v>
      </c>
      <c r="B3659" s="11">
        <v>44840</v>
      </c>
      <c r="C3659" s="13" t="s">
        <v>2425</v>
      </c>
      <c r="D3659" s="13" t="s">
        <v>4868</v>
      </c>
      <c r="E3659" s="8">
        <v>245835.71</v>
      </c>
      <c r="F3659" s="13" t="s">
        <v>70</v>
      </c>
      <c r="G3659" s="14">
        <v>44841</v>
      </c>
      <c r="H3659" s="13" t="s">
        <v>9</v>
      </c>
    </row>
    <row r="3660" spans="1:8" ht="14.4" x14ac:dyDescent="0.3">
      <c r="A3660" s="8">
        <v>82188469</v>
      </c>
      <c r="B3660" s="11">
        <v>44840</v>
      </c>
      <c r="C3660" s="13" t="s">
        <v>235</v>
      </c>
      <c r="D3660" s="13" t="s">
        <v>4869</v>
      </c>
      <c r="E3660" s="8">
        <v>394440</v>
      </c>
      <c r="F3660" s="13" t="s">
        <v>70</v>
      </c>
      <c r="G3660" s="14">
        <v>44841</v>
      </c>
      <c r="H3660" s="13" t="s">
        <v>9</v>
      </c>
    </row>
    <row r="3661" spans="1:8" ht="14.4" x14ac:dyDescent="0.3">
      <c r="A3661" s="8">
        <v>82188470</v>
      </c>
      <c r="B3661" s="11">
        <v>44840</v>
      </c>
      <c r="C3661" s="13" t="s">
        <v>42</v>
      </c>
      <c r="D3661" s="13" t="s">
        <v>4870</v>
      </c>
      <c r="E3661" s="8">
        <v>298008.3</v>
      </c>
      <c r="F3661" s="13" t="s">
        <v>70</v>
      </c>
      <c r="G3661" s="14">
        <v>44841</v>
      </c>
      <c r="H3661" s="13" t="s">
        <v>9</v>
      </c>
    </row>
    <row r="3662" spans="1:8" ht="14.4" x14ac:dyDescent="0.3">
      <c r="A3662" s="8">
        <v>82188471</v>
      </c>
      <c r="B3662" s="11">
        <v>44840</v>
      </c>
      <c r="C3662" s="13" t="s">
        <v>159</v>
      </c>
      <c r="D3662" s="13" t="s">
        <v>4871</v>
      </c>
      <c r="E3662" s="8">
        <v>356700</v>
      </c>
      <c r="F3662" s="13" t="s">
        <v>70</v>
      </c>
      <c r="G3662" s="14">
        <v>44840</v>
      </c>
      <c r="H3662" s="13" t="s">
        <v>9</v>
      </c>
    </row>
    <row r="3663" spans="1:8" ht="14.4" x14ac:dyDescent="0.3">
      <c r="A3663" s="8">
        <v>82188472</v>
      </c>
      <c r="B3663" s="11">
        <v>44840</v>
      </c>
      <c r="C3663" s="13" t="s">
        <v>85</v>
      </c>
      <c r="D3663" s="13" t="s">
        <v>4872</v>
      </c>
      <c r="E3663" s="8">
        <v>1125</v>
      </c>
      <c r="F3663" s="13" t="s">
        <v>70</v>
      </c>
      <c r="G3663" s="14">
        <v>44845</v>
      </c>
      <c r="H3663" s="13" t="s">
        <v>9</v>
      </c>
    </row>
    <row r="3664" spans="1:8" ht="14.4" x14ac:dyDescent="0.3">
      <c r="A3664" s="8">
        <v>82188473</v>
      </c>
      <c r="B3664" s="11">
        <v>44840</v>
      </c>
      <c r="C3664" s="13" t="s">
        <v>4873</v>
      </c>
      <c r="D3664" s="13" t="s">
        <v>4874</v>
      </c>
      <c r="E3664" s="8">
        <v>10000</v>
      </c>
      <c r="F3664" s="13" t="s">
        <v>70</v>
      </c>
      <c r="G3664" s="14">
        <v>44844</v>
      </c>
      <c r="H3664" s="13" t="s">
        <v>9</v>
      </c>
    </row>
    <row r="3665" spans="1:8" ht="14.4" x14ac:dyDescent="0.3">
      <c r="A3665" s="8">
        <v>82188474</v>
      </c>
      <c r="B3665" s="11">
        <v>44840</v>
      </c>
      <c r="C3665" s="13" t="s">
        <v>221</v>
      </c>
      <c r="D3665" s="13" t="s">
        <v>4875</v>
      </c>
      <c r="E3665" s="8">
        <v>8000</v>
      </c>
      <c r="F3665" s="13" t="s">
        <v>70</v>
      </c>
      <c r="G3665" s="14">
        <v>44852</v>
      </c>
      <c r="H3665" s="13" t="s">
        <v>9</v>
      </c>
    </row>
    <row r="3666" spans="1:8" ht="14.4" x14ac:dyDescent="0.3">
      <c r="A3666" s="8">
        <v>82188475</v>
      </c>
      <c r="B3666" s="11">
        <v>44840</v>
      </c>
      <c r="C3666" s="13" t="s">
        <v>4876</v>
      </c>
      <c r="D3666" s="13" t="s">
        <v>4877</v>
      </c>
      <c r="E3666" s="8">
        <v>6000</v>
      </c>
      <c r="F3666" s="13" t="s">
        <v>70</v>
      </c>
      <c r="G3666" s="14">
        <v>44845</v>
      </c>
      <c r="H3666" s="13" t="s">
        <v>9</v>
      </c>
    </row>
    <row r="3667" spans="1:8" ht="14.4" x14ac:dyDescent="0.3">
      <c r="A3667" s="8">
        <v>82188476</v>
      </c>
      <c r="B3667" s="11">
        <v>44841</v>
      </c>
      <c r="C3667" s="13" t="s">
        <v>1932</v>
      </c>
      <c r="D3667" s="13" t="s">
        <v>4878</v>
      </c>
      <c r="E3667" s="8">
        <v>300000</v>
      </c>
      <c r="F3667" s="13" t="s">
        <v>70</v>
      </c>
      <c r="G3667" s="14">
        <v>44841</v>
      </c>
      <c r="H3667" s="13" t="s">
        <v>9</v>
      </c>
    </row>
    <row r="3668" spans="1:8" ht="14.4" x14ac:dyDescent="0.3">
      <c r="A3668" s="8">
        <v>82188477</v>
      </c>
      <c r="B3668" s="11">
        <v>44841</v>
      </c>
      <c r="C3668" s="13" t="s">
        <v>1581</v>
      </c>
      <c r="D3668" s="13" t="s">
        <v>4879</v>
      </c>
      <c r="E3668" s="8">
        <v>4258.93</v>
      </c>
      <c r="F3668" s="13" t="s">
        <v>70</v>
      </c>
      <c r="G3668" s="14">
        <v>44846</v>
      </c>
      <c r="H3668" s="13" t="s">
        <v>9</v>
      </c>
    </row>
    <row r="3669" spans="1:8" ht="14.4" x14ac:dyDescent="0.3">
      <c r="A3669" s="8">
        <v>82188478</v>
      </c>
      <c r="B3669" s="11">
        <v>44841</v>
      </c>
      <c r="C3669" s="13" t="s">
        <v>1581</v>
      </c>
      <c r="D3669" s="13" t="s">
        <v>4880</v>
      </c>
      <c r="E3669" s="8">
        <v>2839.28</v>
      </c>
      <c r="F3669" s="13" t="s">
        <v>70</v>
      </c>
      <c r="G3669" s="14">
        <v>44846</v>
      </c>
      <c r="H3669" s="13" t="s">
        <v>9</v>
      </c>
    </row>
    <row r="3670" spans="1:8" ht="14.4" x14ac:dyDescent="0.3">
      <c r="A3670" s="8">
        <v>82188479</v>
      </c>
      <c r="B3670" s="11">
        <v>44841</v>
      </c>
      <c r="C3670" s="13" t="s">
        <v>201</v>
      </c>
      <c r="D3670" s="13" t="s">
        <v>4881</v>
      </c>
      <c r="E3670" s="8">
        <v>15122.98</v>
      </c>
      <c r="F3670" s="13" t="s">
        <v>70</v>
      </c>
      <c r="G3670" s="14">
        <v>44855</v>
      </c>
      <c r="H3670" s="13" t="s">
        <v>9</v>
      </c>
    </row>
    <row r="3671" spans="1:8" ht="14.4" x14ac:dyDescent="0.3">
      <c r="A3671" s="8">
        <v>82188480</v>
      </c>
      <c r="B3671" s="11">
        <v>44841</v>
      </c>
      <c r="C3671" s="13" t="s">
        <v>1522</v>
      </c>
      <c r="D3671" s="13" t="s">
        <v>4882</v>
      </c>
      <c r="E3671" s="8">
        <v>4900</v>
      </c>
      <c r="F3671" s="13" t="s">
        <v>70</v>
      </c>
      <c r="G3671" s="14">
        <v>44860</v>
      </c>
      <c r="H3671" s="13" t="s">
        <v>9</v>
      </c>
    </row>
    <row r="3672" spans="1:8" ht="14.4" x14ac:dyDescent="0.3">
      <c r="A3672" s="8">
        <v>82188481</v>
      </c>
      <c r="B3672" s="11">
        <v>44841</v>
      </c>
      <c r="C3672" s="13" t="s">
        <v>4648</v>
      </c>
      <c r="D3672" s="13" t="s">
        <v>4883</v>
      </c>
      <c r="E3672" s="8">
        <v>15925</v>
      </c>
      <c r="F3672" s="13" t="s">
        <v>70</v>
      </c>
      <c r="G3672" s="14">
        <v>44847</v>
      </c>
      <c r="H3672" s="13" t="s">
        <v>9</v>
      </c>
    </row>
    <row r="3673" spans="1:8" ht="14.4" x14ac:dyDescent="0.3">
      <c r="A3673" s="8">
        <v>82188482</v>
      </c>
      <c r="B3673" s="11">
        <v>44841</v>
      </c>
      <c r="C3673" s="13" t="s">
        <v>2201</v>
      </c>
      <c r="D3673" s="13" t="s">
        <v>4884</v>
      </c>
      <c r="E3673" s="8">
        <v>5622.54</v>
      </c>
      <c r="F3673" s="13" t="s">
        <v>70</v>
      </c>
      <c r="G3673" s="14">
        <v>44845</v>
      </c>
      <c r="H3673" s="13" t="s">
        <v>9</v>
      </c>
    </row>
    <row r="3674" spans="1:8" ht="14.4" x14ac:dyDescent="0.3">
      <c r="A3674" s="8">
        <v>82188483</v>
      </c>
      <c r="B3674" s="11">
        <v>44841</v>
      </c>
      <c r="C3674" s="13" t="s">
        <v>4885</v>
      </c>
      <c r="D3674" s="13" t="s">
        <v>4886</v>
      </c>
      <c r="E3674" s="8">
        <v>1515.37</v>
      </c>
      <c r="F3674" s="13" t="s">
        <v>70</v>
      </c>
      <c r="G3674" s="14">
        <v>44844</v>
      </c>
      <c r="H3674" s="13" t="s">
        <v>9</v>
      </c>
    </row>
    <row r="3675" spans="1:8" ht="14.4" x14ac:dyDescent="0.3">
      <c r="A3675" s="8">
        <v>82188484</v>
      </c>
      <c r="B3675" s="11">
        <v>44841</v>
      </c>
      <c r="C3675" s="13" t="s">
        <v>361</v>
      </c>
      <c r="D3675" s="13" t="s">
        <v>4887</v>
      </c>
      <c r="E3675" s="8">
        <v>24140</v>
      </c>
      <c r="F3675" s="13" t="s">
        <v>70</v>
      </c>
      <c r="G3675" s="14">
        <v>44847</v>
      </c>
      <c r="H3675" s="13" t="s">
        <v>9</v>
      </c>
    </row>
    <row r="3676" spans="1:8" ht="14.4" x14ac:dyDescent="0.3">
      <c r="A3676" s="8">
        <v>82188485</v>
      </c>
      <c r="B3676" s="11">
        <v>44841</v>
      </c>
      <c r="C3676" s="13" t="s">
        <v>4888</v>
      </c>
      <c r="D3676" s="13" t="s">
        <v>4877</v>
      </c>
      <c r="E3676" s="8">
        <v>6000</v>
      </c>
      <c r="F3676" s="13" t="s">
        <v>70</v>
      </c>
      <c r="G3676" s="14">
        <v>44845</v>
      </c>
      <c r="H3676" s="13" t="s">
        <v>9</v>
      </c>
    </row>
    <row r="3677" spans="1:8" ht="14.4" x14ac:dyDescent="0.3">
      <c r="A3677" s="8">
        <v>82188486</v>
      </c>
      <c r="B3677" s="11">
        <v>44841</v>
      </c>
      <c r="C3677" s="13" t="s">
        <v>2252</v>
      </c>
      <c r="D3677" s="13" t="s">
        <v>4877</v>
      </c>
      <c r="E3677" s="8">
        <v>6000</v>
      </c>
      <c r="F3677" s="13" t="s">
        <v>70</v>
      </c>
      <c r="G3677" s="14">
        <v>44845</v>
      </c>
      <c r="H3677" s="13" t="s">
        <v>9</v>
      </c>
    </row>
    <row r="3678" spans="1:8" ht="14.4" x14ac:dyDescent="0.3">
      <c r="A3678" s="8">
        <v>82188487</v>
      </c>
      <c r="B3678" s="11">
        <v>44841</v>
      </c>
      <c r="C3678" s="13" t="s">
        <v>4889</v>
      </c>
      <c r="D3678" s="13" t="s">
        <v>4877</v>
      </c>
      <c r="E3678" s="8">
        <v>6000</v>
      </c>
      <c r="F3678" s="13" t="s">
        <v>70</v>
      </c>
      <c r="G3678" s="14">
        <v>44845</v>
      </c>
      <c r="H3678" s="13" t="s">
        <v>9</v>
      </c>
    </row>
    <row r="3679" spans="1:8" ht="14.4" x14ac:dyDescent="0.3">
      <c r="A3679" s="8">
        <v>82188488</v>
      </c>
      <c r="B3679" s="11">
        <v>44841</v>
      </c>
      <c r="C3679" s="13" t="s">
        <v>4890</v>
      </c>
      <c r="D3679" s="13" t="s">
        <v>4877</v>
      </c>
      <c r="E3679" s="8">
        <v>6000</v>
      </c>
      <c r="F3679" s="13" t="s">
        <v>70</v>
      </c>
      <c r="G3679" s="14">
        <v>44845</v>
      </c>
      <c r="H3679" s="13" t="s">
        <v>9</v>
      </c>
    </row>
    <row r="3680" spans="1:8" ht="14.4" x14ac:dyDescent="0.3">
      <c r="A3680" s="8">
        <v>82188489</v>
      </c>
      <c r="B3680" s="11">
        <v>44841</v>
      </c>
      <c r="C3680" s="13" t="s">
        <v>4891</v>
      </c>
      <c r="D3680" s="13" t="s">
        <v>4892</v>
      </c>
      <c r="E3680" s="8">
        <v>8000</v>
      </c>
      <c r="F3680" s="13" t="s">
        <v>70</v>
      </c>
      <c r="G3680" s="14">
        <v>44845</v>
      </c>
      <c r="H3680" s="13" t="s">
        <v>9</v>
      </c>
    </row>
    <row r="3681" spans="1:8" ht="14.4" x14ac:dyDescent="0.3">
      <c r="A3681" s="8">
        <v>82188490</v>
      </c>
      <c r="B3681" s="11">
        <v>44841</v>
      </c>
      <c r="C3681" s="13" t="s">
        <v>42</v>
      </c>
      <c r="D3681" s="13" t="s">
        <v>4893</v>
      </c>
      <c r="E3681" s="8">
        <v>9550.0499999999993</v>
      </c>
      <c r="F3681" s="13" t="s">
        <v>70</v>
      </c>
      <c r="G3681" s="14">
        <v>44852</v>
      </c>
      <c r="H3681" s="13" t="s">
        <v>9</v>
      </c>
    </row>
    <row r="3682" spans="1:8" ht="14.4" x14ac:dyDescent="0.3">
      <c r="A3682" s="8">
        <v>82188491</v>
      </c>
      <c r="B3682" s="11">
        <v>44841</v>
      </c>
      <c r="C3682" s="13" t="s">
        <v>42</v>
      </c>
      <c r="D3682" s="13" t="s">
        <v>4894</v>
      </c>
      <c r="E3682" s="8">
        <v>112948.34</v>
      </c>
      <c r="F3682" s="13" t="s">
        <v>70</v>
      </c>
      <c r="G3682" s="14">
        <v>44852</v>
      </c>
      <c r="H3682" s="13" t="s">
        <v>9</v>
      </c>
    </row>
    <row r="3683" spans="1:8" ht="14.4" x14ac:dyDescent="0.3">
      <c r="A3683" s="8">
        <v>82188492</v>
      </c>
      <c r="B3683" s="11">
        <v>44841</v>
      </c>
      <c r="C3683" s="13" t="s">
        <v>42</v>
      </c>
      <c r="D3683" s="13" t="s">
        <v>4895</v>
      </c>
      <c r="E3683" s="8">
        <v>83537.31</v>
      </c>
      <c r="F3683" s="13" t="s">
        <v>70</v>
      </c>
      <c r="G3683" s="14">
        <v>44852</v>
      </c>
      <c r="H3683" s="13" t="s">
        <v>9</v>
      </c>
    </row>
    <row r="3684" spans="1:8" ht="14.4" x14ac:dyDescent="0.3">
      <c r="A3684" s="8">
        <v>82188493</v>
      </c>
      <c r="B3684" s="11">
        <v>44841</v>
      </c>
      <c r="C3684" s="13" t="s">
        <v>3685</v>
      </c>
      <c r="D3684" s="13" t="s">
        <v>4896</v>
      </c>
      <c r="E3684" s="8">
        <v>2219911.37</v>
      </c>
      <c r="F3684" s="13" t="s">
        <v>70</v>
      </c>
      <c r="G3684" s="14">
        <v>44853</v>
      </c>
      <c r="H3684" s="13" t="s">
        <v>9</v>
      </c>
    </row>
    <row r="3685" spans="1:8" ht="14.4" x14ac:dyDescent="0.3">
      <c r="A3685" s="8">
        <v>82188494</v>
      </c>
      <c r="B3685" s="11">
        <v>44841</v>
      </c>
      <c r="C3685" s="13" t="s">
        <v>184</v>
      </c>
      <c r="D3685" s="13" t="s">
        <v>4897</v>
      </c>
      <c r="E3685" s="8">
        <v>218725.58</v>
      </c>
      <c r="F3685" s="13" t="s">
        <v>70</v>
      </c>
      <c r="G3685" s="14">
        <v>44844</v>
      </c>
      <c r="H3685" s="13" t="s">
        <v>9</v>
      </c>
    </row>
    <row r="3686" spans="1:8" ht="14.4" x14ac:dyDescent="0.3">
      <c r="A3686" s="8">
        <v>82188495</v>
      </c>
      <c r="B3686" s="11">
        <v>44841</v>
      </c>
      <c r="C3686" s="13" t="s">
        <v>184</v>
      </c>
      <c r="D3686" s="13" t="s">
        <v>4898</v>
      </c>
      <c r="E3686" s="8">
        <v>262064.25</v>
      </c>
      <c r="F3686" s="13" t="s">
        <v>70</v>
      </c>
      <c r="G3686" s="14">
        <v>44844</v>
      </c>
      <c r="H3686" s="13" t="s">
        <v>9</v>
      </c>
    </row>
    <row r="3687" spans="1:8" ht="14.4" x14ac:dyDescent="0.3">
      <c r="A3687" s="8">
        <v>82188496</v>
      </c>
      <c r="B3687" s="11">
        <v>44844</v>
      </c>
      <c r="C3687" s="13" t="s">
        <v>4899</v>
      </c>
      <c r="D3687" s="13" t="s">
        <v>4900</v>
      </c>
      <c r="E3687" s="8">
        <v>27578.27</v>
      </c>
      <c r="F3687" s="13" t="s">
        <v>70</v>
      </c>
      <c r="G3687" s="14">
        <v>44845</v>
      </c>
      <c r="H3687" s="13" t="s">
        <v>9</v>
      </c>
    </row>
    <row r="3688" spans="1:8" ht="14.4" x14ac:dyDescent="0.3">
      <c r="A3688" s="8">
        <v>82188497</v>
      </c>
      <c r="B3688" s="11">
        <v>44844</v>
      </c>
      <c r="C3688" s="13" t="s">
        <v>265</v>
      </c>
      <c r="D3688" s="13" t="s">
        <v>4901</v>
      </c>
      <c r="E3688" s="15">
        <v>38760</v>
      </c>
      <c r="F3688" s="13" t="s">
        <v>70</v>
      </c>
      <c r="G3688" s="14">
        <v>44848</v>
      </c>
      <c r="H3688" s="13" t="s">
        <v>9</v>
      </c>
    </row>
    <row r="3689" spans="1:8" ht="14.4" x14ac:dyDescent="0.3">
      <c r="A3689" s="8">
        <v>82188498</v>
      </c>
      <c r="B3689" s="11">
        <v>44844</v>
      </c>
      <c r="C3689" s="13" t="s">
        <v>395</v>
      </c>
      <c r="D3689" s="13" t="s">
        <v>4902</v>
      </c>
      <c r="E3689" s="15">
        <v>46814</v>
      </c>
      <c r="F3689" s="13" t="s">
        <v>70</v>
      </c>
      <c r="G3689" s="14">
        <v>44845</v>
      </c>
      <c r="H3689" s="13" t="s">
        <v>9</v>
      </c>
    </row>
    <row r="3690" spans="1:8" ht="14.4" x14ac:dyDescent="0.3">
      <c r="A3690" s="8">
        <v>82188499</v>
      </c>
      <c r="B3690" s="11">
        <v>44844</v>
      </c>
      <c r="C3690" s="13" t="s">
        <v>4903</v>
      </c>
      <c r="D3690" s="13" t="s">
        <v>4904</v>
      </c>
      <c r="E3690" s="8">
        <v>61014</v>
      </c>
      <c r="F3690" s="13" t="s">
        <v>70</v>
      </c>
      <c r="G3690" s="14">
        <v>44851</v>
      </c>
      <c r="H3690" s="13" t="s">
        <v>9</v>
      </c>
    </row>
    <row r="3691" spans="1:8" ht="14.4" x14ac:dyDescent="0.3">
      <c r="A3691" s="8">
        <v>82188500</v>
      </c>
      <c r="B3691" s="11">
        <v>44844</v>
      </c>
      <c r="C3691" s="13" t="s">
        <v>4905</v>
      </c>
      <c r="D3691" s="13" t="s">
        <v>4906</v>
      </c>
      <c r="E3691" s="8">
        <v>32232.39</v>
      </c>
      <c r="F3691" s="13" t="s">
        <v>70</v>
      </c>
      <c r="G3691" s="14">
        <v>44851</v>
      </c>
      <c r="H3691" s="13" t="s">
        <v>9</v>
      </c>
    </row>
    <row r="3692" spans="1:8" ht="14.4" x14ac:dyDescent="0.3">
      <c r="A3692" s="8">
        <v>82188501</v>
      </c>
      <c r="B3692" s="11">
        <v>44844</v>
      </c>
      <c r="C3692" s="13" t="s">
        <v>42</v>
      </c>
      <c r="D3692" s="13" t="s">
        <v>4907</v>
      </c>
      <c r="E3692" s="8">
        <v>9242.5</v>
      </c>
      <c r="F3692" s="13" t="s">
        <v>70</v>
      </c>
      <c r="G3692" s="14">
        <v>44852</v>
      </c>
      <c r="H3692" s="13" t="s">
        <v>9</v>
      </c>
    </row>
    <row r="3693" spans="1:8" ht="14.4" x14ac:dyDescent="0.3">
      <c r="A3693" s="8">
        <v>82188502</v>
      </c>
      <c r="B3693" s="11">
        <v>44844</v>
      </c>
      <c r="C3693" s="13" t="s">
        <v>42</v>
      </c>
      <c r="D3693" s="13" t="s">
        <v>4908</v>
      </c>
      <c r="E3693" s="8">
        <v>6284.35</v>
      </c>
      <c r="F3693" s="13" t="s">
        <v>70</v>
      </c>
      <c r="G3693" s="14">
        <v>44852</v>
      </c>
      <c r="H3693" s="13" t="s">
        <v>9</v>
      </c>
    </row>
    <row r="3694" spans="1:8" ht="14.4" x14ac:dyDescent="0.3">
      <c r="A3694" s="8">
        <v>82188503</v>
      </c>
      <c r="B3694" s="11">
        <v>44844</v>
      </c>
      <c r="C3694" s="13" t="s">
        <v>42</v>
      </c>
      <c r="D3694" s="13" t="s">
        <v>4909</v>
      </c>
      <c r="E3694" s="8">
        <v>2310.61</v>
      </c>
      <c r="F3694" s="13" t="s">
        <v>70</v>
      </c>
      <c r="G3694" s="14">
        <v>44852</v>
      </c>
      <c r="H3694" s="13" t="s">
        <v>9</v>
      </c>
    </row>
    <row r="3695" spans="1:8" ht="14.4" x14ac:dyDescent="0.3">
      <c r="A3695" s="8">
        <v>82188504</v>
      </c>
      <c r="B3695" s="11">
        <v>44844</v>
      </c>
      <c r="C3695" s="13" t="s">
        <v>42</v>
      </c>
      <c r="D3695" s="13" t="s">
        <v>4910</v>
      </c>
      <c r="E3695" s="8">
        <v>65684.56</v>
      </c>
      <c r="F3695" s="13" t="s">
        <v>70</v>
      </c>
      <c r="G3695" s="14">
        <v>44852</v>
      </c>
      <c r="H3695" s="13" t="s">
        <v>9</v>
      </c>
    </row>
    <row r="3696" spans="1:8" ht="14.4" x14ac:dyDescent="0.3">
      <c r="A3696" s="8">
        <v>82188505</v>
      </c>
      <c r="B3696" s="11">
        <v>44844</v>
      </c>
      <c r="C3696" s="13" t="s">
        <v>3108</v>
      </c>
      <c r="D3696" s="13" t="s">
        <v>4911</v>
      </c>
      <c r="E3696" s="8">
        <v>20000</v>
      </c>
      <c r="F3696" s="13" t="s">
        <v>70</v>
      </c>
      <c r="G3696" s="14">
        <v>44845</v>
      </c>
      <c r="H3696" s="13" t="s">
        <v>9</v>
      </c>
    </row>
    <row r="3697" spans="1:8" ht="14.4" x14ac:dyDescent="0.3">
      <c r="A3697" s="8">
        <v>82188506</v>
      </c>
      <c r="B3697" s="11">
        <v>44844</v>
      </c>
      <c r="C3697" s="13" t="s">
        <v>158</v>
      </c>
      <c r="D3697" s="13" t="s">
        <v>4912</v>
      </c>
      <c r="E3697" s="8">
        <v>312650</v>
      </c>
      <c r="F3697" s="13" t="s">
        <v>70</v>
      </c>
      <c r="G3697" s="14">
        <v>44845</v>
      </c>
      <c r="H3697" s="13" t="s">
        <v>9</v>
      </c>
    </row>
    <row r="3698" spans="1:8" ht="14.4" x14ac:dyDescent="0.3">
      <c r="A3698" s="8">
        <v>82188507</v>
      </c>
      <c r="B3698" s="11">
        <v>44844</v>
      </c>
      <c r="C3698" s="13" t="s">
        <v>159</v>
      </c>
      <c r="D3698" s="13" t="s">
        <v>4913</v>
      </c>
      <c r="E3698" s="8">
        <v>393500</v>
      </c>
      <c r="F3698" s="13" t="s">
        <v>70</v>
      </c>
      <c r="G3698" s="14">
        <v>44844</v>
      </c>
      <c r="H3698" s="13" t="s">
        <v>9</v>
      </c>
    </row>
    <row r="3699" spans="1:8" ht="14.4" x14ac:dyDescent="0.3">
      <c r="A3699" s="8">
        <v>82188508</v>
      </c>
      <c r="B3699" s="11">
        <v>44844</v>
      </c>
      <c r="C3699" s="13" t="s">
        <v>4914</v>
      </c>
      <c r="D3699" s="13" t="s">
        <v>4915</v>
      </c>
      <c r="E3699" s="8">
        <v>1560</v>
      </c>
      <c r="F3699" s="13" t="s">
        <v>70</v>
      </c>
      <c r="G3699" s="14">
        <v>44848</v>
      </c>
      <c r="H3699" s="13" t="s">
        <v>9</v>
      </c>
    </row>
    <row r="3700" spans="1:8" ht="14.4" x14ac:dyDescent="0.3">
      <c r="A3700" s="8">
        <v>82188509</v>
      </c>
      <c r="B3700" s="11">
        <v>44844</v>
      </c>
      <c r="C3700" s="13" t="s">
        <v>4914</v>
      </c>
      <c r="D3700" s="13" t="s">
        <v>4916</v>
      </c>
      <c r="E3700" s="8">
        <v>1000</v>
      </c>
      <c r="F3700" s="13" t="s">
        <v>70</v>
      </c>
      <c r="G3700" s="14">
        <v>44851</v>
      </c>
      <c r="H3700" s="13" t="s">
        <v>9</v>
      </c>
    </row>
    <row r="3701" spans="1:8" ht="14.4" x14ac:dyDescent="0.3">
      <c r="A3701" s="8">
        <v>82188510</v>
      </c>
      <c r="B3701" s="11">
        <v>44844</v>
      </c>
      <c r="C3701" s="13" t="s">
        <v>4914</v>
      </c>
      <c r="D3701" s="13" t="s">
        <v>4917</v>
      </c>
      <c r="E3701" s="8">
        <v>6298.8</v>
      </c>
      <c r="F3701" s="13" t="s">
        <v>70</v>
      </c>
      <c r="G3701" s="14">
        <v>44848</v>
      </c>
      <c r="H3701" s="13" t="s">
        <v>9</v>
      </c>
    </row>
    <row r="3702" spans="1:8" ht="14.4" x14ac:dyDescent="0.3">
      <c r="A3702" s="8">
        <v>82188512</v>
      </c>
      <c r="B3702" s="11">
        <v>44844</v>
      </c>
      <c r="C3702" s="13" t="s">
        <v>4914</v>
      </c>
      <c r="D3702" s="13" t="s">
        <v>4918</v>
      </c>
      <c r="E3702" s="8">
        <v>7726.4</v>
      </c>
      <c r="F3702" s="13" t="s">
        <v>70</v>
      </c>
      <c r="G3702" s="14">
        <v>44851</v>
      </c>
      <c r="H3702" s="13" t="s">
        <v>9</v>
      </c>
    </row>
    <row r="3703" spans="1:8" ht="14.4" x14ac:dyDescent="0.3">
      <c r="A3703" s="8">
        <v>82188513</v>
      </c>
      <c r="B3703" s="11">
        <v>44844</v>
      </c>
      <c r="C3703" s="13" t="s">
        <v>4919</v>
      </c>
      <c r="D3703" s="13" t="s">
        <v>4920</v>
      </c>
      <c r="E3703" s="8">
        <v>25000</v>
      </c>
      <c r="F3703" s="13" t="s">
        <v>70</v>
      </c>
      <c r="G3703" s="14">
        <v>44845</v>
      </c>
      <c r="H3703" s="13" t="s">
        <v>9</v>
      </c>
    </row>
    <row r="3704" spans="1:8" ht="14.4" x14ac:dyDescent="0.3">
      <c r="A3704" s="8">
        <v>82188514</v>
      </c>
      <c r="B3704" s="11">
        <v>44844</v>
      </c>
      <c r="C3704" s="13" t="s">
        <v>26</v>
      </c>
      <c r="D3704" s="13" t="s">
        <v>4921</v>
      </c>
      <c r="E3704" s="8">
        <v>468750</v>
      </c>
      <c r="F3704" s="13" t="s">
        <v>70</v>
      </c>
      <c r="G3704" s="14">
        <v>44847</v>
      </c>
      <c r="H3704" s="13" t="s">
        <v>9</v>
      </c>
    </row>
    <row r="3705" spans="1:8" ht="14.4" x14ac:dyDescent="0.3">
      <c r="A3705" s="8">
        <v>82188515</v>
      </c>
      <c r="B3705" s="11">
        <v>44844</v>
      </c>
      <c r="C3705" s="13" t="s">
        <v>26</v>
      </c>
      <c r="D3705" s="13" t="s">
        <v>4922</v>
      </c>
      <c r="E3705" s="8">
        <v>71741.25</v>
      </c>
      <c r="F3705" s="13" t="s">
        <v>70</v>
      </c>
      <c r="G3705" s="14">
        <v>44847</v>
      </c>
      <c r="H3705" s="13" t="s">
        <v>9</v>
      </c>
    </row>
    <row r="3706" spans="1:8" ht="14.4" x14ac:dyDescent="0.3">
      <c r="A3706" s="8">
        <v>82188516</v>
      </c>
      <c r="B3706" s="11">
        <v>44844</v>
      </c>
      <c r="C3706" s="13" t="s">
        <v>26</v>
      </c>
      <c r="D3706" s="13" t="s">
        <v>4923</v>
      </c>
      <c r="E3706" s="8">
        <v>14062.5</v>
      </c>
      <c r="F3706" s="13" t="s">
        <v>70</v>
      </c>
      <c r="G3706" s="14">
        <v>44847</v>
      </c>
      <c r="H3706" s="13" t="s">
        <v>9</v>
      </c>
    </row>
    <row r="3707" spans="1:8" ht="14.4" x14ac:dyDescent="0.3">
      <c r="A3707" s="8">
        <v>82188517</v>
      </c>
      <c r="B3707" s="11">
        <v>44844</v>
      </c>
      <c r="C3707" s="13" t="s">
        <v>26</v>
      </c>
      <c r="D3707" s="13" t="s">
        <v>4924</v>
      </c>
      <c r="E3707" s="8">
        <v>75000</v>
      </c>
      <c r="F3707" s="13" t="s">
        <v>70</v>
      </c>
      <c r="G3707" s="14">
        <v>44847</v>
      </c>
      <c r="H3707" s="13" t="s">
        <v>9</v>
      </c>
    </row>
    <row r="3708" spans="1:8" ht="14.4" x14ac:dyDescent="0.3">
      <c r="A3708" s="8">
        <v>82188518</v>
      </c>
      <c r="B3708" s="11">
        <v>44845</v>
      </c>
      <c r="C3708" s="13" t="s">
        <v>154</v>
      </c>
      <c r="D3708" s="13" t="s">
        <v>4925</v>
      </c>
      <c r="E3708" s="8">
        <v>20000</v>
      </c>
      <c r="F3708" s="13" t="s">
        <v>70</v>
      </c>
      <c r="G3708" s="14">
        <v>44846</v>
      </c>
      <c r="H3708" s="13" t="s">
        <v>9</v>
      </c>
    </row>
    <row r="3709" spans="1:8" ht="14.4" x14ac:dyDescent="0.3">
      <c r="A3709" s="8">
        <v>82188519</v>
      </c>
      <c r="B3709" s="11">
        <v>44845</v>
      </c>
      <c r="C3709" s="13" t="s">
        <v>158</v>
      </c>
      <c r="D3709" s="13" t="s">
        <v>4926</v>
      </c>
      <c r="E3709" s="8">
        <v>20000</v>
      </c>
      <c r="F3709" s="13" t="s">
        <v>70</v>
      </c>
      <c r="G3709" s="14">
        <v>44852</v>
      </c>
      <c r="H3709" s="13" t="s">
        <v>9</v>
      </c>
    </row>
    <row r="3710" spans="1:8" ht="14.4" x14ac:dyDescent="0.3">
      <c r="A3710" s="8">
        <v>82188521</v>
      </c>
      <c r="B3710" s="11">
        <v>44845</v>
      </c>
      <c r="C3710" s="13" t="s">
        <v>523</v>
      </c>
      <c r="D3710" s="13" t="s">
        <v>4927</v>
      </c>
      <c r="E3710" s="8">
        <v>1562.32</v>
      </c>
      <c r="F3710" s="13" t="s">
        <v>70</v>
      </c>
      <c r="G3710" s="14">
        <v>44848</v>
      </c>
      <c r="H3710" s="13" t="s">
        <v>9</v>
      </c>
    </row>
    <row r="3711" spans="1:8" ht="14.4" x14ac:dyDescent="0.3">
      <c r="A3711" s="8">
        <v>82188522</v>
      </c>
      <c r="B3711" s="11">
        <v>44845</v>
      </c>
      <c r="C3711" s="13" t="s">
        <v>125</v>
      </c>
      <c r="D3711" s="13" t="s">
        <v>4928</v>
      </c>
      <c r="E3711" s="8">
        <v>50589.2</v>
      </c>
      <c r="F3711" s="13" t="s">
        <v>70</v>
      </c>
      <c r="G3711" s="14">
        <v>44851</v>
      </c>
      <c r="H3711" s="13" t="s">
        <v>9</v>
      </c>
    </row>
    <row r="3712" spans="1:8" ht="14.4" x14ac:dyDescent="0.3">
      <c r="A3712" s="8">
        <v>82188523</v>
      </c>
      <c r="B3712" s="11">
        <v>44845</v>
      </c>
      <c r="C3712" s="13" t="s">
        <v>4929</v>
      </c>
      <c r="D3712" s="13" t="s">
        <v>24</v>
      </c>
      <c r="E3712" s="8">
        <v>1940.88</v>
      </c>
      <c r="F3712" s="13" t="s">
        <v>70</v>
      </c>
      <c r="G3712" s="14">
        <v>44848</v>
      </c>
      <c r="H3712" s="13" t="s">
        <v>9</v>
      </c>
    </row>
    <row r="3713" spans="1:8" ht="14.4" x14ac:dyDescent="0.3">
      <c r="A3713" s="8">
        <v>82188524</v>
      </c>
      <c r="B3713" s="11">
        <v>44845</v>
      </c>
      <c r="C3713" s="13" t="s">
        <v>4930</v>
      </c>
      <c r="D3713" s="13" t="s">
        <v>24</v>
      </c>
      <c r="E3713" s="8">
        <v>304.48</v>
      </c>
      <c r="F3713" s="13" t="s">
        <v>70</v>
      </c>
      <c r="G3713" s="14">
        <v>44848</v>
      </c>
      <c r="H3713" s="13" t="s">
        <v>9</v>
      </c>
    </row>
    <row r="3714" spans="1:8" ht="14.4" x14ac:dyDescent="0.3">
      <c r="A3714" s="8">
        <v>82188525</v>
      </c>
      <c r="B3714" s="11">
        <v>44845</v>
      </c>
      <c r="C3714" s="13" t="s">
        <v>4931</v>
      </c>
      <c r="D3714" s="13" t="s">
        <v>4932</v>
      </c>
      <c r="E3714" s="8">
        <v>406.54</v>
      </c>
      <c r="F3714" s="13" t="s">
        <v>70</v>
      </c>
      <c r="G3714" s="14">
        <v>44874</v>
      </c>
      <c r="H3714" s="13" t="s">
        <v>9</v>
      </c>
    </row>
    <row r="3715" spans="1:8" ht="14.4" x14ac:dyDescent="0.3">
      <c r="A3715" s="8">
        <v>82188526</v>
      </c>
      <c r="B3715" s="11">
        <v>44845</v>
      </c>
      <c r="C3715" s="13" t="s">
        <v>4933</v>
      </c>
      <c r="D3715" s="13" t="s">
        <v>4934</v>
      </c>
      <c r="E3715" s="8">
        <v>564</v>
      </c>
      <c r="F3715" s="13" t="s">
        <v>70</v>
      </c>
      <c r="G3715" s="14">
        <v>44848</v>
      </c>
      <c r="H3715" s="13" t="s">
        <v>9</v>
      </c>
    </row>
    <row r="3716" spans="1:8" ht="14.4" x14ac:dyDescent="0.3">
      <c r="A3716" s="8">
        <v>82188527</v>
      </c>
      <c r="B3716" s="11">
        <v>44845</v>
      </c>
      <c r="C3716" s="13" t="s">
        <v>43</v>
      </c>
      <c r="D3716" s="13" t="s">
        <v>4935</v>
      </c>
      <c r="E3716" s="8">
        <v>14414.11</v>
      </c>
      <c r="F3716" s="13" t="s">
        <v>70</v>
      </c>
      <c r="G3716" s="14">
        <v>44848</v>
      </c>
      <c r="H3716" s="13" t="s">
        <v>9</v>
      </c>
    </row>
    <row r="3717" spans="1:8" ht="14.4" x14ac:dyDescent="0.3">
      <c r="A3717" s="8">
        <v>82188528</v>
      </c>
      <c r="B3717" s="11">
        <v>44845</v>
      </c>
      <c r="C3717" s="13" t="s">
        <v>44</v>
      </c>
      <c r="D3717" s="13" t="s">
        <v>4936</v>
      </c>
      <c r="E3717" s="8">
        <v>73909.789999999994</v>
      </c>
      <c r="F3717" s="13" t="s">
        <v>70</v>
      </c>
      <c r="G3717" s="14">
        <v>44851</v>
      </c>
      <c r="H3717" s="13" t="s">
        <v>9</v>
      </c>
    </row>
    <row r="3718" spans="1:8" ht="14.4" x14ac:dyDescent="0.3">
      <c r="A3718" s="8">
        <v>82188529</v>
      </c>
      <c r="B3718" s="11">
        <v>44845</v>
      </c>
      <c r="C3718" s="13" t="s">
        <v>1507</v>
      </c>
      <c r="D3718" s="13" t="s">
        <v>18</v>
      </c>
      <c r="E3718" s="8">
        <v>11008.8</v>
      </c>
      <c r="F3718" s="13" t="s">
        <v>70</v>
      </c>
      <c r="G3718" s="14">
        <v>44846</v>
      </c>
      <c r="H3718" s="13" t="s">
        <v>9</v>
      </c>
    </row>
    <row r="3719" spans="1:8" ht="14.4" x14ac:dyDescent="0.3">
      <c r="A3719" s="8">
        <v>82188530</v>
      </c>
      <c r="B3719" s="11">
        <v>44845</v>
      </c>
      <c r="C3719" s="13" t="s">
        <v>1514</v>
      </c>
      <c r="D3719" s="13" t="s">
        <v>18</v>
      </c>
      <c r="E3719" s="8">
        <v>20818.13</v>
      </c>
      <c r="F3719" s="13" t="s">
        <v>70</v>
      </c>
      <c r="G3719" s="14">
        <v>44846</v>
      </c>
      <c r="H3719" s="13" t="s">
        <v>9</v>
      </c>
    </row>
    <row r="3720" spans="1:8" ht="14.4" x14ac:dyDescent="0.3">
      <c r="A3720" s="8">
        <v>82188531</v>
      </c>
      <c r="B3720" s="11">
        <v>44845</v>
      </c>
      <c r="C3720" s="13" t="s">
        <v>96</v>
      </c>
      <c r="D3720" s="13" t="s">
        <v>18</v>
      </c>
      <c r="E3720" s="8">
        <v>23508.67</v>
      </c>
      <c r="F3720" s="13" t="s">
        <v>70</v>
      </c>
      <c r="G3720" s="14">
        <v>44848</v>
      </c>
      <c r="H3720" s="13" t="s">
        <v>9</v>
      </c>
    </row>
    <row r="3721" spans="1:8" ht="14.4" x14ac:dyDescent="0.3">
      <c r="A3721" s="8">
        <v>82188532</v>
      </c>
      <c r="B3721" s="11">
        <v>44845</v>
      </c>
      <c r="C3721" s="13" t="s">
        <v>95</v>
      </c>
      <c r="D3721" s="13" t="s">
        <v>18</v>
      </c>
      <c r="E3721" s="8">
        <v>19141.75</v>
      </c>
      <c r="F3721" s="13" t="s">
        <v>70</v>
      </c>
      <c r="G3721" s="14">
        <v>44847</v>
      </c>
      <c r="H3721" s="13" t="s">
        <v>9</v>
      </c>
    </row>
    <row r="3722" spans="1:8" ht="14.4" x14ac:dyDescent="0.3">
      <c r="A3722" s="8">
        <v>82188533</v>
      </c>
      <c r="B3722" s="11">
        <v>44845</v>
      </c>
      <c r="C3722" s="13" t="s">
        <v>1512</v>
      </c>
      <c r="D3722" s="13" t="s">
        <v>18</v>
      </c>
      <c r="E3722" s="8">
        <v>20488.68</v>
      </c>
      <c r="F3722" s="13" t="s">
        <v>70</v>
      </c>
      <c r="G3722" s="14">
        <v>44846</v>
      </c>
      <c r="H3722" s="13" t="s">
        <v>9</v>
      </c>
    </row>
    <row r="3723" spans="1:8" ht="14.4" x14ac:dyDescent="0.3">
      <c r="A3723" s="8">
        <v>82188534</v>
      </c>
      <c r="B3723" s="11">
        <v>44845</v>
      </c>
      <c r="C3723" s="13" t="s">
        <v>1509</v>
      </c>
      <c r="D3723" s="13" t="s">
        <v>18</v>
      </c>
      <c r="E3723" s="8">
        <v>18766.25</v>
      </c>
      <c r="F3723" s="13" t="s">
        <v>70</v>
      </c>
      <c r="G3723" s="14">
        <v>44846</v>
      </c>
      <c r="H3723" s="13" t="s">
        <v>9</v>
      </c>
    </row>
    <row r="3724" spans="1:8" ht="14.4" x14ac:dyDescent="0.3">
      <c r="A3724" s="8">
        <v>82188535</v>
      </c>
      <c r="B3724" s="11">
        <v>44845</v>
      </c>
      <c r="C3724" s="13" t="s">
        <v>1513</v>
      </c>
      <c r="D3724" s="13" t="s">
        <v>18</v>
      </c>
      <c r="E3724" s="8">
        <v>24138.23</v>
      </c>
      <c r="F3724" s="13" t="s">
        <v>70</v>
      </c>
      <c r="G3724" s="14">
        <v>44847</v>
      </c>
      <c r="H3724" s="13" t="s">
        <v>9</v>
      </c>
    </row>
    <row r="3725" spans="1:8" ht="14.4" x14ac:dyDescent="0.3">
      <c r="A3725" s="8">
        <v>82188537</v>
      </c>
      <c r="B3725" s="11">
        <v>44845</v>
      </c>
      <c r="C3725" s="13" t="s">
        <v>1511</v>
      </c>
      <c r="D3725" s="13" t="s">
        <v>18</v>
      </c>
      <c r="E3725" s="8">
        <v>26956</v>
      </c>
      <c r="F3725" s="13" t="s">
        <v>70</v>
      </c>
      <c r="G3725" s="14">
        <v>44847</v>
      </c>
      <c r="H3725" s="13" t="s">
        <v>9</v>
      </c>
    </row>
    <row r="3726" spans="1:8" ht="14.4" x14ac:dyDescent="0.3">
      <c r="A3726" s="8">
        <v>82188538</v>
      </c>
      <c r="B3726" s="11">
        <v>44845</v>
      </c>
      <c r="C3726" s="13" t="s">
        <v>2480</v>
      </c>
      <c r="D3726" s="13" t="s">
        <v>4937</v>
      </c>
      <c r="E3726" s="8">
        <v>89000</v>
      </c>
      <c r="F3726" s="13" t="s">
        <v>70</v>
      </c>
      <c r="G3726" s="14">
        <v>44846</v>
      </c>
      <c r="H3726" s="13" t="s">
        <v>9</v>
      </c>
    </row>
    <row r="3727" spans="1:8" ht="14.4" x14ac:dyDescent="0.3">
      <c r="A3727" s="8">
        <v>82188539</v>
      </c>
      <c r="B3727" s="11">
        <v>44845</v>
      </c>
      <c r="C3727" s="13" t="s">
        <v>142</v>
      </c>
      <c r="D3727" s="13" t="s">
        <v>4938</v>
      </c>
      <c r="E3727" s="8">
        <v>28000</v>
      </c>
      <c r="F3727" s="13" t="s">
        <v>70</v>
      </c>
      <c r="G3727" s="14">
        <v>44846</v>
      </c>
      <c r="H3727" s="13" t="s">
        <v>9</v>
      </c>
    </row>
    <row r="3728" spans="1:8" ht="14.4" x14ac:dyDescent="0.3">
      <c r="A3728" s="8">
        <v>82188540</v>
      </c>
      <c r="B3728" s="11">
        <v>44845</v>
      </c>
      <c r="C3728" s="13" t="s">
        <v>1932</v>
      </c>
      <c r="D3728" s="13" t="s">
        <v>1089</v>
      </c>
      <c r="E3728" s="8">
        <v>238945.73</v>
      </c>
      <c r="F3728" s="13" t="s">
        <v>70</v>
      </c>
      <c r="G3728" s="14">
        <v>44847</v>
      </c>
      <c r="H3728" s="13" t="s">
        <v>9</v>
      </c>
    </row>
    <row r="3729" spans="1:8" ht="14.4" x14ac:dyDescent="0.3">
      <c r="A3729" s="8">
        <v>82188541</v>
      </c>
      <c r="B3729" s="11">
        <v>44845</v>
      </c>
      <c r="C3729" s="13" t="s">
        <v>180</v>
      </c>
      <c r="D3729" s="13" t="s">
        <v>33</v>
      </c>
      <c r="E3729" s="8">
        <v>127931.31</v>
      </c>
      <c r="F3729" s="13" t="s">
        <v>70</v>
      </c>
      <c r="G3729" s="14">
        <v>44845</v>
      </c>
      <c r="H3729" s="13" t="s">
        <v>9</v>
      </c>
    </row>
    <row r="3730" spans="1:8" ht="14.4" x14ac:dyDescent="0.3">
      <c r="A3730" s="8">
        <v>82188544</v>
      </c>
      <c r="B3730" s="11">
        <v>44847</v>
      </c>
      <c r="C3730" s="13" t="s">
        <v>492</v>
      </c>
      <c r="D3730" s="13" t="s">
        <v>4939</v>
      </c>
      <c r="E3730" s="8">
        <v>32268.400000000001</v>
      </c>
      <c r="F3730" s="13" t="s">
        <v>70</v>
      </c>
      <c r="G3730" s="14">
        <v>44852</v>
      </c>
      <c r="H3730" s="13" t="s">
        <v>9</v>
      </c>
    </row>
    <row r="3731" spans="1:8" ht="14.4" x14ac:dyDescent="0.3">
      <c r="A3731" s="8">
        <v>82188545</v>
      </c>
      <c r="B3731" s="11">
        <v>44847</v>
      </c>
      <c r="C3731" s="13" t="s">
        <v>363</v>
      </c>
      <c r="D3731" s="13" t="s">
        <v>4940</v>
      </c>
      <c r="E3731" s="8">
        <v>36513.800000000003</v>
      </c>
      <c r="F3731" s="13" t="s">
        <v>70</v>
      </c>
      <c r="G3731" s="14">
        <v>44851</v>
      </c>
      <c r="H3731" s="13" t="s">
        <v>9</v>
      </c>
    </row>
    <row r="3732" spans="1:8" ht="14.4" x14ac:dyDescent="0.3">
      <c r="A3732" s="8">
        <v>82188546</v>
      </c>
      <c r="B3732" s="11">
        <v>44847</v>
      </c>
      <c r="C3732" s="13" t="s">
        <v>265</v>
      </c>
      <c r="D3732" s="13" t="s">
        <v>4941</v>
      </c>
      <c r="E3732" s="8">
        <v>33410</v>
      </c>
      <c r="F3732" s="13" t="s">
        <v>70</v>
      </c>
      <c r="G3732" s="14">
        <v>44848</v>
      </c>
      <c r="H3732" s="13" t="s">
        <v>9</v>
      </c>
    </row>
    <row r="3733" spans="1:8" ht="14.4" x14ac:dyDescent="0.3">
      <c r="A3733" s="8">
        <v>82188547</v>
      </c>
      <c r="B3733" s="11">
        <v>44847</v>
      </c>
      <c r="C3733" s="13" t="s">
        <v>265</v>
      </c>
      <c r="D3733" s="13" t="s">
        <v>4942</v>
      </c>
      <c r="E3733" s="8">
        <v>34924.5</v>
      </c>
      <c r="F3733" s="13" t="s">
        <v>70</v>
      </c>
      <c r="G3733" s="14">
        <v>44848</v>
      </c>
      <c r="H3733" s="13" t="s">
        <v>9</v>
      </c>
    </row>
    <row r="3734" spans="1:8" ht="14.4" x14ac:dyDescent="0.3">
      <c r="A3734" s="8">
        <v>82188548</v>
      </c>
      <c r="B3734" s="11">
        <v>44847</v>
      </c>
      <c r="C3734" s="13" t="s">
        <v>153</v>
      </c>
      <c r="D3734" s="13" t="s">
        <v>4943</v>
      </c>
      <c r="E3734" s="8">
        <v>64399.5</v>
      </c>
      <c r="F3734" s="13" t="s">
        <v>70</v>
      </c>
      <c r="G3734" s="14">
        <v>44851</v>
      </c>
      <c r="H3734" s="13" t="s">
        <v>9</v>
      </c>
    </row>
    <row r="3735" spans="1:8" ht="14.4" x14ac:dyDescent="0.3">
      <c r="A3735" s="8">
        <v>82188549</v>
      </c>
      <c r="B3735" s="11">
        <v>44847</v>
      </c>
      <c r="C3735" s="13" t="s">
        <v>523</v>
      </c>
      <c r="D3735" s="13" t="s">
        <v>4944</v>
      </c>
      <c r="E3735" s="8">
        <v>74724.600000000006</v>
      </c>
      <c r="F3735" s="13" t="s">
        <v>70</v>
      </c>
      <c r="G3735" s="14">
        <v>44853</v>
      </c>
      <c r="H3735" s="13" t="s">
        <v>9</v>
      </c>
    </row>
    <row r="3736" spans="1:8" ht="14.4" x14ac:dyDescent="0.3">
      <c r="A3736" s="8">
        <v>82188550</v>
      </c>
      <c r="B3736" s="11">
        <v>44847</v>
      </c>
      <c r="C3736" s="13" t="s">
        <v>279</v>
      </c>
      <c r="D3736" s="13" t="s">
        <v>4945</v>
      </c>
      <c r="E3736" s="8">
        <v>29588</v>
      </c>
      <c r="F3736" s="13" t="s">
        <v>70</v>
      </c>
      <c r="G3736" s="14">
        <v>44851</v>
      </c>
      <c r="H3736" s="13" t="s">
        <v>9</v>
      </c>
    </row>
    <row r="3737" spans="1:8" ht="14.4" x14ac:dyDescent="0.3">
      <c r="A3737" s="8">
        <v>82188551</v>
      </c>
      <c r="B3737" s="11">
        <v>44847</v>
      </c>
      <c r="C3737" s="13" t="s">
        <v>3725</v>
      </c>
      <c r="D3737" s="13" t="s">
        <v>4946</v>
      </c>
      <c r="E3737" s="8">
        <v>63000</v>
      </c>
      <c r="F3737" s="13" t="s">
        <v>70</v>
      </c>
      <c r="G3737" s="14">
        <v>44847</v>
      </c>
      <c r="H3737" s="13" t="s">
        <v>9</v>
      </c>
    </row>
    <row r="3738" spans="1:8" ht="14.4" x14ac:dyDescent="0.3">
      <c r="A3738" s="8">
        <v>82188552</v>
      </c>
      <c r="B3738" s="11">
        <v>44847</v>
      </c>
      <c r="C3738" s="13" t="s">
        <v>4947</v>
      </c>
      <c r="D3738" s="13" t="s">
        <v>4948</v>
      </c>
      <c r="E3738" s="8">
        <v>157152.85</v>
      </c>
      <c r="F3738" s="13" t="s">
        <v>70</v>
      </c>
      <c r="G3738" s="14">
        <v>44851</v>
      </c>
      <c r="H3738" s="13" t="s">
        <v>9</v>
      </c>
    </row>
    <row r="3739" spans="1:8" ht="14.4" x14ac:dyDescent="0.3">
      <c r="A3739" s="8">
        <v>82188553</v>
      </c>
      <c r="B3739" s="11">
        <v>44847</v>
      </c>
      <c r="C3739" s="13" t="s">
        <v>159</v>
      </c>
      <c r="D3739" s="13" t="s">
        <v>4949</v>
      </c>
      <c r="E3739" s="8">
        <v>316800</v>
      </c>
      <c r="F3739" s="13" t="s">
        <v>70</v>
      </c>
      <c r="G3739" s="14">
        <v>44847</v>
      </c>
      <c r="H3739" s="13" t="s">
        <v>9</v>
      </c>
    </row>
    <row r="3740" spans="1:8" ht="14.4" x14ac:dyDescent="0.3">
      <c r="A3740" s="8">
        <v>82188554</v>
      </c>
      <c r="B3740" s="11">
        <v>44847</v>
      </c>
      <c r="C3740" s="13" t="s">
        <v>188</v>
      </c>
      <c r="D3740" s="13" t="s">
        <v>4950</v>
      </c>
      <c r="E3740" s="8">
        <v>100040</v>
      </c>
      <c r="F3740" s="13" t="s">
        <v>70</v>
      </c>
      <c r="G3740" s="14">
        <v>44848</v>
      </c>
      <c r="H3740" s="13" t="s">
        <v>9</v>
      </c>
    </row>
    <row r="3741" spans="1:8" ht="14.4" x14ac:dyDescent="0.3">
      <c r="A3741" s="8">
        <v>82188555</v>
      </c>
      <c r="B3741" s="11">
        <v>44847</v>
      </c>
      <c r="C3741" s="13" t="s">
        <v>4951</v>
      </c>
      <c r="D3741" s="13" t="s">
        <v>4952</v>
      </c>
      <c r="E3741" s="8">
        <v>21644</v>
      </c>
      <c r="F3741" s="13" t="s">
        <v>70</v>
      </c>
      <c r="G3741" s="14">
        <v>44847</v>
      </c>
      <c r="H3741" s="13" t="s">
        <v>9</v>
      </c>
    </row>
    <row r="3742" spans="1:8" ht="14.4" x14ac:dyDescent="0.3">
      <c r="A3742" s="8">
        <v>82188556</v>
      </c>
      <c r="B3742" s="11">
        <v>44847</v>
      </c>
      <c r="C3742" s="13" t="s">
        <v>4953</v>
      </c>
      <c r="D3742" s="13" t="s">
        <v>4954</v>
      </c>
      <c r="E3742" s="8">
        <v>28295.53</v>
      </c>
      <c r="F3742" s="13" t="s">
        <v>70</v>
      </c>
      <c r="G3742" s="14">
        <v>44848</v>
      </c>
      <c r="H3742" s="13" t="s">
        <v>9</v>
      </c>
    </row>
    <row r="3743" spans="1:8" ht="14.4" x14ac:dyDescent="0.3">
      <c r="A3743" s="8">
        <v>82188559</v>
      </c>
      <c r="B3743" s="11">
        <v>44847</v>
      </c>
      <c r="C3743" s="13" t="s">
        <v>4955</v>
      </c>
      <c r="D3743" s="13" t="s">
        <v>4956</v>
      </c>
      <c r="E3743" s="8">
        <v>990</v>
      </c>
      <c r="F3743" s="13" t="s">
        <v>70</v>
      </c>
      <c r="G3743" s="14">
        <v>44852</v>
      </c>
      <c r="H3743" s="13" t="s">
        <v>9</v>
      </c>
    </row>
    <row r="3744" spans="1:8" ht="14.4" x14ac:dyDescent="0.3">
      <c r="A3744" s="8">
        <v>82188560</v>
      </c>
      <c r="B3744" s="11">
        <v>44847</v>
      </c>
      <c r="C3744" s="13" t="s">
        <v>4955</v>
      </c>
      <c r="D3744" s="13" t="s">
        <v>4957</v>
      </c>
      <c r="E3744" s="8">
        <v>4125.75</v>
      </c>
      <c r="F3744" s="13" t="s">
        <v>70</v>
      </c>
      <c r="G3744" s="14">
        <v>44852</v>
      </c>
      <c r="H3744" s="13" t="s">
        <v>9</v>
      </c>
    </row>
    <row r="3745" spans="1:8" ht="14.4" x14ac:dyDescent="0.3">
      <c r="A3745" s="8">
        <v>82188561</v>
      </c>
      <c r="B3745" s="11">
        <v>44847</v>
      </c>
      <c r="C3745" s="13" t="s">
        <v>4958</v>
      </c>
      <c r="D3745" s="13" t="s">
        <v>4959</v>
      </c>
      <c r="E3745" s="8">
        <v>50000</v>
      </c>
      <c r="F3745" s="13" t="s">
        <v>70</v>
      </c>
      <c r="G3745" s="14">
        <v>44848</v>
      </c>
      <c r="H3745" s="13" t="s">
        <v>9</v>
      </c>
    </row>
    <row r="3746" spans="1:8" ht="14.4" x14ac:dyDescent="0.3">
      <c r="A3746" s="8">
        <v>82188562</v>
      </c>
      <c r="B3746" s="11">
        <v>44847</v>
      </c>
      <c r="C3746" s="13" t="s">
        <v>4960</v>
      </c>
      <c r="D3746" s="13" t="s">
        <v>4961</v>
      </c>
      <c r="E3746" s="8">
        <v>6076.75</v>
      </c>
      <c r="F3746" s="13" t="s">
        <v>70</v>
      </c>
      <c r="G3746" s="14">
        <v>44852</v>
      </c>
      <c r="H3746" s="13" t="s">
        <v>9</v>
      </c>
    </row>
    <row r="3747" spans="1:8" ht="14.4" x14ac:dyDescent="0.3">
      <c r="A3747" s="8">
        <v>82188563</v>
      </c>
      <c r="B3747" s="11">
        <v>44847</v>
      </c>
      <c r="C3747" s="13" t="s">
        <v>232</v>
      </c>
      <c r="D3747" s="13" t="s">
        <v>4962</v>
      </c>
      <c r="E3747" s="8">
        <v>12000</v>
      </c>
      <c r="F3747" s="13" t="s">
        <v>70</v>
      </c>
      <c r="G3747" s="14">
        <v>44851</v>
      </c>
      <c r="H3747" s="13" t="s">
        <v>9</v>
      </c>
    </row>
    <row r="3748" spans="1:8" ht="14.4" x14ac:dyDescent="0.3">
      <c r="A3748" s="8">
        <v>82188564</v>
      </c>
      <c r="B3748" s="11">
        <v>44847</v>
      </c>
      <c r="C3748" s="13" t="s">
        <v>124</v>
      </c>
      <c r="D3748" s="13" t="s">
        <v>4963</v>
      </c>
      <c r="E3748" s="8">
        <v>8790.7000000000007</v>
      </c>
      <c r="F3748" s="13" t="s">
        <v>70</v>
      </c>
      <c r="G3748" s="14">
        <v>44872</v>
      </c>
      <c r="H3748" s="13" t="s">
        <v>9</v>
      </c>
    </row>
    <row r="3749" spans="1:8" ht="14.4" x14ac:dyDescent="0.3">
      <c r="A3749" s="8">
        <v>82188565</v>
      </c>
      <c r="B3749" s="11">
        <v>44847</v>
      </c>
      <c r="C3749" s="13" t="s">
        <v>4964</v>
      </c>
      <c r="D3749" s="13" t="s">
        <v>4965</v>
      </c>
      <c r="E3749" s="8">
        <v>4.3600000000000003</v>
      </c>
      <c r="F3749" s="13" t="s">
        <v>70</v>
      </c>
      <c r="G3749" s="14">
        <v>44848</v>
      </c>
      <c r="H3749" s="13" t="s">
        <v>9</v>
      </c>
    </row>
    <row r="3750" spans="1:8" ht="14.4" x14ac:dyDescent="0.3">
      <c r="A3750" s="8">
        <v>82188566</v>
      </c>
      <c r="B3750" s="11">
        <v>44847</v>
      </c>
      <c r="C3750" s="13" t="s">
        <v>4966</v>
      </c>
      <c r="D3750" s="13" t="s">
        <v>4967</v>
      </c>
      <c r="E3750" s="8">
        <v>14000</v>
      </c>
      <c r="F3750" s="13" t="s">
        <v>70</v>
      </c>
      <c r="G3750" s="14">
        <v>44848</v>
      </c>
      <c r="H3750" s="13" t="s">
        <v>9</v>
      </c>
    </row>
    <row r="3751" spans="1:8" ht="14.4" x14ac:dyDescent="0.3">
      <c r="A3751" s="8">
        <v>82188567</v>
      </c>
      <c r="B3751" s="11">
        <v>44847</v>
      </c>
      <c r="C3751" s="13" t="s">
        <v>255</v>
      </c>
      <c r="D3751" s="13" t="s">
        <v>61</v>
      </c>
      <c r="E3751" s="8">
        <v>24985.72</v>
      </c>
      <c r="F3751" s="13" t="s">
        <v>70</v>
      </c>
      <c r="G3751" s="14">
        <v>44851</v>
      </c>
      <c r="H3751" s="13" t="s">
        <v>9</v>
      </c>
    </row>
    <row r="3752" spans="1:8" ht="14.4" x14ac:dyDescent="0.3">
      <c r="A3752" s="8">
        <v>82188568</v>
      </c>
      <c r="B3752" s="11">
        <v>44847</v>
      </c>
      <c r="C3752" s="13" t="s">
        <v>202</v>
      </c>
      <c r="D3752" s="13" t="s">
        <v>4968</v>
      </c>
      <c r="E3752" s="8">
        <v>104758.26</v>
      </c>
      <c r="F3752" s="13" t="s">
        <v>70</v>
      </c>
      <c r="G3752" s="14">
        <v>44851</v>
      </c>
      <c r="H3752" s="13" t="s">
        <v>9</v>
      </c>
    </row>
    <row r="3753" spans="1:8" ht="14.4" x14ac:dyDescent="0.3">
      <c r="A3753" s="8">
        <v>82188569</v>
      </c>
      <c r="B3753" s="11">
        <v>44847</v>
      </c>
      <c r="C3753" s="13" t="s">
        <v>3203</v>
      </c>
      <c r="D3753" s="13" t="s">
        <v>4969</v>
      </c>
      <c r="E3753" s="8">
        <v>329299.78999999998</v>
      </c>
      <c r="F3753" s="13" t="s">
        <v>70</v>
      </c>
      <c r="G3753" s="14">
        <v>44851</v>
      </c>
      <c r="H3753" s="13" t="s">
        <v>9</v>
      </c>
    </row>
    <row r="3754" spans="1:8" ht="14.4" x14ac:dyDescent="0.3">
      <c r="A3754" s="8">
        <v>82188570</v>
      </c>
      <c r="B3754" s="11">
        <v>44847</v>
      </c>
      <c r="C3754" s="13" t="s">
        <v>202</v>
      </c>
      <c r="D3754" s="13" t="s">
        <v>4970</v>
      </c>
      <c r="E3754" s="8">
        <v>842398.97</v>
      </c>
      <c r="F3754" s="13" t="s">
        <v>70</v>
      </c>
      <c r="G3754" s="14">
        <v>44851</v>
      </c>
      <c r="H3754" s="13" t="s">
        <v>9</v>
      </c>
    </row>
    <row r="3755" spans="1:8" ht="14.4" x14ac:dyDescent="0.3">
      <c r="A3755" s="8">
        <v>82188571</v>
      </c>
      <c r="B3755" s="11">
        <v>44848</v>
      </c>
      <c r="C3755" s="13" t="s">
        <v>339</v>
      </c>
      <c r="D3755" s="13" t="s">
        <v>4971</v>
      </c>
      <c r="E3755" s="8">
        <v>5000</v>
      </c>
      <c r="F3755" s="13" t="s">
        <v>70</v>
      </c>
      <c r="G3755" s="14">
        <v>44852</v>
      </c>
      <c r="H3755" s="13" t="s">
        <v>9</v>
      </c>
    </row>
    <row r="3756" spans="1:8" ht="14.4" x14ac:dyDescent="0.3">
      <c r="A3756" s="8">
        <v>82188572</v>
      </c>
      <c r="B3756" s="11">
        <v>44848</v>
      </c>
      <c r="C3756" s="13" t="s">
        <v>340</v>
      </c>
      <c r="D3756" s="13" t="s">
        <v>4971</v>
      </c>
      <c r="E3756" s="8">
        <v>5000</v>
      </c>
      <c r="F3756" s="13" t="s">
        <v>70</v>
      </c>
      <c r="G3756" s="14">
        <v>44852</v>
      </c>
      <c r="H3756" s="13" t="s">
        <v>9</v>
      </c>
    </row>
    <row r="3757" spans="1:8" ht="14.4" x14ac:dyDescent="0.3">
      <c r="A3757" s="8">
        <v>82188573</v>
      </c>
      <c r="B3757" s="11">
        <v>44848</v>
      </c>
      <c r="C3757" s="13" t="s">
        <v>2365</v>
      </c>
      <c r="D3757" s="13" t="s">
        <v>4971</v>
      </c>
      <c r="E3757" s="8">
        <v>5000</v>
      </c>
      <c r="F3757" s="13" t="s">
        <v>70</v>
      </c>
      <c r="G3757" s="14">
        <v>44852</v>
      </c>
      <c r="H3757" s="13" t="s">
        <v>9</v>
      </c>
    </row>
    <row r="3758" spans="1:8" ht="14.4" x14ac:dyDescent="0.3">
      <c r="A3758" s="8">
        <v>82188574</v>
      </c>
      <c r="B3758" s="11">
        <v>44848</v>
      </c>
      <c r="C3758" s="13" t="s">
        <v>342</v>
      </c>
      <c r="D3758" s="13" t="s">
        <v>4971</v>
      </c>
      <c r="E3758" s="8">
        <v>3000</v>
      </c>
      <c r="F3758" s="13" t="s">
        <v>70</v>
      </c>
      <c r="G3758" s="14">
        <v>44852</v>
      </c>
      <c r="H3758" s="13" t="s">
        <v>9</v>
      </c>
    </row>
    <row r="3759" spans="1:8" ht="14.4" x14ac:dyDescent="0.3">
      <c r="A3759" s="8">
        <v>82188575</v>
      </c>
      <c r="B3759" s="11">
        <v>44848</v>
      </c>
      <c r="C3759" s="13" t="s">
        <v>344</v>
      </c>
      <c r="D3759" s="13" t="s">
        <v>4971</v>
      </c>
      <c r="E3759" s="8">
        <v>3000</v>
      </c>
      <c r="F3759" s="13" t="s">
        <v>70</v>
      </c>
      <c r="G3759" s="14">
        <v>44852</v>
      </c>
      <c r="H3759" s="13" t="s">
        <v>9</v>
      </c>
    </row>
    <row r="3760" spans="1:8" ht="14.4" x14ac:dyDescent="0.3">
      <c r="A3760" s="8">
        <v>82188576</v>
      </c>
      <c r="B3760" s="11">
        <v>44848</v>
      </c>
      <c r="C3760" s="13" t="s">
        <v>4972</v>
      </c>
      <c r="D3760" s="13" t="s">
        <v>4973</v>
      </c>
      <c r="E3760" s="8">
        <v>20000</v>
      </c>
      <c r="F3760" s="13" t="s">
        <v>70</v>
      </c>
      <c r="G3760" s="14">
        <v>44852</v>
      </c>
      <c r="H3760" s="13" t="s">
        <v>9</v>
      </c>
    </row>
    <row r="3761" spans="1:8" ht="14.4" x14ac:dyDescent="0.3">
      <c r="A3761" s="8">
        <v>82188577</v>
      </c>
      <c r="B3761" s="11">
        <v>44848</v>
      </c>
      <c r="C3761" s="13" t="s">
        <v>350</v>
      </c>
      <c r="D3761" s="13" t="s">
        <v>4973</v>
      </c>
      <c r="E3761" s="8">
        <v>10000</v>
      </c>
      <c r="F3761" s="13" t="s">
        <v>70</v>
      </c>
      <c r="G3761" s="14">
        <v>44852</v>
      </c>
      <c r="H3761" s="13" t="s">
        <v>9</v>
      </c>
    </row>
    <row r="3762" spans="1:8" ht="14.4" x14ac:dyDescent="0.3">
      <c r="A3762" s="8">
        <v>82188578</v>
      </c>
      <c r="B3762" s="11">
        <v>44848</v>
      </c>
      <c r="C3762" s="13" t="s">
        <v>82</v>
      </c>
      <c r="D3762" s="13" t="s">
        <v>4973</v>
      </c>
      <c r="E3762" s="8">
        <v>5000</v>
      </c>
      <c r="F3762" s="13" t="s">
        <v>70</v>
      </c>
      <c r="G3762" s="14">
        <v>44852</v>
      </c>
      <c r="H3762" s="13" t="s">
        <v>9</v>
      </c>
    </row>
    <row r="3763" spans="1:8" ht="14.4" x14ac:dyDescent="0.3">
      <c r="A3763" s="8">
        <v>82188579</v>
      </c>
      <c r="B3763" s="11">
        <v>44848</v>
      </c>
      <c r="C3763" s="13" t="s">
        <v>356</v>
      </c>
      <c r="D3763" s="13" t="s">
        <v>4973</v>
      </c>
      <c r="E3763" s="8">
        <v>3000</v>
      </c>
      <c r="F3763" s="13" t="s">
        <v>70</v>
      </c>
      <c r="G3763" s="14">
        <v>44852</v>
      </c>
      <c r="H3763" s="13" t="s">
        <v>9</v>
      </c>
    </row>
    <row r="3764" spans="1:8" ht="14.4" x14ac:dyDescent="0.3">
      <c r="A3764" s="8">
        <v>82188580</v>
      </c>
      <c r="B3764" s="11">
        <v>44848</v>
      </c>
      <c r="C3764" s="13" t="s">
        <v>330</v>
      </c>
      <c r="D3764" s="13" t="s">
        <v>4973</v>
      </c>
      <c r="E3764" s="8">
        <v>20000</v>
      </c>
      <c r="F3764" s="13" t="s">
        <v>70</v>
      </c>
      <c r="G3764" s="14">
        <v>44851</v>
      </c>
      <c r="H3764" s="13" t="s">
        <v>9</v>
      </c>
    </row>
    <row r="3765" spans="1:8" ht="14.4" x14ac:dyDescent="0.3">
      <c r="A3765" s="8">
        <v>82188581</v>
      </c>
      <c r="B3765" s="11">
        <v>44848</v>
      </c>
      <c r="C3765" s="13" t="s">
        <v>332</v>
      </c>
      <c r="D3765" s="13" t="s">
        <v>4973</v>
      </c>
      <c r="E3765" s="8">
        <v>5000</v>
      </c>
      <c r="F3765" s="13" t="s">
        <v>70</v>
      </c>
      <c r="G3765" s="14">
        <v>44851</v>
      </c>
      <c r="H3765" s="13" t="s">
        <v>9</v>
      </c>
    </row>
    <row r="3766" spans="1:8" ht="14.4" x14ac:dyDescent="0.3">
      <c r="A3766" s="8">
        <v>82188582</v>
      </c>
      <c r="B3766" s="11">
        <v>44848</v>
      </c>
      <c r="C3766" s="13" t="s">
        <v>333</v>
      </c>
      <c r="D3766" s="13" t="s">
        <v>4973</v>
      </c>
      <c r="E3766" s="8">
        <v>3000</v>
      </c>
      <c r="F3766" s="13" t="s">
        <v>70</v>
      </c>
      <c r="G3766" s="14">
        <v>44851</v>
      </c>
      <c r="H3766" s="13" t="s">
        <v>9</v>
      </c>
    </row>
    <row r="3767" spans="1:8" ht="14.4" x14ac:dyDescent="0.3">
      <c r="A3767" s="8">
        <v>82188583</v>
      </c>
      <c r="B3767" s="11">
        <v>44848</v>
      </c>
      <c r="C3767" s="13" t="s">
        <v>331</v>
      </c>
      <c r="D3767" s="13" t="s">
        <v>4973</v>
      </c>
      <c r="E3767" s="8">
        <v>10000</v>
      </c>
      <c r="F3767" s="13" t="s">
        <v>70</v>
      </c>
      <c r="G3767" s="14">
        <v>44851</v>
      </c>
      <c r="H3767" s="13" t="s">
        <v>9</v>
      </c>
    </row>
    <row r="3768" spans="1:8" ht="14.4" x14ac:dyDescent="0.3">
      <c r="A3768" s="8">
        <v>82188584</v>
      </c>
      <c r="B3768" s="11">
        <v>44848</v>
      </c>
      <c r="C3768" s="13" t="s">
        <v>789</v>
      </c>
      <c r="D3768" s="13" t="s">
        <v>21</v>
      </c>
      <c r="E3768" s="8">
        <v>6000</v>
      </c>
      <c r="F3768" s="13" t="s">
        <v>70</v>
      </c>
      <c r="G3768" s="14">
        <v>44861</v>
      </c>
      <c r="H3768" s="13" t="s">
        <v>9</v>
      </c>
    </row>
    <row r="3769" spans="1:8" ht="14.4" x14ac:dyDescent="0.3">
      <c r="A3769" s="8">
        <v>82188585</v>
      </c>
      <c r="B3769" s="11">
        <v>44848</v>
      </c>
      <c r="C3769" s="13" t="s">
        <v>79</v>
      </c>
      <c r="D3769" s="13" t="s">
        <v>4973</v>
      </c>
      <c r="E3769" s="8">
        <v>20000</v>
      </c>
      <c r="F3769" s="13" t="s">
        <v>70</v>
      </c>
      <c r="G3769" s="14">
        <v>44854</v>
      </c>
      <c r="H3769" s="13" t="s">
        <v>9</v>
      </c>
    </row>
    <row r="3770" spans="1:8" ht="14.4" x14ac:dyDescent="0.3">
      <c r="A3770" s="8">
        <v>82188586</v>
      </c>
      <c r="B3770" s="11">
        <v>44848</v>
      </c>
      <c r="C3770" s="13" t="s">
        <v>80</v>
      </c>
      <c r="D3770" s="13" t="s">
        <v>4973</v>
      </c>
      <c r="E3770" s="8">
        <v>10000</v>
      </c>
      <c r="F3770" s="13" t="s">
        <v>70</v>
      </c>
      <c r="G3770" s="14">
        <v>44854</v>
      </c>
      <c r="H3770" s="13" t="s">
        <v>9</v>
      </c>
    </row>
    <row r="3771" spans="1:8" ht="14.4" x14ac:dyDescent="0.3">
      <c r="A3771" s="8">
        <v>82188587</v>
      </c>
      <c r="B3771" s="11">
        <v>44848</v>
      </c>
      <c r="C3771" s="13" t="s">
        <v>81</v>
      </c>
      <c r="D3771" s="13" t="s">
        <v>4973</v>
      </c>
      <c r="E3771" s="8">
        <v>3000</v>
      </c>
      <c r="F3771" s="13" t="s">
        <v>70</v>
      </c>
      <c r="G3771" s="14">
        <v>44854</v>
      </c>
      <c r="H3771" s="13" t="s">
        <v>9</v>
      </c>
    </row>
    <row r="3772" spans="1:8" ht="14.4" x14ac:dyDescent="0.3">
      <c r="A3772" s="8">
        <v>82188588</v>
      </c>
      <c r="B3772" s="11">
        <v>44848</v>
      </c>
      <c r="C3772" s="13" t="s">
        <v>2445</v>
      </c>
      <c r="D3772" s="13" t="s">
        <v>4973</v>
      </c>
      <c r="E3772" s="8">
        <v>20000</v>
      </c>
      <c r="F3772" s="13" t="s">
        <v>70</v>
      </c>
      <c r="G3772" s="14">
        <v>44852</v>
      </c>
      <c r="H3772" s="13" t="s">
        <v>9</v>
      </c>
    </row>
    <row r="3773" spans="1:8" ht="14.4" x14ac:dyDescent="0.3">
      <c r="A3773" s="8">
        <v>82188589</v>
      </c>
      <c r="B3773" s="11">
        <v>44848</v>
      </c>
      <c r="C3773" s="13" t="s">
        <v>2449</v>
      </c>
      <c r="D3773" s="13" t="s">
        <v>4973</v>
      </c>
      <c r="E3773" s="8">
        <v>10000</v>
      </c>
      <c r="F3773" s="13" t="s">
        <v>70</v>
      </c>
      <c r="G3773" s="14">
        <v>44852</v>
      </c>
      <c r="H3773" s="13" t="s">
        <v>9</v>
      </c>
    </row>
    <row r="3774" spans="1:8" ht="14.4" x14ac:dyDescent="0.3">
      <c r="A3774" s="8">
        <v>82188590</v>
      </c>
      <c r="B3774" s="11">
        <v>44848</v>
      </c>
      <c r="C3774" s="13" t="s">
        <v>398</v>
      </c>
      <c r="D3774" s="13" t="s">
        <v>4973</v>
      </c>
      <c r="E3774" s="8">
        <v>3000</v>
      </c>
      <c r="F3774" s="13" t="s">
        <v>70</v>
      </c>
      <c r="G3774" s="14">
        <v>44852</v>
      </c>
      <c r="H3774" s="13" t="s">
        <v>9</v>
      </c>
    </row>
    <row r="3775" spans="1:8" ht="14.4" x14ac:dyDescent="0.3">
      <c r="A3775" s="8">
        <v>82188591</v>
      </c>
      <c r="B3775" s="11">
        <v>44848</v>
      </c>
      <c r="C3775" s="13" t="s">
        <v>2358</v>
      </c>
      <c r="D3775" s="13" t="s">
        <v>4973</v>
      </c>
      <c r="E3775" s="8">
        <v>10000</v>
      </c>
      <c r="F3775" s="13" t="s">
        <v>70</v>
      </c>
      <c r="G3775" s="14">
        <v>44851</v>
      </c>
      <c r="H3775" s="13" t="s">
        <v>9</v>
      </c>
    </row>
    <row r="3776" spans="1:8" ht="14.4" x14ac:dyDescent="0.3">
      <c r="A3776" s="8">
        <v>82188592</v>
      </c>
      <c r="B3776" s="11">
        <v>44848</v>
      </c>
      <c r="C3776" s="13" t="s">
        <v>2359</v>
      </c>
      <c r="D3776" s="13" t="s">
        <v>4973</v>
      </c>
      <c r="E3776" s="8">
        <v>10000</v>
      </c>
      <c r="F3776" s="13" t="s">
        <v>70</v>
      </c>
      <c r="G3776" s="14">
        <v>44852</v>
      </c>
      <c r="H3776" s="13" t="s">
        <v>9</v>
      </c>
    </row>
    <row r="3777" spans="1:8" ht="14.4" x14ac:dyDescent="0.3">
      <c r="A3777" s="8">
        <v>82188593</v>
      </c>
      <c r="B3777" s="11">
        <v>44848</v>
      </c>
      <c r="C3777" s="13" t="s">
        <v>97</v>
      </c>
      <c r="D3777" s="13" t="s">
        <v>4973</v>
      </c>
      <c r="E3777" s="8">
        <v>5000</v>
      </c>
      <c r="F3777" s="13" t="s">
        <v>70</v>
      </c>
      <c r="G3777" s="14">
        <v>44859</v>
      </c>
      <c r="H3777" s="13" t="s">
        <v>9</v>
      </c>
    </row>
    <row r="3778" spans="1:8" ht="14.4" x14ac:dyDescent="0.3">
      <c r="A3778" s="8">
        <v>82188594</v>
      </c>
      <c r="B3778" s="11">
        <v>44848</v>
      </c>
      <c r="C3778" s="13" t="s">
        <v>4974</v>
      </c>
      <c r="D3778" s="13" t="s">
        <v>4975</v>
      </c>
      <c r="E3778" s="8">
        <v>5000</v>
      </c>
      <c r="F3778" s="13" t="s">
        <v>70</v>
      </c>
      <c r="G3778" s="14">
        <v>44851</v>
      </c>
      <c r="H3778" s="13" t="s">
        <v>9</v>
      </c>
    </row>
    <row r="3779" spans="1:8" ht="14.4" x14ac:dyDescent="0.3">
      <c r="A3779" s="8">
        <v>82188595</v>
      </c>
      <c r="B3779" s="11">
        <v>44848</v>
      </c>
      <c r="C3779" s="13" t="s">
        <v>530</v>
      </c>
      <c r="D3779" s="13" t="s">
        <v>4975</v>
      </c>
      <c r="E3779" s="8">
        <v>3000</v>
      </c>
      <c r="F3779" s="13" t="s">
        <v>70</v>
      </c>
      <c r="G3779" s="14">
        <v>44851</v>
      </c>
      <c r="H3779" s="13" t="s">
        <v>9</v>
      </c>
    </row>
    <row r="3780" spans="1:8" ht="14.4" x14ac:dyDescent="0.3">
      <c r="A3780" s="8">
        <v>82188596</v>
      </c>
      <c r="B3780" s="11">
        <v>44848</v>
      </c>
      <c r="C3780" s="13" t="s">
        <v>390</v>
      </c>
      <c r="D3780" s="13" t="s">
        <v>4976</v>
      </c>
      <c r="E3780" s="8">
        <v>20000</v>
      </c>
      <c r="F3780" s="13" t="s">
        <v>70</v>
      </c>
      <c r="G3780" s="14">
        <v>44851</v>
      </c>
      <c r="H3780" s="13" t="s">
        <v>9</v>
      </c>
    </row>
    <row r="3781" spans="1:8" ht="14.4" x14ac:dyDescent="0.3">
      <c r="A3781" s="8">
        <v>82188597</v>
      </c>
      <c r="B3781" s="11">
        <v>44848</v>
      </c>
      <c r="C3781" s="13" t="s">
        <v>387</v>
      </c>
      <c r="D3781" s="13" t="s">
        <v>4976</v>
      </c>
      <c r="E3781" s="8">
        <v>10000</v>
      </c>
      <c r="F3781" s="13" t="s">
        <v>70</v>
      </c>
      <c r="G3781" s="14">
        <v>44851</v>
      </c>
      <c r="H3781" s="13" t="s">
        <v>9</v>
      </c>
    </row>
    <row r="3782" spans="1:8" ht="14.4" x14ac:dyDescent="0.3">
      <c r="A3782" s="8">
        <v>82188598</v>
      </c>
      <c r="B3782" s="11">
        <v>44848</v>
      </c>
      <c r="C3782" s="13" t="s">
        <v>389</v>
      </c>
      <c r="D3782" s="13" t="s">
        <v>4976</v>
      </c>
      <c r="E3782" s="8">
        <v>5000</v>
      </c>
      <c r="F3782" s="13" t="s">
        <v>70</v>
      </c>
      <c r="G3782" s="14">
        <v>44851</v>
      </c>
      <c r="H3782" s="13" t="s">
        <v>9</v>
      </c>
    </row>
    <row r="3783" spans="1:8" ht="14.4" x14ac:dyDescent="0.3">
      <c r="A3783" s="8">
        <v>82188599</v>
      </c>
      <c r="B3783" s="11">
        <v>44848</v>
      </c>
      <c r="C3783" s="13" t="s">
        <v>2399</v>
      </c>
      <c r="D3783" s="13" t="s">
        <v>4976</v>
      </c>
      <c r="E3783" s="8">
        <v>3000</v>
      </c>
      <c r="F3783" s="13" t="s">
        <v>70</v>
      </c>
      <c r="G3783" s="14">
        <v>44851</v>
      </c>
      <c r="H3783" s="13" t="s">
        <v>9</v>
      </c>
    </row>
    <row r="3784" spans="1:8" ht="14.4" x14ac:dyDescent="0.3">
      <c r="A3784" s="8">
        <v>82188600</v>
      </c>
      <c r="B3784" s="11">
        <v>44848</v>
      </c>
      <c r="C3784" s="13" t="s">
        <v>4977</v>
      </c>
      <c r="D3784" s="13" t="s">
        <v>4973</v>
      </c>
      <c r="E3784" s="8">
        <v>15000</v>
      </c>
      <c r="F3784" s="13" t="s">
        <v>70</v>
      </c>
      <c r="G3784" s="14">
        <v>44853</v>
      </c>
      <c r="H3784" s="13" t="s">
        <v>9</v>
      </c>
    </row>
    <row r="3785" spans="1:8" ht="14.4" x14ac:dyDescent="0.3">
      <c r="A3785" s="8">
        <v>82188601</v>
      </c>
      <c r="B3785" s="11">
        <v>44848</v>
      </c>
      <c r="C3785" s="13" t="s">
        <v>2236</v>
      </c>
      <c r="D3785" s="13" t="s">
        <v>4971</v>
      </c>
      <c r="E3785" s="8">
        <v>10000</v>
      </c>
      <c r="F3785" s="13" t="s">
        <v>70</v>
      </c>
      <c r="G3785" s="14">
        <v>44851</v>
      </c>
      <c r="H3785" s="13" t="s">
        <v>9</v>
      </c>
    </row>
    <row r="3786" spans="1:8" ht="14.4" x14ac:dyDescent="0.3">
      <c r="A3786" s="8">
        <v>82188602</v>
      </c>
      <c r="B3786" s="11">
        <v>44848</v>
      </c>
      <c r="C3786" s="13" t="s">
        <v>4978</v>
      </c>
      <c r="D3786" s="13" t="s">
        <v>4971</v>
      </c>
      <c r="E3786" s="8">
        <v>5000</v>
      </c>
      <c r="F3786" s="13" t="s">
        <v>70</v>
      </c>
      <c r="G3786" s="14">
        <v>44851</v>
      </c>
      <c r="H3786" s="13" t="s">
        <v>9</v>
      </c>
    </row>
    <row r="3787" spans="1:8" ht="14.4" x14ac:dyDescent="0.3">
      <c r="A3787" s="8">
        <v>82188603</v>
      </c>
      <c r="B3787" s="11">
        <v>44848</v>
      </c>
      <c r="C3787" s="13" t="s">
        <v>2178</v>
      </c>
      <c r="D3787" s="13" t="s">
        <v>4971</v>
      </c>
      <c r="E3787" s="8">
        <v>3000</v>
      </c>
      <c r="F3787" s="13" t="s">
        <v>70</v>
      </c>
      <c r="G3787" s="14">
        <v>44851</v>
      </c>
      <c r="H3787" s="13" t="s">
        <v>9</v>
      </c>
    </row>
    <row r="3788" spans="1:8" ht="14.4" x14ac:dyDescent="0.3">
      <c r="A3788" s="8">
        <v>82188604</v>
      </c>
      <c r="B3788" s="11">
        <v>44848</v>
      </c>
      <c r="C3788" s="13" t="s">
        <v>541</v>
      </c>
      <c r="D3788" s="13" t="s">
        <v>4979</v>
      </c>
      <c r="E3788" s="8">
        <v>4500</v>
      </c>
      <c r="F3788" s="13" t="s">
        <v>70</v>
      </c>
      <c r="G3788" s="14">
        <v>44851</v>
      </c>
      <c r="H3788" s="13" t="s">
        <v>9</v>
      </c>
    </row>
    <row r="3789" spans="1:8" ht="14.4" x14ac:dyDescent="0.3">
      <c r="A3789" s="8">
        <v>82188605</v>
      </c>
      <c r="B3789" s="11">
        <v>44848</v>
      </c>
      <c r="C3789" s="13" t="s">
        <v>2183</v>
      </c>
      <c r="D3789" s="13" t="s">
        <v>4979</v>
      </c>
      <c r="E3789" s="8">
        <v>4500</v>
      </c>
      <c r="F3789" s="13" t="s">
        <v>70</v>
      </c>
      <c r="G3789" s="14">
        <v>44851</v>
      </c>
      <c r="H3789" s="13" t="s">
        <v>9</v>
      </c>
    </row>
    <row r="3790" spans="1:8" ht="14.4" x14ac:dyDescent="0.3">
      <c r="A3790" s="8">
        <v>82188606</v>
      </c>
      <c r="B3790" s="11">
        <v>44848</v>
      </c>
      <c r="C3790" s="13" t="s">
        <v>2184</v>
      </c>
      <c r="D3790" s="13" t="s">
        <v>4979</v>
      </c>
      <c r="E3790" s="8">
        <v>4500</v>
      </c>
      <c r="F3790" s="13" t="s">
        <v>70</v>
      </c>
      <c r="G3790" s="14">
        <v>44851</v>
      </c>
      <c r="H3790" s="13" t="s">
        <v>9</v>
      </c>
    </row>
    <row r="3791" spans="1:8" ht="14.4" x14ac:dyDescent="0.3">
      <c r="A3791" s="8">
        <v>82188607</v>
      </c>
      <c r="B3791" s="11">
        <v>44848</v>
      </c>
      <c r="C3791" s="13" t="s">
        <v>2203</v>
      </c>
      <c r="D3791" s="13" t="s">
        <v>4979</v>
      </c>
      <c r="E3791" s="8">
        <v>4500</v>
      </c>
      <c r="F3791" s="13" t="s">
        <v>70</v>
      </c>
      <c r="G3791" s="14">
        <v>44851</v>
      </c>
      <c r="H3791" s="13" t="s">
        <v>9</v>
      </c>
    </row>
    <row r="3792" spans="1:8" ht="14.4" x14ac:dyDescent="0.3">
      <c r="A3792" s="8">
        <v>82188608</v>
      </c>
      <c r="B3792" s="11">
        <v>44848</v>
      </c>
      <c r="C3792" s="13" t="s">
        <v>2221</v>
      </c>
      <c r="D3792" s="13" t="s">
        <v>4973</v>
      </c>
      <c r="E3792" s="8">
        <v>3000</v>
      </c>
      <c r="F3792" s="13" t="s">
        <v>70</v>
      </c>
      <c r="G3792" s="14">
        <v>44852</v>
      </c>
      <c r="H3792" s="13" t="s">
        <v>9</v>
      </c>
    </row>
    <row r="3793" spans="1:8" ht="14.4" x14ac:dyDescent="0.3">
      <c r="A3793" s="8">
        <v>82188609</v>
      </c>
      <c r="B3793" s="11">
        <v>44848</v>
      </c>
      <c r="C3793" s="13" t="s">
        <v>2214</v>
      </c>
      <c r="D3793" s="13" t="s">
        <v>4975</v>
      </c>
      <c r="E3793" s="8">
        <v>20000</v>
      </c>
      <c r="F3793" s="13" t="s">
        <v>70</v>
      </c>
      <c r="G3793" s="14">
        <v>44851</v>
      </c>
      <c r="H3793" s="13" t="s">
        <v>9</v>
      </c>
    </row>
    <row r="3794" spans="1:8" ht="14.4" x14ac:dyDescent="0.3">
      <c r="A3794" s="8">
        <v>82188610</v>
      </c>
      <c r="B3794" s="11">
        <v>44848</v>
      </c>
      <c r="C3794" s="13" t="s">
        <v>606</v>
      </c>
      <c r="D3794" s="13" t="s">
        <v>4975</v>
      </c>
      <c r="E3794" s="8">
        <v>10000</v>
      </c>
      <c r="F3794" s="13" t="s">
        <v>70</v>
      </c>
      <c r="G3794" s="14">
        <v>44851</v>
      </c>
      <c r="H3794" s="13" t="s">
        <v>9</v>
      </c>
    </row>
    <row r="3795" spans="1:8" ht="14.4" x14ac:dyDescent="0.3">
      <c r="A3795" s="8">
        <v>82188611</v>
      </c>
      <c r="B3795" s="11">
        <v>44848</v>
      </c>
      <c r="C3795" s="13" t="s">
        <v>180</v>
      </c>
      <c r="D3795" s="13" t="s">
        <v>4980</v>
      </c>
      <c r="E3795" s="8">
        <v>37949.919999999998</v>
      </c>
      <c r="F3795" s="13" t="s">
        <v>70</v>
      </c>
      <c r="G3795" s="14">
        <v>44848</v>
      </c>
      <c r="H3795" s="13" t="s">
        <v>9</v>
      </c>
    </row>
    <row r="3796" spans="1:8" ht="14.4" x14ac:dyDescent="0.3">
      <c r="A3796" s="8">
        <v>82188612</v>
      </c>
      <c r="B3796" s="11">
        <v>44848</v>
      </c>
      <c r="C3796" s="13" t="s">
        <v>4981</v>
      </c>
      <c r="D3796" s="13" t="s">
        <v>4973</v>
      </c>
      <c r="E3796" s="8">
        <v>10000</v>
      </c>
      <c r="F3796" s="13" t="s">
        <v>70</v>
      </c>
      <c r="G3796" s="14">
        <v>44853</v>
      </c>
      <c r="H3796" s="13" t="s">
        <v>9</v>
      </c>
    </row>
    <row r="3797" spans="1:8" ht="14.4" x14ac:dyDescent="0.3">
      <c r="A3797" s="8">
        <v>82188613</v>
      </c>
      <c r="B3797" s="11">
        <v>44848</v>
      </c>
      <c r="C3797" s="13" t="s">
        <v>4982</v>
      </c>
      <c r="D3797" s="13" t="s">
        <v>4973</v>
      </c>
      <c r="E3797" s="8">
        <v>10000</v>
      </c>
      <c r="F3797" s="13" t="s">
        <v>70</v>
      </c>
      <c r="G3797" s="14">
        <v>44853</v>
      </c>
      <c r="H3797" s="13" t="s">
        <v>9</v>
      </c>
    </row>
    <row r="3798" spans="1:8" ht="14.4" x14ac:dyDescent="0.3">
      <c r="A3798" s="8">
        <v>82188614</v>
      </c>
      <c r="B3798" s="11">
        <v>44848</v>
      </c>
      <c r="C3798" s="13" t="s">
        <v>4983</v>
      </c>
      <c r="D3798" s="13" t="s">
        <v>4973</v>
      </c>
      <c r="E3798" s="8">
        <v>10000</v>
      </c>
      <c r="F3798" s="13" t="s">
        <v>70</v>
      </c>
      <c r="G3798" s="14">
        <v>44853</v>
      </c>
      <c r="H3798" s="13" t="s">
        <v>9</v>
      </c>
    </row>
    <row r="3799" spans="1:8" ht="14.4" x14ac:dyDescent="0.3">
      <c r="A3799" s="8">
        <v>82188615</v>
      </c>
      <c r="B3799" s="11">
        <v>44848</v>
      </c>
      <c r="C3799" s="13" t="s">
        <v>4984</v>
      </c>
      <c r="D3799" s="13" t="s">
        <v>4973</v>
      </c>
      <c r="E3799" s="8">
        <v>10000</v>
      </c>
      <c r="F3799" s="13" t="s">
        <v>70</v>
      </c>
      <c r="G3799" s="14">
        <v>44853</v>
      </c>
      <c r="H3799" s="13" t="s">
        <v>9</v>
      </c>
    </row>
    <row r="3800" spans="1:8" ht="14.4" x14ac:dyDescent="0.3">
      <c r="A3800" s="8">
        <v>82188616</v>
      </c>
      <c r="B3800" s="11">
        <v>44848</v>
      </c>
      <c r="C3800" s="13" t="s">
        <v>4985</v>
      </c>
      <c r="D3800" s="13" t="s">
        <v>4986</v>
      </c>
      <c r="E3800" s="8">
        <v>10000</v>
      </c>
      <c r="F3800" s="13" t="s">
        <v>70</v>
      </c>
      <c r="G3800" s="14">
        <v>44853</v>
      </c>
      <c r="H3800" s="13" t="s">
        <v>9</v>
      </c>
    </row>
    <row r="3801" spans="1:8" ht="14.4" x14ac:dyDescent="0.3">
      <c r="A3801" s="8">
        <v>82188617</v>
      </c>
      <c r="B3801" s="11">
        <v>44848</v>
      </c>
      <c r="C3801" s="13" t="s">
        <v>4987</v>
      </c>
      <c r="D3801" s="13" t="s">
        <v>4986</v>
      </c>
      <c r="E3801" s="8">
        <v>10000</v>
      </c>
      <c r="F3801" s="13" t="s">
        <v>70</v>
      </c>
      <c r="G3801" s="14">
        <v>44853</v>
      </c>
      <c r="H3801" s="13" t="s">
        <v>9</v>
      </c>
    </row>
    <row r="3802" spans="1:8" ht="14.4" x14ac:dyDescent="0.3">
      <c r="A3802" s="8">
        <v>82188618</v>
      </c>
      <c r="B3802" s="11">
        <v>44848</v>
      </c>
      <c r="C3802" s="13" t="s">
        <v>4988</v>
      </c>
      <c r="D3802" s="13" t="s">
        <v>4986</v>
      </c>
      <c r="E3802" s="8">
        <v>10000</v>
      </c>
      <c r="F3802" s="13" t="s">
        <v>70</v>
      </c>
      <c r="G3802" s="14">
        <v>44853</v>
      </c>
      <c r="H3802" s="13" t="s">
        <v>9</v>
      </c>
    </row>
    <row r="3803" spans="1:8" ht="14.4" x14ac:dyDescent="0.3">
      <c r="A3803" s="8">
        <v>82188619</v>
      </c>
      <c r="B3803" s="11">
        <v>44848</v>
      </c>
      <c r="C3803" s="13" t="s">
        <v>390</v>
      </c>
      <c r="D3803" s="13" t="s">
        <v>4989</v>
      </c>
      <c r="E3803" s="8">
        <v>20000</v>
      </c>
      <c r="F3803" s="13" t="s">
        <v>70</v>
      </c>
      <c r="G3803" s="14">
        <v>44851</v>
      </c>
      <c r="H3803" s="13" t="s">
        <v>9</v>
      </c>
    </row>
    <row r="3804" spans="1:8" ht="14.4" x14ac:dyDescent="0.3">
      <c r="A3804" s="8">
        <v>82188620</v>
      </c>
      <c r="B3804" s="11">
        <v>44848</v>
      </c>
      <c r="C3804" s="13" t="s">
        <v>4990</v>
      </c>
      <c r="D3804" s="13" t="s">
        <v>4989</v>
      </c>
      <c r="E3804" s="8">
        <v>10000</v>
      </c>
      <c r="F3804" s="13" t="s">
        <v>70</v>
      </c>
      <c r="G3804" s="14">
        <v>44851</v>
      </c>
      <c r="H3804" s="13" t="s">
        <v>9</v>
      </c>
    </row>
    <row r="3805" spans="1:8" ht="14.4" x14ac:dyDescent="0.3">
      <c r="A3805" s="8">
        <v>82188621</v>
      </c>
      <c r="B3805" s="11">
        <v>44848</v>
      </c>
      <c r="C3805" s="13" t="s">
        <v>2226</v>
      </c>
      <c r="D3805" s="13" t="s">
        <v>4989</v>
      </c>
      <c r="E3805" s="8">
        <v>5000</v>
      </c>
      <c r="F3805" s="13" t="s">
        <v>70</v>
      </c>
      <c r="G3805" s="14">
        <v>44851</v>
      </c>
      <c r="H3805" s="13" t="s">
        <v>9</v>
      </c>
    </row>
    <row r="3806" spans="1:8" ht="14.4" x14ac:dyDescent="0.3">
      <c r="A3806" s="8">
        <v>82188622</v>
      </c>
      <c r="B3806" s="11">
        <v>44848</v>
      </c>
      <c r="C3806" s="13" t="s">
        <v>2227</v>
      </c>
      <c r="D3806" s="13" t="s">
        <v>4989</v>
      </c>
      <c r="E3806" s="8">
        <v>3000</v>
      </c>
      <c r="F3806" s="13" t="s">
        <v>70</v>
      </c>
      <c r="G3806" s="14">
        <v>44851</v>
      </c>
      <c r="H3806" s="13" t="s">
        <v>9</v>
      </c>
    </row>
    <row r="3807" spans="1:8" ht="14.4" x14ac:dyDescent="0.3">
      <c r="A3807" s="8">
        <v>82188623</v>
      </c>
      <c r="B3807" s="11">
        <v>44848</v>
      </c>
      <c r="C3807" s="13" t="s">
        <v>2193</v>
      </c>
      <c r="D3807" s="13" t="s">
        <v>4991</v>
      </c>
      <c r="E3807" s="8">
        <v>20000</v>
      </c>
      <c r="F3807" s="13" t="s">
        <v>70</v>
      </c>
      <c r="G3807" s="14">
        <v>44855</v>
      </c>
      <c r="H3807" s="13" t="s">
        <v>9</v>
      </c>
    </row>
    <row r="3808" spans="1:8" ht="14.4" x14ac:dyDescent="0.3">
      <c r="A3808" s="8">
        <v>82188624</v>
      </c>
      <c r="B3808" s="11">
        <v>44848</v>
      </c>
      <c r="C3808" s="13" t="s">
        <v>2211</v>
      </c>
      <c r="D3808" s="13" t="s">
        <v>4991</v>
      </c>
      <c r="E3808" s="8">
        <v>6000</v>
      </c>
      <c r="F3808" s="13" t="s">
        <v>70</v>
      </c>
      <c r="G3808" s="14">
        <v>44852</v>
      </c>
      <c r="H3808" s="13" t="s">
        <v>9</v>
      </c>
    </row>
    <row r="3809" spans="1:8" ht="14.4" x14ac:dyDescent="0.3">
      <c r="A3809" s="8">
        <v>82188627</v>
      </c>
      <c r="B3809" s="11">
        <v>44848</v>
      </c>
      <c r="C3809" s="13" t="s">
        <v>159</v>
      </c>
      <c r="D3809" s="13" t="s">
        <v>4992</v>
      </c>
      <c r="E3809" s="8">
        <v>257700</v>
      </c>
      <c r="F3809" s="13" t="s">
        <v>70</v>
      </c>
      <c r="G3809" s="14">
        <v>44848</v>
      </c>
      <c r="H3809" s="13" t="s">
        <v>9</v>
      </c>
    </row>
    <row r="3810" spans="1:8" ht="14.4" x14ac:dyDescent="0.3">
      <c r="A3810" s="8">
        <v>82188628</v>
      </c>
      <c r="B3810" s="11">
        <v>44848</v>
      </c>
      <c r="C3810" s="13" t="s">
        <v>2213</v>
      </c>
      <c r="D3810" s="13" t="s">
        <v>4991</v>
      </c>
      <c r="E3810" s="8">
        <v>3000</v>
      </c>
      <c r="F3810" s="13" t="s">
        <v>70</v>
      </c>
      <c r="G3810" s="14">
        <v>44852</v>
      </c>
      <c r="H3810" s="13" t="s">
        <v>9</v>
      </c>
    </row>
    <row r="3811" spans="1:8" ht="14.4" x14ac:dyDescent="0.3">
      <c r="A3811" s="8">
        <v>82188629</v>
      </c>
      <c r="B3811" s="11">
        <v>44848</v>
      </c>
      <c r="C3811" s="13" t="s">
        <v>1430</v>
      </c>
      <c r="D3811" s="13" t="s">
        <v>4993</v>
      </c>
      <c r="E3811" s="8">
        <v>29999</v>
      </c>
      <c r="F3811" s="13" t="s">
        <v>70</v>
      </c>
      <c r="G3811" s="14">
        <v>44851</v>
      </c>
      <c r="H3811" s="13" t="s">
        <v>9</v>
      </c>
    </row>
    <row r="3812" spans="1:8" ht="14.4" x14ac:dyDescent="0.3">
      <c r="A3812" s="8">
        <v>82188630</v>
      </c>
      <c r="B3812" s="11">
        <v>44848</v>
      </c>
      <c r="C3812" s="13" t="s">
        <v>1430</v>
      </c>
      <c r="D3812" s="13" t="s">
        <v>4994</v>
      </c>
      <c r="E3812" s="8">
        <v>22649.71</v>
      </c>
      <c r="F3812" s="13" t="s">
        <v>70</v>
      </c>
      <c r="G3812" s="14">
        <v>44851</v>
      </c>
      <c r="H3812" s="13" t="s">
        <v>9</v>
      </c>
    </row>
    <row r="3813" spans="1:8" ht="14.4" x14ac:dyDescent="0.3">
      <c r="A3813" s="8">
        <v>82188631</v>
      </c>
      <c r="B3813" s="11">
        <v>44848</v>
      </c>
      <c r="C3813" s="13" t="s">
        <v>1430</v>
      </c>
      <c r="D3813" s="13" t="s">
        <v>4995</v>
      </c>
      <c r="E3813" s="8">
        <v>23437.5</v>
      </c>
      <c r="F3813" s="13" t="s">
        <v>70</v>
      </c>
      <c r="G3813" s="14">
        <v>44851</v>
      </c>
      <c r="H3813" s="13" t="s">
        <v>9</v>
      </c>
    </row>
    <row r="3814" spans="1:8" ht="14.4" x14ac:dyDescent="0.3">
      <c r="A3814" s="8">
        <v>82188632</v>
      </c>
      <c r="B3814" s="11">
        <v>44848</v>
      </c>
      <c r="C3814" s="13" t="s">
        <v>265</v>
      </c>
      <c r="D3814" s="13" t="s">
        <v>4996</v>
      </c>
      <c r="E3814" s="8">
        <v>14400</v>
      </c>
      <c r="F3814" s="13" t="s">
        <v>70</v>
      </c>
      <c r="G3814" s="14">
        <v>44851</v>
      </c>
      <c r="H3814" s="13" t="s">
        <v>9</v>
      </c>
    </row>
    <row r="3815" spans="1:8" ht="14.4" x14ac:dyDescent="0.3">
      <c r="A3815" s="8">
        <v>82188633</v>
      </c>
      <c r="B3815" s="11">
        <v>44848</v>
      </c>
      <c r="C3815" s="13" t="s">
        <v>4997</v>
      </c>
      <c r="D3815" s="13" t="s">
        <v>4971</v>
      </c>
      <c r="E3815" s="8">
        <v>10000</v>
      </c>
      <c r="F3815" s="13" t="s">
        <v>70</v>
      </c>
      <c r="G3815" s="14">
        <v>44852</v>
      </c>
      <c r="H3815" s="13" t="s">
        <v>9</v>
      </c>
    </row>
    <row r="3816" spans="1:8" ht="14.4" x14ac:dyDescent="0.3">
      <c r="A3816" s="8">
        <v>82188634</v>
      </c>
      <c r="B3816" s="11">
        <v>44848</v>
      </c>
      <c r="C3816" s="13" t="s">
        <v>336</v>
      </c>
      <c r="D3816" s="13" t="s">
        <v>4971</v>
      </c>
      <c r="E3816" s="8">
        <v>20000</v>
      </c>
      <c r="F3816" s="13" t="s">
        <v>70</v>
      </c>
      <c r="G3816" s="14">
        <v>44852</v>
      </c>
      <c r="H3816" s="13" t="s">
        <v>9</v>
      </c>
    </row>
    <row r="3817" spans="1:8" ht="14.4" x14ac:dyDescent="0.3">
      <c r="A3817" s="8">
        <v>82188635</v>
      </c>
      <c r="B3817" s="11">
        <v>44848</v>
      </c>
      <c r="C3817" s="13" t="s">
        <v>4998</v>
      </c>
      <c r="D3817" s="13" t="s">
        <v>4971</v>
      </c>
      <c r="E3817" s="8">
        <v>6000</v>
      </c>
      <c r="F3817" s="13" t="s">
        <v>70</v>
      </c>
      <c r="G3817" s="14">
        <v>44852</v>
      </c>
      <c r="H3817" s="13" t="s">
        <v>9</v>
      </c>
    </row>
    <row r="3818" spans="1:8" ht="14.4" x14ac:dyDescent="0.3">
      <c r="A3818" s="8">
        <v>82188636</v>
      </c>
      <c r="B3818" s="11">
        <v>44848</v>
      </c>
      <c r="C3818" s="13" t="s">
        <v>279</v>
      </c>
      <c r="D3818" s="13" t="s">
        <v>4999</v>
      </c>
      <c r="E3818" s="8">
        <v>16000</v>
      </c>
      <c r="F3818" s="13" t="s">
        <v>70</v>
      </c>
      <c r="G3818" s="14">
        <v>44851</v>
      </c>
      <c r="H3818" s="13" t="s">
        <v>9</v>
      </c>
    </row>
    <row r="3819" spans="1:8" ht="14.4" x14ac:dyDescent="0.3">
      <c r="A3819" s="8">
        <v>82188637</v>
      </c>
      <c r="B3819" s="11">
        <v>44848</v>
      </c>
      <c r="C3819" s="13" t="s">
        <v>4905</v>
      </c>
      <c r="D3819" s="13" t="s">
        <v>5000</v>
      </c>
      <c r="E3819" s="8">
        <v>34772.25</v>
      </c>
      <c r="F3819" s="13" t="s">
        <v>70</v>
      </c>
      <c r="G3819" s="14">
        <v>44854</v>
      </c>
      <c r="H3819" s="13" t="s">
        <v>9</v>
      </c>
    </row>
    <row r="3820" spans="1:8" ht="14.4" x14ac:dyDescent="0.3">
      <c r="A3820" s="8">
        <v>82188638</v>
      </c>
      <c r="B3820" s="11">
        <v>44848</v>
      </c>
      <c r="C3820" s="13" t="s">
        <v>5001</v>
      </c>
      <c r="D3820" s="13" t="s">
        <v>5002</v>
      </c>
      <c r="E3820" s="8">
        <v>33086</v>
      </c>
      <c r="F3820" s="13" t="s">
        <v>70</v>
      </c>
      <c r="G3820" s="14">
        <v>44851</v>
      </c>
      <c r="H3820" s="13" t="s">
        <v>9</v>
      </c>
    </row>
    <row r="3821" spans="1:8" ht="14.4" x14ac:dyDescent="0.3">
      <c r="A3821" s="8">
        <v>82188639</v>
      </c>
      <c r="B3821" s="11">
        <v>44848</v>
      </c>
      <c r="C3821" s="13" t="s">
        <v>395</v>
      </c>
      <c r="D3821" s="13" t="s">
        <v>5003</v>
      </c>
      <c r="E3821" s="8">
        <v>46997</v>
      </c>
      <c r="F3821" s="13" t="s">
        <v>70</v>
      </c>
      <c r="G3821" s="14">
        <v>44851</v>
      </c>
      <c r="H3821" s="13" t="s">
        <v>9</v>
      </c>
    </row>
    <row r="3822" spans="1:8" ht="14.4" x14ac:dyDescent="0.3">
      <c r="A3822" s="8">
        <v>82188640</v>
      </c>
      <c r="B3822" s="11">
        <v>44848</v>
      </c>
      <c r="C3822" s="13" t="s">
        <v>44</v>
      </c>
      <c r="D3822" s="13" t="s">
        <v>4936</v>
      </c>
      <c r="E3822" s="8">
        <v>85613.59</v>
      </c>
      <c r="F3822" s="13" t="s">
        <v>70</v>
      </c>
      <c r="G3822" s="14">
        <v>44853</v>
      </c>
      <c r="H3822" s="13" t="s">
        <v>9</v>
      </c>
    </row>
    <row r="3823" spans="1:8" ht="14.4" x14ac:dyDescent="0.3">
      <c r="A3823" s="8">
        <v>82188641</v>
      </c>
      <c r="B3823" s="11">
        <v>44848</v>
      </c>
      <c r="C3823" s="13" t="s">
        <v>5004</v>
      </c>
      <c r="D3823" s="13" t="s">
        <v>4989</v>
      </c>
      <c r="E3823" s="8">
        <v>5000</v>
      </c>
      <c r="F3823" s="13" t="s">
        <v>70</v>
      </c>
      <c r="G3823" s="14">
        <v>44851</v>
      </c>
      <c r="H3823" s="13" t="s">
        <v>9</v>
      </c>
    </row>
    <row r="3824" spans="1:8" ht="14.4" x14ac:dyDescent="0.3">
      <c r="A3824" s="8">
        <v>82188642</v>
      </c>
      <c r="B3824" s="11">
        <v>44848</v>
      </c>
      <c r="C3824" s="13" t="s">
        <v>5005</v>
      </c>
      <c r="D3824" s="13" t="s">
        <v>4989</v>
      </c>
      <c r="E3824" s="8">
        <v>3000</v>
      </c>
      <c r="F3824" s="13" t="s">
        <v>70</v>
      </c>
      <c r="G3824" s="14">
        <v>44851</v>
      </c>
      <c r="H3824" s="13" t="s">
        <v>9</v>
      </c>
    </row>
    <row r="3825" spans="1:8" ht="14.4" x14ac:dyDescent="0.3">
      <c r="A3825" s="8">
        <v>82188643</v>
      </c>
      <c r="B3825" s="11">
        <v>44848</v>
      </c>
      <c r="C3825" s="13" t="s">
        <v>5006</v>
      </c>
      <c r="D3825" s="13" t="s">
        <v>5007</v>
      </c>
      <c r="E3825" s="8">
        <v>20000</v>
      </c>
      <c r="F3825" s="13" t="s">
        <v>70</v>
      </c>
      <c r="G3825" s="14">
        <v>44851</v>
      </c>
      <c r="H3825" s="13" t="s">
        <v>9</v>
      </c>
    </row>
    <row r="3826" spans="1:8" ht="14.4" x14ac:dyDescent="0.3">
      <c r="A3826" s="8">
        <v>82188644</v>
      </c>
      <c r="B3826" s="11">
        <v>44848</v>
      </c>
      <c r="C3826" s="13" t="s">
        <v>5008</v>
      </c>
      <c r="D3826" s="13" t="s">
        <v>5007</v>
      </c>
      <c r="E3826" s="8">
        <v>10000</v>
      </c>
      <c r="F3826" s="13" t="s">
        <v>70</v>
      </c>
      <c r="G3826" s="14">
        <v>44851</v>
      </c>
      <c r="H3826" s="13" t="s">
        <v>9</v>
      </c>
    </row>
    <row r="3827" spans="1:8" ht="14.4" x14ac:dyDescent="0.3">
      <c r="A3827" s="8">
        <v>82188645</v>
      </c>
      <c r="B3827" s="11">
        <v>44848</v>
      </c>
      <c r="C3827" s="13" t="s">
        <v>2179</v>
      </c>
      <c r="D3827" s="13" t="s">
        <v>4979</v>
      </c>
      <c r="E3827" s="8">
        <v>6000</v>
      </c>
      <c r="F3827" s="13" t="s">
        <v>70</v>
      </c>
      <c r="G3827" s="14">
        <v>44851</v>
      </c>
      <c r="H3827" s="13" t="s">
        <v>9</v>
      </c>
    </row>
    <row r="3828" spans="1:8" ht="14.4" x14ac:dyDescent="0.3">
      <c r="A3828" s="8">
        <v>82188646</v>
      </c>
      <c r="B3828" s="11">
        <v>44848</v>
      </c>
      <c r="C3828" s="13" t="s">
        <v>5001</v>
      </c>
      <c r="D3828" s="13" t="s">
        <v>5009</v>
      </c>
      <c r="E3828" s="8">
        <v>49740.15</v>
      </c>
      <c r="F3828" s="13" t="s">
        <v>70</v>
      </c>
      <c r="G3828" s="14">
        <v>44851</v>
      </c>
      <c r="H3828" s="13" t="s">
        <v>9</v>
      </c>
    </row>
    <row r="3829" spans="1:8" ht="14.4" x14ac:dyDescent="0.3">
      <c r="A3829" s="8">
        <v>82188647</v>
      </c>
      <c r="B3829" s="11">
        <v>44848</v>
      </c>
      <c r="C3829" s="13" t="s">
        <v>3621</v>
      </c>
      <c r="D3829" s="13" t="s">
        <v>5010</v>
      </c>
      <c r="E3829" s="8">
        <v>36655.25</v>
      </c>
      <c r="F3829" s="13" t="s">
        <v>70</v>
      </c>
      <c r="G3829" s="14">
        <v>44851</v>
      </c>
      <c r="H3829" s="13" t="s">
        <v>9</v>
      </c>
    </row>
    <row r="3830" spans="1:8" ht="14.4" x14ac:dyDescent="0.3">
      <c r="A3830" s="8">
        <v>82188649</v>
      </c>
      <c r="B3830" s="11">
        <v>44848</v>
      </c>
      <c r="C3830" s="13" t="s">
        <v>42</v>
      </c>
      <c r="D3830" s="13" t="s">
        <v>5011</v>
      </c>
      <c r="E3830" s="8">
        <v>18580.2</v>
      </c>
      <c r="F3830" s="13" t="s">
        <v>70</v>
      </c>
      <c r="G3830" s="14">
        <v>44852</v>
      </c>
      <c r="H3830" s="13" t="s">
        <v>9</v>
      </c>
    </row>
    <row r="3831" spans="1:8" ht="14.4" x14ac:dyDescent="0.3">
      <c r="A3831" s="8">
        <v>82188650</v>
      </c>
      <c r="B3831" s="11">
        <v>44848</v>
      </c>
      <c r="C3831" s="13" t="s">
        <v>5012</v>
      </c>
      <c r="D3831" s="13" t="s">
        <v>5013</v>
      </c>
      <c r="E3831" s="8">
        <v>142107.41</v>
      </c>
      <c r="F3831" s="13" t="s">
        <v>70</v>
      </c>
      <c r="G3831" s="14">
        <v>44852</v>
      </c>
      <c r="H3831" s="13" t="s">
        <v>9</v>
      </c>
    </row>
    <row r="3832" spans="1:8" ht="14.4" x14ac:dyDescent="0.3">
      <c r="A3832" s="8">
        <v>82188651</v>
      </c>
      <c r="B3832" s="11">
        <v>44848</v>
      </c>
      <c r="C3832" s="13" t="s">
        <v>5014</v>
      </c>
      <c r="D3832" s="13" t="s">
        <v>5015</v>
      </c>
      <c r="E3832" s="8">
        <v>6000</v>
      </c>
      <c r="F3832" s="13" t="s">
        <v>70</v>
      </c>
      <c r="G3832" s="14">
        <v>44853</v>
      </c>
      <c r="H3832" s="13" t="s">
        <v>9</v>
      </c>
    </row>
    <row r="3833" spans="1:8" ht="14.4" x14ac:dyDescent="0.3">
      <c r="A3833" s="8">
        <v>82188652</v>
      </c>
      <c r="B3833" s="11">
        <v>44848</v>
      </c>
      <c r="C3833" s="13" t="s">
        <v>5016</v>
      </c>
      <c r="D3833" s="13" t="s">
        <v>5015</v>
      </c>
      <c r="E3833" s="8">
        <v>6000</v>
      </c>
      <c r="F3833" s="13" t="s">
        <v>70</v>
      </c>
      <c r="G3833" s="14">
        <v>44853</v>
      </c>
      <c r="H3833" s="13" t="s">
        <v>9</v>
      </c>
    </row>
    <row r="3834" spans="1:8" ht="14.4" x14ac:dyDescent="0.3">
      <c r="A3834" s="8">
        <v>82188653</v>
      </c>
      <c r="B3834" s="11">
        <v>44848</v>
      </c>
      <c r="C3834" s="13" t="s">
        <v>5017</v>
      </c>
      <c r="D3834" s="13" t="s">
        <v>5018</v>
      </c>
      <c r="E3834" s="8">
        <v>9000</v>
      </c>
      <c r="F3834" s="13" t="s">
        <v>70</v>
      </c>
      <c r="G3834" s="14">
        <v>44855</v>
      </c>
      <c r="H3834" s="13" t="s">
        <v>9</v>
      </c>
    </row>
    <row r="3835" spans="1:8" ht="14.4" x14ac:dyDescent="0.3">
      <c r="A3835" s="8">
        <v>82188654</v>
      </c>
      <c r="B3835" s="11">
        <v>44848</v>
      </c>
      <c r="C3835" s="13" t="s">
        <v>5019</v>
      </c>
      <c r="D3835" s="13" t="s">
        <v>5020</v>
      </c>
      <c r="E3835" s="8">
        <v>9000</v>
      </c>
      <c r="F3835" s="13" t="s">
        <v>70</v>
      </c>
      <c r="G3835" s="14">
        <v>44852</v>
      </c>
      <c r="H3835" s="13" t="s">
        <v>9</v>
      </c>
    </row>
    <row r="3836" spans="1:8" ht="14.4" x14ac:dyDescent="0.3">
      <c r="A3836" s="8">
        <v>82188655</v>
      </c>
      <c r="B3836" s="11">
        <v>44848</v>
      </c>
      <c r="C3836" s="13" t="s">
        <v>5021</v>
      </c>
      <c r="D3836" s="13" t="s">
        <v>5022</v>
      </c>
      <c r="E3836" s="8">
        <v>15000</v>
      </c>
      <c r="F3836" s="13" t="s">
        <v>70</v>
      </c>
      <c r="G3836" s="14">
        <v>44852</v>
      </c>
      <c r="H3836" s="13" t="s">
        <v>9</v>
      </c>
    </row>
    <row r="3837" spans="1:8" ht="14.4" x14ac:dyDescent="0.3">
      <c r="A3837" s="8">
        <v>82188656</v>
      </c>
      <c r="B3837" s="11">
        <v>44848</v>
      </c>
      <c r="C3837" s="13" t="s">
        <v>5023</v>
      </c>
      <c r="D3837" s="13" t="s">
        <v>5024</v>
      </c>
      <c r="E3837" s="8">
        <v>6500</v>
      </c>
      <c r="F3837" s="13" t="s">
        <v>70</v>
      </c>
      <c r="G3837" s="14">
        <v>44852</v>
      </c>
      <c r="H3837" s="13" t="s">
        <v>9</v>
      </c>
    </row>
    <row r="3838" spans="1:8" ht="14.4" x14ac:dyDescent="0.3">
      <c r="A3838" s="8">
        <v>82188657</v>
      </c>
      <c r="B3838" s="11">
        <v>44848</v>
      </c>
      <c r="C3838" s="13" t="s">
        <v>5025</v>
      </c>
      <c r="D3838" s="13" t="s">
        <v>5026</v>
      </c>
      <c r="E3838" s="8">
        <v>50000</v>
      </c>
      <c r="F3838" s="13" t="s">
        <v>70</v>
      </c>
      <c r="G3838" s="14">
        <v>44852</v>
      </c>
      <c r="H3838" s="13" t="s">
        <v>9</v>
      </c>
    </row>
    <row r="3839" spans="1:8" ht="14.4" x14ac:dyDescent="0.3">
      <c r="A3839" s="8">
        <v>82188658</v>
      </c>
      <c r="B3839" s="11">
        <v>44848</v>
      </c>
      <c r="C3839" s="13" t="s">
        <v>5027</v>
      </c>
      <c r="D3839" s="13" t="s">
        <v>5028</v>
      </c>
      <c r="E3839" s="8">
        <v>20000</v>
      </c>
      <c r="F3839" s="13" t="s">
        <v>70</v>
      </c>
      <c r="G3839" s="14">
        <v>44852</v>
      </c>
      <c r="H3839" s="13" t="s">
        <v>9</v>
      </c>
    </row>
    <row r="3840" spans="1:8" ht="14.4" x14ac:dyDescent="0.3">
      <c r="A3840" s="8">
        <v>82188659</v>
      </c>
      <c r="B3840" s="11">
        <v>44848</v>
      </c>
      <c r="C3840" s="13" t="s">
        <v>5029</v>
      </c>
      <c r="D3840" s="13" t="s">
        <v>5030</v>
      </c>
      <c r="E3840" s="8">
        <v>8000</v>
      </c>
      <c r="F3840" s="13" t="s">
        <v>70</v>
      </c>
      <c r="G3840" s="14">
        <v>44852</v>
      </c>
      <c r="H3840" s="13" t="s">
        <v>9</v>
      </c>
    </row>
    <row r="3841" spans="1:8" ht="14.4" x14ac:dyDescent="0.3">
      <c r="A3841" s="8">
        <v>82188660</v>
      </c>
      <c r="B3841" s="11">
        <v>44848</v>
      </c>
      <c r="C3841" s="13" t="s">
        <v>5031</v>
      </c>
      <c r="D3841" s="13" t="s">
        <v>5032</v>
      </c>
      <c r="E3841" s="8">
        <v>11000</v>
      </c>
      <c r="F3841" s="13" t="s">
        <v>70</v>
      </c>
      <c r="G3841" s="14">
        <v>44852</v>
      </c>
      <c r="H3841" s="13" t="s">
        <v>9</v>
      </c>
    </row>
    <row r="3842" spans="1:8" ht="14.4" x14ac:dyDescent="0.3">
      <c r="A3842" s="8">
        <v>82188661</v>
      </c>
      <c r="B3842" s="11">
        <v>44848</v>
      </c>
      <c r="C3842" s="13" t="s">
        <v>5033</v>
      </c>
      <c r="D3842" s="13" t="s">
        <v>150</v>
      </c>
      <c r="E3842" s="8">
        <v>14000</v>
      </c>
      <c r="F3842" s="13" t="s">
        <v>70</v>
      </c>
      <c r="G3842" s="14">
        <v>44852</v>
      </c>
      <c r="H3842" s="13" t="s">
        <v>9</v>
      </c>
    </row>
    <row r="3843" spans="1:8" ht="14.4" x14ac:dyDescent="0.3">
      <c r="A3843" s="8">
        <v>82188662</v>
      </c>
      <c r="B3843" s="11">
        <v>44848</v>
      </c>
      <c r="C3843" s="13" t="s">
        <v>5034</v>
      </c>
      <c r="D3843" s="13" t="s">
        <v>47</v>
      </c>
      <c r="E3843" s="8">
        <v>15000</v>
      </c>
      <c r="F3843" s="13" t="s">
        <v>70</v>
      </c>
      <c r="G3843" s="14">
        <v>44855</v>
      </c>
      <c r="H3843" s="13" t="s">
        <v>9</v>
      </c>
    </row>
    <row r="3844" spans="1:8" ht="14.4" x14ac:dyDescent="0.3">
      <c r="A3844" s="8">
        <v>82188663</v>
      </c>
      <c r="B3844" s="11">
        <v>44848</v>
      </c>
      <c r="C3844" s="13" t="s">
        <v>5035</v>
      </c>
      <c r="D3844" s="13" t="s">
        <v>5036</v>
      </c>
      <c r="E3844" s="8">
        <v>15000</v>
      </c>
      <c r="F3844" s="13" t="s">
        <v>70</v>
      </c>
      <c r="G3844" s="14">
        <v>44852</v>
      </c>
      <c r="H3844" s="13" t="s">
        <v>9</v>
      </c>
    </row>
    <row r="3845" spans="1:8" ht="14.4" x14ac:dyDescent="0.3">
      <c r="A3845" s="8">
        <v>82188664</v>
      </c>
      <c r="B3845" s="11">
        <v>44848</v>
      </c>
      <c r="C3845" s="13" t="s">
        <v>5037</v>
      </c>
      <c r="D3845" s="13" t="s">
        <v>5038</v>
      </c>
      <c r="E3845" s="8">
        <v>15000</v>
      </c>
      <c r="F3845" s="13" t="s">
        <v>70</v>
      </c>
      <c r="G3845" s="14">
        <v>44852</v>
      </c>
      <c r="H3845" s="13" t="s">
        <v>9</v>
      </c>
    </row>
    <row r="3846" spans="1:8" ht="14.4" x14ac:dyDescent="0.3">
      <c r="A3846" s="8">
        <v>82188665</v>
      </c>
      <c r="B3846" s="11">
        <v>44848</v>
      </c>
      <c r="C3846" s="13" t="s">
        <v>5039</v>
      </c>
      <c r="D3846" s="13" t="s">
        <v>5040</v>
      </c>
      <c r="E3846" s="8">
        <v>50000</v>
      </c>
      <c r="F3846" s="13" t="s">
        <v>70</v>
      </c>
      <c r="G3846" s="14">
        <v>44852</v>
      </c>
      <c r="H3846" s="13" t="s">
        <v>9</v>
      </c>
    </row>
    <row r="3847" spans="1:8" ht="14.4" x14ac:dyDescent="0.3">
      <c r="A3847" s="8">
        <v>82188667</v>
      </c>
      <c r="B3847" s="11">
        <v>44848</v>
      </c>
      <c r="C3847" s="13" t="s">
        <v>5041</v>
      </c>
      <c r="D3847" s="13" t="s">
        <v>5042</v>
      </c>
      <c r="E3847" s="8">
        <v>16000</v>
      </c>
      <c r="F3847" s="13" t="s">
        <v>70</v>
      </c>
      <c r="G3847" s="14">
        <v>44852</v>
      </c>
      <c r="H3847" s="13" t="s">
        <v>9</v>
      </c>
    </row>
    <row r="3848" spans="1:8" ht="14.4" x14ac:dyDescent="0.3">
      <c r="A3848" s="8">
        <v>82188668</v>
      </c>
      <c r="B3848" s="11">
        <v>44848</v>
      </c>
      <c r="C3848" s="13" t="s">
        <v>884</v>
      </c>
      <c r="D3848" s="13" t="s">
        <v>5043</v>
      </c>
      <c r="E3848" s="8">
        <v>910000</v>
      </c>
      <c r="F3848" s="13" t="s">
        <v>70</v>
      </c>
      <c r="G3848" s="14">
        <v>44852</v>
      </c>
      <c r="H3848" s="13" t="s">
        <v>9</v>
      </c>
    </row>
    <row r="3849" spans="1:8" ht="14.4" x14ac:dyDescent="0.3">
      <c r="A3849" s="8">
        <v>82188669</v>
      </c>
      <c r="B3849" s="11">
        <v>44848</v>
      </c>
      <c r="C3849" s="13" t="s">
        <v>5044</v>
      </c>
      <c r="D3849" s="13" t="s">
        <v>5045</v>
      </c>
      <c r="E3849" s="8">
        <v>84485.96</v>
      </c>
      <c r="F3849" s="13" t="s">
        <v>70</v>
      </c>
      <c r="G3849" s="14">
        <v>44851</v>
      </c>
      <c r="H3849" s="13" t="s">
        <v>9</v>
      </c>
    </row>
    <row r="3850" spans="1:8" ht="14.4" x14ac:dyDescent="0.3">
      <c r="A3850" s="8">
        <v>82188670</v>
      </c>
      <c r="B3850" s="11">
        <v>44848</v>
      </c>
      <c r="C3850" s="13" t="s">
        <v>5046</v>
      </c>
      <c r="D3850" s="13" t="s">
        <v>5047</v>
      </c>
      <c r="E3850" s="8">
        <v>6700</v>
      </c>
      <c r="F3850" s="13" t="s">
        <v>70</v>
      </c>
      <c r="G3850" s="14">
        <v>44852</v>
      </c>
      <c r="H3850" s="13" t="s">
        <v>9</v>
      </c>
    </row>
    <row r="3851" spans="1:8" ht="14.4" x14ac:dyDescent="0.3">
      <c r="A3851" s="8">
        <v>82188671</v>
      </c>
      <c r="B3851" s="11">
        <v>44848</v>
      </c>
      <c r="C3851" s="13" t="s">
        <v>5048</v>
      </c>
      <c r="D3851" s="13" t="s">
        <v>5047</v>
      </c>
      <c r="E3851" s="8">
        <v>7200</v>
      </c>
      <c r="F3851" s="13" t="s">
        <v>70</v>
      </c>
      <c r="G3851" s="14">
        <v>44851</v>
      </c>
      <c r="H3851" s="13" t="s">
        <v>9</v>
      </c>
    </row>
    <row r="3852" spans="1:8" ht="14.4" x14ac:dyDescent="0.3">
      <c r="A3852" s="8">
        <v>82188672</v>
      </c>
      <c r="B3852" s="11">
        <v>44848</v>
      </c>
      <c r="C3852" s="13" t="s">
        <v>5049</v>
      </c>
      <c r="D3852" s="13" t="s">
        <v>5050</v>
      </c>
      <c r="E3852" s="8">
        <v>10000</v>
      </c>
      <c r="F3852" s="13" t="s">
        <v>70</v>
      </c>
      <c r="G3852" s="14">
        <v>44852</v>
      </c>
      <c r="H3852" s="13" t="s">
        <v>9</v>
      </c>
    </row>
    <row r="3853" spans="1:8" ht="14.4" x14ac:dyDescent="0.3">
      <c r="A3853" s="8">
        <v>82188673</v>
      </c>
      <c r="B3853" s="11">
        <v>44848</v>
      </c>
      <c r="C3853" s="13" t="s">
        <v>5051</v>
      </c>
      <c r="D3853" s="13" t="s">
        <v>5052</v>
      </c>
      <c r="E3853" s="8">
        <v>14000</v>
      </c>
      <c r="F3853" s="13" t="s">
        <v>70</v>
      </c>
      <c r="G3853" s="14">
        <v>44852</v>
      </c>
      <c r="H3853" s="13" t="s">
        <v>9</v>
      </c>
    </row>
    <row r="3854" spans="1:8" ht="14.4" x14ac:dyDescent="0.3">
      <c r="A3854" s="8">
        <v>82188674</v>
      </c>
      <c r="B3854" s="11">
        <v>44848</v>
      </c>
      <c r="C3854" s="13" t="s">
        <v>5053</v>
      </c>
      <c r="D3854" s="13" t="s">
        <v>5054</v>
      </c>
      <c r="E3854" s="8">
        <v>17000</v>
      </c>
      <c r="F3854" s="13" t="s">
        <v>70</v>
      </c>
      <c r="G3854" s="14">
        <v>44853</v>
      </c>
      <c r="H3854" s="13" t="s">
        <v>9</v>
      </c>
    </row>
    <row r="3855" spans="1:8" ht="14.4" x14ac:dyDescent="0.3">
      <c r="A3855" s="8">
        <v>82188675</v>
      </c>
      <c r="B3855" s="11">
        <v>44848</v>
      </c>
      <c r="C3855" s="13" t="s">
        <v>5055</v>
      </c>
      <c r="D3855" s="13" t="s">
        <v>5056</v>
      </c>
      <c r="E3855" s="8">
        <v>50000</v>
      </c>
      <c r="F3855" s="13" t="s">
        <v>70</v>
      </c>
      <c r="G3855" s="14">
        <v>44854</v>
      </c>
      <c r="H3855" s="13" t="s">
        <v>9</v>
      </c>
    </row>
    <row r="3856" spans="1:8" ht="14.4" x14ac:dyDescent="0.3">
      <c r="A3856" s="8">
        <v>82188676</v>
      </c>
      <c r="B3856" s="11">
        <v>44848</v>
      </c>
      <c r="C3856" s="13" t="s">
        <v>5057</v>
      </c>
      <c r="D3856" s="13" t="s">
        <v>5058</v>
      </c>
      <c r="E3856" s="8">
        <v>9000</v>
      </c>
      <c r="F3856" s="13" t="s">
        <v>70</v>
      </c>
      <c r="G3856" s="14">
        <v>44852</v>
      </c>
      <c r="H3856" s="13" t="s">
        <v>9</v>
      </c>
    </row>
    <row r="3857" spans="1:8" ht="14.4" x14ac:dyDescent="0.3">
      <c r="A3857" s="8">
        <v>82188677</v>
      </c>
      <c r="B3857" s="11">
        <v>44851</v>
      </c>
      <c r="C3857" s="13" t="s">
        <v>1596</v>
      </c>
      <c r="D3857" s="13" t="s">
        <v>5059</v>
      </c>
      <c r="E3857" s="8">
        <v>529.20000000000005</v>
      </c>
      <c r="F3857" s="13" t="s">
        <v>70</v>
      </c>
      <c r="G3857" s="14">
        <v>44868</v>
      </c>
      <c r="H3857" s="13" t="s">
        <v>9</v>
      </c>
    </row>
    <row r="3858" spans="1:8" ht="14.4" x14ac:dyDescent="0.3">
      <c r="A3858" s="8">
        <v>82188678</v>
      </c>
      <c r="B3858" s="11">
        <v>44851</v>
      </c>
      <c r="C3858" s="13" t="s">
        <v>5060</v>
      </c>
      <c r="D3858" s="13" t="s">
        <v>5061</v>
      </c>
      <c r="E3858" s="8">
        <v>26000</v>
      </c>
      <c r="F3858" s="13" t="s">
        <v>70</v>
      </c>
      <c r="G3858" s="14">
        <v>44853</v>
      </c>
      <c r="H3858" s="13" t="s">
        <v>9</v>
      </c>
    </row>
    <row r="3859" spans="1:8" ht="14.4" x14ac:dyDescent="0.3">
      <c r="A3859" s="8">
        <v>82188680</v>
      </c>
      <c r="B3859" s="11">
        <v>44851</v>
      </c>
      <c r="C3859" s="13" t="s">
        <v>5062</v>
      </c>
      <c r="D3859" s="13" t="s">
        <v>5063</v>
      </c>
      <c r="E3859" s="8">
        <v>30000</v>
      </c>
      <c r="F3859" s="13" t="s">
        <v>70</v>
      </c>
      <c r="G3859" s="14">
        <v>44853</v>
      </c>
      <c r="H3859" s="13" t="s">
        <v>9</v>
      </c>
    </row>
    <row r="3860" spans="1:8" ht="14.4" x14ac:dyDescent="0.3">
      <c r="A3860" s="8">
        <v>82188681</v>
      </c>
      <c r="B3860" s="11">
        <v>44851</v>
      </c>
      <c r="C3860" s="13" t="s">
        <v>5064</v>
      </c>
      <c r="D3860" s="13" t="s">
        <v>5065</v>
      </c>
      <c r="E3860" s="8">
        <v>25000</v>
      </c>
      <c r="F3860" s="13" t="s">
        <v>70</v>
      </c>
      <c r="G3860" s="14">
        <v>44853</v>
      </c>
      <c r="H3860" s="13" t="s">
        <v>9</v>
      </c>
    </row>
    <row r="3861" spans="1:8" ht="14.4" x14ac:dyDescent="0.3">
      <c r="A3861" s="8">
        <v>82188682</v>
      </c>
      <c r="B3861" s="11">
        <v>44851</v>
      </c>
      <c r="C3861" s="13" t="s">
        <v>5066</v>
      </c>
      <c r="D3861" s="13" t="s">
        <v>5067</v>
      </c>
      <c r="E3861" s="8">
        <v>13000</v>
      </c>
      <c r="F3861" s="13" t="s">
        <v>70</v>
      </c>
      <c r="G3861" s="14">
        <v>44854</v>
      </c>
      <c r="H3861" s="13" t="s">
        <v>9</v>
      </c>
    </row>
    <row r="3862" spans="1:8" ht="14.4" x14ac:dyDescent="0.3">
      <c r="A3862" s="8">
        <v>82188683</v>
      </c>
      <c r="B3862" s="11">
        <v>44851</v>
      </c>
      <c r="C3862" s="13" t="s">
        <v>5068</v>
      </c>
      <c r="D3862" s="13" t="s">
        <v>150</v>
      </c>
      <c r="E3862" s="8">
        <v>8000</v>
      </c>
      <c r="F3862" s="13" t="s">
        <v>70</v>
      </c>
      <c r="G3862" s="14">
        <v>44853</v>
      </c>
      <c r="H3862" s="13" t="s">
        <v>9</v>
      </c>
    </row>
    <row r="3863" spans="1:8" ht="14.4" x14ac:dyDescent="0.3">
      <c r="A3863" s="8">
        <v>82188684</v>
      </c>
      <c r="B3863" s="11">
        <v>44851</v>
      </c>
      <c r="C3863" s="13" t="s">
        <v>5069</v>
      </c>
      <c r="D3863" s="13" t="s">
        <v>5070</v>
      </c>
      <c r="E3863" s="8">
        <v>11000</v>
      </c>
      <c r="F3863" s="13" t="s">
        <v>70</v>
      </c>
      <c r="G3863" s="14">
        <v>44854</v>
      </c>
      <c r="H3863" s="13" t="s">
        <v>9</v>
      </c>
    </row>
    <row r="3864" spans="1:8" ht="14.4" x14ac:dyDescent="0.3">
      <c r="A3864" s="8">
        <v>82188685</v>
      </c>
      <c r="B3864" s="11">
        <v>44851</v>
      </c>
      <c r="C3864" s="13" t="s">
        <v>5071</v>
      </c>
      <c r="D3864" s="13" t="s">
        <v>5072</v>
      </c>
      <c r="E3864" s="8">
        <v>8000</v>
      </c>
      <c r="F3864" s="13" t="s">
        <v>70</v>
      </c>
      <c r="G3864" s="14">
        <v>44854</v>
      </c>
      <c r="H3864" s="13" t="s">
        <v>9</v>
      </c>
    </row>
    <row r="3865" spans="1:8" ht="14.4" x14ac:dyDescent="0.3">
      <c r="A3865" s="8">
        <v>82188686</v>
      </c>
      <c r="B3865" s="11">
        <v>44851</v>
      </c>
      <c r="C3865" s="13" t="s">
        <v>5073</v>
      </c>
      <c r="D3865" s="13" t="s">
        <v>5074</v>
      </c>
      <c r="E3865" s="8">
        <v>50000</v>
      </c>
      <c r="F3865" s="13" t="s">
        <v>70</v>
      </c>
      <c r="G3865" s="14">
        <v>44853</v>
      </c>
      <c r="H3865" s="13" t="s">
        <v>9</v>
      </c>
    </row>
    <row r="3866" spans="1:8" ht="14.4" x14ac:dyDescent="0.3">
      <c r="A3866" s="8">
        <v>82188687</v>
      </c>
      <c r="B3866" s="11">
        <v>44851</v>
      </c>
      <c r="C3866" s="13" t="s">
        <v>5075</v>
      </c>
      <c r="D3866" s="13" t="s">
        <v>5076</v>
      </c>
      <c r="E3866" s="8">
        <v>25000</v>
      </c>
      <c r="F3866" s="13" t="s">
        <v>70</v>
      </c>
      <c r="G3866" s="14">
        <v>44853</v>
      </c>
      <c r="H3866" s="13" t="s">
        <v>9</v>
      </c>
    </row>
    <row r="3867" spans="1:8" ht="14.4" x14ac:dyDescent="0.3">
      <c r="A3867" s="8">
        <v>82188688</v>
      </c>
      <c r="B3867" s="11">
        <v>44851</v>
      </c>
      <c r="C3867" s="13" t="s">
        <v>5077</v>
      </c>
      <c r="D3867" s="13" t="s">
        <v>5078</v>
      </c>
      <c r="E3867" s="8">
        <v>13000</v>
      </c>
      <c r="F3867" s="13" t="s">
        <v>70</v>
      </c>
      <c r="G3867" s="14">
        <v>44854</v>
      </c>
      <c r="H3867" s="13" t="s">
        <v>9</v>
      </c>
    </row>
    <row r="3868" spans="1:8" ht="14.4" x14ac:dyDescent="0.3">
      <c r="A3868" s="8">
        <v>82188689</v>
      </c>
      <c r="B3868" s="11">
        <v>44851</v>
      </c>
      <c r="C3868" s="13" t="s">
        <v>5079</v>
      </c>
      <c r="D3868" s="13" t="s">
        <v>5080</v>
      </c>
      <c r="E3868" s="8">
        <v>16000</v>
      </c>
      <c r="F3868" s="13" t="s">
        <v>70</v>
      </c>
      <c r="G3868" s="14">
        <v>44853</v>
      </c>
      <c r="H3868" s="13" t="s">
        <v>9</v>
      </c>
    </row>
    <row r="3869" spans="1:8" ht="14.4" x14ac:dyDescent="0.3">
      <c r="A3869" s="8">
        <v>82188690</v>
      </c>
      <c r="B3869" s="11">
        <v>44851</v>
      </c>
      <c r="C3869" s="13" t="s">
        <v>5081</v>
      </c>
      <c r="D3869" s="13" t="s">
        <v>5082</v>
      </c>
      <c r="E3869" s="8">
        <v>16000</v>
      </c>
      <c r="F3869" s="13" t="s">
        <v>70</v>
      </c>
      <c r="G3869" s="14">
        <v>44853</v>
      </c>
      <c r="H3869" s="13" t="s">
        <v>9</v>
      </c>
    </row>
    <row r="3870" spans="1:8" ht="14.4" x14ac:dyDescent="0.3">
      <c r="A3870" s="8">
        <v>82188691</v>
      </c>
      <c r="B3870" s="11">
        <v>44851</v>
      </c>
      <c r="C3870" s="13" t="s">
        <v>5083</v>
      </c>
      <c r="D3870" s="13" t="s">
        <v>5084</v>
      </c>
      <c r="E3870" s="8">
        <v>10000</v>
      </c>
      <c r="F3870" s="13" t="s">
        <v>70</v>
      </c>
      <c r="G3870" s="14">
        <v>44853</v>
      </c>
      <c r="H3870" s="13" t="s">
        <v>9</v>
      </c>
    </row>
    <row r="3871" spans="1:8" ht="14.4" x14ac:dyDescent="0.3">
      <c r="A3871" s="8">
        <v>82188692</v>
      </c>
      <c r="B3871" s="11">
        <v>44851</v>
      </c>
      <c r="C3871" s="13" t="s">
        <v>5085</v>
      </c>
      <c r="D3871" s="13" t="s">
        <v>5086</v>
      </c>
      <c r="E3871" s="8">
        <v>7000</v>
      </c>
      <c r="F3871" s="13" t="s">
        <v>70</v>
      </c>
      <c r="G3871" s="14">
        <v>44853</v>
      </c>
      <c r="H3871" s="13" t="s">
        <v>9</v>
      </c>
    </row>
    <row r="3872" spans="1:8" ht="14.4" x14ac:dyDescent="0.3">
      <c r="A3872" s="8">
        <v>82188693</v>
      </c>
      <c r="B3872" s="11">
        <v>44851</v>
      </c>
      <c r="C3872" s="13" t="s">
        <v>5087</v>
      </c>
      <c r="D3872" s="13" t="s">
        <v>5088</v>
      </c>
      <c r="E3872" s="8">
        <v>19000</v>
      </c>
      <c r="F3872" s="13" t="s">
        <v>70</v>
      </c>
      <c r="G3872" s="14">
        <v>44854</v>
      </c>
      <c r="H3872" s="13" t="s">
        <v>9</v>
      </c>
    </row>
    <row r="3873" spans="1:8" ht="14.4" x14ac:dyDescent="0.3">
      <c r="A3873" s="8">
        <v>82188694</v>
      </c>
      <c r="B3873" s="11">
        <v>44851</v>
      </c>
      <c r="C3873" s="13" t="s">
        <v>5089</v>
      </c>
      <c r="D3873" s="13" t="s">
        <v>5090</v>
      </c>
      <c r="E3873" s="8">
        <v>14000</v>
      </c>
      <c r="F3873" s="13" t="s">
        <v>70</v>
      </c>
      <c r="G3873" s="14">
        <v>44854</v>
      </c>
      <c r="H3873" s="13" t="s">
        <v>9</v>
      </c>
    </row>
    <row r="3874" spans="1:8" ht="14.4" x14ac:dyDescent="0.3">
      <c r="A3874" s="8">
        <v>82188695</v>
      </c>
      <c r="B3874" s="11">
        <v>44851</v>
      </c>
      <c r="C3874" s="13" t="s">
        <v>159</v>
      </c>
      <c r="D3874" s="13" t="s">
        <v>5091</v>
      </c>
      <c r="E3874" s="8">
        <v>410300</v>
      </c>
      <c r="F3874" s="13" t="s">
        <v>70</v>
      </c>
      <c r="G3874" s="14">
        <v>44851</v>
      </c>
      <c r="H3874" s="13" t="s">
        <v>9</v>
      </c>
    </row>
    <row r="3875" spans="1:8" ht="14.4" x14ac:dyDescent="0.3">
      <c r="A3875" s="8">
        <v>82188696</v>
      </c>
      <c r="B3875" s="11">
        <v>44851</v>
      </c>
      <c r="C3875" s="13" t="s">
        <v>5092</v>
      </c>
      <c r="D3875" s="13" t="s">
        <v>5093</v>
      </c>
      <c r="E3875" s="8">
        <v>8000</v>
      </c>
      <c r="F3875" s="13" t="s">
        <v>70</v>
      </c>
      <c r="G3875" s="14">
        <v>44852</v>
      </c>
      <c r="H3875" s="13" t="s">
        <v>9</v>
      </c>
    </row>
    <row r="3876" spans="1:8" ht="14.4" x14ac:dyDescent="0.3">
      <c r="A3876" s="8">
        <v>82188697</v>
      </c>
      <c r="B3876" s="11">
        <v>44851</v>
      </c>
      <c r="C3876" s="13" t="s">
        <v>5094</v>
      </c>
      <c r="D3876" s="13" t="s">
        <v>5095</v>
      </c>
      <c r="E3876" s="8">
        <v>8400</v>
      </c>
      <c r="F3876" s="13" t="s">
        <v>70</v>
      </c>
      <c r="G3876" s="14">
        <v>44853</v>
      </c>
      <c r="H3876" s="13" t="s">
        <v>9</v>
      </c>
    </row>
    <row r="3877" spans="1:8" ht="14.4" x14ac:dyDescent="0.3">
      <c r="A3877" s="8">
        <v>82188698</v>
      </c>
      <c r="B3877" s="11">
        <v>44851</v>
      </c>
      <c r="C3877" s="13" t="s">
        <v>5096</v>
      </c>
      <c r="D3877" s="13" t="s">
        <v>5097</v>
      </c>
      <c r="E3877" s="8">
        <v>17000</v>
      </c>
      <c r="F3877" s="13" t="s">
        <v>70</v>
      </c>
      <c r="G3877" s="14">
        <v>44853</v>
      </c>
      <c r="H3877" s="13" t="s">
        <v>9</v>
      </c>
    </row>
    <row r="3878" spans="1:8" ht="14.4" x14ac:dyDescent="0.3">
      <c r="A3878" s="8">
        <v>82188699</v>
      </c>
      <c r="B3878" s="11">
        <v>44851</v>
      </c>
      <c r="C3878" s="13" t="s">
        <v>5098</v>
      </c>
      <c r="D3878" s="13" t="s">
        <v>5099</v>
      </c>
      <c r="E3878" s="8">
        <v>7000</v>
      </c>
      <c r="F3878" s="13" t="s">
        <v>70</v>
      </c>
      <c r="G3878" s="14">
        <v>44853</v>
      </c>
      <c r="H3878" s="13" t="s">
        <v>9</v>
      </c>
    </row>
    <row r="3879" spans="1:8" ht="14.4" x14ac:dyDescent="0.3">
      <c r="A3879" s="8">
        <v>82188700</v>
      </c>
      <c r="B3879" s="11">
        <v>44851</v>
      </c>
      <c r="C3879" s="13" t="s">
        <v>5100</v>
      </c>
      <c r="D3879" s="13" t="s">
        <v>5101</v>
      </c>
      <c r="E3879" s="8">
        <v>10000</v>
      </c>
      <c r="F3879" s="13" t="s">
        <v>70</v>
      </c>
      <c r="G3879" s="14">
        <v>44854</v>
      </c>
      <c r="H3879" s="13" t="s">
        <v>9</v>
      </c>
    </row>
    <row r="3880" spans="1:8" ht="14.4" x14ac:dyDescent="0.3">
      <c r="A3880" s="8">
        <v>82188701</v>
      </c>
      <c r="B3880" s="11">
        <v>44851</v>
      </c>
      <c r="C3880" s="13" t="s">
        <v>5102</v>
      </c>
      <c r="D3880" s="13" t="s">
        <v>5103</v>
      </c>
      <c r="E3880" s="8">
        <v>12000</v>
      </c>
      <c r="F3880" s="13" t="s">
        <v>70</v>
      </c>
      <c r="G3880" s="14">
        <v>44853</v>
      </c>
      <c r="H3880" s="13" t="s">
        <v>9</v>
      </c>
    </row>
    <row r="3881" spans="1:8" ht="14.4" x14ac:dyDescent="0.3">
      <c r="A3881" s="8">
        <v>82188702</v>
      </c>
      <c r="B3881" s="11">
        <v>44851</v>
      </c>
      <c r="C3881" s="13" t="s">
        <v>5104</v>
      </c>
      <c r="D3881" s="13" t="s">
        <v>5105</v>
      </c>
      <c r="E3881" s="8">
        <v>30000</v>
      </c>
      <c r="F3881" s="13" t="s">
        <v>70</v>
      </c>
      <c r="G3881" s="14">
        <v>44853</v>
      </c>
      <c r="H3881" s="13" t="s">
        <v>9</v>
      </c>
    </row>
    <row r="3882" spans="1:8" ht="14.4" x14ac:dyDescent="0.3">
      <c r="A3882" s="8">
        <v>82188703</v>
      </c>
      <c r="B3882" s="11">
        <v>44851</v>
      </c>
      <c r="C3882" s="13" t="s">
        <v>5106</v>
      </c>
      <c r="D3882" s="13" t="s">
        <v>5107</v>
      </c>
      <c r="E3882" s="8">
        <v>18000</v>
      </c>
      <c r="F3882" s="13" t="s">
        <v>70</v>
      </c>
      <c r="G3882" s="14">
        <v>44853</v>
      </c>
      <c r="H3882" s="13" t="s">
        <v>9</v>
      </c>
    </row>
    <row r="3883" spans="1:8" ht="14.4" x14ac:dyDescent="0.3">
      <c r="A3883" s="8">
        <v>82188704</v>
      </c>
      <c r="B3883" s="11">
        <v>44851</v>
      </c>
      <c r="C3883" s="13" t="s">
        <v>5108</v>
      </c>
      <c r="D3883" s="13" t="s">
        <v>5109</v>
      </c>
      <c r="E3883" s="8">
        <v>12750</v>
      </c>
      <c r="F3883" s="13" t="s">
        <v>70</v>
      </c>
      <c r="G3883" s="14">
        <v>44853</v>
      </c>
      <c r="H3883" s="13" t="s">
        <v>9</v>
      </c>
    </row>
    <row r="3884" spans="1:8" ht="14.4" x14ac:dyDescent="0.3">
      <c r="A3884" s="8">
        <v>82188705</v>
      </c>
      <c r="B3884" s="11">
        <v>44851</v>
      </c>
      <c r="C3884" s="13" t="s">
        <v>2684</v>
      </c>
      <c r="D3884" s="13" t="s">
        <v>5110</v>
      </c>
      <c r="E3884" s="8">
        <v>22500</v>
      </c>
      <c r="F3884" s="13" t="s">
        <v>70</v>
      </c>
      <c r="G3884" s="14">
        <v>44859</v>
      </c>
      <c r="H3884" s="13" t="s">
        <v>9</v>
      </c>
    </row>
    <row r="3885" spans="1:8" ht="14.4" x14ac:dyDescent="0.3">
      <c r="A3885" s="8">
        <v>82188706</v>
      </c>
      <c r="B3885" s="11">
        <v>44851</v>
      </c>
      <c r="C3885" s="13" t="s">
        <v>5111</v>
      </c>
      <c r="D3885" s="13" t="s">
        <v>47</v>
      </c>
      <c r="E3885" s="8">
        <v>15000</v>
      </c>
      <c r="F3885" s="13" t="s">
        <v>70</v>
      </c>
      <c r="G3885" s="14">
        <v>44853</v>
      </c>
      <c r="H3885" s="13" t="s">
        <v>9</v>
      </c>
    </row>
    <row r="3886" spans="1:8" ht="14.4" x14ac:dyDescent="0.3">
      <c r="A3886" s="8">
        <v>82188707</v>
      </c>
      <c r="B3886" s="11">
        <v>44851</v>
      </c>
      <c r="C3886" s="13" t="s">
        <v>5112</v>
      </c>
      <c r="D3886" s="13" t="s">
        <v>5113</v>
      </c>
      <c r="E3886" s="8">
        <v>11000</v>
      </c>
      <c r="F3886" s="13" t="s">
        <v>70</v>
      </c>
      <c r="G3886" s="14">
        <v>44854</v>
      </c>
      <c r="H3886" s="13" t="s">
        <v>9</v>
      </c>
    </row>
    <row r="3887" spans="1:8" ht="14.4" x14ac:dyDescent="0.3">
      <c r="A3887" s="8">
        <v>82188708</v>
      </c>
      <c r="B3887" s="11">
        <v>44851</v>
      </c>
      <c r="C3887" s="13" t="s">
        <v>5114</v>
      </c>
      <c r="D3887" s="13" t="s">
        <v>5115</v>
      </c>
      <c r="E3887" s="8">
        <v>14000</v>
      </c>
      <c r="F3887" s="13" t="s">
        <v>70</v>
      </c>
      <c r="G3887" s="14">
        <v>44853</v>
      </c>
      <c r="H3887" s="13" t="s">
        <v>9</v>
      </c>
    </row>
    <row r="3888" spans="1:8" ht="14.4" x14ac:dyDescent="0.3">
      <c r="A3888" s="8">
        <v>82188709</v>
      </c>
      <c r="B3888" s="11">
        <v>44851</v>
      </c>
      <c r="C3888" s="13" t="s">
        <v>5116</v>
      </c>
      <c r="D3888" s="13" t="s">
        <v>5117</v>
      </c>
      <c r="E3888" s="8">
        <v>9000</v>
      </c>
      <c r="F3888" s="13" t="s">
        <v>70</v>
      </c>
      <c r="G3888" s="14">
        <v>44867</v>
      </c>
      <c r="H3888" s="13" t="s">
        <v>9</v>
      </c>
    </row>
    <row r="3889" spans="1:8" ht="14.4" x14ac:dyDescent="0.3">
      <c r="A3889" s="8">
        <v>82188710</v>
      </c>
      <c r="B3889" s="11">
        <v>44851</v>
      </c>
      <c r="C3889" s="13" t="s">
        <v>5118</v>
      </c>
      <c r="D3889" s="13" t="s">
        <v>150</v>
      </c>
      <c r="E3889" s="8">
        <v>9000</v>
      </c>
      <c r="F3889" s="13" t="s">
        <v>70</v>
      </c>
      <c r="G3889" s="14">
        <v>44859</v>
      </c>
      <c r="H3889" s="13" t="s">
        <v>9</v>
      </c>
    </row>
    <row r="3890" spans="1:8" ht="14.4" x14ac:dyDescent="0.3">
      <c r="A3890" s="8">
        <v>82188711</v>
      </c>
      <c r="B3890" s="11">
        <v>44851</v>
      </c>
      <c r="C3890" s="13" t="s">
        <v>5119</v>
      </c>
      <c r="D3890" s="13" t="s">
        <v>5120</v>
      </c>
      <c r="E3890" s="8">
        <v>10000</v>
      </c>
      <c r="F3890" s="13" t="s">
        <v>70</v>
      </c>
      <c r="G3890" s="14">
        <v>44853</v>
      </c>
      <c r="H3890" s="13" t="s">
        <v>9</v>
      </c>
    </row>
    <row r="3891" spans="1:8" ht="14.4" x14ac:dyDescent="0.3">
      <c r="A3891" s="8">
        <v>82188712</v>
      </c>
      <c r="B3891" s="11">
        <v>44851</v>
      </c>
      <c r="C3891" s="13" t="s">
        <v>5121</v>
      </c>
      <c r="D3891" s="13" t="s">
        <v>5122</v>
      </c>
      <c r="E3891" s="8">
        <v>9000</v>
      </c>
      <c r="F3891" s="13" t="s">
        <v>70</v>
      </c>
      <c r="G3891" s="14">
        <v>44853</v>
      </c>
      <c r="H3891" s="13" t="s">
        <v>9</v>
      </c>
    </row>
    <row r="3892" spans="1:8" ht="14.4" x14ac:dyDescent="0.3">
      <c r="A3892" s="8">
        <v>82188713</v>
      </c>
      <c r="B3892" s="11">
        <v>44851</v>
      </c>
      <c r="C3892" s="13" t="s">
        <v>5123</v>
      </c>
      <c r="D3892" s="13" t="s">
        <v>5124</v>
      </c>
      <c r="E3892" s="8">
        <v>8000</v>
      </c>
      <c r="F3892" s="13" t="s">
        <v>70</v>
      </c>
      <c r="G3892" s="14">
        <v>44854</v>
      </c>
      <c r="H3892" s="13" t="s">
        <v>9</v>
      </c>
    </row>
    <row r="3893" spans="1:8" ht="14.4" x14ac:dyDescent="0.3">
      <c r="A3893" s="8">
        <v>82188714</v>
      </c>
      <c r="B3893" s="11">
        <v>44851</v>
      </c>
      <c r="C3893" s="13" t="s">
        <v>122</v>
      </c>
      <c r="D3893" s="13" t="s">
        <v>5125</v>
      </c>
      <c r="E3893" s="8">
        <v>15000</v>
      </c>
      <c r="F3893" s="13" t="s">
        <v>70</v>
      </c>
      <c r="G3893" s="14">
        <v>44858</v>
      </c>
      <c r="H3893" s="13" t="s">
        <v>9</v>
      </c>
    </row>
    <row r="3894" spans="1:8" ht="14.4" x14ac:dyDescent="0.3">
      <c r="A3894" s="8">
        <v>82188715</v>
      </c>
      <c r="B3894" s="11">
        <v>44851</v>
      </c>
      <c r="C3894" s="13" t="s">
        <v>5126</v>
      </c>
      <c r="D3894" s="13" t="s">
        <v>5127</v>
      </c>
      <c r="E3894" s="8">
        <v>15000</v>
      </c>
      <c r="F3894" s="13" t="s">
        <v>70</v>
      </c>
      <c r="G3894" s="14">
        <v>44853</v>
      </c>
      <c r="H3894" s="13" t="s">
        <v>9</v>
      </c>
    </row>
    <row r="3895" spans="1:8" ht="14.4" x14ac:dyDescent="0.3">
      <c r="A3895" s="8">
        <v>82188716</v>
      </c>
      <c r="B3895" s="11">
        <v>44851</v>
      </c>
      <c r="C3895" s="13" t="s">
        <v>5128</v>
      </c>
      <c r="D3895" s="13" t="s">
        <v>5129</v>
      </c>
      <c r="E3895" s="8">
        <v>11000</v>
      </c>
      <c r="F3895" s="13" t="s">
        <v>70</v>
      </c>
      <c r="G3895" s="14">
        <v>44855</v>
      </c>
      <c r="H3895" s="13" t="s">
        <v>9</v>
      </c>
    </row>
    <row r="3896" spans="1:8" ht="14.4" x14ac:dyDescent="0.3">
      <c r="A3896" s="8">
        <v>82188717</v>
      </c>
      <c r="B3896" s="11">
        <v>44851</v>
      </c>
      <c r="C3896" s="13" t="s">
        <v>5130</v>
      </c>
      <c r="D3896" s="13" t="s">
        <v>5131</v>
      </c>
      <c r="E3896" s="8">
        <v>26500</v>
      </c>
      <c r="F3896" s="13" t="s">
        <v>70</v>
      </c>
      <c r="G3896" s="14">
        <v>44854</v>
      </c>
      <c r="H3896" s="13" t="s">
        <v>9</v>
      </c>
    </row>
    <row r="3897" spans="1:8" ht="14.4" x14ac:dyDescent="0.3">
      <c r="A3897" s="8">
        <v>82188718</v>
      </c>
      <c r="B3897" s="11">
        <v>44851</v>
      </c>
      <c r="C3897" s="13" t="s">
        <v>5132</v>
      </c>
      <c r="D3897" s="13" t="s">
        <v>5133</v>
      </c>
      <c r="E3897" s="8">
        <v>15600</v>
      </c>
      <c r="F3897" s="13" t="s">
        <v>70</v>
      </c>
      <c r="G3897" s="14">
        <v>44853</v>
      </c>
      <c r="H3897" s="13" t="s">
        <v>9</v>
      </c>
    </row>
    <row r="3898" spans="1:8" ht="14.4" x14ac:dyDescent="0.3">
      <c r="A3898" s="8">
        <v>82188719</v>
      </c>
      <c r="B3898" s="11">
        <v>44851</v>
      </c>
      <c r="C3898" s="13" t="s">
        <v>5134</v>
      </c>
      <c r="D3898" s="13" t="s">
        <v>5135</v>
      </c>
      <c r="E3898" s="8">
        <v>18000</v>
      </c>
      <c r="F3898" s="13" t="s">
        <v>70</v>
      </c>
      <c r="G3898" s="14">
        <v>44854</v>
      </c>
      <c r="H3898" s="13" t="s">
        <v>9</v>
      </c>
    </row>
    <row r="3899" spans="1:8" ht="14.4" x14ac:dyDescent="0.3">
      <c r="A3899" s="8">
        <v>82188720</v>
      </c>
      <c r="B3899" s="11">
        <v>44851</v>
      </c>
      <c r="C3899" s="13" t="s">
        <v>5136</v>
      </c>
      <c r="D3899" s="13" t="s">
        <v>5137</v>
      </c>
      <c r="E3899" s="8">
        <v>9000</v>
      </c>
      <c r="F3899" s="13" t="s">
        <v>70</v>
      </c>
      <c r="G3899" s="14">
        <v>44853</v>
      </c>
      <c r="H3899" s="13" t="s">
        <v>9</v>
      </c>
    </row>
    <row r="3900" spans="1:8" ht="14.4" x14ac:dyDescent="0.3">
      <c r="A3900" s="8">
        <v>82188721</v>
      </c>
      <c r="B3900" s="11">
        <v>44851</v>
      </c>
      <c r="C3900" s="13" t="s">
        <v>5138</v>
      </c>
      <c r="D3900" s="13" t="s">
        <v>5139</v>
      </c>
      <c r="E3900" s="8">
        <v>30000</v>
      </c>
      <c r="F3900" s="13" t="s">
        <v>70</v>
      </c>
      <c r="G3900" s="14">
        <v>44853</v>
      </c>
      <c r="H3900" s="13" t="s">
        <v>9</v>
      </c>
    </row>
    <row r="3901" spans="1:8" ht="14.4" x14ac:dyDescent="0.3">
      <c r="A3901" s="8">
        <v>82188722</v>
      </c>
      <c r="B3901" s="11">
        <v>44851</v>
      </c>
      <c r="C3901" s="13" t="s">
        <v>5140</v>
      </c>
      <c r="D3901" s="13" t="s">
        <v>5141</v>
      </c>
      <c r="E3901" s="8">
        <v>10000</v>
      </c>
      <c r="F3901" s="13" t="s">
        <v>70</v>
      </c>
      <c r="G3901" s="14">
        <v>44854</v>
      </c>
      <c r="H3901" s="13" t="s">
        <v>9</v>
      </c>
    </row>
    <row r="3902" spans="1:8" ht="14.4" x14ac:dyDescent="0.3">
      <c r="A3902" s="8">
        <v>82188723</v>
      </c>
      <c r="B3902" s="11">
        <v>44851</v>
      </c>
      <c r="C3902" s="13" t="s">
        <v>5142</v>
      </c>
      <c r="D3902" s="13" t="s">
        <v>5143</v>
      </c>
      <c r="E3902" s="8">
        <v>10000</v>
      </c>
      <c r="F3902" s="13" t="s">
        <v>70</v>
      </c>
      <c r="G3902" s="14">
        <v>44853</v>
      </c>
      <c r="H3902" s="13" t="s">
        <v>9</v>
      </c>
    </row>
    <row r="3903" spans="1:8" ht="14.4" x14ac:dyDescent="0.3">
      <c r="A3903" s="8">
        <v>82188724</v>
      </c>
      <c r="B3903" s="11">
        <v>44851</v>
      </c>
      <c r="C3903" s="13" t="s">
        <v>5144</v>
      </c>
      <c r="D3903" s="13" t="s">
        <v>5145</v>
      </c>
      <c r="E3903" s="8">
        <v>8000</v>
      </c>
      <c r="F3903" s="13" t="s">
        <v>70</v>
      </c>
      <c r="G3903" s="14">
        <v>44854</v>
      </c>
      <c r="H3903" s="13" t="s">
        <v>9</v>
      </c>
    </row>
    <row r="3904" spans="1:8" ht="14.4" x14ac:dyDescent="0.3">
      <c r="A3904" s="8">
        <v>82188725</v>
      </c>
      <c r="B3904" s="11">
        <v>44851</v>
      </c>
      <c r="C3904" s="13" t="s">
        <v>5146</v>
      </c>
      <c r="D3904" s="13" t="s">
        <v>5147</v>
      </c>
      <c r="E3904" s="8">
        <v>7000</v>
      </c>
      <c r="F3904" s="13" t="s">
        <v>70</v>
      </c>
      <c r="G3904" s="14">
        <v>44853</v>
      </c>
      <c r="H3904" s="13" t="s">
        <v>9</v>
      </c>
    </row>
    <row r="3905" spans="1:8" ht="14.4" x14ac:dyDescent="0.3">
      <c r="A3905" s="8">
        <v>82188726</v>
      </c>
      <c r="B3905" s="11">
        <v>44851</v>
      </c>
      <c r="C3905" s="13" t="s">
        <v>122</v>
      </c>
      <c r="D3905" s="13" t="s">
        <v>5148</v>
      </c>
      <c r="E3905" s="8">
        <v>10000</v>
      </c>
      <c r="F3905" s="13" t="s">
        <v>70</v>
      </c>
      <c r="G3905" s="14">
        <v>44858</v>
      </c>
      <c r="H3905" s="13" t="s">
        <v>9</v>
      </c>
    </row>
    <row r="3906" spans="1:8" ht="14.4" x14ac:dyDescent="0.3">
      <c r="A3906" s="8">
        <v>82188727</v>
      </c>
      <c r="B3906" s="11">
        <v>44851</v>
      </c>
      <c r="C3906" s="13" t="s">
        <v>5149</v>
      </c>
      <c r="D3906" s="13" t="s">
        <v>150</v>
      </c>
      <c r="E3906" s="8">
        <v>30000</v>
      </c>
      <c r="F3906" s="13" t="s">
        <v>70</v>
      </c>
      <c r="G3906" s="14">
        <v>44853</v>
      </c>
      <c r="H3906" s="13" t="s">
        <v>9</v>
      </c>
    </row>
    <row r="3907" spans="1:8" ht="14.4" x14ac:dyDescent="0.3">
      <c r="A3907" s="8">
        <v>82188728</v>
      </c>
      <c r="B3907" s="11">
        <v>44851</v>
      </c>
      <c r="C3907" s="13" t="s">
        <v>5150</v>
      </c>
      <c r="D3907" s="13" t="s">
        <v>47</v>
      </c>
      <c r="E3907" s="8">
        <v>20000</v>
      </c>
      <c r="F3907" s="13" t="s">
        <v>70</v>
      </c>
      <c r="G3907" s="14">
        <v>44853</v>
      </c>
      <c r="H3907" s="13" t="s">
        <v>9</v>
      </c>
    </row>
    <row r="3908" spans="1:8" ht="14.4" x14ac:dyDescent="0.3">
      <c r="A3908" s="8">
        <v>82188729</v>
      </c>
      <c r="B3908" s="11">
        <v>44851</v>
      </c>
      <c r="C3908" s="13" t="s">
        <v>5151</v>
      </c>
      <c r="D3908" s="13" t="s">
        <v>5152</v>
      </c>
      <c r="E3908" s="8">
        <v>9000</v>
      </c>
      <c r="F3908" s="13" t="s">
        <v>70</v>
      </c>
      <c r="G3908" s="14">
        <v>44853</v>
      </c>
      <c r="H3908" s="13" t="s">
        <v>9</v>
      </c>
    </row>
    <row r="3909" spans="1:8" ht="14.4" x14ac:dyDescent="0.3">
      <c r="A3909" s="8">
        <v>82188730</v>
      </c>
      <c r="B3909" s="11">
        <v>44851</v>
      </c>
      <c r="C3909" s="13" t="s">
        <v>5153</v>
      </c>
      <c r="D3909" s="13" t="s">
        <v>5154</v>
      </c>
      <c r="E3909" s="8">
        <v>7000</v>
      </c>
      <c r="F3909" s="13" t="s">
        <v>70</v>
      </c>
      <c r="G3909" s="14">
        <v>44853</v>
      </c>
      <c r="H3909" s="13" t="s">
        <v>9</v>
      </c>
    </row>
    <row r="3910" spans="1:8" ht="14.4" x14ac:dyDescent="0.3">
      <c r="A3910" s="8">
        <v>82188731</v>
      </c>
      <c r="B3910" s="11">
        <v>44852</v>
      </c>
      <c r="C3910" s="13" t="s">
        <v>5155</v>
      </c>
      <c r="D3910" s="13" t="s">
        <v>5156</v>
      </c>
      <c r="E3910" s="8">
        <v>15000</v>
      </c>
      <c r="F3910" s="13" t="s">
        <v>70</v>
      </c>
      <c r="G3910" s="14">
        <v>44855</v>
      </c>
      <c r="H3910" s="13" t="s">
        <v>9</v>
      </c>
    </row>
    <row r="3911" spans="1:8" ht="14.4" x14ac:dyDescent="0.3">
      <c r="A3911" s="8">
        <v>82188732</v>
      </c>
      <c r="B3911" s="11">
        <v>44852</v>
      </c>
      <c r="C3911" s="13" t="s">
        <v>791</v>
      </c>
      <c r="D3911" s="13" t="s">
        <v>21</v>
      </c>
      <c r="E3911" s="8">
        <v>6000</v>
      </c>
      <c r="F3911" s="13" t="s">
        <v>70</v>
      </c>
      <c r="G3911" s="14">
        <v>44855</v>
      </c>
      <c r="H3911" s="13" t="s">
        <v>9</v>
      </c>
    </row>
    <row r="3912" spans="1:8" ht="14.4" x14ac:dyDescent="0.3">
      <c r="A3912" s="8">
        <v>82188733</v>
      </c>
      <c r="B3912" s="11">
        <v>44852</v>
      </c>
      <c r="C3912" s="13" t="s">
        <v>186</v>
      </c>
      <c r="D3912" s="13" t="s">
        <v>5157</v>
      </c>
      <c r="E3912" s="8">
        <v>525</v>
      </c>
      <c r="F3912" s="13" t="s">
        <v>70</v>
      </c>
      <c r="G3912" s="14">
        <v>44854</v>
      </c>
      <c r="H3912" s="13" t="s">
        <v>9</v>
      </c>
    </row>
    <row r="3913" spans="1:8" ht="14.4" x14ac:dyDescent="0.3">
      <c r="A3913" s="8">
        <v>82188734</v>
      </c>
      <c r="B3913" s="11">
        <v>44852</v>
      </c>
      <c r="C3913" s="13" t="s">
        <v>186</v>
      </c>
      <c r="D3913" s="13" t="s">
        <v>5158</v>
      </c>
      <c r="E3913" s="8">
        <v>525</v>
      </c>
      <c r="F3913" s="13" t="s">
        <v>70</v>
      </c>
      <c r="G3913" s="14">
        <v>44854</v>
      </c>
      <c r="H3913" s="13" t="s">
        <v>9</v>
      </c>
    </row>
    <row r="3914" spans="1:8" ht="14.4" x14ac:dyDescent="0.3">
      <c r="A3914" s="8">
        <v>82188735</v>
      </c>
      <c r="B3914" s="11">
        <v>44852</v>
      </c>
      <c r="C3914" s="13" t="s">
        <v>71</v>
      </c>
      <c r="D3914" s="13" t="s">
        <v>5159</v>
      </c>
      <c r="E3914" s="8">
        <v>513935.49</v>
      </c>
      <c r="F3914" s="13" t="s">
        <v>70</v>
      </c>
      <c r="G3914" s="14">
        <v>44874</v>
      </c>
      <c r="H3914" s="13" t="s">
        <v>9</v>
      </c>
    </row>
    <row r="3915" spans="1:8" ht="14.4" x14ac:dyDescent="0.3">
      <c r="A3915" s="8">
        <v>82188736</v>
      </c>
      <c r="B3915" s="11">
        <v>44852</v>
      </c>
      <c r="C3915" s="13" t="s">
        <v>71</v>
      </c>
      <c r="D3915" s="13" t="s">
        <v>5160</v>
      </c>
      <c r="E3915" s="8">
        <v>297679.5</v>
      </c>
      <c r="F3915" s="13" t="s">
        <v>70</v>
      </c>
      <c r="G3915" s="14">
        <v>44874</v>
      </c>
      <c r="H3915" s="13" t="s">
        <v>9</v>
      </c>
    </row>
    <row r="3916" spans="1:8" ht="14.4" x14ac:dyDescent="0.3">
      <c r="A3916" s="8">
        <v>82188737</v>
      </c>
      <c r="B3916" s="11">
        <v>44852</v>
      </c>
      <c r="C3916" s="13" t="s">
        <v>71</v>
      </c>
      <c r="D3916" s="13" t="s">
        <v>5161</v>
      </c>
      <c r="E3916" s="8">
        <v>121825.87</v>
      </c>
      <c r="F3916" s="13" t="s">
        <v>70</v>
      </c>
      <c r="G3916" s="14">
        <v>44862</v>
      </c>
      <c r="H3916" s="13" t="s">
        <v>9</v>
      </c>
    </row>
    <row r="3917" spans="1:8" ht="14.4" x14ac:dyDescent="0.3">
      <c r="A3917" s="8">
        <v>82188738</v>
      </c>
      <c r="B3917" s="11">
        <v>44852</v>
      </c>
      <c r="C3917" s="13" t="s">
        <v>71</v>
      </c>
      <c r="D3917" s="13" t="s">
        <v>5162</v>
      </c>
      <c r="E3917" s="8">
        <v>98626.13</v>
      </c>
      <c r="F3917" s="13" t="s">
        <v>70</v>
      </c>
      <c r="G3917" s="14">
        <v>44874</v>
      </c>
      <c r="H3917" s="13" t="s">
        <v>9</v>
      </c>
    </row>
    <row r="3918" spans="1:8" ht="14.4" x14ac:dyDescent="0.3">
      <c r="A3918" s="8">
        <v>82188739</v>
      </c>
      <c r="B3918" s="11">
        <v>44852</v>
      </c>
      <c r="C3918" s="13" t="s">
        <v>4765</v>
      </c>
      <c r="D3918" s="13" t="s">
        <v>5163</v>
      </c>
      <c r="E3918" s="8">
        <v>5960</v>
      </c>
      <c r="F3918" s="13" t="s">
        <v>70</v>
      </c>
      <c r="G3918" s="14">
        <v>44854</v>
      </c>
      <c r="H3918" s="13" t="s">
        <v>9</v>
      </c>
    </row>
    <row r="3919" spans="1:8" ht="14.4" x14ac:dyDescent="0.3">
      <c r="A3919" s="8">
        <v>82188740</v>
      </c>
      <c r="B3919" s="11">
        <v>44852</v>
      </c>
      <c r="C3919" s="13" t="s">
        <v>4765</v>
      </c>
      <c r="D3919" s="13" t="s">
        <v>5164</v>
      </c>
      <c r="E3919" s="8">
        <v>10842</v>
      </c>
      <c r="F3919" s="13" t="s">
        <v>70</v>
      </c>
      <c r="G3919" s="14">
        <v>44854</v>
      </c>
      <c r="H3919" s="13" t="s">
        <v>9</v>
      </c>
    </row>
    <row r="3920" spans="1:8" ht="14.4" x14ac:dyDescent="0.3">
      <c r="A3920" s="8">
        <v>82188741</v>
      </c>
      <c r="B3920" s="11">
        <v>44852</v>
      </c>
      <c r="C3920" s="13" t="s">
        <v>265</v>
      </c>
      <c r="D3920" s="13" t="s">
        <v>5165</v>
      </c>
      <c r="E3920" s="8">
        <v>14701</v>
      </c>
      <c r="F3920" s="13" t="s">
        <v>70</v>
      </c>
      <c r="G3920" s="14">
        <v>44854</v>
      </c>
      <c r="H3920" s="13" t="s">
        <v>9</v>
      </c>
    </row>
    <row r="3921" spans="1:8" ht="14.4" x14ac:dyDescent="0.3">
      <c r="A3921" s="8">
        <v>82188742</v>
      </c>
      <c r="B3921" s="11">
        <v>44852</v>
      </c>
      <c r="C3921" s="13" t="s">
        <v>567</v>
      </c>
      <c r="D3921" s="13" t="s">
        <v>21</v>
      </c>
      <c r="E3921" s="8">
        <v>6000</v>
      </c>
      <c r="F3921" s="13" t="s">
        <v>70</v>
      </c>
      <c r="G3921" s="14">
        <v>44853</v>
      </c>
      <c r="H3921" s="13" t="s">
        <v>9</v>
      </c>
    </row>
    <row r="3922" spans="1:8" ht="14.4" x14ac:dyDescent="0.3">
      <c r="A3922" s="8">
        <v>82188744</v>
      </c>
      <c r="B3922" s="11">
        <v>44852</v>
      </c>
      <c r="C3922" s="13" t="s">
        <v>563</v>
      </c>
      <c r="D3922" s="13" t="s">
        <v>21</v>
      </c>
      <c r="E3922" s="8">
        <v>5000</v>
      </c>
      <c r="F3922" s="13" t="s">
        <v>70</v>
      </c>
      <c r="G3922" s="14">
        <v>44855</v>
      </c>
      <c r="H3922" s="13" t="s">
        <v>9</v>
      </c>
    </row>
    <row r="3923" spans="1:8" ht="14.4" x14ac:dyDescent="0.3">
      <c r="A3923" s="8">
        <v>82188745</v>
      </c>
      <c r="B3923" s="11">
        <v>44852</v>
      </c>
      <c r="C3923" s="13" t="s">
        <v>161</v>
      </c>
      <c r="D3923" s="13" t="s">
        <v>21</v>
      </c>
      <c r="E3923" s="8">
        <v>6000</v>
      </c>
      <c r="F3923" s="13" t="s">
        <v>70</v>
      </c>
      <c r="G3923" s="14">
        <v>44868</v>
      </c>
      <c r="H3923" s="13" t="s">
        <v>9</v>
      </c>
    </row>
    <row r="3924" spans="1:8" ht="14.4" x14ac:dyDescent="0.3">
      <c r="A3924" s="8">
        <v>82188746</v>
      </c>
      <c r="B3924" s="11">
        <v>44852</v>
      </c>
      <c r="C3924" s="13" t="s">
        <v>562</v>
      </c>
      <c r="D3924" s="13" t="s">
        <v>21</v>
      </c>
      <c r="E3924" s="8">
        <v>6000</v>
      </c>
      <c r="F3924" s="13" t="s">
        <v>70</v>
      </c>
      <c r="G3924" s="14">
        <v>44858</v>
      </c>
      <c r="H3924" s="13" t="s">
        <v>9</v>
      </c>
    </row>
    <row r="3925" spans="1:8" ht="14.4" x14ac:dyDescent="0.3">
      <c r="A3925" s="8">
        <v>82188747</v>
      </c>
      <c r="B3925" s="11">
        <v>44852</v>
      </c>
      <c r="C3925" s="13" t="s">
        <v>300</v>
      </c>
      <c r="D3925" s="13" t="s">
        <v>5166</v>
      </c>
      <c r="E3925" s="8">
        <v>6000</v>
      </c>
      <c r="F3925" s="13" t="s">
        <v>70</v>
      </c>
      <c r="G3925" s="14">
        <v>44859</v>
      </c>
      <c r="H3925" s="13" t="s">
        <v>9</v>
      </c>
    </row>
    <row r="3926" spans="1:8" ht="14.4" x14ac:dyDescent="0.3">
      <c r="A3926" s="8">
        <v>82188749</v>
      </c>
      <c r="B3926" s="11">
        <v>44852</v>
      </c>
      <c r="C3926" s="13" t="s">
        <v>5167</v>
      </c>
      <c r="D3926" s="13" t="s">
        <v>5168</v>
      </c>
      <c r="E3926" s="8">
        <v>20000</v>
      </c>
      <c r="F3926" s="13" t="s">
        <v>70</v>
      </c>
      <c r="G3926" s="14">
        <v>44859</v>
      </c>
      <c r="H3926" s="13" t="s">
        <v>9</v>
      </c>
    </row>
    <row r="3927" spans="1:8" ht="14.4" x14ac:dyDescent="0.3">
      <c r="A3927" s="8">
        <v>82188750</v>
      </c>
      <c r="B3927" s="11">
        <v>44852</v>
      </c>
      <c r="C3927" s="13" t="s">
        <v>5169</v>
      </c>
      <c r="D3927" s="13" t="s">
        <v>5170</v>
      </c>
      <c r="E3927" s="8">
        <v>20000</v>
      </c>
      <c r="F3927" s="13" t="s">
        <v>70</v>
      </c>
      <c r="G3927" s="14">
        <v>44861</v>
      </c>
      <c r="H3927" s="13" t="s">
        <v>9</v>
      </c>
    </row>
    <row r="3928" spans="1:8" ht="14.4" x14ac:dyDescent="0.3">
      <c r="A3928" s="8">
        <v>82188751</v>
      </c>
      <c r="B3928" s="11">
        <v>44852</v>
      </c>
      <c r="C3928" s="13" t="s">
        <v>5171</v>
      </c>
      <c r="D3928" s="13" t="s">
        <v>5172</v>
      </c>
      <c r="E3928" s="8">
        <v>20000</v>
      </c>
      <c r="F3928" s="13" t="s">
        <v>70</v>
      </c>
      <c r="G3928" s="14">
        <v>44862</v>
      </c>
      <c r="H3928" s="13" t="s">
        <v>9</v>
      </c>
    </row>
    <row r="3929" spans="1:8" ht="14.4" x14ac:dyDescent="0.3">
      <c r="A3929" s="8">
        <v>82188752</v>
      </c>
      <c r="B3929" s="11">
        <v>44852</v>
      </c>
      <c r="C3929" s="13" t="s">
        <v>5173</v>
      </c>
      <c r="D3929" s="13" t="s">
        <v>5174</v>
      </c>
      <c r="E3929" s="8">
        <v>50000</v>
      </c>
      <c r="F3929" s="13" t="s">
        <v>70</v>
      </c>
      <c r="G3929" s="14">
        <v>44868</v>
      </c>
      <c r="H3929" s="13" t="s">
        <v>9</v>
      </c>
    </row>
    <row r="3930" spans="1:8" ht="14.4" x14ac:dyDescent="0.3">
      <c r="A3930" s="8">
        <v>82188754</v>
      </c>
      <c r="B3930" s="11">
        <v>44852</v>
      </c>
      <c r="C3930" s="13" t="s">
        <v>5175</v>
      </c>
      <c r="D3930" s="13" t="s">
        <v>5176</v>
      </c>
      <c r="E3930" s="8">
        <v>20000</v>
      </c>
      <c r="F3930" s="13" t="s">
        <v>70</v>
      </c>
      <c r="G3930" s="14">
        <v>44854</v>
      </c>
      <c r="H3930" s="13" t="s">
        <v>9</v>
      </c>
    </row>
    <row r="3931" spans="1:8" ht="14.4" x14ac:dyDescent="0.3">
      <c r="A3931" s="8">
        <v>82188755</v>
      </c>
      <c r="B3931" s="11">
        <v>44852</v>
      </c>
      <c r="C3931" s="13" t="s">
        <v>5177</v>
      </c>
      <c r="D3931" s="13" t="s">
        <v>5178</v>
      </c>
      <c r="E3931" s="8">
        <v>20000</v>
      </c>
      <c r="F3931" s="13" t="s">
        <v>70</v>
      </c>
      <c r="G3931" s="14">
        <v>44854</v>
      </c>
      <c r="H3931" s="13" t="s">
        <v>9</v>
      </c>
    </row>
    <row r="3932" spans="1:8" ht="14.4" x14ac:dyDescent="0.3">
      <c r="A3932" s="8">
        <v>82188756</v>
      </c>
      <c r="B3932" s="11">
        <v>44852</v>
      </c>
      <c r="C3932" s="13" t="s">
        <v>5179</v>
      </c>
      <c r="D3932" s="13" t="s">
        <v>5180</v>
      </c>
      <c r="E3932" s="8">
        <v>20000</v>
      </c>
      <c r="F3932" s="13" t="s">
        <v>70</v>
      </c>
      <c r="G3932" s="14">
        <v>44861</v>
      </c>
      <c r="H3932" s="13" t="s">
        <v>9</v>
      </c>
    </row>
    <row r="3933" spans="1:8" ht="14.4" x14ac:dyDescent="0.3">
      <c r="A3933" s="8">
        <v>82188757</v>
      </c>
      <c r="B3933" s="11">
        <v>44852</v>
      </c>
      <c r="C3933" s="13" t="s">
        <v>5181</v>
      </c>
      <c r="D3933" s="13" t="s">
        <v>5182</v>
      </c>
      <c r="E3933" s="8">
        <v>20000</v>
      </c>
      <c r="F3933" s="13" t="s">
        <v>70</v>
      </c>
      <c r="G3933" s="14">
        <v>44854</v>
      </c>
      <c r="H3933" s="13" t="s">
        <v>9</v>
      </c>
    </row>
    <row r="3934" spans="1:8" ht="14.4" x14ac:dyDescent="0.3">
      <c r="A3934" s="8">
        <v>82188758</v>
      </c>
      <c r="B3934" s="11">
        <v>44852</v>
      </c>
      <c r="C3934" s="13" t="s">
        <v>5183</v>
      </c>
      <c r="D3934" s="13" t="s">
        <v>22</v>
      </c>
      <c r="E3934" s="8">
        <v>20000</v>
      </c>
      <c r="F3934" s="13" t="s">
        <v>70</v>
      </c>
      <c r="G3934" s="14">
        <v>44854</v>
      </c>
      <c r="H3934" s="13" t="s">
        <v>9</v>
      </c>
    </row>
    <row r="3935" spans="1:8" ht="14.4" x14ac:dyDescent="0.3">
      <c r="A3935" s="8">
        <v>82188759</v>
      </c>
      <c r="B3935" s="11">
        <v>44852</v>
      </c>
      <c r="C3935" s="13" t="s">
        <v>5184</v>
      </c>
      <c r="D3935" s="13" t="s">
        <v>5185</v>
      </c>
      <c r="E3935" s="8">
        <v>20000</v>
      </c>
      <c r="F3935" s="13" t="s">
        <v>70</v>
      </c>
      <c r="G3935" s="14">
        <v>44855</v>
      </c>
      <c r="H3935" s="13" t="s">
        <v>9</v>
      </c>
    </row>
    <row r="3936" spans="1:8" ht="14.4" x14ac:dyDescent="0.3">
      <c r="A3936" s="8">
        <v>82188760</v>
      </c>
      <c r="B3936" s="11">
        <v>44852</v>
      </c>
      <c r="C3936" s="13" t="s">
        <v>5186</v>
      </c>
      <c r="D3936" s="13" t="s">
        <v>5187</v>
      </c>
      <c r="E3936" s="8">
        <v>20000</v>
      </c>
      <c r="F3936" s="13" t="s">
        <v>70</v>
      </c>
      <c r="G3936" s="14">
        <v>44855</v>
      </c>
      <c r="H3936" s="13" t="s">
        <v>9</v>
      </c>
    </row>
    <row r="3937" spans="1:8" ht="14.4" x14ac:dyDescent="0.3">
      <c r="A3937" s="8">
        <v>82188761</v>
      </c>
      <c r="B3937" s="11">
        <v>44852</v>
      </c>
      <c r="C3937" s="13" t="s">
        <v>5188</v>
      </c>
      <c r="D3937" s="13" t="s">
        <v>5189</v>
      </c>
      <c r="E3937" s="8">
        <v>20000</v>
      </c>
      <c r="F3937" s="13" t="s">
        <v>70</v>
      </c>
      <c r="G3937" s="14">
        <v>44862</v>
      </c>
      <c r="H3937" s="13" t="s">
        <v>9</v>
      </c>
    </row>
    <row r="3938" spans="1:8" ht="14.4" x14ac:dyDescent="0.3">
      <c r="A3938" s="8">
        <v>82188762</v>
      </c>
      <c r="B3938" s="11">
        <v>44852</v>
      </c>
      <c r="C3938" s="13" t="s">
        <v>5190</v>
      </c>
      <c r="D3938" s="13" t="s">
        <v>5191</v>
      </c>
      <c r="E3938" s="8">
        <v>20000</v>
      </c>
      <c r="F3938" s="13" t="s">
        <v>70</v>
      </c>
      <c r="G3938" s="14">
        <v>44854</v>
      </c>
      <c r="H3938" s="13" t="s">
        <v>9</v>
      </c>
    </row>
    <row r="3939" spans="1:8" ht="14.4" x14ac:dyDescent="0.3">
      <c r="A3939" s="8">
        <v>82188763</v>
      </c>
      <c r="B3939" s="11">
        <v>44852</v>
      </c>
      <c r="C3939" s="13" t="s">
        <v>5192</v>
      </c>
      <c r="D3939" s="13" t="s">
        <v>5193</v>
      </c>
      <c r="E3939" s="8">
        <v>20000</v>
      </c>
      <c r="F3939" s="13" t="s">
        <v>70</v>
      </c>
      <c r="G3939" s="14">
        <v>44855</v>
      </c>
      <c r="H3939" s="13" t="s">
        <v>9</v>
      </c>
    </row>
    <row r="3940" spans="1:8" ht="14.4" x14ac:dyDescent="0.3">
      <c r="A3940" s="8">
        <v>82188764</v>
      </c>
      <c r="B3940" s="11">
        <v>44852</v>
      </c>
      <c r="C3940" s="13" t="s">
        <v>5194</v>
      </c>
      <c r="D3940" s="13" t="s">
        <v>5195</v>
      </c>
      <c r="E3940" s="8">
        <v>20000</v>
      </c>
      <c r="F3940" s="13" t="s">
        <v>70</v>
      </c>
      <c r="G3940" s="14">
        <v>44860</v>
      </c>
      <c r="H3940" s="13" t="s">
        <v>9</v>
      </c>
    </row>
    <row r="3941" spans="1:8" ht="14.4" x14ac:dyDescent="0.3">
      <c r="A3941" s="8">
        <v>82188765</v>
      </c>
      <c r="B3941" s="11">
        <v>44852</v>
      </c>
      <c r="C3941" s="13" t="s">
        <v>5196</v>
      </c>
      <c r="D3941" s="13" t="s">
        <v>5197</v>
      </c>
      <c r="E3941" s="8">
        <v>20000</v>
      </c>
      <c r="F3941" s="13" t="s">
        <v>70</v>
      </c>
      <c r="G3941" s="14">
        <v>44855</v>
      </c>
      <c r="H3941" s="13" t="s">
        <v>9</v>
      </c>
    </row>
    <row r="3942" spans="1:8" ht="14.4" x14ac:dyDescent="0.3">
      <c r="A3942" s="8">
        <v>82188767</v>
      </c>
      <c r="B3942" s="11">
        <v>44852</v>
      </c>
      <c r="C3942" s="13" t="s">
        <v>42</v>
      </c>
      <c r="D3942" s="13" t="s">
        <v>5198</v>
      </c>
      <c r="E3942" s="8">
        <v>107831.53</v>
      </c>
      <c r="F3942" s="13" t="s">
        <v>70</v>
      </c>
      <c r="G3942" s="14">
        <v>44855</v>
      </c>
      <c r="H3942" s="13" t="s">
        <v>9</v>
      </c>
    </row>
    <row r="3943" spans="1:8" ht="14.4" x14ac:dyDescent="0.3">
      <c r="A3943" s="8">
        <v>82188768</v>
      </c>
      <c r="B3943" s="11">
        <v>44852</v>
      </c>
      <c r="C3943" s="13" t="s">
        <v>42</v>
      </c>
      <c r="D3943" s="13" t="s">
        <v>5199</v>
      </c>
      <c r="E3943" s="8">
        <v>159636</v>
      </c>
      <c r="F3943" s="13" t="s">
        <v>70</v>
      </c>
      <c r="G3943" s="14">
        <v>44855</v>
      </c>
      <c r="H3943" s="13" t="s">
        <v>9</v>
      </c>
    </row>
    <row r="3944" spans="1:8" ht="14.4" x14ac:dyDescent="0.3">
      <c r="A3944" s="8">
        <v>82188769</v>
      </c>
      <c r="B3944" s="11">
        <v>44852</v>
      </c>
      <c r="C3944" s="13" t="s">
        <v>5200</v>
      </c>
      <c r="D3944" s="13" t="s">
        <v>5201</v>
      </c>
      <c r="E3944" s="8">
        <v>15000</v>
      </c>
      <c r="F3944" s="13" t="s">
        <v>70</v>
      </c>
      <c r="G3944" s="14">
        <v>44852</v>
      </c>
      <c r="H3944" s="13" t="s">
        <v>9</v>
      </c>
    </row>
    <row r="3945" spans="1:8" ht="14.4" x14ac:dyDescent="0.3">
      <c r="A3945" s="8">
        <v>82188770</v>
      </c>
      <c r="B3945" s="11">
        <v>44852</v>
      </c>
      <c r="C3945" s="13" t="s">
        <v>1531</v>
      </c>
      <c r="D3945" s="13" t="s">
        <v>5202</v>
      </c>
      <c r="E3945" s="8">
        <v>3046.87</v>
      </c>
      <c r="F3945" s="13" t="s">
        <v>70</v>
      </c>
      <c r="G3945" s="14">
        <v>44853</v>
      </c>
      <c r="H3945" s="13" t="s">
        <v>9</v>
      </c>
    </row>
    <row r="3946" spans="1:8" ht="14.4" x14ac:dyDescent="0.3">
      <c r="A3946" s="8">
        <v>82188771</v>
      </c>
      <c r="B3946" s="11">
        <v>44852</v>
      </c>
      <c r="C3946" s="13" t="s">
        <v>44</v>
      </c>
      <c r="D3946" s="13" t="s">
        <v>5203</v>
      </c>
      <c r="E3946" s="8">
        <v>24150</v>
      </c>
      <c r="F3946" s="13" t="s">
        <v>70</v>
      </c>
      <c r="G3946" s="14">
        <v>44853</v>
      </c>
      <c r="H3946" s="13" t="s">
        <v>9</v>
      </c>
    </row>
    <row r="3947" spans="1:8" ht="14.4" x14ac:dyDescent="0.3">
      <c r="A3947" s="8">
        <v>82188772</v>
      </c>
      <c r="B3947" s="11">
        <v>44852</v>
      </c>
      <c r="C3947" s="13" t="s">
        <v>884</v>
      </c>
      <c r="D3947" s="13" t="s">
        <v>5204</v>
      </c>
      <c r="E3947" s="8">
        <v>20000</v>
      </c>
      <c r="F3947" s="13" t="s">
        <v>70</v>
      </c>
      <c r="G3947" s="14">
        <v>44853</v>
      </c>
      <c r="H3947" s="13" t="s">
        <v>9</v>
      </c>
    </row>
    <row r="3948" spans="1:8" ht="14.4" x14ac:dyDescent="0.3">
      <c r="A3948" s="8">
        <v>82188773</v>
      </c>
      <c r="B3948" s="11">
        <v>44852</v>
      </c>
      <c r="C3948" s="13" t="s">
        <v>361</v>
      </c>
      <c r="D3948" s="13" t="s">
        <v>5205</v>
      </c>
      <c r="E3948" s="8">
        <v>5110</v>
      </c>
      <c r="F3948" s="13" t="s">
        <v>70</v>
      </c>
      <c r="G3948" s="14">
        <v>44858</v>
      </c>
      <c r="H3948" s="13" t="s">
        <v>9</v>
      </c>
    </row>
    <row r="3949" spans="1:8" ht="14.4" x14ac:dyDescent="0.3">
      <c r="A3949" s="8">
        <v>82188774</v>
      </c>
      <c r="B3949" s="11">
        <v>44852</v>
      </c>
      <c r="C3949" s="13" t="s">
        <v>5206</v>
      </c>
      <c r="D3949" s="13" t="s">
        <v>5207</v>
      </c>
      <c r="E3949" s="8">
        <v>37230.769999999997</v>
      </c>
      <c r="F3949" s="13" t="s">
        <v>70</v>
      </c>
      <c r="G3949" s="14">
        <v>44859</v>
      </c>
      <c r="H3949" s="13" t="s">
        <v>9</v>
      </c>
    </row>
    <row r="3950" spans="1:8" ht="14.4" x14ac:dyDescent="0.3">
      <c r="A3950" s="8">
        <v>82188775</v>
      </c>
      <c r="B3950" s="11">
        <v>44852</v>
      </c>
      <c r="C3950" s="13" t="s">
        <v>3838</v>
      </c>
      <c r="D3950" s="13" t="s">
        <v>5208</v>
      </c>
      <c r="E3950" s="8">
        <v>33147.4</v>
      </c>
      <c r="F3950" s="13" t="s">
        <v>70</v>
      </c>
      <c r="G3950" s="14">
        <v>44859</v>
      </c>
      <c r="H3950" s="13" t="s">
        <v>9</v>
      </c>
    </row>
    <row r="3951" spans="1:8" ht="14.4" x14ac:dyDescent="0.3">
      <c r="A3951" s="8">
        <v>82188776</v>
      </c>
      <c r="B3951" s="11">
        <v>44852</v>
      </c>
      <c r="C3951" s="13" t="s">
        <v>127</v>
      </c>
      <c r="D3951" s="13" t="s">
        <v>5209</v>
      </c>
      <c r="E3951" s="8">
        <v>1892.85</v>
      </c>
      <c r="F3951" s="13" t="s">
        <v>70</v>
      </c>
      <c r="G3951" s="14">
        <v>44853</v>
      </c>
      <c r="H3951" s="13" t="s">
        <v>9</v>
      </c>
    </row>
    <row r="3952" spans="1:8" ht="14.4" x14ac:dyDescent="0.3">
      <c r="A3952" s="8">
        <v>82188777</v>
      </c>
      <c r="B3952" s="11">
        <v>44852</v>
      </c>
      <c r="C3952" s="13" t="s">
        <v>844</v>
      </c>
      <c r="D3952" s="13" t="s">
        <v>5210</v>
      </c>
      <c r="E3952" s="8">
        <v>2000</v>
      </c>
      <c r="F3952" s="13" t="s">
        <v>70</v>
      </c>
      <c r="G3952" s="14">
        <v>44860</v>
      </c>
      <c r="H3952" s="13" t="s">
        <v>9</v>
      </c>
    </row>
    <row r="3953" spans="1:8" ht="14.4" x14ac:dyDescent="0.3">
      <c r="A3953" s="8">
        <v>82188778</v>
      </c>
      <c r="B3953" s="11">
        <v>44852</v>
      </c>
      <c r="C3953" s="13" t="s">
        <v>836</v>
      </c>
      <c r="D3953" s="13" t="s">
        <v>5211</v>
      </c>
      <c r="E3953" s="8">
        <v>2000</v>
      </c>
      <c r="F3953" s="13" t="s">
        <v>70</v>
      </c>
      <c r="G3953" s="14">
        <v>44860</v>
      </c>
      <c r="H3953" s="13" t="s">
        <v>9</v>
      </c>
    </row>
    <row r="3954" spans="1:8" ht="14.4" x14ac:dyDescent="0.3">
      <c r="A3954" s="8">
        <v>82188779</v>
      </c>
      <c r="B3954" s="11">
        <v>44852</v>
      </c>
      <c r="C3954" s="13" t="s">
        <v>846</v>
      </c>
      <c r="D3954" s="13" t="s">
        <v>5211</v>
      </c>
      <c r="E3954" s="8">
        <v>2000</v>
      </c>
      <c r="F3954" s="13" t="s">
        <v>70</v>
      </c>
      <c r="G3954" s="14">
        <v>44860</v>
      </c>
      <c r="H3954" s="13" t="s">
        <v>9</v>
      </c>
    </row>
    <row r="3955" spans="1:8" ht="14.4" x14ac:dyDescent="0.3">
      <c r="A3955" s="8">
        <v>82188780</v>
      </c>
      <c r="B3955" s="11">
        <v>44852</v>
      </c>
      <c r="C3955" s="13" t="s">
        <v>848</v>
      </c>
      <c r="D3955" s="13" t="s">
        <v>5211</v>
      </c>
      <c r="E3955" s="8">
        <v>2000</v>
      </c>
      <c r="F3955" s="13" t="s">
        <v>70</v>
      </c>
      <c r="G3955" s="14">
        <v>44860</v>
      </c>
      <c r="H3955" s="13" t="s">
        <v>9</v>
      </c>
    </row>
    <row r="3956" spans="1:8" ht="14.4" x14ac:dyDescent="0.3">
      <c r="A3956" s="8">
        <v>82188781</v>
      </c>
      <c r="B3956" s="11">
        <v>44852</v>
      </c>
      <c r="C3956" s="13" t="s">
        <v>849</v>
      </c>
      <c r="D3956" s="13" t="s">
        <v>5211</v>
      </c>
      <c r="E3956" s="8">
        <v>2000</v>
      </c>
      <c r="F3956" s="13" t="s">
        <v>70</v>
      </c>
      <c r="G3956" s="14">
        <v>44860</v>
      </c>
      <c r="H3956" s="13" t="s">
        <v>9</v>
      </c>
    </row>
    <row r="3957" spans="1:8" ht="14.4" x14ac:dyDescent="0.3">
      <c r="A3957" s="8">
        <v>82188782</v>
      </c>
      <c r="B3957" s="11">
        <v>44852</v>
      </c>
      <c r="C3957" s="13" t="s">
        <v>850</v>
      </c>
      <c r="D3957" s="13" t="s">
        <v>5211</v>
      </c>
      <c r="E3957" s="8">
        <v>2000</v>
      </c>
      <c r="F3957" s="13" t="s">
        <v>70</v>
      </c>
      <c r="G3957" s="14">
        <v>44860</v>
      </c>
      <c r="H3957" s="13" t="s">
        <v>9</v>
      </c>
    </row>
    <row r="3958" spans="1:8" ht="14.4" x14ac:dyDescent="0.3">
      <c r="A3958" s="8">
        <v>82188783</v>
      </c>
      <c r="B3958" s="11">
        <v>44852</v>
      </c>
      <c r="C3958" s="13" t="s">
        <v>2080</v>
      </c>
      <c r="D3958" s="13" t="s">
        <v>5212</v>
      </c>
      <c r="E3958" s="8">
        <v>41642.85</v>
      </c>
      <c r="F3958" s="13" t="s">
        <v>70</v>
      </c>
      <c r="G3958" s="14">
        <v>44855</v>
      </c>
      <c r="H3958" s="13" t="s">
        <v>9</v>
      </c>
    </row>
    <row r="3959" spans="1:8" ht="14.4" x14ac:dyDescent="0.3">
      <c r="A3959" s="8">
        <v>82188784</v>
      </c>
      <c r="B3959" s="11">
        <v>44852</v>
      </c>
      <c r="C3959" s="13" t="s">
        <v>851</v>
      </c>
      <c r="D3959" s="13" t="s">
        <v>5211</v>
      </c>
      <c r="E3959" s="8">
        <v>2000</v>
      </c>
      <c r="F3959" s="13" t="s">
        <v>70</v>
      </c>
      <c r="G3959" s="14">
        <v>44860</v>
      </c>
      <c r="H3959" s="13" t="s">
        <v>9</v>
      </c>
    </row>
    <row r="3960" spans="1:8" ht="14.4" x14ac:dyDescent="0.3">
      <c r="A3960" s="8">
        <v>82188785</v>
      </c>
      <c r="B3960" s="11">
        <v>44852</v>
      </c>
      <c r="C3960" s="13" t="s">
        <v>2791</v>
      </c>
      <c r="D3960" s="13" t="s">
        <v>5211</v>
      </c>
      <c r="E3960" s="8">
        <v>2000</v>
      </c>
      <c r="F3960" s="13" t="s">
        <v>70</v>
      </c>
      <c r="G3960" s="14">
        <v>44860</v>
      </c>
      <c r="H3960" s="13" t="s">
        <v>9</v>
      </c>
    </row>
    <row r="3961" spans="1:8" ht="14.4" x14ac:dyDescent="0.3">
      <c r="A3961" s="8">
        <v>82188786</v>
      </c>
      <c r="B3961" s="11">
        <v>44852</v>
      </c>
      <c r="C3961" s="13" t="s">
        <v>2792</v>
      </c>
      <c r="D3961" s="13" t="s">
        <v>5211</v>
      </c>
      <c r="E3961" s="8">
        <v>2000</v>
      </c>
      <c r="F3961" s="13" t="s">
        <v>70</v>
      </c>
      <c r="G3961" s="14">
        <v>44860</v>
      </c>
      <c r="H3961" s="13" t="s">
        <v>9</v>
      </c>
    </row>
    <row r="3962" spans="1:8" ht="14.4" x14ac:dyDescent="0.3">
      <c r="A3962" s="8">
        <v>82188787</v>
      </c>
      <c r="B3962" s="11">
        <v>44852</v>
      </c>
      <c r="C3962" s="13" t="s">
        <v>854</v>
      </c>
      <c r="D3962" s="13" t="s">
        <v>5211</v>
      </c>
      <c r="E3962" s="8">
        <v>2000</v>
      </c>
      <c r="F3962" s="13" t="s">
        <v>70</v>
      </c>
      <c r="G3962" s="14">
        <v>44860</v>
      </c>
      <c r="H3962" s="13" t="s">
        <v>9</v>
      </c>
    </row>
    <row r="3963" spans="1:8" ht="14.4" x14ac:dyDescent="0.3">
      <c r="A3963" s="8">
        <v>82188788</v>
      </c>
      <c r="B3963" s="11">
        <v>44852</v>
      </c>
      <c r="C3963" s="13" t="s">
        <v>5213</v>
      </c>
      <c r="D3963" s="13" t="s">
        <v>5211</v>
      </c>
      <c r="E3963" s="8">
        <v>2000</v>
      </c>
      <c r="F3963" s="13" t="s">
        <v>70</v>
      </c>
      <c r="G3963" s="14">
        <v>44860</v>
      </c>
      <c r="H3963" s="13" t="s">
        <v>9</v>
      </c>
    </row>
    <row r="3964" spans="1:8" ht="14.4" x14ac:dyDescent="0.3">
      <c r="A3964" s="8">
        <v>82188789</v>
      </c>
      <c r="B3964" s="11">
        <v>44852</v>
      </c>
      <c r="C3964" s="13" t="s">
        <v>308</v>
      </c>
      <c r="D3964" s="13" t="s">
        <v>5214</v>
      </c>
      <c r="E3964" s="8">
        <v>10000</v>
      </c>
      <c r="F3964" s="13" t="s">
        <v>70</v>
      </c>
      <c r="G3964" s="14">
        <v>44854</v>
      </c>
      <c r="H3964" s="13" t="s">
        <v>9</v>
      </c>
    </row>
    <row r="3965" spans="1:8" ht="14.4" x14ac:dyDescent="0.3">
      <c r="A3965" s="8">
        <v>82188790</v>
      </c>
      <c r="B3965" s="11">
        <v>44852</v>
      </c>
      <c r="C3965" s="13" t="s">
        <v>309</v>
      </c>
      <c r="D3965" s="13" t="s">
        <v>5214</v>
      </c>
      <c r="E3965" s="8">
        <v>10000</v>
      </c>
      <c r="F3965" s="13" t="s">
        <v>70</v>
      </c>
      <c r="G3965" s="14">
        <v>44854</v>
      </c>
      <c r="H3965" s="13" t="s">
        <v>9</v>
      </c>
    </row>
    <row r="3966" spans="1:8" ht="14.4" x14ac:dyDescent="0.3">
      <c r="A3966" s="8">
        <v>82188791</v>
      </c>
      <c r="B3966" s="11">
        <v>44852</v>
      </c>
      <c r="C3966" s="13" t="s">
        <v>5215</v>
      </c>
      <c r="D3966" s="13" t="s">
        <v>5216</v>
      </c>
      <c r="E3966" s="8">
        <v>15000</v>
      </c>
      <c r="F3966" s="13" t="s">
        <v>70</v>
      </c>
      <c r="G3966" s="14">
        <v>44855</v>
      </c>
      <c r="H3966" s="13" t="s">
        <v>9</v>
      </c>
    </row>
    <row r="3967" spans="1:8" ht="14.4" x14ac:dyDescent="0.3">
      <c r="A3967" s="8">
        <v>82188792</v>
      </c>
      <c r="B3967" s="11">
        <v>44852</v>
      </c>
      <c r="C3967" s="13" t="s">
        <v>402</v>
      </c>
      <c r="D3967" s="13" t="s">
        <v>5216</v>
      </c>
      <c r="E3967" s="8">
        <v>15000</v>
      </c>
      <c r="F3967" s="13" t="s">
        <v>70</v>
      </c>
      <c r="G3967" s="14">
        <v>44872</v>
      </c>
      <c r="H3967" s="13" t="s">
        <v>9</v>
      </c>
    </row>
    <row r="3968" spans="1:8" ht="14.4" x14ac:dyDescent="0.3">
      <c r="A3968" s="8">
        <v>82188793</v>
      </c>
      <c r="B3968" s="11">
        <v>44852</v>
      </c>
      <c r="C3968" s="13" t="s">
        <v>121</v>
      </c>
      <c r="D3968" s="13" t="s">
        <v>4973</v>
      </c>
      <c r="E3968" s="8">
        <v>15000</v>
      </c>
      <c r="F3968" s="13" t="s">
        <v>70</v>
      </c>
      <c r="G3968" s="14">
        <v>44862</v>
      </c>
      <c r="H3968" s="13" t="s">
        <v>9</v>
      </c>
    </row>
    <row r="3969" spans="1:8" ht="14.4" x14ac:dyDescent="0.3">
      <c r="A3969" s="8">
        <v>82188794</v>
      </c>
      <c r="B3969" s="11">
        <v>44852</v>
      </c>
      <c r="C3969" s="13" t="s">
        <v>113</v>
      </c>
      <c r="D3969" s="13" t="s">
        <v>4973</v>
      </c>
      <c r="E3969" s="8">
        <v>20000</v>
      </c>
      <c r="F3969" s="13" t="s">
        <v>70</v>
      </c>
      <c r="G3969" s="14">
        <v>44859</v>
      </c>
      <c r="H3969" s="13" t="s">
        <v>9</v>
      </c>
    </row>
    <row r="3970" spans="1:8" ht="14.4" x14ac:dyDescent="0.3">
      <c r="A3970" s="8">
        <v>82188795</v>
      </c>
      <c r="B3970" s="11">
        <v>44852</v>
      </c>
      <c r="C3970" s="13" t="s">
        <v>323</v>
      </c>
      <c r="D3970" s="13" t="s">
        <v>5214</v>
      </c>
      <c r="E3970" s="8">
        <v>12000</v>
      </c>
      <c r="F3970" s="13" t="s">
        <v>70</v>
      </c>
      <c r="G3970" s="14">
        <v>44854</v>
      </c>
      <c r="H3970" s="13" t="s">
        <v>9</v>
      </c>
    </row>
    <row r="3971" spans="1:8" ht="14.4" x14ac:dyDescent="0.3">
      <c r="A3971" s="8">
        <v>82188796</v>
      </c>
      <c r="B3971" s="11">
        <v>44852</v>
      </c>
      <c r="C3971" s="13" t="s">
        <v>316</v>
      </c>
      <c r="D3971" s="13" t="s">
        <v>5214</v>
      </c>
      <c r="E3971" s="8">
        <v>10000</v>
      </c>
      <c r="F3971" s="13" t="s">
        <v>70</v>
      </c>
      <c r="G3971" s="14">
        <v>44854</v>
      </c>
      <c r="H3971" s="13" t="s">
        <v>9</v>
      </c>
    </row>
    <row r="3972" spans="1:8" ht="14.4" x14ac:dyDescent="0.3">
      <c r="A3972" s="8">
        <v>82188797</v>
      </c>
      <c r="B3972" s="11">
        <v>44852</v>
      </c>
      <c r="C3972" s="13" t="s">
        <v>324</v>
      </c>
      <c r="D3972" s="13" t="s">
        <v>5214</v>
      </c>
      <c r="E3972" s="8">
        <v>12000</v>
      </c>
      <c r="F3972" s="13" t="s">
        <v>70</v>
      </c>
      <c r="G3972" s="14">
        <v>44854</v>
      </c>
      <c r="H3972" s="13" t="s">
        <v>9</v>
      </c>
    </row>
    <row r="3973" spans="1:8" ht="14.4" x14ac:dyDescent="0.3">
      <c r="A3973" s="8">
        <v>82188798</v>
      </c>
      <c r="B3973" s="11">
        <v>44852</v>
      </c>
      <c r="C3973" s="13" t="s">
        <v>5217</v>
      </c>
      <c r="D3973" s="13" t="s">
        <v>5214</v>
      </c>
      <c r="E3973" s="8">
        <v>10000</v>
      </c>
      <c r="F3973" s="13" t="s">
        <v>70</v>
      </c>
      <c r="G3973" s="14">
        <v>44854</v>
      </c>
      <c r="H3973" s="13" t="s">
        <v>9</v>
      </c>
    </row>
    <row r="3974" spans="1:8" ht="14.4" x14ac:dyDescent="0.3">
      <c r="A3974" s="8">
        <v>82188799</v>
      </c>
      <c r="B3974" s="11">
        <v>44852</v>
      </c>
      <c r="C3974" s="13" t="s">
        <v>321</v>
      </c>
      <c r="D3974" s="13" t="s">
        <v>5214</v>
      </c>
      <c r="E3974" s="8">
        <v>12000</v>
      </c>
      <c r="F3974" s="13" t="s">
        <v>70</v>
      </c>
      <c r="G3974" s="14">
        <v>44854</v>
      </c>
      <c r="H3974" s="13" t="s">
        <v>9</v>
      </c>
    </row>
    <row r="3975" spans="1:8" ht="14.4" x14ac:dyDescent="0.3">
      <c r="A3975" s="8">
        <v>82188800</v>
      </c>
      <c r="B3975" s="11">
        <v>44852</v>
      </c>
      <c r="C3975" s="13" t="s">
        <v>319</v>
      </c>
      <c r="D3975" s="13" t="s">
        <v>5214</v>
      </c>
      <c r="E3975" s="8">
        <v>10000</v>
      </c>
      <c r="F3975" s="13" t="s">
        <v>70</v>
      </c>
      <c r="G3975" s="14">
        <v>44854</v>
      </c>
      <c r="H3975" s="13" t="s">
        <v>9</v>
      </c>
    </row>
    <row r="3976" spans="1:8" ht="14.4" x14ac:dyDescent="0.3">
      <c r="A3976" s="8">
        <v>82188801</v>
      </c>
      <c r="B3976" s="11">
        <v>44852</v>
      </c>
      <c r="C3976" s="13" t="s">
        <v>4955</v>
      </c>
      <c r="D3976" s="13" t="s">
        <v>5218</v>
      </c>
      <c r="E3976" s="8">
        <v>1545.28</v>
      </c>
      <c r="F3976" s="13" t="s">
        <v>70</v>
      </c>
      <c r="G3976" s="14">
        <v>44854</v>
      </c>
      <c r="H3976" s="13" t="s">
        <v>9</v>
      </c>
    </row>
    <row r="3977" spans="1:8" ht="14.4" x14ac:dyDescent="0.3">
      <c r="A3977" s="8">
        <v>82188802</v>
      </c>
      <c r="B3977" s="11">
        <v>44852</v>
      </c>
      <c r="C3977" s="13" t="s">
        <v>5219</v>
      </c>
      <c r="D3977" s="13" t="s">
        <v>5220</v>
      </c>
      <c r="E3977" s="8">
        <v>400</v>
      </c>
      <c r="F3977" s="13" t="s">
        <v>70</v>
      </c>
      <c r="G3977" s="14">
        <v>44854</v>
      </c>
      <c r="H3977" s="13" t="s">
        <v>9</v>
      </c>
    </row>
    <row r="3978" spans="1:8" ht="14.4" x14ac:dyDescent="0.3">
      <c r="A3978" s="8">
        <v>82188803</v>
      </c>
      <c r="B3978" s="11">
        <v>44852</v>
      </c>
      <c r="C3978" s="13" t="s">
        <v>5221</v>
      </c>
      <c r="D3978" s="13" t="s">
        <v>5222</v>
      </c>
      <c r="E3978" s="8">
        <v>656400</v>
      </c>
      <c r="F3978" s="13" t="s">
        <v>70</v>
      </c>
      <c r="G3978" s="14">
        <v>44853</v>
      </c>
      <c r="H3978" s="13" t="s">
        <v>9</v>
      </c>
    </row>
    <row r="3979" spans="1:8" ht="14.4" x14ac:dyDescent="0.3">
      <c r="A3979" s="8">
        <v>82188804</v>
      </c>
      <c r="B3979" s="11">
        <v>44853</v>
      </c>
      <c r="C3979" s="13" t="s">
        <v>5223</v>
      </c>
      <c r="D3979" s="13" t="s">
        <v>5214</v>
      </c>
      <c r="E3979" s="8">
        <v>10000</v>
      </c>
      <c r="F3979" s="13" t="s">
        <v>70</v>
      </c>
      <c r="G3979" s="14">
        <v>44854</v>
      </c>
      <c r="H3979" s="13" t="s">
        <v>9</v>
      </c>
    </row>
    <row r="3980" spans="1:8" ht="14.4" x14ac:dyDescent="0.3">
      <c r="A3980" s="8">
        <v>82188805</v>
      </c>
      <c r="B3980" s="11">
        <v>44853</v>
      </c>
      <c r="C3980" s="13" t="s">
        <v>5224</v>
      </c>
      <c r="D3980" s="13" t="s">
        <v>5225</v>
      </c>
      <c r="E3980" s="8">
        <v>7200</v>
      </c>
      <c r="F3980" s="13" t="s">
        <v>70</v>
      </c>
      <c r="G3980" s="14">
        <v>44853</v>
      </c>
      <c r="H3980" s="13" t="s">
        <v>9</v>
      </c>
    </row>
    <row r="3981" spans="1:8" ht="14.4" x14ac:dyDescent="0.3">
      <c r="A3981" s="8">
        <v>82188806</v>
      </c>
      <c r="B3981" s="11">
        <v>44853</v>
      </c>
      <c r="C3981" s="13" t="s">
        <v>5226</v>
      </c>
      <c r="D3981" s="13" t="s">
        <v>5227</v>
      </c>
      <c r="E3981" s="8">
        <v>66739.649999999994</v>
      </c>
      <c r="F3981" s="13" t="s">
        <v>70</v>
      </c>
      <c r="G3981" s="14">
        <v>44855</v>
      </c>
      <c r="H3981" s="13" t="s">
        <v>9</v>
      </c>
    </row>
    <row r="3982" spans="1:8" ht="14.4" x14ac:dyDescent="0.3">
      <c r="A3982" s="8">
        <v>82188807</v>
      </c>
      <c r="B3982" s="11">
        <v>44853</v>
      </c>
      <c r="C3982" s="13" t="s">
        <v>5226</v>
      </c>
      <c r="D3982" s="13" t="s">
        <v>5228</v>
      </c>
      <c r="E3982" s="8">
        <v>157554.79</v>
      </c>
      <c r="F3982" s="13" t="s">
        <v>70</v>
      </c>
      <c r="G3982" s="14">
        <v>44855</v>
      </c>
      <c r="H3982" s="13" t="s">
        <v>9</v>
      </c>
    </row>
    <row r="3983" spans="1:8" ht="14.4" x14ac:dyDescent="0.3">
      <c r="A3983" s="8">
        <v>82188808</v>
      </c>
      <c r="B3983" s="11">
        <v>44853</v>
      </c>
      <c r="C3983" s="13" t="s">
        <v>5229</v>
      </c>
      <c r="D3983" s="13" t="s">
        <v>5230</v>
      </c>
      <c r="E3983" s="8">
        <v>9951</v>
      </c>
      <c r="F3983" s="13" t="s">
        <v>70</v>
      </c>
      <c r="G3983" s="14">
        <v>44853</v>
      </c>
      <c r="H3983" s="13" t="s">
        <v>9</v>
      </c>
    </row>
    <row r="3984" spans="1:8" ht="14.4" x14ac:dyDescent="0.3">
      <c r="A3984" s="8">
        <v>82188810</v>
      </c>
      <c r="B3984" s="11">
        <v>44853</v>
      </c>
      <c r="C3984" s="13" t="s">
        <v>5231</v>
      </c>
      <c r="D3984" s="13" t="s">
        <v>5232</v>
      </c>
      <c r="E3984" s="8">
        <v>5000</v>
      </c>
      <c r="F3984" s="13" t="s">
        <v>70</v>
      </c>
      <c r="G3984" s="14">
        <v>44855</v>
      </c>
      <c r="H3984" s="13" t="s">
        <v>9</v>
      </c>
    </row>
    <row r="3985" spans="1:8" ht="14.4" x14ac:dyDescent="0.3">
      <c r="A3985" s="8">
        <v>82188811</v>
      </c>
      <c r="B3985" s="11">
        <v>44853</v>
      </c>
      <c r="C3985" s="13" t="s">
        <v>5233</v>
      </c>
      <c r="D3985" s="13" t="s">
        <v>5234</v>
      </c>
      <c r="E3985" s="8">
        <v>17000</v>
      </c>
      <c r="F3985" s="13" t="s">
        <v>70</v>
      </c>
      <c r="G3985" s="14">
        <v>44855</v>
      </c>
      <c r="H3985" s="13" t="s">
        <v>9</v>
      </c>
    </row>
    <row r="3986" spans="1:8" ht="14.4" x14ac:dyDescent="0.3">
      <c r="A3986" s="8">
        <v>82188812</v>
      </c>
      <c r="B3986" s="11">
        <v>44853</v>
      </c>
      <c r="C3986" s="13" t="s">
        <v>5235</v>
      </c>
      <c r="D3986" s="13" t="s">
        <v>5236</v>
      </c>
      <c r="E3986" s="8">
        <v>31000</v>
      </c>
      <c r="F3986" s="13" t="s">
        <v>70</v>
      </c>
      <c r="G3986" s="14">
        <v>44854</v>
      </c>
      <c r="H3986" s="13" t="s">
        <v>9</v>
      </c>
    </row>
    <row r="3987" spans="1:8" ht="14.4" x14ac:dyDescent="0.3">
      <c r="A3987" s="8">
        <v>82188813</v>
      </c>
      <c r="B3987" s="11">
        <v>44853</v>
      </c>
      <c r="C3987" s="13" t="s">
        <v>5237</v>
      </c>
      <c r="D3987" s="13" t="s">
        <v>5238</v>
      </c>
      <c r="E3987" s="8">
        <v>44000</v>
      </c>
      <c r="F3987" s="13" t="s">
        <v>70</v>
      </c>
      <c r="G3987" s="14">
        <v>44859</v>
      </c>
      <c r="H3987" s="13" t="s">
        <v>9</v>
      </c>
    </row>
    <row r="3988" spans="1:8" ht="14.4" x14ac:dyDescent="0.3">
      <c r="A3988" s="8">
        <v>82188814</v>
      </c>
      <c r="B3988" s="11">
        <v>44853</v>
      </c>
      <c r="C3988" s="13" t="s">
        <v>5239</v>
      </c>
      <c r="D3988" s="13" t="s">
        <v>5240</v>
      </c>
      <c r="E3988" s="8">
        <v>96500</v>
      </c>
      <c r="F3988" s="13" t="s">
        <v>70</v>
      </c>
      <c r="G3988" s="14">
        <v>44854</v>
      </c>
      <c r="H3988" s="13" t="s">
        <v>9</v>
      </c>
    </row>
    <row r="3989" spans="1:8" ht="14.4" x14ac:dyDescent="0.3">
      <c r="A3989" s="8">
        <v>82188815</v>
      </c>
      <c r="B3989" s="11">
        <v>44853</v>
      </c>
      <c r="C3989" s="13" t="s">
        <v>5241</v>
      </c>
      <c r="D3989" s="13" t="s">
        <v>5240</v>
      </c>
      <c r="E3989" s="8">
        <v>100000</v>
      </c>
      <c r="F3989" s="13" t="s">
        <v>70</v>
      </c>
      <c r="G3989" s="14">
        <v>44854</v>
      </c>
      <c r="H3989" s="13" t="s">
        <v>9</v>
      </c>
    </row>
    <row r="3990" spans="1:8" ht="14.4" x14ac:dyDescent="0.3">
      <c r="A3990" s="8">
        <v>82188816</v>
      </c>
      <c r="B3990" s="11">
        <v>44853</v>
      </c>
      <c r="C3990" s="13" t="s">
        <v>5242</v>
      </c>
      <c r="D3990" s="13" t="s">
        <v>5238</v>
      </c>
      <c r="E3990" s="8">
        <v>29000</v>
      </c>
      <c r="F3990" s="13" t="s">
        <v>70</v>
      </c>
      <c r="G3990" s="14">
        <v>44854</v>
      </c>
      <c r="H3990" s="13" t="s">
        <v>9</v>
      </c>
    </row>
    <row r="3991" spans="1:8" ht="14.4" x14ac:dyDescent="0.3">
      <c r="A3991" s="8">
        <v>82188817</v>
      </c>
      <c r="B3991" s="11">
        <v>44853</v>
      </c>
      <c r="C3991" s="13" t="s">
        <v>5243</v>
      </c>
      <c r="D3991" s="13" t="s">
        <v>150</v>
      </c>
      <c r="E3991" s="8">
        <v>50000</v>
      </c>
      <c r="F3991" s="13" t="s">
        <v>70</v>
      </c>
      <c r="G3991" s="14">
        <v>44854</v>
      </c>
      <c r="H3991" s="13" t="s">
        <v>9</v>
      </c>
    </row>
    <row r="3992" spans="1:8" ht="14.4" x14ac:dyDescent="0.3">
      <c r="A3992" s="8">
        <v>82188818</v>
      </c>
      <c r="B3992" s="11">
        <v>44853</v>
      </c>
      <c r="C3992" s="13" t="s">
        <v>5244</v>
      </c>
      <c r="D3992" s="13" t="s">
        <v>5245</v>
      </c>
      <c r="E3992" s="8">
        <v>10000</v>
      </c>
      <c r="F3992" s="13" t="s">
        <v>70</v>
      </c>
      <c r="G3992" s="14">
        <v>44854</v>
      </c>
      <c r="H3992" s="13" t="s">
        <v>9</v>
      </c>
    </row>
    <row r="3993" spans="1:8" ht="14.4" x14ac:dyDescent="0.3">
      <c r="A3993" s="8">
        <v>82188819</v>
      </c>
      <c r="B3993" s="11">
        <v>44853</v>
      </c>
      <c r="C3993" s="13" t="s">
        <v>5246</v>
      </c>
      <c r="D3993" s="13" t="s">
        <v>5247</v>
      </c>
      <c r="E3993" s="8">
        <v>21000</v>
      </c>
      <c r="F3993" s="13" t="s">
        <v>70</v>
      </c>
      <c r="G3993" s="14">
        <v>44855</v>
      </c>
      <c r="H3993" s="13" t="s">
        <v>9</v>
      </c>
    </row>
    <row r="3994" spans="1:8" ht="14.4" x14ac:dyDescent="0.3">
      <c r="A3994" s="8">
        <v>82188820</v>
      </c>
      <c r="B3994" s="11">
        <v>44853</v>
      </c>
      <c r="C3994" s="13" t="s">
        <v>5248</v>
      </c>
      <c r="D3994" s="13" t="s">
        <v>5249</v>
      </c>
      <c r="E3994" s="8">
        <v>9000</v>
      </c>
      <c r="F3994" s="13" t="s">
        <v>70</v>
      </c>
      <c r="G3994" s="14">
        <v>44855</v>
      </c>
      <c r="H3994" s="13" t="s">
        <v>9</v>
      </c>
    </row>
    <row r="3995" spans="1:8" ht="14.4" x14ac:dyDescent="0.3">
      <c r="A3995" s="8">
        <v>82188821</v>
      </c>
      <c r="B3995" s="11">
        <v>44853</v>
      </c>
      <c r="C3995" s="13" t="s">
        <v>5250</v>
      </c>
      <c r="D3995" s="13" t="s">
        <v>5251</v>
      </c>
      <c r="E3995" s="8">
        <v>20500</v>
      </c>
      <c r="F3995" s="13" t="s">
        <v>70</v>
      </c>
      <c r="G3995" s="14">
        <v>44855</v>
      </c>
      <c r="H3995" s="13" t="s">
        <v>9</v>
      </c>
    </row>
    <row r="3996" spans="1:8" ht="14.4" x14ac:dyDescent="0.3">
      <c r="A3996" s="8">
        <v>82188822</v>
      </c>
      <c r="B3996" s="11">
        <v>44853</v>
      </c>
      <c r="C3996" s="13" t="s">
        <v>5252</v>
      </c>
      <c r="D3996" s="13" t="s">
        <v>5253</v>
      </c>
      <c r="E3996" s="8">
        <v>9000</v>
      </c>
      <c r="F3996" s="13" t="s">
        <v>70</v>
      </c>
      <c r="G3996" s="14">
        <v>44854</v>
      </c>
      <c r="H3996" s="13" t="s">
        <v>9</v>
      </c>
    </row>
    <row r="3997" spans="1:8" ht="14.4" x14ac:dyDescent="0.3">
      <c r="A3997" s="8">
        <v>82188823</v>
      </c>
      <c r="B3997" s="11">
        <v>44853</v>
      </c>
      <c r="C3997" s="13" t="s">
        <v>5254</v>
      </c>
      <c r="D3997" s="13" t="s">
        <v>5255</v>
      </c>
      <c r="E3997" s="8">
        <v>8000</v>
      </c>
      <c r="F3997" s="13" t="s">
        <v>70</v>
      </c>
      <c r="G3997" s="14">
        <v>44860</v>
      </c>
      <c r="H3997" s="13" t="s">
        <v>9</v>
      </c>
    </row>
    <row r="3998" spans="1:8" ht="14.4" x14ac:dyDescent="0.3">
      <c r="A3998" s="8">
        <v>82188824</v>
      </c>
      <c r="B3998" s="11">
        <v>44853</v>
      </c>
      <c r="C3998" s="13" t="s">
        <v>5256</v>
      </c>
      <c r="D3998" s="13" t="s">
        <v>5257</v>
      </c>
      <c r="E3998" s="8">
        <v>12000</v>
      </c>
      <c r="F3998" s="13" t="s">
        <v>70</v>
      </c>
      <c r="G3998" s="14">
        <v>44854</v>
      </c>
      <c r="H3998" s="13" t="s">
        <v>9</v>
      </c>
    </row>
    <row r="3999" spans="1:8" ht="14.4" x14ac:dyDescent="0.3">
      <c r="A3999" s="8">
        <v>82188825</v>
      </c>
      <c r="B3999" s="11">
        <v>44853</v>
      </c>
      <c r="C3999" s="13" t="s">
        <v>5258</v>
      </c>
      <c r="D3999" s="13" t="s">
        <v>5259</v>
      </c>
      <c r="E3999" s="8">
        <v>16500</v>
      </c>
      <c r="F3999" s="13" t="s">
        <v>70</v>
      </c>
      <c r="G3999" s="14">
        <v>44854</v>
      </c>
      <c r="H3999" s="13" t="s">
        <v>9</v>
      </c>
    </row>
    <row r="4000" spans="1:8" ht="14.4" x14ac:dyDescent="0.3">
      <c r="A4000" s="8">
        <v>82188826</v>
      </c>
      <c r="B4000" s="11">
        <v>44853</v>
      </c>
      <c r="C4000" s="13" t="s">
        <v>5260</v>
      </c>
      <c r="D4000" s="13" t="s">
        <v>5261</v>
      </c>
      <c r="E4000" s="8">
        <v>8000</v>
      </c>
      <c r="F4000" s="13" t="s">
        <v>70</v>
      </c>
      <c r="G4000" s="14">
        <v>44854</v>
      </c>
      <c r="H4000" s="13" t="s">
        <v>9</v>
      </c>
    </row>
    <row r="4001" spans="1:8" ht="14.4" x14ac:dyDescent="0.3">
      <c r="A4001" s="8">
        <v>82188827</v>
      </c>
      <c r="B4001" s="11">
        <v>44853</v>
      </c>
      <c r="C4001" s="13" t="s">
        <v>5262</v>
      </c>
      <c r="D4001" s="13" t="s">
        <v>5263</v>
      </c>
      <c r="E4001" s="8">
        <v>35000</v>
      </c>
      <c r="F4001" s="13" t="s">
        <v>70</v>
      </c>
      <c r="G4001" s="14">
        <v>44860</v>
      </c>
      <c r="H4001" s="13" t="s">
        <v>9</v>
      </c>
    </row>
    <row r="4002" spans="1:8" ht="14.4" x14ac:dyDescent="0.3">
      <c r="A4002" s="8">
        <v>82188828</v>
      </c>
      <c r="B4002" s="11">
        <v>44853</v>
      </c>
      <c r="C4002" s="13" t="s">
        <v>5264</v>
      </c>
      <c r="D4002" s="13" t="s">
        <v>5265</v>
      </c>
      <c r="E4002" s="8">
        <v>8180</v>
      </c>
      <c r="F4002" s="13" t="s">
        <v>70</v>
      </c>
      <c r="G4002" s="14">
        <v>44855</v>
      </c>
      <c r="H4002" s="13" t="s">
        <v>9</v>
      </c>
    </row>
    <row r="4003" spans="1:8" ht="14.4" x14ac:dyDescent="0.3">
      <c r="A4003" s="8">
        <v>82188829</v>
      </c>
      <c r="B4003" s="11">
        <v>44853</v>
      </c>
      <c r="C4003" s="13" t="s">
        <v>5266</v>
      </c>
      <c r="D4003" s="13" t="s">
        <v>5214</v>
      </c>
      <c r="E4003" s="8">
        <v>10000</v>
      </c>
      <c r="F4003" s="13" t="s">
        <v>70</v>
      </c>
      <c r="G4003" s="14">
        <v>44854</v>
      </c>
      <c r="H4003" s="13" t="s">
        <v>9</v>
      </c>
    </row>
    <row r="4004" spans="1:8" ht="14.4" x14ac:dyDescent="0.3">
      <c r="A4004" s="8">
        <v>82188831</v>
      </c>
      <c r="B4004" s="11">
        <v>44853</v>
      </c>
      <c r="C4004" s="13" t="s">
        <v>5267</v>
      </c>
      <c r="D4004" s="13" t="s">
        <v>5214</v>
      </c>
      <c r="E4004" s="8">
        <v>10000</v>
      </c>
      <c r="F4004" s="13" t="s">
        <v>70</v>
      </c>
      <c r="G4004" s="14">
        <v>44854</v>
      </c>
      <c r="H4004" s="13" t="s">
        <v>9</v>
      </c>
    </row>
    <row r="4005" spans="1:8" ht="14.4" x14ac:dyDescent="0.3">
      <c r="A4005" s="8">
        <v>82188832</v>
      </c>
      <c r="B4005" s="11">
        <v>44853</v>
      </c>
      <c r="C4005" s="13" t="s">
        <v>5268</v>
      </c>
      <c r="D4005" s="13" t="s">
        <v>5214</v>
      </c>
      <c r="E4005" s="8">
        <v>10000</v>
      </c>
      <c r="F4005" s="13" t="s">
        <v>70</v>
      </c>
      <c r="G4005" s="14">
        <v>44854</v>
      </c>
      <c r="H4005" s="13" t="s">
        <v>9</v>
      </c>
    </row>
    <row r="4006" spans="1:8" ht="14.4" x14ac:dyDescent="0.3">
      <c r="A4006" s="8">
        <v>82188833</v>
      </c>
      <c r="B4006" s="11">
        <v>44853</v>
      </c>
      <c r="C4006" s="13" t="s">
        <v>5269</v>
      </c>
      <c r="D4006" s="13" t="s">
        <v>89</v>
      </c>
      <c r="E4006" s="8">
        <v>3000</v>
      </c>
      <c r="F4006" s="13" t="s">
        <v>70</v>
      </c>
      <c r="G4006" s="14">
        <v>44858</v>
      </c>
      <c r="H4006" s="13" t="s">
        <v>9</v>
      </c>
    </row>
    <row r="4007" spans="1:8" ht="14.4" x14ac:dyDescent="0.3">
      <c r="A4007" s="8">
        <v>82188834</v>
      </c>
      <c r="B4007" s="11">
        <v>44853</v>
      </c>
      <c r="C4007" s="13" t="s">
        <v>5270</v>
      </c>
      <c r="D4007" s="13" t="s">
        <v>89</v>
      </c>
      <c r="E4007" s="8">
        <v>3000</v>
      </c>
      <c r="F4007" s="13" t="s">
        <v>70</v>
      </c>
      <c r="G4007" s="14">
        <v>44859</v>
      </c>
      <c r="H4007" s="13" t="s">
        <v>9</v>
      </c>
    </row>
    <row r="4008" spans="1:8" ht="14.4" x14ac:dyDescent="0.3">
      <c r="A4008" s="8">
        <v>82188835</v>
      </c>
      <c r="B4008" s="11">
        <v>44853</v>
      </c>
      <c r="C4008" s="13" t="s">
        <v>5271</v>
      </c>
      <c r="D4008" s="13" t="s">
        <v>89</v>
      </c>
      <c r="E4008" s="8">
        <v>3000</v>
      </c>
      <c r="F4008" s="13" t="s">
        <v>70</v>
      </c>
      <c r="G4008" s="14">
        <v>44859</v>
      </c>
      <c r="H4008" s="13" t="s">
        <v>9</v>
      </c>
    </row>
    <row r="4009" spans="1:8" ht="14.4" x14ac:dyDescent="0.3">
      <c r="A4009" s="8">
        <v>82188836</v>
      </c>
      <c r="B4009" s="11">
        <v>44853</v>
      </c>
      <c r="C4009" s="13" t="s">
        <v>5272</v>
      </c>
      <c r="D4009" s="13" t="s">
        <v>5216</v>
      </c>
      <c r="E4009" s="8">
        <v>20000</v>
      </c>
      <c r="F4009" s="13" t="s">
        <v>70</v>
      </c>
      <c r="G4009" s="14">
        <v>44855</v>
      </c>
      <c r="H4009" s="13" t="s">
        <v>9</v>
      </c>
    </row>
    <row r="4010" spans="1:8" ht="14.4" x14ac:dyDescent="0.3">
      <c r="A4010" s="8">
        <v>82188837</v>
      </c>
      <c r="B4010" s="11">
        <v>44853</v>
      </c>
      <c r="C4010" s="13" t="s">
        <v>5273</v>
      </c>
      <c r="D4010" s="13" t="s">
        <v>5216</v>
      </c>
      <c r="E4010" s="8">
        <v>6000</v>
      </c>
      <c r="F4010" s="13" t="s">
        <v>70</v>
      </c>
      <c r="G4010" s="14">
        <v>44855</v>
      </c>
      <c r="H4010" s="13" t="s">
        <v>9</v>
      </c>
    </row>
    <row r="4011" spans="1:8" ht="14.4" x14ac:dyDescent="0.3">
      <c r="A4011" s="8">
        <v>82188838</v>
      </c>
      <c r="B4011" s="11">
        <v>44853</v>
      </c>
      <c r="C4011" s="13" t="s">
        <v>3929</v>
      </c>
      <c r="D4011" s="13" t="s">
        <v>5216</v>
      </c>
      <c r="E4011" s="8">
        <v>5000</v>
      </c>
      <c r="F4011" s="13" t="s">
        <v>70</v>
      </c>
      <c r="G4011" s="14">
        <v>44855</v>
      </c>
      <c r="H4011" s="13" t="s">
        <v>9</v>
      </c>
    </row>
    <row r="4012" spans="1:8" ht="14.4" x14ac:dyDescent="0.3">
      <c r="A4012" s="8">
        <v>82188839</v>
      </c>
      <c r="B4012" s="11">
        <v>44853</v>
      </c>
      <c r="C4012" s="13" t="s">
        <v>5274</v>
      </c>
      <c r="D4012" s="13" t="s">
        <v>5214</v>
      </c>
      <c r="E4012" s="8">
        <v>15000</v>
      </c>
      <c r="F4012" s="13" t="s">
        <v>70</v>
      </c>
      <c r="G4012" s="14">
        <v>44854</v>
      </c>
      <c r="H4012" s="13" t="s">
        <v>9</v>
      </c>
    </row>
    <row r="4013" spans="1:8" ht="14.4" x14ac:dyDescent="0.3">
      <c r="A4013" s="8">
        <v>82188840</v>
      </c>
      <c r="B4013" s="11">
        <v>44853</v>
      </c>
      <c r="C4013" s="13" t="s">
        <v>5275</v>
      </c>
      <c r="D4013" s="13" t="s">
        <v>5216</v>
      </c>
      <c r="E4013" s="8">
        <v>3000</v>
      </c>
      <c r="F4013" s="13" t="s">
        <v>70</v>
      </c>
      <c r="G4013" s="14">
        <v>44855</v>
      </c>
      <c r="H4013" s="13" t="s">
        <v>9</v>
      </c>
    </row>
    <row r="4014" spans="1:8" ht="14.4" x14ac:dyDescent="0.3">
      <c r="A4014" s="8">
        <v>82188842</v>
      </c>
      <c r="B4014" s="11">
        <v>44853</v>
      </c>
      <c r="C4014" s="13" t="s">
        <v>5276</v>
      </c>
      <c r="D4014" s="13" t="s">
        <v>4973</v>
      </c>
      <c r="E4014" s="8">
        <v>10000</v>
      </c>
      <c r="F4014" s="13" t="s">
        <v>70</v>
      </c>
      <c r="G4014" s="14">
        <v>44859</v>
      </c>
      <c r="H4014" s="13" t="s">
        <v>9</v>
      </c>
    </row>
    <row r="4015" spans="1:8" ht="14.4" x14ac:dyDescent="0.3">
      <c r="A4015" s="8">
        <v>82188843</v>
      </c>
      <c r="B4015" s="11">
        <v>44853</v>
      </c>
      <c r="C4015" s="13" t="s">
        <v>5277</v>
      </c>
      <c r="D4015" s="13" t="s">
        <v>89</v>
      </c>
      <c r="E4015" s="8">
        <v>3000</v>
      </c>
      <c r="F4015" s="13" t="s">
        <v>70</v>
      </c>
      <c r="G4015" s="14">
        <v>44858</v>
      </c>
      <c r="H4015" s="13" t="s">
        <v>9</v>
      </c>
    </row>
    <row r="4016" spans="1:8" ht="14.4" x14ac:dyDescent="0.3">
      <c r="A4016" s="8">
        <v>82188844</v>
      </c>
      <c r="B4016" s="11">
        <v>44853</v>
      </c>
      <c r="C4016" s="13" t="s">
        <v>5278</v>
      </c>
      <c r="D4016" s="13" t="s">
        <v>89</v>
      </c>
      <c r="E4016" s="8">
        <v>3000</v>
      </c>
      <c r="F4016" s="13" t="s">
        <v>70</v>
      </c>
      <c r="G4016" s="14">
        <v>44859</v>
      </c>
      <c r="H4016" s="13" t="s">
        <v>9</v>
      </c>
    </row>
    <row r="4017" spans="1:8" ht="14.4" x14ac:dyDescent="0.3">
      <c r="A4017" s="8">
        <v>82188845</v>
      </c>
      <c r="B4017" s="11">
        <v>44853</v>
      </c>
      <c r="C4017" s="13" t="s">
        <v>5279</v>
      </c>
      <c r="D4017" s="13" t="s">
        <v>89</v>
      </c>
      <c r="E4017" s="8">
        <v>3000</v>
      </c>
      <c r="F4017" s="13" t="s">
        <v>70</v>
      </c>
      <c r="G4017" s="14">
        <v>44858</v>
      </c>
      <c r="H4017" s="13" t="s">
        <v>9</v>
      </c>
    </row>
    <row r="4018" spans="1:8" ht="14.4" x14ac:dyDescent="0.3">
      <c r="A4018" s="8">
        <v>82188846</v>
      </c>
      <c r="B4018" s="11">
        <v>44853</v>
      </c>
      <c r="C4018" s="13" t="s">
        <v>5280</v>
      </c>
      <c r="D4018" s="13" t="s">
        <v>5281</v>
      </c>
      <c r="E4018" s="8">
        <v>15000</v>
      </c>
      <c r="F4018" s="13" t="s">
        <v>70</v>
      </c>
      <c r="G4018" s="14">
        <v>44868</v>
      </c>
      <c r="H4018" s="13" t="s">
        <v>9</v>
      </c>
    </row>
    <row r="4019" spans="1:8" ht="14.4" x14ac:dyDescent="0.3">
      <c r="A4019" s="8">
        <v>82188847</v>
      </c>
      <c r="B4019" s="11">
        <v>44853</v>
      </c>
      <c r="C4019" s="13" t="s">
        <v>5282</v>
      </c>
      <c r="D4019" s="13" t="s">
        <v>5283</v>
      </c>
      <c r="E4019" s="8">
        <v>15000</v>
      </c>
      <c r="F4019" s="13" t="s">
        <v>70</v>
      </c>
      <c r="G4019" s="14">
        <v>44854</v>
      </c>
      <c r="H4019" s="13" t="s">
        <v>9</v>
      </c>
    </row>
    <row r="4020" spans="1:8" ht="14.4" x14ac:dyDescent="0.3">
      <c r="A4020" s="8">
        <v>82188848</v>
      </c>
      <c r="B4020" s="11">
        <v>44853</v>
      </c>
      <c r="C4020" s="13" t="s">
        <v>5284</v>
      </c>
      <c r="D4020" s="13" t="s">
        <v>5216</v>
      </c>
      <c r="E4020" s="8">
        <v>15000</v>
      </c>
      <c r="F4020" s="13" t="s">
        <v>70</v>
      </c>
      <c r="G4020" s="14">
        <v>44855</v>
      </c>
      <c r="H4020" s="13" t="s">
        <v>9</v>
      </c>
    </row>
    <row r="4021" spans="1:8" ht="14.4" x14ac:dyDescent="0.3">
      <c r="A4021" s="8">
        <v>82188849</v>
      </c>
      <c r="B4021" s="11">
        <v>44853</v>
      </c>
      <c r="C4021" s="13" t="s">
        <v>5285</v>
      </c>
      <c r="D4021" s="13" t="s">
        <v>5286</v>
      </c>
      <c r="E4021" s="8">
        <v>15000</v>
      </c>
      <c r="F4021" s="13" t="s">
        <v>70</v>
      </c>
      <c r="G4021" s="14">
        <v>44858</v>
      </c>
      <c r="H4021" s="13" t="s">
        <v>9</v>
      </c>
    </row>
    <row r="4022" spans="1:8" ht="14.4" x14ac:dyDescent="0.3">
      <c r="A4022" s="8">
        <v>82188850</v>
      </c>
      <c r="B4022" s="11">
        <v>44853</v>
      </c>
      <c r="C4022" s="13" t="s">
        <v>5287</v>
      </c>
      <c r="D4022" s="13" t="s">
        <v>89</v>
      </c>
      <c r="E4022" s="8">
        <v>3000</v>
      </c>
      <c r="F4022" s="13" t="s">
        <v>70</v>
      </c>
      <c r="G4022" s="14">
        <v>44859</v>
      </c>
      <c r="H4022" s="13" t="s">
        <v>9</v>
      </c>
    </row>
    <row r="4023" spans="1:8" ht="14.4" x14ac:dyDescent="0.3">
      <c r="A4023" s="8">
        <v>82188851</v>
      </c>
      <c r="B4023" s="11">
        <v>44853</v>
      </c>
      <c r="C4023" s="13" t="s">
        <v>5288</v>
      </c>
      <c r="D4023" s="13" t="s">
        <v>4973</v>
      </c>
      <c r="E4023" s="8">
        <v>5000</v>
      </c>
      <c r="F4023" s="13" t="s">
        <v>70</v>
      </c>
      <c r="G4023" s="14">
        <v>44859</v>
      </c>
      <c r="H4023" s="13" t="s">
        <v>9</v>
      </c>
    </row>
    <row r="4024" spans="1:8" ht="14.4" x14ac:dyDescent="0.3">
      <c r="A4024" s="8">
        <v>82188852</v>
      </c>
      <c r="B4024" s="11">
        <v>44853</v>
      </c>
      <c r="C4024" s="13" t="s">
        <v>5289</v>
      </c>
      <c r="D4024" s="13" t="s">
        <v>4973</v>
      </c>
      <c r="E4024" s="8">
        <v>5000</v>
      </c>
      <c r="F4024" s="13" t="s">
        <v>70</v>
      </c>
      <c r="G4024" s="14">
        <v>44859</v>
      </c>
      <c r="H4024" s="13" t="s">
        <v>9</v>
      </c>
    </row>
    <row r="4025" spans="1:8" ht="14.4" x14ac:dyDescent="0.3">
      <c r="A4025" s="8">
        <v>82188853</v>
      </c>
      <c r="B4025" s="11">
        <v>44853</v>
      </c>
      <c r="C4025" s="13" t="s">
        <v>5290</v>
      </c>
      <c r="D4025" s="13" t="s">
        <v>4973</v>
      </c>
      <c r="E4025" s="8">
        <v>3000</v>
      </c>
      <c r="F4025" s="13" t="s">
        <v>70</v>
      </c>
      <c r="G4025" s="14">
        <v>44862</v>
      </c>
      <c r="H4025" s="13" t="s">
        <v>9</v>
      </c>
    </row>
    <row r="4026" spans="1:8" ht="14.4" x14ac:dyDescent="0.3">
      <c r="A4026" s="8">
        <v>82188854</v>
      </c>
      <c r="B4026" s="11">
        <v>44853</v>
      </c>
      <c r="C4026" s="13" t="s">
        <v>5291</v>
      </c>
      <c r="D4026" s="13" t="s">
        <v>4973</v>
      </c>
      <c r="E4026" s="8">
        <v>15000</v>
      </c>
      <c r="F4026" s="13" t="s">
        <v>70</v>
      </c>
      <c r="G4026" s="14">
        <v>44855</v>
      </c>
      <c r="H4026" s="13" t="s">
        <v>9</v>
      </c>
    </row>
    <row r="4027" spans="1:8" ht="14.4" x14ac:dyDescent="0.3">
      <c r="A4027" s="8">
        <v>82188855</v>
      </c>
      <c r="B4027" s="11">
        <v>44853</v>
      </c>
      <c r="C4027" s="13" t="s">
        <v>5292</v>
      </c>
      <c r="D4027" s="13" t="s">
        <v>4973</v>
      </c>
      <c r="E4027" s="8">
        <v>10000</v>
      </c>
      <c r="F4027" s="13" t="s">
        <v>70</v>
      </c>
      <c r="G4027" s="14">
        <v>44855</v>
      </c>
      <c r="H4027" s="13" t="s">
        <v>9</v>
      </c>
    </row>
    <row r="4028" spans="1:8" ht="14.4" x14ac:dyDescent="0.3">
      <c r="A4028" s="8">
        <v>82188856</v>
      </c>
      <c r="B4028" s="11">
        <v>44853</v>
      </c>
      <c r="C4028" s="13" t="s">
        <v>5293</v>
      </c>
      <c r="D4028" s="13" t="s">
        <v>4973</v>
      </c>
      <c r="E4028" s="8">
        <v>10000</v>
      </c>
      <c r="F4028" s="13" t="s">
        <v>70</v>
      </c>
      <c r="G4028" s="14">
        <v>44855</v>
      </c>
      <c r="H4028" s="13" t="s">
        <v>9</v>
      </c>
    </row>
    <row r="4029" spans="1:8" ht="14.4" x14ac:dyDescent="0.3">
      <c r="A4029" s="8">
        <v>82188857</v>
      </c>
      <c r="B4029" s="11">
        <v>44853</v>
      </c>
      <c r="C4029" s="13" t="s">
        <v>5294</v>
      </c>
      <c r="D4029" s="13" t="s">
        <v>4973</v>
      </c>
      <c r="E4029" s="8">
        <v>10000</v>
      </c>
      <c r="F4029" s="13" t="s">
        <v>70</v>
      </c>
      <c r="G4029" s="14">
        <v>44855</v>
      </c>
      <c r="H4029" s="13" t="s">
        <v>9</v>
      </c>
    </row>
    <row r="4030" spans="1:8" ht="14.4" x14ac:dyDescent="0.3">
      <c r="A4030" s="8">
        <v>82188858</v>
      </c>
      <c r="B4030" s="11">
        <v>44853</v>
      </c>
      <c r="C4030" s="13" t="s">
        <v>5295</v>
      </c>
      <c r="D4030" s="13" t="s">
        <v>5214</v>
      </c>
      <c r="E4030" s="8">
        <v>10000</v>
      </c>
      <c r="F4030" s="13" t="s">
        <v>70</v>
      </c>
      <c r="G4030" s="14">
        <v>44854</v>
      </c>
      <c r="H4030" s="13" t="s">
        <v>9</v>
      </c>
    </row>
    <row r="4031" spans="1:8" ht="14.4" x14ac:dyDescent="0.3">
      <c r="A4031" s="8">
        <v>82188859</v>
      </c>
      <c r="B4031" s="11">
        <v>44853</v>
      </c>
      <c r="C4031" s="13" t="s">
        <v>5296</v>
      </c>
      <c r="D4031" s="13" t="s">
        <v>5214</v>
      </c>
      <c r="E4031" s="8">
        <v>10000</v>
      </c>
      <c r="F4031" s="13" t="s">
        <v>70</v>
      </c>
      <c r="G4031" s="14">
        <v>44854</v>
      </c>
      <c r="H4031" s="13" t="s">
        <v>9</v>
      </c>
    </row>
    <row r="4032" spans="1:8" ht="14.4" x14ac:dyDescent="0.3">
      <c r="A4032" s="8">
        <v>82188860</v>
      </c>
      <c r="B4032" s="11">
        <v>44853</v>
      </c>
      <c r="C4032" s="13" t="s">
        <v>5297</v>
      </c>
      <c r="D4032" s="13" t="s">
        <v>5214</v>
      </c>
      <c r="E4032" s="8">
        <v>10000</v>
      </c>
      <c r="F4032" s="13" t="s">
        <v>70</v>
      </c>
      <c r="G4032" s="14">
        <v>44854</v>
      </c>
      <c r="H4032" s="13" t="s">
        <v>9</v>
      </c>
    </row>
    <row r="4033" spans="1:8" ht="14.4" x14ac:dyDescent="0.3">
      <c r="A4033" s="8">
        <v>82188861</v>
      </c>
      <c r="B4033" s="11">
        <v>44853</v>
      </c>
      <c r="C4033" s="13" t="s">
        <v>5298</v>
      </c>
      <c r="D4033" s="13" t="s">
        <v>5214</v>
      </c>
      <c r="E4033" s="8">
        <v>10000</v>
      </c>
      <c r="F4033" s="13" t="s">
        <v>70</v>
      </c>
      <c r="G4033" s="14">
        <v>44854</v>
      </c>
      <c r="H4033" s="13" t="s">
        <v>9</v>
      </c>
    </row>
    <row r="4034" spans="1:8" ht="14.4" x14ac:dyDescent="0.3">
      <c r="A4034" s="8">
        <v>82188862</v>
      </c>
      <c r="B4034" s="11">
        <v>44853</v>
      </c>
      <c r="C4034" s="13" t="s">
        <v>5299</v>
      </c>
      <c r="D4034" s="13" t="s">
        <v>21</v>
      </c>
      <c r="E4034" s="8">
        <v>3000</v>
      </c>
      <c r="F4034" s="13" t="s">
        <v>70</v>
      </c>
      <c r="G4034" s="14">
        <v>44859</v>
      </c>
      <c r="H4034" s="13" t="s">
        <v>9</v>
      </c>
    </row>
    <row r="4035" spans="1:8" ht="14.4" x14ac:dyDescent="0.3">
      <c r="A4035" s="8">
        <v>82188863</v>
      </c>
      <c r="B4035" s="11">
        <v>44853</v>
      </c>
      <c r="C4035" s="13" t="s">
        <v>5300</v>
      </c>
      <c r="D4035" s="13" t="s">
        <v>5301</v>
      </c>
      <c r="E4035" s="8">
        <v>15000</v>
      </c>
      <c r="F4035" s="13" t="s">
        <v>70</v>
      </c>
      <c r="G4035" s="14">
        <v>44855</v>
      </c>
      <c r="H4035" s="13" t="s">
        <v>9</v>
      </c>
    </row>
    <row r="4036" spans="1:8" ht="14.4" x14ac:dyDescent="0.3">
      <c r="A4036" s="8">
        <v>82188864</v>
      </c>
      <c r="B4036" s="11">
        <v>44853</v>
      </c>
      <c r="C4036" s="13" t="s">
        <v>5302</v>
      </c>
      <c r="D4036" s="13" t="s">
        <v>5214</v>
      </c>
      <c r="E4036" s="8">
        <v>10000</v>
      </c>
      <c r="F4036" s="13" t="s">
        <v>70</v>
      </c>
      <c r="G4036" s="14">
        <v>44854</v>
      </c>
      <c r="H4036" s="13" t="s">
        <v>9</v>
      </c>
    </row>
    <row r="4037" spans="1:8" ht="14.4" x14ac:dyDescent="0.3">
      <c r="A4037" s="8">
        <v>82188865</v>
      </c>
      <c r="B4037" s="11">
        <v>44853</v>
      </c>
      <c r="C4037" s="13" t="s">
        <v>5303</v>
      </c>
      <c r="D4037" s="13" t="s">
        <v>5304</v>
      </c>
      <c r="E4037" s="8">
        <v>10000</v>
      </c>
      <c r="F4037" s="13" t="s">
        <v>70</v>
      </c>
      <c r="G4037" s="14">
        <v>44854</v>
      </c>
      <c r="H4037" s="13" t="s">
        <v>9</v>
      </c>
    </row>
    <row r="4038" spans="1:8" ht="14.4" x14ac:dyDescent="0.3">
      <c r="A4038" s="8">
        <v>82188866</v>
      </c>
      <c r="B4038" s="11">
        <v>44853</v>
      </c>
      <c r="C4038" s="13" t="s">
        <v>5305</v>
      </c>
      <c r="D4038" s="13" t="s">
        <v>5306</v>
      </c>
      <c r="E4038" s="8">
        <v>3175.8</v>
      </c>
      <c r="F4038" s="13" t="s">
        <v>70</v>
      </c>
      <c r="G4038" s="14">
        <v>44855</v>
      </c>
      <c r="H4038" s="13" t="s">
        <v>9</v>
      </c>
    </row>
    <row r="4039" spans="1:8" ht="14.4" x14ac:dyDescent="0.3">
      <c r="A4039" s="8">
        <v>82188867</v>
      </c>
      <c r="B4039" s="11">
        <v>44853</v>
      </c>
      <c r="C4039" s="13" t="s">
        <v>5305</v>
      </c>
      <c r="D4039" s="13" t="s">
        <v>5307</v>
      </c>
      <c r="E4039" s="8">
        <v>4687.5</v>
      </c>
      <c r="F4039" s="13" t="s">
        <v>70</v>
      </c>
      <c r="G4039" s="14">
        <v>44855</v>
      </c>
      <c r="H4039" s="13" t="s">
        <v>9</v>
      </c>
    </row>
    <row r="4040" spans="1:8" ht="14.4" x14ac:dyDescent="0.3">
      <c r="A4040" s="8">
        <v>82188868</v>
      </c>
      <c r="B4040" s="11">
        <v>44853</v>
      </c>
      <c r="C4040" s="13" t="s">
        <v>5305</v>
      </c>
      <c r="D4040" s="13" t="s">
        <v>5308</v>
      </c>
      <c r="E4040" s="8">
        <v>2811.57</v>
      </c>
      <c r="F4040" s="13" t="s">
        <v>70</v>
      </c>
      <c r="G4040" s="14">
        <v>44855</v>
      </c>
      <c r="H4040" s="13" t="s">
        <v>9</v>
      </c>
    </row>
    <row r="4041" spans="1:8" ht="14.4" x14ac:dyDescent="0.3">
      <c r="A4041" s="8">
        <v>82188869</v>
      </c>
      <c r="B4041" s="11">
        <v>44853</v>
      </c>
      <c r="C4041" s="13" t="s">
        <v>5305</v>
      </c>
      <c r="D4041" s="13" t="s">
        <v>5309</v>
      </c>
      <c r="E4041" s="8">
        <v>3174.7</v>
      </c>
      <c r="F4041" s="13" t="s">
        <v>70</v>
      </c>
      <c r="G4041" s="14">
        <v>44855</v>
      </c>
      <c r="H4041" s="13" t="s">
        <v>9</v>
      </c>
    </row>
    <row r="4042" spans="1:8" ht="14.4" x14ac:dyDescent="0.3">
      <c r="A4042" s="8">
        <v>82188870</v>
      </c>
      <c r="B4042" s="11">
        <v>44853</v>
      </c>
      <c r="C4042" s="13" t="s">
        <v>5305</v>
      </c>
      <c r="D4042" s="13" t="s">
        <v>5310</v>
      </c>
      <c r="E4042" s="8">
        <v>4124.07</v>
      </c>
      <c r="F4042" s="13" t="s">
        <v>70</v>
      </c>
      <c r="G4042" s="14">
        <v>44855</v>
      </c>
      <c r="H4042" s="13" t="s">
        <v>9</v>
      </c>
    </row>
    <row r="4043" spans="1:8" ht="14.4" x14ac:dyDescent="0.3">
      <c r="A4043" s="8">
        <v>82188871</v>
      </c>
      <c r="B4043" s="11">
        <v>44853</v>
      </c>
      <c r="C4043" s="13" t="s">
        <v>5305</v>
      </c>
      <c r="D4043" s="13" t="s">
        <v>5311</v>
      </c>
      <c r="E4043" s="8">
        <v>4687.5</v>
      </c>
      <c r="F4043" s="13" t="s">
        <v>70</v>
      </c>
      <c r="G4043" s="14">
        <v>44855</v>
      </c>
      <c r="H4043" s="13" t="s">
        <v>9</v>
      </c>
    </row>
    <row r="4044" spans="1:8" ht="14.4" x14ac:dyDescent="0.3">
      <c r="A4044" s="8">
        <v>82188872</v>
      </c>
      <c r="B4044" s="11">
        <v>44853</v>
      </c>
      <c r="C4044" s="13" t="s">
        <v>5305</v>
      </c>
      <c r="D4044" s="13" t="s">
        <v>5312</v>
      </c>
      <c r="E4044" s="8">
        <v>27841.040000000001</v>
      </c>
      <c r="F4044" s="13" t="s">
        <v>70</v>
      </c>
      <c r="G4044" s="14">
        <v>44855</v>
      </c>
      <c r="H4044" s="13" t="s">
        <v>9</v>
      </c>
    </row>
    <row r="4045" spans="1:8" ht="14.4" x14ac:dyDescent="0.3">
      <c r="A4045" s="8">
        <v>82188873</v>
      </c>
      <c r="B4045" s="11">
        <v>44853</v>
      </c>
      <c r="C4045" s="13" t="s">
        <v>5313</v>
      </c>
      <c r="D4045" s="13" t="s">
        <v>5314</v>
      </c>
      <c r="E4045" s="8">
        <v>150229.56</v>
      </c>
      <c r="F4045" s="13" t="s">
        <v>70</v>
      </c>
      <c r="G4045" s="14">
        <v>44854</v>
      </c>
      <c r="H4045" s="13" t="s">
        <v>9</v>
      </c>
    </row>
    <row r="4046" spans="1:8" ht="14.4" x14ac:dyDescent="0.3">
      <c r="A4046" s="8">
        <v>82188874</v>
      </c>
      <c r="B4046" s="11">
        <v>44853</v>
      </c>
      <c r="C4046" s="13" t="s">
        <v>5315</v>
      </c>
      <c r="D4046" s="13" t="s">
        <v>5316</v>
      </c>
      <c r="E4046" s="8">
        <v>6000</v>
      </c>
      <c r="F4046" s="13" t="s">
        <v>70</v>
      </c>
      <c r="G4046" s="14">
        <v>44854</v>
      </c>
      <c r="H4046" s="13" t="s">
        <v>9</v>
      </c>
    </row>
    <row r="4047" spans="1:8" ht="14.4" x14ac:dyDescent="0.3">
      <c r="A4047" s="8">
        <v>82188875</v>
      </c>
      <c r="B4047" s="11">
        <v>44854</v>
      </c>
      <c r="C4047" s="13" t="s">
        <v>5317</v>
      </c>
      <c r="D4047" s="13" t="s">
        <v>5318</v>
      </c>
      <c r="E4047" s="8">
        <v>40223.22</v>
      </c>
      <c r="F4047" s="13" t="s">
        <v>70</v>
      </c>
      <c r="G4047" s="14">
        <v>44854</v>
      </c>
      <c r="H4047" s="13" t="s">
        <v>9</v>
      </c>
    </row>
    <row r="4048" spans="1:8" ht="14.4" x14ac:dyDescent="0.3">
      <c r="A4048" s="8">
        <v>82188876</v>
      </c>
      <c r="B4048" s="11">
        <v>44854</v>
      </c>
      <c r="C4048" s="13" t="s">
        <v>5319</v>
      </c>
      <c r="D4048" s="13" t="s">
        <v>5320</v>
      </c>
      <c r="E4048" s="8">
        <v>22050</v>
      </c>
      <c r="F4048" s="13" t="s">
        <v>70</v>
      </c>
      <c r="G4048" s="14">
        <v>44859</v>
      </c>
      <c r="H4048" s="13" t="s">
        <v>9</v>
      </c>
    </row>
    <row r="4049" spans="1:8" ht="14.4" x14ac:dyDescent="0.3">
      <c r="A4049" s="8">
        <v>82188877</v>
      </c>
      <c r="B4049" s="11">
        <v>44854</v>
      </c>
      <c r="C4049" s="13" t="s">
        <v>5321</v>
      </c>
      <c r="D4049" s="13" t="s">
        <v>5322</v>
      </c>
      <c r="E4049" s="8">
        <v>5000</v>
      </c>
      <c r="F4049" s="13" t="s">
        <v>70</v>
      </c>
      <c r="G4049" s="14">
        <v>44859</v>
      </c>
      <c r="H4049" s="13" t="s">
        <v>9</v>
      </c>
    </row>
    <row r="4050" spans="1:8" ht="14.4" x14ac:dyDescent="0.3">
      <c r="A4050" s="8">
        <v>82188878</v>
      </c>
      <c r="B4050" s="11">
        <v>44854</v>
      </c>
      <c r="C4050" s="13" t="s">
        <v>5323</v>
      </c>
      <c r="D4050" s="13" t="s">
        <v>5324</v>
      </c>
      <c r="E4050" s="8">
        <v>10000</v>
      </c>
      <c r="F4050" s="13" t="s">
        <v>70</v>
      </c>
      <c r="G4050" s="14">
        <v>44869</v>
      </c>
      <c r="H4050" s="13" t="s">
        <v>9</v>
      </c>
    </row>
    <row r="4051" spans="1:8" ht="14.4" x14ac:dyDescent="0.3">
      <c r="A4051" s="8">
        <v>82188879</v>
      </c>
      <c r="B4051" s="11">
        <v>44854</v>
      </c>
      <c r="C4051" s="13" t="s">
        <v>5325</v>
      </c>
      <c r="D4051" s="13" t="s">
        <v>5045</v>
      </c>
      <c r="E4051" s="8">
        <v>23509.23</v>
      </c>
      <c r="F4051" s="13" t="s">
        <v>70</v>
      </c>
      <c r="G4051" s="14">
        <v>44855</v>
      </c>
      <c r="H4051" s="13" t="s">
        <v>9</v>
      </c>
    </row>
    <row r="4052" spans="1:8" ht="14.4" x14ac:dyDescent="0.3">
      <c r="A4052" s="8">
        <v>82188880</v>
      </c>
      <c r="B4052" s="11">
        <v>44854</v>
      </c>
      <c r="C4052" s="13" t="s">
        <v>5226</v>
      </c>
      <c r="D4052" s="13" t="s">
        <v>5326</v>
      </c>
      <c r="E4052" s="8">
        <v>12286.57</v>
      </c>
      <c r="F4052" s="13" t="s">
        <v>70</v>
      </c>
      <c r="G4052" s="14">
        <v>44855</v>
      </c>
      <c r="H4052" s="13" t="s">
        <v>9</v>
      </c>
    </row>
    <row r="4053" spans="1:8" ht="14.4" x14ac:dyDescent="0.3">
      <c r="A4053" s="8">
        <v>82188881</v>
      </c>
      <c r="B4053" s="11">
        <v>44854</v>
      </c>
      <c r="C4053" s="13" t="s">
        <v>5226</v>
      </c>
      <c r="D4053" s="13" t="s">
        <v>5227</v>
      </c>
      <c r="E4053" s="8">
        <v>32961.980000000003</v>
      </c>
      <c r="F4053" s="13" t="s">
        <v>70</v>
      </c>
      <c r="G4053" s="14">
        <v>44855</v>
      </c>
      <c r="H4053" s="13" t="s">
        <v>9</v>
      </c>
    </row>
    <row r="4054" spans="1:8" ht="14.4" x14ac:dyDescent="0.3">
      <c r="A4054" s="8">
        <v>82188882</v>
      </c>
      <c r="B4054" s="11">
        <v>44854</v>
      </c>
      <c r="C4054" s="13" t="s">
        <v>5226</v>
      </c>
      <c r="D4054" s="13" t="s">
        <v>5327</v>
      </c>
      <c r="E4054" s="8">
        <v>55210.65</v>
      </c>
      <c r="F4054" s="13" t="s">
        <v>70</v>
      </c>
      <c r="G4054" s="14">
        <v>44855</v>
      </c>
      <c r="H4054" s="13" t="s">
        <v>9</v>
      </c>
    </row>
    <row r="4055" spans="1:8" ht="14.4" x14ac:dyDescent="0.3">
      <c r="A4055" s="8">
        <v>82188883</v>
      </c>
      <c r="B4055" s="11">
        <v>44854</v>
      </c>
      <c r="C4055" s="13" t="s">
        <v>5328</v>
      </c>
      <c r="D4055" s="13" t="s">
        <v>5329</v>
      </c>
      <c r="E4055" s="8">
        <v>750502.33</v>
      </c>
      <c r="F4055" s="13" t="s">
        <v>70</v>
      </c>
      <c r="G4055" s="14">
        <v>44862</v>
      </c>
      <c r="H4055" s="13" t="s">
        <v>9</v>
      </c>
    </row>
    <row r="4056" spans="1:8" ht="14.4" x14ac:dyDescent="0.3">
      <c r="A4056" s="8">
        <v>82188884</v>
      </c>
      <c r="B4056" s="11">
        <v>44854</v>
      </c>
      <c r="C4056" s="13" t="s">
        <v>5330</v>
      </c>
      <c r="D4056" s="13" t="s">
        <v>5331</v>
      </c>
      <c r="E4056" s="8">
        <v>20000</v>
      </c>
      <c r="F4056" s="13" t="s">
        <v>70</v>
      </c>
      <c r="G4056" s="14">
        <v>44858</v>
      </c>
      <c r="H4056" s="13" t="s">
        <v>9</v>
      </c>
    </row>
    <row r="4057" spans="1:8" ht="14.4" x14ac:dyDescent="0.3">
      <c r="A4057" s="8">
        <v>82188885</v>
      </c>
      <c r="B4057" s="11">
        <v>44854</v>
      </c>
      <c r="C4057" s="13" t="s">
        <v>5332</v>
      </c>
      <c r="D4057" s="13" t="s">
        <v>5333</v>
      </c>
      <c r="E4057" s="8">
        <v>291088.09999999998</v>
      </c>
      <c r="F4057" s="13" t="s">
        <v>70</v>
      </c>
      <c r="G4057" s="14">
        <v>44867</v>
      </c>
      <c r="H4057" s="13" t="s">
        <v>9</v>
      </c>
    </row>
    <row r="4058" spans="1:8" ht="14.4" x14ac:dyDescent="0.3">
      <c r="A4058" s="8">
        <v>82188886</v>
      </c>
      <c r="B4058" s="11">
        <v>44854</v>
      </c>
      <c r="C4058" s="13" t="s">
        <v>5334</v>
      </c>
      <c r="D4058" s="13" t="s">
        <v>5335</v>
      </c>
      <c r="E4058" s="8">
        <v>20000</v>
      </c>
      <c r="F4058" s="13" t="s">
        <v>70</v>
      </c>
      <c r="G4058" s="14">
        <v>44855</v>
      </c>
      <c r="H4058" s="13" t="s">
        <v>9</v>
      </c>
    </row>
    <row r="4059" spans="1:8" ht="14.4" x14ac:dyDescent="0.3">
      <c r="A4059" s="8">
        <v>82188887</v>
      </c>
      <c r="B4059" s="11">
        <v>44854</v>
      </c>
      <c r="C4059" s="13" t="s">
        <v>5336</v>
      </c>
      <c r="D4059" s="13" t="s">
        <v>5337</v>
      </c>
      <c r="E4059" s="8">
        <v>5000</v>
      </c>
      <c r="F4059" s="13" t="s">
        <v>70</v>
      </c>
      <c r="G4059" s="14">
        <v>44869</v>
      </c>
      <c r="H4059" s="13" t="s">
        <v>9</v>
      </c>
    </row>
    <row r="4060" spans="1:8" ht="14.4" x14ac:dyDescent="0.3">
      <c r="A4060" s="8">
        <v>82188889</v>
      </c>
      <c r="B4060" s="11">
        <v>44854</v>
      </c>
      <c r="C4060" s="13" t="s">
        <v>5338</v>
      </c>
      <c r="D4060" s="13" t="s">
        <v>5339</v>
      </c>
      <c r="E4060" s="8">
        <v>9000</v>
      </c>
      <c r="F4060" s="13" t="s">
        <v>70</v>
      </c>
      <c r="G4060" s="14">
        <v>44858</v>
      </c>
      <c r="H4060" s="13" t="s">
        <v>9</v>
      </c>
    </row>
    <row r="4061" spans="1:8" ht="14.4" x14ac:dyDescent="0.3">
      <c r="A4061" s="8">
        <v>82188890</v>
      </c>
      <c r="B4061" s="11">
        <v>44854</v>
      </c>
      <c r="C4061" s="13" t="s">
        <v>5340</v>
      </c>
      <c r="D4061" s="13" t="s">
        <v>5341</v>
      </c>
      <c r="E4061" s="8">
        <v>5000</v>
      </c>
      <c r="F4061" s="13" t="s">
        <v>70</v>
      </c>
      <c r="G4061" s="14">
        <v>44855</v>
      </c>
      <c r="H4061" s="13" t="s">
        <v>9</v>
      </c>
    </row>
    <row r="4062" spans="1:8" ht="14.4" x14ac:dyDescent="0.3">
      <c r="A4062" s="8">
        <v>82188891</v>
      </c>
      <c r="B4062" s="11">
        <v>44854</v>
      </c>
      <c r="C4062" s="13" t="s">
        <v>5342</v>
      </c>
      <c r="D4062" s="13" t="s">
        <v>5343</v>
      </c>
      <c r="E4062" s="8">
        <v>10000</v>
      </c>
      <c r="F4062" s="13" t="s">
        <v>70</v>
      </c>
      <c r="G4062" s="14">
        <v>44855</v>
      </c>
      <c r="H4062" s="13" t="s">
        <v>9</v>
      </c>
    </row>
    <row r="4063" spans="1:8" ht="14.4" x14ac:dyDescent="0.3">
      <c r="A4063" s="8">
        <v>82188892</v>
      </c>
      <c r="B4063" s="11">
        <v>44854</v>
      </c>
      <c r="C4063" s="13" t="s">
        <v>5344</v>
      </c>
      <c r="D4063" s="13" t="s">
        <v>5345</v>
      </c>
      <c r="E4063" s="8">
        <v>8106.43</v>
      </c>
      <c r="F4063" s="13" t="s">
        <v>70</v>
      </c>
      <c r="G4063" s="14">
        <v>44858</v>
      </c>
      <c r="H4063" s="13" t="s">
        <v>9</v>
      </c>
    </row>
    <row r="4064" spans="1:8" ht="14.4" x14ac:dyDescent="0.3">
      <c r="A4064" s="8">
        <v>82188893</v>
      </c>
      <c r="B4064" s="11">
        <v>44854</v>
      </c>
      <c r="C4064" s="13" t="s">
        <v>5346</v>
      </c>
      <c r="D4064" s="13" t="s">
        <v>5347</v>
      </c>
      <c r="E4064" s="8">
        <v>318900</v>
      </c>
      <c r="F4064" s="13" t="s">
        <v>70</v>
      </c>
      <c r="G4064" s="14">
        <v>44854</v>
      </c>
      <c r="H4064" s="13" t="s">
        <v>9</v>
      </c>
    </row>
    <row r="4065" spans="1:8" ht="14.4" x14ac:dyDescent="0.3">
      <c r="A4065" s="8">
        <v>82188894</v>
      </c>
      <c r="B4065" s="11">
        <v>44854</v>
      </c>
      <c r="C4065" s="13" t="s">
        <v>5226</v>
      </c>
      <c r="D4065" s="13" t="s">
        <v>5348</v>
      </c>
      <c r="E4065" s="8">
        <v>151700.1</v>
      </c>
      <c r="F4065" s="13" t="s">
        <v>70</v>
      </c>
      <c r="G4065" s="14">
        <v>44858</v>
      </c>
      <c r="H4065" s="13" t="s">
        <v>9</v>
      </c>
    </row>
    <row r="4066" spans="1:8" ht="14.4" x14ac:dyDescent="0.3">
      <c r="A4066" s="8">
        <v>82188895</v>
      </c>
      <c r="B4066" s="11">
        <v>44854</v>
      </c>
      <c r="C4066" s="13" t="s">
        <v>5226</v>
      </c>
      <c r="D4066" s="13" t="s">
        <v>5349</v>
      </c>
      <c r="E4066" s="8">
        <v>97512.47</v>
      </c>
      <c r="F4066" s="13" t="s">
        <v>70</v>
      </c>
      <c r="G4066" s="14">
        <v>44858</v>
      </c>
      <c r="H4066" s="13" t="s">
        <v>9</v>
      </c>
    </row>
    <row r="4067" spans="1:8" ht="14.4" x14ac:dyDescent="0.3">
      <c r="A4067" s="8">
        <v>82188896</v>
      </c>
      <c r="B4067" s="11">
        <v>44854</v>
      </c>
      <c r="C4067" s="13" t="s">
        <v>5226</v>
      </c>
      <c r="D4067" s="13" t="s">
        <v>5350</v>
      </c>
      <c r="E4067" s="8">
        <v>235097.2</v>
      </c>
      <c r="F4067" s="13" t="s">
        <v>70</v>
      </c>
      <c r="G4067" s="14">
        <v>44855</v>
      </c>
      <c r="H4067" s="13" t="s">
        <v>9</v>
      </c>
    </row>
    <row r="4068" spans="1:8" ht="14.4" x14ac:dyDescent="0.3">
      <c r="A4068" s="8">
        <v>82188897</v>
      </c>
      <c r="B4068" s="11">
        <v>44854</v>
      </c>
      <c r="C4068" s="13" t="s">
        <v>5351</v>
      </c>
      <c r="D4068" s="13" t="s">
        <v>5352</v>
      </c>
      <c r="E4068" s="8">
        <v>41000</v>
      </c>
      <c r="F4068" s="13" t="s">
        <v>70</v>
      </c>
      <c r="G4068" s="14">
        <v>44859</v>
      </c>
      <c r="H4068" s="13" t="s">
        <v>9</v>
      </c>
    </row>
    <row r="4069" spans="1:8" ht="14.4" x14ac:dyDescent="0.3">
      <c r="A4069" s="8">
        <v>82188898</v>
      </c>
      <c r="B4069" s="11">
        <v>44854</v>
      </c>
      <c r="C4069" s="13" t="s">
        <v>5353</v>
      </c>
      <c r="D4069" s="13" t="s">
        <v>5354</v>
      </c>
      <c r="E4069" s="8">
        <v>29000</v>
      </c>
      <c r="F4069" s="13" t="s">
        <v>70</v>
      </c>
      <c r="G4069" s="14">
        <v>44858</v>
      </c>
      <c r="H4069" s="13" t="s">
        <v>9</v>
      </c>
    </row>
    <row r="4070" spans="1:8" ht="14.4" x14ac:dyDescent="0.3">
      <c r="A4070" s="8">
        <v>82188899</v>
      </c>
      <c r="B4070" s="11">
        <v>44854</v>
      </c>
      <c r="C4070" s="13" t="s">
        <v>5355</v>
      </c>
      <c r="D4070" s="13" t="s">
        <v>5356</v>
      </c>
      <c r="E4070" s="8">
        <v>16000</v>
      </c>
      <c r="F4070" s="13" t="s">
        <v>70</v>
      </c>
      <c r="G4070" s="14">
        <v>44858</v>
      </c>
      <c r="H4070" s="13" t="s">
        <v>9</v>
      </c>
    </row>
    <row r="4071" spans="1:8" ht="14.4" x14ac:dyDescent="0.3">
      <c r="A4071" s="8">
        <v>82188900</v>
      </c>
      <c r="B4071" s="11">
        <v>44854</v>
      </c>
      <c r="C4071" s="13" t="s">
        <v>5357</v>
      </c>
      <c r="D4071" s="13" t="s">
        <v>5358</v>
      </c>
      <c r="E4071" s="8">
        <v>50000</v>
      </c>
      <c r="F4071" s="13" t="s">
        <v>70</v>
      </c>
      <c r="G4071" s="14">
        <v>44858</v>
      </c>
      <c r="H4071" s="13" t="s">
        <v>9</v>
      </c>
    </row>
    <row r="4072" spans="1:8" ht="14.4" x14ac:dyDescent="0.3">
      <c r="A4072" s="8">
        <v>82188901</v>
      </c>
      <c r="B4072" s="11">
        <v>44854</v>
      </c>
      <c r="C4072" s="13" t="s">
        <v>5359</v>
      </c>
      <c r="D4072" s="13" t="s">
        <v>5360</v>
      </c>
      <c r="E4072" s="8">
        <v>137000</v>
      </c>
      <c r="F4072" s="13" t="s">
        <v>70</v>
      </c>
      <c r="G4072" s="14">
        <v>44855</v>
      </c>
      <c r="H4072" s="13" t="s">
        <v>9</v>
      </c>
    </row>
    <row r="4073" spans="1:8" ht="14.4" x14ac:dyDescent="0.3">
      <c r="A4073" s="8">
        <v>82188902</v>
      </c>
      <c r="B4073" s="11">
        <v>44854</v>
      </c>
      <c r="C4073" s="13" t="s">
        <v>1932</v>
      </c>
      <c r="D4073" s="13" t="s">
        <v>5361</v>
      </c>
      <c r="E4073" s="8">
        <v>252477.81</v>
      </c>
      <c r="F4073" s="13" t="s">
        <v>70</v>
      </c>
      <c r="G4073" s="14">
        <v>44855</v>
      </c>
      <c r="H4073" s="13" t="s">
        <v>9</v>
      </c>
    </row>
    <row r="4074" spans="1:8" ht="14.4" x14ac:dyDescent="0.3">
      <c r="A4074" s="8">
        <v>82188903</v>
      </c>
      <c r="B4074" s="11">
        <v>44854</v>
      </c>
      <c r="C4074" s="13" t="s">
        <v>5362</v>
      </c>
      <c r="D4074" s="13" t="s">
        <v>5363</v>
      </c>
      <c r="E4074" s="8">
        <v>30717.1</v>
      </c>
      <c r="F4074" s="13" t="s">
        <v>70</v>
      </c>
      <c r="G4074" s="14">
        <v>44868</v>
      </c>
      <c r="H4074" s="13" t="s">
        <v>9</v>
      </c>
    </row>
    <row r="4075" spans="1:8" ht="14.4" x14ac:dyDescent="0.3">
      <c r="A4075" s="8">
        <v>82188904</v>
      </c>
      <c r="B4075" s="11">
        <v>44854</v>
      </c>
      <c r="C4075" s="13" t="s">
        <v>5338</v>
      </c>
      <c r="D4075" s="13" t="s">
        <v>5364</v>
      </c>
      <c r="E4075" s="8">
        <v>80200.95</v>
      </c>
      <c r="F4075" s="13" t="s">
        <v>70</v>
      </c>
      <c r="G4075" s="14">
        <v>44858</v>
      </c>
      <c r="H4075" s="13" t="s">
        <v>9</v>
      </c>
    </row>
    <row r="4076" spans="1:8" ht="14.4" x14ac:dyDescent="0.3">
      <c r="A4076" s="8">
        <v>82188905</v>
      </c>
      <c r="B4076" s="11">
        <v>44854</v>
      </c>
      <c r="C4076" s="13" t="s">
        <v>5338</v>
      </c>
      <c r="D4076" s="13" t="s">
        <v>5365</v>
      </c>
      <c r="E4076" s="8">
        <v>33510</v>
      </c>
      <c r="F4076" s="13" t="s">
        <v>70</v>
      </c>
      <c r="G4076" s="14">
        <v>44858</v>
      </c>
      <c r="H4076" s="13" t="s">
        <v>9</v>
      </c>
    </row>
    <row r="4077" spans="1:8" ht="14.4" x14ac:dyDescent="0.3">
      <c r="A4077" s="8">
        <v>82188906</v>
      </c>
      <c r="B4077" s="11">
        <v>44854</v>
      </c>
      <c r="C4077" s="13" t="s">
        <v>5366</v>
      </c>
      <c r="D4077" s="13" t="s">
        <v>5367</v>
      </c>
      <c r="E4077" s="8">
        <v>68106</v>
      </c>
      <c r="F4077" s="13" t="s">
        <v>70</v>
      </c>
      <c r="G4077" s="14">
        <v>44859</v>
      </c>
      <c r="H4077" s="13" t="s">
        <v>9</v>
      </c>
    </row>
    <row r="4078" spans="1:8" ht="14.4" x14ac:dyDescent="0.3">
      <c r="A4078" s="8">
        <v>82188907</v>
      </c>
      <c r="B4078" s="11">
        <v>44854</v>
      </c>
      <c r="C4078" s="13" t="s">
        <v>5368</v>
      </c>
      <c r="D4078" s="13" t="s">
        <v>5369</v>
      </c>
      <c r="E4078" s="8">
        <v>43802</v>
      </c>
      <c r="F4078" s="13" t="s">
        <v>70</v>
      </c>
      <c r="G4078" s="14">
        <v>44855</v>
      </c>
      <c r="H4078" s="13" t="s">
        <v>9</v>
      </c>
    </row>
    <row r="4079" spans="1:8" ht="14.4" x14ac:dyDescent="0.3">
      <c r="A4079" s="8">
        <v>82188909</v>
      </c>
      <c r="B4079" s="11">
        <v>44854</v>
      </c>
      <c r="C4079" s="13" t="s">
        <v>4955</v>
      </c>
      <c r="D4079" s="13" t="s">
        <v>5370</v>
      </c>
      <c r="E4079" s="8">
        <v>1300</v>
      </c>
      <c r="F4079" s="13" t="s">
        <v>70</v>
      </c>
      <c r="G4079" s="14">
        <v>44859</v>
      </c>
      <c r="H4079" s="13" t="s">
        <v>9</v>
      </c>
    </row>
    <row r="4080" spans="1:8" ht="14.4" x14ac:dyDescent="0.3">
      <c r="A4080" s="8">
        <v>82188910</v>
      </c>
      <c r="B4080" s="11">
        <v>44854</v>
      </c>
      <c r="C4080" s="13" t="s">
        <v>4955</v>
      </c>
      <c r="D4080" s="13" t="s">
        <v>5371</v>
      </c>
      <c r="E4080" s="8">
        <v>480</v>
      </c>
      <c r="F4080" s="13" t="s">
        <v>70</v>
      </c>
      <c r="G4080" s="14">
        <v>44858</v>
      </c>
      <c r="H4080" s="13" t="s">
        <v>9</v>
      </c>
    </row>
    <row r="4081" spans="1:8" ht="14.4" x14ac:dyDescent="0.3">
      <c r="A4081" s="8">
        <v>82188912</v>
      </c>
      <c r="B4081" s="11">
        <v>44854</v>
      </c>
      <c r="C4081" s="13" t="s">
        <v>5372</v>
      </c>
      <c r="D4081" s="13" t="s">
        <v>5373</v>
      </c>
      <c r="E4081" s="8">
        <v>11000</v>
      </c>
      <c r="F4081" s="13" t="s">
        <v>70</v>
      </c>
      <c r="G4081" s="14">
        <v>44859</v>
      </c>
      <c r="H4081" s="13" t="s">
        <v>9</v>
      </c>
    </row>
    <row r="4082" spans="1:8" ht="14.4" x14ac:dyDescent="0.3">
      <c r="A4082" s="8">
        <v>82188913</v>
      </c>
      <c r="B4082" s="11">
        <v>44854</v>
      </c>
      <c r="C4082" s="13" t="s">
        <v>5374</v>
      </c>
      <c r="D4082" s="13" t="s">
        <v>47</v>
      </c>
      <c r="E4082" s="8">
        <v>14000</v>
      </c>
      <c r="F4082" s="13" t="s">
        <v>70</v>
      </c>
      <c r="G4082" s="14">
        <v>44858</v>
      </c>
      <c r="H4082" s="13" t="s">
        <v>9</v>
      </c>
    </row>
    <row r="4083" spans="1:8" ht="14.4" x14ac:dyDescent="0.3">
      <c r="A4083" s="8">
        <v>82188914</v>
      </c>
      <c r="B4083" s="11">
        <v>44854</v>
      </c>
      <c r="C4083" s="13" t="s">
        <v>5375</v>
      </c>
      <c r="D4083" s="13" t="s">
        <v>5376</v>
      </c>
      <c r="E4083" s="8">
        <v>21000</v>
      </c>
      <c r="F4083" s="13" t="s">
        <v>70</v>
      </c>
      <c r="G4083" s="14">
        <v>44859</v>
      </c>
      <c r="H4083" s="13" t="s">
        <v>9</v>
      </c>
    </row>
    <row r="4084" spans="1:8" ht="14.4" x14ac:dyDescent="0.3">
      <c r="A4084" s="8">
        <v>82188915</v>
      </c>
      <c r="B4084" s="11">
        <v>44854</v>
      </c>
      <c r="C4084" s="13" t="s">
        <v>102</v>
      </c>
      <c r="D4084" s="13" t="s">
        <v>5377</v>
      </c>
      <c r="E4084" s="8">
        <v>8000</v>
      </c>
      <c r="F4084" s="13" t="s">
        <v>70</v>
      </c>
      <c r="G4084" s="14">
        <v>44867</v>
      </c>
      <c r="H4084" s="13" t="s">
        <v>9</v>
      </c>
    </row>
    <row r="4085" spans="1:8" ht="14.4" x14ac:dyDescent="0.3">
      <c r="A4085" s="8">
        <v>82188916</v>
      </c>
      <c r="B4085" s="11">
        <v>44854</v>
      </c>
      <c r="C4085" s="13" t="s">
        <v>5378</v>
      </c>
      <c r="D4085" s="13" t="s">
        <v>5379</v>
      </c>
      <c r="E4085" s="8">
        <v>10000</v>
      </c>
      <c r="F4085" s="13" t="s">
        <v>70</v>
      </c>
      <c r="G4085" s="14">
        <v>44858</v>
      </c>
      <c r="H4085" s="13" t="s">
        <v>9</v>
      </c>
    </row>
    <row r="4086" spans="1:8" ht="14.4" x14ac:dyDescent="0.3">
      <c r="A4086" s="8">
        <v>82188917</v>
      </c>
      <c r="B4086" s="11">
        <v>44854</v>
      </c>
      <c r="C4086" s="13" t="s">
        <v>5380</v>
      </c>
      <c r="D4086" s="13" t="s">
        <v>47</v>
      </c>
      <c r="E4086" s="8">
        <v>8000</v>
      </c>
      <c r="F4086" s="13" t="s">
        <v>70</v>
      </c>
      <c r="G4086" s="14">
        <v>44859</v>
      </c>
      <c r="H4086" s="13" t="s">
        <v>9</v>
      </c>
    </row>
    <row r="4087" spans="1:8" ht="14.4" x14ac:dyDescent="0.3">
      <c r="A4087" s="8">
        <v>82188918</v>
      </c>
      <c r="B4087" s="11">
        <v>44854</v>
      </c>
      <c r="C4087" s="13" t="s">
        <v>3315</v>
      </c>
      <c r="D4087" s="13" t="s">
        <v>5381</v>
      </c>
      <c r="E4087" s="8">
        <v>10000</v>
      </c>
      <c r="F4087" s="13" t="s">
        <v>70</v>
      </c>
      <c r="G4087" s="14">
        <v>44859</v>
      </c>
      <c r="H4087" s="13" t="s">
        <v>9</v>
      </c>
    </row>
    <row r="4088" spans="1:8" ht="14.4" x14ac:dyDescent="0.3">
      <c r="A4088" s="8">
        <v>82188919</v>
      </c>
      <c r="B4088" s="11">
        <v>44854</v>
      </c>
      <c r="C4088" s="13" t="s">
        <v>5382</v>
      </c>
      <c r="D4088" s="13" t="s">
        <v>5383</v>
      </c>
      <c r="E4088" s="8">
        <v>15000</v>
      </c>
      <c r="F4088" s="13" t="s">
        <v>70</v>
      </c>
      <c r="G4088" s="14">
        <v>44859</v>
      </c>
      <c r="H4088" s="13" t="s">
        <v>9</v>
      </c>
    </row>
    <row r="4089" spans="1:8" ht="14.4" x14ac:dyDescent="0.3">
      <c r="A4089" s="8">
        <v>82188920</v>
      </c>
      <c r="B4089" s="11">
        <v>44854</v>
      </c>
      <c r="C4089" s="13" t="s">
        <v>5384</v>
      </c>
      <c r="D4089" s="13" t="s">
        <v>5385</v>
      </c>
      <c r="E4089" s="8">
        <v>8000</v>
      </c>
      <c r="F4089" s="13" t="s">
        <v>70</v>
      </c>
      <c r="G4089" s="14">
        <v>44858</v>
      </c>
      <c r="H4089" s="13" t="s">
        <v>9</v>
      </c>
    </row>
    <row r="4090" spans="1:8" ht="14.4" x14ac:dyDescent="0.3">
      <c r="A4090" s="8">
        <v>82188921</v>
      </c>
      <c r="B4090" s="11">
        <v>44854</v>
      </c>
      <c r="C4090" s="13" t="s">
        <v>5386</v>
      </c>
      <c r="D4090" s="13" t="s">
        <v>5387</v>
      </c>
      <c r="E4090" s="8">
        <v>18000</v>
      </c>
      <c r="F4090" s="13" t="s">
        <v>70</v>
      </c>
      <c r="G4090" s="14">
        <v>44859</v>
      </c>
      <c r="H4090" s="13" t="s">
        <v>9</v>
      </c>
    </row>
    <row r="4091" spans="1:8" ht="14.4" x14ac:dyDescent="0.3">
      <c r="A4091" s="8">
        <v>82188922</v>
      </c>
      <c r="B4091" s="11">
        <v>44854</v>
      </c>
      <c r="C4091" s="13" t="s">
        <v>5388</v>
      </c>
      <c r="D4091" s="13" t="s">
        <v>5389</v>
      </c>
      <c r="E4091" s="8">
        <v>25000</v>
      </c>
      <c r="F4091" s="13" t="s">
        <v>70</v>
      </c>
      <c r="G4091" s="14">
        <v>44859</v>
      </c>
      <c r="H4091" s="13" t="s">
        <v>9</v>
      </c>
    </row>
    <row r="4092" spans="1:8" ht="14.4" x14ac:dyDescent="0.3">
      <c r="A4092" s="8">
        <v>82188923</v>
      </c>
      <c r="B4092" s="11">
        <v>44854</v>
      </c>
      <c r="C4092" s="13" t="s">
        <v>5390</v>
      </c>
      <c r="D4092" s="13" t="s">
        <v>5391</v>
      </c>
      <c r="E4092" s="8">
        <v>10000</v>
      </c>
      <c r="F4092" s="13" t="s">
        <v>70</v>
      </c>
      <c r="G4092" s="14">
        <v>44858</v>
      </c>
      <c r="H4092" s="13" t="s">
        <v>9</v>
      </c>
    </row>
    <row r="4093" spans="1:8" ht="14.4" x14ac:dyDescent="0.3">
      <c r="A4093" s="8">
        <v>82188924</v>
      </c>
      <c r="B4093" s="11">
        <v>44854</v>
      </c>
      <c r="C4093" s="13" t="s">
        <v>5392</v>
      </c>
      <c r="D4093" s="13" t="s">
        <v>5393</v>
      </c>
      <c r="E4093" s="8">
        <v>6700</v>
      </c>
      <c r="F4093" s="13" t="s">
        <v>70</v>
      </c>
      <c r="G4093" s="14">
        <v>44858</v>
      </c>
      <c r="H4093" s="13" t="s">
        <v>9</v>
      </c>
    </row>
    <row r="4094" spans="1:8" ht="14.4" x14ac:dyDescent="0.3">
      <c r="A4094" s="8">
        <v>82188925</v>
      </c>
      <c r="B4094" s="11">
        <v>44854</v>
      </c>
      <c r="C4094" s="13" t="s">
        <v>5394</v>
      </c>
      <c r="D4094" s="13" t="s">
        <v>5395</v>
      </c>
      <c r="E4094" s="8">
        <v>15200</v>
      </c>
      <c r="F4094" s="13" t="s">
        <v>70</v>
      </c>
      <c r="G4094" s="14">
        <v>44858</v>
      </c>
      <c r="H4094" s="13" t="s">
        <v>9</v>
      </c>
    </row>
    <row r="4095" spans="1:8" ht="14.4" x14ac:dyDescent="0.3">
      <c r="A4095" s="8">
        <v>82188926</v>
      </c>
      <c r="B4095" s="11">
        <v>44854</v>
      </c>
      <c r="C4095" s="13" t="s">
        <v>5396</v>
      </c>
      <c r="D4095" s="13" t="s">
        <v>5397</v>
      </c>
      <c r="E4095" s="8">
        <v>8000</v>
      </c>
      <c r="F4095" s="13" t="s">
        <v>70</v>
      </c>
      <c r="G4095" s="14">
        <v>44859</v>
      </c>
      <c r="H4095" s="13" t="s">
        <v>9</v>
      </c>
    </row>
    <row r="4096" spans="1:8" ht="14.4" x14ac:dyDescent="0.3">
      <c r="A4096" s="8">
        <v>82188927</v>
      </c>
      <c r="B4096" s="11">
        <v>44854</v>
      </c>
      <c r="C4096" s="13" t="s">
        <v>5398</v>
      </c>
      <c r="D4096" s="13" t="s">
        <v>5399</v>
      </c>
      <c r="E4096" s="8">
        <v>9000</v>
      </c>
      <c r="F4096" s="13" t="s">
        <v>70</v>
      </c>
      <c r="G4096" s="14">
        <v>44858</v>
      </c>
      <c r="H4096" s="13" t="s">
        <v>9</v>
      </c>
    </row>
    <row r="4097" spans="1:8" ht="14.4" x14ac:dyDescent="0.3">
      <c r="A4097" s="8">
        <v>82188928</v>
      </c>
      <c r="B4097" s="11">
        <v>44854</v>
      </c>
      <c r="C4097" s="13" t="s">
        <v>5400</v>
      </c>
      <c r="D4097" s="13" t="s">
        <v>100</v>
      </c>
      <c r="E4097" s="8">
        <v>10000</v>
      </c>
      <c r="F4097" s="13" t="s">
        <v>70</v>
      </c>
      <c r="G4097" s="14">
        <v>44858</v>
      </c>
      <c r="H4097" s="13" t="s">
        <v>9</v>
      </c>
    </row>
    <row r="4098" spans="1:8" ht="14.4" x14ac:dyDescent="0.3">
      <c r="A4098" s="8">
        <v>82188929</v>
      </c>
      <c r="B4098" s="11">
        <v>44854</v>
      </c>
      <c r="C4098" s="13" t="s">
        <v>5401</v>
      </c>
      <c r="D4098" s="13" t="s">
        <v>5402</v>
      </c>
      <c r="E4098" s="8">
        <v>10000</v>
      </c>
      <c r="F4098" s="13" t="s">
        <v>70</v>
      </c>
      <c r="G4098" s="14">
        <v>44858</v>
      </c>
      <c r="H4098" s="13" t="s">
        <v>9</v>
      </c>
    </row>
    <row r="4099" spans="1:8" ht="14.4" x14ac:dyDescent="0.3">
      <c r="A4099" s="8">
        <v>82188930</v>
      </c>
      <c r="B4099" s="11">
        <v>44854</v>
      </c>
      <c r="C4099" s="13" t="s">
        <v>5403</v>
      </c>
      <c r="D4099" s="13" t="s">
        <v>5404</v>
      </c>
      <c r="E4099" s="8">
        <v>38000</v>
      </c>
      <c r="F4099" s="13" t="s">
        <v>70</v>
      </c>
      <c r="G4099" s="14">
        <v>44858</v>
      </c>
      <c r="H4099" s="13" t="s">
        <v>9</v>
      </c>
    </row>
    <row r="4100" spans="1:8" ht="14.4" x14ac:dyDescent="0.3">
      <c r="A4100" s="8">
        <v>82188931</v>
      </c>
      <c r="B4100" s="11">
        <v>44854</v>
      </c>
      <c r="C4100" s="13" t="s">
        <v>5405</v>
      </c>
      <c r="D4100" s="13" t="s">
        <v>5406</v>
      </c>
      <c r="E4100" s="8">
        <v>23000</v>
      </c>
      <c r="F4100" s="13" t="s">
        <v>70</v>
      </c>
      <c r="G4100" s="14">
        <v>44858</v>
      </c>
      <c r="H4100" s="13" t="s">
        <v>9</v>
      </c>
    </row>
    <row r="4101" spans="1:8" ht="14.4" x14ac:dyDescent="0.3">
      <c r="A4101" s="8">
        <v>82188932</v>
      </c>
      <c r="B4101" s="11">
        <v>44854</v>
      </c>
      <c r="C4101" s="13" t="s">
        <v>5407</v>
      </c>
      <c r="D4101" s="13" t="s">
        <v>5408</v>
      </c>
      <c r="E4101" s="8">
        <v>50000</v>
      </c>
      <c r="F4101" s="13" t="s">
        <v>70</v>
      </c>
      <c r="G4101" s="14">
        <v>44858</v>
      </c>
      <c r="H4101" s="13" t="s">
        <v>9</v>
      </c>
    </row>
    <row r="4102" spans="1:8" ht="14.4" x14ac:dyDescent="0.3">
      <c r="A4102" s="8">
        <v>82188933</v>
      </c>
      <c r="B4102" s="11">
        <v>44854</v>
      </c>
      <c r="C4102" s="13" t="s">
        <v>5409</v>
      </c>
      <c r="D4102" s="13" t="s">
        <v>150</v>
      </c>
      <c r="E4102" s="8">
        <v>7400</v>
      </c>
      <c r="F4102" s="13" t="s">
        <v>70</v>
      </c>
      <c r="G4102" s="14">
        <v>44859</v>
      </c>
      <c r="H4102" s="13" t="s">
        <v>9</v>
      </c>
    </row>
    <row r="4103" spans="1:8" ht="14.4" x14ac:dyDescent="0.3">
      <c r="A4103" s="8">
        <v>82188934</v>
      </c>
      <c r="B4103" s="11">
        <v>44854</v>
      </c>
      <c r="C4103" s="13" t="s">
        <v>5410</v>
      </c>
      <c r="D4103" s="13" t="s">
        <v>5411</v>
      </c>
      <c r="E4103" s="8">
        <v>9000</v>
      </c>
      <c r="F4103" s="13" t="s">
        <v>70</v>
      </c>
      <c r="G4103" s="14">
        <v>44860</v>
      </c>
      <c r="H4103" s="13" t="s">
        <v>9</v>
      </c>
    </row>
    <row r="4104" spans="1:8" ht="14.4" x14ac:dyDescent="0.3">
      <c r="A4104" s="8">
        <v>82188935</v>
      </c>
      <c r="B4104" s="11">
        <v>44854</v>
      </c>
      <c r="C4104" s="13" t="s">
        <v>5412</v>
      </c>
      <c r="D4104" s="13" t="s">
        <v>5413</v>
      </c>
      <c r="E4104" s="8">
        <v>13000</v>
      </c>
      <c r="F4104" s="13" t="s">
        <v>70</v>
      </c>
      <c r="G4104" s="14">
        <v>44858</v>
      </c>
      <c r="H4104" s="13" t="s">
        <v>9</v>
      </c>
    </row>
    <row r="4105" spans="1:8" ht="14.4" x14ac:dyDescent="0.3">
      <c r="A4105" s="8">
        <v>82188936</v>
      </c>
      <c r="B4105" s="11">
        <v>44854</v>
      </c>
      <c r="C4105" s="13" t="s">
        <v>5414</v>
      </c>
      <c r="D4105" s="13" t="s">
        <v>5415</v>
      </c>
      <c r="E4105" s="8">
        <v>8500</v>
      </c>
      <c r="F4105" s="13" t="s">
        <v>70</v>
      </c>
      <c r="G4105" s="14">
        <v>44859</v>
      </c>
      <c r="H4105" s="13" t="s">
        <v>9</v>
      </c>
    </row>
    <row r="4106" spans="1:8" ht="14.4" x14ac:dyDescent="0.3">
      <c r="A4106" s="8">
        <v>82188937</v>
      </c>
      <c r="B4106" s="11">
        <v>44854</v>
      </c>
      <c r="C4106" s="13" t="s">
        <v>4955</v>
      </c>
      <c r="D4106" s="13" t="s">
        <v>5416</v>
      </c>
      <c r="E4106" s="8">
        <v>2166.96</v>
      </c>
      <c r="F4106" s="13" t="s">
        <v>70</v>
      </c>
      <c r="G4106" s="14">
        <v>44858</v>
      </c>
      <c r="H4106" s="13" t="s">
        <v>9</v>
      </c>
    </row>
    <row r="4107" spans="1:8" ht="14.4" x14ac:dyDescent="0.3">
      <c r="A4107" s="8">
        <v>82188938</v>
      </c>
      <c r="B4107" s="11">
        <v>44854</v>
      </c>
      <c r="C4107" s="13" t="s">
        <v>4955</v>
      </c>
      <c r="D4107" s="13" t="s">
        <v>5417</v>
      </c>
      <c r="E4107" s="8">
        <v>5022.16</v>
      </c>
      <c r="F4107" s="13" t="s">
        <v>70</v>
      </c>
      <c r="G4107" s="14">
        <v>44859</v>
      </c>
      <c r="H4107" s="13" t="s">
        <v>9</v>
      </c>
    </row>
    <row r="4108" spans="1:8" ht="14.4" x14ac:dyDescent="0.3">
      <c r="A4108" s="8">
        <v>82188939</v>
      </c>
      <c r="B4108" s="11">
        <v>44854</v>
      </c>
      <c r="C4108" s="13" t="s">
        <v>32</v>
      </c>
      <c r="D4108" s="13" t="s">
        <v>901</v>
      </c>
      <c r="E4108" s="8">
        <v>44915.31</v>
      </c>
      <c r="F4108" s="13" t="s">
        <v>70</v>
      </c>
      <c r="G4108" s="14">
        <v>44855</v>
      </c>
      <c r="H4108" s="13" t="s">
        <v>9</v>
      </c>
    </row>
    <row r="4109" spans="1:8" ht="14.4" x14ac:dyDescent="0.3">
      <c r="A4109" s="8">
        <v>82188940</v>
      </c>
      <c r="B4109" s="11">
        <v>44855</v>
      </c>
      <c r="C4109" s="13" t="s">
        <v>159</v>
      </c>
      <c r="D4109" s="13" t="s">
        <v>5418</v>
      </c>
      <c r="E4109" s="8">
        <v>385800</v>
      </c>
      <c r="F4109" s="13" t="s">
        <v>70</v>
      </c>
      <c r="G4109" s="14">
        <v>44855</v>
      </c>
      <c r="H4109" s="13" t="s">
        <v>9</v>
      </c>
    </row>
    <row r="4110" spans="1:8" ht="14.4" x14ac:dyDescent="0.3">
      <c r="A4110" s="8">
        <v>82188941</v>
      </c>
      <c r="B4110" s="11">
        <v>44855</v>
      </c>
      <c r="C4110" s="13" t="s">
        <v>492</v>
      </c>
      <c r="D4110" s="13" t="s">
        <v>5419</v>
      </c>
      <c r="E4110" s="8">
        <v>34087.4</v>
      </c>
      <c r="F4110" s="13" t="s">
        <v>70</v>
      </c>
      <c r="G4110" s="14">
        <v>44861</v>
      </c>
      <c r="H4110" s="13" t="s">
        <v>9</v>
      </c>
    </row>
    <row r="4111" spans="1:8" ht="14.4" x14ac:dyDescent="0.3">
      <c r="A4111" s="8">
        <v>82188942</v>
      </c>
      <c r="B4111" s="11">
        <v>44855</v>
      </c>
      <c r="C4111" s="13" t="s">
        <v>5420</v>
      </c>
      <c r="D4111" s="13" t="s">
        <v>5421</v>
      </c>
      <c r="E4111" s="8">
        <v>34570</v>
      </c>
      <c r="F4111" s="13" t="s">
        <v>70</v>
      </c>
      <c r="G4111" s="14">
        <v>44861</v>
      </c>
      <c r="H4111" s="13" t="s">
        <v>9</v>
      </c>
    </row>
    <row r="4112" spans="1:8" ht="14.4" x14ac:dyDescent="0.3">
      <c r="A4112" s="8">
        <v>82188943</v>
      </c>
      <c r="B4112" s="11">
        <v>44855</v>
      </c>
      <c r="C4112" s="13" t="s">
        <v>363</v>
      </c>
      <c r="D4112" s="13" t="s">
        <v>5422</v>
      </c>
      <c r="E4112" s="8">
        <v>21855</v>
      </c>
      <c r="F4112" s="13" t="s">
        <v>70</v>
      </c>
      <c r="G4112" s="14">
        <v>44861</v>
      </c>
      <c r="H4112" s="13" t="s">
        <v>9</v>
      </c>
    </row>
    <row r="4113" spans="1:8" ht="14.4" x14ac:dyDescent="0.3">
      <c r="A4113" s="8">
        <v>82188944</v>
      </c>
      <c r="B4113" s="11">
        <v>44855</v>
      </c>
      <c r="C4113" s="13" t="s">
        <v>5039</v>
      </c>
      <c r="D4113" s="13" t="s">
        <v>5423</v>
      </c>
      <c r="E4113" s="8">
        <v>12700</v>
      </c>
      <c r="F4113" s="13" t="s">
        <v>70</v>
      </c>
      <c r="G4113" s="14">
        <v>44859</v>
      </c>
      <c r="H4113" s="13" t="s">
        <v>9</v>
      </c>
    </row>
    <row r="4114" spans="1:8" ht="14.4" x14ac:dyDescent="0.3">
      <c r="A4114" s="8">
        <v>82188945</v>
      </c>
      <c r="B4114" s="11">
        <v>44855</v>
      </c>
      <c r="C4114" s="13" t="s">
        <v>5424</v>
      </c>
      <c r="D4114" s="13" t="s">
        <v>5425</v>
      </c>
      <c r="E4114" s="8">
        <v>120000</v>
      </c>
      <c r="F4114" s="13" t="s">
        <v>70</v>
      </c>
      <c r="G4114" s="14">
        <v>44867</v>
      </c>
      <c r="H4114" s="13" t="s">
        <v>9</v>
      </c>
    </row>
    <row r="4115" spans="1:8" ht="14.4" x14ac:dyDescent="0.3">
      <c r="A4115" s="8">
        <v>82188946</v>
      </c>
      <c r="B4115" s="11">
        <v>44855</v>
      </c>
      <c r="C4115" s="13" t="s">
        <v>1193</v>
      </c>
      <c r="D4115" s="13" t="s">
        <v>5426</v>
      </c>
      <c r="E4115" s="8">
        <v>16000</v>
      </c>
      <c r="F4115" s="13" t="s">
        <v>70</v>
      </c>
      <c r="G4115" s="14">
        <v>44876</v>
      </c>
      <c r="H4115" s="13" t="s">
        <v>9</v>
      </c>
    </row>
    <row r="4116" spans="1:8" ht="14.4" x14ac:dyDescent="0.3">
      <c r="A4116" s="8">
        <v>82188947</v>
      </c>
      <c r="B4116" s="11">
        <v>44855</v>
      </c>
      <c r="C4116" s="13" t="s">
        <v>5427</v>
      </c>
      <c r="D4116" s="13" t="s">
        <v>5425</v>
      </c>
      <c r="E4116" s="8">
        <v>109000</v>
      </c>
      <c r="F4116" s="13" t="s">
        <v>70</v>
      </c>
      <c r="G4116" s="14">
        <v>44867</v>
      </c>
      <c r="H4116" s="13" t="s">
        <v>9</v>
      </c>
    </row>
    <row r="4117" spans="1:8" ht="14.4" x14ac:dyDescent="0.3">
      <c r="A4117" s="8">
        <v>82188948</v>
      </c>
      <c r="B4117" s="11">
        <v>44855</v>
      </c>
      <c r="C4117" s="13" t="s">
        <v>5428</v>
      </c>
      <c r="D4117" s="13" t="s">
        <v>5429</v>
      </c>
      <c r="E4117" s="8">
        <v>7000</v>
      </c>
      <c r="F4117" s="13" t="s">
        <v>70</v>
      </c>
      <c r="G4117" s="14">
        <v>44858</v>
      </c>
      <c r="H4117" s="13" t="s">
        <v>9</v>
      </c>
    </row>
    <row r="4118" spans="1:8" ht="14.4" x14ac:dyDescent="0.3">
      <c r="A4118" s="8">
        <v>82188949</v>
      </c>
      <c r="B4118" s="11">
        <v>44855</v>
      </c>
      <c r="C4118" s="13" t="s">
        <v>5430</v>
      </c>
      <c r="D4118" s="13" t="s">
        <v>5431</v>
      </c>
      <c r="E4118" s="8">
        <v>15000</v>
      </c>
      <c r="F4118" s="13" t="s">
        <v>70</v>
      </c>
      <c r="G4118" s="14">
        <v>44858</v>
      </c>
      <c r="H4118" s="13" t="s">
        <v>9</v>
      </c>
    </row>
    <row r="4119" spans="1:8" ht="14.4" x14ac:dyDescent="0.3">
      <c r="A4119" s="8">
        <v>82188950</v>
      </c>
      <c r="B4119" s="11">
        <v>44855</v>
      </c>
      <c r="C4119" s="13" t="s">
        <v>5432</v>
      </c>
      <c r="D4119" s="13" t="s">
        <v>5433</v>
      </c>
      <c r="E4119" s="8">
        <v>13000</v>
      </c>
      <c r="F4119" s="13" t="s">
        <v>70</v>
      </c>
      <c r="G4119" s="14">
        <v>44858</v>
      </c>
      <c r="H4119" s="13" t="s">
        <v>9</v>
      </c>
    </row>
    <row r="4120" spans="1:8" ht="14.4" x14ac:dyDescent="0.3">
      <c r="A4120" s="8">
        <v>82188951</v>
      </c>
      <c r="B4120" s="11">
        <v>44855</v>
      </c>
      <c r="C4120" s="13" t="s">
        <v>5434</v>
      </c>
      <c r="D4120" s="13" t="s">
        <v>5435</v>
      </c>
      <c r="E4120" s="8">
        <v>10000</v>
      </c>
      <c r="F4120" s="13" t="s">
        <v>70</v>
      </c>
      <c r="G4120" s="14">
        <v>44858</v>
      </c>
      <c r="H4120" s="13" t="s">
        <v>9</v>
      </c>
    </row>
    <row r="4121" spans="1:8" ht="14.4" x14ac:dyDescent="0.3">
      <c r="A4121" s="8">
        <v>82188953</v>
      </c>
      <c r="B4121" s="11">
        <v>44855</v>
      </c>
      <c r="C4121" s="13" t="s">
        <v>5436</v>
      </c>
      <c r="D4121" s="13" t="s">
        <v>5437</v>
      </c>
      <c r="E4121" s="8">
        <v>18000</v>
      </c>
      <c r="F4121" s="13" t="s">
        <v>70</v>
      </c>
      <c r="G4121" s="14">
        <v>44860</v>
      </c>
      <c r="H4121" s="13" t="s">
        <v>9</v>
      </c>
    </row>
    <row r="4122" spans="1:8" ht="14.4" x14ac:dyDescent="0.3">
      <c r="A4122" s="8">
        <v>82188954</v>
      </c>
      <c r="B4122" s="11">
        <v>44855</v>
      </c>
      <c r="C4122" s="13" t="s">
        <v>5438</v>
      </c>
      <c r="D4122" s="13" t="s">
        <v>5425</v>
      </c>
      <c r="E4122" s="8">
        <v>76760.38</v>
      </c>
      <c r="F4122" s="13" t="s">
        <v>70</v>
      </c>
      <c r="G4122" s="14">
        <v>44867</v>
      </c>
      <c r="H4122" s="13" t="s">
        <v>9</v>
      </c>
    </row>
    <row r="4123" spans="1:8" ht="14.4" x14ac:dyDescent="0.3">
      <c r="A4123" s="8">
        <v>82188955</v>
      </c>
      <c r="B4123" s="11">
        <v>44855</v>
      </c>
      <c r="C4123" s="13" t="s">
        <v>5439</v>
      </c>
      <c r="D4123" s="13" t="s">
        <v>5440</v>
      </c>
      <c r="E4123" s="8">
        <v>76500</v>
      </c>
      <c r="F4123" s="13" t="s">
        <v>70</v>
      </c>
      <c r="G4123" s="14">
        <v>44859</v>
      </c>
      <c r="H4123" s="13" t="s">
        <v>9</v>
      </c>
    </row>
    <row r="4124" spans="1:8" ht="14.4" x14ac:dyDescent="0.3">
      <c r="A4124" s="8">
        <v>82188956</v>
      </c>
      <c r="B4124" s="11">
        <v>44855</v>
      </c>
      <c r="C4124" s="13" t="s">
        <v>5441</v>
      </c>
      <c r="D4124" s="13" t="s">
        <v>5442</v>
      </c>
      <c r="E4124" s="8">
        <v>36759.35</v>
      </c>
      <c r="F4124" s="13" t="s">
        <v>70</v>
      </c>
      <c r="G4124" s="14">
        <v>44858</v>
      </c>
      <c r="H4124" s="13" t="s">
        <v>9</v>
      </c>
    </row>
    <row r="4125" spans="1:8" ht="14.4" x14ac:dyDescent="0.3">
      <c r="A4125" s="8">
        <v>82188957</v>
      </c>
      <c r="B4125" s="11">
        <v>44855</v>
      </c>
      <c r="C4125" s="13" t="s">
        <v>5441</v>
      </c>
      <c r="D4125" s="13" t="s">
        <v>5443</v>
      </c>
      <c r="E4125" s="8">
        <v>264257.64</v>
      </c>
      <c r="F4125" s="13" t="s">
        <v>70</v>
      </c>
      <c r="G4125" s="14">
        <v>44858</v>
      </c>
      <c r="H4125" s="13" t="s">
        <v>9</v>
      </c>
    </row>
    <row r="4126" spans="1:8" ht="14.4" x14ac:dyDescent="0.3">
      <c r="A4126" s="8">
        <v>82188958</v>
      </c>
      <c r="B4126" s="11">
        <v>44855</v>
      </c>
      <c r="C4126" s="13" t="s">
        <v>1956</v>
      </c>
      <c r="D4126" s="13" t="s">
        <v>5444</v>
      </c>
      <c r="E4126" s="8">
        <v>1647973.48</v>
      </c>
      <c r="F4126" s="13" t="s">
        <v>70</v>
      </c>
      <c r="G4126" s="14">
        <v>44859</v>
      </c>
      <c r="H4126" s="13" t="s">
        <v>9</v>
      </c>
    </row>
    <row r="4127" spans="1:8" ht="14.4" x14ac:dyDescent="0.3">
      <c r="A4127" s="8">
        <v>82188959</v>
      </c>
      <c r="B4127" s="11">
        <v>44855</v>
      </c>
      <c r="C4127" s="13" t="s">
        <v>5445</v>
      </c>
      <c r="D4127" s="13" t="s">
        <v>5446</v>
      </c>
      <c r="E4127" s="8">
        <v>1784731.46</v>
      </c>
      <c r="F4127" s="13" t="s">
        <v>70</v>
      </c>
      <c r="G4127" s="14">
        <v>44860</v>
      </c>
      <c r="H4127" s="13" t="s">
        <v>9</v>
      </c>
    </row>
    <row r="4128" spans="1:8" ht="14.4" x14ac:dyDescent="0.3">
      <c r="A4128" s="8">
        <v>82188960</v>
      </c>
      <c r="B4128" s="11">
        <v>44855</v>
      </c>
      <c r="C4128" s="13" t="s">
        <v>5441</v>
      </c>
      <c r="D4128" s="13" t="s">
        <v>5447</v>
      </c>
      <c r="E4128" s="8">
        <v>6793.85</v>
      </c>
      <c r="F4128" s="13" t="s">
        <v>70</v>
      </c>
      <c r="G4128" s="14">
        <v>44860</v>
      </c>
      <c r="H4128" s="13" t="s">
        <v>9</v>
      </c>
    </row>
    <row r="4129" spans="1:8" ht="14.4" x14ac:dyDescent="0.3">
      <c r="A4129" s="8">
        <v>82188961</v>
      </c>
      <c r="B4129" s="11">
        <v>44855</v>
      </c>
      <c r="C4129" s="13" t="s">
        <v>5448</v>
      </c>
      <c r="D4129" s="13" t="s">
        <v>5449</v>
      </c>
      <c r="E4129" s="8">
        <v>129097.61</v>
      </c>
      <c r="F4129" s="13" t="s">
        <v>70</v>
      </c>
      <c r="G4129" s="14">
        <v>44860</v>
      </c>
      <c r="H4129" s="13" t="s">
        <v>9</v>
      </c>
    </row>
    <row r="4130" spans="1:8" ht="14.4" x14ac:dyDescent="0.3">
      <c r="A4130" s="8">
        <v>82188962</v>
      </c>
      <c r="B4130" s="11">
        <v>44855</v>
      </c>
      <c r="C4130" s="13" t="s">
        <v>5450</v>
      </c>
      <c r="D4130" s="13" t="s">
        <v>5451</v>
      </c>
      <c r="E4130" s="8">
        <v>14000</v>
      </c>
      <c r="F4130" s="13" t="s">
        <v>70</v>
      </c>
      <c r="G4130" s="14">
        <v>44859</v>
      </c>
      <c r="H4130" s="13" t="s">
        <v>9</v>
      </c>
    </row>
    <row r="4131" spans="1:8" ht="14.4" x14ac:dyDescent="0.3">
      <c r="A4131" s="8">
        <v>82188963</v>
      </c>
      <c r="B4131" s="11">
        <v>44855</v>
      </c>
      <c r="C4131" s="13" t="s">
        <v>5452</v>
      </c>
      <c r="D4131" s="13" t="s">
        <v>5453</v>
      </c>
      <c r="E4131" s="8">
        <v>50000</v>
      </c>
      <c r="F4131" s="13" t="s">
        <v>70</v>
      </c>
      <c r="G4131" s="14">
        <v>44859</v>
      </c>
      <c r="H4131" s="13" t="s">
        <v>9</v>
      </c>
    </row>
    <row r="4132" spans="1:8" ht="14.4" x14ac:dyDescent="0.3">
      <c r="A4132" s="8">
        <v>82188964</v>
      </c>
      <c r="B4132" s="11">
        <v>44855</v>
      </c>
      <c r="C4132" s="13" t="s">
        <v>5454</v>
      </c>
      <c r="D4132" s="13" t="s">
        <v>5455</v>
      </c>
      <c r="E4132" s="8">
        <v>14000</v>
      </c>
      <c r="F4132" s="13" t="s">
        <v>70</v>
      </c>
      <c r="G4132" s="14">
        <v>44859</v>
      </c>
      <c r="H4132" s="13" t="s">
        <v>9</v>
      </c>
    </row>
    <row r="4133" spans="1:8" ht="14.4" x14ac:dyDescent="0.3">
      <c r="A4133" s="8">
        <v>82188965</v>
      </c>
      <c r="B4133" s="11">
        <v>44855</v>
      </c>
      <c r="C4133" s="13" t="s">
        <v>5456</v>
      </c>
      <c r="D4133" s="13" t="s">
        <v>5457</v>
      </c>
      <c r="E4133" s="8">
        <v>10000</v>
      </c>
      <c r="F4133" s="13" t="s">
        <v>70</v>
      </c>
      <c r="G4133" s="14">
        <v>44859</v>
      </c>
      <c r="H4133" s="13" t="s">
        <v>9</v>
      </c>
    </row>
    <row r="4134" spans="1:8" ht="14.4" x14ac:dyDescent="0.3">
      <c r="A4134" s="8">
        <v>82188966</v>
      </c>
      <c r="B4134" s="11">
        <v>44855</v>
      </c>
      <c r="C4134" s="13" t="s">
        <v>5458</v>
      </c>
      <c r="D4134" s="13" t="s">
        <v>5459</v>
      </c>
      <c r="E4134" s="8">
        <v>9000</v>
      </c>
      <c r="F4134" s="13" t="s">
        <v>70</v>
      </c>
      <c r="G4134" s="14">
        <v>44859</v>
      </c>
      <c r="H4134" s="13" t="s">
        <v>9</v>
      </c>
    </row>
    <row r="4135" spans="1:8" ht="14.4" x14ac:dyDescent="0.3">
      <c r="A4135" s="8">
        <v>82188967</v>
      </c>
      <c r="B4135" s="11">
        <v>44855</v>
      </c>
      <c r="C4135" s="13" t="s">
        <v>5460</v>
      </c>
      <c r="D4135" s="13" t="s">
        <v>5461</v>
      </c>
      <c r="E4135" s="8">
        <v>9000</v>
      </c>
      <c r="F4135" s="13" t="s">
        <v>70</v>
      </c>
      <c r="G4135" s="14">
        <v>44859</v>
      </c>
      <c r="H4135" s="13" t="s">
        <v>9</v>
      </c>
    </row>
    <row r="4136" spans="1:8" ht="14.4" x14ac:dyDescent="0.3">
      <c r="A4136" s="8">
        <v>82188968</v>
      </c>
      <c r="B4136" s="11">
        <v>44855</v>
      </c>
      <c r="C4136" s="13" t="s">
        <v>5462</v>
      </c>
      <c r="D4136" s="13" t="s">
        <v>150</v>
      </c>
      <c r="E4136" s="8">
        <v>7300</v>
      </c>
      <c r="F4136" s="13" t="s">
        <v>70</v>
      </c>
      <c r="G4136" s="14">
        <v>44860</v>
      </c>
      <c r="H4136" s="13" t="s">
        <v>9</v>
      </c>
    </row>
    <row r="4137" spans="1:8" ht="14.4" x14ac:dyDescent="0.3">
      <c r="A4137" s="8">
        <v>82188969</v>
      </c>
      <c r="B4137" s="11">
        <v>44855</v>
      </c>
      <c r="C4137" s="13" t="s">
        <v>5463</v>
      </c>
      <c r="D4137" s="13" t="s">
        <v>150</v>
      </c>
      <c r="E4137" s="8">
        <v>18000</v>
      </c>
      <c r="F4137" s="13" t="s">
        <v>70</v>
      </c>
      <c r="G4137" s="14">
        <v>44869</v>
      </c>
      <c r="H4137" s="13" t="s">
        <v>9</v>
      </c>
    </row>
    <row r="4138" spans="1:8" ht="14.4" x14ac:dyDescent="0.3">
      <c r="A4138" s="8">
        <v>82188972</v>
      </c>
      <c r="B4138" s="11">
        <v>44855</v>
      </c>
      <c r="C4138" s="13" t="s">
        <v>5464</v>
      </c>
      <c r="D4138" s="13" t="s">
        <v>5465</v>
      </c>
      <c r="E4138" s="8">
        <v>14000</v>
      </c>
      <c r="F4138" s="13" t="s">
        <v>70</v>
      </c>
      <c r="G4138" s="14">
        <v>44859</v>
      </c>
      <c r="H4138" s="13" t="s">
        <v>9</v>
      </c>
    </row>
    <row r="4139" spans="1:8" ht="14.4" x14ac:dyDescent="0.3">
      <c r="A4139" s="8">
        <v>82188973</v>
      </c>
      <c r="B4139" s="11">
        <v>44855</v>
      </c>
      <c r="C4139" s="13" t="s">
        <v>5466</v>
      </c>
      <c r="D4139" s="13" t="s">
        <v>5467</v>
      </c>
      <c r="E4139" s="8">
        <v>10000</v>
      </c>
      <c r="F4139" s="13" t="s">
        <v>70</v>
      </c>
      <c r="G4139" s="14">
        <v>44859</v>
      </c>
      <c r="H4139" s="13" t="s">
        <v>9</v>
      </c>
    </row>
    <row r="4140" spans="1:8" ht="14.4" x14ac:dyDescent="0.3">
      <c r="A4140" s="8">
        <v>82188974</v>
      </c>
      <c r="B4140" s="11">
        <v>44855</v>
      </c>
      <c r="C4140" s="13" t="s">
        <v>5468</v>
      </c>
      <c r="D4140" s="13" t="s">
        <v>5469</v>
      </c>
      <c r="E4140" s="8">
        <v>13000</v>
      </c>
      <c r="F4140" s="13" t="s">
        <v>70</v>
      </c>
      <c r="G4140" s="14">
        <v>44859</v>
      </c>
      <c r="H4140" s="13" t="s">
        <v>9</v>
      </c>
    </row>
    <row r="4141" spans="1:8" ht="14.4" x14ac:dyDescent="0.3">
      <c r="A4141" s="8">
        <v>82188975</v>
      </c>
      <c r="B4141" s="11">
        <v>44855</v>
      </c>
      <c r="C4141" s="13" t="s">
        <v>5470</v>
      </c>
      <c r="D4141" s="13" t="s">
        <v>5471</v>
      </c>
      <c r="E4141" s="8">
        <v>10000</v>
      </c>
      <c r="F4141" s="13" t="s">
        <v>70</v>
      </c>
      <c r="G4141" s="14">
        <v>44859</v>
      </c>
      <c r="H4141" s="13" t="s">
        <v>9</v>
      </c>
    </row>
    <row r="4142" spans="1:8" ht="14.4" x14ac:dyDescent="0.3">
      <c r="A4142" s="8">
        <v>82188976</v>
      </c>
      <c r="B4142" s="11">
        <v>44855</v>
      </c>
      <c r="C4142" s="13" t="s">
        <v>5472</v>
      </c>
      <c r="D4142" s="13" t="s">
        <v>5473</v>
      </c>
      <c r="E4142" s="8">
        <v>10000</v>
      </c>
      <c r="F4142" s="13" t="s">
        <v>70</v>
      </c>
      <c r="G4142" s="14">
        <v>44859</v>
      </c>
      <c r="H4142" s="13" t="s">
        <v>9</v>
      </c>
    </row>
    <row r="4143" spans="1:8" ht="14.4" x14ac:dyDescent="0.3">
      <c r="A4143" s="8">
        <v>82188977</v>
      </c>
      <c r="B4143" s="11">
        <v>44855</v>
      </c>
      <c r="C4143" s="13" t="s">
        <v>5474</v>
      </c>
      <c r="D4143" s="13" t="s">
        <v>5475</v>
      </c>
      <c r="E4143" s="8">
        <v>20000</v>
      </c>
      <c r="F4143" s="13" t="s">
        <v>70</v>
      </c>
      <c r="G4143" s="14">
        <v>44859</v>
      </c>
      <c r="H4143" s="13" t="s">
        <v>9</v>
      </c>
    </row>
    <row r="4144" spans="1:8" ht="14.4" x14ac:dyDescent="0.3">
      <c r="A4144" s="8">
        <v>82188978</v>
      </c>
      <c r="B4144" s="11">
        <v>44855</v>
      </c>
      <c r="C4144" s="13" t="s">
        <v>5476</v>
      </c>
      <c r="D4144" s="13" t="s">
        <v>150</v>
      </c>
      <c r="E4144" s="8">
        <v>13000</v>
      </c>
      <c r="F4144" s="13" t="s">
        <v>70</v>
      </c>
      <c r="G4144" s="14">
        <v>44859</v>
      </c>
      <c r="H4144" s="13" t="s">
        <v>9</v>
      </c>
    </row>
    <row r="4145" spans="1:8" ht="14.4" x14ac:dyDescent="0.3">
      <c r="A4145" s="8">
        <v>82188980</v>
      </c>
      <c r="B4145" s="11">
        <v>44855</v>
      </c>
      <c r="C4145" s="13" t="s">
        <v>5470</v>
      </c>
      <c r="D4145" s="13" t="s">
        <v>5477</v>
      </c>
      <c r="E4145" s="8">
        <v>16000</v>
      </c>
      <c r="F4145" s="13" t="s">
        <v>70</v>
      </c>
      <c r="G4145" s="14">
        <v>44859</v>
      </c>
      <c r="H4145" s="13" t="s">
        <v>9</v>
      </c>
    </row>
    <row r="4146" spans="1:8" ht="14.4" x14ac:dyDescent="0.3">
      <c r="A4146" s="8">
        <v>82188981</v>
      </c>
      <c r="B4146" s="11">
        <v>44855</v>
      </c>
      <c r="C4146" s="13" t="s">
        <v>5478</v>
      </c>
      <c r="D4146" s="13" t="s">
        <v>5479</v>
      </c>
      <c r="E4146" s="8">
        <v>18000</v>
      </c>
      <c r="F4146" s="13" t="s">
        <v>70</v>
      </c>
      <c r="G4146" s="14">
        <v>44859</v>
      </c>
      <c r="H4146" s="13" t="s">
        <v>9</v>
      </c>
    </row>
    <row r="4147" spans="1:8" ht="14.4" x14ac:dyDescent="0.3">
      <c r="A4147" s="8">
        <v>82188982</v>
      </c>
      <c r="B4147" s="11">
        <v>44855</v>
      </c>
      <c r="C4147" s="13" t="s">
        <v>5480</v>
      </c>
      <c r="D4147" s="13" t="s">
        <v>5481</v>
      </c>
      <c r="E4147" s="8">
        <v>22500</v>
      </c>
      <c r="F4147" s="13" t="s">
        <v>70</v>
      </c>
      <c r="G4147" s="14">
        <v>44860</v>
      </c>
      <c r="H4147" s="13" t="s">
        <v>9</v>
      </c>
    </row>
    <row r="4148" spans="1:8" ht="14.4" x14ac:dyDescent="0.3">
      <c r="A4148" s="8">
        <v>82188983</v>
      </c>
      <c r="B4148" s="11">
        <v>44855</v>
      </c>
      <c r="C4148" s="13" t="s">
        <v>5482</v>
      </c>
      <c r="D4148" s="13" t="s">
        <v>5483</v>
      </c>
      <c r="E4148" s="8">
        <v>39000</v>
      </c>
      <c r="F4148" s="13" t="s">
        <v>70</v>
      </c>
      <c r="G4148" s="14">
        <v>44859</v>
      </c>
      <c r="H4148" s="13" t="s">
        <v>9</v>
      </c>
    </row>
    <row r="4149" spans="1:8" ht="14.4" x14ac:dyDescent="0.3">
      <c r="A4149" s="8">
        <v>82188984</v>
      </c>
      <c r="B4149" s="11">
        <v>44855</v>
      </c>
      <c r="C4149" s="13" t="s">
        <v>5484</v>
      </c>
      <c r="D4149" s="13" t="s">
        <v>5240</v>
      </c>
      <c r="E4149" s="8">
        <v>77000</v>
      </c>
      <c r="F4149" s="13" t="s">
        <v>70</v>
      </c>
      <c r="G4149" s="14">
        <v>44867</v>
      </c>
      <c r="H4149" s="13" t="s">
        <v>9</v>
      </c>
    </row>
    <row r="4150" spans="1:8" ht="14.4" x14ac:dyDescent="0.3">
      <c r="A4150" s="8">
        <v>82188985</v>
      </c>
      <c r="B4150" s="11">
        <v>44855</v>
      </c>
      <c r="C4150" s="13" t="s">
        <v>5485</v>
      </c>
      <c r="D4150" s="13" t="s">
        <v>5486</v>
      </c>
      <c r="E4150" s="8">
        <v>13000</v>
      </c>
      <c r="F4150" s="13" t="s">
        <v>70</v>
      </c>
      <c r="G4150" s="14">
        <v>44859</v>
      </c>
      <c r="H4150" s="13" t="s">
        <v>9</v>
      </c>
    </row>
    <row r="4151" spans="1:8" ht="14.4" x14ac:dyDescent="0.3">
      <c r="A4151" s="8">
        <v>82188986</v>
      </c>
      <c r="B4151" s="11">
        <v>44855</v>
      </c>
      <c r="C4151" s="13" t="s">
        <v>5487</v>
      </c>
      <c r="D4151" s="13" t="s">
        <v>5488</v>
      </c>
      <c r="E4151" s="8">
        <v>20000</v>
      </c>
      <c r="F4151" s="13" t="s">
        <v>70</v>
      </c>
      <c r="G4151" s="14">
        <v>44859</v>
      </c>
      <c r="H4151" s="13" t="s">
        <v>9</v>
      </c>
    </row>
    <row r="4152" spans="1:8" ht="14.4" x14ac:dyDescent="0.3">
      <c r="A4152" s="8">
        <v>82188987</v>
      </c>
      <c r="B4152" s="11">
        <v>44855</v>
      </c>
      <c r="C4152" s="13" t="s">
        <v>265</v>
      </c>
      <c r="D4152" s="13" t="s">
        <v>5489</v>
      </c>
      <c r="E4152" s="8">
        <v>18930</v>
      </c>
      <c r="F4152" s="13" t="s">
        <v>70</v>
      </c>
      <c r="G4152" s="14">
        <v>44860</v>
      </c>
      <c r="H4152" s="13" t="s">
        <v>9</v>
      </c>
    </row>
    <row r="4153" spans="1:8" ht="14.4" x14ac:dyDescent="0.3">
      <c r="A4153" s="8">
        <v>82188988</v>
      </c>
      <c r="B4153" s="11">
        <v>44855</v>
      </c>
      <c r="C4153" s="13" t="s">
        <v>4905</v>
      </c>
      <c r="D4153" s="13" t="s">
        <v>5490</v>
      </c>
      <c r="E4153" s="8">
        <v>94613.05</v>
      </c>
      <c r="F4153" s="13" t="s">
        <v>70</v>
      </c>
      <c r="G4153" s="14">
        <v>44862</v>
      </c>
      <c r="H4153" s="13" t="s">
        <v>9</v>
      </c>
    </row>
    <row r="4154" spans="1:8" ht="14.4" x14ac:dyDescent="0.3">
      <c r="A4154" s="8">
        <v>82188989</v>
      </c>
      <c r="B4154" s="11">
        <v>44855</v>
      </c>
      <c r="C4154" s="13" t="s">
        <v>5491</v>
      </c>
      <c r="D4154" s="13" t="s">
        <v>5492</v>
      </c>
      <c r="E4154" s="8">
        <v>15000</v>
      </c>
      <c r="F4154" s="13" t="s">
        <v>70</v>
      </c>
      <c r="G4154" s="14">
        <v>44858</v>
      </c>
      <c r="H4154" s="13" t="s">
        <v>9</v>
      </c>
    </row>
    <row r="4155" spans="1:8" ht="14.4" x14ac:dyDescent="0.3">
      <c r="A4155" s="8">
        <v>82188991</v>
      </c>
      <c r="B4155" s="11">
        <v>44858</v>
      </c>
      <c r="C4155" s="13" t="s">
        <v>5493</v>
      </c>
      <c r="D4155" s="13" t="s">
        <v>5494</v>
      </c>
      <c r="E4155" s="8">
        <v>5000</v>
      </c>
      <c r="F4155" s="13" t="s">
        <v>70</v>
      </c>
      <c r="G4155" s="14">
        <v>44869</v>
      </c>
      <c r="H4155" s="13" t="s">
        <v>9</v>
      </c>
    </row>
    <row r="4156" spans="1:8" ht="14.4" x14ac:dyDescent="0.3">
      <c r="A4156" s="8">
        <v>82188993</v>
      </c>
      <c r="B4156" s="11">
        <v>44858</v>
      </c>
      <c r="C4156" s="13" t="s">
        <v>5495</v>
      </c>
      <c r="D4156" s="13" t="s">
        <v>5496</v>
      </c>
      <c r="E4156" s="8">
        <v>5000</v>
      </c>
      <c r="F4156" s="13" t="s">
        <v>70</v>
      </c>
      <c r="G4156" s="14">
        <v>44869</v>
      </c>
      <c r="H4156" s="13" t="s">
        <v>9</v>
      </c>
    </row>
    <row r="4157" spans="1:8" ht="14.4" x14ac:dyDescent="0.3">
      <c r="A4157" s="8">
        <v>82188995</v>
      </c>
      <c r="B4157" s="11">
        <v>44858</v>
      </c>
      <c r="C4157" s="13" t="s">
        <v>5497</v>
      </c>
      <c r="D4157" s="13" t="s">
        <v>5498</v>
      </c>
      <c r="E4157" s="8">
        <v>125038.22</v>
      </c>
      <c r="F4157" s="13" t="s">
        <v>70</v>
      </c>
      <c r="G4157" s="14">
        <v>44859</v>
      </c>
      <c r="H4157" s="13" t="s">
        <v>9</v>
      </c>
    </row>
    <row r="4158" spans="1:8" ht="14.4" x14ac:dyDescent="0.3">
      <c r="A4158" s="8">
        <v>82188996</v>
      </c>
      <c r="B4158" s="11">
        <v>44858</v>
      </c>
      <c r="C4158" s="13" t="s">
        <v>2336</v>
      </c>
      <c r="D4158" s="13" t="s">
        <v>5499</v>
      </c>
      <c r="E4158" s="8">
        <v>15000</v>
      </c>
      <c r="F4158" s="13" t="s">
        <v>70</v>
      </c>
      <c r="G4158" s="14">
        <v>44859</v>
      </c>
      <c r="H4158" s="13" t="s">
        <v>9</v>
      </c>
    </row>
    <row r="4159" spans="1:8" ht="14.4" x14ac:dyDescent="0.3">
      <c r="A4159" s="8">
        <v>82188997</v>
      </c>
      <c r="B4159" s="11">
        <v>44858</v>
      </c>
      <c r="C4159" s="13" t="s">
        <v>5500</v>
      </c>
      <c r="D4159" s="13" t="s">
        <v>5501</v>
      </c>
      <c r="E4159" s="8">
        <v>14565.44</v>
      </c>
      <c r="F4159" s="13" t="s">
        <v>70</v>
      </c>
      <c r="G4159" s="14">
        <v>44859</v>
      </c>
      <c r="H4159" s="13" t="s">
        <v>9</v>
      </c>
    </row>
    <row r="4160" spans="1:8" ht="14.4" x14ac:dyDescent="0.3">
      <c r="A4160" s="8">
        <v>82188998</v>
      </c>
      <c r="B4160" s="11">
        <v>44858</v>
      </c>
      <c r="C4160" s="13" t="s">
        <v>4011</v>
      </c>
      <c r="D4160" s="13" t="s">
        <v>5502</v>
      </c>
      <c r="E4160" s="8">
        <v>76532.75</v>
      </c>
      <c r="F4160" s="13" t="s">
        <v>70</v>
      </c>
      <c r="G4160" s="14">
        <v>44860</v>
      </c>
      <c r="H4160" s="13" t="s">
        <v>9</v>
      </c>
    </row>
    <row r="4161" spans="1:8" ht="14.4" x14ac:dyDescent="0.3">
      <c r="A4161" s="8">
        <v>82188999</v>
      </c>
      <c r="B4161" s="11">
        <v>44858</v>
      </c>
      <c r="C4161" s="13" t="s">
        <v>5503</v>
      </c>
      <c r="D4161" s="13" t="s">
        <v>5504</v>
      </c>
      <c r="E4161" s="8">
        <v>6000</v>
      </c>
      <c r="F4161" s="13" t="s">
        <v>70</v>
      </c>
      <c r="G4161" s="14">
        <v>44867</v>
      </c>
      <c r="H4161" s="13" t="s">
        <v>9</v>
      </c>
    </row>
    <row r="4162" spans="1:8" ht="14.4" x14ac:dyDescent="0.3">
      <c r="A4162" s="8">
        <v>82189000</v>
      </c>
      <c r="B4162" s="11">
        <v>44858</v>
      </c>
      <c r="C4162" s="13" t="s">
        <v>5505</v>
      </c>
      <c r="D4162" s="13" t="s">
        <v>5506</v>
      </c>
      <c r="E4162" s="8">
        <v>6000</v>
      </c>
      <c r="F4162" s="13" t="s">
        <v>70</v>
      </c>
      <c r="G4162" s="14">
        <v>44859</v>
      </c>
      <c r="H4162" s="13" t="s">
        <v>9</v>
      </c>
    </row>
    <row r="4163" spans="1:8" ht="14.4" x14ac:dyDescent="0.3">
      <c r="A4163" s="8">
        <v>82189001</v>
      </c>
      <c r="B4163" s="11">
        <v>44858</v>
      </c>
      <c r="C4163" s="13" t="s">
        <v>5507</v>
      </c>
      <c r="D4163" s="13" t="s">
        <v>5508</v>
      </c>
      <c r="E4163" s="8">
        <v>12000</v>
      </c>
      <c r="F4163" s="13" t="s">
        <v>70</v>
      </c>
      <c r="G4163" s="14">
        <v>44860</v>
      </c>
      <c r="H4163" s="13" t="s">
        <v>9</v>
      </c>
    </row>
    <row r="4164" spans="1:8" ht="14.4" x14ac:dyDescent="0.3">
      <c r="A4164" s="8">
        <v>82189002</v>
      </c>
      <c r="B4164" s="11">
        <v>44858</v>
      </c>
      <c r="C4164" s="13" t="s">
        <v>5509</v>
      </c>
      <c r="D4164" s="13" t="s">
        <v>147</v>
      </c>
      <c r="E4164" s="8">
        <v>9000</v>
      </c>
      <c r="F4164" s="13" t="s">
        <v>70</v>
      </c>
      <c r="G4164" s="14">
        <v>44860</v>
      </c>
      <c r="H4164" s="13" t="s">
        <v>9</v>
      </c>
    </row>
    <row r="4165" spans="1:8" ht="14.4" x14ac:dyDescent="0.3">
      <c r="A4165" s="8">
        <v>82189003</v>
      </c>
      <c r="B4165" s="11">
        <v>44858</v>
      </c>
      <c r="C4165" s="13" t="s">
        <v>5510</v>
      </c>
      <c r="D4165" s="13" t="s">
        <v>5511</v>
      </c>
      <c r="E4165" s="8">
        <v>13000</v>
      </c>
      <c r="F4165" s="13" t="s">
        <v>70</v>
      </c>
      <c r="G4165" s="14">
        <v>44860</v>
      </c>
      <c r="H4165" s="13" t="s">
        <v>9</v>
      </c>
    </row>
    <row r="4166" spans="1:8" ht="14.4" x14ac:dyDescent="0.3">
      <c r="A4166" s="8">
        <v>82189004</v>
      </c>
      <c r="B4166" s="11">
        <v>44858</v>
      </c>
      <c r="C4166" s="13" t="s">
        <v>5512</v>
      </c>
      <c r="D4166" s="13" t="s">
        <v>150</v>
      </c>
      <c r="E4166" s="8">
        <v>11000</v>
      </c>
      <c r="F4166" s="13" t="s">
        <v>70</v>
      </c>
      <c r="G4166" s="14">
        <v>44861</v>
      </c>
      <c r="H4166" s="13" t="s">
        <v>9</v>
      </c>
    </row>
    <row r="4167" spans="1:8" ht="14.4" x14ac:dyDescent="0.3">
      <c r="A4167" s="8">
        <v>82189005</v>
      </c>
      <c r="B4167" s="11">
        <v>44858</v>
      </c>
      <c r="C4167" s="13" t="s">
        <v>5513</v>
      </c>
      <c r="D4167" s="13" t="s">
        <v>5514</v>
      </c>
      <c r="E4167" s="8">
        <v>18700</v>
      </c>
      <c r="F4167" s="13" t="s">
        <v>70</v>
      </c>
      <c r="G4167" s="14">
        <v>44860</v>
      </c>
      <c r="H4167" s="13" t="s">
        <v>9</v>
      </c>
    </row>
    <row r="4168" spans="1:8" ht="14.4" x14ac:dyDescent="0.3">
      <c r="A4168" s="8">
        <v>82189006</v>
      </c>
      <c r="B4168" s="11">
        <v>44858</v>
      </c>
      <c r="C4168" s="13" t="s">
        <v>5515</v>
      </c>
      <c r="D4168" s="13" t="s">
        <v>5516</v>
      </c>
      <c r="E4168" s="8">
        <v>8000</v>
      </c>
      <c r="F4168" s="13" t="s">
        <v>70</v>
      </c>
      <c r="G4168" s="14">
        <v>44859</v>
      </c>
      <c r="H4168" s="13" t="s">
        <v>9</v>
      </c>
    </row>
    <row r="4169" spans="1:8" ht="14.4" x14ac:dyDescent="0.3">
      <c r="A4169" s="8">
        <v>82189007</v>
      </c>
      <c r="B4169" s="11">
        <v>44858</v>
      </c>
      <c r="C4169" s="13" t="s">
        <v>5517</v>
      </c>
      <c r="D4169" s="13" t="s">
        <v>5518</v>
      </c>
      <c r="E4169" s="8">
        <v>10000</v>
      </c>
      <c r="F4169" s="13" t="s">
        <v>70</v>
      </c>
      <c r="G4169" s="14">
        <v>44860</v>
      </c>
      <c r="H4169" s="13" t="s">
        <v>9</v>
      </c>
    </row>
    <row r="4170" spans="1:8" ht="14.4" x14ac:dyDescent="0.3">
      <c r="A4170" s="8">
        <v>82189008</v>
      </c>
      <c r="B4170" s="11">
        <v>44858</v>
      </c>
      <c r="C4170" s="13" t="s">
        <v>5519</v>
      </c>
      <c r="D4170" s="13" t="s">
        <v>5520</v>
      </c>
      <c r="E4170" s="8">
        <v>10000</v>
      </c>
      <c r="F4170" s="13" t="s">
        <v>70</v>
      </c>
      <c r="G4170" s="14">
        <v>44861</v>
      </c>
      <c r="H4170" s="13" t="s">
        <v>9</v>
      </c>
    </row>
    <row r="4171" spans="1:8" ht="14.4" x14ac:dyDescent="0.3">
      <c r="A4171" s="8">
        <v>82189009</v>
      </c>
      <c r="B4171" s="11">
        <v>44858</v>
      </c>
      <c r="C4171" s="13" t="s">
        <v>5521</v>
      </c>
      <c r="D4171" s="13" t="s">
        <v>5522</v>
      </c>
      <c r="E4171" s="8">
        <v>8000</v>
      </c>
      <c r="F4171" s="13" t="s">
        <v>70</v>
      </c>
      <c r="G4171" s="14">
        <v>44860</v>
      </c>
      <c r="H4171" s="13" t="s">
        <v>9</v>
      </c>
    </row>
    <row r="4172" spans="1:8" ht="14.4" x14ac:dyDescent="0.3">
      <c r="A4172" s="8">
        <v>82189010</v>
      </c>
      <c r="B4172" s="11">
        <v>44858</v>
      </c>
      <c r="C4172" s="13" t="s">
        <v>5523</v>
      </c>
      <c r="D4172" s="13" t="s">
        <v>5524</v>
      </c>
      <c r="E4172" s="8">
        <v>15000</v>
      </c>
      <c r="F4172" s="13" t="s">
        <v>70</v>
      </c>
      <c r="G4172" s="14">
        <v>44860</v>
      </c>
      <c r="H4172" s="13" t="s">
        <v>9</v>
      </c>
    </row>
    <row r="4173" spans="1:8" ht="14.4" x14ac:dyDescent="0.3">
      <c r="A4173" s="8">
        <v>82189011</v>
      </c>
      <c r="B4173" s="11">
        <v>44858</v>
      </c>
      <c r="C4173" s="13" t="s">
        <v>5060</v>
      </c>
      <c r="D4173" s="13" t="s">
        <v>5525</v>
      </c>
      <c r="E4173" s="8">
        <v>40000</v>
      </c>
      <c r="F4173" s="13" t="s">
        <v>70</v>
      </c>
      <c r="G4173" s="14">
        <v>44860</v>
      </c>
      <c r="H4173" s="13" t="s">
        <v>9</v>
      </c>
    </row>
    <row r="4174" spans="1:8" ht="14.4" x14ac:dyDescent="0.3">
      <c r="A4174" s="8">
        <v>82189012</v>
      </c>
      <c r="B4174" s="11">
        <v>44858</v>
      </c>
      <c r="C4174" s="13" t="s">
        <v>5526</v>
      </c>
      <c r="D4174" s="13" t="s">
        <v>5527</v>
      </c>
      <c r="E4174" s="8">
        <v>10000</v>
      </c>
      <c r="F4174" s="13" t="s">
        <v>70</v>
      </c>
      <c r="G4174" s="14">
        <v>44860</v>
      </c>
      <c r="H4174" s="13" t="s">
        <v>9</v>
      </c>
    </row>
    <row r="4175" spans="1:8" ht="14.4" x14ac:dyDescent="0.3">
      <c r="A4175" s="8">
        <v>82189013</v>
      </c>
      <c r="B4175" s="11">
        <v>44858</v>
      </c>
      <c r="C4175" s="13" t="s">
        <v>5528</v>
      </c>
      <c r="D4175" s="13" t="s">
        <v>5529</v>
      </c>
      <c r="E4175" s="8">
        <v>17000</v>
      </c>
      <c r="F4175" s="13" t="s">
        <v>70</v>
      </c>
      <c r="G4175" s="14">
        <v>44860</v>
      </c>
      <c r="H4175" s="13" t="s">
        <v>9</v>
      </c>
    </row>
    <row r="4176" spans="1:8" ht="14.4" x14ac:dyDescent="0.3">
      <c r="A4176" s="8">
        <v>82189014</v>
      </c>
      <c r="B4176" s="11">
        <v>44858</v>
      </c>
      <c r="C4176" s="13" t="s">
        <v>5530</v>
      </c>
      <c r="D4176" s="13" t="s">
        <v>5531</v>
      </c>
      <c r="E4176" s="8">
        <v>8000</v>
      </c>
      <c r="F4176" s="13" t="s">
        <v>70</v>
      </c>
      <c r="G4176" s="14">
        <v>44861</v>
      </c>
      <c r="H4176" s="13" t="s">
        <v>9</v>
      </c>
    </row>
    <row r="4177" spans="1:8" ht="14.4" x14ac:dyDescent="0.3">
      <c r="A4177" s="8">
        <v>82189015</v>
      </c>
      <c r="B4177" s="11">
        <v>44858</v>
      </c>
      <c r="C4177" s="13" t="s">
        <v>5532</v>
      </c>
      <c r="D4177" s="13" t="s">
        <v>5533</v>
      </c>
      <c r="E4177" s="8">
        <v>11000</v>
      </c>
      <c r="F4177" s="13" t="s">
        <v>70</v>
      </c>
      <c r="G4177" s="14">
        <v>44861</v>
      </c>
      <c r="H4177" s="13" t="s">
        <v>9</v>
      </c>
    </row>
    <row r="4178" spans="1:8" ht="14.4" x14ac:dyDescent="0.3">
      <c r="A4178" s="8">
        <v>82189016</v>
      </c>
      <c r="B4178" s="11">
        <v>44858</v>
      </c>
      <c r="C4178" s="13" t="s">
        <v>5534</v>
      </c>
      <c r="D4178" s="13" t="s">
        <v>5535</v>
      </c>
      <c r="E4178" s="8">
        <v>11000</v>
      </c>
      <c r="F4178" s="13" t="s">
        <v>70</v>
      </c>
      <c r="G4178" s="14">
        <v>44867</v>
      </c>
      <c r="H4178" s="13" t="s">
        <v>9</v>
      </c>
    </row>
    <row r="4179" spans="1:8" ht="14.4" x14ac:dyDescent="0.3">
      <c r="A4179" s="8">
        <v>82189017</v>
      </c>
      <c r="B4179" s="11">
        <v>44858</v>
      </c>
      <c r="C4179" s="13" t="s">
        <v>5536</v>
      </c>
      <c r="D4179" s="13" t="s">
        <v>5537</v>
      </c>
      <c r="E4179" s="8">
        <v>112000</v>
      </c>
      <c r="F4179" s="13" t="s">
        <v>70</v>
      </c>
      <c r="G4179" s="14">
        <v>44867</v>
      </c>
      <c r="H4179" s="13" t="s">
        <v>9</v>
      </c>
    </row>
    <row r="4180" spans="1:8" ht="14.4" x14ac:dyDescent="0.3">
      <c r="A4180" s="8">
        <v>82189018</v>
      </c>
      <c r="B4180" s="11">
        <v>44858</v>
      </c>
      <c r="C4180" s="13" t="s">
        <v>5538</v>
      </c>
      <c r="D4180" s="13" t="s">
        <v>5539</v>
      </c>
      <c r="E4180" s="8">
        <v>234600</v>
      </c>
      <c r="F4180" s="13" t="s">
        <v>70</v>
      </c>
      <c r="G4180" s="14">
        <v>44859</v>
      </c>
      <c r="H4180" s="13" t="s">
        <v>9</v>
      </c>
    </row>
    <row r="4181" spans="1:8" ht="14.4" x14ac:dyDescent="0.3">
      <c r="A4181" s="8">
        <v>82189019</v>
      </c>
      <c r="B4181" s="11">
        <v>44858</v>
      </c>
      <c r="C4181" s="13" t="s">
        <v>5540</v>
      </c>
      <c r="D4181" s="13" t="s">
        <v>5541</v>
      </c>
      <c r="E4181" s="8">
        <v>8000</v>
      </c>
      <c r="F4181" s="13" t="s">
        <v>70</v>
      </c>
      <c r="G4181" s="14">
        <v>44860</v>
      </c>
      <c r="H4181" s="13" t="s">
        <v>9</v>
      </c>
    </row>
    <row r="4182" spans="1:8" ht="14.4" x14ac:dyDescent="0.3">
      <c r="A4182" s="8">
        <v>82189020</v>
      </c>
      <c r="B4182" s="11">
        <v>44858</v>
      </c>
      <c r="C4182" s="13" t="s">
        <v>5542</v>
      </c>
      <c r="D4182" s="13" t="s">
        <v>5543</v>
      </c>
      <c r="E4182" s="8">
        <v>10000</v>
      </c>
      <c r="F4182" s="13" t="s">
        <v>70</v>
      </c>
      <c r="G4182" s="14">
        <v>44860</v>
      </c>
      <c r="H4182" s="13" t="s">
        <v>9</v>
      </c>
    </row>
    <row r="4183" spans="1:8" ht="14.4" x14ac:dyDescent="0.3">
      <c r="A4183" s="8">
        <v>82189021</v>
      </c>
      <c r="B4183" s="11">
        <v>44858</v>
      </c>
      <c r="C4183" s="13" t="s">
        <v>5544</v>
      </c>
      <c r="D4183" s="13" t="s">
        <v>5545</v>
      </c>
      <c r="E4183" s="8">
        <v>8800</v>
      </c>
      <c r="F4183" s="13" t="s">
        <v>70</v>
      </c>
      <c r="G4183" s="14">
        <v>44860</v>
      </c>
      <c r="H4183" s="13" t="s">
        <v>9</v>
      </c>
    </row>
    <row r="4184" spans="1:8" ht="14.4" x14ac:dyDescent="0.3">
      <c r="A4184" s="8">
        <v>82189022</v>
      </c>
      <c r="B4184" s="11">
        <v>44858</v>
      </c>
      <c r="C4184" s="13" t="s">
        <v>5546</v>
      </c>
      <c r="D4184" s="13" t="s">
        <v>5547</v>
      </c>
      <c r="E4184" s="8">
        <v>8000</v>
      </c>
      <c r="F4184" s="13" t="s">
        <v>70</v>
      </c>
      <c r="G4184" s="14">
        <v>44859</v>
      </c>
      <c r="H4184" s="13" t="s">
        <v>9</v>
      </c>
    </row>
    <row r="4185" spans="1:8" ht="14.4" x14ac:dyDescent="0.3">
      <c r="A4185" s="8">
        <v>82189023</v>
      </c>
      <c r="B4185" s="11">
        <v>44858</v>
      </c>
      <c r="C4185" s="13" t="s">
        <v>5548</v>
      </c>
      <c r="D4185" s="13" t="s">
        <v>5549</v>
      </c>
      <c r="E4185" s="8">
        <v>5264.6</v>
      </c>
      <c r="F4185" s="13" t="s">
        <v>70</v>
      </c>
      <c r="G4185" s="14">
        <v>44860</v>
      </c>
      <c r="H4185" s="13" t="s">
        <v>9</v>
      </c>
    </row>
    <row r="4186" spans="1:8" ht="14.4" x14ac:dyDescent="0.3">
      <c r="A4186" s="8">
        <v>82189024</v>
      </c>
      <c r="B4186" s="11">
        <v>44858</v>
      </c>
      <c r="C4186" s="13" t="s">
        <v>42</v>
      </c>
      <c r="D4186" s="13" t="s">
        <v>5550</v>
      </c>
      <c r="E4186" s="8">
        <v>5057.6400000000003</v>
      </c>
      <c r="F4186" s="13" t="s">
        <v>70</v>
      </c>
      <c r="G4186" s="14">
        <v>44860</v>
      </c>
      <c r="H4186" s="13" t="s">
        <v>9</v>
      </c>
    </row>
    <row r="4187" spans="1:8" ht="14.4" x14ac:dyDescent="0.3">
      <c r="A4187" s="8">
        <v>82189025</v>
      </c>
      <c r="B4187" s="11">
        <v>44858</v>
      </c>
      <c r="C4187" s="13" t="s">
        <v>5551</v>
      </c>
      <c r="D4187" s="13" t="s">
        <v>5552</v>
      </c>
      <c r="E4187" s="8">
        <v>647329.26</v>
      </c>
      <c r="F4187" s="13" t="s">
        <v>70</v>
      </c>
      <c r="G4187" s="14">
        <v>44862</v>
      </c>
      <c r="H4187" s="13" t="s">
        <v>9</v>
      </c>
    </row>
    <row r="4188" spans="1:8" ht="14.4" x14ac:dyDescent="0.3">
      <c r="A4188" s="8">
        <v>82189026</v>
      </c>
      <c r="B4188" s="11">
        <v>44858</v>
      </c>
      <c r="C4188" s="13" t="s">
        <v>5553</v>
      </c>
      <c r="D4188" s="13" t="s">
        <v>5554</v>
      </c>
      <c r="E4188" s="8">
        <v>104500</v>
      </c>
      <c r="F4188" s="13" t="s">
        <v>70</v>
      </c>
      <c r="G4188" s="14">
        <v>44859</v>
      </c>
      <c r="H4188" s="13" t="s">
        <v>9</v>
      </c>
    </row>
    <row r="4189" spans="1:8" ht="14.4" x14ac:dyDescent="0.3">
      <c r="A4189" s="8">
        <v>82189027</v>
      </c>
      <c r="B4189" s="11">
        <v>44858</v>
      </c>
      <c r="C4189" s="13" t="s">
        <v>5555</v>
      </c>
      <c r="D4189" s="13" t="s">
        <v>5554</v>
      </c>
      <c r="E4189" s="8">
        <v>65000</v>
      </c>
      <c r="F4189" s="13" t="s">
        <v>70</v>
      </c>
      <c r="G4189" s="14">
        <v>44867</v>
      </c>
      <c r="H4189" s="13" t="s">
        <v>9</v>
      </c>
    </row>
    <row r="4190" spans="1:8" ht="14.4" x14ac:dyDescent="0.3">
      <c r="A4190" s="8">
        <v>82189028</v>
      </c>
      <c r="B4190" s="11">
        <v>44858</v>
      </c>
      <c r="C4190" s="13" t="s">
        <v>5556</v>
      </c>
      <c r="D4190" s="13" t="s">
        <v>5537</v>
      </c>
      <c r="E4190" s="8">
        <v>77000</v>
      </c>
      <c r="F4190" s="13" t="s">
        <v>70</v>
      </c>
      <c r="G4190" s="14">
        <v>44867</v>
      </c>
      <c r="H4190" s="13" t="s">
        <v>9</v>
      </c>
    </row>
    <row r="4191" spans="1:8" ht="14.4" x14ac:dyDescent="0.3">
      <c r="A4191" s="8">
        <v>82189029</v>
      </c>
      <c r="B4191" s="11">
        <v>44858</v>
      </c>
      <c r="C4191" s="13" t="s">
        <v>5557</v>
      </c>
      <c r="D4191" s="13" t="s">
        <v>5558</v>
      </c>
      <c r="E4191" s="8">
        <v>25000</v>
      </c>
      <c r="F4191" s="13" t="s">
        <v>70</v>
      </c>
      <c r="G4191" s="14">
        <v>44859</v>
      </c>
      <c r="H4191" s="13" t="s">
        <v>9</v>
      </c>
    </row>
    <row r="4192" spans="1:8" ht="14.4" x14ac:dyDescent="0.3">
      <c r="A4192" s="8">
        <v>82189030</v>
      </c>
      <c r="B4192" s="11">
        <v>44858</v>
      </c>
      <c r="C4192" s="13" t="s">
        <v>5559</v>
      </c>
      <c r="D4192" s="13" t="s">
        <v>5560</v>
      </c>
      <c r="E4192" s="8">
        <v>10000</v>
      </c>
      <c r="F4192" s="13" t="s">
        <v>70</v>
      </c>
      <c r="G4192" s="14">
        <v>44860</v>
      </c>
      <c r="H4192" s="13" t="s">
        <v>9</v>
      </c>
    </row>
    <row r="4193" spans="1:8" ht="14.4" x14ac:dyDescent="0.3">
      <c r="A4193" s="8">
        <v>82189031</v>
      </c>
      <c r="B4193" s="11">
        <v>44858</v>
      </c>
      <c r="C4193" s="13" t="s">
        <v>3055</v>
      </c>
      <c r="D4193" s="13" t="s">
        <v>5561</v>
      </c>
      <c r="E4193" s="8">
        <v>11000</v>
      </c>
      <c r="F4193" s="13" t="s">
        <v>70</v>
      </c>
      <c r="G4193" s="14">
        <v>44859</v>
      </c>
      <c r="H4193" s="13" t="s">
        <v>9</v>
      </c>
    </row>
    <row r="4194" spans="1:8" ht="14.4" x14ac:dyDescent="0.3">
      <c r="A4194" s="8">
        <v>82189032</v>
      </c>
      <c r="B4194" s="11">
        <v>44858</v>
      </c>
      <c r="C4194" s="13" t="s">
        <v>5562</v>
      </c>
      <c r="D4194" s="13" t="s">
        <v>5563</v>
      </c>
      <c r="E4194" s="8">
        <v>12000</v>
      </c>
      <c r="F4194" s="13" t="s">
        <v>70</v>
      </c>
      <c r="G4194" s="14">
        <v>44860</v>
      </c>
      <c r="H4194" s="13" t="s">
        <v>9</v>
      </c>
    </row>
    <row r="4195" spans="1:8" ht="14.4" x14ac:dyDescent="0.3">
      <c r="A4195" s="8">
        <v>82189033</v>
      </c>
      <c r="B4195" s="11">
        <v>44858</v>
      </c>
      <c r="C4195" s="13" t="s">
        <v>5564</v>
      </c>
      <c r="D4195" s="13" t="s">
        <v>5565</v>
      </c>
      <c r="E4195" s="8">
        <v>7800</v>
      </c>
      <c r="F4195" s="13" t="s">
        <v>70</v>
      </c>
      <c r="G4195" s="14">
        <v>44860</v>
      </c>
      <c r="H4195" s="13" t="s">
        <v>9</v>
      </c>
    </row>
    <row r="4196" spans="1:8" ht="14.4" x14ac:dyDescent="0.3">
      <c r="A4196" s="8">
        <v>82189034</v>
      </c>
      <c r="B4196" s="11">
        <v>44858</v>
      </c>
      <c r="C4196" s="13" t="s">
        <v>5566</v>
      </c>
      <c r="D4196" s="13" t="s">
        <v>5567</v>
      </c>
      <c r="E4196" s="8">
        <v>13000</v>
      </c>
      <c r="F4196" s="13" t="s">
        <v>70</v>
      </c>
      <c r="G4196" s="14">
        <v>44860</v>
      </c>
      <c r="H4196" s="13" t="s">
        <v>9</v>
      </c>
    </row>
    <row r="4197" spans="1:8" ht="14.4" x14ac:dyDescent="0.3">
      <c r="A4197" s="8">
        <v>82189035</v>
      </c>
      <c r="B4197" s="11">
        <v>44858</v>
      </c>
      <c r="C4197" s="13" t="s">
        <v>5568</v>
      </c>
      <c r="D4197" s="13" t="s">
        <v>5569</v>
      </c>
      <c r="E4197" s="8">
        <v>7000</v>
      </c>
      <c r="F4197" s="13" t="s">
        <v>70</v>
      </c>
      <c r="G4197" s="14">
        <v>44860</v>
      </c>
      <c r="H4197" s="13" t="s">
        <v>9</v>
      </c>
    </row>
    <row r="4198" spans="1:8" ht="14.4" x14ac:dyDescent="0.3">
      <c r="A4198" s="8">
        <v>82189036</v>
      </c>
      <c r="B4198" s="11">
        <v>44858</v>
      </c>
      <c r="C4198" s="13" t="s">
        <v>5570</v>
      </c>
      <c r="D4198" s="13" t="s">
        <v>5571</v>
      </c>
      <c r="E4198" s="8">
        <v>10000</v>
      </c>
      <c r="F4198" s="13" t="s">
        <v>70</v>
      </c>
      <c r="G4198" s="14">
        <v>44859</v>
      </c>
      <c r="H4198" s="13" t="s">
        <v>9</v>
      </c>
    </row>
    <row r="4199" spans="1:8" ht="14.4" x14ac:dyDescent="0.3">
      <c r="A4199" s="8">
        <v>82189037</v>
      </c>
      <c r="B4199" s="11">
        <v>44858</v>
      </c>
      <c r="C4199" s="13" t="s">
        <v>5572</v>
      </c>
      <c r="D4199" s="13" t="s">
        <v>5573</v>
      </c>
      <c r="E4199" s="8">
        <v>8000</v>
      </c>
      <c r="F4199" s="13" t="s">
        <v>70</v>
      </c>
      <c r="G4199" s="14">
        <v>44861</v>
      </c>
      <c r="H4199" s="13" t="s">
        <v>9</v>
      </c>
    </row>
    <row r="4200" spans="1:8" ht="14.4" x14ac:dyDescent="0.3">
      <c r="A4200" s="8">
        <v>82189038</v>
      </c>
      <c r="B4200" s="11">
        <v>44858</v>
      </c>
      <c r="C4200" s="13" t="s">
        <v>5574</v>
      </c>
      <c r="D4200" s="13" t="s">
        <v>5575</v>
      </c>
      <c r="E4200" s="8">
        <v>20000</v>
      </c>
      <c r="F4200" s="13" t="s">
        <v>70</v>
      </c>
      <c r="G4200" s="14">
        <v>44860</v>
      </c>
      <c r="H4200" s="13" t="s">
        <v>9</v>
      </c>
    </row>
    <row r="4201" spans="1:8" ht="14.4" x14ac:dyDescent="0.3">
      <c r="A4201" s="8">
        <v>82189040</v>
      </c>
      <c r="B4201" s="11">
        <v>44858</v>
      </c>
      <c r="C4201" s="13" t="s">
        <v>5576</v>
      </c>
      <c r="D4201" s="13" t="s">
        <v>5577</v>
      </c>
      <c r="E4201" s="8">
        <v>5900</v>
      </c>
      <c r="F4201" s="13" t="s">
        <v>70</v>
      </c>
      <c r="G4201" s="14">
        <v>44859</v>
      </c>
      <c r="H4201" s="13" t="s">
        <v>9</v>
      </c>
    </row>
    <row r="4202" spans="1:8" ht="14.4" x14ac:dyDescent="0.3">
      <c r="A4202" s="8">
        <v>82189041</v>
      </c>
      <c r="B4202" s="11">
        <v>44858</v>
      </c>
      <c r="C4202" s="13" t="s">
        <v>5578</v>
      </c>
      <c r="D4202" s="13" t="s">
        <v>5579</v>
      </c>
      <c r="E4202" s="8">
        <v>9000</v>
      </c>
      <c r="F4202" s="13" t="s">
        <v>70</v>
      </c>
      <c r="G4202" s="14">
        <v>44860</v>
      </c>
      <c r="H4202" s="13" t="s">
        <v>9</v>
      </c>
    </row>
    <row r="4203" spans="1:8" ht="14.4" x14ac:dyDescent="0.3">
      <c r="A4203" s="8">
        <v>82189042</v>
      </c>
      <c r="B4203" s="11">
        <v>44858</v>
      </c>
      <c r="C4203" s="13" t="s">
        <v>5580</v>
      </c>
      <c r="D4203" s="13" t="s">
        <v>5581</v>
      </c>
      <c r="E4203" s="8">
        <v>8000</v>
      </c>
      <c r="F4203" s="13" t="s">
        <v>70</v>
      </c>
      <c r="G4203" s="14">
        <v>44860</v>
      </c>
      <c r="H4203" s="13" t="s">
        <v>9</v>
      </c>
    </row>
    <row r="4204" spans="1:8" ht="14.4" x14ac:dyDescent="0.3">
      <c r="A4204" s="8">
        <v>82189043</v>
      </c>
      <c r="B4204" s="11">
        <v>44858</v>
      </c>
      <c r="C4204" s="13" t="s">
        <v>5582</v>
      </c>
      <c r="D4204" s="13" t="s">
        <v>5583</v>
      </c>
      <c r="E4204" s="8">
        <v>10000</v>
      </c>
      <c r="F4204" s="13" t="s">
        <v>70</v>
      </c>
      <c r="G4204" s="14">
        <v>44860</v>
      </c>
      <c r="H4204" s="13" t="s">
        <v>9</v>
      </c>
    </row>
    <row r="4205" spans="1:8" ht="14.4" x14ac:dyDescent="0.3">
      <c r="A4205" s="8">
        <v>82189044</v>
      </c>
      <c r="B4205" s="11">
        <v>44858</v>
      </c>
      <c r="C4205" s="13" t="s">
        <v>5584</v>
      </c>
      <c r="D4205" s="13" t="s">
        <v>5585</v>
      </c>
      <c r="E4205" s="8">
        <v>11000</v>
      </c>
      <c r="F4205" s="13" t="s">
        <v>70</v>
      </c>
      <c r="G4205" s="14">
        <v>44860</v>
      </c>
      <c r="H4205" s="13" t="s">
        <v>9</v>
      </c>
    </row>
    <row r="4206" spans="1:8" ht="14.4" x14ac:dyDescent="0.3">
      <c r="A4206" s="8">
        <v>82189045</v>
      </c>
      <c r="B4206" s="11">
        <v>44858</v>
      </c>
      <c r="C4206" s="13" t="s">
        <v>5586</v>
      </c>
      <c r="D4206" s="13" t="s">
        <v>5587</v>
      </c>
      <c r="E4206" s="8">
        <v>18000</v>
      </c>
      <c r="F4206" s="13" t="s">
        <v>70</v>
      </c>
      <c r="G4206" s="14">
        <v>44860</v>
      </c>
      <c r="H4206" s="13" t="s">
        <v>9</v>
      </c>
    </row>
    <row r="4207" spans="1:8" ht="14.4" x14ac:dyDescent="0.3">
      <c r="A4207" s="8">
        <v>82189046</v>
      </c>
      <c r="B4207" s="11">
        <v>44858</v>
      </c>
      <c r="C4207" s="13" t="s">
        <v>5588</v>
      </c>
      <c r="D4207" s="13" t="s">
        <v>5589</v>
      </c>
      <c r="E4207" s="8">
        <v>16000</v>
      </c>
      <c r="F4207" s="13" t="s">
        <v>70</v>
      </c>
      <c r="G4207" s="14">
        <v>44860</v>
      </c>
      <c r="H4207" s="13" t="s">
        <v>9</v>
      </c>
    </row>
    <row r="4208" spans="1:8" ht="14.4" x14ac:dyDescent="0.3">
      <c r="A4208" s="8">
        <v>82189047</v>
      </c>
      <c r="B4208" s="11">
        <v>44858</v>
      </c>
      <c r="C4208" s="13" t="s">
        <v>5590</v>
      </c>
      <c r="D4208" s="13" t="s">
        <v>5591</v>
      </c>
      <c r="E4208" s="8">
        <v>50000</v>
      </c>
      <c r="F4208" s="13" t="s">
        <v>70</v>
      </c>
      <c r="G4208" s="14">
        <v>44860</v>
      </c>
      <c r="H4208" s="13" t="s">
        <v>9</v>
      </c>
    </row>
    <row r="4209" spans="1:8" ht="14.4" x14ac:dyDescent="0.3">
      <c r="A4209" s="8">
        <v>82189048</v>
      </c>
      <c r="B4209" s="11">
        <v>44858</v>
      </c>
      <c r="C4209" s="13" t="s">
        <v>5592</v>
      </c>
      <c r="D4209" s="13" t="s">
        <v>5593</v>
      </c>
      <c r="E4209" s="8">
        <v>10000</v>
      </c>
      <c r="F4209" s="13" t="s">
        <v>70</v>
      </c>
      <c r="G4209" s="14">
        <v>44860</v>
      </c>
      <c r="H4209" s="13" t="s">
        <v>9</v>
      </c>
    </row>
    <row r="4210" spans="1:8" ht="14.4" x14ac:dyDescent="0.3">
      <c r="A4210" s="8">
        <v>82189049</v>
      </c>
      <c r="B4210" s="11">
        <v>44858</v>
      </c>
      <c r="C4210" s="13" t="s">
        <v>5594</v>
      </c>
      <c r="D4210" s="13" t="s">
        <v>5595</v>
      </c>
      <c r="E4210" s="8">
        <v>7000</v>
      </c>
      <c r="F4210" s="13" t="s">
        <v>70</v>
      </c>
      <c r="G4210" s="14">
        <v>44860</v>
      </c>
      <c r="H4210" s="13" t="s">
        <v>9</v>
      </c>
    </row>
    <row r="4211" spans="1:8" ht="14.4" x14ac:dyDescent="0.3">
      <c r="A4211" s="8">
        <v>82189050</v>
      </c>
      <c r="B4211" s="11">
        <v>44858</v>
      </c>
      <c r="C4211" s="13" t="s">
        <v>5596</v>
      </c>
      <c r="D4211" s="13" t="s">
        <v>5597</v>
      </c>
      <c r="E4211" s="8">
        <v>50000</v>
      </c>
      <c r="F4211" s="13" t="s">
        <v>70</v>
      </c>
      <c r="G4211" s="14">
        <v>44860</v>
      </c>
      <c r="H4211" s="13" t="s">
        <v>9</v>
      </c>
    </row>
    <row r="4212" spans="1:8" ht="14.4" x14ac:dyDescent="0.3">
      <c r="A4212" s="8">
        <v>82189051</v>
      </c>
      <c r="B4212" s="11">
        <v>44858</v>
      </c>
      <c r="C4212" s="13" t="s">
        <v>5598</v>
      </c>
      <c r="D4212" s="13" t="s">
        <v>5599</v>
      </c>
      <c r="E4212" s="8">
        <v>8000</v>
      </c>
      <c r="F4212" s="13" t="s">
        <v>70</v>
      </c>
      <c r="G4212" s="14">
        <v>44861</v>
      </c>
      <c r="H4212" s="13" t="s">
        <v>9</v>
      </c>
    </row>
    <row r="4213" spans="1:8" ht="14.4" x14ac:dyDescent="0.3">
      <c r="A4213" s="8">
        <v>82189052</v>
      </c>
      <c r="B4213" s="11">
        <v>44858</v>
      </c>
      <c r="C4213" s="13" t="s">
        <v>5600</v>
      </c>
      <c r="D4213" s="13" t="s">
        <v>5601</v>
      </c>
      <c r="E4213" s="8">
        <v>36000</v>
      </c>
      <c r="F4213" s="13" t="s">
        <v>70</v>
      </c>
      <c r="G4213" s="14">
        <v>44860</v>
      </c>
      <c r="H4213" s="13" t="s">
        <v>9</v>
      </c>
    </row>
    <row r="4214" spans="1:8" ht="14.4" x14ac:dyDescent="0.3">
      <c r="A4214" s="8">
        <v>82189053</v>
      </c>
      <c r="B4214" s="11">
        <v>44858</v>
      </c>
      <c r="C4214" s="13" t="s">
        <v>5602</v>
      </c>
      <c r="D4214" s="13" t="s">
        <v>5603</v>
      </c>
      <c r="E4214" s="8">
        <v>32000</v>
      </c>
      <c r="F4214" s="13" t="s">
        <v>70</v>
      </c>
      <c r="G4214" s="14">
        <v>44860</v>
      </c>
      <c r="H4214" s="13" t="s">
        <v>9</v>
      </c>
    </row>
    <row r="4215" spans="1:8" ht="14.4" x14ac:dyDescent="0.3">
      <c r="A4215" s="8">
        <v>82189054</v>
      </c>
      <c r="B4215" s="11">
        <v>44858</v>
      </c>
      <c r="C4215" s="13" t="s">
        <v>5604</v>
      </c>
      <c r="D4215" s="13" t="s">
        <v>5605</v>
      </c>
      <c r="E4215" s="8">
        <v>11000</v>
      </c>
      <c r="F4215" s="13" t="s">
        <v>70</v>
      </c>
      <c r="G4215" s="14">
        <v>44860</v>
      </c>
      <c r="H4215" s="13" t="s">
        <v>9</v>
      </c>
    </row>
    <row r="4216" spans="1:8" ht="14.4" x14ac:dyDescent="0.3">
      <c r="A4216" s="8">
        <v>82189055</v>
      </c>
      <c r="B4216" s="11">
        <v>44858</v>
      </c>
      <c r="C4216" s="13" t="s">
        <v>1395</v>
      </c>
      <c r="D4216" s="13" t="s">
        <v>21</v>
      </c>
      <c r="E4216" s="8">
        <v>6000</v>
      </c>
      <c r="F4216" s="13" t="s">
        <v>70</v>
      </c>
      <c r="G4216" s="14">
        <v>44862</v>
      </c>
      <c r="H4216" s="13" t="s">
        <v>9</v>
      </c>
    </row>
    <row r="4217" spans="1:8" ht="14.4" x14ac:dyDescent="0.3">
      <c r="A4217" s="8">
        <v>82189056</v>
      </c>
      <c r="B4217" s="11">
        <v>44858</v>
      </c>
      <c r="C4217" s="13" t="s">
        <v>5606</v>
      </c>
      <c r="D4217" s="13" t="s">
        <v>21</v>
      </c>
      <c r="E4217" s="8">
        <v>9790</v>
      </c>
      <c r="F4217" s="13" t="s">
        <v>70</v>
      </c>
      <c r="G4217" s="14">
        <v>44862</v>
      </c>
      <c r="H4217" s="13" t="s">
        <v>9</v>
      </c>
    </row>
    <row r="4218" spans="1:8" ht="14.4" x14ac:dyDescent="0.3">
      <c r="A4218" s="8">
        <v>82189057</v>
      </c>
      <c r="B4218" s="11">
        <v>44858</v>
      </c>
      <c r="C4218" s="13" t="s">
        <v>5607</v>
      </c>
      <c r="D4218" s="13" t="s">
        <v>5608</v>
      </c>
      <c r="E4218" s="8">
        <v>15000</v>
      </c>
      <c r="F4218" s="13" t="s">
        <v>70</v>
      </c>
      <c r="G4218" s="14">
        <v>44859</v>
      </c>
      <c r="H4218" s="13" t="s">
        <v>9</v>
      </c>
    </row>
    <row r="4219" spans="1:8" ht="14.4" x14ac:dyDescent="0.3">
      <c r="A4219" s="8">
        <v>82189058</v>
      </c>
      <c r="B4219" s="11">
        <v>44858</v>
      </c>
      <c r="C4219" s="13" t="s">
        <v>1000</v>
      </c>
      <c r="D4219" s="13" t="s">
        <v>5609</v>
      </c>
      <c r="E4219" s="8">
        <v>34790</v>
      </c>
      <c r="F4219" s="13" t="s">
        <v>70</v>
      </c>
      <c r="G4219" s="14">
        <v>44860</v>
      </c>
      <c r="H4219" s="13" t="s">
        <v>9</v>
      </c>
    </row>
    <row r="4220" spans="1:8" ht="14.4" x14ac:dyDescent="0.3">
      <c r="A4220" s="8">
        <v>82189059</v>
      </c>
      <c r="B4220" s="11">
        <v>44858</v>
      </c>
      <c r="C4220" s="13" t="s">
        <v>42</v>
      </c>
      <c r="D4220" s="13" t="s">
        <v>5610</v>
      </c>
      <c r="E4220" s="8">
        <v>5372.94</v>
      </c>
      <c r="F4220" s="13" t="s">
        <v>70</v>
      </c>
      <c r="G4220" s="14">
        <v>44860</v>
      </c>
      <c r="H4220" s="13" t="s">
        <v>9</v>
      </c>
    </row>
    <row r="4221" spans="1:8" ht="14.4" x14ac:dyDescent="0.3">
      <c r="A4221" s="8">
        <v>82189060</v>
      </c>
      <c r="B4221" s="11">
        <v>44858</v>
      </c>
      <c r="C4221" s="13" t="s">
        <v>42</v>
      </c>
      <c r="D4221" s="13" t="s">
        <v>5611</v>
      </c>
      <c r="E4221" s="8">
        <v>4621.22</v>
      </c>
      <c r="F4221" s="13" t="s">
        <v>70</v>
      </c>
      <c r="G4221" s="14">
        <v>44860</v>
      </c>
      <c r="H4221" s="13" t="s">
        <v>9</v>
      </c>
    </row>
    <row r="4222" spans="1:8" ht="14.4" x14ac:dyDescent="0.3">
      <c r="A4222" s="8">
        <v>82189061</v>
      </c>
      <c r="B4222" s="11">
        <v>44858</v>
      </c>
      <c r="C4222" s="13" t="s">
        <v>42</v>
      </c>
      <c r="D4222" s="13" t="s">
        <v>5612</v>
      </c>
      <c r="E4222" s="8">
        <v>9119.7800000000007</v>
      </c>
      <c r="F4222" s="13" t="s">
        <v>70</v>
      </c>
      <c r="G4222" s="14">
        <v>44860</v>
      </c>
      <c r="H4222" s="13" t="s">
        <v>9</v>
      </c>
    </row>
    <row r="4223" spans="1:8" ht="14.4" x14ac:dyDescent="0.3">
      <c r="A4223" s="8">
        <v>82189062</v>
      </c>
      <c r="B4223" s="11">
        <v>44858</v>
      </c>
      <c r="C4223" s="13" t="s">
        <v>42</v>
      </c>
      <c r="D4223" s="13" t="s">
        <v>5613</v>
      </c>
      <c r="E4223" s="8">
        <v>12082.11</v>
      </c>
      <c r="F4223" s="13" t="s">
        <v>70</v>
      </c>
      <c r="G4223" s="14">
        <v>44860</v>
      </c>
      <c r="H4223" s="13" t="s">
        <v>9</v>
      </c>
    </row>
    <row r="4224" spans="1:8" ht="14.4" x14ac:dyDescent="0.3">
      <c r="A4224" s="8">
        <v>82189063</v>
      </c>
      <c r="B4224" s="11">
        <v>44858</v>
      </c>
      <c r="C4224" s="13" t="s">
        <v>5614</v>
      </c>
      <c r="D4224" s="13" t="s">
        <v>5615</v>
      </c>
      <c r="E4224" s="8">
        <v>9000</v>
      </c>
      <c r="F4224" s="13" t="s">
        <v>70</v>
      </c>
      <c r="G4224" s="14">
        <v>44860</v>
      </c>
      <c r="H4224" s="13" t="s">
        <v>9</v>
      </c>
    </row>
    <row r="4225" spans="1:8" ht="14.4" x14ac:dyDescent="0.3">
      <c r="A4225" s="8">
        <v>82189064</v>
      </c>
      <c r="B4225" s="11">
        <v>44858</v>
      </c>
      <c r="C4225" s="13" t="s">
        <v>5616</v>
      </c>
      <c r="D4225" s="13" t="s">
        <v>5617</v>
      </c>
      <c r="E4225" s="8">
        <v>30000</v>
      </c>
      <c r="F4225" s="13" t="s">
        <v>70</v>
      </c>
      <c r="G4225" s="14">
        <v>44860</v>
      </c>
      <c r="H4225" s="13" t="s">
        <v>9</v>
      </c>
    </row>
    <row r="4226" spans="1:8" ht="14.4" x14ac:dyDescent="0.3">
      <c r="A4226" s="8">
        <v>82189065</v>
      </c>
      <c r="B4226" s="11">
        <v>44858</v>
      </c>
      <c r="C4226" s="13" t="s">
        <v>5618</v>
      </c>
      <c r="D4226" s="13" t="s">
        <v>5619</v>
      </c>
      <c r="E4226" s="8">
        <v>21000</v>
      </c>
      <c r="F4226" s="13" t="s">
        <v>70</v>
      </c>
      <c r="G4226" s="14">
        <v>44860</v>
      </c>
      <c r="H4226" s="13" t="s">
        <v>9</v>
      </c>
    </row>
    <row r="4227" spans="1:8" ht="14.4" x14ac:dyDescent="0.3">
      <c r="A4227" s="8">
        <v>82189066</v>
      </c>
      <c r="B4227" s="11">
        <v>44858</v>
      </c>
      <c r="C4227" s="13" t="s">
        <v>5620</v>
      </c>
      <c r="D4227" s="13" t="s">
        <v>5621</v>
      </c>
      <c r="E4227" s="8">
        <v>15000</v>
      </c>
      <c r="F4227" s="13" t="s">
        <v>70</v>
      </c>
      <c r="G4227" s="14">
        <v>44860</v>
      </c>
      <c r="H4227" s="13" t="s">
        <v>9</v>
      </c>
    </row>
    <row r="4228" spans="1:8" ht="14.4" x14ac:dyDescent="0.3">
      <c r="A4228" s="8">
        <v>82189067</v>
      </c>
      <c r="B4228" s="11">
        <v>44858</v>
      </c>
      <c r="C4228" s="13" t="s">
        <v>5622</v>
      </c>
      <c r="D4228" s="13" t="s">
        <v>5623</v>
      </c>
      <c r="E4228" s="8">
        <v>12000</v>
      </c>
      <c r="F4228" s="13" t="s">
        <v>70</v>
      </c>
      <c r="G4228" s="14">
        <v>44860</v>
      </c>
      <c r="H4228" s="13" t="s">
        <v>9</v>
      </c>
    </row>
    <row r="4229" spans="1:8" ht="14.4" x14ac:dyDescent="0.3">
      <c r="A4229" s="8">
        <v>82189068</v>
      </c>
      <c r="B4229" s="11">
        <v>44858</v>
      </c>
      <c r="C4229" s="13" t="s">
        <v>5624</v>
      </c>
      <c r="D4229" s="13" t="s">
        <v>5625</v>
      </c>
      <c r="E4229" s="8">
        <v>50000</v>
      </c>
      <c r="F4229" s="13" t="s">
        <v>70</v>
      </c>
      <c r="G4229" s="14">
        <v>44867</v>
      </c>
      <c r="H4229" s="13" t="s">
        <v>9</v>
      </c>
    </row>
    <row r="4230" spans="1:8" ht="14.4" x14ac:dyDescent="0.3">
      <c r="A4230" s="8">
        <v>82189069</v>
      </c>
      <c r="B4230" s="11">
        <v>44858</v>
      </c>
      <c r="C4230" s="13" t="s">
        <v>5626</v>
      </c>
      <c r="D4230" s="13" t="s">
        <v>5627</v>
      </c>
      <c r="E4230" s="8">
        <v>11000</v>
      </c>
      <c r="F4230" s="13" t="s">
        <v>70</v>
      </c>
      <c r="G4230" s="14">
        <v>44860</v>
      </c>
      <c r="H4230" s="13" t="s">
        <v>9</v>
      </c>
    </row>
    <row r="4231" spans="1:8" ht="14.4" x14ac:dyDescent="0.3">
      <c r="A4231" s="8">
        <v>82189070</v>
      </c>
      <c r="B4231" s="11">
        <v>44858</v>
      </c>
      <c r="C4231" s="13" t="s">
        <v>5628</v>
      </c>
      <c r="D4231" s="13" t="s">
        <v>5629</v>
      </c>
      <c r="E4231" s="8">
        <v>11000</v>
      </c>
      <c r="F4231" s="13" t="s">
        <v>70</v>
      </c>
      <c r="G4231" s="14">
        <v>44860</v>
      </c>
      <c r="H4231" s="13" t="s">
        <v>9</v>
      </c>
    </row>
    <row r="4232" spans="1:8" ht="14.4" x14ac:dyDescent="0.3">
      <c r="A4232" s="8">
        <v>82189071</v>
      </c>
      <c r="B4232" s="11">
        <v>44858</v>
      </c>
      <c r="C4232" s="13" t="s">
        <v>5630</v>
      </c>
      <c r="D4232" s="13" t="s">
        <v>1190</v>
      </c>
      <c r="E4232" s="8">
        <v>14000</v>
      </c>
      <c r="F4232" s="13" t="s">
        <v>70</v>
      </c>
      <c r="G4232" s="14">
        <v>44860</v>
      </c>
      <c r="H4232" s="13" t="s">
        <v>9</v>
      </c>
    </row>
    <row r="4233" spans="1:8" ht="14.4" x14ac:dyDescent="0.3">
      <c r="A4233" s="8">
        <v>82189072</v>
      </c>
      <c r="B4233" s="11">
        <v>44858</v>
      </c>
      <c r="C4233" s="13" t="s">
        <v>5631</v>
      </c>
      <c r="D4233" s="13" t="s">
        <v>47</v>
      </c>
      <c r="E4233" s="8">
        <v>8640</v>
      </c>
      <c r="F4233" s="13" t="s">
        <v>70</v>
      </c>
      <c r="G4233" s="14">
        <v>44860</v>
      </c>
      <c r="H4233" s="13" t="s">
        <v>9</v>
      </c>
    </row>
    <row r="4234" spans="1:8" ht="14.4" x14ac:dyDescent="0.3">
      <c r="A4234" s="8">
        <v>82189073</v>
      </c>
      <c r="B4234" s="11">
        <v>44858</v>
      </c>
      <c r="C4234" s="13" t="s">
        <v>5632</v>
      </c>
      <c r="D4234" s="13" t="s">
        <v>1452</v>
      </c>
      <c r="E4234" s="8">
        <v>50000</v>
      </c>
      <c r="F4234" s="13" t="s">
        <v>70</v>
      </c>
      <c r="G4234" s="14">
        <v>44860</v>
      </c>
      <c r="H4234" s="13" t="s">
        <v>9</v>
      </c>
    </row>
    <row r="4235" spans="1:8" ht="14.4" x14ac:dyDescent="0.3">
      <c r="A4235" s="8">
        <v>82189074</v>
      </c>
      <c r="B4235" s="11">
        <v>44858</v>
      </c>
      <c r="C4235" s="13" t="s">
        <v>5633</v>
      </c>
      <c r="D4235" s="13" t="s">
        <v>5634</v>
      </c>
      <c r="E4235" s="8">
        <v>10000</v>
      </c>
      <c r="F4235" s="13" t="s">
        <v>70</v>
      </c>
      <c r="G4235" s="14">
        <v>44860</v>
      </c>
      <c r="H4235" s="13" t="s">
        <v>9</v>
      </c>
    </row>
    <row r="4236" spans="1:8" ht="14.4" x14ac:dyDescent="0.3">
      <c r="A4236" s="8">
        <v>82189075</v>
      </c>
      <c r="B4236" s="11">
        <v>44858</v>
      </c>
      <c r="C4236" s="13" t="s">
        <v>5635</v>
      </c>
      <c r="D4236" s="13" t="s">
        <v>5636</v>
      </c>
      <c r="E4236" s="8">
        <v>41000</v>
      </c>
      <c r="F4236" s="13" t="s">
        <v>70</v>
      </c>
      <c r="G4236" s="14">
        <v>44859</v>
      </c>
      <c r="H4236" s="13" t="s">
        <v>9</v>
      </c>
    </row>
    <row r="4237" spans="1:8" ht="14.4" x14ac:dyDescent="0.3">
      <c r="A4237" s="8">
        <v>82189076</v>
      </c>
      <c r="B4237" s="11">
        <v>44858</v>
      </c>
      <c r="C4237" s="13" t="s">
        <v>5637</v>
      </c>
      <c r="D4237" s="13" t="s">
        <v>5638</v>
      </c>
      <c r="E4237" s="8">
        <v>9000</v>
      </c>
      <c r="F4237" s="13" t="s">
        <v>70</v>
      </c>
      <c r="G4237" s="14">
        <v>44860</v>
      </c>
      <c r="H4237" s="13" t="s">
        <v>9</v>
      </c>
    </row>
    <row r="4238" spans="1:8" ht="14.4" x14ac:dyDescent="0.3">
      <c r="A4238" s="8">
        <v>82189077</v>
      </c>
      <c r="B4238" s="11">
        <v>44858</v>
      </c>
      <c r="C4238" s="13" t="s">
        <v>5639</v>
      </c>
      <c r="D4238" s="13" t="s">
        <v>5640</v>
      </c>
      <c r="E4238" s="8">
        <v>9000</v>
      </c>
      <c r="F4238" s="13" t="s">
        <v>70</v>
      </c>
      <c r="G4238" s="14">
        <v>44860</v>
      </c>
      <c r="H4238" s="13" t="s">
        <v>9</v>
      </c>
    </row>
    <row r="4239" spans="1:8" ht="14.4" x14ac:dyDescent="0.3">
      <c r="A4239" s="8">
        <v>82189078</v>
      </c>
      <c r="B4239" s="11">
        <v>44858</v>
      </c>
      <c r="C4239" s="13" t="s">
        <v>5641</v>
      </c>
      <c r="D4239" s="13" t="s">
        <v>5642</v>
      </c>
      <c r="E4239" s="8">
        <v>21000</v>
      </c>
      <c r="F4239" s="13" t="s">
        <v>70</v>
      </c>
      <c r="G4239" s="14">
        <v>44860</v>
      </c>
      <c r="H4239" s="13" t="s">
        <v>9</v>
      </c>
    </row>
    <row r="4240" spans="1:8" ht="14.4" x14ac:dyDescent="0.3">
      <c r="A4240" s="8">
        <v>82189079</v>
      </c>
      <c r="B4240" s="11">
        <v>44858</v>
      </c>
      <c r="C4240" s="13" t="s">
        <v>5643</v>
      </c>
      <c r="D4240" s="13" t="s">
        <v>5644</v>
      </c>
      <c r="E4240" s="8">
        <v>14500</v>
      </c>
      <c r="F4240" s="13" t="s">
        <v>70</v>
      </c>
      <c r="G4240" s="14">
        <v>44860</v>
      </c>
      <c r="H4240" s="13" t="s">
        <v>9</v>
      </c>
    </row>
    <row r="4241" spans="1:8" ht="14.4" x14ac:dyDescent="0.3">
      <c r="A4241" s="8">
        <v>82189080</v>
      </c>
      <c r="B4241" s="11">
        <v>44858</v>
      </c>
      <c r="C4241" s="13" t="s">
        <v>5645</v>
      </c>
      <c r="D4241" s="13" t="s">
        <v>5646</v>
      </c>
      <c r="E4241" s="8">
        <v>20000</v>
      </c>
      <c r="F4241" s="13" t="s">
        <v>70</v>
      </c>
      <c r="G4241" s="14">
        <v>44860</v>
      </c>
      <c r="H4241" s="13" t="s">
        <v>9</v>
      </c>
    </row>
    <row r="4242" spans="1:8" ht="14.4" x14ac:dyDescent="0.3">
      <c r="A4242" s="8">
        <v>82189082</v>
      </c>
      <c r="B4242" s="11">
        <v>44858</v>
      </c>
      <c r="C4242" s="13" t="s">
        <v>5647</v>
      </c>
      <c r="D4242" s="13" t="s">
        <v>5648</v>
      </c>
      <c r="E4242" s="8">
        <v>42766.87</v>
      </c>
      <c r="F4242" s="13" t="s">
        <v>70</v>
      </c>
      <c r="G4242" s="14">
        <v>44860</v>
      </c>
      <c r="H4242" s="13" t="s">
        <v>9</v>
      </c>
    </row>
    <row r="4243" spans="1:8" ht="14.4" x14ac:dyDescent="0.3">
      <c r="A4243" s="8">
        <v>82189084</v>
      </c>
      <c r="B4243" s="11">
        <v>44858</v>
      </c>
      <c r="C4243" s="13" t="s">
        <v>5649</v>
      </c>
      <c r="D4243" s="13" t="s">
        <v>5650</v>
      </c>
      <c r="E4243" s="8">
        <v>1132.82</v>
      </c>
      <c r="F4243" s="13" t="s">
        <v>70</v>
      </c>
      <c r="G4243" s="14">
        <v>44869</v>
      </c>
      <c r="H4243" s="13" t="s">
        <v>9</v>
      </c>
    </row>
    <row r="4244" spans="1:8" ht="14.4" x14ac:dyDescent="0.3">
      <c r="A4244" s="8">
        <v>82189085</v>
      </c>
      <c r="B4244" s="11">
        <v>44858</v>
      </c>
      <c r="C4244" s="13" t="s">
        <v>141</v>
      </c>
      <c r="D4244" s="13" t="s">
        <v>130</v>
      </c>
      <c r="E4244" s="8">
        <v>10000</v>
      </c>
      <c r="F4244" s="13" t="s">
        <v>70</v>
      </c>
      <c r="G4244" s="14">
        <v>44862</v>
      </c>
      <c r="H4244" s="13" t="s">
        <v>9</v>
      </c>
    </row>
    <row r="4245" spans="1:8" ht="14.4" x14ac:dyDescent="0.3">
      <c r="A4245" s="8">
        <v>82189086</v>
      </c>
      <c r="B4245" s="11">
        <v>44858</v>
      </c>
      <c r="C4245" s="13" t="s">
        <v>140</v>
      </c>
      <c r="D4245" s="13" t="s">
        <v>130</v>
      </c>
      <c r="E4245" s="8">
        <v>3000</v>
      </c>
      <c r="F4245" s="13" t="s">
        <v>70</v>
      </c>
      <c r="G4245" s="14">
        <v>44862</v>
      </c>
      <c r="H4245" s="13" t="s">
        <v>9</v>
      </c>
    </row>
    <row r="4246" spans="1:8" ht="14.4" x14ac:dyDescent="0.3">
      <c r="A4246" s="8">
        <v>82189087</v>
      </c>
      <c r="B4246" s="11">
        <v>44858</v>
      </c>
      <c r="C4246" s="13" t="s">
        <v>5651</v>
      </c>
      <c r="D4246" s="13" t="s">
        <v>130</v>
      </c>
      <c r="E4246" s="8">
        <v>3000</v>
      </c>
      <c r="F4246" s="13" t="s">
        <v>70</v>
      </c>
      <c r="G4246" s="14">
        <v>44862</v>
      </c>
      <c r="H4246" s="13" t="s">
        <v>9</v>
      </c>
    </row>
    <row r="4247" spans="1:8" ht="14.4" x14ac:dyDescent="0.3">
      <c r="A4247" s="8">
        <v>82189088</v>
      </c>
      <c r="B4247" s="11">
        <v>44858</v>
      </c>
      <c r="C4247" s="13" t="s">
        <v>5652</v>
      </c>
      <c r="D4247" s="13" t="s">
        <v>130</v>
      </c>
      <c r="E4247" s="8">
        <v>3000</v>
      </c>
      <c r="F4247" s="13" t="s">
        <v>70</v>
      </c>
      <c r="G4247" s="14">
        <v>44862</v>
      </c>
      <c r="H4247" s="13" t="s">
        <v>9</v>
      </c>
    </row>
    <row r="4248" spans="1:8" ht="14.4" x14ac:dyDescent="0.3">
      <c r="A4248" s="8">
        <v>82189089</v>
      </c>
      <c r="B4248" s="11">
        <v>44858</v>
      </c>
      <c r="C4248" s="13" t="s">
        <v>5653</v>
      </c>
      <c r="D4248" s="13" t="s">
        <v>5654</v>
      </c>
      <c r="E4248" s="8">
        <v>8190</v>
      </c>
      <c r="F4248" s="13" t="s">
        <v>70</v>
      </c>
      <c r="G4248" s="14">
        <v>44867</v>
      </c>
      <c r="H4248" s="13" t="s">
        <v>9</v>
      </c>
    </row>
    <row r="4249" spans="1:8" ht="14.4" x14ac:dyDescent="0.3">
      <c r="A4249" s="8">
        <v>82189090</v>
      </c>
      <c r="B4249" s="11">
        <v>44858</v>
      </c>
      <c r="C4249" s="13" t="s">
        <v>5655</v>
      </c>
      <c r="D4249" s="13" t="s">
        <v>5656</v>
      </c>
      <c r="E4249" s="8">
        <v>132405</v>
      </c>
      <c r="F4249" s="13" t="s">
        <v>70</v>
      </c>
      <c r="G4249" s="14">
        <v>44860</v>
      </c>
      <c r="H4249" s="13" t="s">
        <v>9</v>
      </c>
    </row>
    <row r="4250" spans="1:8" ht="14.4" x14ac:dyDescent="0.3">
      <c r="A4250" s="8">
        <v>82189091</v>
      </c>
      <c r="B4250" s="11">
        <v>44859</v>
      </c>
      <c r="C4250" s="13" t="s">
        <v>405</v>
      </c>
      <c r="D4250" s="13" t="s">
        <v>5657</v>
      </c>
      <c r="E4250" s="8">
        <v>52122.23</v>
      </c>
      <c r="F4250" s="13" t="s">
        <v>70</v>
      </c>
      <c r="G4250" s="14">
        <v>44868</v>
      </c>
      <c r="H4250" s="13" t="s">
        <v>9</v>
      </c>
    </row>
    <row r="4251" spans="1:8" ht="14.4" x14ac:dyDescent="0.3">
      <c r="A4251" s="8">
        <v>82189092</v>
      </c>
      <c r="B4251" s="11">
        <v>44859</v>
      </c>
      <c r="C4251" s="13" t="s">
        <v>405</v>
      </c>
      <c r="D4251" s="13" t="s">
        <v>5658</v>
      </c>
      <c r="E4251" s="8">
        <v>42733.93</v>
      </c>
      <c r="F4251" s="13" t="s">
        <v>70</v>
      </c>
      <c r="G4251" s="14">
        <v>44868</v>
      </c>
      <c r="H4251" s="13" t="s">
        <v>9</v>
      </c>
    </row>
    <row r="4252" spans="1:8" ht="14.4" x14ac:dyDescent="0.3">
      <c r="A4252" s="8">
        <v>82189093</v>
      </c>
      <c r="B4252" s="11">
        <v>44859</v>
      </c>
      <c r="C4252" s="13" t="s">
        <v>405</v>
      </c>
      <c r="D4252" s="13" t="s">
        <v>5659</v>
      </c>
      <c r="E4252" s="8">
        <v>29341.16</v>
      </c>
      <c r="F4252" s="13" t="s">
        <v>70</v>
      </c>
      <c r="G4252" s="14">
        <v>44868</v>
      </c>
      <c r="H4252" s="13" t="s">
        <v>9</v>
      </c>
    </row>
    <row r="4253" spans="1:8" ht="14.4" x14ac:dyDescent="0.3">
      <c r="A4253" s="8">
        <v>82189094</v>
      </c>
      <c r="B4253" s="11">
        <v>44859</v>
      </c>
      <c r="C4253" s="13" t="s">
        <v>405</v>
      </c>
      <c r="D4253" s="13" t="s">
        <v>5660</v>
      </c>
      <c r="E4253" s="8">
        <v>18987.37</v>
      </c>
      <c r="F4253" s="13" t="s">
        <v>70</v>
      </c>
      <c r="G4253" s="14">
        <v>44868</v>
      </c>
      <c r="H4253" s="13" t="s">
        <v>9</v>
      </c>
    </row>
    <row r="4254" spans="1:8" ht="14.4" x14ac:dyDescent="0.3">
      <c r="A4254" s="8">
        <v>82189095</v>
      </c>
      <c r="B4254" s="11">
        <v>44859</v>
      </c>
      <c r="C4254" s="13" t="s">
        <v>405</v>
      </c>
      <c r="D4254" s="13" t="s">
        <v>5661</v>
      </c>
      <c r="E4254" s="8">
        <v>48122.71</v>
      </c>
      <c r="F4254" s="13" t="s">
        <v>70</v>
      </c>
      <c r="G4254" s="14">
        <v>44868</v>
      </c>
      <c r="H4254" s="13" t="s">
        <v>9</v>
      </c>
    </row>
    <row r="4255" spans="1:8" ht="14.4" x14ac:dyDescent="0.3">
      <c r="A4255" s="8">
        <v>82189096</v>
      </c>
      <c r="B4255" s="11">
        <v>44859</v>
      </c>
      <c r="C4255" s="13" t="s">
        <v>405</v>
      </c>
      <c r="D4255" s="13" t="s">
        <v>5662</v>
      </c>
      <c r="E4255" s="8">
        <v>43212.63</v>
      </c>
      <c r="F4255" s="13" t="s">
        <v>70</v>
      </c>
      <c r="G4255" s="14">
        <v>44868</v>
      </c>
      <c r="H4255" s="13" t="s">
        <v>9</v>
      </c>
    </row>
    <row r="4256" spans="1:8" ht="14.4" x14ac:dyDescent="0.3">
      <c r="A4256" s="8">
        <v>82189097</v>
      </c>
      <c r="B4256" s="11">
        <v>44859</v>
      </c>
      <c r="C4256" s="13" t="s">
        <v>405</v>
      </c>
      <c r="D4256" s="13" t="s">
        <v>5663</v>
      </c>
      <c r="E4256" s="8">
        <v>14878.38</v>
      </c>
      <c r="F4256" s="13" t="s">
        <v>70</v>
      </c>
      <c r="G4256" s="14">
        <v>44868</v>
      </c>
      <c r="H4256" s="13" t="s">
        <v>9</v>
      </c>
    </row>
    <row r="4257" spans="1:8" ht="14.4" x14ac:dyDescent="0.3">
      <c r="A4257" s="8">
        <v>82189098</v>
      </c>
      <c r="B4257" s="11">
        <v>44859</v>
      </c>
      <c r="C4257" s="13" t="s">
        <v>405</v>
      </c>
      <c r="D4257" s="13" t="s">
        <v>5664</v>
      </c>
      <c r="E4257" s="8">
        <v>52758.22</v>
      </c>
      <c r="F4257" s="13" t="s">
        <v>70</v>
      </c>
      <c r="G4257" s="14">
        <v>44868</v>
      </c>
      <c r="H4257" s="13" t="s">
        <v>9</v>
      </c>
    </row>
    <row r="4258" spans="1:8" ht="14.4" x14ac:dyDescent="0.3">
      <c r="A4258" s="8">
        <v>82189099</v>
      </c>
      <c r="B4258" s="11">
        <v>44859</v>
      </c>
      <c r="C4258" s="13" t="s">
        <v>405</v>
      </c>
      <c r="D4258" s="13" t="s">
        <v>5665</v>
      </c>
      <c r="E4258" s="8">
        <v>28863</v>
      </c>
      <c r="F4258" s="13" t="s">
        <v>70</v>
      </c>
      <c r="G4258" s="14">
        <v>44868</v>
      </c>
      <c r="H4258" s="13" t="s">
        <v>9</v>
      </c>
    </row>
    <row r="4259" spans="1:8" ht="14.4" x14ac:dyDescent="0.3">
      <c r="A4259" s="8">
        <v>82189100</v>
      </c>
      <c r="B4259" s="11">
        <v>44859</v>
      </c>
      <c r="C4259" s="13" t="s">
        <v>405</v>
      </c>
      <c r="D4259" s="13" t="s">
        <v>5666</v>
      </c>
      <c r="E4259" s="8">
        <v>27687.26</v>
      </c>
      <c r="F4259" s="13" t="s">
        <v>70</v>
      </c>
      <c r="G4259" s="14">
        <v>44868</v>
      </c>
      <c r="H4259" s="13" t="s">
        <v>9</v>
      </c>
    </row>
    <row r="4260" spans="1:8" ht="14.4" x14ac:dyDescent="0.3">
      <c r="A4260" s="8">
        <v>82189101</v>
      </c>
      <c r="B4260" s="11">
        <v>44859</v>
      </c>
      <c r="C4260" s="13" t="s">
        <v>405</v>
      </c>
      <c r="D4260" s="13" t="s">
        <v>5667</v>
      </c>
      <c r="E4260" s="8">
        <v>52121.26</v>
      </c>
      <c r="F4260" s="13" t="s">
        <v>70</v>
      </c>
      <c r="G4260" s="14">
        <v>44868</v>
      </c>
      <c r="H4260" s="13" t="s">
        <v>9</v>
      </c>
    </row>
    <row r="4261" spans="1:8" ht="14.4" x14ac:dyDescent="0.3">
      <c r="A4261" s="8">
        <v>82189102</v>
      </c>
      <c r="B4261" s="11">
        <v>44859</v>
      </c>
      <c r="C4261" s="13" t="s">
        <v>405</v>
      </c>
      <c r="D4261" s="13" t="s">
        <v>5668</v>
      </c>
      <c r="E4261" s="8">
        <v>28609.57</v>
      </c>
      <c r="F4261" s="13" t="s">
        <v>70</v>
      </c>
      <c r="G4261" s="14">
        <v>44868</v>
      </c>
      <c r="H4261" s="13" t="s">
        <v>9</v>
      </c>
    </row>
    <row r="4262" spans="1:8" ht="14.4" x14ac:dyDescent="0.3">
      <c r="A4262" s="8">
        <v>82189103</v>
      </c>
      <c r="B4262" s="11">
        <v>44859</v>
      </c>
      <c r="C4262" s="13" t="s">
        <v>405</v>
      </c>
      <c r="D4262" s="13" t="s">
        <v>5669</v>
      </c>
      <c r="E4262" s="8">
        <v>14806.18</v>
      </c>
      <c r="F4262" s="13" t="s">
        <v>70</v>
      </c>
      <c r="G4262" s="14">
        <v>44868</v>
      </c>
      <c r="H4262" s="13" t="s">
        <v>9</v>
      </c>
    </row>
    <row r="4263" spans="1:8" ht="14.4" x14ac:dyDescent="0.3">
      <c r="A4263" s="8">
        <v>82189104</v>
      </c>
      <c r="B4263" s="11">
        <v>44859</v>
      </c>
      <c r="C4263" s="13" t="s">
        <v>405</v>
      </c>
      <c r="D4263" s="13" t="s">
        <v>5670</v>
      </c>
      <c r="E4263" s="8">
        <v>32679.759999999998</v>
      </c>
      <c r="F4263" s="13" t="s">
        <v>70</v>
      </c>
      <c r="G4263" s="14">
        <v>44868</v>
      </c>
      <c r="H4263" s="13" t="s">
        <v>9</v>
      </c>
    </row>
    <row r="4264" spans="1:8" ht="14.4" x14ac:dyDescent="0.3">
      <c r="A4264" s="8">
        <v>82189105</v>
      </c>
      <c r="B4264" s="11">
        <v>44859</v>
      </c>
      <c r="C4264" s="13" t="s">
        <v>405</v>
      </c>
      <c r="D4264" s="13" t="s">
        <v>5671</v>
      </c>
      <c r="E4264" s="8">
        <v>17967.13</v>
      </c>
      <c r="F4264" s="13" t="s">
        <v>70</v>
      </c>
      <c r="G4264" s="14">
        <v>44868</v>
      </c>
      <c r="H4264" s="13" t="s">
        <v>9</v>
      </c>
    </row>
    <row r="4265" spans="1:8" ht="14.4" x14ac:dyDescent="0.3">
      <c r="A4265" s="8">
        <v>82189106</v>
      </c>
      <c r="B4265" s="11">
        <v>44859</v>
      </c>
      <c r="C4265" s="13" t="s">
        <v>405</v>
      </c>
      <c r="D4265" s="13" t="s">
        <v>5672</v>
      </c>
      <c r="E4265" s="8">
        <v>12568.11</v>
      </c>
      <c r="F4265" s="13" t="s">
        <v>70</v>
      </c>
      <c r="G4265" s="14">
        <v>44868</v>
      </c>
      <c r="H4265" s="13" t="s">
        <v>9</v>
      </c>
    </row>
    <row r="4266" spans="1:8" ht="14.4" x14ac:dyDescent="0.3">
      <c r="A4266" s="8">
        <v>82189107</v>
      </c>
      <c r="B4266" s="11">
        <v>44859</v>
      </c>
      <c r="C4266" s="13" t="s">
        <v>138</v>
      </c>
      <c r="D4266" s="13" t="s">
        <v>130</v>
      </c>
      <c r="E4266" s="8">
        <v>3000</v>
      </c>
      <c r="F4266" s="13" t="s">
        <v>70</v>
      </c>
      <c r="G4266" s="14">
        <v>44862</v>
      </c>
      <c r="H4266" s="13" t="s">
        <v>9</v>
      </c>
    </row>
    <row r="4267" spans="1:8" ht="14.4" x14ac:dyDescent="0.3">
      <c r="A4267" s="8">
        <v>82189108</v>
      </c>
      <c r="B4267" s="11">
        <v>44859</v>
      </c>
      <c r="C4267" s="13" t="s">
        <v>137</v>
      </c>
      <c r="D4267" s="13" t="s">
        <v>130</v>
      </c>
      <c r="E4267" s="8">
        <v>3000</v>
      </c>
      <c r="F4267" s="13" t="s">
        <v>70</v>
      </c>
      <c r="G4267" s="14">
        <v>44862</v>
      </c>
      <c r="H4267" s="13" t="s">
        <v>9</v>
      </c>
    </row>
    <row r="4268" spans="1:8" ht="14.4" x14ac:dyDescent="0.3">
      <c r="A4268" s="8">
        <v>82189109</v>
      </c>
      <c r="B4268" s="11">
        <v>44859</v>
      </c>
      <c r="C4268" s="13" t="s">
        <v>5673</v>
      </c>
      <c r="D4268" s="13" t="s">
        <v>130</v>
      </c>
      <c r="E4268" s="8">
        <v>3000</v>
      </c>
      <c r="F4268" s="13" t="s">
        <v>70</v>
      </c>
      <c r="G4268" s="14">
        <v>44862</v>
      </c>
      <c r="H4268" s="13" t="s">
        <v>9</v>
      </c>
    </row>
    <row r="4269" spans="1:8" ht="14.4" x14ac:dyDescent="0.3">
      <c r="A4269" s="8">
        <v>82189110</v>
      </c>
      <c r="B4269" s="11">
        <v>44859</v>
      </c>
      <c r="C4269" s="13" t="s">
        <v>135</v>
      </c>
      <c r="D4269" s="13" t="s">
        <v>130</v>
      </c>
      <c r="E4269" s="8">
        <v>3000</v>
      </c>
      <c r="F4269" s="13" t="s">
        <v>70</v>
      </c>
      <c r="G4269" s="14">
        <v>44862</v>
      </c>
      <c r="H4269" s="13" t="s">
        <v>9</v>
      </c>
    </row>
    <row r="4270" spans="1:8" ht="14.4" x14ac:dyDescent="0.3">
      <c r="A4270" s="8">
        <v>82189111</v>
      </c>
      <c r="B4270" s="11">
        <v>44859</v>
      </c>
      <c r="C4270" s="13" t="s">
        <v>134</v>
      </c>
      <c r="D4270" s="13" t="s">
        <v>130</v>
      </c>
      <c r="E4270" s="8">
        <v>3000</v>
      </c>
      <c r="F4270" s="13" t="s">
        <v>70</v>
      </c>
      <c r="G4270" s="14">
        <v>44862</v>
      </c>
      <c r="H4270" s="13" t="s">
        <v>9</v>
      </c>
    </row>
    <row r="4271" spans="1:8" ht="14.4" x14ac:dyDescent="0.3">
      <c r="A4271" s="8">
        <v>82189112</v>
      </c>
      <c r="B4271" s="11">
        <v>44859</v>
      </c>
      <c r="C4271" s="13" t="s">
        <v>132</v>
      </c>
      <c r="D4271" s="13" t="s">
        <v>130</v>
      </c>
      <c r="E4271" s="8">
        <v>3000</v>
      </c>
      <c r="F4271" s="13" t="s">
        <v>70</v>
      </c>
      <c r="G4271" s="14">
        <v>44862</v>
      </c>
      <c r="H4271" s="13" t="s">
        <v>9</v>
      </c>
    </row>
    <row r="4272" spans="1:8" ht="14.4" x14ac:dyDescent="0.3">
      <c r="A4272" s="8">
        <v>82189113</v>
      </c>
      <c r="B4272" s="11">
        <v>44859</v>
      </c>
      <c r="C4272" s="13" t="s">
        <v>131</v>
      </c>
      <c r="D4272" s="13" t="s">
        <v>130</v>
      </c>
      <c r="E4272" s="8">
        <v>3000</v>
      </c>
      <c r="F4272" s="13" t="s">
        <v>70</v>
      </c>
      <c r="G4272" s="14">
        <v>44862</v>
      </c>
      <c r="H4272" s="13" t="s">
        <v>9</v>
      </c>
    </row>
    <row r="4273" spans="1:8" ht="14.4" x14ac:dyDescent="0.3">
      <c r="A4273" s="8">
        <v>82189114</v>
      </c>
      <c r="B4273" s="11">
        <v>44859</v>
      </c>
      <c r="C4273" s="13" t="s">
        <v>4684</v>
      </c>
      <c r="D4273" s="13" t="s">
        <v>130</v>
      </c>
      <c r="E4273" s="8">
        <v>3000</v>
      </c>
      <c r="F4273" s="13" t="s">
        <v>70</v>
      </c>
      <c r="G4273" s="14">
        <v>44862</v>
      </c>
      <c r="H4273" s="13" t="s">
        <v>9</v>
      </c>
    </row>
    <row r="4274" spans="1:8" ht="14.4" x14ac:dyDescent="0.3">
      <c r="A4274" s="8">
        <v>82189115</v>
      </c>
      <c r="B4274" s="11">
        <v>44859</v>
      </c>
      <c r="C4274" s="13" t="s">
        <v>133</v>
      </c>
      <c r="D4274" s="13" t="s">
        <v>130</v>
      </c>
      <c r="E4274" s="8">
        <v>3000</v>
      </c>
      <c r="F4274" s="13" t="s">
        <v>70</v>
      </c>
      <c r="G4274" s="14">
        <v>44862</v>
      </c>
      <c r="H4274" s="13" t="s">
        <v>9</v>
      </c>
    </row>
    <row r="4275" spans="1:8" ht="14.4" x14ac:dyDescent="0.3">
      <c r="A4275" s="8">
        <v>82189116</v>
      </c>
      <c r="B4275" s="11">
        <v>44859</v>
      </c>
      <c r="C4275" s="13" t="s">
        <v>1344</v>
      </c>
      <c r="D4275" s="13" t="s">
        <v>5674</v>
      </c>
      <c r="E4275" s="8">
        <v>15680</v>
      </c>
      <c r="F4275" s="13" t="s">
        <v>70</v>
      </c>
      <c r="G4275" s="14">
        <v>44872</v>
      </c>
      <c r="H4275" s="13" t="s">
        <v>9</v>
      </c>
    </row>
    <row r="4276" spans="1:8" ht="14.4" x14ac:dyDescent="0.3">
      <c r="A4276" s="8">
        <v>82189118</v>
      </c>
      <c r="B4276" s="11">
        <v>44859</v>
      </c>
      <c r="C4276" s="13" t="s">
        <v>5675</v>
      </c>
      <c r="D4276" s="13" t="s">
        <v>5676</v>
      </c>
      <c r="E4276" s="8">
        <v>5084.96</v>
      </c>
      <c r="F4276" s="13" t="s">
        <v>70</v>
      </c>
      <c r="G4276" s="14">
        <v>44862</v>
      </c>
      <c r="H4276" s="13" t="s">
        <v>9</v>
      </c>
    </row>
    <row r="4277" spans="1:8" ht="14.4" x14ac:dyDescent="0.3">
      <c r="A4277" s="8">
        <v>82189119</v>
      </c>
      <c r="B4277" s="11">
        <v>44859</v>
      </c>
      <c r="C4277" s="13" t="s">
        <v>5677</v>
      </c>
      <c r="D4277" s="13" t="s">
        <v>5678</v>
      </c>
      <c r="E4277" s="8">
        <v>9900</v>
      </c>
      <c r="F4277" s="13" t="s">
        <v>70</v>
      </c>
      <c r="G4277" s="14">
        <v>44874</v>
      </c>
      <c r="H4277" s="13" t="s">
        <v>9</v>
      </c>
    </row>
    <row r="4278" spans="1:8" ht="14.4" x14ac:dyDescent="0.3">
      <c r="A4278" s="8">
        <v>82189120</v>
      </c>
      <c r="B4278" s="11">
        <v>44859</v>
      </c>
      <c r="C4278" s="13" t="s">
        <v>71</v>
      </c>
      <c r="D4278" s="13" t="s">
        <v>5679</v>
      </c>
      <c r="E4278" s="8">
        <v>1613796.48</v>
      </c>
      <c r="F4278" s="13" t="s">
        <v>70</v>
      </c>
      <c r="G4278" s="14">
        <v>44874</v>
      </c>
      <c r="H4278" s="13" t="s">
        <v>9</v>
      </c>
    </row>
    <row r="4279" spans="1:8" ht="14.4" x14ac:dyDescent="0.3">
      <c r="A4279" s="8">
        <v>82189121</v>
      </c>
      <c r="B4279" s="11">
        <v>44859</v>
      </c>
      <c r="C4279" s="13" t="s">
        <v>71</v>
      </c>
      <c r="D4279" s="13" t="s">
        <v>5680</v>
      </c>
      <c r="E4279" s="8">
        <v>52607.97</v>
      </c>
      <c r="F4279" s="13" t="s">
        <v>70</v>
      </c>
      <c r="G4279" s="14">
        <v>44874</v>
      </c>
      <c r="H4279" s="13" t="s">
        <v>9</v>
      </c>
    </row>
    <row r="4280" spans="1:8" ht="14.4" x14ac:dyDescent="0.3">
      <c r="A4280" s="8">
        <v>82189123</v>
      </c>
      <c r="B4280" s="11">
        <v>44859</v>
      </c>
      <c r="C4280" s="13" t="s">
        <v>71</v>
      </c>
      <c r="D4280" s="13" t="s">
        <v>5681</v>
      </c>
      <c r="E4280" s="8">
        <v>98954.89</v>
      </c>
      <c r="F4280" s="13" t="s">
        <v>70</v>
      </c>
      <c r="G4280" s="14">
        <v>44874</v>
      </c>
      <c r="H4280" s="13" t="s">
        <v>9</v>
      </c>
    </row>
    <row r="4281" spans="1:8" ht="14.4" x14ac:dyDescent="0.3">
      <c r="A4281" s="8">
        <v>82189124</v>
      </c>
      <c r="B4281" s="11">
        <v>44859</v>
      </c>
      <c r="C4281" s="13" t="s">
        <v>5682</v>
      </c>
      <c r="D4281" s="13" t="s">
        <v>5683</v>
      </c>
      <c r="E4281" s="8">
        <v>7220</v>
      </c>
      <c r="F4281" s="13" t="s">
        <v>70</v>
      </c>
      <c r="G4281" s="14">
        <v>44860</v>
      </c>
      <c r="H4281" s="13" t="s">
        <v>9</v>
      </c>
    </row>
    <row r="4282" spans="1:8" ht="14.4" x14ac:dyDescent="0.3">
      <c r="A4282" s="8">
        <v>82189126</v>
      </c>
      <c r="B4282" s="11">
        <v>44859</v>
      </c>
      <c r="C4282" s="13" t="s">
        <v>1322</v>
      </c>
      <c r="D4282" s="13" t="s">
        <v>5684</v>
      </c>
      <c r="E4282" s="8">
        <v>333.68</v>
      </c>
      <c r="F4282" s="13" t="s">
        <v>70</v>
      </c>
      <c r="G4282" s="14">
        <v>44876</v>
      </c>
      <c r="H4282" s="13" t="s">
        <v>9</v>
      </c>
    </row>
    <row r="4283" spans="1:8" ht="14.4" x14ac:dyDescent="0.3">
      <c r="A4283" s="8">
        <v>82189128</v>
      </c>
      <c r="B4283" s="11">
        <v>44859</v>
      </c>
      <c r="C4283" s="13" t="s">
        <v>1380</v>
      </c>
      <c r="D4283" s="13" t="s">
        <v>5685</v>
      </c>
      <c r="E4283" s="8">
        <v>46875</v>
      </c>
      <c r="F4283" s="13" t="s">
        <v>70</v>
      </c>
      <c r="G4283" s="14">
        <v>44872</v>
      </c>
      <c r="H4283" s="13" t="s">
        <v>9</v>
      </c>
    </row>
    <row r="4284" spans="1:8" ht="14.4" x14ac:dyDescent="0.3">
      <c r="A4284" s="8">
        <v>82189129</v>
      </c>
      <c r="B4284" s="11">
        <v>44859</v>
      </c>
      <c r="C4284" s="13" t="s">
        <v>162</v>
      </c>
      <c r="D4284" s="13" t="s">
        <v>5686</v>
      </c>
      <c r="E4284" s="8">
        <v>13257.3</v>
      </c>
      <c r="F4284" s="13" t="s">
        <v>70</v>
      </c>
      <c r="G4284" s="14">
        <v>44872</v>
      </c>
      <c r="H4284" s="13" t="s">
        <v>9</v>
      </c>
    </row>
    <row r="4285" spans="1:8" ht="14.4" x14ac:dyDescent="0.3">
      <c r="A4285" s="8">
        <v>82189130</v>
      </c>
      <c r="B4285" s="11">
        <v>44859</v>
      </c>
      <c r="C4285" s="13" t="s">
        <v>42</v>
      </c>
      <c r="D4285" s="13" t="s">
        <v>5687</v>
      </c>
      <c r="E4285" s="8">
        <v>154375.84</v>
      </c>
      <c r="F4285" s="13" t="s">
        <v>70</v>
      </c>
      <c r="G4285" s="14">
        <v>44860</v>
      </c>
      <c r="H4285" s="13" t="s">
        <v>9</v>
      </c>
    </row>
    <row r="4286" spans="1:8" ht="14.4" x14ac:dyDescent="0.3">
      <c r="A4286" s="8">
        <v>82189132</v>
      </c>
      <c r="B4286" s="11">
        <v>44859</v>
      </c>
      <c r="C4286" s="13" t="s">
        <v>5688</v>
      </c>
      <c r="D4286" s="13" t="s">
        <v>5689</v>
      </c>
      <c r="E4286" s="8">
        <v>40000</v>
      </c>
      <c r="F4286" s="13" t="s">
        <v>70</v>
      </c>
      <c r="G4286" s="14">
        <v>44861</v>
      </c>
      <c r="H4286" s="13" t="s">
        <v>9</v>
      </c>
    </row>
    <row r="4287" spans="1:8" ht="14.4" x14ac:dyDescent="0.3">
      <c r="A4287" s="8">
        <v>82189133</v>
      </c>
      <c r="B4287" s="11">
        <v>44859</v>
      </c>
      <c r="C4287" s="13" t="s">
        <v>5690</v>
      </c>
      <c r="D4287" s="13" t="s">
        <v>5691</v>
      </c>
      <c r="E4287" s="8">
        <v>29000</v>
      </c>
      <c r="F4287" s="13" t="s">
        <v>70</v>
      </c>
      <c r="G4287" s="14">
        <v>44861</v>
      </c>
      <c r="H4287" s="13" t="s">
        <v>9</v>
      </c>
    </row>
    <row r="4288" spans="1:8" ht="14.4" x14ac:dyDescent="0.3">
      <c r="A4288" s="8">
        <v>82189134</v>
      </c>
      <c r="B4288" s="11">
        <v>44859</v>
      </c>
      <c r="C4288" s="13" t="s">
        <v>5692</v>
      </c>
      <c r="D4288" s="13" t="s">
        <v>5693</v>
      </c>
      <c r="E4288" s="8">
        <v>28900</v>
      </c>
      <c r="F4288" s="13" t="s">
        <v>70</v>
      </c>
      <c r="G4288" s="14">
        <v>44861</v>
      </c>
      <c r="H4288" s="13" t="s">
        <v>9</v>
      </c>
    </row>
    <row r="4289" spans="1:8" ht="14.4" x14ac:dyDescent="0.3">
      <c r="A4289" s="8">
        <v>82189135</v>
      </c>
      <c r="B4289" s="11">
        <v>44859</v>
      </c>
      <c r="C4289" s="13" t="s">
        <v>5694</v>
      </c>
      <c r="D4289" s="13" t="s">
        <v>5695</v>
      </c>
      <c r="E4289" s="8">
        <v>7000</v>
      </c>
      <c r="F4289" s="13" t="s">
        <v>70</v>
      </c>
      <c r="G4289" s="14">
        <v>44861</v>
      </c>
      <c r="H4289" s="13" t="s">
        <v>9</v>
      </c>
    </row>
    <row r="4290" spans="1:8" ht="14.4" x14ac:dyDescent="0.3">
      <c r="A4290" s="8">
        <v>82189136</v>
      </c>
      <c r="B4290" s="11">
        <v>44859</v>
      </c>
      <c r="C4290" s="13" t="s">
        <v>5696</v>
      </c>
      <c r="D4290" s="13" t="s">
        <v>5074</v>
      </c>
      <c r="E4290" s="8">
        <v>25000</v>
      </c>
      <c r="F4290" s="13" t="s">
        <v>70</v>
      </c>
      <c r="G4290" s="14">
        <v>44860</v>
      </c>
      <c r="H4290" s="13" t="s">
        <v>9</v>
      </c>
    </row>
    <row r="4291" spans="1:8" ht="14.4" x14ac:dyDescent="0.3">
      <c r="A4291" s="8">
        <v>82189137</v>
      </c>
      <c r="B4291" s="11">
        <v>44859</v>
      </c>
      <c r="C4291" s="13" t="s">
        <v>5697</v>
      </c>
      <c r="D4291" s="13" t="s">
        <v>5698</v>
      </c>
      <c r="E4291" s="8">
        <v>7000</v>
      </c>
      <c r="F4291" s="13" t="s">
        <v>70</v>
      </c>
      <c r="G4291" s="14">
        <v>44861</v>
      </c>
      <c r="H4291" s="13" t="s">
        <v>9</v>
      </c>
    </row>
    <row r="4292" spans="1:8" ht="14.4" x14ac:dyDescent="0.3">
      <c r="A4292" s="8">
        <v>82189138</v>
      </c>
      <c r="B4292" s="11">
        <v>44859</v>
      </c>
      <c r="C4292" s="13" t="s">
        <v>5699</v>
      </c>
      <c r="D4292" s="13" t="s">
        <v>5700</v>
      </c>
      <c r="E4292" s="8">
        <v>8000</v>
      </c>
      <c r="F4292" s="13" t="s">
        <v>70</v>
      </c>
      <c r="G4292" s="14">
        <v>44861</v>
      </c>
      <c r="H4292" s="13" t="s">
        <v>9</v>
      </c>
    </row>
    <row r="4293" spans="1:8" ht="14.4" x14ac:dyDescent="0.3">
      <c r="A4293" s="8">
        <v>82189139</v>
      </c>
      <c r="B4293" s="11">
        <v>44859</v>
      </c>
      <c r="C4293" s="13" t="s">
        <v>5701</v>
      </c>
      <c r="D4293" s="13" t="s">
        <v>5702</v>
      </c>
      <c r="E4293" s="8">
        <v>15000</v>
      </c>
      <c r="F4293" s="13" t="s">
        <v>70</v>
      </c>
      <c r="G4293" s="14">
        <v>44861</v>
      </c>
      <c r="H4293" s="13" t="s">
        <v>9</v>
      </c>
    </row>
    <row r="4294" spans="1:8" ht="14.4" x14ac:dyDescent="0.3">
      <c r="A4294" s="8">
        <v>82189140</v>
      </c>
      <c r="B4294" s="11">
        <v>44859</v>
      </c>
      <c r="C4294" s="13" t="s">
        <v>5703</v>
      </c>
      <c r="D4294" s="13" t="s">
        <v>5704</v>
      </c>
      <c r="E4294" s="8">
        <v>8000</v>
      </c>
      <c r="F4294" s="13" t="s">
        <v>70</v>
      </c>
      <c r="G4294" s="14">
        <v>44869</v>
      </c>
      <c r="H4294" s="13" t="s">
        <v>9</v>
      </c>
    </row>
    <row r="4295" spans="1:8" ht="14.4" x14ac:dyDescent="0.3">
      <c r="A4295" s="8">
        <v>82189141</v>
      </c>
      <c r="B4295" s="11">
        <v>44859</v>
      </c>
      <c r="C4295" s="13" t="s">
        <v>5705</v>
      </c>
      <c r="D4295" s="13" t="s">
        <v>5706</v>
      </c>
      <c r="E4295" s="8">
        <v>7000</v>
      </c>
      <c r="F4295" s="13" t="s">
        <v>70</v>
      </c>
      <c r="G4295" s="14">
        <v>44861</v>
      </c>
      <c r="H4295" s="13" t="s">
        <v>9</v>
      </c>
    </row>
    <row r="4296" spans="1:8" ht="14.4" x14ac:dyDescent="0.3">
      <c r="A4296" s="8">
        <v>82189142</v>
      </c>
      <c r="B4296" s="11">
        <v>44859</v>
      </c>
      <c r="C4296" s="13" t="s">
        <v>5707</v>
      </c>
      <c r="D4296" s="13" t="s">
        <v>5708</v>
      </c>
      <c r="E4296" s="8">
        <v>8000</v>
      </c>
      <c r="F4296" s="13" t="s">
        <v>70</v>
      </c>
      <c r="G4296" s="14">
        <v>44861</v>
      </c>
      <c r="H4296" s="13" t="s">
        <v>9</v>
      </c>
    </row>
    <row r="4297" spans="1:8" ht="14.4" x14ac:dyDescent="0.3">
      <c r="A4297" s="8">
        <v>82189143</v>
      </c>
      <c r="B4297" s="11">
        <v>44859</v>
      </c>
      <c r="C4297" s="13" t="s">
        <v>5709</v>
      </c>
      <c r="D4297" s="13" t="s">
        <v>5710</v>
      </c>
      <c r="E4297" s="8">
        <v>20000</v>
      </c>
      <c r="F4297" s="13" t="s">
        <v>70</v>
      </c>
      <c r="G4297" s="14">
        <v>44861</v>
      </c>
      <c r="H4297" s="13" t="s">
        <v>9</v>
      </c>
    </row>
    <row r="4298" spans="1:8" ht="14.4" x14ac:dyDescent="0.3">
      <c r="A4298" s="8">
        <v>82189144</v>
      </c>
      <c r="B4298" s="11">
        <v>44859</v>
      </c>
      <c r="C4298" s="13" t="s">
        <v>5711</v>
      </c>
      <c r="D4298" s="13" t="s">
        <v>5712</v>
      </c>
      <c r="E4298" s="8">
        <v>10000</v>
      </c>
      <c r="F4298" s="13" t="s">
        <v>70</v>
      </c>
      <c r="G4298" s="14">
        <v>44868</v>
      </c>
      <c r="H4298" s="13" t="s">
        <v>9</v>
      </c>
    </row>
    <row r="4299" spans="1:8" ht="14.4" x14ac:dyDescent="0.3">
      <c r="A4299" s="8">
        <v>82189145</v>
      </c>
      <c r="B4299" s="11">
        <v>44859</v>
      </c>
      <c r="C4299" s="13" t="s">
        <v>5713</v>
      </c>
      <c r="D4299" s="13" t="s">
        <v>5714</v>
      </c>
      <c r="E4299" s="8">
        <v>11000</v>
      </c>
      <c r="F4299" s="13" t="s">
        <v>70</v>
      </c>
      <c r="G4299" s="14">
        <v>44861</v>
      </c>
      <c r="H4299" s="13" t="s">
        <v>9</v>
      </c>
    </row>
    <row r="4300" spans="1:8" ht="14.4" x14ac:dyDescent="0.3">
      <c r="A4300" s="8">
        <v>82189146</v>
      </c>
      <c r="B4300" s="11">
        <v>44859</v>
      </c>
      <c r="C4300" s="13" t="s">
        <v>5715</v>
      </c>
      <c r="D4300" s="13" t="s">
        <v>150</v>
      </c>
      <c r="E4300" s="8">
        <v>40000</v>
      </c>
      <c r="F4300" s="13" t="s">
        <v>70</v>
      </c>
      <c r="G4300" s="14">
        <v>44861</v>
      </c>
      <c r="H4300" s="13" t="s">
        <v>9</v>
      </c>
    </row>
    <row r="4301" spans="1:8" ht="14.4" x14ac:dyDescent="0.3">
      <c r="A4301" s="8">
        <v>82189147</v>
      </c>
      <c r="B4301" s="11">
        <v>44859</v>
      </c>
      <c r="C4301" s="13" t="s">
        <v>5716</v>
      </c>
      <c r="D4301" s="13" t="s">
        <v>5717</v>
      </c>
      <c r="E4301" s="8">
        <v>10000</v>
      </c>
      <c r="F4301" s="13" t="s">
        <v>70</v>
      </c>
      <c r="G4301" s="14">
        <v>44861</v>
      </c>
      <c r="H4301" s="13" t="s">
        <v>9</v>
      </c>
    </row>
    <row r="4302" spans="1:8" ht="14.4" x14ac:dyDescent="0.3">
      <c r="A4302" s="8">
        <v>82189148</v>
      </c>
      <c r="B4302" s="11">
        <v>44859</v>
      </c>
      <c r="C4302" s="13" t="s">
        <v>5718</v>
      </c>
      <c r="D4302" s="13" t="s">
        <v>5719</v>
      </c>
      <c r="E4302" s="8">
        <v>5000</v>
      </c>
      <c r="F4302" s="13" t="s">
        <v>70</v>
      </c>
      <c r="G4302" s="14">
        <v>44860</v>
      </c>
      <c r="H4302" s="13" t="s">
        <v>9</v>
      </c>
    </row>
    <row r="4303" spans="1:8" ht="14.4" x14ac:dyDescent="0.3">
      <c r="A4303" s="8">
        <v>82189149</v>
      </c>
      <c r="B4303" s="11">
        <v>44859</v>
      </c>
      <c r="C4303" s="13" t="s">
        <v>5720</v>
      </c>
      <c r="D4303" s="13" t="s">
        <v>5721</v>
      </c>
      <c r="E4303" s="8">
        <v>6000</v>
      </c>
      <c r="F4303" s="13" t="s">
        <v>70</v>
      </c>
      <c r="G4303" s="14">
        <v>44869</v>
      </c>
      <c r="H4303" s="13" t="s">
        <v>9</v>
      </c>
    </row>
    <row r="4304" spans="1:8" ht="14.4" x14ac:dyDescent="0.3">
      <c r="A4304" s="8">
        <v>82189150</v>
      </c>
      <c r="B4304" s="11">
        <v>44859</v>
      </c>
      <c r="C4304" s="13" t="s">
        <v>361</v>
      </c>
      <c r="D4304" s="13" t="s">
        <v>5722</v>
      </c>
      <c r="E4304" s="8">
        <v>20540</v>
      </c>
      <c r="F4304" s="13" t="s">
        <v>70</v>
      </c>
      <c r="G4304" s="14">
        <v>44867</v>
      </c>
      <c r="H4304" s="13" t="s">
        <v>9</v>
      </c>
    </row>
    <row r="4305" spans="1:8" ht="14.4" x14ac:dyDescent="0.3">
      <c r="A4305" s="8">
        <v>82189151</v>
      </c>
      <c r="B4305" s="11">
        <v>44859</v>
      </c>
      <c r="C4305" s="13" t="s">
        <v>5723</v>
      </c>
      <c r="D4305" s="13" t="s">
        <v>5724</v>
      </c>
      <c r="E4305" s="8">
        <v>10000</v>
      </c>
      <c r="F4305" s="13" t="s">
        <v>70</v>
      </c>
      <c r="G4305" s="14">
        <v>44861</v>
      </c>
      <c r="H4305" s="13" t="s">
        <v>9</v>
      </c>
    </row>
    <row r="4306" spans="1:8" ht="14.4" x14ac:dyDescent="0.3">
      <c r="A4306" s="8">
        <v>82189152</v>
      </c>
      <c r="B4306" s="11">
        <v>44860</v>
      </c>
      <c r="C4306" s="13" t="s">
        <v>695</v>
      </c>
      <c r="D4306" s="13" t="s">
        <v>5725</v>
      </c>
      <c r="E4306" s="8">
        <v>3660.75</v>
      </c>
      <c r="F4306" s="13" t="s">
        <v>70</v>
      </c>
      <c r="G4306" s="14">
        <v>44860</v>
      </c>
      <c r="H4306" s="13" t="s">
        <v>9</v>
      </c>
    </row>
    <row r="4307" spans="1:8" ht="14.4" x14ac:dyDescent="0.3">
      <c r="A4307" s="8">
        <v>82189153</v>
      </c>
      <c r="B4307" s="11">
        <v>44860</v>
      </c>
      <c r="C4307" s="13" t="s">
        <v>1932</v>
      </c>
      <c r="D4307" s="13" t="s">
        <v>5726</v>
      </c>
      <c r="E4307" s="8">
        <v>259079.54</v>
      </c>
      <c r="F4307" s="13" t="s">
        <v>70</v>
      </c>
      <c r="G4307" s="14">
        <v>44860</v>
      </c>
      <c r="H4307" s="13" t="s">
        <v>9</v>
      </c>
    </row>
    <row r="4308" spans="1:8" ht="14.4" x14ac:dyDescent="0.3">
      <c r="A4308" s="8">
        <v>82189154</v>
      </c>
      <c r="B4308" s="11">
        <v>44860</v>
      </c>
      <c r="C4308" s="13" t="s">
        <v>32</v>
      </c>
      <c r="D4308" s="13" t="s">
        <v>5727</v>
      </c>
      <c r="E4308" s="8">
        <v>35000</v>
      </c>
      <c r="F4308" s="13" t="s">
        <v>70</v>
      </c>
      <c r="G4308" s="14">
        <v>44860</v>
      </c>
      <c r="H4308" s="13" t="s">
        <v>9</v>
      </c>
    </row>
    <row r="4309" spans="1:8" ht="14.4" x14ac:dyDescent="0.3">
      <c r="A4309" s="8">
        <v>82189156</v>
      </c>
      <c r="B4309" s="11">
        <v>44862</v>
      </c>
      <c r="C4309" s="13" t="s">
        <v>4955</v>
      </c>
      <c r="D4309" s="13" t="s">
        <v>5728</v>
      </c>
      <c r="E4309" s="8">
        <v>5358.16</v>
      </c>
      <c r="F4309" s="13" t="s">
        <v>70</v>
      </c>
      <c r="G4309" s="14">
        <v>44868</v>
      </c>
      <c r="H4309" s="13" t="s">
        <v>9</v>
      </c>
    </row>
    <row r="4310" spans="1:8" ht="14.4" x14ac:dyDescent="0.3">
      <c r="A4310" s="8">
        <v>82189157</v>
      </c>
      <c r="B4310" s="11">
        <v>44862</v>
      </c>
      <c r="C4310" s="13" t="s">
        <v>4955</v>
      </c>
      <c r="D4310" s="13" t="s">
        <v>5729</v>
      </c>
      <c r="E4310" s="8">
        <v>160</v>
      </c>
      <c r="F4310" s="13" t="s">
        <v>70</v>
      </c>
      <c r="G4310" s="14">
        <v>44868</v>
      </c>
      <c r="H4310" s="13" t="s">
        <v>9</v>
      </c>
    </row>
    <row r="4311" spans="1:8" ht="14.4" x14ac:dyDescent="0.3">
      <c r="A4311" s="8">
        <v>82189158</v>
      </c>
      <c r="B4311" s="11">
        <v>44862</v>
      </c>
      <c r="C4311" s="13" t="s">
        <v>4955</v>
      </c>
      <c r="D4311" s="13" t="s">
        <v>5730</v>
      </c>
      <c r="E4311" s="8">
        <v>554.32000000000005</v>
      </c>
      <c r="F4311" s="13" t="s">
        <v>70</v>
      </c>
      <c r="G4311" s="14">
        <v>44868</v>
      </c>
      <c r="H4311" s="13" t="s">
        <v>9</v>
      </c>
    </row>
    <row r="4312" spans="1:8" ht="14.4" x14ac:dyDescent="0.3">
      <c r="A4312" s="8">
        <v>82189159</v>
      </c>
      <c r="B4312" s="11">
        <v>44862</v>
      </c>
      <c r="C4312" s="13" t="s">
        <v>287</v>
      </c>
      <c r="D4312" s="13" t="s">
        <v>5731</v>
      </c>
      <c r="E4312" s="8">
        <v>18760.560000000001</v>
      </c>
      <c r="F4312" s="13" t="s">
        <v>70</v>
      </c>
      <c r="G4312" s="14">
        <v>44867</v>
      </c>
      <c r="H4312" s="13" t="s">
        <v>9</v>
      </c>
    </row>
    <row r="4313" spans="1:8" ht="14.4" x14ac:dyDescent="0.3">
      <c r="A4313" s="8">
        <v>82189160</v>
      </c>
      <c r="B4313" s="11">
        <v>44862</v>
      </c>
      <c r="C4313" s="13" t="s">
        <v>287</v>
      </c>
      <c r="D4313" s="13" t="s">
        <v>5732</v>
      </c>
      <c r="E4313" s="8">
        <v>6540</v>
      </c>
      <c r="F4313" s="13" t="s">
        <v>70</v>
      </c>
      <c r="G4313" s="14">
        <v>44867</v>
      </c>
      <c r="H4313" s="13" t="s">
        <v>9</v>
      </c>
    </row>
    <row r="4314" spans="1:8" ht="14.4" x14ac:dyDescent="0.3">
      <c r="A4314" s="8">
        <v>82189161</v>
      </c>
      <c r="B4314" s="11">
        <v>44862</v>
      </c>
      <c r="C4314" s="13" t="s">
        <v>19</v>
      </c>
      <c r="D4314" s="13" t="s">
        <v>5733</v>
      </c>
      <c r="E4314" s="8">
        <v>25502.71</v>
      </c>
      <c r="F4314" s="13" t="s">
        <v>70</v>
      </c>
      <c r="G4314" s="14">
        <v>44872</v>
      </c>
      <c r="H4314" s="13" t="s">
        <v>9</v>
      </c>
    </row>
    <row r="4315" spans="1:8" ht="14.4" x14ac:dyDescent="0.3">
      <c r="A4315" s="8">
        <v>82189162</v>
      </c>
      <c r="B4315" s="11">
        <v>44862</v>
      </c>
      <c r="C4315" s="13" t="s">
        <v>4905</v>
      </c>
      <c r="D4315" s="13" t="s">
        <v>5734</v>
      </c>
      <c r="E4315" s="8">
        <v>16000</v>
      </c>
      <c r="F4315" s="13" t="s">
        <v>70</v>
      </c>
      <c r="G4315" s="14">
        <v>44875</v>
      </c>
      <c r="H4315" s="13" t="s">
        <v>9</v>
      </c>
    </row>
    <row r="4316" spans="1:8" ht="14.4" x14ac:dyDescent="0.3">
      <c r="A4316" s="8">
        <v>82189163</v>
      </c>
      <c r="B4316" s="11">
        <v>44862</v>
      </c>
      <c r="C4316" s="13" t="s">
        <v>4955</v>
      </c>
      <c r="D4316" s="13" t="s">
        <v>5735</v>
      </c>
      <c r="E4316" s="8">
        <v>1390</v>
      </c>
      <c r="F4316" s="13" t="s">
        <v>70</v>
      </c>
      <c r="G4316" s="14">
        <v>44868</v>
      </c>
      <c r="H4316" s="13" t="s">
        <v>9</v>
      </c>
    </row>
    <row r="4317" spans="1:8" ht="14.4" x14ac:dyDescent="0.3">
      <c r="A4317" s="8">
        <v>82189164</v>
      </c>
      <c r="B4317" s="11">
        <v>44862</v>
      </c>
      <c r="C4317" s="13" t="s">
        <v>44</v>
      </c>
      <c r="D4317" s="13" t="s">
        <v>5736</v>
      </c>
      <c r="E4317" s="8">
        <v>223822.81</v>
      </c>
      <c r="F4317" s="13" t="s">
        <v>70</v>
      </c>
      <c r="G4317" s="14">
        <v>44868</v>
      </c>
      <c r="H4317" s="13" t="s">
        <v>9</v>
      </c>
    </row>
    <row r="4318" spans="1:8" ht="14.4" x14ac:dyDescent="0.3">
      <c r="A4318" s="8">
        <v>82189165</v>
      </c>
      <c r="B4318" s="11">
        <v>44862</v>
      </c>
      <c r="C4318" s="13" t="s">
        <v>180</v>
      </c>
      <c r="D4318" s="13" t="s">
        <v>33</v>
      </c>
      <c r="E4318" s="8">
        <v>58221.08</v>
      </c>
      <c r="F4318" s="13" t="s">
        <v>70</v>
      </c>
      <c r="G4318" s="14">
        <v>44862</v>
      </c>
      <c r="H4318" s="13" t="s">
        <v>9</v>
      </c>
    </row>
    <row r="4319" spans="1:8" ht="14.4" x14ac:dyDescent="0.3">
      <c r="A4319" s="8">
        <v>82189166</v>
      </c>
      <c r="B4319" s="11">
        <v>44862</v>
      </c>
      <c r="C4319" s="13" t="s">
        <v>5737</v>
      </c>
      <c r="D4319" s="13" t="s">
        <v>5738</v>
      </c>
      <c r="E4319" s="8">
        <v>23661.37</v>
      </c>
      <c r="F4319" s="13" t="s">
        <v>70</v>
      </c>
      <c r="G4319" s="14">
        <v>44872</v>
      </c>
      <c r="H4319" s="13" t="s">
        <v>9</v>
      </c>
    </row>
    <row r="4320" spans="1:8" ht="14.4" x14ac:dyDescent="0.3">
      <c r="A4320" s="8">
        <v>82189167</v>
      </c>
      <c r="B4320" s="11">
        <v>44862</v>
      </c>
      <c r="C4320" s="13" t="s">
        <v>3621</v>
      </c>
      <c r="D4320" s="13" t="s">
        <v>5739</v>
      </c>
      <c r="E4320" s="8">
        <v>30476.19</v>
      </c>
      <c r="F4320" s="13" t="s">
        <v>70</v>
      </c>
      <c r="G4320" s="14">
        <v>44868</v>
      </c>
      <c r="H4320" s="13" t="s">
        <v>9</v>
      </c>
    </row>
    <row r="4321" spans="1:8" ht="14.4" x14ac:dyDescent="0.3">
      <c r="A4321" s="8">
        <v>82189168</v>
      </c>
      <c r="B4321" s="11">
        <v>44862</v>
      </c>
      <c r="C4321" s="13" t="s">
        <v>748</v>
      </c>
      <c r="D4321" s="13" t="s">
        <v>5740</v>
      </c>
      <c r="E4321" s="8">
        <v>4687.5</v>
      </c>
      <c r="F4321" s="13" t="s">
        <v>70</v>
      </c>
      <c r="G4321" s="14">
        <v>44868</v>
      </c>
      <c r="H4321" s="13" t="s">
        <v>9</v>
      </c>
    </row>
    <row r="4322" spans="1:8" ht="14.4" x14ac:dyDescent="0.3">
      <c r="A4322" s="8">
        <v>82189169</v>
      </c>
      <c r="B4322" s="11">
        <v>44862</v>
      </c>
      <c r="C4322" s="13" t="s">
        <v>5741</v>
      </c>
      <c r="D4322" s="13" t="s">
        <v>5742</v>
      </c>
      <c r="E4322" s="8">
        <v>2850</v>
      </c>
      <c r="F4322" s="13" t="s">
        <v>70</v>
      </c>
      <c r="G4322" s="14">
        <v>44867</v>
      </c>
      <c r="H4322" s="13" t="s">
        <v>9</v>
      </c>
    </row>
    <row r="4323" spans="1:8" ht="14.4" x14ac:dyDescent="0.3">
      <c r="A4323" s="8">
        <v>82189170</v>
      </c>
      <c r="B4323" s="11">
        <v>44867</v>
      </c>
      <c r="C4323" s="13" t="s">
        <v>361</v>
      </c>
      <c r="D4323" s="13" t="s">
        <v>5743</v>
      </c>
      <c r="E4323" s="8">
        <v>12294.58</v>
      </c>
      <c r="F4323" s="13" t="s">
        <v>70</v>
      </c>
      <c r="G4323" s="14">
        <v>44874</v>
      </c>
      <c r="H4323" s="13" t="s">
        <v>9</v>
      </c>
    </row>
    <row r="4324" spans="1:8" ht="14.4" x14ac:dyDescent="0.3">
      <c r="A4324" s="8">
        <v>82189171</v>
      </c>
      <c r="B4324" s="11">
        <v>44867</v>
      </c>
      <c r="C4324" s="13" t="s">
        <v>153</v>
      </c>
      <c r="D4324" s="13" t="s">
        <v>5744</v>
      </c>
      <c r="E4324" s="8">
        <v>79451</v>
      </c>
      <c r="F4324" s="13" t="s">
        <v>70</v>
      </c>
      <c r="G4324" s="14">
        <v>44872</v>
      </c>
      <c r="H4324" s="13" t="s">
        <v>9</v>
      </c>
    </row>
    <row r="4325" spans="1:8" ht="14.4" x14ac:dyDescent="0.3">
      <c r="A4325" s="8">
        <v>82189172</v>
      </c>
      <c r="B4325" s="11">
        <v>44867</v>
      </c>
      <c r="C4325" s="13" t="s">
        <v>361</v>
      </c>
      <c r="D4325" s="13" t="s">
        <v>5745</v>
      </c>
      <c r="E4325" s="8">
        <v>60357.7</v>
      </c>
      <c r="F4325" s="13" t="s">
        <v>70</v>
      </c>
      <c r="G4325" s="14">
        <v>44874</v>
      </c>
      <c r="H4325" s="13" t="s">
        <v>9</v>
      </c>
    </row>
    <row r="4326" spans="1:8" ht="14.4" x14ac:dyDescent="0.3">
      <c r="A4326" s="8">
        <v>82189174</v>
      </c>
      <c r="B4326" s="11">
        <v>44867</v>
      </c>
      <c r="C4326" s="13" t="s">
        <v>4914</v>
      </c>
      <c r="D4326" s="13" t="s">
        <v>5746</v>
      </c>
      <c r="E4326" s="8">
        <v>2704.24</v>
      </c>
      <c r="F4326" s="13" t="s">
        <v>70</v>
      </c>
      <c r="G4326" s="14">
        <v>44868</v>
      </c>
      <c r="H4326" s="13" t="s">
        <v>9</v>
      </c>
    </row>
    <row r="4327" spans="1:8" ht="14.4" x14ac:dyDescent="0.3">
      <c r="A4327" s="8">
        <v>82189175</v>
      </c>
      <c r="B4327" s="11">
        <v>44867</v>
      </c>
      <c r="C4327" s="13" t="s">
        <v>4914</v>
      </c>
      <c r="D4327" s="13" t="s">
        <v>5747</v>
      </c>
      <c r="E4327" s="8">
        <v>500</v>
      </c>
      <c r="F4327" s="13" t="s">
        <v>70</v>
      </c>
      <c r="G4327" s="14">
        <v>44868</v>
      </c>
      <c r="H4327" s="13" t="s">
        <v>9</v>
      </c>
    </row>
    <row r="4328" spans="1:8" ht="14.4" x14ac:dyDescent="0.3">
      <c r="A4328" s="8">
        <v>78996781</v>
      </c>
      <c r="B4328" s="11">
        <v>44566</v>
      </c>
      <c r="C4328" s="13" t="s">
        <v>5748</v>
      </c>
      <c r="D4328" s="13" t="s">
        <v>5749</v>
      </c>
      <c r="E4328" s="8">
        <v>351874.46</v>
      </c>
      <c r="F4328" s="13" t="s">
        <v>70</v>
      </c>
      <c r="G4328" s="14">
        <v>44620</v>
      </c>
      <c r="H4328" s="13" t="s">
        <v>29</v>
      </c>
    </row>
    <row r="4329" spans="1:8" ht="14.4" x14ac:dyDescent="0.3">
      <c r="A4329" s="8">
        <v>78996782</v>
      </c>
      <c r="B4329" s="11">
        <v>44566</v>
      </c>
      <c r="C4329" s="13" t="s">
        <v>1924</v>
      </c>
      <c r="D4329" s="13" t="s">
        <v>192</v>
      </c>
      <c r="E4329" s="8">
        <v>135000</v>
      </c>
      <c r="F4329" s="13" t="s">
        <v>70</v>
      </c>
      <c r="G4329" s="14">
        <v>44594</v>
      </c>
      <c r="H4329" s="13" t="s">
        <v>29</v>
      </c>
    </row>
    <row r="4330" spans="1:8" ht="14.4" x14ac:dyDescent="0.3">
      <c r="A4330" s="8">
        <v>78996783</v>
      </c>
      <c r="B4330" s="11">
        <v>44566</v>
      </c>
      <c r="C4330" s="13" t="s">
        <v>201</v>
      </c>
      <c r="D4330" s="13" t="s">
        <v>192</v>
      </c>
      <c r="E4330" s="8">
        <v>10468.969999999999</v>
      </c>
      <c r="F4330" s="13" t="s">
        <v>70</v>
      </c>
      <c r="G4330" s="14">
        <v>44580</v>
      </c>
      <c r="H4330" s="13" t="s">
        <v>29</v>
      </c>
    </row>
    <row r="4331" spans="1:8" ht="14.4" x14ac:dyDescent="0.3">
      <c r="A4331" s="8">
        <v>78996784</v>
      </c>
      <c r="B4331" s="11">
        <v>44566</v>
      </c>
      <c r="C4331" s="13" t="s">
        <v>202</v>
      </c>
      <c r="D4331" s="13" t="s">
        <v>192</v>
      </c>
      <c r="E4331" s="8">
        <v>23203.95</v>
      </c>
      <c r="F4331" s="13" t="s">
        <v>70</v>
      </c>
      <c r="G4331" s="14">
        <v>44571</v>
      </c>
      <c r="H4331" s="13" t="s">
        <v>29</v>
      </c>
    </row>
    <row r="4332" spans="1:8" ht="14.4" x14ac:dyDescent="0.3">
      <c r="A4332" s="8">
        <v>78996785</v>
      </c>
      <c r="B4332" s="11">
        <v>44566</v>
      </c>
      <c r="C4332" s="13" t="s">
        <v>209</v>
      </c>
      <c r="D4332" s="13" t="s">
        <v>5750</v>
      </c>
      <c r="E4332" s="8">
        <v>35640</v>
      </c>
      <c r="F4332" s="13" t="s">
        <v>70</v>
      </c>
      <c r="G4332" s="14">
        <v>44582</v>
      </c>
      <c r="H4332" s="13" t="s">
        <v>29</v>
      </c>
    </row>
    <row r="4333" spans="1:8" ht="14.4" x14ac:dyDescent="0.3">
      <c r="A4333" s="8">
        <v>78996786</v>
      </c>
      <c r="B4333" s="11">
        <v>44566</v>
      </c>
      <c r="C4333" s="13" t="s">
        <v>191</v>
      </c>
      <c r="D4333" s="13" t="s">
        <v>192</v>
      </c>
      <c r="E4333" s="8">
        <v>70250.570000000007</v>
      </c>
      <c r="F4333" s="13" t="s">
        <v>70</v>
      </c>
      <c r="G4333" s="14">
        <v>44567</v>
      </c>
      <c r="H4333" s="13" t="s">
        <v>29</v>
      </c>
    </row>
    <row r="4334" spans="1:8" ht="14.4" x14ac:dyDescent="0.3">
      <c r="A4334" s="8">
        <v>78996787</v>
      </c>
      <c r="B4334" s="11">
        <v>44567</v>
      </c>
      <c r="C4334" s="13" t="s">
        <v>1420</v>
      </c>
      <c r="D4334" s="13" t="s">
        <v>5751</v>
      </c>
      <c r="E4334" s="8">
        <v>767.69</v>
      </c>
      <c r="F4334" s="13" t="s">
        <v>70</v>
      </c>
      <c r="G4334" s="14">
        <v>44580</v>
      </c>
      <c r="H4334" s="13" t="s">
        <v>29</v>
      </c>
    </row>
    <row r="4335" spans="1:8" ht="14.4" x14ac:dyDescent="0.3">
      <c r="A4335" s="8">
        <v>78996788</v>
      </c>
      <c r="B4335" s="11">
        <v>44567</v>
      </c>
      <c r="C4335" s="13" t="s">
        <v>2624</v>
      </c>
      <c r="D4335" s="13" t="s">
        <v>5752</v>
      </c>
      <c r="E4335" s="8">
        <v>6040183.6299999999</v>
      </c>
      <c r="F4335" s="13" t="s">
        <v>70</v>
      </c>
      <c r="G4335" s="14">
        <v>44567</v>
      </c>
      <c r="H4335" s="13" t="s">
        <v>29</v>
      </c>
    </row>
    <row r="4336" spans="1:8" ht="14.4" x14ac:dyDescent="0.3">
      <c r="A4336" s="8">
        <v>78996789</v>
      </c>
      <c r="B4336" s="11">
        <v>44567</v>
      </c>
      <c r="C4336" s="13" t="s">
        <v>245</v>
      </c>
      <c r="D4336" s="13" t="s">
        <v>5753</v>
      </c>
      <c r="E4336" s="8">
        <v>538</v>
      </c>
      <c r="F4336" s="13" t="s">
        <v>70</v>
      </c>
      <c r="G4336" s="14">
        <v>44588</v>
      </c>
      <c r="H4336" s="13" t="s">
        <v>29</v>
      </c>
    </row>
    <row r="4337" spans="1:8" ht="14.4" x14ac:dyDescent="0.3">
      <c r="A4337" s="8">
        <v>78996790</v>
      </c>
      <c r="B4337" s="11">
        <v>44567</v>
      </c>
      <c r="C4337" s="13" t="s">
        <v>5754</v>
      </c>
      <c r="D4337" s="13" t="s">
        <v>192</v>
      </c>
      <c r="E4337" s="8">
        <v>107000</v>
      </c>
      <c r="F4337" s="13" t="s">
        <v>70</v>
      </c>
      <c r="G4337" s="14">
        <v>44574</v>
      </c>
      <c r="H4337" s="13" t="s">
        <v>29</v>
      </c>
    </row>
    <row r="4338" spans="1:8" ht="14.4" x14ac:dyDescent="0.3">
      <c r="A4338" s="8">
        <v>78996791</v>
      </c>
      <c r="B4338" s="11">
        <v>44567</v>
      </c>
      <c r="C4338" s="13" t="s">
        <v>5755</v>
      </c>
      <c r="D4338" s="13" t="s">
        <v>5756</v>
      </c>
      <c r="E4338" s="8">
        <v>662.5</v>
      </c>
      <c r="F4338" s="13" t="s">
        <v>70</v>
      </c>
      <c r="G4338" s="14">
        <v>44683</v>
      </c>
      <c r="H4338" s="13" t="s">
        <v>29</v>
      </c>
    </row>
    <row r="4339" spans="1:8" ht="14.4" x14ac:dyDescent="0.3">
      <c r="A4339" s="8">
        <v>78996792</v>
      </c>
      <c r="B4339" s="11">
        <v>44567</v>
      </c>
      <c r="C4339" s="13" t="s">
        <v>5755</v>
      </c>
      <c r="D4339" s="13" t="s">
        <v>5757</v>
      </c>
      <c r="E4339" s="8">
        <v>496.87</v>
      </c>
      <c r="F4339" s="13" t="s">
        <v>70</v>
      </c>
      <c r="G4339" s="14">
        <v>44683</v>
      </c>
      <c r="H4339" s="13" t="s">
        <v>29</v>
      </c>
    </row>
    <row r="4340" spans="1:8" ht="14.4" x14ac:dyDescent="0.3">
      <c r="A4340" s="8">
        <v>78996793</v>
      </c>
      <c r="B4340" s="11">
        <v>44568</v>
      </c>
      <c r="C4340" s="13" t="s">
        <v>162</v>
      </c>
      <c r="D4340" s="13" t="s">
        <v>5758</v>
      </c>
      <c r="E4340" s="8">
        <v>302007.67999999999</v>
      </c>
      <c r="F4340" s="13" t="s">
        <v>70</v>
      </c>
      <c r="G4340" s="14">
        <v>44571</v>
      </c>
      <c r="H4340" s="13" t="s">
        <v>29</v>
      </c>
    </row>
    <row r="4341" spans="1:8" ht="14.4" x14ac:dyDescent="0.3">
      <c r="A4341" s="8">
        <v>78996794</v>
      </c>
      <c r="B4341" s="11">
        <v>44568</v>
      </c>
      <c r="C4341" s="13" t="s">
        <v>5759</v>
      </c>
      <c r="D4341" s="13" t="s">
        <v>5760</v>
      </c>
      <c r="E4341" s="8">
        <v>683363.45</v>
      </c>
      <c r="F4341" s="13" t="s">
        <v>70</v>
      </c>
      <c r="G4341" s="14">
        <v>44571</v>
      </c>
      <c r="H4341" s="13" t="s">
        <v>29</v>
      </c>
    </row>
    <row r="4342" spans="1:8" ht="14.4" x14ac:dyDescent="0.3">
      <c r="A4342" s="8">
        <v>78996795</v>
      </c>
      <c r="B4342" s="11">
        <v>44568</v>
      </c>
      <c r="C4342" s="13" t="s">
        <v>1522</v>
      </c>
      <c r="D4342" s="13" t="s">
        <v>5761</v>
      </c>
      <c r="E4342" s="8">
        <v>5390</v>
      </c>
      <c r="F4342" s="13" t="s">
        <v>70</v>
      </c>
      <c r="G4342" s="14">
        <v>44594</v>
      </c>
      <c r="H4342" s="13" t="s">
        <v>29</v>
      </c>
    </row>
    <row r="4343" spans="1:8" ht="14.4" x14ac:dyDescent="0.3">
      <c r="A4343" s="8">
        <v>78996796</v>
      </c>
      <c r="B4343" s="11">
        <v>44568</v>
      </c>
      <c r="C4343" s="13" t="s">
        <v>5762</v>
      </c>
      <c r="D4343" s="13" t="s">
        <v>5763</v>
      </c>
      <c r="E4343" s="8">
        <v>1118549.78</v>
      </c>
      <c r="F4343" s="13" t="s">
        <v>70</v>
      </c>
      <c r="G4343" s="14">
        <v>44586</v>
      </c>
      <c r="H4343" s="13" t="s">
        <v>29</v>
      </c>
    </row>
    <row r="4344" spans="1:8" ht="14.4" x14ac:dyDescent="0.3">
      <c r="A4344" s="8">
        <v>78996797</v>
      </c>
      <c r="B4344" s="11">
        <v>44568</v>
      </c>
      <c r="C4344" s="13" t="s">
        <v>2611</v>
      </c>
      <c r="D4344" s="13" t="s">
        <v>5764</v>
      </c>
      <c r="E4344" s="8">
        <v>231297.85</v>
      </c>
      <c r="F4344" s="13" t="s">
        <v>70</v>
      </c>
      <c r="G4344" s="14">
        <v>44575</v>
      </c>
      <c r="H4344" s="13" t="s">
        <v>29</v>
      </c>
    </row>
    <row r="4345" spans="1:8" ht="14.4" x14ac:dyDescent="0.3">
      <c r="A4345" s="8">
        <v>78996798</v>
      </c>
      <c r="B4345" s="11">
        <v>44571</v>
      </c>
      <c r="C4345" s="13" t="s">
        <v>235</v>
      </c>
      <c r="D4345" s="13" t="s">
        <v>236</v>
      </c>
      <c r="E4345" s="8">
        <v>44135</v>
      </c>
      <c r="F4345" s="13" t="s">
        <v>70</v>
      </c>
      <c r="G4345" s="14">
        <v>44573</v>
      </c>
      <c r="H4345" s="13" t="s">
        <v>29</v>
      </c>
    </row>
    <row r="4346" spans="1:8" ht="14.4" x14ac:dyDescent="0.3">
      <c r="A4346" s="8">
        <v>78996799</v>
      </c>
      <c r="B4346" s="11">
        <v>44571</v>
      </c>
      <c r="C4346" s="13" t="s">
        <v>186</v>
      </c>
      <c r="D4346" s="13" t="s">
        <v>5765</v>
      </c>
      <c r="E4346" s="8">
        <v>12473.91</v>
      </c>
      <c r="F4346" s="13" t="s">
        <v>70</v>
      </c>
      <c r="G4346" s="14">
        <v>44573</v>
      </c>
      <c r="H4346" s="13" t="s">
        <v>29</v>
      </c>
    </row>
    <row r="4347" spans="1:8" ht="14.4" x14ac:dyDescent="0.3">
      <c r="A4347" s="8">
        <v>78996800</v>
      </c>
      <c r="B4347" s="11">
        <v>44571</v>
      </c>
      <c r="C4347" s="13" t="s">
        <v>1380</v>
      </c>
      <c r="D4347" s="13" t="s">
        <v>5766</v>
      </c>
      <c r="E4347" s="8">
        <v>48387.09</v>
      </c>
      <c r="F4347" s="13" t="s">
        <v>70</v>
      </c>
      <c r="G4347" s="14">
        <v>44578</v>
      </c>
      <c r="H4347" s="13" t="s">
        <v>29</v>
      </c>
    </row>
    <row r="4348" spans="1:8" ht="14.4" x14ac:dyDescent="0.3">
      <c r="A4348" s="8">
        <v>78996801</v>
      </c>
      <c r="B4348" s="11">
        <v>44571</v>
      </c>
      <c r="C4348" s="13" t="s">
        <v>184</v>
      </c>
      <c r="D4348" s="13" t="s">
        <v>240</v>
      </c>
      <c r="E4348" s="8">
        <v>60546.62</v>
      </c>
      <c r="F4348" s="13" t="s">
        <v>70</v>
      </c>
      <c r="G4348" s="14">
        <v>44573</v>
      </c>
      <c r="H4348" s="13" t="s">
        <v>29</v>
      </c>
    </row>
    <row r="4349" spans="1:8" ht="14.4" x14ac:dyDescent="0.3">
      <c r="A4349" s="8">
        <v>78996802</v>
      </c>
      <c r="B4349" s="11">
        <v>44571</v>
      </c>
      <c r="C4349" s="13" t="s">
        <v>184</v>
      </c>
      <c r="D4349" s="13" t="s">
        <v>239</v>
      </c>
      <c r="E4349" s="8">
        <v>32948.480000000003</v>
      </c>
      <c r="F4349" s="13" t="s">
        <v>70</v>
      </c>
      <c r="G4349" s="14">
        <v>44573</v>
      </c>
      <c r="H4349" s="13" t="s">
        <v>29</v>
      </c>
    </row>
    <row r="4350" spans="1:8" ht="14.4" x14ac:dyDescent="0.3">
      <c r="A4350" s="8">
        <v>78996803</v>
      </c>
      <c r="B4350" s="11">
        <v>44571</v>
      </c>
      <c r="C4350" s="13" t="s">
        <v>2080</v>
      </c>
      <c r="D4350" s="13" t="s">
        <v>5767</v>
      </c>
      <c r="E4350" s="8">
        <v>547225</v>
      </c>
      <c r="F4350" s="13" t="s">
        <v>70</v>
      </c>
      <c r="G4350" s="14">
        <v>44580</v>
      </c>
      <c r="H4350" s="13" t="s">
        <v>29</v>
      </c>
    </row>
    <row r="4351" spans="1:8" ht="14.4" x14ac:dyDescent="0.3">
      <c r="A4351" s="8">
        <v>78996804</v>
      </c>
      <c r="B4351" s="11">
        <v>44571</v>
      </c>
      <c r="C4351" s="13" t="s">
        <v>1420</v>
      </c>
      <c r="D4351" s="13" t="s">
        <v>5768</v>
      </c>
      <c r="E4351" s="8">
        <v>107689.28</v>
      </c>
      <c r="F4351" s="13" t="s">
        <v>70</v>
      </c>
      <c r="G4351" s="14">
        <v>44580</v>
      </c>
      <c r="H4351" s="13" t="s">
        <v>29</v>
      </c>
    </row>
    <row r="4352" spans="1:8" ht="14.4" x14ac:dyDescent="0.3">
      <c r="A4352" s="8">
        <v>78996805</v>
      </c>
      <c r="B4352" s="11">
        <v>44571</v>
      </c>
      <c r="C4352" s="13" t="s">
        <v>5769</v>
      </c>
      <c r="D4352" s="13" t="s">
        <v>5770</v>
      </c>
      <c r="E4352" s="8">
        <v>2142525</v>
      </c>
      <c r="F4352" s="13" t="s">
        <v>70</v>
      </c>
      <c r="G4352" s="14">
        <v>44574</v>
      </c>
      <c r="H4352" s="13" t="s">
        <v>29</v>
      </c>
    </row>
    <row r="4353" spans="1:8" ht="14.4" x14ac:dyDescent="0.3">
      <c r="A4353" s="8">
        <v>78996806</v>
      </c>
      <c r="B4353" s="11">
        <v>44571</v>
      </c>
      <c r="C4353" s="13" t="s">
        <v>1522</v>
      </c>
      <c r="D4353" s="13" t="s">
        <v>5771</v>
      </c>
      <c r="E4353" s="8">
        <v>9800</v>
      </c>
      <c r="F4353" s="13" t="s">
        <v>70</v>
      </c>
      <c r="G4353" s="14">
        <v>44594</v>
      </c>
      <c r="H4353" s="13" t="s">
        <v>29</v>
      </c>
    </row>
    <row r="4354" spans="1:8" ht="14.4" x14ac:dyDescent="0.3">
      <c r="A4354" s="8">
        <v>78996807</v>
      </c>
      <c r="B4354" s="11">
        <v>44571</v>
      </c>
      <c r="C4354" s="13" t="s">
        <v>5769</v>
      </c>
      <c r="D4354" s="13" t="s">
        <v>5772</v>
      </c>
      <c r="E4354" s="8">
        <v>2736373.09</v>
      </c>
      <c r="F4354" s="13" t="s">
        <v>70</v>
      </c>
      <c r="G4354" s="14">
        <v>44574</v>
      </c>
      <c r="H4354" s="13" t="s">
        <v>29</v>
      </c>
    </row>
    <row r="4355" spans="1:8" ht="14.4" x14ac:dyDescent="0.3">
      <c r="A4355" s="8">
        <v>78996808</v>
      </c>
      <c r="B4355" s="11">
        <v>44571</v>
      </c>
      <c r="C4355" s="13" t="s">
        <v>1420</v>
      </c>
      <c r="D4355" s="13" t="s">
        <v>5773</v>
      </c>
      <c r="E4355" s="8">
        <v>229456.87</v>
      </c>
      <c r="F4355" s="13" t="s">
        <v>70</v>
      </c>
      <c r="G4355" s="14">
        <v>44580</v>
      </c>
      <c r="H4355" s="13" t="s">
        <v>29</v>
      </c>
    </row>
    <row r="4356" spans="1:8" ht="14.4" x14ac:dyDescent="0.3">
      <c r="A4356" s="8">
        <v>78996809</v>
      </c>
      <c r="B4356" s="11">
        <v>44574</v>
      </c>
      <c r="C4356" s="13" t="s">
        <v>5774</v>
      </c>
      <c r="D4356" s="13" t="s">
        <v>5775</v>
      </c>
      <c r="E4356" s="8">
        <v>331495.71999999997</v>
      </c>
      <c r="F4356" s="13" t="s">
        <v>70</v>
      </c>
      <c r="G4356" s="14">
        <v>44596</v>
      </c>
      <c r="H4356" s="13" t="s">
        <v>29</v>
      </c>
    </row>
    <row r="4357" spans="1:8" ht="14.4" x14ac:dyDescent="0.3">
      <c r="A4357" s="8">
        <v>78996810</v>
      </c>
      <c r="B4357" s="11">
        <v>44574</v>
      </c>
      <c r="C4357" s="13" t="s">
        <v>5776</v>
      </c>
      <c r="D4357" s="13" t="s">
        <v>5777</v>
      </c>
      <c r="E4357" s="8">
        <v>52016.25</v>
      </c>
      <c r="F4357" s="13" t="s">
        <v>70</v>
      </c>
      <c r="G4357" s="14">
        <v>44580</v>
      </c>
      <c r="H4357" s="13" t="s">
        <v>29</v>
      </c>
    </row>
    <row r="4358" spans="1:8" ht="14.4" x14ac:dyDescent="0.3">
      <c r="A4358" s="8">
        <v>78996811</v>
      </c>
      <c r="B4358" s="11">
        <v>44574</v>
      </c>
      <c r="C4358" s="13" t="s">
        <v>376</v>
      </c>
      <c r="D4358" s="13" t="s">
        <v>5778</v>
      </c>
      <c r="E4358" s="8">
        <v>138346.6</v>
      </c>
      <c r="F4358" s="13" t="s">
        <v>70</v>
      </c>
      <c r="G4358" s="14">
        <v>44581</v>
      </c>
      <c r="H4358" s="13" t="s">
        <v>29</v>
      </c>
    </row>
    <row r="4359" spans="1:8" ht="14.4" x14ac:dyDescent="0.3">
      <c r="A4359" s="8">
        <v>78996812</v>
      </c>
      <c r="B4359" s="11">
        <v>44574</v>
      </c>
      <c r="C4359" s="13" t="s">
        <v>376</v>
      </c>
      <c r="D4359" s="13" t="s">
        <v>5779</v>
      </c>
      <c r="E4359" s="8">
        <v>143364.20000000001</v>
      </c>
      <c r="F4359" s="13" t="s">
        <v>70</v>
      </c>
      <c r="G4359" s="14">
        <v>44581</v>
      </c>
      <c r="H4359" s="13" t="s">
        <v>29</v>
      </c>
    </row>
    <row r="4360" spans="1:8" ht="14.4" x14ac:dyDescent="0.3">
      <c r="A4360" s="8">
        <v>78996813</v>
      </c>
      <c r="B4360" s="11">
        <v>44575</v>
      </c>
      <c r="C4360" s="13" t="s">
        <v>191</v>
      </c>
      <c r="D4360" s="13" t="s">
        <v>5780</v>
      </c>
      <c r="E4360" s="8">
        <v>15093.64</v>
      </c>
      <c r="F4360" s="13" t="s">
        <v>70</v>
      </c>
      <c r="G4360" s="14">
        <v>44579</v>
      </c>
      <c r="H4360" s="13" t="s">
        <v>29</v>
      </c>
    </row>
    <row r="4361" spans="1:8" ht="14.4" x14ac:dyDescent="0.3">
      <c r="A4361" s="8">
        <v>78996814</v>
      </c>
      <c r="B4361" s="11">
        <v>44575</v>
      </c>
      <c r="C4361" s="13" t="s">
        <v>5774</v>
      </c>
      <c r="D4361" s="13" t="s">
        <v>5781</v>
      </c>
      <c r="E4361" s="8">
        <v>46848.22</v>
      </c>
      <c r="F4361" s="13" t="s">
        <v>70</v>
      </c>
      <c r="G4361" s="14">
        <v>44596</v>
      </c>
      <c r="H4361" s="13" t="s">
        <v>29</v>
      </c>
    </row>
    <row r="4362" spans="1:8" ht="14.4" x14ac:dyDescent="0.3">
      <c r="A4362" s="8">
        <v>78996815</v>
      </c>
      <c r="B4362" s="11">
        <v>44575</v>
      </c>
      <c r="C4362" s="13" t="s">
        <v>2567</v>
      </c>
      <c r="D4362" s="13" t="s">
        <v>5782</v>
      </c>
      <c r="E4362" s="8">
        <v>33427.85</v>
      </c>
      <c r="F4362" s="13" t="s">
        <v>70</v>
      </c>
      <c r="G4362" s="14">
        <v>44581</v>
      </c>
      <c r="H4362" s="13" t="s">
        <v>29</v>
      </c>
    </row>
    <row r="4363" spans="1:8" ht="14.4" x14ac:dyDescent="0.3">
      <c r="A4363" s="8">
        <v>78996816</v>
      </c>
      <c r="B4363" s="11">
        <v>44575</v>
      </c>
      <c r="C4363" s="13" t="s">
        <v>1524</v>
      </c>
      <c r="D4363" s="13" t="s">
        <v>5783</v>
      </c>
      <c r="E4363" s="8">
        <v>244979.08</v>
      </c>
      <c r="F4363" s="13" t="s">
        <v>70</v>
      </c>
      <c r="G4363" s="14">
        <v>44581</v>
      </c>
      <c r="H4363" s="13" t="s">
        <v>29</v>
      </c>
    </row>
    <row r="4364" spans="1:8" ht="14.4" x14ac:dyDescent="0.3">
      <c r="A4364" s="8">
        <v>78996817</v>
      </c>
      <c r="B4364" s="11">
        <v>44575</v>
      </c>
      <c r="C4364" s="13" t="s">
        <v>56</v>
      </c>
      <c r="D4364" s="13" t="s">
        <v>5784</v>
      </c>
      <c r="E4364" s="8">
        <v>187500</v>
      </c>
      <c r="F4364" s="13" t="s">
        <v>70</v>
      </c>
      <c r="G4364" s="14">
        <v>44589</v>
      </c>
      <c r="H4364" s="13" t="s">
        <v>29</v>
      </c>
    </row>
    <row r="4365" spans="1:8" ht="14.4" x14ac:dyDescent="0.3">
      <c r="A4365" s="8">
        <v>78996818</v>
      </c>
      <c r="B4365" s="11">
        <v>44575</v>
      </c>
      <c r="C4365" s="13" t="s">
        <v>1622</v>
      </c>
      <c r="D4365" s="13" t="s">
        <v>5785</v>
      </c>
      <c r="E4365" s="8">
        <v>235200</v>
      </c>
      <c r="F4365" s="13" t="s">
        <v>70</v>
      </c>
      <c r="G4365" s="14">
        <v>44607</v>
      </c>
      <c r="H4365" s="13" t="s">
        <v>29</v>
      </c>
    </row>
    <row r="4366" spans="1:8" ht="14.4" x14ac:dyDescent="0.3">
      <c r="A4366" s="8">
        <v>78996819</v>
      </c>
      <c r="B4366" s="11">
        <v>44575</v>
      </c>
      <c r="C4366" s="13" t="s">
        <v>5786</v>
      </c>
      <c r="D4366" s="13" t="s">
        <v>5787</v>
      </c>
      <c r="E4366" s="8">
        <v>182068.62</v>
      </c>
      <c r="F4366" s="13" t="s">
        <v>70</v>
      </c>
      <c r="G4366" s="14">
        <v>44578</v>
      </c>
      <c r="H4366" s="13" t="s">
        <v>29</v>
      </c>
    </row>
    <row r="4367" spans="1:8" ht="14.4" x14ac:dyDescent="0.3">
      <c r="A4367" s="8">
        <v>78996820</v>
      </c>
      <c r="B4367" s="11">
        <v>44575</v>
      </c>
      <c r="C4367" s="13" t="s">
        <v>5788</v>
      </c>
      <c r="D4367" s="13" t="s">
        <v>5789</v>
      </c>
      <c r="E4367" s="8">
        <v>9375</v>
      </c>
      <c r="F4367" s="13" t="s">
        <v>70</v>
      </c>
      <c r="G4367" s="14">
        <v>44652</v>
      </c>
      <c r="H4367" s="13" t="s">
        <v>29</v>
      </c>
    </row>
    <row r="4368" spans="1:8" ht="14.4" x14ac:dyDescent="0.3">
      <c r="A4368" s="8">
        <v>78996821</v>
      </c>
      <c r="B4368" s="11">
        <v>44575</v>
      </c>
      <c r="C4368" s="13" t="s">
        <v>2567</v>
      </c>
      <c r="D4368" s="13" t="s">
        <v>5777</v>
      </c>
      <c r="E4368" s="8">
        <v>258969.32</v>
      </c>
      <c r="F4368" s="13" t="s">
        <v>70</v>
      </c>
      <c r="G4368" s="14">
        <v>44581</v>
      </c>
      <c r="H4368" s="13" t="s">
        <v>29</v>
      </c>
    </row>
    <row r="4369" spans="1:8" ht="14.4" x14ac:dyDescent="0.3">
      <c r="A4369" s="8">
        <v>78996822</v>
      </c>
      <c r="B4369" s="11">
        <v>44575</v>
      </c>
      <c r="C4369" s="13" t="s">
        <v>5790</v>
      </c>
      <c r="D4369" s="13" t="s">
        <v>796</v>
      </c>
      <c r="E4369" s="8">
        <v>3600</v>
      </c>
      <c r="F4369" s="13" t="s">
        <v>70</v>
      </c>
      <c r="G4369" s="14">
        <v>44580</v>
      </c>
      <c r="H4369" s="13" t="s">
        <v>29</v>
      </c>
    </row>
    <row r="4370" spans="1:8" ht="14.4" x14ac:dyDescent="0.3">
      <c r="A4370" s="8">
        <v>78996823</v>
      </c>
      <c r="B4370" s="11">
        <v>44575</v>
      </c>
      <c r="C4370" s="13" t="s">
        <v>1956</v>
      </c>
      <c r="D4370" s="13" t="s">
        <v>5791</v>
      </c>
      <c r="E4370" s="8">
        <v>2696266.12</v>
      </c>
      <c r="F4370" s="13" t="s">
        <v>70</v>
      </c>
      <c r="G4370" s="14">
        <v>44578</v>
      </c>
      <c r="H4370" s="13" t="s">
        <v>29</v>
      </c>
    </row>
    <row r="4371" spans="1:8" ht="14.4" x14ac:dyDescent="0.3">
      <c r="A4371" s="8">
        <v>78996824</v>
      </c>
      <c r="B4371" s="11">
        <v>44578</v>
      </c>
      <c r="C4371" s="13" t="s">
        <v>201</v>
      </c>
      <c r="D4371" s="13" t="s">
        <v>5792</v>
      </c>
      <c r="E4371" s="8">
        <v>4069.65</v>
      </c>
      <c r="F4371" s="13" t="s">
        <v>70</v>
      </c>
      <c r="G4371" s="14">
        <v>44580</v>
      </c>
      <c r="H4371" s="13" t="s">
        <v>29</v>
      </c>
    </row>
    <row r="4372" spans="1:8" ht="14.4" x14ac:dyDescent="0.3">
      <c r="A4372" s="8">
        <v>78996825</v>
      </c>
      <c r="B4372" s="11">
        <v>44578</v>
      </c>
      <c r="C4372" s="13" t="s">
        <v>1200</v>
      </c>
      <c r="D4372" s="13" t="s">
        <v>5793</v>
      </c>
      <c r="E4372" s="8">
        <v>2538.2399999999998</v>
      </c>
      <c r="F4372" s="13" t="s">
        <v>70</v>
      </c>
      <c r="G4372" s="14">
        <v>44592</v>
      </c>
      <c r="H4372" s="13" t="s">
        <v>29</v>
      </c>
    </row>
    <row r="4373" spans="1:8" ht="14.4" x14ac:dyDescent="0.3">
      <c r="A4373" s="8">
        <v>78996826</v>
      </c>
      <c r="B4373" s="11">
        <v>44578</v>
      </c>
      <c r="C4373" s="13" t="s">
        <v>56</v>
      </c>
      <c r="D4373" s="13" t="s">
        <v>5794</v>
      </c>
      <c r="E4373" s="8">
        <v>421875</v>
      </c>
      <c r="F4373" s="13" t="s">
        <v>70</v>
      </c>
      <c r="G4373" s="14">
        <v>44589</v>
      </c>
      <c r="H4373" s="13" t="s">
        <v>29</v>
      </c>
    </row>
    <row r="4374" spans="1:8" ht="14.4" x14ac:dyDescent="0.3">
      <c r="A4374" s="8">
        <v>78996827</v>
      </c>
      <c r="B4374" s="11">
        <v>44578</v>
      </c>
      <c r="C4374" s="13" t="s">
        <v>5795</v>
      </c>
      <c r="D4374" s="13" t="s">
        <v>5796</v>
      </c>
      <c r="E4374" s="8">
        <v>4200</v>
      </c>
      <c r="F4374" s="13" t="s">
        <v>70</v>
      </c>
      <c r="G4374" s="14">
        <v>44581</v>
      </c>
      <c r="H4374" s="13" t="s">
        <v>29</v>
      </c>
    </row>
    <row r="4375" spans="1:8" ht="14.4" x14ac:dyDescent="0.3">
      <c r="A4375" s="8">
        <v>78996828</v>
      </c>
      <c r="B4375" s="11">
        <v>44579</v>
      </c>
      <c r="C4375" s="13" t="s">
        <v>5797</v>
      </c>
      <c r="D4375" s="13" t="s">
        <v>5798</v>
      </c>
      <c r="E4375" s="8">
        <v>12972.22</v>
      </c>
      <c r="F4375" s="13" t="s">
        <v>70</v>
      </c>
      <c r="G4375" s="14">
        <v>44620</v>
      </c>
      <c r="H4375" s="13" t="s">
        <v>29</v>
      </c>
    </row>
    <row r="4376" spans="1:8" ht="14.4" x14ac:dyDescent="0.3">
      <c r="A4376" s="8">
        <v>78996830</v>
      </c>
      <c r="B4376" s="11">
        <v>44579</v>
      </c>
      <c r="C4376" s="13" t="s">
        <v>5799</v>
      </c>
      <c r="D4376" s="13" t="s">
        <v>5800</v>
      </c>
      <c r="E4376" s="8">
        <v>160056.24</v>
      </c>
      <c r="F4376" s="13" t="s">
        <v>70</v>
      </c>
      <c r="G4376" s="14">
        <v>44585</v>
      </c>
      <c r="H4376" s="13" t="s">
        <v>29</v>
      </c>
    </row>
    <row r="4377" spans="1:8" ht="14.4" x14ac:dyDescent="0.3">
      <c r="A4377" s="8">
        <v>78996831</v>
      </c>
      <c r="B4377" s="11">
        <v>44579</v>
      </c>
      <c r="C4377" s="13" t="s">
        <v>374</v>
      </c>
      <c r="D4377" s="13" t="s">
        <v>5801</v>
      </c>
      <c r="E4377" s="8">
        <v>275282</v>
      </c>
      <c r="F4377" s="13" t="s">
        <v>70</v>
      </c>
      <c r="G4377" s="14">
        <v>44581</v>
      </c>
      <c r="H4377" s="13" t="s">
        <v>29</v>
      </c>
    </row>
    <row r="4378" spans="1:8" ht="14.4" x14ac:dyDescent="0.3">
      <c r="A4378" s="8">
        <v>78996832</v>
      </c>
      <c r="B4378" s="11">
        <v>44579</v>
      </c>
      <c r="C4378" s="13" t="s">
        <v>1405</v>
      </c>
      <c r="D4378" s="13" t="s">
        <v>5802</v>
      </c>
      <c r="E4378" s="8">
        <v>145756584.28</v>
      </c>
      <c r="F4378" s="13" t="s">
        <v>70</v>
      </c>
      <c r="G4378" s="14">
        <v>44581</v>
      </c>
      <c r="H4378" s="13" t="s">
        <v>29</v>
      </c>
    </row>
    <row r="4379" spans="1:8" ht="14.4" x14ac:dyDescent="0.3">
      <c r="A4379" s="8">
        <v>78996833</v>
      </c>
      <c r="B4379" s="11">
        <v>44579</v>
      </c>
      <c r="C4379" s="13" t="s">
        <v>5803</v>
      </c>
      <c r="D4379" s="13" t="s">
        <v>5804</v>
      </c>
      <c r="E4379" s="8">
        <v>7092.29</v>
      </c>
      <c r="F4379" s="13" t="s">
        <v>70</v>
      </c>
      <c r="G4379" s="14">
        <v>44620</v>
      </c>
      <c r="H4379" s="13" t="s">
        <v>29</v>
      </c>
    </row>
    <row r="4380" spans="1:8" ht="14.4" x14ac:dyDescent="0.3">
      <c r="A4380" s="8">
        <v>78996834</v>
      </c>
      <c r="B4380" s="11">
        <v>44580</v>
      </c>
      <c r="C4380" s="13" t="s">
        <v>180</v>
      </c>
      <c r="D4380" s="13" t="s">
        <v>181</v>
      </c>
      <c r="E4380" s="8">
        <v>78975.740000000005</v>
      </c>
      <c r="F4380" s="13" t="s">
        <v>70</v>
      </c>
      <c r="G4380" s="14">
        <v>44582</v>
      </c>
      <c r="H4380" s="13" t="s">
        <v>29</v>
      </c>
    </row>
    <row r="4381" spans="1:8" ht="14.4" x14ac:dyDescent="0.3">
      <c r="A4381" s="8">
        <v>78996835</v>
      </c>
      <c r="B4381" s="11">
        <v>44582</v>
      </c>
      <c r="C4381" s="13" t="s">
        <v>1728</v>
      </c>
      <c r="D4381" s="13" t="s">
        <v>5805</v>
      </c>
      <c r="E4381" s="8">
        <v>161700</v>
      </c>
      <c r="F4381" s="13" t="s">
        <v>70</v>
      </c>
      <c r="G4381" s="14">
        <v>44582</v>
      </c>
      <c r="H4381" s="13" t="s">
        <v>29</v>
      </c>
    </row>
    <row r="4382" spans="1:8" ht="14.4" x14ac:dyDescent="0.3">
      <c r="A4382" s="8">
        <v>78996836</v>
      </c>
      <c r="B4382" s="11">
        <v>44582</v>
      </c>
      <c r="C4382" s="13" t="s">
        <v>5806</v>
      </c>
      <c r="D4382" s="13" t="s">
        <v>5807</v>
      </c>
      <c r="E4382" s="8">
        <v>170000</v>
      </c>
      <c r="F4382" s="13" t="s">
        <v>70</v>
      </c>
      <c r="G4382" s="14">
        <v>44606</v>
      </c>
      <c r="H4382" s="13" t="s">
        <v>29</v>
      </c>
    </row>
    <row r="4383" spans="1:8" ht="14.4" x14ac:dyDescent="0.3">
      <c r="A4383" s="8">
        <v>78996837</v>
      </c>
      <c r="B4383" s="11">
        <v>44582</v>
      </c>
      <c r="C4383" s="13" t="s">
        <v>1414</v>
      </c>
      <c r="D4383" s="13" t="s">
        <v>5808</v>
      </c>
      <c r="E4383" s="8">
        <v>26600</v>
      </c>
      <c r="F4383" s="13" t="s">
        <v>70</v>
      </c>
      <c r="G4383" s="14">
        <v>44588</v>
      </c>
      <c r="H4383" s="13" t="s">
        <v>29</v>
      </c>
    </row>
    <row r="4384" spans="1:8" ht="14.4" x14ac:dyDescent="0.3">
      <c r="A4384" s="8">
        <v>78996838</v>
      </c>
      <c r="B4384" s="11">
        <v>44585</v>
      </c>
      <c r="C4384" s="13" t="s">
        <v>180</v>
      </c>
      <c r="D4384" s="13" t="s">
        <v>181</v>
      </c>
      <c r="E4384" s="8">
        <v>6129.03</v>
      </c>
      <c r="F4384" s="13" t="s">
        <v>70</v>
      </c>
      <c r="G4384" s="14">
        <v>44586</v>
      </c>
      <c r="H4384" s="13" t="s">
        <v>29</v>
      </c>
    </row>
    <row r="4385" spans="1:8" ht="14.4" x14ac:dyDescent="0.3">
      <c r="A4385" s="8">
        <v>78996839</v>
      </c>
      <c r="B4385" s="11">
        <v>44586</v>
      </c>
      <c r="C4385" s="13" t="s">
        <v>188</v>
      </c>
      <c r="D4385" s="13" t="s">
        <v>5809</v>
      </c>
      <c r="E4385" s="8">
        <v>125975.67999999999</v>
      </c>
      <c r="F4385" s="13" t="s">
        <v>70</v>
      </c>
      <c r="G4385" s="14">
        <v>44588</v>
      </c>
      <c r="H4385" s="13" t="s">
        <v>29</v>
      </c>
    </row>
    <row r="4386" spans="1:8" ht="14.4" x14ac:dyDescent="0.3">
      <c r="A4386" s="8">
        <v>78996840</v>
      </c>
      <c r="B4386" s="11">
        <v>44588</v>
      </c>
      <c r="C4386" s="13" t="s">
        <v>5810</v>
      </c>
      <c r="D4386" s="13" t="s">
        <v>5811</v>
      </c>
      <c r="E4386" s="8">
        <v>1298500</v>
      </c>
      <c r="F4386" s="13" t="s">
        <v>70</v>
      </c>
      <c r="G4386" s="14">
        <v>44589</v>
      </c>
      <c r="H4386" s="13" t="s">
        <v>29</v>
      </c>
    </row>
    <row r="4387" spans="1:8" ht="14.4" x14ac:dyDescent="0.3">
      <c r="A4387" s="8">
        <v>78996841</v>
      </c>
      <c r="B4387" s="11">
        <v>44588</v>
      </c>
      <c r="C4387" s="13" t="s">
        <v>5810</v>
      </c>
      <c r="D4387" s="13" t="s">
        <v>5812</v>
      </c>
      <c r="E4387" s="8">
        <v>5750500</v>
      </c>
      <c r="F4387" s="13" t="s">
        <v>70</v>
      </c>
      <c r="G4387" s="14">
        <v>44589</v>
      </c>
      <c r="H4387" s="13" t="s">
        <v>29</v>
      </c>
    </row>
    <row r="4388" spans="1:8" ht="14.4" x14ac:dyDescent="0.3">
      <c r="A4388" s="8">
        <v>78996842</v>
      </c>
      <c r="B4388" s="11">
        <v>44588</v>
      </c>
      <c r="C4388" s="13" t="s">
        <v>201</v>
      </c>
      <c r="D4388" s="13" t="s">
        <v>5813</v>
      </c>
      <c r="E4388" s="8">
        <v>402664.28</v>
      </c>
      <c r="F4388" s="13" t="s">
        <v>70</v>
      </c>
      <c r="G4388" s="14">
        <v>44592</v>
      </c>
      <c r="H4388" s="13" t="s">
        <v>29</v>
      </c>
    </row>
    <row r="4389" spans="1:8" ht="14.4" x14ac:dyDescent="0.3">
      <c r="A4389" s="8">
        <v>78996843</v>
      </c>
      <c r="B4389" s="11">
        <v>44588</v>
      </c>
      <c r="C4389" s="13" t="s">
        <v>1414</v>
      </c>
      <c r="D4389" s="13" t="s">
        <v>5814</v>
      </c>
      <c r="E4389" s="8">
        <v>4035200</v>
      </c>
      <c r="F4389" s="13" t="s">
        <v>70</v>
      </c>
      <c r="G4389" s="14">
        <v>44610</v>
      </c>
      <c r="H4389" s="13" t="s">
        <v>29</v>
      </c>
    </row>
    <row r="4390" spans="1:8" ht="14.4" x14ac:dyDescent="0.3">
      <c r="A4390" s="8">
        <v>78996844</v>
      </c>
      <c r="B4390" s="11">
        <v>44589</v>
      </c>
      <c r="C4390" s="13" t="s">
        <v>5810</v>
      </c>
      <c r="D4390" s="13" t="s">
        <v>5815</v>
      </c>
      <c r="E4390" s="8">
        <v>7605500</v>
      </c>
      <c r="F4390" s="13" t="s">
        <v>70</v>
      </c>
      <c r="G4390" s="14">
        <v>44589</v>
      </c>
      <c r="H4390" s="13" t="s">
        <v>29</v>
      </c>
    </row>
    <row r="4391" spans="1:8" ht="14.4" x14ac:dyDescent="0.3">
      <c r="A4391" s="8">
        <v>78996845</v>
      </c>
      <c r="B4391" s="11">
        <v>44589</v>
      </c>
      <c r="C4391" s="13" t="s">
        <v>5810</v>
      </c>
      <c r="D4391" s="13" t="s">
        <v>5816</v>
      </c>
      <c r="E4391" s="8">
        <v>5008500</v>
      </c>
      <c r="F4391" s="13" t="s">
        <v>70</v>
      </c>
      <c r="G4391" s="14">
        <v>44589</v>
      </c>
      <c r="H4391" s="13" t="s">
        <v>29</v>
      </c>
    </row>
    <row r="4392" spans="1:8" ht="14.4" x14ac:dyDescent="0.3">
      <c r="A4392" s="8">
        <v>78996846</v>
      </c>
      <c r="B4392" s="11">
        <v>44589</v>
      </c>
      <c r="C4392" s="13" t="s">
        <v>4466</v>
      </c>
      <c r="D4392" s="13" t="s">
        <v>5817</v>
      </c>
      <c r="E4392" s="8">
        <v>811040.78</v>
      </c>
      <c r="F4392" s="13" t="s">
        <v>70</v>
      </c>
      <c r="G4392" s="14">
        <v>44620</v>
      </c>
      <c r="H4392" s="13" t="s">
        <v>29</v>
      </c>
    </row>
    <row r="4393" spans="1:8" ht="14.4" x14ac:dyDescent="0.3">
      <c r="A4393" s="8">
        <v>78996847</v>
      </c>
      <c r="B4393" s="11">
        <v>44592</v>
      </c>
      <c r="C4393" s="13" t="s">
        <v>202</v>
      </c>
      <c r="D4393" s="13" t="s">
        <v>5818</v>
      </c>
      <c r="E4393" s="8">
        <v>936428.57</v>
      </c>
      <c r="F4393" s="13" t="s">
        <v>70</v>
      </c>
      <c r="G4393" s="14">
        <v>44599</v>
      </c>
      <c r="H4393" s="13" t="s">
        <v>29</v>
      </c>
    </row>
    <row r="4394" spans="1:8" ht="14.4" x14ac:dyDescent="0.3">
      <c r="A4394" s="8">
        <v>78996848</v>
      </c>
      <c r="B4394" s="11">
        <v>44595</v>
      </c>
      <c r="C4394" s="13" t="s">
        <v>5819</v>
      </c>
      <c r="D4394" s="13" t="s">
        <v>5820</v>
      </c>
      <c r="E4394" s="8">
        <v>5009897.53</v>
      </c>
      <c r="F4394" s="13" t="s">
        <v>70</v>
      </c>
      <c r="G4394" s="14">
        <v>44596</v>
      </c>
      <c r="H4394" s="13" t="s">
        <v>29</v>
      </c>
    </row>
    <row r="4395" spans="1:8" ht="14.4" x14ac:dyDescent="0.3">
      <c r="A4395" s="8">
        <v>78996849</v>
      </c>
      <c r="B4395" s="11">
        <v>44596</v>
      </c>
      <c r="C4395" s="13" t="s">
        <v>1430</v>
      </c>
      <c r="D4395" s="13" t="s">
        <v>5821</v>
      </c>
      <c r="E4395" s="8">
        <v>25283.57</v>
      </c>
      <c r="F4395" s="13" t="s">
        <v>70</v>
      </c>
      <c r="G4395" s="14">
        <v>44602</v>
      </c>
      <c r="H4395" s="13" t="s">
        <v>29</v>
      </c>
    </row>
    <row r="4396" spans="1:8" ht="14.4" x14ac:dyDescent="0.3">
      <c r="A4396" s="8">
        <v>78996850</v>
      </c>
      <c r="B4396" s="11">
        <v>44596</v>
      </c>
      <c r="C4396" s="13" t="s">
        <v>127</v>
      </c>
      <c r="D4396" s="13" t="s">
        <v>5822</v>
      </c>
      <c r="E4396" s="8">
        <v>3605.42</v>
      </c>
      <c r="F4396" s="13" t="s">
        <v>70</v>
      </c>
      <c r="G4396" s="14">
        <v>44600</v>
      </c>
      <c r="H4396" s="13" t="s">
        <v>29</v>
      </c>
    </row>
    <row r="4397" spans="1:8" ht="14.4" x14ac:dyDescent="0.3">
      <c r="A4397" s="8">
        <v>78996851</v>
      </c>
      <c r="B4397" s="11">
        <v>44596</v>
      </c>
      <c r="C4397" s="13" t="s">
        <v>127</v>
      </c>
      <c r="D4397" s="13" t="s">
        <v>5822</v>
      </c>
      <c r="E4397" s="8">
        <v>5860.05</v>
      </c>
      <c r="F4397" s="13" t="s">
        <v>70</v>
      </c>
      <c r="G4397" s="14">
        <v>44600</v>
      </c>
      <c r="H4397" s="13" t="s">
        <v>29</v>
      </c>
    </row>
    <row r="4398" spans="1:8" ht="14.4" x14ac:dyDescent="0.3">
      <c r="A4398" s="8">
        <v>78996852</v>
      </c>
      <c r="B4398" s="11">
        <v>44596</v>
      </c>
      <c r="C4398" s="13" t="s">
        <v>201</v>
      </c>
      <c r="D4398" s="13" t="s">
        <v>5823</v>
      </c>
      <c r="E4398" s="8">
        <v>374135.99</v>
      </c>
      <c r="F4398" s="13" t="s">
        <v>70</v>
      </c>
      <c r="G4398" s="14">
        <v>44599</v>
      </c>
      <c r="H4398" s="13" t="s">
        <v>29</v>
      </c>
    </row>
    <row r="4399" spans="1:8" ht="14.4" x14ac:dyDescent="0.3">
      <c r="A4399" s="8">
        <v>78996853</v>
      </c>
      <c r="B4399" s="11">
        <v>44596</v>
      </c>
      <c r="C4399" s="13" t="s">
        <v>2624</v>
      </c>
      <c r="D4399" s="13" t="s">
        <v>5824</v>
      </c>
      <c r="E4399" s="8">
        <v>8099058.6399999997</v>
      </c>
      <c r="F4399" s="13" t="s">
        <v>70</v>
      </c>
      <c r="G4399" s="14">
        <v>44596</v>
      </c>
      <c r="H4399" s="13" t="s">
        <v>29</v>
      </c>
    </row>
    <row r="4400" spans="1:8" ht="14.4" x14ac:dyDescent="0.3">
      <c r="A4400" s="8">
        <v>78996854</v>
      </c>
      <c r="B4400" s="11">
        <v>44599</v>
      </c>
      <c r="C4400" s="13" t="s">
        <v>235</v>
      </c>
      <c r="D4400" s="13" t="s">
        <v>5825</v>
      </c>
      <c r="E4400" s="8">
        <v>8321.35</v>
      </c>
      <c r="F4400" s="13" t="s">
        <v>70</v>
      </c>
      <c r="G4400" s="14">
        <v>44600</v>
      </c>
      <c r="H4400" s="13" t="s">
        <v>29</v>
      </c>
    </row>
    <row r="4401" spans="1:8" ht="14.4" x14ac:dyDescent="0.3">
      <c r="A4401" s="8">
        <v>78996855</v>
      </c>
      <c r="B4401" s="11">
        <v>44600</v>
      </c>
      <c r="C4401" s="13" t="s">
        <v>184</v>
      </c>
      <c r="D4401" s="13" t="s">
        <v>5826</v>
      </c>
      <c r="E4401" s="8">
        <v>20400</v>
      </c>
      <c r="F4401" s="13" t="s">
        <v>70</v>
      </c>
      <c r="G4401" s="14">
        <v>44602</v>
      </c>
      <c r="H4401" s="13" t="s">
        <v>29</v>
      </c>
    </row>
    <row r="4402" spans="1:8" ht="14.4" x14ac:dyDescent="0.3">
      <c r="A4402" s="8">
        <v>78996856</v>
      </c>
      <c r="B4402" s="11">
        <v>44600</v>
      </c>
      <c r="C4402" s="13" t="s">
        <v>184</v>
      </c>
      <c r="D4402" s="13" t="s">
        <v>5827</v>
      </c>
      <c r="E4402" s="8">
        <v>30941.040000000001</v>
      </c>
      <c r="F4402" s="13" t="s">
        <v>70</v>
      </c>
      <c r="G4402" s="14">
        <v>44602</v>
      </c>
      <c r="H4402" s="13" t="s">
        <v>29</v>
      </c>
    </row>
    <row r="4403" spans="1:8" ht="14.4" x14ac:dyDescent="0.3">
      <c r="A4403" s="8">
        <v>78996857</v>
      </c>
      <c r="B4403" s="11">
        <v>44602</v>
      </c>
      <c r="C4403" s="13" t="s">
        <v>5828</v>
      </c>
      <c r="D4403" s="13" t="s">
        <v>5829</v>
      </c>
      <c r="E4403" s="8">
        <v>111187.5</v>
      </c>
      <c r="F4403" s="13" t="s">
        <v>70</v>
      </c>
      <c r="G4403" s="14">
        <v>44609</v>
      </c>
      <c r="H4403" s="13" t="s">
        <v>29</v>
      </c>
    </row>
    <row r="4404" spans="1:8" ht="14.4" x14ac:dyDescent="0.3">
      <c r="A4404" s="8">
        <v>78996858</v>
      </c>
      <c r="B4404" s="11">
        <v>44602</v>
      </c>
      <c r="C4404" s="13" t="s">
        <v>127</v>
      </c>
      <c r="D4404" s="13" t="s">
        <v>5830</v>
      </c>
      <c r="E4404" s="8">
        <v>272500.71999999997</v>
      </c>
      <c r="F4404" s="13" t="s">
        <v>70</v>
      </c>
      <c r="G4404" s="14">
        <v>44616</v>
      </c>
      <c r="H4404" s="13" t="s">
        <v>29</v>
      </c>
    </row>
    <row r="4405" spans="1:8" ht="14.4" x14ac:dyDescent="0.3">
      <c r="A4405" s="8">
        <v>78996859</v>
      </c>
      <c r="B4405" s="11">
        <v>44603</v>
      </c>
      <c r="C4405" s="13" t="s">
        <v>180</v>
      </c>
      <c r="D4405" s="13" t="s">
        <v>181</v>
      </c>
      <c r="E4405" s="8">
        <v>9976.23</v>
      </c>
      <c r="F4405" s="13" t="s">
        <v>70</v>
      </c>
      <c r="G4405" s="14">
        <v>44615</v>
      </c>
      <c r="H4405" s="13" t="s">
        <v>29</v>
      </c>
    </row>
    <row r="4406" spans="1:8" ht="14.4" x14ac:dyDescent="0.3">
      <c r="A4406" s="8">
        <v>78996860</v>
      </c>
      <c r="B4406" s="11">
        <v>44606</v>
      </c>
      <c r="C4406" s="13" t="s">
        <v>2567</v>
      </c>
      <c r="D4406" s="13" t="s">
        <v>5831</v>
      </c>
      <c r="E4406" s="8">
        <v>54309.3</v>
      </c>
      <c r="F4406" s="13" t="s">
        <v>70</v>
      </c>
      <c r="G4406" s="14">
        <v>44609</v>
      </c>
      <c r="H4406" s="13" t="s">
        <v>29</v>
      </c>
    </row>
    <row r="4407" spans="1:8" ht="14.4" x14ac:dyDescent="0.3">
      <c r="A4407" s="8">
        <v>78996861</v>
      </c>
      <c r="B4407" s="11">
        <v>44606</v>
      </c>
      <c r="C4407" s="13" t="s">
        <v>3203</v>
      </c>
      <c r="D4407" s="13" t="s">
        <v>5832</v>
      </c>
      <c r="E4407" s="8">
        <v>244300.17</v>
      </c>
      <c r="F4407" s="13" t="s">
        <v>70</v>
      </c>
      <c r="G4407" s="14">
        <v>44607</v>
      </c>
      <c r="H4407" s="13" t="s">
        <v>29</v>
      </c>
    </row>
    <row r="4408" spans="1:8" ht="14.4" x14ac:dyDescent="0.3">
      <c r="A4408" s="8">
        <v>78996862</v>
      </c>
      <c r="B4408" s="11">
        <v>44606</v>
      </c>
      <c r="C4408" s="13" t="s">
        <v>1542</v>
      </c>
      <c r="D4408" s="13" t="s">
        <v>5833</v>
      </c>
      <c r="E4408" s="8">
        <v>234481.72</v>
      </c>
      <c r="F4408" s="13" t="s">
        <v>70</v>
      </c>
      <c r="G4408" s="14">
        <v>44620</v>
      </c>
      <c r="H4408" s="13" t="s">
        <v>29</v>
      </c>
    </row>
    <row r="4409" spans="1:8" ht="14.4" x14ac:dyDescent="0.3">
      <c r="A4409" s="8">
        <v>78996863</v>
      </c>
      <c r="B4409" s="11">
        <v>44607</v>
      </c>
      <c r="C4409" s="13" t="s">
        <v>208</v>
      </c>
      <c r="D4409" s="13" t="s">
        <v>5834</v>
      </c>
      <c r="E4409" s="8">
        <v>315308.58</v>
      </c>
      <c r="F4409" s="13" t="s">
        <v>70</v>
      </c>
      <c r="G4409" s="14">
        <v>44607</v>
      </c>
      <c r="H4409" s="13" t="s">
        <v>29</v>
      </c>
    </row>
    <row r="4410" spans="1:8" ht="14.4" x14ac:dyDescent="0.3">
      <c r="A4410" s="8">
        <v>78996864</v>
      </c>
      <c r="B4410" s="11">
        <v>44607</v>
      </c>
      <c r="C4410" s="13" t="s">
        <v>2624</v>
      </c>
      <c r="D4410" s="13" t="s">
        <v>5835</v>
      </c>
      <c r="E4410" s="8">
        <v>19001.259999999998</v>
      </c>
      <c r="F4410" s="13" t="s">
        <v>70</v>
      </c>
      <c r="G4410" s="14">
        <v>44608</v>
      </c>
      <c r="H4410" s="13" t="s">
        <v>29</v>
      </c>
    </row>
    <row r="4411" spans="1:8" ht="14.4" x14ac:dyDescent="0.3">
      <c r="A4411" s="8">
        <v>78996865</v>
      </c>
      <c r="B4411" s="11">
        <v>44610</v>
      </c>
      <c r="C4411" s="13" t="s">
        <v>201</v>
      </c>
      <c r="D4411" s="13" t="s">
        <v>5836</v>
      </c>
      <c r="E4411" s="8">
        <v>219910.88</v>
      </c>
      <c r="F4411" s="13" t="s">
        <v>70</v>
      </c>
      <c r="G4411" s="14">
        <v>44616</v>
      </c>
      <c r="H4411" s="13" t="s">
        <v>29</v>
      </c>
    </row>
    <row r="4412" spans="1:8" ht="14.4" x14ac:dyDescent="0.3">
      <c r="A4412" s="8">
        <v>78996866</v>
      </c>
      <c r="B4412" s="11">
        <v>44610</v>
      </c>
      <c r="C4412" s="13" t="s">
        <v>2080</v>
      </c>
      <c r="D4412" s="13" t="s">
        <v>5837</v>
      </c>
      <c r="E4412" s="8">
        <v>453339.28</v>
      </c>
      <c r="F4412" s="13" t="s">
        <v>70</v>
      </c>
      <c r="G4412" s="14">
        <v>44620</v>
      </c>
      <c r="H4412" s="13" t="s">
        <v>29</v>
      </c>
    </row>
    <row r="4413" spans="1:8" ht="14.4" x14ac:dyDescent="0.3">
      <c r="A4413" s="8">
        <v>78996867</v>
      </c>
      <c r="B4413" s="11">
        <v>44610</v>
      </c>
      <c r="C4413" s="13" t="s">
        <v>250</v>
      </c>
      <c r="D4413" s="13" t="s">
        <v>5838</v>
      </c>
      <c r="E4413" s="8">
        <v>1381236.88</v>
      </c>
      <c r="F4413" s="13" t="s">
        <v>70</v>
      </c>
      <c r="G4413" s="14">
        <v>44615</v>
      </c>
      <c r="H4413" s="13" t="s">
        <v>29</v>
      </c>
    </row>
    <row r="4414" spans="1:8" ht="14.4" x14ac:dyDescent="0.3">
      <c r="A4414" s="8">
        <v>78996868</v>
      </c>
      <c r="B4414" s="11">
        <v>44614</v>
      </c>
      <c r="C4414" s="13" t="s">
        <v>1718</v>
      </c>
      <c r="D4414" s="13" t="s">
        <v>5839</v>
      </c>
      <c r="E4414" s="8">
        <v>140625</v>
      </c>
      <c r="F4414" s="13" t="s">
        <v>70</v>
      </c>
      <c r="G4414" s="14">
        <v>44620</v>
      </c>
      <c r="H4414" s="13" t="s">
        <v>29</v>
      </c>
    </row>
    <row r="4415" spans="1:8" ht="14.4" x14ac:dyDescent="0.3">
      <c r="A4415" s="8">
        <v>78996869</v>
      </c>
      <c r="B4415" s="11">
        <v>44614</v>
      </c>
      <c r="C4415" s="13" t="s">
        <v>2567</v>
      </c>
      <c r="D4415" s="13" t="s">
        <v>5840</v>
      </c>
      <c r="E4415" s="8">
        <v>375086.46</v>
      </c>
      <c r="F4415" s="13" t="s">
        <v>70</v>
      </c>
      <c r="G4415" s="14">
        <v>44680</v>
      </c>
      <c r="H4415" s="13" t="s">
        <v>29</v>
      </c>
    </row>
    <row r="4416" spans="1:8" ht="14.4" x14ac:dyDescent="0.3">
      <c r="A4416" s="8">
        <v>78996870</v>
      </c>
      <c r="B4416" s="11">
        <v>44614</v>
      </c>
      <c r="C4416" s="13" t="s">
        <v>2567</v>
      </c>
      <c r="D4416" s="13" t="s">
        <v>5841</v>
      </c>
      <c r="E4416" s="8">
        <v>22666.959999999999</v>
      </c>
      <c r="F4416" s="13" t="s">
        <v>70</v>
      </c>
      <c r="G4416" s="14">
        <v>44680</v>
      </c>
      <c r="H4416" s="13" t="s">
        <v>29</v>
      </c>
    </row>
    <row r="4417" spans="1:8" ht="14.4" x14ac:dyDescent="0.3">
      <c r="A4417" s="8">
        <v>78996871</v>
      </c>
      <c r="B4417" s="11">
        <v>44614</v>
      </c>
      <c r="C4417" s="13" t="s">
        <v>191</v>
      </c>
      <c r="D4417" s="13" t="s">
        <v>5842</v>
      </c>
      <c r="E4417" s="8">
        <v>149975.79999999999</v>
      </c>
      <c r="F4417" s="13" t="s">
        <v>70</v>
      </c>
      <c r="G4417" s="14">
        <v>44615</v>
      </c>
      <c r="H4417" s="13" t="s">
        <v>29</v>
      </c>
    </row>
    <row r="4418" spans="1:8" ht="14.4" x14ac:dyDescent="0.3">
      <c r="A4418" s="8">
        <v>78996872</v>
      </c>
      <c r="B4418" s="11">
        <v>44614</v>
      </c>
      <c r="C4418" s="13" t="s">
        <v>191</v>
      </c>
      <c r="D4418" s="13" t="s">
        <v>5843</v>
      </c>
      <c r="E4418" s="8">
        <v>125854.18</v>
      </c>
      <c r="F4418" s="13" t="s">
        <v>70</v>
      </c>
      <c r="G4418" s="14">
        <v>44615</v>
      </c>
      <c r="H4418" s="13" t="s">
        <v>29</v>
      </c>
    </row>
    <row r="4419" spans="1:8" ht="14.4" x14ac:dyDescent="0.3">
      <c r="A4419" s="8">
        <v>78996873</v>
      </c>
      <c r="B4419" s="11">
        <v>44614</v>
      </c>
      <c r="C4419" s="13" t="s">
        <v>4466</v>
      </c>
      <c r="D4419" s="13" t="s">
        <v>5844</v>
      </c>
      <c r="E4419" s="8">
        <v>464112.73</v>
      </c>
      <c r="F4419" s="13" t="s">
        <v>70</v>
      </c>
      <c r="G4419" s="14">
        <v>44620</v>
      </c>
      <c r="H4419" s="13" t="s">
        <v>29</v>
      </c>
    </row>
    <row r="4420" spans="1:8" ht="14.4" x14ac:dyDescent="0.3">
      <c r="A4420" s="8">
        <v>78996874</v>
      </c>
      <c r="B4420" s="11">
        <v>44615</v>
      </c>
      <c r="C4420" s="13" t="s">
        <v>673</v>
      </c>
      <c r="D4420" s="13" t="s">
        <v>5845</v>
      </c>
      <c r="E4420" s="8">
        <v>196000</v>
      </c>
      <c r="F4420" s="13" t="s">
        <v>70</v>
      </c>
      <c r="G4420" s="14">
        <v>44622</v>
      </c>
      <c r="H4420" s="13" t="s">
        <v>29</v>
      </c>
    </row>
    <row r="4421" spans="1:8" ht="14.4" x14ac:dyDescent="0.3">
      <c r="A4421" s="8">
        <v>78996875</v>
      </c>
      <c r="B4421" s="11">
        <v>44615</v>
      </c>
      <c r="C4421" s="13" t="s">
        <v>5846</v>
      </c>
      <c r="D4421" s="13" t="s">
        <v>5847</v>
      </c>
      <c r="E4421" s="8">
        <v>105000</v>
      </c>
      <c r="F4421" s="13" t="s">
        <v>70</v>
      </c>
      <c r="G4421" s="14">
        <v>44620</v>
      </c>
      <c r="H4421" s="13" t="s">
        <v>29</v>
      </c>
    </row>
    <row r="4422" spans="1:8" ht="14.4" x14ac:dyDescent="0.3">
      <c r="A4422" s="8">
        <v>78996876</v>
      </c>
      <c r="B4422" s="11">
        <v>44616</v>
      </c>
      <c r="C4422" s="13" t="s">
        <v>1424</v>
      </c>
      <c r="D4422" s="13" t="s">
        <v>5848</v>
      </c>
      <c r="E4422" s="8">
        <v>36863.39</v>
      </c>
      <c r="F4422" s="13" t="s">
        <v>70</v>
      </c>
      <c r="G4422" s="14">
        <v>44622</v>
      </c>
      <c r="H4422" s="13" t="s">
        <v>29</v>
      </c>
    </row>
    <row r="4423" spans="1:8" ht="14.4" x14ac:dyDescent="0.3">
      <c r="A4423" s="8">
        <v>78996877</v>
      </c>
      <c r="B4423" s="11">
        <v>44616</v>
      </c>
      <c r="C4423" s="13" t="s">
        <v>1424</v>
      </c>
      <c r="D4423" s="13" t="s">
        <v>2839</v>
      </c>
      <c r="E4423" s="8">
        <v>276025.89</v>
      </c>
      <c r="F4423" s="13" t="s">
        <v>70</v>
      </c>
      <c r="G4423" s="14">
        <v>44622</v>
      </c>
      <c r="H4423" s="13" t="s">
        <v>29</v>
      </c>
    </row>
    <row r="4424" spans="1:8" ht="14.4" x14ac:dyDescent="0.3">
      <c r="A4424" s="8">
        <v>78996878</v>
      </c>
      <c r="B4424" s="11">
        <v>44616</v>
      </c>
      <c r="C4424" s="13" t="s">
        <v>188</v>
      </c>
      <c r="D4424" s="13" t="s">
        <v>1455</v>
      </c>
      <c r="E4424" s="8">
        <v>34610.54</v>
      </c>
      <c r="F4424" s="13" t="s">
        <v>70</v>
      </c>
      <c r="G4424" s="14">
        <v>44620</v>
      </c>
      <c r="H4424" s="13" t="s">
        <v>29</v>
      </c>
    </row>
    <row r="4425" spans="1:8" ht="14.4" x14ac:dyDescent="0.3">
      <c r="A4425" s="8">
        <v>78996879</v>
      </c>
      <c r="B4425" s="11">
        <v>44616</v>
      </c>
      <c r="C4425" s="13" t="s">
        <v>2624</v>
      </c>
      <c r="D4425" s="13" t="s">
        <v>5849</v>
      </c>
      <c r="E4425" s="8">
        <v>600</v>
      </c>
      <c r="F4425" s="13" t="s">
        <v>70</v>
      </c>
      <c r="G4425" s="14">
        <v>44620</v>
      </c>
      <c r="H4425" s="13" t="s">
        <v>29</v>
      </c>
    </row>
    <row r="4426" spans="1:8" ht="14.4" x14ac:dyDescent="0.3">
      <c r="A4426" s="8">
        <v>78996880</v>
      </c>
      <c r="B4426" s="11">
        <v>44622</v>
      </c>
      <c r="C4426" s="13" t="s">
        <v>188</v>
      </c>
      <c r="D4426" s="13" t="s">
        <v>5850</v>
      </c>
      <c r="E4426" s="8">
        <v>963.99</v>
      </c>
      <c r="F4426" s="13" t="s">
        <v>70</v>
      </c>
      <c r="G4426" s="14">
        <v>44623</v>
      </c>
      <c r="H4426" s="13" t="s">
        <v>29</v>
      </c>
    </row>
    <row r="4427" spans="1:8" ht="14.4" x14ac:dyDescent="0.3">
      <c r="A4427" s="8">
        <v>78996881</v>
      </c>
      <c r="B4427" s="11">
        <v>44622</v>
      </c>
      <c r="C4427" s="13" t="s">
        <v>5851</v>
      </c>
      <c r="D4427" s="13" t="s">
        <v>5852</v>
      </c>
      <c r="E4427" s="8">
        <v>9290964.7799999993</v>
      </c>
      <c r="F4427" s="13" t="s">
        <v>70</v>
      </c>
      <c r="G4427" s="14">
        <v>44624</v>
      </c>
      <c r="H4427" s="13" t="s">
        <v>29</v>
      </c>
    </row>
    <row r="4428" spans="1:8" ht="14.4" x14ac:dyDescent="0.3">
      <c r="A4428" s="8">
        <v>78996882</v>
      </c>
      <c r="B4428" s="11">
        <v>44624</v>
      </c>
      <c r="C4428" s="13" t="s">
        <v>2485</v>
      </c>
      <c r="D4428" s="13" t="s">
        <v>5853</v>
      </c>
      <c r="E4428" s="8">
        <v>871229.81</v>
      </c>
      <c r="F4428" s="13" t="s">
        <v>70</v>
      </c>
      <c r="G4428" s="14">
        <v>44627</v>
      </c>
      <c r="H4428" s="13" t="s">
        <v>29</v>
      </c>
    </row>
    <row r="4429" spans="1:8" ht="14.4" x14ac:dyDescent="0.3">
      <c r="A4429" s="8">
        <v>78996883</v>
      </c>
      <c r="B4429" s="11">
        <v>44624</v>
      </c>
      <c r="C4429" s="13" t="s">
        <v>1924</v>
      </c>
      <c r="D4429" s="13" t="s">
        <v>5854</v>
      </c>
      <c r="E4429" s="8">
        <v>72507.149999999994</v>
      </c>
      <c r="F4429" s="13" t="s">
        <v>70</v>
      </c>
      <c r="G4429" s="14">
        <v>44670</v>
      </c>
      <c r="H4429" s="13" t="s">
        <v>29</v>
      </c>
    </row>
    <row r="4430" spans="1:8" ht="14.4" x14ac:dyDescent="0.3">
      <c r="A4430" s="8">
        <v>78996884</v>
      </c>
      <c r="B4430" s="11">
        <v>44624</v>
      </c>
      <c r="C4430" s="13" t="s">
        <v>53</v>
      </c>
      <c r="D4430" s="13" t="s">
        <v>5855</v>
      </c>
      <c r="E4430" s="8">
        <v>106075.2</v>
      </c>
      <c r="F4430" s="13" t="s">
        <v>70</v>
      </c>
      <c r="G4430" s="14">
        <v>44631</v>
      </c>
      <c r="H4430" s="13" t="s">
        <v>29</v>
      </c>
    </row>
    <row r="4431" spans="1:8" ht="14.4" x14ac:dyDescent="0.3">
      <c r="A4431" s="8">
        <v>78996885</v>
      </c>
      <c r="B4431" s="11">
        <v>44624</v>
      </c>
      <c r="C4431" s="13" t="s">
        <v>52</v>
      </c>
      <c r="D4431" s="13" t="s">
        <v>5856</v>
      </c>
      <c r="E4431" s="8">
        <v>153258.96</v>
      </c>
      <c r="F4431" s="13" t="s">
        <v>70</v>
      </c>
      <c r="G4431" s="14">
        <v>44628</v>
      </c>
      <c r="H4431" s="13" t="s">
        <v>29</v>
      </c>
    </row>
    <row r="4432" spans="1:8" ht="14.4" x14ac:dyDescent="0.3">
      <c r="A4432" s="8">
        <v>78996886</v>
      </c>
      <c r="B4432" s="11">
        <v>44624</v>
      </c>
      <c r="C4432" s="13" t="s">
        <v>201</v>
      </c>
      <c r="D4432" s="13" t="s">
        <v>5857</v>
      </c>
      <c r="E4432" s="8">
        <v>1340837.28</v>
      </c>
      <c r="F4432" s="13" t="s">
        <v>70</v>
      </c>
      <c r="G4432" s="14">
        <v>44642</v>
      </c>
      <c r="H4432" s="13" t="s">
        <v>29</v>
      </c>
    </row>
    <row r="4433" spans="1:8" ht="14.4" x14ac:dyDescent="0.3">
      <c r="A4433" s="8">
        <v>78996887</v>
      </c>
      <c r="B4433" s="11">
        <v>44627</v>
      </c>
      <c r="C4433" s="13" t="s">
        <v>52</v>
      </c>
      <c r="D4433" s="13" t="s">
        <v>5858</v>
      </c>
      <c r="E4433" s="8">
        <v>40223.22</v>
      </c>
      <c r="F4433" s="13" t="s">
        <v>70</v>
      </c>
      <c r="G4433" s="14">
        <v>44638</v>
      </c>
      <c r="H4433" s="13" t="s">
        <v>29</v>
      </c>
    </row>
    <row r="4434" spans="1:8" ht="14.4" x14ac:dyDescent="0.3">
      <c r="A4434" s="8">
        <v>78996888</v>
      </c>
      <c r="B4434" s="11">
        <v>44627</v>
      </c>
      <c r="C4434" s="13" t="s">
        <v>5859</v>
      </c>
      <c r="D4434" s="13" t="s">
        <v>5860</v>
      </c>
      <c r="E4434" s="8">
        <v>145392.79999999999</v>
      </c>
      <c r="F4434" s="13" t="s">
        <v>70</v>
      </c>
      <c r="G4434" s="14">
        <v>44636</v>
      </c>
      <c r="H4434" s="13" t="s">
        <v>29</v>
      </c>
    </row>
    <row r="4435" spans="1:8" ht="14.4" x14ac:dyDescent="0.3">
      <c r="A4435" s="8">
        <v>78996889</v>
      </c>
      <c r="B4435" s="11">
        <v>44627</v>
      </c>
      <c r="C4435" s="13" t="s">
        <v>186</v>
      </c>
      <c r="D4435" s="13" t="s">
        <v>5861</v>
      </c>
      <c r="E4435" s="8">
        <v>8383.76</v>
      </c>
      <c r="F4435" s="13" t="s">
        <v>70</v>
      </c>
      <c r="G4435" s="14">
        <v>44628</v>
      </c>
      <c r="H4435" s="13" t="s">
        <v>29</v>
      </c>
    </row>
    <row r="4436" spans="1:8" ht="14.4" x14ac:dyDescent="0.3">
      <c r="A4436" s="8">
        <v>78996890</v>
      </c>
      <c r="B4436" s="11">
        <v>44628</v>
      </c>
      <c r="C4436" s="13" t="s">
        <v>184</v>
      </c>
      <c r="D4436" s="13" t="s">
        <v>5862</v>
      </c>
      <c r="E4436" s="8">
        <v>33670.58</v>
      </c>
      <c r="F4436" s="13" t="s">
        <v>70</v>
      </c>
      <c r="G4436" s="14">
        <v>44629</v>
      </c>
      <c r="H4436" s="13" t="s">
        <v>29</v>
      </c>
    </row>
    <row r="4437" spans="1:8" ht="14.4" x14ac:dyDescent="0.3">
      <c r="A4437" s="8">
        <v>78996891</v>
      </c>
      <c r="B4437" s="11">
        <v>44628</v>
      </c>
      <c r="C4437" s="13" t="s">
        <v>184</v>
      </c>
      <c r="D4437" s="13" t="s">
        <v>5862</v>
      </c>
      <c r="E4437" s="8">
        <v>21000</v>
      </c>
      <c r="F4437" s="13" t="s">
        <v>70</v>
      </c>
      <c r="G4437" s="14">
        <v>44629</v>
      </c>
      <c r="H4437" s="13" t="s">
        <v>29</v>
      </c>
    </row>
    <row r="4438" spans="1:8" ht="14.4" x14ac:dyDescent="0.3">
      <c r="A4438" s="8">
        <v>78996892</v>
      </c>
      <c r="B4438" s="11">
        <v>44628</v>
      </c>
      <c r="C4438" s="13" t="s">
        <v>374</v>
      </c>
      <c r="D4438" s="13" t="s">
        <v>5863</v>
      </c>
      <c r="E4438" s="8">
        <v>230848.8</v>
      </c>
      <c r="F4438" s="13" t="s">
        <v>70</v>
      </c>
      <c r="G4438" s="14">
        <v>44636</v>
      </c>
      <c r="H4438" s="13" t="s">
        <v>29</v>
      </c>
    </row>
    <row r="4439" spans="1:8" ht="14.4" x14ac:dyDescent="0.3">
      <c r="A4439" s="8">
        <v>78996893</v>
      </c>
      <c r="B4439" s="11">
        <v>44628</v>
      </c>
      <c r="C4439" s="13" t="s">
        <v>4466</v>
      </c>
      <c r="D4439" s="13" t="s">
        <v>5864</v>
      </c>
      <c r="E4439" s="8">
        <v>306071.67999999999</v>
      </c>
      <c r="F4439" s="13" t="s">
        <v>70</v>
      </c>
      <c r="G4439" s="14">
        <v>44649</v>
      </c>
      <c r="H4439" s="13" t="s">
        <v>29</v>
      </c>
    </row>
    <row r="4440" spans="1:8" ht="14.4" x14ac:dyDescent="0.3">
      <c r="A4440" s="8">
        <v>78996894</v>
      </c>
      <c r="B4440" s="11">
        <v>44629</v>
      </c>
      <c r="C4440" s="13" t="s">
        <v>52</v>
      </c>
      <c r="D4440" s="13" t="s">
        <v>5865</v>
      </c>
      <c r="E4440" s="8">
        <v>42116.07</v>
      </c>
      <c r="F4440" s="13" t="s">
        <v>70</v>
      </c>
      <c r="G4440" s="14">
        <v>44638</v>
      </c>
      <c r="H4440" s="13" t="s">
        <v>29</v>
      </c>
    </row>
    <row r="4441" spans="1:8" ht="14.4" x14ac:dyDescent="0.3">
      <c r="A4441" s="8">
        <v>78996895</v>
      </c>
      <c r="B4441" s="11">
        <v>44629</v>
      </c>
      <c r="C4441" s="13" t="s">
        <v>53</v>
      </c>
      <c r="D4441" s="13" t="s">
        <v>5866</v>
      </c>
      <c r="E4441" s="8">
        <v>53475.66</v>
      </c>
      <c r="F4441" s="13" t="s">
        <v>70</v>
      </c>
      <c r="G4441" s="14">
        <v>44631</v>
      </c>
      <c r="H4441" s="13" t="s">
        <v>29</v>
      </c>
    </row>
    <row r="4442" spans="1:8" ht="14.4" x14ac:dyDescent="0.3">
      <c r="A4442" s="8">
        <v>78996896</v>
      </c>
      <c r="B4442" s="11">
        <v>44629</v>
      </c>
      <c r="C4442" s="13" t="s">
        <v>5828</v>
      </c>
      <c r="D4442" s="13" t="s">
        <v>5867</v>
      </c>
      <c r="E4442" s="8">
        <v>142500</v>
      </c>
      <c r="F4442" s="13" t="s">
        <v>70</v>
      </c>
      <c r="G4442" s="14">
        <v>44642</v>
      </c>
      <c r="H4442" s="13" t="s">
        <v>29</v>
      </c>
    </row>
    <row r="4443" spans="1:8" ht="14.4" x14ac:dyDescent="0.3">
      <c r="A4443" s="8">
        <v>78996897</v>
      </c>
      <c r="B4443" s="11">
        <v>44635</v>
      </c>
      <c r="C4443" s="13" t="s">
        <v>180</v>
      </c>
      <c r="D4443" s="13" t="s">
        <v>181</v>
      </c>
      <c r="E4443" s="8">
        <v>10000</v>
      </c>
      <c r="F4443" s="13" t="s">
        <v>70</v>
      </c>
      <c r="G4443" s="14">
        <v>44635</v>
      </c>
      <c r="H4443" s="13" t="s">
        <v>29</v>
      </c>
    </row>
    <row r="4444" spans="1:8" ht="14.4" x14ac:dyDescent="0.3">
      <c r="A4444" s="8">
        <v>78996898</v>
      </c>
      <c r="B4444" s="11">
        <v>44635</v>
      </c>
      <c r="C4444" s="13" t="s">
        <v>376</v>
      </c>
      <c r="D4444" s="13" t="s">
        <v>5868</v>
      </c>
      <c r="E4444" s="8">
        <v>52626</v>
      </c>
      <c r="F4444" s="13" t="s">
        <v>70</v>
      </c>
      <c r="G4444" s="14">
        <v>44636</v>
      </c>
      <c r="H4444" s="13" t="s">
        <v>29</v>
      </c>
    </row>
    <row r="4445" spans="1:8" ht="14.4" x14ac:dyDescent="0.3">
      <c r="A4445" s="8">
        <v>78996899</v>
      </c>
      <c r="B4445" s="11">
        <v>44635</v>
      </c>
      <c r="C4445" s="13" t="s">
        <v>376</v>
      </c>
      <c r="D4445" s="13" t="s">
        <v>5869</v>
      </c>
      <c r="E4445" s="8">
        <v>121794.4</v>
      </c>
      <c r="F4445" s="13" t="s">
        <v>70</v>
      </c>
      <c r="G4445" s="14">
        <v>44636</v>
      </c>
      <c r="H4445" s="13" t="s">
        <v>29</v>
      </c>
    </row>
    <row r="4446" spans="1:8" ht="14.4" x14ac:dyDescent="0.3">
      <c r="A4446" s="8">
        <v>78996900</v>
      </c>
      <c r="B4446" s="11">
        <v>44635</v>
      </c>
      <c r="C4446" s="13" t="s">
        <v>374</v>
      </c>
      <c r="D4446" s="13" t="s">
        <v>5870</v>
      </c>
      <c r="E4446" s="8">
        <v>170549.4</v>
      </c>
      <c r="F4446" s="13" t="s">
        <v>70</v>
      </c>
      <c r="G4446" s="14">
        <v>44636</v>
      </c>
      <c r="H4446" s="13" t="s">
        <v>29</v>
      </c>
    </row>
    <row r="4447" spans="1:8" ht="14.4" x14ac:dyDescent="0.3">
      <c r="A4447" s="8">
        <v>78996901</v>
      </c>
      <c r="B4447" s="11">
        <v>44635</v>
      </c>
      <c r="C4447" s="13" t="s">
        <v>376</v>
      </c>
      <c r="D4447" s="13" t="s">
        <v>5871</v>
      </c>
      <c r="E4447" s="8">
        <v>42541.8</v>
      </c>
      <c r="F4447" s="13" t="s">
        <v>70</v>
      </c>
      <c r="G4447" s="14">
        <v>44636</v>
      </c>
      <c r="H4447" s="13" t="s">
        <v>29</v>
      </c>
    </row>
    <row r="4448" spans="1:8" ht="14.4" x14ac:dyDescent="0.3">
      <c r="A4448" s="8">
        <v>78996902</v>
      </c>
      <c r="B4448" s="11">
        <v>44635</v>
      </c>
      <c r="C4448" s="13" t="s">
        <v>376</v>
      </c>
      <c r="D4448" s="13" t="s">
        <v>5872</v>
      </c>
      <c r="E4448" s="8">
        <v>41169.800000000003</v>
      </c>
      <c r="F4448" s="13" t="s">
        <v>70</v>
      </c>
      <c r="G4448" s="14">
        <v>44636</v>
      </c>
      <c r="H4448" s="13" t="s">
        <v>29</v>
      </c>
    </row>
    <row r="4449" spans="1:8" ht="14.4" x14ac:dyDescent="0.3">
      <c r="A4449" s="8">
        <v>78996903</v>
      </c>
      <c r="B4449" s="11">
        <v>44635</v>
      </c>
      <c r="C4449" s="13" t="s">
        <v>374</v>
      </c>
      <c r="D4449" s="13" t="s">
        <v>5873</v>
      </c>
      <c r="E4449" s="8">
        <v>80712.800000000003</v>
      </c>
      <c r="F4449" s="13" t="s">
        <v>70</v>
      </c>
      <c r="G4449" s="14">
        <v>44636</v>
      </c>
      <c r="H4449" s="13" t="s">
        <v>29</v>
      </c>
    </row>
    <row r="4450" spans="1:8" ht="14.4" x14ac:dyDescent="0.3">
      <c r="A4450" s="8">
        <v>78996904</v>
      </c>
      <c r="B4450" s="11">
        <v>44635</v>
      </c>
      <c r="C4450" s="13" t="s">
        <v>52</v>
      </c>
      <c r="D4450" s="13" t="s">
        <v>5874</v>
      </c>
      <c r="E4450" s="8">
        <v>42863.74</v>
      </c>
      <c r="F4450" s="13" t="s">
        <v>70</v>
      </c>
      <c r="G4450" s="14">
        <v>44638</v>
      </c>
      <c r="H4450" s="13" t="s">
        <v>29</v>
      </c>
    </row>
    <row r="4451" spans="1:8" ht="14.4" x14ac:dyDescent="0.3">
      <c r="A4451" s="8">
        <v>78996905</v>
      </c>
      <c r="B4451" s="11">
        <v>44635</v>
      </c>
      <c r="C4451" s="13" t="s">
        <v>52</v>
      </c>
      <c r="D4451" s="13" t="s">
        <v>5875</v>
      </c>
      <c r="E4451" s="8">
        <v>63180.74</v>
      </c>
      <c r="F4451" s="13" t="s">
        <v>70</v>
      </c>
      <c r="G4451" s="14">
        <v>44638</v>
      </c>
      <c r="H4451" s="13" t="s">
        <v>29</v>
      </c>
    </row>
    <row r="4452" spans="1:8" ht="14.4" x14ac:dyDescent="0.3">
      <c r="A4452" s="8">
        <v>78996906</v>
      </c>
      <c r="B4452" s="11">
        <v>44635</v>
      </c>
      <c r="C4452" s="13" t="s">
        <v>5876</v>
      </c>
      <c r="D4452" s="13" t="s">
        <v>5877</v>
      </c>
      <c r="E4452" s="8">
        <v>863067.76</v>
      </c>
      <c r="F4452" s="13" t="s">
        <v>70</v>
      </c>
      <c r="G4452" s="14">
        <v>44637</v>
      </c>
      <c r="H4452" s="13" t="s">
        <v>29</v>
      </c>
    </row>
    <row r="4453" spans="1:8" ht="14.4" x14ac:dyDescent="0.3">
      <c r="A4453" s="8">
        <v>78996907</v>
      </c>
      <c r="B4453" s="11">
        <v>44637</v>
      </c>
      <c r="C4453" s="13" t="s">
        <v>52</v>
      </c>
      <c r="D4453" s="13" t="s">
        <v>5878</v>
      </c>
      <c r="E4453" s="8">
        <v>96531.93</v>
      </c>
      <c r="F4453" s="13" t="s">
        <v>70</v>
      </c>
      <c r="G4453" s="14">
        <v>44638</v>
      </c>
      <c r="H4453" s="13" t="s">
        <v>29</v>
      </c>
    </row>
    <row r="4454" spans="1:8" ht="14.4" x14ac:dyDescent="0.3">
      <c r="A4454" s="8">
        <v>78996908</v>
      </c>
      <c r="B4454" s="11">
        <v>44637</v>
      </c>
      <c r="C4454" s="13" t="s">
        <v>376</v>
      </c>
      <c r="D4454" s="13" t="s">
        <v>5879</v>
      </c>
      <c r="E4454" s="8">
        <v>48833.4</v>
      </c>
      <c r="F4454" s="13" t="s">
        <v>70</v>
      </c>
      <c r="G4454" s="14">
        <v>44644</v>
      </c>
      <c r="H4454" s="13" t="s">
        <v>29</v>
      </c>
    </row>
    <row r="4455" spans="1:8" ht="14.4" x14ac:dyDescent="0.3">
      <c r="A4455" s="8">
        <v>78996909</v>
      </c>
      <c r="B4455" s="11">
        <v>44637</v>
      </c>
      <c r="C4455" s="13" t="s">
        <v>374</v>
      </c>
      <c r="D4455" s="13" t="s">
        <v>5880</v>
      </c>
      <c r="E4455" s="8">
        <v>82810</v>
      </c>
      <c r="F4455" s="13" t="s">
        <v>70</v>
      </c>
      <c r="G4455" s="14">
        <v>44644</v>
      </c>
      <c r="H4455" s="13" t="s">
        <v>29</v>
      </c>
    </row>
    <row r="4456" spans="1:8" ht="14.4" x14ac:dyDescent="0.3">
      <c r="A4456" s="8">
        <v>78996910</v>
      </c>
      <c r="B4456" s="11">
        <v>44637</v>
      </c>
      <c r="C4456" s="13" t="s">
        <v>1622</v>
      </c>
      <c r="D4456" s="13" t="s">
        <v>5881</v>
      </c>
      <c r="E4456" s="8">
        <v>232750</v>
      </c>
      <c r="F4456" s="13" t="s">
        <v>70</v>
      </c>
      <c r="G4456" s="14">
        <v>44641</v>
      </c>
      <c r="H4456" s="13" t="s">
        <v>29</v>
      </c>
    </row>
    <row r="4457" spans="1:8" ht="14.4" x14ac:dyDescent="0.3">
      <c r="A4457" s="8">
        <v>78996911</v>
      </c>
      <c r="B4457" s="11">
        <v>44637</v>
      </c>
      <c r="C4457" s="13" t="s">
        <v>5882</v>
      </c>
      <c r="D4457" s="13" t="s">
        <v>5883</v>
      </c>
      <c r="E4457" s="8">
        <v>3099041.55</v>
      </c>
      <c r="F4457" s="13" t="s">
        <v>70</v>
      </c>
      <c r="G4457" s="14">
        <v>44638</v>
      </c>
      <c r="H4457" s="13" t="s">
        <v>29</v>
      </c>
    </row>
    <row r="4458" spans="1:8" ht="14.4" x14ac:dyDescent="0.3">
      <c r="A4458" s="8">
        <v>78996912</v>
      </c>
      <c r="B4458" s="11">
        <v>44637</v>
      </c>
      <c r="C4458" s="13" t="s">
        <v>5876</v>
      </c>
      <c r="D4458" s="13" t="s">
        <v>5884</v>
      </c>
      <c r="E4458" s="8">
        <v>1501003.54</v>
      </c>
      <c r="F4458" s="13" t="s">
        <v>70</v>
      </c>
      <c r="G4458" s="14">
        <v>44638</v>
      </c>
      <c r="H4458" s="13" t="s">
        <v>29</v>
      </c>
    </row>
    <row r="4459" spans="1:8" ht="14.4" x14ac:dyDescent="0.3">
      <c r="A4459" s="8">
        <v>78996913</v>
      </c>
      <c r="B4459" s="11">
        <v>44637</v>
      </c>
      <c r="C4459" s="13" t="s">
        <v>2624</v>
      </c>
      <c r="D4459" s="13" t="s">
        <v>5885</v>
      </c>
      <c r="E4459" s="8">
        <v>7500</v>
      </c>
      <c r="F4459" s="13" t="s">
        <v>70</v>
      </c>
      <c r="G4459" s="14">
        <v>44638</v>
      </c>
      <c r="H4459" s="13" t="s">
        <v>29</v>
      </c>
    </row>
    <row r="4460" spans="1:8" ht="14.4" x14ac:dyDescent="0.3">
      <c r="A4460" s="8">
        <v>78996914</v>
      </c>
      <c r="B4460" s="11">
        <v>44637</v>
      </c>
      <c r="C4460" s="13" t="s">
        <v>1622</v>
      </c>
      <c r="D4460" s="13" t="s">
        <v>5886</v>
      </c>
      <c r="E4460" s="8">
        <v>245000</v>
      </c>
      <c r="F4460" s="13" t="s">
        <v>70</v>
      </c>
      <c r="G4460" s="14">
        <v>44641</v>
      </c>
      <c r="H4460" s="13" t="s">
        <v>29</v>
      </c>
    </row>
    <row r="4461" spans="1:8" ht="14.4" x14ac:dyDescent="0.3">
      <c r="A4461" s="8">
        <v>78996915</v>
      </c>
      <c r="B4461" s="11">
        <v>44637</v>
      </c>
      <c r="C4461" s="13" t="s">
        <v>52</v>
      </c>
      <c r="D4461" s="13" t="s">
        <v>5887</v>
      </c>
      <c r="E4461" s="8">
        <v>52139.7</v>
      </c>
      <c r="F4461" s="13" t="s">
        <v>70</v>
      </c>
      <c r="G4461" s="14">
        <v>44638</v>
      </c>
      <c r="H4461" s="13" t="s">
        <v>29</v>
      </c>
    </row>
    <row r="4462" spans="1:8" ht="14.4" x14ac:dyDescent="0.3">
      <c r="A4462" s="8">
        <v>78996916</v>
      </c>
      <c r="B4462" s="11">
        <v>44637</v>
      </c>
      <c r="C4462" s="13" t="s">
        <v>52</v>
      </c>
      <c r="D4462" s="13" t="s">
        <v>5888</v>
      </c>
      <c r="E4462" s="8">
        <v>44515.26</v>
      </c>
      <c r="F4462" s="13" t="s">
        <v>70</v>
      </c>
      <c r="G4462" s="14">
        <v>44638</v>
      </c>
      <c r="H4462" s="13" t="s">
        <v>29</v>
      </c>
    </row>
    <row r="4463" spans="1:8" ht="14.4" x14ac:dyDescent="0.3">
      <c r="A4463" s="8">
        <v>78996917</v>
      </c>
      <c r="B4463" s="11">
        <v>44637</v>
      </c>
      <c r="C4463" s="13" t="s">
        <v>5889</v>
      </c>
      <c r="D4463" s="13" t="s">
        <v>5890</v>
      </c>
      <c r="E4463" s="8">
        <v>62829</v>
      </c>
      <c r="F4463" s="13" t="s">
        <v>70</v>
      </c>
      <c r="G4463" s="14">
        <v>44650</v>
      </c>
      <c r="H4463" s="13" t="s">
        <v>29</v>
      </c>
    </row>
    <row r="4464" spans="1:8" ht="14.4" x14ac:dyDescent="0.3">
      <c r="A4464" s="8">
        <v>78996918</v>
      </c>
      <c r="B4464" s="11">
        <v>44637</v>
      </c>
      <c r="C4464" s="13" t="s">
        <v>1542</v>
      </c>
      <c r="D4464" s="13" t="s">
        <v>5891</v>
      </c>
      <c r="E4464" s="8">
        <v>2204543.89</v>
      </c>
      <c r="F4464" s="13" t="s">
        <v>70</v>
      </c>
      <c r="G4464" s="14">
        <v>44644</v>
      </c>
      <c r="H4464" s="13" t="s">
        <v>29</v>
      </c>
    </row>
    <row r="4465" spans="1:8" ht="14.4" x14ac:dyDescent="0.3">
      <c r="A4465" s="8">
        <v>78996919</v>
      </c>
      <c r="B4465" s="11">
        <v>44638</v>
      </c>
      <c r="C4465" s="13" t="s">
        <v>1956</v>
      </c>
      <c r="D4465" s="13" t="s">
        <v>5892</v>
      </c>
      <c r="E4465" s="8">
        <v>2696266.12</v>
      </c>
      <c r="F4465" s="13" t="s">
        <v>70</v>
      </c>
      <c r="G4465" s="14">
        <v>44642</v>
      </c>
      <c r="H4465" s="13" t="s">
        <v>29</v>
      </c>
    </row>
    <row r="4466" spans="1:8" ht="14.4" x14ac:dyDescent="0.3">
      <c r="A4466" s="8">
        <v>78996920</v>
      </c>
      <c r="B4466" s="11">
        <v>44641</v>
      </c>
      <c r="C4466" s="13" t="s">
        <v>1755</v>
      </c>
      <c r="D4466" s="13" t="s">
        <v>5893</v>
      </c>
      <c r="E4466" s="8">
        <v>84307.85</v>
      </c>
      <c r="F4466" s="13" t="s">
        <v>70</v>
      </c>
      <c r="G4466" s="14">
        <v>44642</v>
      </c>
      <c r="H4466" s="13" t="s">
        <v>29</v>
      </c>
    </row>
    <row r="4467" spans="1:8" ht="14.4" x14ac:dyDescent="0.3">
      <c r="A4467" s="8">
        <v>78996921</v>
      </c>
      <c r="B4467" s="11">
        <v>44641</v>
      </c>
      <c r="C4467" s="13" t="s">
        <v>2571</v>
      </c>
      <c r="D4467" s="13" t="s">
        <v>5894</v>
      </c>
      <c r="E4467" s="8">
        <v>32241.43</v>
      </c>
      <c r="F4467" s="13" t="s">
        <v>70</v>
      </c>
      <c r="G4467" s="14">
        <v>44655</v>
      </c>
      <c r="H4467" s="13" t="s">
        <v>29</v>
      </c>
    </row>
    <row r="4468" spans="1:8" ht="14.4" x14ac:dyDescent="0.3">
      <c r="A4468" s="8">
        <v>78996922</v>
      </c>
      <c r="B4468" s="11">
        <v>44641</v>
      </c>
      <c r="C4468" s="13" t="s">
        <v>1755</v>
      </c>
      <c r="D4468" s="13" t="s">
        <v>5895</v>
      </c>
      <c r="E4468" s="8">
        <v>75771.070000000007</v>
      </c>
      <c r="F4468" s="13" t="s">
        <v>70</v>
      </c>
      <c r="G4468" s="14">
        <v>44642</v>
      </c>
      <c r="H4468" s="13" t="s">
        <v>29</v>
      </c>
    </row>
    <row r="4469" spans="1:8" ht="14.4" x14ac:dyDescent="0.3">
      <c r="A4469" s="8">
        <v>78996923</v>
      </c>
      <c r="B4469" s="11">
        <v>44641</v>
      </c>
      <c r="C4469" s="13" t="s">
        <v>1956</v>
      </c>
      <c r="D4469" s="13" t="s">
        <v>5896</v>
      </c>
      <c r="E4469" s="8">
        <v>2696266.12</v>
      </c>
      <c r="F4469" s="13" t="s">
        <v>70</v>
      </c>
      <c r="G4469" s="14">
        <v>44642</v>
      </c>
      <c r="H4469" s="13" t="s">
        <v>29</v>
      </c>
    </row>
    <row r="4470" spans="1:8" ht="14.4" x14ac:dyDescent="0.3">
      <c r="A4470" s="8">
        <v>78996924</v>
      </c>
      <c r="B4470" s="11">
        <v>44642</v>
      </c>
      <c r="C4470" s="13" t="s">
        <v>1755</v>
      </c>
      <c r="D4470" s="13" t="s">
        <v>5897</v>
      </c>
      <c r="E4470" s="8">
        <v>54494.41</v>
      </c>
      <c r="F4470" s="13" t="s">
        <v>70</v>
      </c>
      <c r="G4470" s="14">
        <v>44644</v>
      </c>
      <c r="H4470" s="13" t="s">
        <v>29</v>
      </c>
    </row>
    <row r="4471" spans="1:8" ht="14.4" x14ac:dyDescent="0.3">
      <c r="A4471" s="8">
        <v>78996925</v>
      </c>
      <c r="B4471" s="11">
        <v>44642</v>
      </c>
      <c r="C4471" s="13" t="s">
        <v>5898</v>
      </c>
      <c r="D4471" s="13" t="s">
        <v>5899</v>
      </c>
      <c r="E4471" s="8">
        <v>77100</v>
      </c>
      <c r="F4471" s="13" t="s">
        <v>70</v>
      </c>
      <c r="G4471" s="14">
        <v>44650</v>
      </c>
      <c r="H4471" s="13" t="s">
        <v>29</v>
      </c>
    </row>
    <row r="4472" spans="1:8" ht="14.4" x14ac:dyDescent="0.3">
      <c r="A4472" s="8">
        <v>78996926</v>
      </c>
      <c r="B4472" s="11">
        <v>44642</v>
      </c>
      <c r="C4472" s="13" t="s">
        <v>127</v>
      </c>
      <c r="D4472" s="13" t="s">
        <v>5900</v>
      </c>
      <c r="E4472" s="8">
        <v>4514.46</v>
      </c>
      <c r="F4472" s="13" t="s">
        <v>70</v>
      </c>
      <c r="G4472" s="14">
        <v>44645</v>
      </c>
      <c r="H4472" s="13" t="s">
        <v>29</v>
      </c>
    </row>
    <row r="4473" spans="1:8" ht="14.4" x14ac:dyDescent="0.3">
      <c r="A4473" s="8">
        <v>78996927</v>
      </c>
      <c r="B4473" s="11">
        <v>44642</v>
      </c>
      <c r="C4473" s="13" t="s">
        <v>1755</v>
      </c>
      <c r="D4473" s="13" t="s">
        <v>5901</v>
      </c>
      <c r="E4473" s="8">
        <v>53046.37</v>
      </c>
      <c r="F4473" s="13" t="s">
        <v>70</v>
      </c>
      <c r="G4473" s="14">
        <v>44644</v>
      </c>
      <c r="H4473" s="13" t="s">
        <v>29</v>
      </c>
    </row>
    <row r="4474" spans="1:8" ht="14.4" x14ac:dyDescent="0.3">
      <c r="A4474" s="8">
        <v>78996928</v>
      </c>
      <c r="B4474" s="11">
        <v>44642</v>
      </c>
      <c r="C4474" s="13" t="s">
        <v>1405</v>
      </c>
      <c r="D4474" s="13" t="s">
        <v>5902</v>
      </c>
      <c r="E4474" s="8">
        <v>170515.95</v>
      </c>
      <c r="F4474" s="13" t="s">
        <v>70</v>
      </c>
      <c r="G4474" s="14">
        <v>44645</v>
      </c>
      <c r="H4474" s="13" t="s">
        <v>29</v>
      </c>
    </row>
    <row r="4475" spans="1:8" ht="14.4" x14ac:dyDescent="0.3">
      <c r="A4475" s="8">
        <v>78996929</v>
      </c>
      <c r="B4475" s="11">
        <v>44644</v>
      </c>
      <c r="C4475" s="13" t="s">
        <v>1540</v>
      </c>
      <c r="D4475" s="13" t="s">
        <v>5903</v>
      </c>
      <c r="E4475" s="8">
        <v>5465413.4800000004</v>
      </c>
      <c r="F4475" s="13" t="s">
        <v>70</v>
      </c>
      <c r="G4475" s="14">
        <v>44644</v>
      </c>
      <c r="H4475" s="13" t="s">
        <v>29</v>
      </c>
    </row>
    <row r="4476" spans="1:8" ht="14.4" x14ac:dyDescent="0.3">
      <c r="A4476" s="8">
        <v>78996930</v>
      </c>
      <c r="B4476" s="11">
        <v>44644</v>
      </c>
      <c r="C4476" s="13" t="s">
        <v>1736</v>
      </c>
      <c r="D4476" s="13" t="s">
        <v>5904</v>
      </c>
      <c r="E4476" s="8">
        <v>154056</v>
      </c>
      <c r="F4476" s="13" t="s">
        <v>70</v>
      </c>
      <c r="G4476" s="14">
        <v>44648</v>
      </c>
      <c r="H4476" s="13" t="s">
        <v>29</v>
      </c>
    </row>
    <row r="4477" spans="1:8" ht="14.4" x14ac:dyDescent="0.3">
      <c r="A4477" s="8">
        <v>78996931</v>
      </c>
      <c r="B4477" s="11">
        <v>44644</v>
      </c>
      <c r="C4477" s="13" t="s">
        <v>1736</v>
      </c>
      <c r="D4477" s="13" t="s">
        <v>5905</v>
      </c>
      <c r="E4477" s="8">
        <v>78400</v>
      </c>
      <c r="F4477" s="13" t="s">
        <v>70</v>
      </c>
      <c r="G4477" s="14">
        <v>44648</v>
      </c>
      <c r="H4477" s="13" t="s">
        <v>29</v>
      </c>
    </row>
    <row r="4478" spans="1:8" ht="14.4" x14ac:dyDescent="0.3">
      <c r="A4478" s="8">
        <v>78996932</v>
      </c>
      <c r="B4478" s="11">
        <v>44644</v>
      </c>
      <c r="C4478" s="13" t="s">
        <v>1736</v>
      </c>
      <c r="D4478" s="13" t="s">
        <v>5906</v>
      </c>
      <c r="E4478" s="8">
        <v>152880</v>
      </c>
      <c r="F4478" s="13" t="s">
        <v>70</v>
      </c>
      <c r="G4478" s="14">
        <v>44648</v>
      </c>
      <c r="H4478" s="13" t="s">
        <v>29</v>
      </c>
    </row>
    <row r="4479" spans="1:8" ht="14.4" x14ac:dyDescent="0.3">
      <c r="A4479" s="8">
        <v>78996933</v>
      </c>
      <c r="B4479" s="11">
        <v>44644</v>
      </c>
      <c r="C4479" s="13" t="s">
        <v>5907</v>
      </c>
      <c r="D4479" s="13" t="s">
        <v>5908</v>
      </c>
      <c r="E4479" s="8">
        <v>3473136.01</v>
      </c>
      <c r="F4479" s="13" t="s">
        <v>70</v>
      </c>
      <c r="G4479" s="14">
        <v>44644</v>
      </c>
      <c r="H4479" s="13" t="s">
        <v>29</v>
      </c>
    </row>
    <row r="4480" spans="1:8" ht="14.4" x14ac:dyDescent="0.3">
      <c r="A4480" s="8">
        <v>78996934</v>
      </c>
      <c r="B4480" s="11">
        <v>44644</v>
      </c>
      <c r="C4480" s="13" t="s">
        <v>53</v>
      </c>
      <c r="D4480" s="13" t="s">
        <v>5909</v>
      </c>
      <c r="E4480" s="8">
        <v>72397.5</v>
      </c>
      <c r="F4480" s="13" t="s">
        <v>70</v>
      </c>
      <c r="G4480" s="14">
        <v>44648</v>
      </c>
      <c r="H4480" s="13" t="s">
        <v>29</v>
      </c>
    </row>
    <row r="4481" spans="1:8" ht="14.4" x14ac:dyDescent="0.3">
      <c r="A4481" s="8">
        <v>78996935</v>
      </c>
      <c r="B4481" s="11">
        <v>44644</v>
      </c>
      <c r="C4481" s="13" t="s">
        <v>1622</v>
      </c>
      <c r="D4481" s="13" t="s">
        <v>5910</v>
      </c>
      <c r="E4481" s="8">
        <v>264600</v>
      </c>
      <c r="F4481" s="13" t="s">
        <v>70</v>
      </c>
      <c r="G4481" s="14">
        <v>44648</v>
      </c>
      <c r="H4481" s="13" t="s">
        <v>29</v>
      </c>
    </row>
    <row r="4482" spans="1:8" ht="14.4" x14ac:dyDescent="0.3">
      <c r="A4482" s="8">
        <v>78996936</v>
      </c>
      <c r="B4482" s="11">
        <v>44644</v>
      </c>
      <c r="C4482" s="13" t="s">
        <v>1736</v>
      </c>
      <c r="D4482" s="13" t="s">
        <v>5911</v>
      </c>
      <c r="E4482" s="8">
        <v>78400</v>
      </c>
      <c r="F4482" s="13" t="s">
        <v>70</v>
      </c>
      <c r="G4482" s="14">
        <v>44648</v>
      </c>
      <c r="H4482" s="13" t="s">
        <v>29</v>
      </c>
    </row>
    <row r="4483" spans="1:8" ht="14.4" x14ac:dyDescent="0.3">
      <c r="A4483" s="8">
        <v>78996938</v>
      </c>
      <c r="B4483" s="11">
        <v>44644</v>
      </c>
      <c r="C4483" s="13" t="s">
        <v>1540</v>
      </c>
      <c r="D4483" s="13" t="s">
        <v>5912</v>
      </c>
      <c r="E4483" s="8">
        <v>6711935.3399999999</v>
      </c>
      <c r="F4483" s="13" t="s">
        <v>70</v>
      </c>
      <c r="G4483" s="14">
        <v>44644</v>
      </c>
      <c r="H4483" s="13" t="s">
        <v>29</v>
      </c>
    </row>
    <row r="4484" spans="1:8" ht="14.4" x14ac:dyDescent="0.3">
      <c r="A4484" s="8">
        <v>78996939</v>
      </c>
      <c r="B4484" s="11">
        <v>44644</v>
      </c>
      <c r="C4484" s="13" t="s">
        <v>53</v>
      </c>
      <c r="D4484" s="13" t="s">
        <v>5913</v>
      </c>
      <c r="E4484" s="8">
        <v>54194.98</v>
      </c>
      <c r="F4484" s="13" t="s">
        <v>70</v>
      </c>
      <c r="G4484" s="14">
        <v>44650</v>
      </c>
      <c r="H4484" s="13" t="s">
        <v>29</v>
      </c>
    </row>
    <row r="4485" spans="1:8" ht="14.4" x14ac:dyDescent="0.3">
      <c r="A4485" s="8">
        <v>78996940</v>
      </c>
      <c r="B4485" s="11">
        <v>44648</v>
      </c>
      <c r="C4485" s="13" t="s">
        <v>1405</v>
      </c>
      <c r="D4485" s="13" t="s">
        <v>3494</v>
      </c>
      <c r="E4485" s="8">
        <v>113571.43</v>
      </c>
      <c r="F4485" s="13" t="s">
        <v>70</v>
      </c>
      <c r="G4485" s="14">
        <v>44650</v>
      </c>
      <c r="H4485" s="13" t="s">
        <v>29</v>
      </c>
    </row>
    <row r="4486" spans="1:8" ht="14.4" x14ac:dyDescent="0.3">
      <c r="A4486" s="8">
        <v>78996941</v>
      </c>
      <c r="B4486" s="11">
        <v>44650</v>
      </c>
      <c r="C4486" s="13" t="s">
        <v>188</v>
      </c>
      <c r="D4486" s="13" t="s">
        <v>5914</v>
      </c>
      <c r="E4486" s="8">
        <v>34674.53</v>
      </c>
      <c r="F4486" s="13" t="s">
        <v>70</v>
      </c>
      <c r="G4486" s="14">
        <v>44651</v>
      </c>
      <c r="H4486" s="13" t="s">
        <v>29</v>
      </c>
    </row>
    <row r="4487" spans="1:8" ht="14.4" x14ac:dyDescent="0.3">
      <c r="A4487" s="8">
        <v>78996942</v>
      </c>
      <c r="B4487" s="11">
        <v>44651</v>
      </c>
      <c r="C4487" s="13" t="s">
        <v>361</v>
      </c>
      <c r="D4487" s="13" t="s">
        <v>5915</v>
      </c>
      <c r="E4487" s="8">
        <v>1211.43</v>
      </c>
      <c r="F4487" s="13" t="s">
        <v>70</v>
      </c>
      <c r="G4487" s="14">
        <v>44656</v>
      </c>
      <c r="H4487" s="13" t="s">
        <v>29</v>
      </c>
    </row>
    <row r="4488" spans="1:8" ht="14.4" x14ac:dyDescent="0.3">
      <c r="A4488" s="8">
        <v>78996943</v>
      </c>
      <c r="B4488" s="11">
        <v>44656</v>
      </c>
      <c r="C4488" s="13" t="s">
        <v>2624</v>
      </c>
      <c r="D4488" s="13" t="s">
        <v>5916</v>
      </c>
      <c r="E4488" s="8">
        <v>2406074.06</v>
      </c>
      <c r="F4488" s="13" t="s">
        <v>70</v>
      </c>
      <c r="G4488" s="14">
        <v>44657</v>
      </c>
      <c r="H4488" s="13" t="s">
        <v>29</v>
      </c>
    </row>
    <row r="4489" spans="1:8" ht="14.4" x14ac:dyDescent="0.3">
      <c r="A4489" s="8">
        <v>78996944</v>
      </c>
      <c r="B4489" s="11">
        <v>44656</v>
      </c>
      <c r="C4489" s="13" t="s">
        <v>186</v>
      </c>
      <c r="D4489" s="13" t="s">
        <v>5917</v>
      </c>
      <c r="E4489" s="8">
        <v>7754.89</v>
      </c>
      <c r="F4489" s="13" t="s">
        <v>70</v>
      </c>
      <c r="G4489" s="14">
        <v>44657</v>
      </c>
      <c r="H4489" s="13" t="s">
        <v>29</v>
      </c>
    </row>
    <row r="4490" spans="1:8" ht="14.4" x14ac:dyDescent="0.3">
      <c r="A4490" s="8">
        <v>78996945</v>
      </c>
      <c r="B4490" s="11">
        <v>44658</v>
      </c>
      <c r="C4490" s="13" t="s">
        <v>4191</v>
      </c>
      <c r="D4490" s="13" t="s">
        <v>5800</v>
      </c>
      <c r="E4490" s="8">
        <v>123564.26</v>
      </c>
      <c r="F4490" s="13" t="s">
        <v>70</v>
      </c>
      <c r="G4490" s="14">
        <v>44677</v>
      </c>
      <c r="H4490" s="13" t="s">
        <v>29</v>
      </c>
    </row>
    <row r="4491" spans="1:8" ht="14.4" x14ac:dyDescent="0.3">
      <c r="A4491" s="8">
        <v>78996946</v>
      </c>
      <c r="B4491" s="11">
        <v>44659</v>
      </c>
      <c r="C4491" s="13" t="s">
        <v>184</v>
      </c>
      <c r="D4491" s="13" t="s">
        <v>5918</v>
      </c>
      <c r="E4491" s="8">
        <v>27191.49</v>
      </c>
      <c r="F4491" s="13" t="s">
        <v>70</v>
      </c>
      <c r="G4491" s="14">
        <v>44662</v>
      </c>
      <c r="H4491" s="13" t="s">
        <v>29</v>
      </c>
    </row>
    <row r="4492" spans="1:8" ht="14.4" x14ac:dyDescent="0.3">
      <c r="A4492" s="8">
        <v>78996947</v>
      </c>
      <c r="B4492" s="11">
        <v>44659</v>
      </c>
      <c r="C4492" s="13" t="s">
        <v>184</v>
      </c>
      <c r="D4492" s="13" t="s">
        <v>5919</v>
      </c>
      <c r="E4492" s="8">
        <v>21200</v>
      </c>
      <c r="F4492" s="13" t="s">
        <v>70</v>
      </c>
      <c r="G4492" s="14">
        <v>44662</v>
      </c>
      <c r="H4492" s="13" t="s">
        <v>29</v>
      </c>
    </row>
    <row r="4493" spans="1:8" ht="14.4" x14ac:dyDescent="0.3">
      <c r="A4493" s="8">
        <v>78996948</v>
      </c>
      <c r="B4493" s="11">
        <v>44662</v>
      </c>
      <c r="C4493" s="13" t="s">
        <v>5920</v>
      </c>
      <c r="D4493" s="13" t="s">
        <v>5921</v>
      </c>
      <c r="E4493" s="8">
        <v>2962436.79</v>
      </c>
      <c r="F4493" s="13" t="s">
        <v>70</v>
      </c>
      <c r="G4493" s="14">
        <v>44663</v>
      </c>
      <c r="H4493" s="13" t="s">
        <v>29</v>
      </c>
    </row>
    <row r="4494" spans="1:8" ht="14.4" x14ac:dyDescent="0.3">
      <c r="A4494" s="8">
        <v>78996949</v>
      </c>
      <c r="B4494" s="11">
        <v>44662</v>
      </c>
      <c r="C4494" s="13" t="s">
        <v>180</v>
      </c>
      <c r="D4494" s="13" t="s">
        <v>5922</v>
      </c>
      <c r="E4494" s="8">
        <v>10000</v>
      </c>
      <c r="F4494" s="13" t="s">
        <v>70</v>
      </c>
      <c r="G4494" s="14">
        <v>44663</v>
      </c>
      <c r="H4494" s="13" t="s">
        <v>29</v>
      </c>
    </row>
    <row r="4495" spans="1:8" ht="14.4" x14ac:dyDescent="0.3">
      <c r="A4495" s="8">
        <v>78996950</v>
      </c>
      <c r="B4495" s="11">
        <v>44662</v>
      </c>
      <c r="C4495" s="13" t="s">
        <v>1540</v>
      </c>
      <c r="D4495" s="13" t="s">
        <v>5923</v>
      </c>
      <c r="E4495" s="8">
        <v>6786718.2699999996</v>
      </c>
      <c r="F4495" s="13" t="s">
        <v>70</v>
      </c>
      <c r="G4495" s="14">
        <v>44663</v>
      </c>
      <c r="H4495" s="13" t="s">
        <v>29</v>
      </c>
    </row>
    <row r="4496" spans="1:8" ht="14.4" x14ac:dyDescent="0.3">
      <c r="A4496" s="8">
        <v>78996951</v>
      </c>
      <c r="B4496" s="11">
        <v>44669</v>
      </c>
      <c r="C4496" s="13" t="s">
        <v>2080</v>
      </c>
      <c r="D4496" s="13" t="s">
        <v>5924</v>
      </c>
      <c r="E4496" s="8">
        <v>269732.15000000002</v>
      </c>
      <c r="F4496" s="13" t="s">
        <v>70</v>
      </c>
      <c r="G4496" s="14">
        <v>44676</v>
      </c>
      <c r="H4496" s="13" t="s">
        <v>29</v>
      </c>
    </row>
    <row r="4497" spans="1:8" ht="14.4" x14ac:dyDescent="0.3">
      <c r="A4497" s="8">
        <v>78996952</v>
      </c>
      <c r="B4497" s="11">
        <v>44670</v>
      </c>
      <c r="C4497" s="13" t="s">
        <v>2624</v>
      </c>
      <c r="D4497" s="13" t="s">
        <v>5925</v>
      </c>
      <c r="E4497" s="8">
        <v>600</v>
      </c>
      <c r="F4497" s="13" t="s">
        <v>70</v>
      </c>
      <c r="G4497" s="14">
        <v>44671</v>
      </c>
      <c r="H4497" s="13" t="s">
        <v>29</v>
      </c>
    </row>
    <row r="4498" spans="1:8" ht="14.4" x14ac:dyDescent="0.3">
      <c r="A4498" s="8">
        <v>78996953</v>
      </c>
      <c r="B4498" s="11">
        <v>44672</v>
      </c>
      <c r="C4498" s="13" t="s">
        <v>1956</v>
      </c>
      <c r="D4498" s="13" t="s">
        <v>5926</v>
      </c>
      <c r="E4498" s="8">
        <v>2953901.1</v>
      </c>
      <c r="F4498" s="13" t="s">
        <v>70</v>
      </c>
      <c r="G4498" s="14">
        <v>44673</v>
      </c>
      <c r="H4498" s="13" t="s">
        <v>29</v>
      </c>
    </row>
    <row r="4499" spans="1:8" ht="14.4" x14ac:dyDescent="0.3">
      <c r="A4499" s="8">
        <v>78996954</v>
      </c>
      <c r="B4499" s="11">
        <v>44673</v>
      </c>
      <c r="C4499" s="13" t="s">
        <v>5927</v>
      </c>
      <c r="D4499" s="13" t="s">
        <v>5928</v>
      </c>
      <c r="E4499" s="8">
        <v>17155371.809999999</v>
      </c>
      <c r="F4499" s="13" t="s">
        <v>70</v>
      </c>
      <c r="G4499" s="14">
        <v>44678</v>
      </c>
      <c r="H4499" s="13" t="s">
        <v>29</v>
      </c>
    </row>
    <row r="4500" spans="1:8" ht="14.4" x14ac:dyDescent="0.3">
      <c r="A4500" s="8">
        <v>78996955</v>
      </c>
      <c r="B4500" s="11">
        <v>44678</v>
      </c>
      <c r="C4500" s="13" t="s">
        <v>1651</v>
      </c>
      <c r="D4500" s="13" t="s">
        <v>5929</v>
      </c>
      <c r="E4500" s="8">
        <v>35274.53</v>
      </c>
      <c r="F4500" s="13" t="s">
        <v>70</v>
      </c>
      <c r="G4500" s="14">
        <v>44679</v>
      </c>
      <c r="H4500" s="13" t="s">
        <v>29</v>
      </c>
    </row>
    <row r="4501" spans="1:8" ht="14.4" x14ac:dyDescent="0.3">
      <c r="A4501" s="8">
        <v>78996956</v>
      </c>
      <c r="B4501" s="11">
        <v>44679</v>
      </c>
      <c r="C4501" s="13" t="s">
        <v>5930</v>
      </c>
      <c r="D4501" s="13" t="s">
        <v>5931</v>
      </c>
      <c r="E4501" s="8">
        <v>4556787.8499999996</v>
      </c>
      <c r="F4501" s="13" t="s">
        <v>70</v>
      </c>
      <c r="G4501" s="14">
        <v>44683</v>
      </c>
      <c r="H4501" s="13" t="s">
        <v>29</v>
      </c>
    </row>
    <row r="4502" spans="1:8" ht="14.4" x14ac:dyDescent="0.3">
      <c r="A4502" s="8">
        <v>78996957</v>
      </c>
      <c r="B4502" s="11">
        <v>44683</v>
      </c>
      <c r="C4502" s="13" t="s">
        <v>2624</v>
      </c>
      <c r="D4502" s="13" t="s">
        <v>5932</v>
      </c>
      <c r="E4502" s="8">
        <v>2451129.7999999998</v>
      </c>
      <c r="F4502" s="13" t="s">
        <v>70</v>
      </c>
      <c r="G4502" s="14">
        <v>44685</v>
      </c>
      <c r="H4502" s="13" t="s">
        <v>29</v>
      </c>
    </row>
    <row r="4503" spans="1:8" ht="14.4" x14ac:dyDescent="0.3">
      <c r="A4503" s="8">
        <v>78996958</v>
      </c>
      <c r="B4503" s="11">
        <v>44686</v>
      </c>
      <c r="C4503" s="13" t="s">
        <v>186</v>
      </c>
      <c r="D4503" s="13" t="s">
        <v>5933</v>
      </c>
      <c r="E4503" s="8">
        <v>11165.37</v>
      </c>
      <c r="F4503" s="13" t="s">
        <v>70</v>
      </c>
      <c r="G4503" s="14">
        <v>44687</v>
      </c>
      <c r="H4503" s="13" t="s">
        <v>29</v>
      </c>
    </row>
    <row r="4504" spans="1:8" ht="14.4" x14ac:dyDescent="0.3">
      <c r="A4504" s="8">
        <v>78996959</v>
      </c>
      <c r="B4504" s="11">
        <v>44687</v>
      </c>
      <c r="C4504" s="13" t="s">
        <v>5876</v>
      </c>
      <c r="D4504" s="13" t="s">
        <v>5934</v>
      </c>
      <c r="E4504" s="8">
        <v>6966133.0800000001</v>
      </c>
      <c r="F4504" s="13" t="s">
        <v>70</v>
      </c>
      <c r="G4504" s="14">
        <v>44692</v>
      </c>
      <c r="H4504" s="13" t="s">
        <v>29</v>
      </c>
    </row>
    <row r="4505" spans="1:8" ht="14.4" x14ac:dyDescent="0.3">
      <c r="A4505" s="8">
        <v>78996960</v>
      </c>
      <c r="B4505" s="11">
        <v>44687</v>
      </c>
      <c r="C4505" s="13" t="s">
        <v>5935</v>
      </c>
      <c r="D4505" s="13" t="s">
        <v>5936</v>
      </c>
      <c r="E4505" s="8">
        <v>7830897.6500000004</v>
      </c>
      <c r="F4505" s="13" t="s">
        <v>70</v>
      </c>
      <c r="G4505" s="14">
        <v>44691</v>
      </c>
      <c r="H4505" s="13" t="s">
        <v>29</v>
      </c>
    </row>
    <row r="4506" spans="1:8" ht="14.4" x14ac:dyDescent="0.3">
      <c r="A4506" s="8">
        <v>78996961</v>
      </c>
      <c r="B4506" s="11">
        <v>44687</v>
      </c>
      <c r="C4506" s="13" t="s">
        <v>184</v>
      </c>
      <c r="D4506" s="13" t="s">
        <v>5937</v>
      </c>
      <c r="E4506" s="8">
        <v>36324.86</v>
      </c>
      <c r="F4506" s="13" t="s">
        <v>70</v>
      </c>
      <c r="G4506" s="14">
        <v>44691</v>
      </c>
      <c r="H4506" s="13" t="s">
        <v>29</v>
      </c>
    </row>
    <row r="4507" spans="1:8" ht="14.4" x14ac:dyDescent="0.3">
      <c r="A4507" s="8">
        <v>78996962</v>
      </c>
      <c r="B4507" s="11">
        <v>44687</v>
      </c>
      <c r="C4507" s="13" t="s">
        <v>184</v>
      </c>
      <c r="D4507" s="13" t="s">
        <v>5938</v>
      </c>
      <c r="E4507" s="8">
        <v>21200</v>
      </c>
      <c r="F4507" s="13" t="s">
        <v>70</v>
      </c>
      <c r="G4507" s="14">
        <v>44691</v>
      </c>
      <c r="H4507" s="13" t="s">
        <v>29</v>
      </c>
    </row>
    <row r="4508" spans="1:8" ht="14.4" x14ac:dyDescent="0.3">
      <c r="A4508" s="8">
        <v>78996963</v>
      </c>
      <c r="B4508" s="11">
        <v>44691</v>
      </c>
      <c r="C4508" s="13" t="s">
        <v>5898</v>
      </c>
      <c r="D4508" s="13" t="s">
        <v>5939</v>
      </c>
      <c r="E4508" s="8">
        <v>297650</v>
      </c>
      <c r="F4508" s="13" t="s">
        <v>70</v>
      </c>
      <c r="G4508" s="14">
        <v>44691</v>
      </c>
      <c r="H4508" s="13" t="s">
        <v>29</v>
      </c>
    </row>
    <row r="4509" spans="1:8" ht="14.4" x14ac:dyDescent="0.3">
      <c r="A4509" s="8">
        <v>78996964</v>
      </c>
      <c r="B4509" s="11">
        <v>44694</v>
      </c>
      <c r="C4509" s="13" t="s">
        <v>5940</v>
      </c>
      <c r="D4509" s="13"/>
      <c r="E4509" s="8">
        <v>2953901.1</v>
      </c>
      <c r="F4509" s="13" t="s">
        <v>70</v>
      </c>
      <c r="G4509" s="14">
        <v>44697</v>
      </c>
      <c r="H4509" s="13" t="s">
        <v>29</v>
      </c>
    </row>
    <row r="4510" spans="1:8" ht="14.4" x14ac:dyDescent="0.3">
      <c r="A4510" s="8">
        <v>78996965</v>
      </c>
      <c r="B4510" s="11">
        <v>44694</v>
      </c>
      <c r="C4510" s="13" t="s">
        <v>5941</v>
      </c>
      <c r="D4510" s="13"/>
      <c r="E4510" s="8">
        <v>36200.89</v>
      </c>
      <c r="F4510" s="13" t="s">
        <v>70</v>
      </c>
      <c r="G4510" s="14">
        <v>44707</v>
      </c>
      <c r="H4510" s="13" t="s">
        <v>29</v>
      </c>
    </row>
    <row r="4511" spans="1:8" ht="14.4" x14ac:dyDescent="0.3">
      <c r="A4511" s="8">
        <v>78996966</v>
      </c>
      <c r="B4511" s="11">
        <v>44700</v>
      </c>
      <c r="C4511" s="13" t="s">
        <v>180</v>
      </c>
      <c r="D4511" s="13" t="s">
        <v>33</v>
      </c>
      <c r="E4511" s="8">
        <v>10000</v>
      </c>
      <c r="F4511" s="13" t="s">
        <v>70</v>
      </c>
      <c r="G4511" s="14">
        <v>44701</v>
      </c>
      <c r="H4511" s="13" t="s">
        <v>29</v>
      </c>
    </row>
    <row r="4512" spans="1:8" ht="14.4" x14ac:dyDescent="0.3">
      <c r="A4512" s="8">
        <v>78996967</v>
      </c>
      <c r="B4512" s="11">
        <v>44705</v>
      </c>
      <c r="C4512" s="13" t="s">
        <v>5898</v>
      </c>
      <c r="D4512" s="13" t="s">
        <v>5942</v>
      </c>
      <c r="E4512" s="8">
        <v>20838</v>
      </c>
      <c r="F4512" s="13" t="s">
        <v>70</v>
      </c>
      <c r="G4512" s="14">
        <v>44727</v>
      </c>
      <c r="H4512" s="13" t="s">
        <v>29</v>
      </c>
    </row>
    <row r="4513" spans="1:8" ht="14.4" x14ac:dyDescent="0.3">
      <c r="A4513" s="8">
        <v>78996968</v>
      </c>
      <c r="B4513" s="11">
        <v>44707</v>
      </c>
      <c r="C4513" s="13" t="s">
        <v>2485</v>
      </c>
      <c r="D4513" s="13" t="s">
        <v>5943</v>
      </c>
      <c r="E4513" s="8">
        <v>1360704.77</v>
      </c>
      <c r="F4513" s="13" t="s">
        <v>70</v>
      </c>
      <c r="G4513" s="14">
        <v>44707</v>
      </c>
      <c r="H4513" s="13" t="s">
        <v>29</v>
      </c>
    </row>
    <row r="4514" spans="1:8" ht="14.4" x14ac:dyDescent="0.3">
      <c r="A4514" s="8">
        <v>78996969</v>
      </c>
      <c r="B4514" s="11">
        <v>44707</v>
      </c>
      <c r="C4514" s="13" t="s">
        <v>202</v>
      </c>
      <c r="D4514" s="13" t="s">
        <v>5944</v>
      </c>
      <c r="E4514" s="8">
        <v>10000</v>
      </c>
      <c r="F4514" s="13" t="s">
        <v>70</v>
      </c>
      <c r="G4514" s="14">
        <v>44712</v>
      </c>
      <c r="H4514" s="13" t="s">
        <v>29</v>
      </c>
    </row>
    <row r="4515" spans="1:8" ht="14.4" x14ac:dyDescent="0.3">
      <c r="A4515" s="8">
        <v>78996970</v>
      </c>
      <c r="B4515" s="11">
        <v>44707</v>
      </c>
      <c r="C4515" s="13" t="s">
        <v>5748</v>
      </c>
      <c r="D4515" s="13" t="s">
        <v>5945</v>
      </c>
      <c r="E4515" s="8">
        <v>234683.21</v>
      </c>
      <c r="F4515" s="13" t="s">
        <v>70</v>
      </c>
      <c r="G4515" s="14">
        <v>44721</v>
      </c>
      <c r="H4515" s="13" t="s">
        <v>29</v>
      </c>
    </row>
    <row r="4516" spans="1:8" ht="14.4" x14ac:dyDescent="0.3">
      <c r="A4516" s="8">
        <v>78996971</v>
      </c>
      <c r="B4516" s="11">
        <v>44707</v>
      </c>
      <c r="C4516" s="13" t="s">
        <v>5946</v>
      </c>
      <c r="D4516" s="13" t="s">
        <v>34</v>
      </c>
      <c r="E4516" s="8">
        <v>165600</v>
      </c>
      <c r="F4516" s="13" t="s">
        <v>70</v>
      </c>
      <c r="G4516" s="14">
        <v>44713</v>
      </c>
      <c r="H4516" s="13" t="s">
        <v>29</v>
      </c>
    </row>
    <row r="4517" spans="1:8" ht="14.4" x14ac:dyDescent="0.3">
      <c r="A4517" s="8">
        <v>78996972</v>
      </c>
      <c r="B4517" s="11">
        <v>44707</v>
      </c>
      <c r="C4517" s="13" t="s">
        <v>1745</v>
      </c>
      <c r="D4517" s="13" t="s">
        <v>5947</v>
      </c>
      <c r="E4517" s="8">
        <v>1068</v>
      </c>
      <c r="F4517" s="13" t="s">
        <v>70</v>
      </c>
      <c r="G4517" s="14">
        <v>44713</v>
      </c>
      <c r="H4517" s="13" t="s">
        <v>29</v>
      </c>
    </row>
    <row r="4518" spans="1:8" ht="14.4" x14ac:dyDescent="0.3">
      <c r="A4518" s="8">
        <v>78996973</v>
      </c>
      <c r="B4518" s="11">
        <v>44707</v>
      </c>
      <c r="C4518" s="13" t="s">
        <v>1420</v>
      </c>
      <c r="D4518" s="13" t="s">
        <v>5948</v>
      </c>
      <c r="E4518" s="8">
        <v>4750</v>
      </c>
      <c r="F4518" s="13" t="s">
        <v>70</v>
      </c>
      <c r="G4518" s="14">
        <v>44713</v>
      </c>
      <c r="H4518" s="13" t="s">
        <v>29</v>
      </c>
    </row>
    <row r="4519" spans="1:8" ht="14.4" x14ac:dyDescent="0.3">
      <c r="A4519" s="8">
        <v>78996974</v>
      </c>
      <c r="B4519" s="11">
        <v>44707</v>
      </c>
      <c r="C4519" s="13" t="s">
        <v>1542</v>
      </c>
      <c r="D4519" s="13" t="s">
        <v>34</v>
      </c>
      <c r="E4519" s="8">
        <v>9795</v>
      </c>
      <c r="F4519" s="13" t="s">
        <v>70</v>
      </c>
      <c r="G4519" s="14">
        <v>44719</v>
      </c>
      <c r="H4519" s="13" t="s">
        <v>29</v>
      </c>
    </row>
    <row r="4520" spans="1:8" ht="14.4" x14ac:dyDescent="0.3">
      <c r="A4520" s="8">
        <v>78996975</v>
      </c>
      <c r="B4520" s="11">
        <v>44707</v>
      </c>
      <c r="C4520" s="13" t="s">
        <v>5769</v>
      </c>
      <c r="D4520" s="13" t="s">
        <v>5949</v>
      </c>
      <c r="E4520" s="8">
        <v>199994.6</v>
      </c>
      <c r="F4520" s="13" t="s">
        <v>70</v>
      </c>
      <c r="G4520" s="14">
        <v>44708</v>
      </c>
      <c r="H4520" s="13" t="s">
        <v>29</v>
      </c>
    </row>
    <row r="4521" spans="1:8" ht="14.4" x14ac:dyDescent="0.3">
      <c r="A4521" s="8">
        <v>78996976</v>
      </c>
      <c r="B4521" s="11">
        <v>44707</v>
      </c>
      <c r="C4521" s="13" t="s">
        <v>5950</v>
      </c>
      <c r="D4521" s="13" t="s">
        <v>34</v>
      </c>
      <c r="E4521" s="8">
        <v>164030</v>
      </c>
      <c r="F4521" s="13" t="s">
        <v>70</v>
      </c>
      <c r="G4521" s="14">
        <v>44726</v>
      </c>
      <c r="H4521" s="13" t="s">
        <v>29</v>
      </c>
    </row>
    <row r="4522" spans="1:8" ht="14.4" x14ac:dyDescent="0.3">
      <c r="A4522" s="8">
        <v>78996977</v>
      </c>
      <c r="B4522" s="11">
        <v>44707</v>
      </c>
      <c r="C4522" s="13" t="s">
        <v>5951</v>
      </c>
      <c r="D4522" s="13" t="s">
        <v>34</v>
      </c>
      <c r="E4522" s="8">
        <v>369000</v>
      </c>
      <c r="F4522" s="13" t="s">
        <v>70</v>
      </c>
      <c r="G4522" s="14">
        <v>44715</v>
      </c>
      <c r="H4522" s="13" t="s">
        <v>29</v>
      </c>
    </row>
    <row r="4523" spans="1:8" ht="14.4" x14ac:dyDescent="0.3">
      <c r="A4523" s="8">
        <v>78996978</v>
      </c>
      <c r="B4523" s="11">
        <v>44707</v>
      </c>
      <c r="C4523" s="13" t="s">
        <v>1380</v>
      </c>
      <c r="D4523" s="13" t="s">
        <v>5766</v>
      </c>
      <c r="E4523" s="8">
        <v>49899.199999999997</v>
      </c>
      <c r="F4523" s="13" t="s">
        <v>70</v>
      </c>
      <c r="G4523" s="14">
        <v>44718</v>
      </c>
      <c r="H4523" s="13" t="s">
        <v>29</v>
      </c>
    </row>
    <row r="4524" spans="1:8" ht="14.4" x14ac:dyDescent="0.3">
      <c r="A4524" s="8">
        <v>78996979</v>
      </c>
      <c r="B4524" s="11">
        <v>44708</v>
      </c>
      <c r="C4524" s="13" t="s">
        <v>5952</v>
      </c>
      <c r="D4524" s="13" t="s">
        <v>5953</v>
      </c>
      <c r="E4524" s="8">
        <v>4384585.54</v>
      </c>
      <c r="F4524" s="13" t="s">
        <v>70</v>
      </c>
      <c r="G4524" s="14">
        <v>44708</v>
      </c>
      <c r="H4524" s="13" t="s">
        <v>29</v>
      </c>
    </row>
    <row r="4525" spans="1:8" ht="14.4" x14ac:dyDescent="0.3">
      <c r="A4525" s="8">
        <v>78996980</v>
      </c>
      <c r="B4525" s="11">
        <v>44708</v>
      </c>
      <c r="C4525" s="13" t="s">
        <v>5954</v>
      </c>
      <c r="D4525" s="13" t="s">
        <v>5955</v>
      </c>
      <c r="E4525" s="8">
        <v>1008219</v>
      </c>
      <c r="F4525" s="13" t="s">
        <v>70</v>
      </c>
      <c r="G4525" s="14">
        <v>44718</v>
      </c>
      <c r="H4525" s="13" t="s">
        <v>29</v>
      </c>
    </row>
    <row r="4526" spans="1:8" ht="14.4" x14ac:dyDescent="0.3">
      <c r="A4526" s="8">
        <v>78996981</v>
      </c>
      <c r="B4526" s="11">
        <v>44708</v>
      </c>
      <c r="C4526" s="13" t="s">
        <v>5927</v>
      </c>
      <c r="D4526" s="13" t="s">
        <v>5956</v>
      </c>
      <c r="E4526" s="8">
        <v>16298083.869999999</v>
      </c>
      <c r="F4526" s="13" t="s">
        <v>70</v>
      </c>
      <c r="G4526" s="14">
        <v>44708</v>
      </c>
      <c r="H4526" s="13" t="s">
        <v>29</v>
      </c>
    </row>
    <row r="4527" spans="1:8" ht="14.4" x14ac:dyDescent="0.3">
      <c r="A4527" s="8">
        <v>78996982</v>
      </c>
      <c r="B4527" s="11">
        <v>44711</v>
      </c>
      <c r="C4527" s="13" t="s">
        <v>1405</v>
      </c>
      <c r="D4527" s="13" t="s">
        <v>5957</v>
      </c>
      <c r="E4527" s="8">
        <v>1535270</v>
      </c>
      <c r="F4527" s="13" t="s">
        <v>70</v>
      </c>
      <c r="G4527" s="14">
        <v>44714</v>
      </c>
      <c r="H4527" s="13" t="s">
        <v>29</v>
      </c>
    </row>
    <row r="4528" spans="1:8" ht="14.4" x14ac:dyDescent="0.3">
      <c r="A4528" s="8">
        <v>78996983</v>
      </c>
      <c r="B4528" s="11">
        <v>44711</v>
      </c>
      <c r="C4528" s="13" t="s">
        <v>5797</v>
      </c>
      <c r="D4528" s="13" t="s">
        <v>3196</v>
      </c>
      <c r="E4528" s="8">
        <v>4820.95</v>
      </c>
      <c r="F4528" s="13" t="s">
        <v>70</v>
      </c>
      <c r="G4528" s="14">
        <v>44729</v>
      </c>
      <c r="H4528" s="13" t="s">
        <v>29</v>
      </c>
    </row>
    <row r="4529" spans="1:8" ht="14.4" x14ac:dyDescent="0.3">
      <c r="A4529" s="8">
        <v>78996984</v>
      </c>
      <c r="B4529" s="11">
        <v>44711</v>
      </c>
      <c r="C4529" s="13" t="s">
        <v>3202</v>
      </c>
      <c r="D4529" s="13" t="s">
        <v>5958</v>
      </c>
      <c r="E4529" s="8">
        <v>2774</v>
      </c>
      <c r="F4529" s="13" t="s">
        <v>70</v>
      </c>
      <c r="G4529" s="14">
        <v>44719</v>
      </c>
      <c r="H4529" s="13" t="s">
        <v>29</v>
      </c>
    </row>
    <row r="4530" spans="1:8" ht="14.4" x14ac:dyDescent="0.3">
      <c r="A4530" s="8">
        <v>78996985</v>
      </c>
      <c r="B4530" s="11">
        <v>44711</v>
      </c>
      <c r="C4530" s="13" t="s">
        <v>5819</v>
      </c>
      <c r="D4530" s="13" t="s">
        <v>5959</v>
      </c>
      <c r="E4530" s="8">
        <v>4099007.07</v>
      </c>
      <c r="F4530" s="13" t="s">
        <v>70</v>
      </c>
      <c r="G4530" s="14">
        <v>44712</v>
      </c>
      <c r="H4530" s="13" t="s">
        <v>29</v>
      </c>
    </row>
    <row r="4531" spans="1:8" ht="14.4" x14ac:dyDescent="0.3">
      <c r="A4531" s="8">
        <v>78996986</v>
      </c>
      <c r="B4531" s="11">
        <v>44714</v>
      </c>
      <c r="C4531" s="13" t="s">
        <v>1342</v>
      </c>
      <c r="D4531" s="13" t="s">
        <v>5960</v>
      </c>
      <c r="E4531" s="8">
        <v>238140</v>
      </c>
      <c r="F4531" s="13" t="s">
        <v>70</v>
      </c>
      <c r="G4531" s="14">
        <v>44719</v>
      </c>
      <c r="H4531" s="13" t="s">
        <v>29</v>
      </c>
    </row>
    <row r="4532" spans="1:8" ht="14.4" x14ac:dyDescent="0.3">
      <c r="A4532" s="8">
        <v>78996987</v>
      </c>
      <c r="B4532" s="11">
        <v>44714</v>
      </c>
      <c r="C4532" s="13" t="s">
        <v>2624</v>
      </c>
      <c r="D4532" s="13" t="s">
        <v>5961</v>
      </c>
      <c r="E4532" s="8">
        <v>1654160.88</v>
      </c>
      <c r="F4532" s="13" t="s">
        <v>70</v>
      </c>
      <c r="G4532" s="14">
        <v>44715</v>
      </c>
      <c r="H4532" s="13" t="s">
        <v>29</v>
      </c>
    </row>
    <row r="4533" spans="1:8" ht="14.4" x14ac:dyDescent="0.3">
      <c r="A4533" s="8">
        <v>78996988</v>
      </c>
      <c r="B4533" s="11">
        <v>44714</v>
      </c>
      <c r="C4533" s="13" t="s">
        <v>191</v>
      </c>
      <c r="D4533" s="13" t="s">
        <v>5962</v>
      </c>
      <c r="E4533" s="8">
        <v>21403200</v>
      </c>
      <c r="F4533" s="13" t="s">
        <v>70</v>
      </c>
      <c r="G4533" s="14">
        <v>44718</v>
      </c>
      <c r="H4533" s="13" t="s">
        <v>29</v>
      </c>
    </row>
    <row r="4534" spans="1:8" ht="14.4" x14ac:dyDescent="0.3">
      <c r="A4534" s="8">
        <v>78996989</v>
      </c>
      <c r="B4534" s="11">
        <v>44719</v>
      </c>
      <c r="C4534" s="13" t="s">
        <v>235</v>
      </c>
      <c r="D4534" s="13" t="s">
        <v>5963</v>
      </c>
      <c r="E4534" s="8">
        <v>800</v>
      </c>
      <c r="F4534" s="13" t="s">
        <v>70</v>
      </c>
      <c r="G4534" s="14">
        <v>44720</v>
      </c>
      <c r="H4534" s="13" t="s">
        <v>29</v>
      </c>
    </row>
    <row r="4535" spans="1:8" ht="14.4" x14ac:dyDescent="0.3">
      <c r="A4535" s="8">
        <v>78996990</v>
      </c>
      <c r="B4535" s="11">
        <v>44719</v>
      </c>
      <c r="C4535" s="13" t="s">
        <v>186</v>
      </c>
      <c r="D4535" s="13" t="s">
        <v>5964</v>
      </c>
      <c r="E4535" s="8">
        <v>8043.52</v>
      </c>
      <c r="F4535" s="13" t="s">
        <v>70</v>
      </c>
      <c r="G4535" s="14">
        <v>44720</v>
      </c>
      <c r="H4535" s="13" t="s">
        <v>29</v>
      </c>
    </row>
    <row r="4536" spans="1:8" ht="14.4" x14ac:dyDescent="0.3">
      <c r="A4536" s="8">
        <v>78996991</v>
      </c>
      <c r="B4536" s="11">
        <v>44720</v>
      </c>
      <c r="C4536" s="13" t="s">
        <v>184</v>
      </c>
      <c r="D4536" s="13" t="s">
        <v>5965</v>
      </c>
      <c r="E4536" s="8">
        <v>34225.53</v>
      </c>
      <c r="F4536" s="13" t="s">
        <v>70</v>
      </c>
      <c r="G4536" s="14">
        <v>44720</v>
      </c>
      <c r="H4536" s="13" t="s">
        <v>29</v>
      </c>
    </row>
    <row r="4537" spans="1:8" ht="14.4" x14ac:dyDescent="0.3">
      <c r="A4537" s="8">
        <v>78996992</v>
      </c>
      <c r="B4537" s="11">
        <v>44720</v>
      </c>
      <c r="C4537" s="13" t="s">
        <v>184</v>
      </c>
      <c r="D4537" s="13" t="s">
        <v>2318</v>
      </c>
      <c r="E4537" s="8">
        <v>21200</v>
      </c>
      <c r="F4537" s="13" t="s">
        <v>70</v>
      </c>
      <c r="G4537" s="14">
        <v>44720</v>
      </c>
      <c r="H4537" s="13" t="s">
        <v>29</v>
      </c>
    </row>
    <row r="4538" spans="1:8" ht="14.4" x14ac:dyDescent="0.3">
      <c r="A4538" s="8">
        <v>78996993</v>
      </c>
      <c r="B4538" s="11">
        <v>44721</v>
      </c>
      <c r="C4538" s="13" t="s">
        <v>361</v>
      </c>
      <c r="D4538" s="13" t="s">
        <v>5966</v>
      </c>
      <c r="E4538" s="8">
        <v>21294.65</v>
      </c>
      <c r="F4538" s="13" t="s">
        <v>70</v>
      </c>
      <c r="G4538" s="14">
        <v>44727</v>
      </c>
      <c r="H4538" s="13" t="s">
        <v>29</v>
      </c>
    </row>
    <row r="4539" spans="1:8" ht="14.4" x14ac:dyDescent="0.3">
      <c r="A4539" s="8">
        <v>78996994</v>
      </c>
      <c r="B4539" s="11">
        <v>44721</v>
      </c>
      <c r="C4539" s="13" t="s">
        <v>1542</v>
      </c>
      <c r="D4539" s="13" t="s">
        <v>5967</v>
      </c>
      <c r="E4539" s="8">
        <v>65269.07</v>
      </c>
      <c r="F4539" s="13" t="s">
        <v>70</v>
      </c>
      <c r="G4539" s="14">
        <v>44728</v>
      </c>
      <c r="H4539" s="13" t="s">
        <v>29</v>
      </c>
    </row>
    <row r="4540" spans="1:8" ht="14.4" x14ac:dyDescent="0.3">
      <c r="A4540" s="8">
        <v>78996995</v>
      </c>
      <c r="B4540" s="11">
        <v>44721</v>
      </c>
      <c r="C4540" s="13" t="s">
        <v>1542</v>
      </c>
      <c r="D4540" s="13" t="s">
        <v>5968</v>
      </c>
      <c r="E4540" s="8">
        <v>65269.07</v>
      </c>
      <c r="F4540" s="13" t="s">
        <v>70</v>
      </c>
      <c r="G4540" s="14">
        <v>44728</v>
      </c>
      <c r="H4540" s="13" t="s">
        <v>29</v>
      </c>
    </row>
    <row r="4541" spans="1:8" ht="14.4" x14ac:dyDescent="0.3">
      <c r="A4541" s="8">
        <v>78996996</v>
      </c>
      <c r="B4541" s="11">
        <v>44721</v>
      </c>
      <c r="C4541" s="13" t="s">
        <v>1542</v>
      </c>
      <c r="D4541" s="13" t="s">
        <v>5969</v>
      </c>
      <c r="E4541" s="8">
        <v>65269.07</v>
      </c>
      <c r="F4541" s="13" t="s">
        <v>70</v>
      </c>
      <c r="G4541" s="14">
        <v>44728</v>
      </c>
      <c r="H4541" s="13" t="s">
        <v>29</v>
      </c>
    </row>
    <row r="4542" spans="1:8" ht="14.4" x14ac:dyDescent="0.3">
      <c r="A4542" s="8">
        <v>78996997</v>
      </c>
      <c r="B4542" s="11">
        <v>44721</v>
      </c>
      <c r="C4542" s="13" t="s">
        <v>1542</v>
      </c>
      <c r="D4542" s="13" t="s">
        <v>5970</v>
      </c>
      <c r="E4542" s="8">
        <v>65269.07</v>
      </c>
      <c r="F4542" s="13" t="s">
        <v>70</v>
      </c>
      <c r="G4542" s="14">
        <v>44728</v>
      </c>
      <c r="H4542" s="13" t="s">
        <v>29</v>
      </c>
    </row>
    <row r="4543" spans="1:8" ht="14.4" x14ac:dyDescent="0.3">
      <c r="A4543" s="8">
        <v>78996998</v>
      </c>
      <c r="B4543" s="11">
        <v>44721</v>
      </c>
      <c r="C4543" s="13" t="s">
        <v>1542</v>
      </c>
      <c r="D4543" s="13" t="s">
        <v>5971</v>
      </c>
      <c r="E4543" s="8">
        <v>65269.07</v>
      </c>
      <c r="F4543" s="13" t="s">
        <v>70</v>
      </c>
      <c r="G4543" s="14">
        <v>44728</v>
      </c>
      <c r="H4543" s="13" t="s">
        <v>29</v>
      </c>
    </row>
    <row r="4544" spans="1:8" ht="14.4" x14ac:dyDescent="0.3">
      <c r="A4544" s="8">
        <v>78996999</v>
      </c>
      <c r="B4544" s="11">
        <v>44721</v>
      </c>
      <c r="C4544" s="13" t="s">
        <v>1542</v>
      </c>
      <c r="D4544" s="13" t="s">
        <v>5972</v>
      </c>
      <c r="E4544" s="8">
        <v>65269.07</v>
      </c>
      <c r="F4544" s="13" t="s">
        <v>70</v>
      </c>
      <c r="G4544" s="14">
        <v>44728</v>
      </c>
      <c r="H4544" s="13" t="s">
        <v>29</v>
      </c>
    </row>
    <row r="4545" spans="1:8" ht="14.4" x14ac:dyDescent="0.3">
      <c r="A4545" s="8">
        <v>78997000</v>
      </c>
      <c r="B4545" s="11">
        <v>44721</v>
      </c>
      <c r="C4545" s="13" t="s">
        <v>1542</v>
      </c>
      <c r="D4545" s="13" t="s">
        <v>5973</v>
      </c>
      <c r="E4545" s="8">
        <v>65269.07</v>
      </c>
      <c r="F4545" s="13" t="s">
        <v>70</v>
      </c>
      <c r="G4545" s="14">
        <v>44728</v>
      </c>
      <c r="H4545" s="13" t="s">
        <v>29</v>
      </c>
    </row>
    <row r="4546" spans="1:8" ht="14.4" x14ac:dyDescent="0.3">
      <c r="A4546" s="8">
        <v>78997001</v>
      </c>
      <c r="B4546" s="11">
        <v>44721</v>
      </c>
      <c r="C4546" s="13" t="s">
        <v>5974</v>
      </c>
      <c r="D4546" s="13" t="s">
        <v>5975</v>
      </c>
      <c r="E4546" s="8">
        <v>35485.39</v>
      </c>
      <c r="F4546" s="13" t="s">
        <v>70</v>
      </c>
      <c r="G4546" s="14">
        <v>44778</v>
      </c>
      <c r="H4546" s="13" t="s">
        <v>29</v>
      </c>
    </row>
    <row r="4547" spans="1:8" ht="14.4" x14ac:dyDescent="0.3">
      <c r="A4547" s="8">
        <v>78997002</v>
      </c>
      <c r="B4547" s="11">
        <v>44726</v>
      </c>
      <c r="C4547" s="13" t="s">
        <v>180</v>
      </c>
      <c r="D4547" s="13" t="s">
        <v>33</v>
      </c>
      <c r="E4547" s="8">
        <v>10000</v>
      </c>
      <c r="F4547" s="13" t="s">
        <v>70</v>
      </c>
      <c r="G4547" s="14">
        <v>44727</v>
      </c>
      <c r="H4547" s="13" t="s">
        <v>29</v>
      </c>
    </row>
    <row r="4548" spans="1:8" ht="14.4" x14ac:dyDescent="0.3">
      <c r="A4548" s="8">
        <v>78997003</v>
      </c>
      <c r="B4548" s="11">
        <v>44726</v>
      </c>
      <c r="C4548" s="13" t="s">
        <v>1956</v>
      </c>
      <c r="D4548" s="13" t="s">
        <v>5976</v>
      </c>
      <c r="E4548" s="8">
        <v>2953901.1</v>
      </c>
      <c r="F4548" s="13" t="s">
        <v>70</v>
      </c>
      <c r="G4548" s="14">
        <v>44727</v>
      </c>
      <c r="H4548" s="13" t="s">
        <v>29</v>
      </c>
    </row>
    <row r="4549" spans="1:8" ht="14.4" x14ac:dyDescent="0.3">
      <c r="A4549" s="8">
        <v>78997004</v>
      </c>
      <c r="B4549" s="11">
        <v>44726</v>
      </c>
      <c r="C4549" s="13" t="s">
        <v>5898</v>
      </c>
      <c r="D4549" s="13" t="s">
        <v>5977</v>
      </c>
      <c r="E4549" s="8">
        <v>122500</v>
      </c>
      <c r="F4549" s="13" t="s">
        <v>70</v>
      </c>
      <c r="G4549" s="14">
        <v>44727</v>
      </c>
      <c r="H4549" s="13" t="s">
        <v>29</v>
      </c>
    </row>
    <row r="4550" spans="1:8" ht="14.4" x14ac:dyDescent="0.3">
      <c r="A4550" s="8">
        <v>78997005</v>
      </c>
      <c r="B4550" s="11">
        <v>44729</v>
      </c>
      <c r="C4550" s="13" t="s">
        <v>5978</v>
      </c>
      <c r="D4550" s="13" t="s">
        <v>5979</v>
      </c>
      <c r="E4550" s="8">
        <v>1600</v>
      </c>
      <c r="F4550" s="13" t="s">
        <v>70</v>
      </c>
      <c r="G4550" s="14">
        <v>44732</v>
      </c>
      <c r="H4550" s="13" t="s">
        <v>29</v>
      </c>
    </row>
    <row r="4551" spans="1:8" ht="14.4" x14ac:dyDescent="0.3">
      <c r="A4551" s="8">
        <v>78997006</v>
      </c>
      <c r="B4551" s="11">
        <v>44729</v>
      </c>
      <c r="C4551" s="13" t="s">
        <v>193</v>
      </c>
      <c r="D4551" s="13" t="s">
        <v>5971</v>
      </c>
      <c r="E4551" s="8">
        <v>26367.5</v>
      </c>
      <c r="F4551" s="13" t="s">
        <v>70</v>
      </c>
      <c r="G4551" s="14">
        <v>44732</v>
      </c>
      <c r="H4551" s="13" t="s">
        <v>29</v>
      </c>
    </row>
    <row r="4552" spans="1:8" ht="14.4" x14ac:dyDescent="0.3">
      <c r="A4552" s="8">
        <v>78997007</v>
      </c>
      <c r="B4552" s="11">
        <v>44729</v>
      </c>
      <c r="C4552" s="13" t="s">
        <v>193</v>
      </c>
      <c r="D4552" s="13" t="s">
        <v>5980</v>
      </c>
      <c r="E4552" s="8">
        <v>26367.5</v>
      </c>
      <c r="F4552" s="13" t="s">
        <v>70</v>
      </c>
      <c r="G4552" s="14">
        <v>44732</v>
      </c>
      <c r="H4552" s="13" t="s">
        <v>29</v>
      </c>
    </row>
    <row r="4553" spans="1:8" ht="14.4" x14ac:dyDescent="0.3">
      <c r="A4553" s="8">
        <v>78997008</v>
      </c>
      <c r="B4553" s="11">
        <v>44729</v>
      </c>
      <c r="C4553" s="13" t="s">
        <v>193</v>
      </c>
      <c r="D4553" s="13" t="s">
        <v>5981</v>
      </c>
      <c r="E4553" s="8">
        <v>26367.5</v>
      </c>
      <c r="F4553" s="13" t="s">
        <v>70</v>
      </c>
      <c r="G4553" s="14">
        <v>44732</v>
      </c>
      <c r="H4553" s="13" t="s">
        <v>29</v>
      </c>
    </row>
    <row r="4554" spans="1:8" ht="14.4" x14ac:dyDescent="0.3">
      <c r="A4554" s="8">
        <v>78997009</v>
      </c>
      <c r="B4554" s="11">
        <v>44729</v>
      </c>
      <c r="C4554" s="13" t="s">
        <v>193</v>
      </c>
      <c r="D4554" s="13" t="s">
        <v>5982</v>
      </c>
      <c r="E4554" s="8">
        <v>26367.5</v>
      </c>
      <c r="F4554" s="13" t="s">
        <v>70</v>
      </c>
      <c r="G4554" s="14">
        <v>44732</v>
      </c>
      <c r="H4554" s="13" t="s">
        <v>29</v>
      </c>
    </row>
    <row r="4555" spans="1:8" ht="14.4" x14ac:dyDescent="0.3">
      <c r="A4555" s="8">
        <v>78997010</v>
      </c>
      <c r="B4555" s="11">
        <v>44729</v>
      </c>
      <c r="C4555" s="13" t="s">
        <v>193</v>
      </c>
      <c r="D4555" s="13" t="s">
        <v>5983</v>
      </c>
      <c r="E4555" s="8">
        <v>26367.5</v>
      </c>
      <c r="F4555" s="13" t="s">
        <v>70</v>
      </c>
      <c r="G4555" s="14">
        <v>44733</v>
      </c>
      <c r="H4555" s="13" t="s">
        <v>29</v>
      </c>
    </row>
    <row r="4556" spans="1:8" ht="14.4" x14ac:dyDescent="0.3">
      <c r="A4556" s="8">
        <v>78997011</v>
      </c>
      <c r="B4556" s="11">
        <v>44729</v>
      </c>
      <c r="C4556" s="13" t="s">
        <v>193</v>
      </c>
      <c r="D4556" s="13" t="s">
        <v>5973</v>
      </c>
      <c r="E4556" s="8">
        <v>26367.5</v>
      </c>
      <c r="F4556" s="13" t="s">
        <v>70</v>
      </c>
      <c r="G4556" s="14">
        <v>44733</v>
      </c>
      <c r="H4556" s="13" t="s">
        <v>29</v>
      </c>
    </row>
    <row r="4557" spans="1:8" ht="14.4" x14ac:dyDescent="0.3">
      <c r="A4557" s="8">
        <v>78997012</v>
      </c>
      <c r="B4557" s="11">
        <v>44729</v>
      </c>
      <c r="C4557" s="13" t="s">
        <v>193</v>
      </c>
      <c r="D4557" s="13" t="s">
        <v>5984</v>
      </c>
      <c r="E4557" s="8">
        <v>26367.5</v>
      </c>
      <c r="F4557" s="13" t="s">
        <v>70</v>
      </c>
      <c r="G4557" s="14">
        <v>44733</v>
      </c>
      <c r="H4557" s="13" t="s">
        <v>29</v>
      </c>
    </row>
    <row r="4558" spans="1:8" ht="14.4" x14ac:dyDescent="0.3">
      <c r="A4558" s="8">
        <v>78997013</v>
      </c>
      <c r="B4558" s="11">
        <v>44729</v>
      </c>
      <c r="C4558" s="13" t="s">
        <v>193</v>
      </c>
      <c r="D4558" s="13" t="s">
        <v>5985</v>
      </c>
      <c r="E4558" s="8">
        <v>26367.5</v>
      </c>
      <c r="F4558" s="13" t="s">
        <v>70</v>
      </c>
      <c r="G4558" s="14">
        <v>44733</v>
      </c>
      <c r="H4558" s="13" t="s">
        <v>29</v>
      </c>
    </row>
    <row r="4559" spans="1:8" ht="14.4" x14ac:dyDescent="0.3">
      <c r="A4559" s="8">
        <v>78997014</v>
      </c>
      <c r="B4559" s="11">
        <v>44729</v>
      </c>
      <c r="C4559" s="13" t="s">
        <v>193</v>
      </c>
      <c r="D4559" s="13" t="s">
        <v>5986</v>
      </c>
      <c r="E4559" s="8">
        <v>26367.5</v>
      </c>
      <c r="F4559" s="13" t="s">
        <v>70</v>
      </c>
      <c r="G4559" s="14">
        <v>44733</v>
      </c>
      <c r="H4559" s="13" t="s">
        <v>29</v>
      </c>
    </row>
    <row r="4560" spans="1:8" ht="14.4" x14ac:dyDescent="0.3">
      <c r="A4560" s="8">
        <v>78997015</v>
      </c>
      <c r="B4560" s="11">
        <v>44729</v>
      </c>
      <c r="C4560" s="13" t="s">
        <v>193</v>
      </c>
      <c r="D4560" s="13" t="s">
        <v>5987</v>
      </c>
      <c r="E4560" s="8">
        <v>26367.5</v>
      </c>
      <c r="F4560" s="13" t="s">
        <v>70</v>
      </c>
      <c r="G4560" s="14">
        <v>44733</v>
      </c>
      <c r="H4560" s="13" t="s">
        <v>29</v>
      </c>
    </row>
    <row r="4561" spans="1:8" ht="14.4" x14ac:dyDescent="0.3">
      <c r="A4561" s="8">
        <v>78997016</v>
      </c>
      <c r="B4561" s="11">
        <v>44729</v>
      </c>
      <c r="C4561" s="13" t="s">
        <v>193</v>
      </c>
      <c r="D4561" s="13" t="s">
        <v>5988</v>
      </c>
      <c r="E4561" s="8">
        <v>248664.65</v>
      </c>
      <c r="F4561" s="13" t="s">
        <v>70</v>
      </c>
      <c r="G4561" s="14">
        <v>44733</v>
      </c>
      <c r="H4561" s="13" t="s">
        <v>29</v>
      </c>
    </row>
    <row r="4562" spans="1:8" ht="14.4" x14ac:dyDescent="0.3">
      <c r="A4562" s="8">
        <v>78997017</v>
      </c>
      <c r="B4562" s="11">
        <v>44729</v>
      </c>
      <c r="C4562" s="13" t="s">
        <v>1542</v>
      </c>
      <c r="D4562" s="13" t="s">
        <v>5989</v>
      </c>
      <c r="E4562" s="8">
        <v>65966.070000000007</v>
      </c>
      <c r="F4562" s="13" t="s">
        <v>70</v>
      </c>
      <c r="G4562" s="14">
        <v>44736</v>
      </c>
      <c r="H4562" s="13" t="s">
        <v>29</v>
      </c>
    </row>
    <row r="4563" spans="1:8" ht="14.4" x14ac:dyDescent="0.3">
      <c r="A4563" s="8">
        <v>78997018</v>
      </c>
      <c r="B4563" s="11">
        <v>44729</v>
      </c>
      <c r="C4563" s="13" t="s">
        <v>193</v>
      </c>
      <c r="D4563" s="13" t="s">
        <v>5990</v>
      </c>
      <c r="E4563" s="8">
        <v>26367.5</v>
      </c>
      <c r="F4563" s="13" t="s">
        <v>70</v>
      </c>
      <c r="G4563" s="14">
        <v>44733</v>
      </c>
      <c r="H4563" s="13" t="s">
        <v>29</v>
      </c>
    </row>
    <row r="4564" spans="1:8" ht="14.4" x14ac:dyDescent="0.3">
      <c r="A4564" s="8">
        <v>78997019</v>
      </c>
      <c r="B4564" s="11">
        <v>44729</v>
      </c>
      <c r="C4564" s="13" t="s">
        <v>193</v>
      </c>
      <c r="D4564" s="13" t="s">
        <v>5991</v>
      </c>
      <c r="E4564" s="8">
        <v>26367.5</v>
      </c>
      <c r="F4564" s="13" t="s">
        <v>70</v>
      </c>
      <c r="G4564" s="14">
        <v>44733</v>
      </c>
      <c r="H4564" s="13" t="s">
        <v>29</v>
      </c>
    </row>
    <row r="4565" spans="1:8" ht="14.4" x14ac:dyDescent="0.3">
      <c r="A4565" s="8">
        <v>78997020</v>
      </c>
      <c r="B4565" s="11">
        <v>44729</v>
      </c>
      <c r="C4565" s="13" t="s">
        <v>193</v>
      </c>
      <c r="D4565" s="13" t="s">
        <v>5992</v>
      </c>
      <c r="E4565" s="8">
        <v>26367.5</v>
      </c>
      <c r="F4565" s="13" t="s">
        <v>70</v>
      </c>
      <c r="G4565" s="14">
        <v>44733</v>
      </c>
      <c r="H4565" s="13" t="s">
        <v>29</v>
      </c>
    </row>
    <row r="4566" spans="1:8" ht="14.4" x14ac:dyDescent="0.3">
      <c r="A4566" s="8">
        <v>78997021</v>
      </c>
      <c r="B4566" s="11">
        <v>44733</v>
      </c>
      <c r="C4566" s="13" t="s">
        <v>1540</v>
      </c>
      <c r="D4566" s="13" t="s">
        <v>5993</v>
      </c>
      <c r="E4566" s="8">
        <v>1364713.54</v>
      </c>
      <c r="F4566" s="13" t="s">
        <v>70</v>
      </c>
      <c r="G4566" s="14">
        <v>44740</v>
      </c>
      <c r="H4566" s="13" t="s">
        <v>29</v>
      </c>
    </row>
    <row r="4567" spans="1:8" ht="14.4" x14ac:dyDescent="0.3">
      <c r="A4567" s="8">
        <v>78997022</v>
      </c>
      <c r="B4567" s="11">
        <v>44733</v>
      </c>
      <c r="C4567" s="13" t="s">
        <v>5876</v>
      </c>
      <c r="D4567" s="13" t="s">
        <v>5994</v>
      </c>
      <c r="E4567" s="8">
        <v>4371256.7300000004</v>
      </c>
      <c r="F4567" s="13" t="s">
        <v>70</v>
      </c>
      <c r="G4567" s="14">
        <v>44734</v>
      </c>
      <c r="H4567" s="13" t="s">
        <v>29</v>
      </c>
    </row>
    <row r="4568" spans="1:8" ht="14.4" x14ac:dyDescent="0.3">
      <c r="A4568" s="8">
        <v>78997023</v>
      </c>
      <c r="B4568" s="11">
        <v>44733</v>
      </c>
      <c r="C4568" s="13" t="s">
        <v>4591</v>
      </c>
      <c r="D4568" s="13" t="s">
        <v>5995</v>
      </c>
      <c r="E4568" s="8">
        <v>1407673.55</v>
      </c>
      <c r="F4568" s="13" t="s">
        <v>70</v>
      </c>
      <c r="G4568" s="14">
        <v>44736</v>
      </c>
      <c r="H4568" s="13" t="s">
        <v>29</v>
      </c>
    </row>
    <row r="4569" spans="1:8" ht="14.4" x14ac:dyDescent="0.3">
      <c r="A4569" s="8">
        <v>78997024</v>
      </c>
      <c r="B4569" s="11">
        <v>44735</v>
      </c>
      <c r="C4569" s="13" t="s">
        <v>1542</v>
      </c>
      <c r="D4569" s="13" t="s">
        <v>5996</v>
      </c>
      <c r="E4569" s="8">
        <v>118832.78</v>
      </c>
      <c r="F4569" s="13" t="s">
        <v>70</v>
      </c>
      <c r="G4569" s="14">
        <v>44754</v>
      </c>
      <c r="H4569" s="13" t="s">
        <v>29</v>
      </c>
    </row>
    <row r="4570" spans="1:8" ht="14.4" x14ac:dyDescent="0.3">
      <c r="A4570" s="8">
        <v>78997025</v>
      </c>
      <c r="B4570" s="11">
        <v>44735</v>
      </c>
      <c r="C4570" s="13" t="s">
        <v>25</v>
      </c>
      <c r="D4570" s="13" t="s">
        <v>5988</v>
      </c>
      <c r="E4570" s="8">
        <v>100010.57</v>
      </c>
      <c r="F4570" s="13" t="s">
        <v>70</v>
      </c>
      <c r="G4570" s="14">
        <v>44736</v>
      </c>
      <c r="H4570" s="13" t="s">
        <v>29</v>
      </c>
    </row>
    <row r="4571" spans="1:8" ht="14.4" x14ac:dyDescent="0.3">
      <c r="A4571" s="8">
        <v>78997026</v>
      </c>
      <c r="B4571" s="11">
        <v>44735</v>
      </c>
      <c r="C4571" s="13" t="s">
        <v>1542</v>
      </c>
      <c r="D4571" s="13" t="s">
        <v>5997</v>
      </c>
      <c r="E4571" s="8">
        <v>118832.78</v>
      </c>
      <c r="F4571" s="13" t="s">
        <v>70</v>
      </c>
      <c r="G4571" s="14">
        <v>44754</v>
      </c>
      <c r="H4571" s="13" t="s">
        <v>29</v>
      </c>
    </row>
    <row r="4572" spans="1:8" ht="14.4" x14ac:dyDescent="0.3">
      <c r="A4572" s="8">
        <v>78997027</v>
      </c>
      <c r="B4572" s="11">
        <v>44735</v>
      </c>
      <c r="C4572" s="13" t="s">
        <v>1745</v>
      </c>
      <c r="D4572" s="13" t="s">
        <v>5998</v>
      </c>
      <c r="E4572" s="8">
        <v>90210</v>
      </c>
      <c r="F4572" s="13" t="s">
        <v>70</v>
      </c>
      <c r="G4572" s="14">
        <v>44736</v>
      </c>
      <c r="H4572" s="13" t="s">
        <v>29</v>
      </c>
    </row>
    <row r="4573" spans="1:8" ht="14.4" x14ac:dyDescent="0.3">
      <c r="A4573" s="8">
        <v>78997028</v>
      </c>
      <c r="B4573" s="11">
        <v>44735</v>
      </c>
      <c r="C4573" s="13" t="s">
        <v>1745</v>
      </c>
      <c r="D4573" s="13" t="s">
        <v>5999</v>
      </c>
      <c r="E4573" s="8">
        <v>90210</v>
      </c>
      <c r="F4573" s="13" t="s">
        <v>70</v>
      </c>
      <c r="G4573" s="14">
        <v>44736</v>
      </c>
      <c r="H4573" s="13" t="s">
        <v>29</v>
      </c>
    </row>
    <row r="4574" spans="1:8" ht="14.4" x14ac:dyDescent="0.3">
      <c r="A4574" s="8">
        <v>78997029</v>
      </c>
      <c r="B4574" s="11">
        <v>44735</v>
      </c>
      <c r="C4574" s="13" t="s">
        <v>1542</v>
      </c>
      <c r="D4574" s="13" t="s">
        <v>6000</v>
      </c>
      <c r="E4574" s="8">
        <v>118832.78</v>
      </c>
      <c r="F4574" s="13" t="s">
        <v>70</v>
      </c>
      <c r="G4574" s="14">
        <v>44754</v>
      </c>
      <c r="H4574" s="13" t="s">
        <v>29</v>
      </c>
    </row>
    <row r="4575" spans="1:8" ht="14.4" x14ac:dyDescent="0.3">
      <c r="A4575" s="8">
        <v>78997030</v>
      </c>
      <c r="B4575" s="11">
        <v>44735</v>
      </c>
      <c r="C4575" s="13" t="s">
        <v>1745</v>
      </c>
      <c r="D4575" s="13" t="s">
        <v>6001</v>
      </c>
      <c r="E4575" s="8">
        <v>90210</v>
      </c>
      <c r="F4575" s="13" t="s">
        <v>70</v>
      </c>
      <c r="G4575" s="14">
        <v>44736</v>
      </c>
      <c r="H4575" s="13" t="s">
        <v>29</v>
      </c>
    </row>
    <row r="4576" spans="1:8" ht="14.4" x14ac:dyDescent="0.3">
      <c r="A4576" s="8">
        <v>78997031</v>
      </c>
      <c r="B4576" s="11">
        <v>44735</v>
      </c>
      <c r="C4576" s="13" t="s">
        <v>1542</v>
      </c>
      <c r="D4576" s="13" t="s">
        <v>5980</v>
      </c>
      <c r="E4576" s="8">
        <v>65269.07</v>
      </c>
      <c r="F4576" s="13" t="s">
        <v>70</v>
      </c>
      <c r="G4576" s="14">
        <v>44754</v>
      </c>
      <c r="H4576" s="13" t="s">
        <v>29</v>
      </c>
    </row>
    <row r="4577" spans="1:8" ht="14.4" x14ac:dyDescent="0.3">
      <c r="A4577" s="8">
        <v>78997033</v>
      </c>
      <c r="B4577" s="11">
        <v>44736</v>
      </c>
      <c r="C4577" s="13" t="s">
        <v>6002</v>
      </c>
      <c r="D4577" s="13" t="s">
        <v>6003</v>
      </c>
      <c r="E4577" s="8">
        <v>679292.77</v>
      </c>
      <c r="F4577" s="13" t="s">
        <v>70</v>
      </c>
      <c r="G4577" s="14">
        <v>44746</v>
      </c>
      <c r="H4577" s="13" t="s">
        <v>29</v>
      </c>
    </row>
    <row r="4578" spans="1:8" ht="14.4" x14ac:dyDescent="0.3">
      <c r="A4578" s="8">
        <v>78997034</v>
      </c>
      <c r="B4578" s="11">
        <v>44736</v>
      </c>
      <c r="C4578" s="13" t="s">
        <v>1745</v>
      </c>
      <c r="D4578" s="13" t="s">
        <v>6004</v>
      </c>
      <c r="E4578" s="8">
        <v>3920</v>
      </c>
      <c r="F4578" s="13" t="s">
        <v>70</v>
      </c>
      <c r="G4578" s="14">
        <v>44746</v>
      </c>
      <c r="H4578" s="13" t="s">
        <v>29</v>
      </c>
    </row>
    <row r="4579" spans="1:8" ht="14.4" x14ac:dyDescent="0.3">
      <c r="A4579" s="8">
        <v>78997035</v>
      </c>
      <c r="B4579" s="11">
        <v>44739</v>
      </c>
      <c r="C4579" s="13" t="s">
        <v>1540</v>
      </c>
      <c r="D4579" s="13" t="s">
        <v>6005</v>
      </c>
      <c r="E4579" s="8">
        <v>2777428.11</v>
      </c>
      <c r="F4579" s="13" t="s">
        <v>70</v>
      </c>
      <c r="G4579" s="14">
        <v>44740</v>
      </c>
      <c r="H4579" s="13" t="s">
        <v>29</v>
      </c>
    </row>
    <row r="4580" spans="1:8" ht="14.4" x14ac:dyDescent="0.3">
      <c r="A4580" s="8">
        <v>78997036</v>
      </c>
      <c r="B4580" s="11">
        <v>44739</v>
      </c>
      <c r="C4580" s="13" t="s">
        <v>1540</v>
      </c>
      <c r="D4580" s="13" t="s">
        <v>6006</v>
      </c>
      <c r="E4580" s="8">
        <v>2772218.04</v>
      </c>
      <c r="F4580" s="13" t="s">
        <v>70</v>
      </c>
      <c r="G4580" s="14">
        <v>44740</v>
      </c>
      <c r="H4580" s="13" t="s">
        <v>29</v>
      </c>
    </row>
    <row r="4581" spans="1:8" ht="14.4" x14ac:dyDescent="0.3">
      <c r="A4581" s="8">
        <v>78997037</v>
      </c>
      <c r="B4581" s="11">
        <v>44739</v>
      </c>
      <c r="C4581" s="13" t="s">
        <v>2567</v>
      </c>
      <c r="D4581" s="13" t="s">
        <v>6007</v>
      </c>
      <c r="E4581" s="8">
        <v>2765.5</v>
      </c>
      <c r="F4581" s="13" t="s">
        <v>70</v>
      </c>
      <c r="G4581" s="14">
        <v>44749</v>
      </c>
      <c r="H4581" s="13" t="s">
        <v>29</v>
      </c>
    </row>
    <row r="4582" spans="1:8" ht="14.4" x14ac:dyDescent="0.3">
      <c r="A4582" s="8">
        <v>78997038</v>
      </c>
      <c r="B4582" s="11">
        <v>44739</v>
      </c>
      <c r="C4582" s="13" t="s">
        <v>201</v>
      </c>
      <c r="D4582" s="13" t="s">
        <v>3196</v>
      </c>
      <c r="E4582" s="8">
        <v>35595</v>
      </c>
      <c r="F4582" s="13" t="s">
        <v>70</v>
      </c>
      <c r="G4582" s="14">
        <v>44750</v>
      </c>
      <c r="H4582" s="13" t="s">
        <v>29</v>
      </c>
    </row>
    <row r="4583" spans="1:8" ht="14.4" x14ac:dyDescent="0.3">
      <c r="A4583" s="8">
        <v>78997039</v>
      </c>
      <c r="B4583" s="11">
        <v>44739</v>
      </c>
      <c r="C4583" s="13" t="s">
        <v>6008</v>
      </c>
      <c r="D4583" s="13" t="s">
        <v>3196</v>
      </c>
      <c r="E4583" s="8">
        <v>9500</v>
      </c>
      <c r="F4583" s="13" t="s">
        <v>70</v>
      </c>
      <c r="G4583" s="14">
        <v>44783</v>
      </c>
      <c r="H4583" s="13" t="s">
        <v>29</v>
      </c>
    </row>
    <row r="4584" spans="1:8" ht="14.4" x14ac:dyDescent="0.3">
      <c r="A4584" s="8">
        <v>78997040</v>
      </c>
      <c r="B4584" s="11">
        <v>44739</v>
      </c>
      <c r="C4584" s="13" t="s">
        <v>6009</v>
      </c>
      <c r="D4584" s="13" t="s">
        <v>6010</v>
      </c>
      <c r="E4584" s="8">
        <v>26088.9</v>
      </c>
      <c r="F4584" s="13" t="s">
        <v>70</v>
      </c>
      <c r="G4584" s="14">
        <v>44743</v>
      </c>
      <c r="H4584" s="13" t="s">
        <v>29</v>
      </c>
    </row>
    <row r="4585" spans="1:8" ht="14.4" x14ac:dyDescent="0.3">
      <c r="A4585" s="8">
        <v>78997041</v>
      </c>
      <c r="B4585" s="11">
        <v>44740</v>
      </c>
      <c r="C4585" s="13" t="s">
        <v>6002</v>
      </c>
      <c r="D4585" s="13" t="s">
        <v>6011</v>
      </c>
      <c r="E4585" s="8">
        <v>234631.55</v>
      </c>
      <c r="F4585" s="13" t="s">
        <v>70</v>
      </c>
      <c r="G4585" s="14">
        <v>44746</v>
      </c>
      <c r="H4585" s="13" t="s">
        <v>29</v>
      </c>
    </row>
    <row r="4586" spans="1:8" ht="14.4" x14ac:dyDescent="0.3">
      <c r="A4586" s="8">
        <v>78997042</v>
      </c>
      <c r="B4586" s="11">
        <v>44741</v>
      </c>
      <c r="C4586" s="13" t="s">
        <v>188</v>
      </c>
      <c r="D4586" s="13" t="s">
        <v>3119</v>
      </c>
      <c r="E4586" s="8">
        <v>51356.480000000003</v>
      </c>
      <c r="F4586" s="13" t="s">
        <v>70</v>
      </c>
      <c r="G4586" s="14">
        <v>44742</v>
      </c>
      <c r="H4586" s="13" t="s">
        <v>29</v>
      </c>
    </row>
    <row r="4587" spans="1:8" ht="14.4" x14ac:dyDescent="0.3">
      <c r="A4587" s="8">
        <v>78997043</v>
      </c>
      <c r="B4587" s="11">
        <v>44742</v>
      </c>
      <c r="C4587" s="13" t="s">
        <v>193</v>
      </c>
      <c r="D4587" s="13" t="s">
        <v>6012</v>
      </c>
      <c r="E4587" s="8">
        <v>86853.74</v>
      </c>
      <c r="F4587" s="13" t="s">
        <v>70</v>
      </c>
      <c r="G4587" s="14">
        <v>44743</v>
      </c>
      <c r="H4587" s="13" t="s">
        <v>29</v>
      </c>
    </row>
    <row r="4588" spans="1:8" ht="14.4" x14ac:dyDescent="0.3">
      <c r="A4588" s="8">
        <v>78997044</v>
      </c>
      <c r="B4588" s="11">
        <v>44742</v>
      </c>
      <c r="C4588" s="13" t="s">
        <v>6013</v>
      </c>
      <c r="D4588" s="13" t="s">
        <v>6014</v>
      </c>
      <c r="E4588" s="8">
        <v>10685880.4</v>
      </c>
      <c r="F4588" s="13" t="s">
        <v>70</v>
      </c>
      <c r="G4588" s="14">
        <v>44749</v>
      </c>
      <c r="H4588" s="13" t="s">
        <v>29</v>
      </c>
    </row>
    <row r="4589" spans="1:8" ht="14.4" x14ac:dyDescent="0.3">
      <c r="A4589" s="8">
        <v>78997045</v>
      </c>
      <c r="B4589" s="11">
        <v>44742</v>
      </c>
      <c r="C4589" s="13" t="s">
        <v>2624</v>
      </c>
      <c r="D4589" s="13" t="s">
        <v>6015</v>
      </c>
      <c r="E4589" s="8">
        <v>5018.99</v>
      </c>
      <c r="F4589" s="13" t="s">
        <v>70</v>
      </c>
      <c r="G4589" s="14">
        <v>44746</v>
      </c>
      <c r="H4589" s="13" t="s">
        <v>29</v>
      </c>
    </row>
    <row r="4590" spans="1:8" ht="14.4" x14ac:dyDescent="0.3">
      <c r="A4590" s="8">
        <v>78997046</v>
      </c>
      <c r="B4590" s="11">
        <v>44747</v>
      </c>
      <c r="C4590" s="13" t="s">
        <v>188</v>
      </c>
      <c r="D4590" s="13" t="s">
        <v>3286</v>
      </c>
      <c r="E4590" s="8">
        <v>59809.82</v>
      </c>
      <c r="F4590" s="13" t="s">
        <v>70</v>
      </c>
      <c r="G4590" s="14">
        <v>44747</v>
      </c>
      <c r="H4590" s="13" t="s">
        <v>29</v>
      </c>
    </row>
    <row r="4591" spans="1:8" ht="14.4" x14ac:dyDescent="0.3">
      <c r="A4591" s="8">
        <v>78997047</v>
      </c>
      <c r="B4591" s="11">
        <v>44747</v>
      </c>
      <c r="C4591" s="13" t="s">
        <v>2624</v>
      </c>
      <c r="D4591" s="13" t="s">
        <v>6016</v>
      </c>
      <c r="E4591" s="8">
        <v>12493614.68</v>
      </c>
      <c r="F4591" s="13" t="s">
        <v>70</v>
      </c>
      <c r="G4591" s="14">
        <v>44747</v>
      </c>
      <c r="H4591" s="13" t="s">
        <v>29</v>
      </c>
    </row>
    <row r="4592" spans="1:8" ht="14.4" x14ac:dyDescent="0.3">
      <c r="A4592" s="8">
        <v>78997048</v>
      </c>
      <c r="B4592" s="11">
        <v>44748</v>
      </c>
      <c r="C4592" s="13" t="s">
        <v>184</v>
      </c>
      <c r="D4592" s="13" t="s">
        <v>6017</v>
      </c>
      <c r="E4592" s="8">
        <v>24466.16</v>
      </c>
      <c r="F4592" s="13" t="s">
        <v>70</v>
      </c>
      <c r="G4592" s="14">
        <v>44749</v>
      </c>
      <c r="H4592" s="13" t="s">
        <v>29</v>
      </c>
    </row>
    <row r="4593" spans="1:8" ht="14.4" x14ac:dyDescent="0.3">
      <c r="A4593" s="8">
        <v>78997049</v>
      </c>
      <c r="B4593" s="11">
        <v>44748</v>
      </c>
      <c r="C4593" s="13" t="s">
        <v>184</v>
      </c>
      <c r="D4593" s="13" t="s">
        <v>6018</v>
      </c>
      <c r="E4593" s="8">
        <v>25900</v>
      </c>
      <c r="F4593" s="13" t="s">
        <v>70</v>
      </c>
      <c r="G4593" s="14">
        <v>44749</v>
      </c>
      <c r="H4593" s="13" t="s">
        <v>29</v>
      </c>
    </row>
    <row r="4594" spans="1:8" ht="14.4" x14ac:dyDescent="0.3">
      <c r="A4594" s="8">
        <v>78997050</v>
      </c>
      <c r="B4594" s="11">
        <v>44748</v>
      </c>
      <c r="C4594" s="13" t="s">
        <v>186</v>
      </c>
      <c r="D4594" s="13" t="s">
        <v>3341</v>
      </c>
      <c r="E4594" s="8">
        <v>10689.7</v>
      </c>
      <c r="F4594" s="13" t="s">
        <v>70</v>
      </c>
      <c r="G4594" s="14">
        <v>44749</v>
      </c>
      <c r="H4594" s="13" t="s">
        <v>29</v>
      </c>
    </row>
    <row r="4595" spans="1:8" ht="14.4" x14ac:dyDescent="0.3">
      <c r="A4595" s="8">
        <v>78997051</v>
      </c>
      <c r="B4595" s="11">
        <v>44748</v>
      </c>
      <c r="C4595" s="13" t="s">
        <v>235</v>
      </c>
      <c r="D4595" s="13" t="s">
        <v>3342</v>
      </c>
      <c r="E4595" s="8">
        <v>3310</v>
      </c>
      <c r="F4595" s="13" t="s">
        <v>70</v>
      </c>
      <c r="G4595" s="14">
        <v>44749</v>
      </c>
      <c r="H4595" s="13" t="s">
        <v>29</v>
      </c>
    </row>
    <row r="4596" spans="1:8" ht="14.4" x14ac:dyDescent="0.3">
      <c r="A4596" s="8">
        <v>78997052</v>
      </c>
      <c r="B4596" s="11">
        <v>44748</v>
      </c>
      <c r="C4596" s="13" t="s">
        <v>1420</v>
      </c>
      <c r="D4596" s="13" t="s">
        <v>6019</v>
      </c>
      <c r="E4596" s="8">
        <v>42139.28</v>
      </c>
      <c r="F4596" s="13" t="s">
        <v>70</v>
      </c>
      <c r="G4596" s="14">
        <v>44753</v>
      </c>
      <c r="H4596" s="13" t="s">
        <v>29</v>
      </c>
    </row>
    <row r="4597" spans="1:8" ht="14.4" x14ac:dyDescent="0.3">
      <c r="A4597" s="8">
        <v>78997053</v>
      </c>
      <c r="B4597" s="11">
        <v>44748</v>
      </c>
      <c r="C4597" s="13" t="s">
        <v>5952</v>
      </c>
      <c r="D4597" s="13" t="s">
        <v>6020</v>
      </c>
      <c r="E4597" s="8">
        <v>13662733.119999999</v>
      </c>
      <c r="F4597" s="13" t="s">
        <v>70</v>
      </c>
      <c r="G4597" s="14">
        <v>44749</v>
      </c>
      <c r="H4597" s="13" t="s">
        <v>29</v>
      </c>
    </row>
    <row r="4598" spans="1:8" ht="14.4" x14ac:dyDescent="0.3">
      <c r="A4598" s="8">
        <v>78997054</v>
      </c>
      <c r="B4598" s="11">
        <v>44749</v>
      </c>
      <c r="C4598" s="13" t="s">
        <v>1420</v>
      </c>
      <c r="D4598" s="13" t="s">
        <v>6021</v>
      </c>
      <c r="E4598" s="8">
        <v>42139.28</v>
      </c>
      <c r="F4598" s="13" t="s">
        <v>70</v>
      </c>
      <c r="G4598" s="14">
        <v>44753</v>
      </c>
      <c r="H4598" s="13" t="s">
        <v>29</v>
      </c>
    </row>
    <row r="4599" spans="1:8" ht="14.4" x14ac:dyDescent="0.3">
      <c r="A4599" s="8">
        <v>78997055</v>
      </c>
      <c r="B4599" s="11">
        <v>44749</v>
      </c>
      <c r="C4599" s="13" t="s">
        <v>1420</v>
      </c>
      <c r="D4599" s="13" t="s">
        <v>6022</v>
      </c>
      <c r="E4599" s="8">
        <v>42139.28</v>
      </c>
      <c r="F4599" s="13" t="s">
        <v>70</v>
      </c>
      <c r="G4599" s="14">
        <v>44753</v>
      </c>
      <c r="H4599" s="13" t="s">
        <v>29</v>
      </c>
    </row>
    <row r="4600" spans="1:8" ht="14.4" x14ac:dyDescent="0.3">
      <c r="A4600" s="8">
        <v>78997056</v>
      </c>
      <c r="B4600" s="11">
        <v>44749</v>
      </c>
      <c r="C4600" s="13" t="s">
        <v>1420</v>
      </c>
      <c r="D4600" s="13" t="s">
        <v>6023</v>
      </c>
      <c r="E4600" s="8">
        <v>42139.28</v>
      </c>
      <c r="F4600" s="13" t="s">
        <v>70</v>
      </c>
      <c r="G4600" s="14">
        <v>44753</v>
      </c>
      <c r="H4600" s="13" t="s">
        <v>29</v>
      </c>
    </row>
    <row r="4601" spans="1:8" ht="14.4" x14ac:dyDescent="0.3">
      <c r="A4601" s="8">
        <v>78997057</v>
      </c>
      <c r="B4601" s="11">
        <v>44749</v>
      </c>
      <c r="C4601" s="13" t="s">
        <v>1420</v>
      </c>
      <c r="D4601" s="13" t="s">
        <v>6024</v>
      </c>
      <c r="E4601" s="8">
        <v>42139.28</v>
      </c>
      <c r="F4601" s="13" t="s">
        <v>70</v>
      </c>
      <c r="G4601" s="14">
        <v>44753</v>
      </c>
      <c r="H4601" s="13" t="s">
        <v>29</v>
      </c>
    </row>
    <row r="4602" spans="1:8" ht="14.4" x14ac:dyDescent="0.3">
      <c r="A4602" s="8">
        <v>78997058</v>
      </c>
      <c r="B4602" s="11">
        <v>44749</v>
      </c>
      <c r="C4602" s="13" t="s">
        <v>1420</v>
      </c>
      <c r="D4602" s="13" t="s">
        <v>6025</v>
      </c>
      <c r="E4602" s="8">
        <v>42139.28</v>
      </c>
      <c r="F4602" s="13" t="s">
        <v>70</v>
      </c>
      <c r="G4602" s="14">
        <v>44753</v>
      </c>
      <c r="H4602" s="13" t="s">
        <v>29</v>
      </c>
    </row>
    <row r="4603" spans="1:8" ht="14.4" x14ac:dyDescent="0.3">
      <c r="A4603" s="8">
        <v>78997059</v>
      </c>
      <c r="B4603" s="11">
        <v>44749</v>
      </c>
      <c r="C4603" s="13" t="s">
        <v>1745</v>
      </c>
      <c r="D4603" s="13" t="s">
        <v>6026</v>
      </c>
      <c r="E4603" s="8">
        <v>3920</v>
      </c>
      <c r="F4603" s="13" t="s">
        <v>70</v>
      </c>
      <c r="G4603" s="14">
        <v>44753</v>
      </c>
      <c r="H4603" s="13" t="s">
        <v>29</v>
      </c>
    </row>
    <row r="4604" spans="1:8" ht="14.4" x14ac:dyDescent="0.3">
      <c r="A4604" s="8">
        <v>78997060</v>
      </c>
      <c r="B4604" s="11">
        <v>44749</v>
      </c>
      <c r="C4604" s="13" t="s">
        <v>1420</v>
      </c>
      <c r="D4604" s="13" t="s">
        <v>6027</v>
      </c>
      <c r="E4604" s="8">
        <v>67422.850000000006</v>
      </c>
      <c r="F4604" s="13" t="s">
        <v>70</v>
      </c>
      <c r="G4604" s="14">
        <v>44753</v>
      </c>
      <c r="H4604" s="13" t="s">
        <v>29</v>
      </c>
    </row>
    <row r="4605" spans="1:8" ht="14.4" x14ac:dyDescent="0.3">
      <c r="A4605" s="8">
        <v>78997061</v>
      </c>
      <c r="B4605" s="11">
        <v>44749</v>
      </c>
      <c r="C4605" s="13" t="s">
        <v>1745</v>
      </c>
      <c r="D4605" s="13" t="s">
        <v>6028</v>
      </c>
      <c r="E4605" s="8">
        <v>1960</v>
      </c>
      <c r="F4605" s="13" t="s">
        <v>70</v>
      </c>
      <c r="G4605" s="14">
        <v>44753</v>
      </c>
      <c r="H4605" s="13" t="s">
        <v>29</v>
      </c>
    </row>
    <row r="4606" spans="1:8" ht="14.4" x14ac:dyDescent="0.3">
      <c r="A4606" s="8">
        <v>78997062</v>
      </c>
      <c r="B4606" s="11">
        <v>44750</v>
      </c>
      <c r="C4606" s="13" t="s">
        <v>1745</v>
      </c>
      <c r="D4606" s="13" t="s">
        <v>6029</v>
      </c>
      <c r="E4606" s="8">
        <v>3920</v>
      </c>
      <c r="F4606" s="13" t="s">
        <v>70</v>
      </c>
      <c r="G4606" s="14">
        <v>44760</v>
      </c>
      <c r="H4606" s="13" t="s">
        <v>29</v>
      </c>
    </row>
    <row r="4607" spans="1:8" ht="14.4" x14ac:dyDescent="0.3">
      <c r="A4607" s="8">
        <v>78997063</v>
      </c>
      <c r="B4607" s="11">
        <v>44750</v>
      </c>
      <c r="C4607" s="13" t="s">
        <v>1420</v>
      </c>
      <c r="D4607" s="13" t="s">
        <v>6030</v>
      </c>
      <c r="E4607" s="8">
        <v>42139.28</v>
      </c>
      <c r="F4607" s="13" t="s">
        <v>70</v>
      </c>
      <c r="G4607" s="14">
        <v>44757</v>
      </c>
      <c r="H4607" s="13" t="s">
        <v>29</v>
      </c>
    </row>
    <row r="4608" spans="1:8" ht="14.4" x14ac:dyDescent="0.3">
      <c r="A4608" s="8">
        <v>78997064</v>
      </c>
      <c r="B4608" s="11">
        <v>44750</v>
      </c>
      <c r="C4608" s="13" t="s">
        <v>193</v>
      </c>
      <c r="D4608" s="13" t="s">
        <v>6031</v>
      </c>
      <c r="E4608" s="8">
        <v>26088.9</v>
      </c>
      <c r="F4608" s="13" t="s">
        <v>70</v>
      </c>
      <c r="G4608" s="14">
        <v>44756</v>
      </c>
      <c r="H4608" s="13" t="s">
        <v>29</v>
      </c>
    </row>
    <row r="4609" spans="1:8" ht="14.4" x14ac:dyDescent="0.3">
      <c r="A4609" s="8">
        <v>78997065</v>
      </c>
      <c r="B4609" s="11">
        <v>44750</v>
      </c>
      <c r="C4609" s="13" t="s">
        <v>1745</v>
      </c>
      <c r="D4609" s="13" t="s">
        <v>6032</v>
      </c>
      <c r="E4609" s="8">
        <v>3920</v>
      </c>
      <c r="F4609" s="13" t="s">
        <v>70</v>
      </c>
      <c r="G4609" s="14">
        <v>44760</v>
      </c>
      <c r="H4609" s="13" t="s">
        <v>29</v>
      </c>
    </row>
    <row r="4610" spans="1:8" ht="14.4" x14ac:dyDescent="0.3">
      <c r="A4610" s="8">
        <v>78997066</v>
      </c>
      <c r="B4610" s="11">
        <v>44750</v>
      </c>
      <c r="C4610" s="13" t="s">
        <v>1540</v>
      </c>
      <c r="D4610" s="13" t="s">
        <v>5903</v>
      </c>
      <c r="E4610" s="8">
        <v>3643608.97</v>
      </c>
      <c r="F4610" s="13" t="s">
        <v>70</v>
      </c>
      <c r="G4610" s="14">
        <v>44750</v>
      </c>
      <c r="H4610" s="13" t="s">
        <v>29</v>
      </c>
    </row>
    <row r="4611" spans="1:8" ht="14.4" x14ac:dyDescent="0.3">
      <c r="A4611" s="8">
        <v>78997067</v>
      </c>
      <c r="B4611" s="11">
        <v>44754</v>
      </c>
      <c r="C4611" s="13" t="s">
        <v>1956</v>
      </c>
      <c r="D4611" s="13" t="s">
        <v>6033</v>
      </c>
      <c r="E4611" s="8">
        <v>2953901.1</v>
      </c>
      <c r="F4611" s="13" t="s">
        <v>70</v>
      </c>
      <c r="G4611" s="14">
        <v>44755</v>
      </c>
      <c r="H4611" s="13" t="s">
        <v>29</v>
      </c>
    </row>
    <row r="4612" spans="1:8" ht="14.4" x14ac:dyDescent="0.3">
      <c r="A4612" s="8">
        <v>78997068</v>
      </c>
      <c r="B4612" s="11">
        <v>44754</v>
      </c>
      <c r="C4612" s="13" t="s">
        <v>1745</v>
      </c>
      <c r="D4612" s="13" t="s">
        <v>6034</v>
      </c>
      <c r="E4612" s="8">
        <v>3900</v>
      </c>
      <c r="F4612" s="13" t="s">
        <v>70</v>
      </c>
      <c r="G4612" s="14">
        <v>44760</v>
      </c>
      <c r="H4612" s="13" t="s">
        <v>29</v>
      </c>
    </row>
    <row r="4613" spans="1:8" ht="14.4" x14ac:dyDescent="0.3">
      <c r="A4613" s="8">
        <v>78997069</v>
      </c>
      <c r="B4613" s="11">
        <v>44754</v>
      </c>
      <c r="C4613" s="13" t="s">
        <v>1745</v>
      </c>
      <c r="D4613" s="13" t="s">
        <v>6035</v>
      </c>
      <c r="E4613" s="8">
        <v>3900</v>
      </c>
      <c r="F4613" s="13" t="s">
        <v>70</v>
      </c>
      <c r="G4613" s="14">
        <v>44760</v>
      </c>
      <c r="H4613" s="13" t="s">
        <v>29</v>
      </c>
    </row>
    <row r="4614" spans="1:8" ht="14.4" x14ac:dyDescent="0.3">
      <c r="A4614" s="8">
        <v>78997070</v>
      </c>
      <c r="B4614" s="11">
        <v>44754</v>
      </c>
      <c r="C4614" s="13" t="s">
        <v>1745</v>
      </c>
      <c r="D4614" s="13" t="s">
        <v>6036</v>
      </c>
      <c r="E4614" s="8">
        <v>3900</v>
      </c>
      <c r="F4614" s="13" t="s">
        <v>70</v>
      </c>
      <c r="G4614" s="14">
        <v>44760</v>
      </c>
      <c r="H4614" s="13" t="s">
        <v>29</v>
      </c>
    </row>
    <row r="4615" spans="1:8" ht="14.4" x14ac:dyDescent="0.3">
      <c r="A4615" s="8">
        <v>78997071</v>
      </c>
      <c r="B4615" s="11">
        <v>44754</v>
      </c>
      <c r="C4615" s="13" t="s">
        <v>52</v>
      </c>
      <c r="D4615" s="13" t="s">
        <v>3650</v>
      </c>
      <c r="E4615" s="8">
        <v>11918.03</v>
      </c>
      <c r="F4615" s="13" t="s">
        <v>70</v>
      </c>
      <c r="G4615" s="14">
        <v>44756</v>
      </c>
      <c r="H4615" s="13" t="s">
        <v>29</v>
      </c>
    </row>
    <row r="4616" spans="1:8" ht="14.4" x14ac:dyDescent="0.3">
      <c r="A4616" s="8">
        <v>78997072</v>
      </c>
      <c r="B4616" s="11">
        <v>44754</v>
      </c>
      <c r="C4616" s="13" t="s">
        <v>1745</v>
      </c>
      <c r="D4616" s="13" t="s">
        <v>6037</v>
      </c>
      <c r="E4616" s="8">
        <v>63050</v>
      </c>
      <c r="F4616" s="13" t="s">
        <v>70</v>
      </c>
      <c r="G4616" s="14">
        <v>44760</v>
      </c>
      <c r="H4616" s="13" t="s">
        <v>29</v>
      </c>
    </row>
    <row r="4617" spans="1:8" ht="14.4" x14ac:dyDescent="0.3">
      <c r="A4617" s="8">
        <v>78997073</v>
      </c>
      <c r="B4617" s="11">
        <v>44755</v>
      </c>
      <c r="C4617" s="13" t="s">
        <v>6038</v>
      </c>
      <c r="D4617" s="13" t="s">
        <v>6039</v>
      </c>
      <c r="E4617" s="8">
        <v>4293.6000000000004</v>
      </c>
      <c r="F4617" s="13" t="s">
        <v>70</v>
      </c>
      <c r="G4617" s="14">
        <v>44767</v>
      </c>
      <c r="H4617" s="13" t="s">
        <v>29</v>
      </c>
    </row>
    <row r="4618" spans="1:8" ht="14.4" x14ac:dyDescent="0.3">
      <c r="A4618" s="8">
        <v>78997074</v>
      </c>
      <c r="B4618" s="11">
        <v>44755</v>
      </c>
      <c r="C4618" s="13" t="s">
        <v>673</v>
      </c>
      <c r="D4618" s="13" t="s">
        <v>6040</v>
      </c>
      <c r="E4618" s="8">
        <v>637551.9</v>
      </c>
      <c r="F4618" s="13" t="s">
        <v>70</v>
      </c>
      <c r="G4618" s="14">
        <v>44756</v>
      </c>
      <c r="H4618" s="13" t="s">
        <v>29</v>
      </c>
    </row>
    <row r="4619" spans="1:8" ht="14.4" x14ac:dyDescent="0.3">
      <c r="A4619" s="8">
        <v>78997075</v>
      </c>
      <c r="B4619" s="11">
        <v>44760</v>
      </c>
      <c r="C4619" s="13" t="s">
        <v>1420</v>
      </c>
      <c r="D4619" s="13" t="s">
        <v>6041</v>
      </c>
      <c r="E4619" s="8">
        <v>42139.28</v>
      </c>
      <c r="F4619" s="13" t="s">
        <v>70</v>
      </c>
      <c r="G4619" s="14">
        <v>44763</v>
      </c>
      <c r="H4619" s="13" t="s">
        <v>29</v>
      </c>
    </row>
    <row r="4620" spans="1:8" ht="14.4" x14ac:dyDescent="0.3">
      <c r="A4620" s="8">
        <v>78997076</v>
      </c>
      <c r="B4620" s="11">
        <v>44761</v>
      </c>
      <c r="C4620" s="13" t="s">
        <v>6042</v>
      </c>
      <c r="D4620" s="13" t="s">
        <v>6041</v>
      </c>
      <c r="E4620" s="8">
        <v>42139.28</v>
      </c>
      <c r="F4620" s="13" t="s">
        <v>70</v>
      </c>
      <c r="G4620" s="14">
        <v>44763</v>
      </c>
      <c r="H4620" s="13" t="s">
        <v>29</v>
      </c>
    </row>
    <row r="4621" spans="1:8" ht="14.4" x14ac:dyDescent="0.3">
      <c r="A4621" s="8">
        <v>78997077</v>
      </c>
      <c r="B4621" s="11">
        <v>44761</v>
      </c>
      <c r="C4621" s="13" t="s">
        <v>1420</v>
      </c>
      <c r="D4621" s="13" t="s">
        <v>6043</v>
      </c>
      <c r="E4621" s="8">
        <v>42139.28</v>
      </c>
      <c r="F4621" s="13" t="s">
        <v>70</v>
      </c>
      <c r="G4621" s="14">
        <v>44763</v>
      </c>
      <c r="H4621" s="13" t="s">
        <v>29</v>
      </c>
    </row>
    <row r="4622" spans="1:8" ht="14.4" x14ac:dyDescent="0.3">
      <c r="A4622" s="8">
        <v>78997078</v>
      </c>
      <c r="B4622" s="11">
        <v>44761</v>
      </c>
      <c r="C4622" s="13" t="s">
        <v>1420</v>
      </c>
      <c r="D4622" s="13" t="s">
        <v>6044</v>
      </c>
      <c r="E4622" s="8">
        <v>42139.28</v>
      </c>
      <c r="F4622" s="13" t="s">
        <v>70</v>
      </c>
      <c r="G4622" s="14">
        <v>44763</v>
      </c>
      <c r="H4622" s="13" t="s">
        <v>29</v>
      </c>
    </row>
    <row r="4623" spans="1:8" ht="14.4" x14ac:dyDescent="0.3">
      <c r="A4623" s="8">
        <v>78997079</v>
      </c>
      <c r="B4623" s="11">
        <v>44761</v>
      </c>
      <c r="C4623" s="13" t="s">
        <v>6045</v>
      </c>
      <c r="D4623" s="13" t="s">
        <v>6046</v>
      </c>
      <c r="E4623" s="8">
        <v>86252.4</v>
      </c>
      <c r="F4623" s="13" t="s">
        <v>70</v>
      </c>
      <c r="G4623" s="14">
        <v>44763</v>
      </c>
      <c r="H4623" s="13" t="s">
        <v>29</v>
      </c>
    </row>
    <row r="4624" spans="1:8" ht="14.4" x14ac:dyDescent="0.3">
      <c r="A4624" s="8">
        <v>78997080</v>
      </c>
      <c r="B4624" s="11">
        <v>44761</v>
      </c>
      <c r="C4624" s="13" t="s">
        <v>1414</v>
      </c>
      <c r="D4624" s="13" t="s">
        <v>6012</v>
      </c>
      <c r="E4624" s="8">
        <v>171224.4</v>
      </c>
      <c r="F4624" s="13" t="s">
        <v>70</v>
      </c>
      <c r="G4624" s="14">
        <v>44763</v>
      </c>
      <c r="H4624" s="13" t="s">
        <v>29</v>
      </c>
    </row>
    <row r="4625" spans="1:8" ht="14.4" x14ac:dyDescent="0.3">
      <c r="A4625" s="8">
        <v>78997081</v>
      </c>
      <c r="B4625" s="11">
        <v>44762</v>
      </c>
      <c r="C4625" s="13" t="s">
        <v>673</v>
      </c>
      <c r="D4625" s="13" t="s">
        <v>6047</v>
      </c>
      <c r="E4625" s="8">
        <v>26724.6</v>
      </c>
      <c r="F4625" s="13" t="s">
        <v>70</v>
      </c>
      <c r="G4625" s="14">
        <v>44763</v>
      </c>
      <c r="H4625" s="13" t="s">
        <v>29</v>
      </c>
    </row>
    <row r="4626" spans="1:8" ht="14.4" x14ac:dyDescent="0.3">
      <c r="A4626" s="8">
        <v>78997082</v>
      </c>
      <c r="B4626" s="11">
        <v>44762</v>
      </c>
      <c r="C4626" s="13" t="s">
        <v>4466</v>
      </c>
      <c r="D4626" s="13" t="s">
        <v>6048</v>
      </c>
      <c r="E4626" s="8">
        <v>4956.2</v>
      </c>
      <c r="F4626" s="13" t="s">
        <v>70</v>
      </c>
      <c r="G4626" s="14">
        <v>44763</v>
      </c>
      <c r="H4626" s="13" t="s">
        <v>29</v>
      </c>
    </row>
    <row r="4627" spans="1:8" ht="14.4" x14ac:dyDescent="0.3">
      <c r="A4627" s="8">
        <v>78997083</v>
      </c>
      <c r="B4627" s="11">
        <v>44763</v>
      </c>
      <c r="C4627" s="13" t="s">
        <v>1414</v>
      </c>
      <c r="D4627" s="13" t="s">
        <v>6049</v>
      </c>
      <c r="E4627" s="8">
        <v>8820</v>
      </c>
      <c r="F4627" s="13" t="s">
        <v>70</v>
      </c>
      <c r="G4627" s="14">
        <v>44769</v>
      </c>
      <c r="H4627" s="13" t="s">
        <v>29</v>
      </c>
    </row>
    <row r="4628" spans="1:8" ht="14.4" x14ac:dyDescent="0.3">
      <c r="A4628" s="8">
        <v>78997084</v>
      </c>
      <c r="B4628" s="11">
        <v>44763</v>
      </c>
      <c r="C4628" s="13" t="s">
        <v>1414</v>
      </c>
      <c r="D4628" s="13" t="s">
        <v>6050</v>
      </c>
      <c r="E4628" s="8">
        <v>3528</v>
      </c>
      <c r="F4628" s="13" t="s">
        <v>70</v>
      </c>
      <c r="G4628" s="14">
        <v>44769</v>
      </c>
      <c r="H4628" s="13" t="s">
        <v>29</v>
      </c>
    </row>
    <row r="4629" spans="1:8" ht="14.4" x14ac:dyDescent="0.3">
      <c r="A4629" s="8">
        <v>78997085</v>
      </c>
      <c r="B4629" s="11">
        <v>44763</v>
      </c>
      <c r="C4629" s="13" t="s">
        <v>1414</v>
      </c>
      <c r="D4629" s="13" t="s">
        <v>6051</v>
      </c>
      <c r="E4629" s="8">
        <v>3528</v>
      </c>
      <c r="F4629" s="13" t="s">
        <v>70</v>
      </c>
      <c r="G4629" s="14">
        <v>44769</v>
      </c>
      <c r="H4629" s="13" t="s">
        <v>29</v>
      </c>
    </row>
    <row r="4630" spans="1:8" ht="14.4" x14ac:dyDescent="0.3">
      <c r="A4630" s="8">
        <v>78997086</v>
      </c>
      <c r="B4630" s="11">
        <v>44763</v>
      </c>
      <c r="C4630" s="13" t="s">
        <v>1414</v>
      </c>
      <c r="D4630" s="13" t="s">
        <v>6052</v>
      </c>
      <c r="E4630" s="8">
        <v>8820</v>
      </c>
      <c r="F4630" s="13" t="s">
        <v>70</v>
      </c>
      <c r="G4630" s="14">
        <v>44769</v>
      </c>
      <c r="H4630" s="13" t="s">
        <v>29</v>
      </c>
    </row>
    <row r="4631" spans="1:8" ht="14.4" x14ac:dyDescent="0.3">
      <c r="A4631" s="8">
        <v>78997087</v>
      </c>
      <c r="B4631" s="11">
        <v>44767</v>
      </c>
      <c r="C4631" s="13" t="s">
        <v>1414</v>
      </c>
      <c r="D4631" s="13" t="s">
        <v>6053</v>
      </c>
      <c r="E4631" s="8">
        <v>3528</v>
      </c>
      <c r="F4631" s="13" t="s">
        <v>70</v>
      </c>
      <c r="G4631" s="14">
        <v>44769</v>
      </c>
      <c r="H4631" s="13" t="s">
        <v>29</v>
      </c>
    </row>
    <row r="4632" spans="1:8" ht="14.4" x14ac:dyDescent="0.3">
      <c r="A4632" s="8">
        <v>78997088</v>
      </c>
      <c r="B4632" s="11">
        <v>44767</v>
      </c>
      <c r="C4632" s="13" t="s">
        <v>1414</v>
      </c>
      <c r="D4632" s="13" t="s">
        <v>6054</v>
      </c>
      <c r="E4632" s="8">
        <v>7056</v>
      </c>
      <c r="F4632" s="13" t="s">
        <v>70</v>
      </c>
      <c r="G4632" s="14">
        <v>44769</v>
      </c>
      <c r="H4632" s="13" t="s">
        <v>29</v>
      </c>
    </row>
    <row r="4633" spans="1:8" ht="14.4" x14ac:dyDescent="0.3">
      <c r="A4633" s="8">
        <v>78997089</v>
      </c>
      <c r="B4633" s="11">
        <v>44767</v>
      </c>
      <c r="C4633" s="13" t="s">
        <v>1414</v>
      </c>
      <c r="D4633" s="13" t="s">
        <v>6055</v>
      </c>
      <c r="E4633" s="8">
        <v>3528</v>
      </c>
      <c r="F4633" s="13" t="s">
        <v>70</v>
      </c>
      <c r="G4633" s="14">
        <v>44769</v>
      </c>
      <c r="H4633" s="13" t="s">
        <v>29</v>
      </c>
    </row>
    <row r="4634" spans="1:8" ht="14.4" x14ac:dyDescent="0.3">
      <c r="A4634" s="8">
        <v>78997090</v>
      </c>
      <c r="B4634" s="11">
        <v>44768</v>
      </c>
      <c r="C4634" s="13" t="s">
        <v>5898</v>
      </c>
      <c r="D4634" s="13" t="s">
        <v>6056</v>
      </c>
      <c r="E4634" s="8">
        <v>185000</v>
      </c>
      <c r="F4634" s="13" t="s">
        <v>70</v>
      </c>
      <c r="G4634" s="14">
        <v>44774</v>
      </c>
      <c r="H4634" s="13" t="s">
        <v>29</v>
      </c>
    </row>
    <row r="4635" spans="1:8" ht="14.4" x14ac:dyDescent="0.3">
      <c r="A4635" s="8">
        <v>78997091</v>
      </c>
      <c r="B4635" s="11">
        <v>44768</v>
      </c>
      <c r="C4635" s="13" t="s">
        <v>1745</v>
      </c>
      <c r="D4635" s="13" t="s">
        <v>6057</v>
      </c>
      <c r="E4635" s="8">
        <v>90210</v>
      </c>
      <c r="F4635" s="13" t="s">
        <v>70</v>
      </c>
      <c r="G4635" s="14">
        <v>44769</v>
      </c>
      <c r="H4635" s="13" t="s">
        <v>29</v>
      </c>
    </row>
    <row r="4636" spans="1:8" ht="14.4" x14ac:dyDescent="0.3">
      <c r="A4636" s="8">
        <v>78997092</v>
      </c>
      <c r="B4636" s="11">
        <v>44768</v>
      </c>
      <c r="C4636" s="13" t="s">
        <v>1745</v>
      </c>
      <c r="D4636" s="13" t="s">
        <v>5973</v>
      </c>
      <c r="E4636" s="8">
        <v>55290</v>
      </c>
      <c r="F4636" s="13" t="s">
        <v>70</v>
      </c>
      <c r="G4636" s="14">
        <v>44769</v>
      </c>
      <c r="H4636" s="13" t="s">
        <v>29</v>
      </c>
    </row>
    <row r="4637" spans="1:8" ht="14.4" x14ac:dyDescent="0.3">
      <c r="A4637" s="8">
        <v>78997093</v>
      </c>
      <c r="B4637" s="11">
        <v>44768</v>
      </c>
      <c r="C4637" s="13" t="s">
        <v>180</v>
      </c>
      <c r="D4637" s="13" t="s">
        <v>6058</v>
      </c>
      <c r="E4637" s="8">
        <v>10000</v>
      </c>
      <c r="F4637" s="13" t="s">
        <v>70</v>
      </c>
      <c r="G4637" s="14">
        <v>44769</v>
      </c>
      <c r="H4637" s="13" t="s">
        <v>29</v>
      </c>
    </row>
    <row r="4638" spans="1:8" ht="14.4" x14ac:dyDescent="0.3">
      <c r="A4638" s="8">
        <v>78997094</v>
      </c>
      <c r="B4638" s="11">
        <v>44768</v>
      </c>
      <c r="C4638" s="13" t="s">
        <v>5876</v>
      </c>
      <c r="D4638" s="13" t="s">
        <v>6059</v>
      </c>
      <c r="E4638" s="8">
        <v>1513002</v>
      </c>
      <c r="F4638" s="13" t="s">
        <v>70</v>
      </c>
      <c r="G4638" s="14">
        <v>44770</v>
      </c>
      <c r="H4638" s="13" t="s">
        <v>29</v>
      </c>
    </row>
    <row r="4639" spans="1:8" ht="14.4" x14ac:dyDescent="0.3">
      <c r="A4639" s="8">
        <v>78997095</v>
      </c>
      <c r="B4639" s="11">
        <v>44768</v>
      </c>
      <c r="C4639" s="13" t="s">
        <v>193</v>
      </c>
      <c r="D4639" s="13" t="s">
        <v>6060</v>
      </c>
      <c r="E4639" s="8">
        <v>26088.9</v>
      </c>
      <c r="F4639" s="13" t="s">
        <v>70</v>
      </c>
      <c r="G4639" s="14">
        <v>44769</v>
      </c>
      <c r="H4639" s="13" t="s">
        <v>29</v>
      </c>
    </row>
    <row r="4640" spans="1:8" ht="14.4" x14ac:dyDescent="0.3">
      <c r="A4640" s="8">
        <v>78997096</v>
      </c>
      <c r="B4640" s="11">
        <v>44768</v>
      </c>
      <c r="C4640" s="13" t="s">
        <v>193</v>
      </c>
      <c r="D4640" s="13" t="s">
        <v>6061</v>
      </c>
      <c r="E4640" s="8">
        <v>26088.9</v>
      </c>
      <c r="F4640" s="13" t="s">
        <v>70</v>
      </c>
      <c r="G4640" s="14">
        <v>44769</v>
      </c>
      <c r="H4640" s="13" t="s">
        <v>29</v>
      </c>
    </row>
    <row r="4641" spans="1:8" ht="14.4" x14ac:dyDescent="0.3">
      <c r="A4641" s="8">
        <v>78997097</v>
      </c>
      <c r="B4641" s="11">
        <v>44768</v>
      </c>
      <c r="C4641" s="13" t="s">
        <v>193</v>
      </c>
      <c r="D4641" s="13" t="s">
        <v>6062</v>
      </c>
      <c r="E4641" s="8">
        <v>26088.9</v>
      </c>
      <c r="F4641" s="13" t="s">
        <v>70</v>
      </c>
      <c r="G4641" s="14">
        <v>44769</v>
      </c>
      <c r="H4641" s="13" t="s">
        <v>29</v>
      </c>
    </row>
    <row r="4642" spans="1:8" ht="14.4" x14ac:dyDescent="0.3">
      <c r="A4642" s="8">
        <v>78997098</v>
      </c>
      <c r="B4642" s="11">
        <v>44770</v>
      </c>
      <c r="C4642" s="13" t="s">
        <v>5927</v>
      </c>
      <c r="D4642" s="13" t="s">
        <v>6063</v>
      </c>
      <c r="E4642" s="8">
        <v>5617115.5700000003</v>
      </c>
      <c r="F4642" s="13" t="s">
        <v>70</v>
      </c>
      <c r="G4642" s="14">
        <v>44774</v>
      </c>
      <c r="H4642" s="13" t="s">
        <v>29</v>
      </c>
    </row>
    <row r="4643" spans="1:8" ht="14.4" x14ac:dyDescent="0.3">
      <c r="A4643" s="8">
        <v>78997099</v>
      </c>
      <c r="B4643" s="11">
        <v>44770</v>
      </c>
      <c r="C4643" s="13" t="s">
        <v>5974</v>
      </c>
      <c r="D4643" s="13" t="s">
        <v>6064</v>
      </c>
      <c r="E4643" s="8">
        <v>1006473.43</v>
      </c>
      <c r="F4643" s="13" t="s">
        <v>70</v>
      </c>
      <c r="G4643" s="14">
        <v>44778</v>
      </c>
      <c r="H4643" s="13" t="s">
        <v>29</v>
      </c>
    </row>
    <row r="4644" spans="1:8" ht="14.4" x14ac:dyDescent="0.3">
      <c r="A4644" s="8">
        <v>78997100</v>
      </c>
      <c r="B4644" s="11">
        <v>44774</v>
      </c>
      <c r="C4644" s="13" t="s">
        <v>52</v>
      </c>
      <c r="D4644" s="13" t="s">
        <v>6065</v>
      </c>
      <c r="E4644" s="8">
        <v>22572.32</v>
      </c>
      <c r="F4644" s="13" t="s">
        <v>70</v>
      </c>
      <c r="G4644" s="14">
        <v>44778</v>
      </c>
      <c r="H4644" s="13" t="s">
        <v>29</v>
      </c>
    </row>
    <row r="4645" spans="1:8" ht="14.4" x14ac:dyDescent="0.3">
      <c r="A4645" s="8">
        <v>78997101</v>
      </c>
      <c r="B4645" s="11">
        <v>44774</v>
      </c>
      <c r="C4645" s="13" t="s">
        <v>2624</v>
      </c>
      <c r="D4645" s="13" t="s">
        <v>6066</v>
      </c>
      <c r="E4645" s="8">
        <v>1942536.18</v>
      </c>
      <c r="F4645" s="13" t="s">
        <v>70</v>
      </c>
      <c r="G4645" s="14">
        <v>44775</v>
      </c>
      <c r="H4645" s="13" t="s">
        <v>29</v>
      </c>
    </row>
    <row r="4646" spans="1:8" ht="14.4" x14ac:dyDescent="0.3">
      <c r="A4646" s="8">
        <v>78997103</v>
      </c>
      <c r="B4646" s="11">
        <v>44776</v>
      </c>
      <c r="C4646" s="13" t="s">
        <v>1420</v>
      </c>
      <c r="D4646" s="13" t="s">
        <v>6067</v>
      </c>
      <c r="E4646" s="8">
        <v>89863.43</v>
      </c>
      <c r="F4646" s="13" t="s">
        <v>70</v>
      </c>
      <c r="G4646" s="14">
        <v>44781</v>
      </c>
      <c r="H4646" s="13" t="s">
        <v>29</v>
      </c>
    </row>
    <row r="4647" spans="1:8" ht="14.4" x14ac:dyDescent="0.3">
      <c r="A4647" s="8">
        <v>78997104</v>
      </c>
      <c r="B4647" s="11">
        <v>44778</v>
      </c>
      <c r="C4647" s="13" t="s">
        <v>186</v>
      </c>
      <c r="D4647" s="13" t="s">
        <v>6068</v>
      </c>
      <c r="E4647" s="8">
        <v>8303.94</v>
      </c>
      <c r="F4647" s="13" t="s">
        <v>70</v>
      </c>
      <c r="G4647" s="14">
        <v>44778</v>
      </c>
      <c r="H4647" s="13" t="s">
        <v>29</v>
      </c>
    </row>
    <row r="4648" spans="1:8" ht="14.4" x14ac:dyDescent="0.3">
      <c r="A4648" s="8">
        <v>78997105</v>
      </c>
      <c r="B4648" s="11">
        <v>44778</v>
      </c>
      <c r="C4648" s="13" t="s">
        <v>235</v>
      </c>
      <c r="D4648" s="13" t="s">
        <v>6069</v>
      </c>
      <c r="E4648" s="8">
        <v>7960</v>
      </c>
      <c r="F4648" s="13" t="s">
        <v>70</v>
      </c>
      <c r="G4648" s="14">
        <v>44778</v>
      </c>
      <c r="H4648" s="13" t="s">
        <v>29</v>
      </c>
    </row>
    <row r="4649" spans="1:8" ht="14.4" x14ac:dyDescent="0.3">
      <c r="A4649" s="8">
        <v>78997106</v>
      </c>
      <c r="B4649" s="11">
        <v>44778</v>
      </c>
      <c r="C4649" s="13" t="s">
        <v>188</v>
      </c>
      <c r="D4649" s="13" t="s">
        <v>6070</v>
      </c>
      <c r="E4649" s="8">
        <v>68972.14</v>
      </c>
      <c r="F4649" s="13" t="s">
        <v>70</v>
      </c>
      <c r="G4649" s="14">
        <v>44778</v>
      </c>
      <c r="H4649" s="13" t="s">
        <v>29</v>
      </c>
    </row>
    <row r="4650" spans="1:8" ht="14.4" x14ac:dyDescent="0.3">
      <c r="A4650" s="8">
        <v>78997107</v>
      </c>
      <c r="B4650" s="11">
        <v>44778</v>
      </c>
      <c r="C4650" s="13" t="s">
        <v>1414</v>
      </c>
      <c r="D4650" s="13" t="s">
        <v>6071</v>
      </c>
      <c r="E4650" s="8">
        <v>5292</v>
      </c>
      <c r="F4650" s="13" t="s">
        <v>70</v>
      </c>
      <c r="G4650" s="14">
        <v>44781</v>
      </c>
      <c r="H4650" s="13" t="s">
        <v>29</v>
      </c>
    </row>
    <row r="4651" spans="1:8" ht="14.4" x14ac:dyDescent="0.3">
      <c r="A4651" s="8">
        <v>78997108</v>
      </c>
      <c r="B4651" s="11">
        <v>44778</v>
      </c>
      <c r="C4651" s="13" t="s">
        <v>1414</v>
      </c>
      <c r="D4651" s="13" t="s">
        <v>6072</v>
      </c>
      <c r="E4651" s="8">
        <v>8820</v>
      </c>
      <c r="F4651" s="13" t="s">
        <v>70</v>
      </c>
      <c r="G4651" s="14">
        <v>44788</v>
      </c>
      <c r="H4651" s="13" t="s">
        <v>29</v>
      </c>
    </row>
    <row r="4652" spans="1:8" ht="14.4" x14ac:dyDescent="0.3">
      <c r="A4652" s="8">
        <v>78997109</v>
      </c>
      <c r="B4652" s="11">
        <v>44778</v>
      </c>
      <c r="C4652" s="13" t="s">
        <v>5810</v>
      </c>
      <c r="D4652" s="13" t="s">
        <v>6073</v>
      </c>
      <c r="E4652" s="8">
        <v>37088870</v>
      </c>
      <c r="F4652" s="13" t="s">
        <v>70</v>
      </c>
      <c r="G4652" s="14">
        <v>44778</v>
      </c>
      <c r="H4652" s="13" t="s">
        <v>29</v>
      </c>
    </row>
    <row r="4653" spans="1:8" ht="14.4" x14ac:dyDescent="0.3">
      <c r="A4653" s="8">
        <v>78997110</v>
      </c>
      <c r="B4653" s="11">
        <v>44778</v>
      </c>
      <c r="C4653" s="13" t="s">
        <v>1414</v>
      </c>
      <c r="D4653" s="13" t="s">
        <v>6074</v>
      </c>
      <c r="E4653" s="8">
        <v>3528</v>
      </c>
      <c r="F4653" s="13" t="s">
        <v>70</v>
      </c>
      <c r="G4653" s="14">
        <v>44788</v>
      </c>
      <c r="H4653" s="13" t="s">
        <v>29</v>
      </c>
    </row>
    <row r="4654" spans="1:8" ht="14.4" x14ac:dyDescent="0.3">
      <c r="A4654" s="8">
        <v>78997111</v>
      </c>
      <c r="B4654" s="11">
        <v>44778</v>
      </c>
      <c r="C4654" s="13" t="s">
        <v>1414</v>
      </c>
      <c r="D4654" s="13" t="s">
        <v>6075</v>
      </c>
      <c r="E4654" s="8">
        <v>3528</v>
      </c>
      <c r="F4654" s="13" t="s">
        <v>70</v>
      </c>
      <c r="G4654" s="14">
        <v>44788</v>
      </c>
      <c r="H4654" s="13" t="s">
        <v>29</v>
      </c>
    </row>
    <row r="4655" spans="1:8" ht="14.4" x14ac:dyDescent="0.3">
      <c r="A4655" s="8">
        <v>78997112</v>
      </c>
      <c r="B4655" s="11">
        <v>44781</v>
      </c>
      <c r="C4655" s="13" t="s">
        <v>6076</v>
      </c>
      <c r="D4655" s="13" t="s">
        <v>6077</v>
      </c>
      <c r="E4655" s="8">
        <v>3982854.8</v>
      </c>
      <c r="F4655" s="13" t="s">
        <v>70</v>
      </c>
      <c r="G4655" s="14">
        <v>44781</v>
      </c>
      <c r="H4655" s="13" t="s">
        <v>29</v>
      </c>
    </row>
    <row r="4656" spans="1:8" ht="14.4" x14ac:dyDescent="0.3">
      <c r="A4656" s="8">
        <v>78997113</v>
      </c>
      <c r="B4656" s="11">
        <v>44781</v>
      </c>
      <c r="C4656" s="13" t="s">
        <v>184</v>
      </c>
      <c r="D4656" s="13" t="s">
        <v>6078</v>
      </c>
      <c r="E4656" s="8">
        <v>16498.8</v>
      </c>
      <c r="F4656" s="13" t="s">
        <v>70</v>
      </c>
      <c r="G4656" s="14">
        <v>44783</v>
      </c>
      <c r="H4656" s="13" t="s">
        <v>29</v>
      </c>
    </row>
    <row r="4657" spans="1:8" ht="14.4" x14ac:dyDescent="0.3">
      <c r="A4657" s="8">
        <v>78997114</v>
      </c>
      <c r="B4657" s="11">
        <v>44781</v>
      </c>
      <c r="C4657" s="13" t="s">
        <v>184</v>
      </c>
      <c r="D4657" s="13" t="s">
        <v>6079</v>
      </c>
      <c r="E4657" s="8">
        <v>29700</v>
      </c>
      <c r="F4657" s="13" t="s">
        <v>70</v>
      </c>
      <c r="G4657" s="14">
        <v>44783</v>
      </c>
      <c r="H4657" s="13" t="s">
        <v>29</v>
      </c>
    </row>
    <row r="4658" spans="1:8" ht="14.4" x14ac:dyDescent="0.3">
      <c r="A4658" s="8">
        <v>78997115</v>
      </c>
      <c r="B4658" s="11">
        <v>44781</v>
      </c>
      <c r="C4658" s="13" t="s">
        <v>5898</v>
      </c>
      <c r="D4658" s="13" t="s">
        <v>6080</v>
      </c>
      <c r="E4658" s="8">
        <v>20000</v>
      </c>
      <c r="F4658" s="13" t="s">
        <v>70</v>
      </c>
      <c r="G4658" s="14">
        <v>44796</v>
      </c>
      <c r="H4658" s="13" t="s">
        <v>29</v>
      </c>
    </row>
    <row r="4659" spans="1:8" ht="14.4" x14ac:dyDescent="0.3">
      <c r="A4659" s="8">
        <v>78997116</v>
      </c>
      <c r="B4659" s="11">
        <v>44783</v>
      </c>
      <c r="C4659" s="13" t="s">
        <v>2567</v>
      </c>
      <c r="D4659" s="13" t="s">
        <v>6081</v>
      </c>
      <c r="E4659" s="8">
        <v>4005.5</v>
      </c>
      <c r="F4659" s="13" t="s">
        <v>70</v>
      </c>
      <c r="G4659" s="14">
        <v>44792</v>
      </c>
      <c r="H4659" s="13" t="s">
        <v>29</v>
      </c>
    </row>
    <row r="4660" spans="1:8" ht="14.4" x14ac:dyDescent="0.3">
      <c r="A4660" s="8">
        <v>78997117</v>
      </c>
      <c r="B4660" s="11">
        <v>44784</v>
      </c>
      <c r="C4660" s="13" t="s">
        <v>3203</v>
      </c>
      <c r="D4660" s="13" t="s">
        <v>6082</v>
      </c>
      <c r="E4660" s="8">
        <v>2608.85</v>
      </c>
      <c r="F4660" s="13" t="s">
        <v>70</v>
      </c>
      <c r="G4660" s="14">
        <v>44796</v>
      </c>
      <c r="H4660" s="13" t="s">
        <v>29</v>
      </c>
    </row>
    <row r="4661" spans="1:8" ht="14.4" x14ac:dyDescent="0.3">
      <c r="A4661" s="8">
        <v>78997118</v>
      </c>
      <c r="B4661" s="11">
        <v>44785</v>
      </c>
      <c r="C4661" s="13" t="s">
        <v>1956</v>
      </c>
      <c r="D4661" s="13" t="s">
        <v>5926</v>
      </c>
      <c r="E4661" s="8">
        <v>2953901.1</v>
      </c>
      <c r="F4661" s="13" t="s">
        <v>70</v>
      </c>
      <c r="G4661" s="14">
        <v>44788</v>
      </c>
      <c r="H4661" s="13" t="s">
        <v>29</v>
      </c>
    </row>
    <row r="4662" spans="1:8" ht="14.4" x14ac:dyDescent="0.3">
      <c r="A4662" s="8">
        <v>78997119</v>
      </c>
      <c r="B4662" s="11">
        <v>44785</v>
      </c>
      <c r="C4662" s="13" t="s">
        <v>180</v>
      </c>
      <c r="D4662" s="13" t="s">
        <v>6083</v>
      </c>
      <c r="E4662" s="8">
        <v>6451.61</v>
      </c>
      <c r="F4662" s="13" t="s">
        <v>70</v>
      </c>
      <c r="G4662" s="14">
        <v>44785</v>
      </c>
      <c r="H4662" s="13" t="s">
        <v>29</v>
      </c>
    </row>
    <row r="4663" spans="1:8" ht="14.4" x14ac:dyDescent="0.3">
      <c r="A4663" s="8">
        <v>78997120</v>
      </c>
      <c r="B4663" s="11">
        <v>44791</v>
      </c>
      <c r="C4663" s="13" t="s">
        <v>4591</v>
      </c>
      <c r="D4663" s="13" t="s">
        <v>6084</v>
      </c>
      <c r="E4663" s="8">
        <v>5034911.33</v>
      </c>
      <c r="F4663" s="13" t="s">
        <v>70</v>
      </c>
      <c r="G4663" s="14">
        <v>44799</v>
      </c>
      <c r="H4663" s="13" t="s">
        <v>29</v>
      </c>
    </row>
    <row r="4664" spans="1:8" ht="14.4" x14ac:dyDescent="0.3">
      <c r="A4664" s="8">
        <v>78997121</v>
      </c>
      <c r="B4664" s="11">
        <v>44791</v>
      </c>
      <c r="C4664" s="13" t="s">
        <v>6085</v>
      </c>
      <c r="D4664" s="13" t="s">
        <v>6086</v>
      </c>
      <c r="E4664" s="8">
        <v>5122088.43</v>
      </c>
      <c r="F4664" s="13" t="s">
        <v>70</v>
      </c>
      <c r="G4664" s="14">
        <v>44792</v>
      </c>
      <c r="H4664" s="13" t="s">
        <v>29</v>
      </c>
    </row>
    <row r="4665" spans="1:8" ht="14.4" x14ac:dyDescent="0.3">
      <c r="A4665" s="8">
        <v>78997122</v>
      </c>
      <c r="B4665" s="11">
        <v>44792</v>
      </c>
      <c r="C4665" s="13" t="s">
        <v>2624</v>
      </c>
      <c r="D4665" s="13" t="s">
        <v>6087</v>
      </c>
      <c r="E4665" s="8">
        <v>37030.32</v>
      </c>
      <c r="F4665" s="13" t="s">
        <v>70</v>
      </c>
      <c r="G4665" s="14">
        <v>44795</v>
      </c>
      <c r="H4665" s="13" t="s">
        <v>29</v>
      </c>
    </row>
    <row r="4666" spans="1:8" ht="14.4" x14ac:dyDescent="0.3">
      <c r="A4666" s="8">
        <v>78997123</v>
      </c>
      <c r="B4666" s="11">
        <v>44798</v>
      </c>
      <c r="C4666" s="13" t="s">
        <v>188</v>
      </c>
      <c r="D4666" s="13" t="s">
        <v>4786</v>
      </c>
      <c r="E4666" s="8">
        <v>60634.62</v>
      </c>
      <c r="F4666" s="13" t="s">
        <v>70</v>
      </c>
      <c r="G4666" s="14">
        <v>44799</v>
      </c>
      <c r="H4666" s="13" t="s">
        <v>29</v>
      </c>
    </row>
    <row r="4667" spans="1:8" ht="14.4" x14ac:dyDescent="0.3">
      <c r="A4667" s="8">
        <v>78997124</v>
      </c>
      <c r="B4667" s="11">
        <v>44799</v>
      </c>
      <c r="C4667" s="13" t="s">
        <v>1745</v>
      </c>
      <c r="D4667" s="13" t="s">
        <v>6088</v>
      </c>
      <c r="E4667" s="8">
        <v>157140</v>
      </c>
      <c r="F4667" s="13" t="s">
        <v>70</v>
      </c>
      <c r="G4667" s="14">
        <v>44804</v>
      </c>
      <c r="H4667" s="13" t="s">
        <v>29</v>
      </c>
    </row>
    <row r="4668" spans="1:8" ht="14.4" x14ac:dyDescent="0.3">
      <c r="A4668" s="8">
        <v>78997125</v>
      </c>
      <c r="B4668" s="11">
        <v>44799</v>
      </c>
      <c r="C4668" s="13" t="s">
        <v>5898</v>
      </c>
      <c r="D4668" s="13" t="s">
        <v>6089</v>
      </c>
      <c r="E4668" s="8">
        <v>10000</v>
      </c>
      <c r="F4668" s="13" t="s">
        <v>70</v>
      </c>
      <c r="G4668" s="14">
        <v>44806</v>
      </c>
      <c r="H4668" s="13" t="s">
        <v>29</v>
      </c>
    </row>
    <row r="4669" spans="1:8" ht="14.4" x14ac:dyDescent="0.3">
      <c r="A4669" s="8">
        <v>78997126</v>
      </c>
      <c r="B4669" s="11">
        <v>44799</v>
      </c>
      <c r="C4669" s="13" t="s">
        <v>5898</v>
      </c>
      <c r="D4669" s="13" t="s">
        <v>6090</v>
      </c>
      <c r="E4669" s="8">
        <v>10000</v>
      </c>
      <c r="F4669" s="13" t="s">
        <v>70</v>
      </c>
      <c r="G4669" s="14">
        <v>44806</v>
      </c>
      <c r="H4669" s="13" t="s">
        <v>29</v>
      </c>
    </row>
    <row r="4670" spans="1:8" ht="14.4" x14ac:dyDescent="0.3">
      <c r="A4670" s="8">
        <v>78997127</v>
      </c>
      <c r="B4670" s="11">
        <v>44799</v>
      </c>
      <c r="C4670" s="13" t="s">
        <v>5898</v>
      </c>
      <c r="D4670" s="13" t="s">
        <v>6091</v>
      </c>
      <c r="E4670" s="8">
        <v>10000</v>
      </c>
      <c r="F4670" s="13" t="s">
        <v>70</v>
      </c>
      <c r="G4670" s="14">
        <v>44806</v>
      </c>
      <c r="H4670" s="13" t="s">
        <v>29</v>
      </c>
    </row>
    <row r="4671" spans="1:8" ht="14.4" x14ac:dyDescent="0.3">
      <c r="A4671" s="8">
        <v>78997128</v>
      </c>
      <c r="B4671" s="11">
        <v>44799</v>
      </c>
      <c r="C4671" s="13" t="s">
        <v>5898</v>
      </c>
      <c r="D4671" s="13" t="s">
        <v>6092</v>
      </c>
      <c r="E4671" s="8">
        <v>10000</v>
      </c>
      <c r="F4671" s="13" t="s">
        <v>70</v>
      </c>
      <c r="G4671" s="14">
        <v>44806</v>
      </c>
      <c r="H4671" s="13" t="s">
        <v>29</v>
      </c>
    </row>
    <row r="4672" spans="1:8" ht="14.4" x14ac:dyDescent="0.3">
      <c r="A4672" s="8">
        <v>78997129</v>
      </c>
      <c r="B4672" s="11">
        <v>44804</v>
      </c>
      <c r="C4672" s="13" t="s">
        <v>5898</v>
      </c>
      <c r="D4672" s="13" t="s">
        <v>6093</v>
      </c>
      <c r="E4672" s="8">
        <v>10000</v>
      </c>
      <c r="F4672" s="13" t="s">
        <v>70</v>
      </c>
      <c r="G4672" s="14">
        <v>44806</v>
      </c>
      <c r="H4672" s="13" t="s">
        <v>29</v>
      </c>
    </row>
    <row r="4673" spans="1:8" ht="14.4" x14ac:dyDescent="0.3">
      <c r="A4673" s="8">
        <v>78997130</v>
      </c>
      <c r="B4673" s="11">
        <v>44804</v>
      </c>
      <c r="C4673" s="13" t="s">
        <v>5898</v>
      </c>
      <c r="D4673" s="13" t="s">
        <v>6094</v>
      </c>
      <c r="E4673" s="8">
        <v>10000</v>
      </c>
      <c r="F4673" s="13" t="s">
        <v>70</v>
      </c>
      <c r="G4673" s="14">
        <v>44806</v>
      </c>
      <c r="H4673" s="13" t="s">
        <v>29</v>
      </c>
    </row>
    <row r="4674" spans="1:8" ht="14.4" x14ac:dyDescent="0.3">
      <c r="A4674" s="8">
        <v>78997131</v>
      </c>
      <c r="B4674" s="11">
        <v>44804</v>
      </c>
      <c r="C4674" s="13" t="s">
        <v>5898</v>
      </c>
      <c r="D4674" s="13" t="s">
        <v>6095</v>
      </c>
      <c r="E4674" s="8">
        <v>10000</v>
      </c>
      <c r="F4674" s="13" t="s">
        <v>70</v>
      </c>
      <c r="G4674" s="14">
        <v>44806</v>
      </c>
      <c r="H4674" s="13" t="s">
        <v>29</v>
      </c>
    </row>
    <row r="4675" spans="1:8" ht="14.4" x14ac:dyDescent="0.3">
      <c r="A4675" s="8">
        <v>78997132</v>
      </c>
      <c r="B4675" s="11">
        <v>44804</v>
      </c>
      <c r="C4675" s="13" t="s">
        <v>5898</v>
      </c>
      <c r="D4675" s="13" t="s">
        <v>6096</v>
      </c>
      <c r="E4675" s="8">
        <v>10000</v>
      </c>
      <c r="F4675" s="13" t="s">
        <v>70</v>
      </c>
      <c r="G4675" s="14">
        <v>44806</v>
      </c>
      <c r="H4675" s="13" t="s">
        <v>29</v>
      </c>
    </row>
    <row r="4676" spans="1:8" ht="14.4" x14ac:dyDescent="0.3">
      <c r="A4676" s="8">
        <v>78997133</v>
      </c>
      <c r="B4676" s="11">
        <v>44804</v>
      </c>
      <c r="C4676" s="13" t="s">
        <v>5898</v>
      </c>
      <c r="D4676" s="13" t="s">
        <v>6097</v>
      </c>
      <c r="E4676" s="8">
        <v>10000</v>
      </c>
      <c r="F4676" s="13" t="s">
        <v>70</v>
      </c>
      <c r="G4676" s="14">
        <v>44806</v>
      </c>
      <c r="H4676" s="13" t="s">
        <v>29</v>
      </c>
    </row>
    <row r="4677" spans="1:8" ht="14.4" x14ac:dyDescent="0.3">
      <c r="A4677" s="8">
        <v>78997134</v>
      </c>
      <c r="B4677" s="11">
        <v>44804</v>
      </c>
      <c r="C4677" s="13" t="s">
        <v>5898</v>
      </c>
      <c r="D4677" s="13" t="s">
        <v>6098</v>
      </c>
      <c r="E4677" s="8">
        <v>10000</v>
      </c>
      <c r="F4677" s="13" t="s">
        <v>70</v>
      </c>
      <c r="G4677" s="14">
        <v>44806</v>
      </c>
      <c r="H4677" s="13" t="s">
        <v>29</v>
      </c>
    </row>
    <row r="4678" spans="1:8" ht="14.4" x14ac:dyDescent="0.3">
      <c r="A4678" s="8">
        <v>78997135</v>
      </c>
      <c r="B4678" s="11">
        <v>44804</v>
      </c>
      <c r="C4678" s="13" t="s">
        <v>5898</v>
      </c>
      <c r="D4678" s="13" t="s">
        <v>6099</v>
      </c>
      <c r="E4678" s="8">
        <v>10000</v>
      </c>
      <c r="F4678" s="13" t="s">
        <v>70</v>
      </c>
      <c r="G4678" s="14">
        <v>44806</v>
      </c>
      <c r="H4678" s="13" t="s">
        <v>29</v>
      </c>
    </row>
    <row r="4679" spans="1:8" ht="14.4" x14ac:dyDescent="0.3">
      <c r="A4679" s="8">
        <v>78997136</v>
      </c>
      <c r="B4679" s="11">
        <v>44804</v>
      </c>
      <c r="C4679" s="13" t="s">
        <v>5898</v>
      </c>
      <c r="D4679" s="13" t="s">
        <v>6100</v>
      </c>
      <c r="E4679" s="8">
        <v>10000</v>
      </c>
      <c r="F4679" s="13" t="s">
        <v>70</v>
      </c>
      <c r="G4679" s="14">
        <v>44806</v>
      </c>
      <c r="H4679" s="13" t="s">
        <v>29</v>
      </c>
    </row>
    <row r="4680" spans="1:8" ht="14.4" x14ac:dyDescent="0.3">
      <c r="A4680" s="8">
        <v>78997137</v>
      </c>
      <c r="B4680" s="11">
        <v>44804</v>
      </c>
      <c r="C4680" s="13" t="s">
        <v>5898</v>
      </c>
      <c r="D4680" s="13" t="s">
        <v>6101</v>
      </c>
      <c r="E4680" s="8">
        <v>20000</v>
      </c>
      <c r="F4680" s="13" t="s">
        <v>70</v>
      </c>
      <c r="G4680" s="14">
        <v>44806</v>
      </c>
      <c r="H4680" s="13" t="s">
        <v>29</v>
      </c>
    </row>
    <row r="4681" spans="1:8" ht="14.4" x14ac:dyDescent="0.3">
      <c r="A4681" s="8">
        <v>78997138</v>
      </c>
      <c r="B4681" s="11">
        <v>44804</v>
      </c>
      <c r="C4681" s="13" t="s">
        <v>5898</v>
      </c>
      <c r="D4681" s="13" t="s">
        <v>6102</v>
      </c>
      <c r="E4681" s="8">
        <v>10000</v>
      </c>
      <c r="F4681" s="13" t="s">
        <v>70</v>
      </c>
      <c r="G4681" s="14">
        <v>44806</v>
      </c>
      <c r="H4681" s="13" t="s">
        <v>29</v>
      </c>
    </row>
    <row r="4682" spans="1:8" ht="14.4" x14ac:dyDescent="0.3">
      <c r="A4682" s="8">
        <v>78997139</v>
      </c>
      <c r="B4682" s="11">
        <v>44804</v>
      </c>
      <c r="C4682" s="13" t="s">
        <v>5898</v>
      </c>
      <c r="D4682" s="13" t="s">
        <v>6103</v>
      </c>
      <c r="E4682" s="8">
        <v>10000</v>
      </c>
      <c r="F4682" s="13" t="s">
        <v>70</v>
      </c>
      <c r="G4682" s="14">
        <v>44806</v>
      </c>
      <c r="H4682" s="13" t="s">
        <v>29</v>
      </c>
    </row>
    <row r="4683" spans="1:8" ht="14.4" x14ac:dyDescent="0.3">
      <c r="A4683" s="8">
        <v>78997140</v>
      </c>
      <c r="B4683" s="11">
        <v>44804</v>
      </c>
      <c r="C4683" s="13" t="s">
        <v>5898</v>
      </c>
      <c r="D4683" s="13" t="s">
        <v>6104</v>
      </c>
      <c r="E4683" s="8">
        <v>10000</v>
      </c>
      <c r="F4683" s="13" t="s">
        <v>70</v>
      </c>
      <c r="G4683" s="14">
        <v>44806</v>
      </c>
      <c r="H4683" s="13" t="s">
        <v>29</v>
      </c>
    </row>
    <row r="4684" spans="1:8" ht="14.4" x14ac:dyDescent="0.3">
      <c r="A4684" s="8">
        <v>78997141</v>
      </c>
      <c r="B4684" s="11">
        <v>44804</v>
      </c>
      <c r="C4684" s="13" t="s">
        <v>5898</v>
      </c>
      <c r="D4684" s="13" t="s">
        <v>6105</v>
      </c>
      <c r="E4684" s="8">
        <v>10000</v>
      </c>
      <c r="F4684" s="13" t="s">
        <v>70</v>
      </c>
      <c r="G4684" s="14">
        <v>44806</v>
      </c>
      <c r="H4684" s="13" t="s">
        <v>29</v>
      </c>
    </row>
    <row r="4685" spans="1:8" ht="14.4" x14ac:dyDescent="0.3">
      <c r="A4685" s="8">
        <v>78997142</v>
      </c>
      <c r="B4685" s="11">
        <v>44804</v>
      </c>
      <c r="C4685" s="13" t="s">
        <v>5898</v>
      </c>
      <c r="D4685" s="13" t="s">
        <v>6106</v>
      </c>
      <c r="E4685" s="8">
        <v>10000</v>
      </c>
      <c r="F4685" s="13" t="s">
        <v>70</v>
      </c>
      <c r="G4685" s="14">
        <v>44806</v>
      </c>
      <c r="H4685" s="13" t="s">
        <v>29</v>
      </c>
    </row>
    <row r="4686" spans="1:8" ht="14.4" x14ac:dyDescent="0.3">
      <c r="A4686" s="8">
        <v>78997143</v>
      </c>
      <c r="B4686" s="11">
        <v>44804</v>
      </c>
      <c r="C4686" s="13" t="s">
        <v>6107</v>
      </c>
      <c r="D4686" s="13" t="s">
        <v>6108</v>
      </c>
      <c r="E4686" s="8">
        <v>1720779.35</v>
      </c>
      <c r="F4686" s="13" t="s">
        <v>70</v>
      </c>
      <c r="G4686" s="14">
        <v>44806</v>
      </c>
      <c r="H4686" s="13" t="s">
        <v>29</v>
      </c>
    </row>
    <row r="4687" spans="1:8" ht="14.4" x14ac:dyDescent="0.3">
      <c r="A4687" s="8">
        <v>78997144</v>
      </c>
      <c r="B4687" s="11">
        <v>44804</v>
      </c>
      <c r="C4687" s="13" t="s">
        <v>5898</v>
      </c>
      <c r="D4687" s="13" t="s">
        <v>6109</v>
      </c>
      <c r="E4687" s="8">
        <v>10000</v>
      </c>
      <c r="F4687" s="13" t="s">
        <v>70</v>
      </c>
      <c r="G4687" s="14">
        <v>44806</v>
      </c>
      <c r="H4687" s="13" t="s">
        <v>29</v>
      </c>
    </row>
    <row r="4688" spans="1:8" ht="14.4" x14ac:dyDescent="0.3">
      <c r="A4688" s="8">
        <v>78997145</v>
      </c>
      <c r="B4688" s="11">
        <v>44804</v>
      </c>
      <c r="C4688" s="13" t="s">
        <v>5898</v>
      </c>
      <c r="D4688" s="13" t="s">
        <v>6110</v>
      </c>
      <c r="E4688" s="8">
        <v>20000</v>
      </c>
      <c r="F4688" s="13" t="s">
        <v>70</v>
      </c>
      <c r="G4688" s="14">
        <v>44806</v>
      </c>
      <c r="H4688" s="13" t="s">
        <v>29</v>
      </c>
    </row>
    <row r="4689" spans="1:8" ht="14.4" x14ac:dyDescent="0.3">
      <c r="A4689" s="8">
        <v>78997146</v>
      </c>
      <c r="B4689" s="11">
        <v>44804</v>
      </c>
      <c r="C4689" s="13" t="s">
        <v>5898</v>
      </c>
      <c r="D4689" s="13" t="s">
        <v>6111</v>
      </c>
      <c r="E4689" s="8">
        <v>20000</v>
      </c>
      <c r="F4689" s="13" t="s">
        <v>70</v>
      </c>
      <c r="G4689" s="14">
        <v>44806</v>
      </c>
      <c r="H4689" s="13" t="s">
        <v>29</v>
      </c>
    </row>
    <row r="4690" spans="1:8" ht="14.4" x14ac:dyDescent="0.3">
      <c r="A4690" s="8">
        <v>78997147</v>
      </c>
      <c r="B4690" s="11">
        <v>44804</v>
      </c>
      <c r="C4690" s="13" t="s">
        <v>5898</v>
      </c>
      <c r="D4690" s="13" t="s">
        <v>6112</v>
      </c>
      <c r="E4690" s="8">
        <v>20000</v>
      </c>
      <c r="F4690" s="13" t="s">
        <v>70</v>
      </c>
      <c r="G4690" s="14">
        <v>44806</v>
      </c>
      <c r="H4690" s="13" t="s">
        <v>29</v>
      </c>
    </row>
    <row r="4691" spans="1:8" ht="14.4" x14ac:dyDescent="0.3">
      <c r="A4691" s="8">
        <v>78997148</v>
      </c>
      <c r="B4691" s="11">
        <v>44804</v>
      </c>
      <c r="C4691" s="13" t="s">
        <v>5898</v>
      </c>
      <c r="D4691" s="13" t="s">
        <v>6113</v>
      </c>
      <c r="E4691" s="8">
        <v>20000</v>
      </c>
      <c r="F4691" s="13" t="s">
        <v>70</v>
      </c>
      <c r="G4691" s="14">
        <v>44806</v>
      </c>
      <c r="H4691" s="13" t="s">
        <v>29</v>
      </c>
    </row>
    <row r="4692" spans="1:8" ht="14.4" x14ac:dyDescent="0.3">
      <c r="A4692" s="8">
        <v>78997149</v>
      </c>
      <c r="B4692" s="11">
        <v>44804</v>
      </c>
      <c r="C4692" s="13" t="s">
        <v>5898</v>
      </c>
      <c r="D4692" s="13" t="s">
        <v>6114</v>
      </c>
      <c r="E4692" s="8">
        <v>20000</v>
      </c>
      <c r="F4692" s="13" t="s">
        <v>70</v>
      </c>
      <c r="G4692" s="14">
        <v>44806</v>
      </c>
      <c r="H4692" s="13" t="s">
        <v>29</v>
      </c>
    </row>
    <row r="4693" spans="1:8" ht="14.4" x14ac:dyDescent="0.3">
      <c r="A4693" s="8">
        <v>78997150</v>
      </c>
      <c r="B4693" s="11">
        <v>44804</v>
      </c>
      <c r="C4693" s="13" t="s">
        <v>5898</v>
      </c>
      <c r="D4693" s="13" t="s">
        <v>6115</v>
      </c>
      <c r="E4693" s="8">
        <v>10000</v>
      </c>
      <c r="F4693" s="13" t="s">
        <v>70</v>
      </c>
      <c r="G4693" s="14">
        <v>44806</v>
      </c>
      <c r="H4693" s="13" t="s">
        <v>29</v>
      </c>
    </row>
    <row r="4694" spans="1:8" ht="14.4" x14ac:dyDescent="0.3">
      <c r="A4694" s="8">
        <v>78997151</v>
      </c>
      <c r="B4694" s="11">
        <v>44804</v>
      </c>
      <c r="C4694" s="13" t="s">
        <v>5898</v>
      </c>
      <c r="D4694" s="13" t="s">
        <v>6116</v>
      </c>
      <c r="E4694" s="8">
        <v>10000</v>
      </c>
      <c r="F4694" s="13" t="s">
        <v>70</v>
      </c>
      <c r="G4694" s="14">
        <v>44806</v>
      </c>
      <c r="H4694" s="13" t="s">
        <v>29</v>
      </c>
    </row>
    <row r="4695" spans="1:8" ht="14.4" x14ac:dyDescent="0.3">
      <c r="A4695" s="8">
        <v>78997152</v>
      </c>
      <c r="B4695" s="11">
        <v>44804</v>
      </c>
      <c r="C4695" s="13" t="s">
        <v>5898</v>
      </c>
      <c r="D4695" s="13" t="s">
        <v>6117</v>
      </c>
      <c r="E4695" s="8">
        <v>10000</v>
      </c>
      <c r="F4695" s="13" t="s">
        <v>70</v>
      </c>
      <c r="G4695" s="14">
        <v>44806</v>
      </c>
      <c r="H4695" s="13" t="s">
        <v>29</v>
      </c>
    </row>
    <row r="4696" spans="1:8" ht="14.4" x14ac:dyDescent="0.3">
      <c r="A4696" s="8">
        <v>78997153</v>
      </c>
      <c r="B4696" s="11">
        <v>44804</v>
      </c>
      <c r="C4696" s="13" t="s">
        <v>5898</v>
      </c>
      <c r="D4696" s="13" t="s">
        <v>6118</v>
      </c>
      <c r="E4696" s="8">
        <v>10000</v>
      </c>
      <c r="F4696" s="13" t="s">
        <v>70</v>
      </c>
      <c r="G4696" s="14">
        <v>44806</v>
      </c>
      <c r="H4696" s="13" t="s">
        <v>29</v>
      </c>
    </row>
    <row r="4697" spans="1:8" ht="14.4" x14ac:dyDescent="0.3">
      <c r="A4697" s="8">
        <v>78997154</v>
      </c>
      <c r="B4697" s="11">
        <v>44804</v>
      </c>
      <c r="C4697" s="13" t="s">
        <v>5898</v>
      </c>
      <c r="D4697" s="13" t="s">
        <v>6119</v>
      </c>
      <c r="E4697" s="8">
        <v>10000</v>
      </c>
      <c r="F4697" s="13" t="s">
        <v>70</v>
      </c>
      <c r="G4697" s="14">
        <v>44806</v>
      </c>
      <c r="H4697" s="13" t="s">
        <v>29</v>
      </c>
    </row>
    <row r="4698" spans="1:8" ht="14.4" x14ac:dyDescent="0.3">
      <c r="A4698" s="8">
        <v>78997155</v>
      </c>
      <c r="B4698" s="11">
        <v>44804</v>
      </c>
      <c r="C4698" s="13" t="s">
        <v>5898</v>
      </c>
      <c r="D4698" s="13" t="s">
        <v>6120</v>
      </c>
      <c r="E4698" s="8">
        <v>10000</v>
      </c>
      <c r="F4698" s="13" t="s">
        <v>70</v>
      </c>
      <c r="G4698" s="14">
        <v>44806</v>
      </c>
      <c r="H4698" s="13" t="s">
        <v>29</v>
      </c>
    </row>
    <row r="4699" spans="1:8" ht="14.4" x14ac:dyDescent="0.3">
      <c r="A4699" s="8">
        <v>78997156</v>
      </c>
      <c r="B4699" s="11">
        <v>44804</v>
      </c>
      <c r="C4699" s="13" t="s">
        <v>5898</v>
      </c>
      <c r="D4699" s="13" t="s">
        <v>6121</v>
      </c>
      <c r="E4699" s="8">
        <v>10000</v>
      </c>
      <c r="F4699" s="13" t="s">
        <v>70</v>
      </c>
      <c r="G4699" s="14">
        <v>44806</v>
      </c>
      <c r="H4699" s="13" t="s">
        <v>29</v>
      </c>
    </row>
    <row r="4700" spans="1:8" ht="14.4" x14ac:dyDescent="0.3">
      <c r="A4700" s="8">
        <v>78997157</v>
      </c>
      <c r="B4700" s="11">
        <v>44804</v>
      </c>
      <c r="C4700" s="13" t="s">
        <v>5898</v>
      </c>
      <c r="D4700" s="13" t="s">
        <v>6122</v>
      </c>
      <c r="E4700" s="8">
        <v>10000</v>
      </c>
      <c r="F4700" s="13" t="s">
        <v>70</v>
      </c>
      <c r="G4700" s="14">
        <v>44806</v>
      </c>
      <c r="H4700" s="13" t="s">
        <v>29</v>
      </c>
    </row>
    <row r="4701" spans="1:8" ht="14.4" x14ac:dyDescent="0.3">
      <c r="A4701" s="8">
        <v>78997158</v>
      </c>
      <c r="B4701" s="11">
        <v>44804</v>
      </c>
      <c r="C4701" s="13" t="s">
        <v>5898</v>
      </c>
      <c r="D4701" s="13" t="s">
        <v>6123</v>
      </c>
      <c r="E4701" s="8">
        <v>20000</v>
      </c>
      <c r="F4701" s="13" t="s">
        <v>70</v>
      </c>
      <c r="G4701" s="14">
        <v>44806</v>
      </c>
      <c r="H4701" s="13" t="s">
        <v>29</v>
      </c>
    </row>
    <row r="4702" spans="1:8" ht="14.4" x14ac:dyDescent="0.3">
      <c r="A4702" s="8">
        <v>78997159</v>
      </c>
      <c r="B4702" s="11">
        <v>44804</v>
      </c>
      <c r="C4702" s="13" t="s">
        <v>5898</v>
      </c>
      <c r="D4702" s="13" t="s">
        <v>6124</v>
      </c>
      <c r="E4702" s="8">
        <v>20000</v>
      </c>
      <c r="F4702" s="13" t="s">
        <v>70</v>
      </c>
      <c r="G4702" s="14">
        <v>44806</v>
      </c>
      <c r="H4702" s="13" t="s">
        <v>29</v>
      </c>
    </row>
    <row r="4703" spans="1:8" ht="14.4" x14ac:dyDescent="0.3">
      <c r="A4703" s="8">
        <v>78997160</v>
      </c>
      <c r="B4703" s="11">
        <v>44804</v>
      </c>
      <c r="C4703" s="13" t="s">
        <v>5898</v>
      </c>
      <c r="D4703" s="13" t="s">
        <v>6125</v>
      </c>
      <c r="E4703" s="8">
        <v>20000</v>
      </c>
      <c r="F4703" s="13" t="s">
        <v>70</v>
      </c>
      <c r="G4703" s="14">
        <v>44806</v>
      </c>
      <c r="H4703" s="13" t="s">
        <v>29</v>
      </c>
    </row>
    <row r="4704" spans="1:8" ht="14.4" x14ac:dyDescent="0.3">
      <c r="A4704" s="8">
        <v>78997161</v>
      </c>
      <c r="B4704" s="11">
        <v>44804</v>
      </c>
      <c r="C4704" s="13" t="s">
        <v>5898</v>
      </c>
      <c r="D4704" s="13" t="s">
        <v>6126</v>
      </c>
      <c r="E4704" s="8">
        <v>20000</v>
      </c>
      <c r="F4704" s="13" t="s">
        <v>70</v>
      </c>
      <c r="G4704" s="14">
        <v>44806</v>
      </c>
      <c r="H4704" s="13" t="s">
        <v>29</v>
      </c>
    </row>
    <row r="4705" spans="1:8" ht="14.4" x14ac:dyDescent="0.3">
      <c r="A4705" s="8">
        <v>78997162</v>
      </c>
      <c r="B4705" s="11">
        <v>44804</v>
      </c>
      <c r="C4705" s="13" t="s">
        <v>5898</v>
      </c>
      <c r="D4705" s="13" t="s">
        <v>6127</v>
      </c>
      <c r="E4705" s="8">
        <v>10000</v>
      </c>
      <c r="F4705" s="13" t="s">
        <v>70</v>
      </c>
      <c r="G4705" s="14">
        <v>44806</v>
      </c>
      <c r="H4705" s="13" t="s">
        <v>29</v>
      </c>
    </row>
    <row r="4706" spans="1:8" ht="14.4" x14ac:dyDescent="0.3">
      <c r="A4706" s="8">
        <v>78997163</v>
      </c>
      <c r="B4706" s="11">
        <v>44804</v>
      </c>
      <c r="C4706" s="13" t="s">
        <v>5898</v>
      </c>
      <c r="D4706" s="13" t="s">
        <v>6128</v>
      </c>
      <c r="E4706" s="8">
        <v>10000</v>
      </c>
      <c r="F4706" s="13" t="s">
        <v>70</v>
      </c>
      <c r="G4706" s="14">
        <v>44806</v>
      </c>
      <c r="H4706" s="13" t="s">
        <v>29</v>
      </c>
    </row>
    <row r="4707" spans="1:8" ht="14.4" x14ac:dyDescent="0.3">
      <c r="A4707" s="8">
        <v>78997165</v>
      </c>
      <c r="B4707" s="11">
        <v>44804</v>
      </c>
      <c r="C4707" s="13" t="s">
        <v>5898</v>
      </c>
      <c r="D4707" s="13" t="s">
        <v>6129</v>
      </c>
      <c r="E4707" s="8">
        <v>20000</v>
      </c>
      <c r="F4707" s="13" t="s">
        <v>70</v>
      </c>
      <c r="G4707" s="14">
        <v>44806</v>
      </c>
      <c r="H4707" s="13" t="s">
        <v>29</v>
      </c>
    </row>
    <row r="4708" spans="1:8" ht="14.4" x14ac:dyDescent="0.3">
      <c r="A4708" s="8">
        <v>78997166</v>
      </c>
      <c r="B4708" s="11">
        <v>44804</v>
      </c>
      <c r="C4708" s="13" t="s">
        <v>5898</v>
      </c>
      <c r="D4708" s="13" t="s">
        <v>6130</v>
      </c>
      <c r="E4708" s="8">
        <v>20000</v>
      </c>
      <c r="F4708" s="13" t="s">
        <v>70</v>
      </c>
      <c r="G4708" s="14">
        <v>44806</v>
      </c>
      <c r="H4708" s="13" t="s">
        <v>29</v>
      </c>
    </row>
    <row r="4709" spans="1:8" ht="14.4" x14ac:dyDescent="0.3">
      <c r="A4709" s="8">
        <v>78997167</v>
      </c>
      <c r="B4709" s="11">
        <v>44804</v>
      </c>
      <c r="C4709" s="13" t="s">
        <v>5898</v>
      </c>
      <c r="D4709" s="13" t="s">
        <v>6131</v>
      </c>
      <c r="E4709" s="8">
        <v>20000</v>
      </c>
      <c r="F4709" s="13" t="s">
        <v>70</v>
      </c>
      <c r="G4709" s="14">
        <v>44806</v>
      </c>
      <c r="H4709" s="13" t="s">
        <v>29</v>
      </c>
    </row>
    <row r="4710" spans="1:8" ht="14.4" x14ac:dyDescent="0.3">
      <c r="A4710" s="8">
        <v>78997168</v>
      </c>
      <c r="B4710" s="11">
        <v>44804</v>
      </c>
      <c r="C4710" s="13" t="s">
        <v>5898</v>
      </c>
      <c r="D4710" s="13" t="s">
        <v>6132</v>
      </c>
      <c r="E4710" s="8">
        <v>20000</v>
      </c>
      <c r="F4710" s="13" t="s">
        <v>70</v>
      </c>
      <c r="G4710" s="14">
        <v>44806</v>
      </c>
      <c r="H4710" s="13" t="s">
        <v>29</v>
      </c>
    </row>
    <row r="4711" spans="1:8" ht="14.4" x14ac:dyDescent="0.3">
      <c r="A4711" s="8">
        <v>78997169</v>
      </c>
      <c r="B4711" s="11">
        <v>44804</v>
      </c>
      <c r="C4711" s="13" t="s">
        <v>5898</v>
      </c>
      <c r="D4711" s="13" t="s">
        <v>6133</v>
      </c>
      <c r="E4711" s="8">
        <v>20000</v>
      </c>
      <c r="F4711" s="13" t="s">
        <v>70</v>
      </c>
      <c r="G4711" s="14">
        <v>44806</v>
      </c>
      <c r="H4711" s="13" t="s">
        <v>29</v>
      </c>
    </row>
    <row r="4712" spans="1:8" ht="14.4" x14ac:dyDescent="0.3">
      <c r="A4712" s="8">
        <v>78997170</v>
      </c>
      <c r="B4712" s="11">
        <v>44804</v>
      </c>
      <c r="C4712" s="13" t="s">
        <v>5898</v>
      </c>
      <c r="D4712" s="13" t="s">
        <v>6134</v>
      </c>
      <c r="E4712" s="8">
        <v>20000</v>
      </c>
      <c r="F4712" s="13" t="s">
        <v>70</v>
      </c>
      <c r="G4712" s="14">
        <v>44806</v>
      </c>
      <c r="H4712" s="13" t="s">
        <v>29</v>
      </c>
    </row>
    <row r="4713" spans="1:8" ht="14.4" x14ac:dyDescent="0.3">
      <c r="A4713" s="8">
        <v>78997171</v>
      </c>
      <c r="B4713" s="11">
        <v>44804</v>
      </c>
      <c r="C4713" s="13" t="s">
        <v>5898</v>
      </c>
      <c r="D4713" s="13" t="s">
        <v>6135</v>
      </c>
      <c r="E4713" s="8">
        <v>20000</v>
      </c>
      <c r="F4713" s="13" t="s">
        <v>70</v>
      </c>
      <c r="G4713" s="14">
        <v>44806</v>
      </c>
      <c r="H4713" s="13" t="s">
        <v>29</v>
      </c>
    </row>
    <row r="4714" spans="1:8" ht="14.4" x14ac:dyDescent="0.3">
      <c r="A4714" s="8">
        <v>78997172</v>
      </c>
      <c r="B4714" s="11">
        <v>44804</v>
      </c>
      <c r="C4714" s="13" t="s">
        <v>5898</v>
      </c>
      <c r="D4714" s="13" t="s">
        <v>6136</v>
      </c>
      <c r="E4714" s="8">
        <v>20000</v>
      </c>
      <c r="F4714" s="13" t="s">
        <v>70</v>
      </c>
      <c r="G4714" s="14">
        <v>44806</v>
      </c>
      <c r="H4714" s="13" t="s">
        <v>29</v>
      </c>
    </row>
    <row r="4715" spans="1:8" ht="14.4" x14ac:dyDescent="0.3">
      <c r="A4715" s="8">
        <v>78997173</v>
      </c>
      <c r="B4715" s="11">
        <v>44804</v>
      </c>
      <c r="C4715" s="13" t="s">
        <v>5898</v>
      </c>
      <c r="D4715" s="13" t="s">
        <v>6137</v>
      </c>
      <c r="E4715" s="8">
        <v>20000</v>
      </c>
      <c r="F4715" s="13" t="s">
        <v>70</v>
      </c>
      <c r="G4715" s="14">
        <v>44806</v>
      </c>
      <c r="H4715" s="13" t="s">
        <v>29</v>
      </c>
    </row>
    <row r="4716" spans="1:8" ht="14.4" x14ac:dyDescent="0.3">
      <c r="A4716" s="8">
        <v>78997174</v>
      </c>
      <c r="B4716" s="11">
        <v>44804</v>
      </c>
      <c r="C4716" s="13" t="s">
        <v>5898</v>
      </c>
      <c r="D4716" s="13" t="s">
        <v>6138</v>
      </c>
      <c r="E4716" s="8">
        <v>20000</v>
      </c>
      <c r="F4716" s="13" t="s">
        <v>70</v>
      </c>
      <c r="G4716" s="14">
        <v>44806</v>
      </c>
      <c r="H4716" s="13" t="s">
        <v>29</v>
      </c>
    </row>
    <row r="4717" spans="1:8" ht="14.4" x14ac:dyDescent="0.3">
      <c r="A4717" s="8">
        <v>78997175</v>
      </c>
      <c r="B4717" s="11">
        <v>44804</v>
      </c>
      <c r="C4717" s="13" t="s">
        <v>5898</v>
      </c>
      <c r="D4717" s="13" t="s">
        <v>6139</v>
      </c>
      <c r="E4717" s="8">
        <v>20000</v>
      </c>
      <c r="F4717" s="13" t="s">
        <v>70</v>
      </c>
      <c r="G4717" s="14">
        <v>44806</v>
      </c>
      <c r="H4717" s="13" t="s">
        <v>29</v>
      </c>
    </row>
    <row r="4718" spans="1:8" ht="14.4" x14ac:dyDescent="0.3">
      <c r="A4718" s="8">
        <v>78997176</v>
      </c>
      <c r="B4718" s="11">
        <v>44804</v>
      </c>
      <c r="C4718" s="13" t="s">
        <v>5898</v>
      </c>
      <c r="D4718" s="13" t="s">
        <v>6140</v>
      </c>
      <c r="E4718" s="8">
        <v>20000</v>
      </c>
      <c r="F4718" s="13" t="s">
        <v>70</v>
      </c>
      <c r="G4718" s="14">
        <v>44806</v>
      </c>
      <c r="H4718" s="13" t="s">
        <v>29</v>
      </c>
    </row>
    <row r="4719" spans="1:8" ht="14.4" x14ac:dyDescent="0.3">
      <c r="A4719" s="8">
        <v>78997177</v>
      </c>
      <c r="B4719" s="11">
        <v>44804</v>
      </c>
      <c r="C4719" s="13" t="s">
        <v>5898</v>
      </c>
      <c r="D4719" s="13" t="s">
        <v>6141</v>
      </c>
      <c r="E4719" s="8">
        <v>20000</v>
      </c>
      <c r="F4719" s="13" t="s">
        <v>70</v>
      </c>
      <c r="G4719" s="14">
        <v>44806</v>
      </c>
      <c r="H4719" s="13" t="s">
        <v>29</v>
      </c>
    </row>
    <row r="4720" spans="1:8" ht="14.4" x14ac:dyDescent="0.3">
      <c r="A4720" s="8">
        <v>78997178</v>
      </c>
      <c r="B4720" s="11">
        <v>44804</v>
      </c>
      <c r="C4720" s="13" t="s">
        <v>5898</v>
      </c>
      <c r="D4720" s="13" t="s">
        <v>6142</v>
      </c>
      <c r="E4720" s="8">
        <v>20000</v>
      </c>
      <c r="F4720" s="13" t="s">
        <v>70</v>
      </c>
      <c r="G4720" s="14">
        <v>44806</v>
      </c>
      <c r="H4720" s="13" t="s">
        <v>29</v>
      </c>
    </row>
    <row r="4721" spans="1:8" ht="14.4" x14ac:dyDescent="0.3">
      <c r="A4721" s="8">
        <v>78997179</v>
      </c>
      <c r="B4721" s="11">
        <v>44804</v>
      </c>
      <c r="C4721" s="13" t="s">
        <v>250</v>
      </c>
      <c r="D4721" s="13" t="s">
        <v>6143</v>
      </c>
      <c r="E4721" s="8">
        <v>6683575.4299999997</v>
      </c>
      <c r="F4721" s="13" t="s">
        <v>70</v>
      </c>
      <c r="G4721" s="14">
        <v>44806</v>
      </c>
      <c r="H4721" s="13" t="s">
        <v>29</v>
      </c>
    </row>
    <row r="4722" spans="1:8" ht="14.4" x14ac:dyDescent="0.3">
      <c r="A4722" s="8">
        <v>78997180</v>
      </c>
      <c r="B4722" s="11">
        <v>44805</v>
      </c>
      <c r="C4722" s="13" t="s">
        <v>5898</v>
      </c>
      <c r="D4722" s="13" t="s">
        <v>6144</v>
      </c>
      <c r="E4722" s="8">
        <v>10000</v>
      </c>
      <c r="F4722" s="13" t="s">
        <v>70</v>
      </c>
      <c r="G4722" s="14">
        <v>44809</v>
      </c>
      <c r="H4722" s="13" t="s">
        <v>29</v>
      </c>
    </row>
    <row r="4723" spans="1:8" ht="14.4" x14ac:dyDescent="0.3">
      <c r="A4723" s="8">
        <v>78997181</v>
      </c>
      <c r="B4723" s="11">
        <v>44805</v>
      </c>
      <c r="C4723" s="13" t="s">
        <v>5898</v>
      </c>
      <c r="D4723" s="13" t="s">
        <v>6145</v>
      </c>
      <c r="E4723" s="8">
        <v>20000</v>
      </c>
      <c r="F4723" s="13" t="s">
        <v>70</v>
      </c>
      <c r="G4723" s="14">
        <v>44809</v>
      </c>
      <c r="H4723" s="13" t="s">
        <v>29</v>
      </c>
    </row>
    <row r="4724" spans="1:8" ht="14.4" x14ac:dyDescent="0.3">
      <c r="A4724" s="8">
        <v>78997182</v>
      </c>
      <c r="B4724" s="11">
        <v>44805</v>
      </c>
      <c r="C4724" s="13" t="s">
        <v>5898</v>
      </c>
      <c r="D4724" s="13" t="s">
        <v>6146</v>
      </c>
      <c r="E4724" s="8">
        <v>20000</v>
      </c>
      <c r="F4724" s="13" t="s">
        <v>70</v>
      </c>
      <c r="G4724" s="14">
        <v>44809</v>
      </c>
      <c r="H4724" s="13" t="s">
        <v>29</v>
      </c>
    </row>
    <row r="4725" spans="1:8" ht="14.4" x14ac:dyDescent="0.3">
      <c r="A4725" s="8">
        <v>78997183</v>
      </c>
      <c r="B4725" s="11">
        <v>44805</v>
      </c>
      <c r="C4725" s="13" t="s">
        <v>5898</v>
      </c>
      <c r="D4725" s="13" t="s">
        <v>6147</v>
      </c>
      <c r="E4725" s="8">
        <v>20000</v>
      </c>
      <c r="F4725" s="13" t="s">
        <v>70</v>
      </c>
      <c r="G4725" s="14">
        <v>44809</v>
      </c>
      <c r="H4725" s="13" t="s">
        <v>29</v>
      </c>
    </row>
    <row r="4726" spans="1:8" ht="14.4" x14ac:dyDescent="0.3">
      <c r="A4726" s="8">
        <v>78997184</v>
      </c>
      <c r="B4726" s="11">
        <v>44805</v>
      </c>
      <c r="C4726" s="13" t="s">
        <v>5898</v>
      </c>
      <c r="D4726" s="13" t="s">
        <v>6148</v>
      </c>
      <c r="E4726" s="8">
        <v>20000</v>
      </c>
      <c r="F4726" s="13" t="s">
        <v>70</v>
      </c>
      <c r="G4726" s="14">
        <v>44809</v>
      </c>
      <c r="H4726" s="13" t="s">
        <v>29</v>
      </c>
    </row>
    <row r="4727" spans="1:8" ht="14.4" x14ac:dyDescent="0.3">
      <c r="A4727" s="8">
        <v>78997185</v>
      </c>
      <c r="B4727" s="11">
        <v>44805</v>
      </c>
      <c r="C4727" s="13" t="s">
        <v>5898</v>
      </c>
      <c r="D4727" s="13" t="s">
        <v>6149</v>
      </c>
      <c r="E4727" s="8">
        <v>20000</v>
      </c>
      <c r="F4727" s="13" t="s">
        <v>70</v>
      </c>
      <c r="G4727" s="14">
        <v>44809</v>
      </c>
      <c r="H4727" s="13" t="s">
        <v>29</v>
      </c>
    </row>
    <row r="4728" spans="1:8" ht="14.4" x14ac:dyDescent="0.3">
      <c r="A4728" s="8">
        <v>78997186</v>
      </c>
      <c r="B4728" s="11">
        <v>44805</v>
      </c>
      <c r="C4728" s="13" t="s">
        <v>5898</v>
      </c>
      <c r="D4728" s="13" t="s">
        <v>6150</v>
      </c>
      <c r="E4728" s="8">
        <v>20000</v>
      </c>
      <c r="F4728" s="13" t="s">
        <v>70</v>
      </c>
      <c r="G4728" s="14">
        <v>44809</v>
      </c>
      <c r="H4728" s="13" t="s">
        <v>29</v>
      </c>
    </row>
    <row r="4729" spans="1:8" ht="14.4" x14ac:dyDescent="0.3">
      <c r="A4729" s="8">
        <v>78997187</v>
      </c>
      <c r="B4729" s="11">
        <v>44805</v>
      </c>
      <c r="C4729" s="13" t="s">
        <v>5898</v>
      </c>
      <c r="D4729" s="13" t="s">
        <v>6151</v>
      </c>
      <c r="E4729" s="8">
        <v>20000</v>
      </c>
      <c r="F4729" s="13" t="s">
        <v>70</v>
      </c>
      <c r="G4729" s="14">
        <v>44809</v>
      </c>
      <c r="H4729" s="13" t="s">
        <v>29</v>
      </c>
    </row>
    <row r="4730" spans="1:8" ht="14.4" x14ac:dyDescent="0.3">
      <c r="A4730" s="8">
        <v>78997188</v>
      </c>
      <c r="B4730" s="11">
        <v>44805</v>
      </c>
      <c r="C4730" s="13" t="s">
        <v>5898</v>
      </c>
      <c r="D4730" s="13" t="s">
        <v>6152</v>
      </c>
      <c r="E4730" s="8">
        <v>20000</v>
      </c>
      <c r="F4730" s="13" t="s">
        <v>70</v>
      </c>
      <c r="G4730" s="14">
        <v>44809</v>
      </c>
      <c r="H4730" s="13" t="s">
        <v>29</v>
      </c>
    </row>
    <row r="4731" spans="1:8" ht="14.4" x14ac:dyDescent="0.3">
      <c r="A4731" s="8">
        <v>78997189</v>
      </c>
      <c r="B4731" s="11">
        <v>44805</v>
      </c>
      <c r="C4731" s="13" t="s">
        <v>5898</v>
      </c>
      <c r="D4731" s="13" t="s">
        <v>6153</v>
      </c>
      <c r="E4731" s="8">
        <v>20000</v>
      </c>
      <c r="F4731" s="13" t="s">
        <v>70</v>
      </c>
      <c r="G4731" s="14">
        <v>44809</v>
      </c>
      <c r="H4731" s="13" t="s">
        <v>29</v>
      </c>
    </row>
    <row r="4732" spans="1:8" ht="14.4" x14ac:dyDescent="0.3">
      <c r="A4732" s="8">
        <v>78997190</v>
      </c>
      <c r="B4732" s="11">
        <v>44805</v>
      </c>
      <c r="C4732" s="13" t="s">
        <v>5898</v>
      </c>
      <c r="D4732" s="13" t="s">
        <v>6154</v>
      </c>
      <c r="E4732" s="8">
        <v>20000</v>
      </c>
      <c r="F4732" s="13" t="s">
        <v>70</v>
      </c>
      <c r="G4732" s="14">
        <v>44809</v>
      </c>
      <c r="H4732" s="13" t="s">
        <v>29</v>
      </c>
    </row>
    <row r="4733" spans="1:8" ht="14.4" x14ac:dyDescent="0.3">
      <c r="A4733" s="8">
        <v>78997191</v>
      </c>
      <c r="B4733" s="11">
        <v>44805</v>
      </c>
      <c r="C4733" s="13" t="s">
        <v>5898</v>
      </c>
      <c r="D4733" s="13" t="s">
        <v>6155</v>
      </c>
      <c r="E4733" s="8">
        <v>20000</v>
      </c>
      <c r="F4733" s="13" t="s">
        <v>70</v>
      </c>
      <c r="G4733" s="14">
        <v>44809</v>
      </c>
      <c r="H4733" s="13" t="s">
        <v>29</v>
      </c>
    </row>
    <row r="4734" spans="1:8" ht="14.4" x14ac:dyDescent="0.3">
      <c r="A4734" s="8">
        <v>78997192</v>
      </c>
      <c r="B4734" s="11">
        <v>44805</v>
      </c>
      <c r="C4734" s="13" t="s">
        <v>5898</v>
      </c>
      <c r="D4734" s="13" t="s">
        <v>6156</v>
      </c>
      <c r="E4734" s="8">
        <v>20000</v>
      </c>
      <c r="F4734" s="13" t="s">
        <v>70</v>
      </c>
      <c r="G4734" s="14">
        <v>44809</v>
      </c>
      <c r="H4734" s="13" t="s">
        <v>29</v>
      </c>
    </row>
    <row r="4735" spans="1:8" ht="14.4" x14ac:dyDescent="0.3">
      <c r="A4735" s="8">
        <v>78997193</v>
      </c>
      <c r="B4735" s="11">
        <v>44805</v>
      </c>
      <c r="C4735" s="13" t="s">
        <v>5898</v>
      </c>
      <c r="D4735" s="13" t="s">
        <v>6157</v>
      </c>
      <c r="E4735" s="8">
        <v>20000</v>
      </c>
      <c r="F4735" s="13" t="s">
        <v>70</v>
      </c>
      <c r="G4735" s="14">
        <v>44809</v>
      </c>
      <c r="H4735" s="13" t="s">
        <v>29</v>
      </c>
    </row>
    <row r="4736" spans="1:8" ht="14.4" x14ac:dyDescent="0.3">
      <c r="A4736" s="8">
        <v>78997194</v>
      </c>
      <c r="B4736" s="11">
        <v>44805</v>
      </c>
      <c r="C4736" s="13" t="s">
        <v>5898</v>
      </c>
      <c r="D4736" s="13" t="s">
        <v>6158</v>
      </c>
      <c r="E4736" s="8">
        <v>20000</v>
      </c>
      <c r="F4736" s="13" t="s">
        <v>70</v>
      </c>
      <c r="G4736" s="14">
        <v>44809</v>
      </c>
      <c r="H4736" s="13" t="s">
        <v>29</v>
      </c>
    </row>
    <row r="4737" spans="1:8" ht="14.4" x14ac:dyDescent="0.3">
      <c r="A4737" s="8">
        <v>78997195</v>
      </c>
      <c r="B4737" s="11">
        <v>44805</v>
      </c>
      <c r="C4737" s="13" t="s">
        <v>5898</v>
      </c>
      <c r="D4737" s="13" t="s">
        <v>6159</v>
      </c>
      <c r="E4737" s="8">
        <v>20000</v>
      </c>
      <c r="F4737" s="13" t="s">
        <v>70</v>
      </c>
      <c r="G4737" s="14">
        <v>44809</v>
      </c>
      <c r="H4737" s="13" t="s">
        <v>29</v>
      </c>
    </row>
    <row r="4738" spans="1:8" ht="14.4" x14ac:dyDescent="0.3">
      <c r="A4738" s="8">
        <v>78997196</v>
      </c>
      <c r="B4738" s="11">
        <v>44805</v>
      </c>
      <c r="C4738" s="13" t="s">
        <v>5898</v>
      </c>
      <c r="D4738" s="13" t="s">
        <v>6160</v>
      </c>
      <c r="E4738" s="8">
        <v>20000</v>
      </c>
      <c r="F4738" s="13" t="s">
        <v>70</v>
      </c>
      <c r="G4738" s="14">
        <v>44809</v>
      </c>
      <c r="H4738" s="13" t="s">
        <v>29</v>
      </c>
    </row>
    <row r="4739" spans="1:8" ht="14.4" x14ac:dyDescent="0.3">
      <c r="A4739" s="8">
        <v>78997197</v>
      </c>
      <c r="B4739" s="11">
        <v>44805</v>
      </c>
      <c r="C4739" s="13" t="s">
        <v>5898</v>
      </c>
      <c r="D4739" s="13" t="s">
        <v>6161</v>
      </c>
      <c r="E4739" s="8">
        <v>20000</v>
      </c>
      <c r="F4739" s="13" t="s">
        <v>70</v>
      </c>
      <c r="G4739" s="14">
        <v>44809</v>
      </c>
      <c r="H4739" s="13" t="s">
        <v>29</v>
      </c>
    </row>
    <row r="4740" spans="1:8" ht="14.4" x14ac:dyDescent="0.3">
      <c r="A4740" s="8">
        <v>78997198</v>
      </c>
      <c r="B4740" s="11">
        <v>44805</v>
      </c>
      <c r="C4740" s="13" t="s">
        <v>5898</v>
      </c>
      <c r="D4740" s="13" t="s">
        <v>6162</v>
      </c>
      <c r="E4740" s="8">
        <v>20000</v>
      </c>
      <c r="F4740" s="13" t="s">
        <v>70</v>
      </c>
      <c r="G4740" s="14">
        <v>44809</v>
      </c>
      <c r="H4740" s="13" t="s">
        <v>29</v>
      </c>
    </row>
    <row r="4741" spans="1:8" ht="14.4" x14ac:dyDescent="0.3">
      <c r="A4741" s="8">
        <v>78997199</v>
      </c>
      <c r="B4741" s="11">
        <v>44805</v>
      </c>
      <c r="C4741" s="13" t="s">
        <v>5898</v>
      </c>
      <c r="D4741" s="13" t="s">
        <v>6163</v>
      </c>
      <c r="E4741" s="8">
        <v>20000</v>
      </c>
      <c r="F4741" s="13" t="s">
        <v>70</v>
      </c>
      <c r="G4741" s="14">
        <v>44809</v>
      </c>
      <c r="H4741" s="13" t="s">
        <v>29</v>
      </c>
    </row>
    <row r="4742" spans="1:8" ht="14.4" x14ac:dyDescent="0.3">
      <c r="A4742" s="8">
        <v>78997200</v>
      </c>
      <c r="B4742" s="11">
        <v>44805</v>
      </c>
      <c r="C4742" s="13" t="s">
        <v>5898</v>
      </c>
      <c r="D4742" s="13" t="s">
        <v>6164</v>
      </c>
      <c r="E4742" s="8">
        <v>20000</v>
      </c>
      <c r="F4742" s="13" t="s">
        <v>70</v>
      </c>
      <c r="G4742" s="14">
        <v>44809</v>
      </c>
      <c r="H4742" s="13" t="s">
        <v>29</v>
      </c>
    </row>
    <row r="4743" spans="1:8" ht="14.4" x14ac:dyDescent="0.3">
      <c r="A4743" s="8">
        <v>80688601</v>
      </c>
      <c r="B4743" s="11">
        <v>44805</v>
      </c>
      <c r="C4743" s="13" t="s">
        <v>5898</v>
      </c>
      <c r="D4743" s="13" t="s">
        <v>6165</v>
      </c>
      <c r="E4743" s="8">
        <v>20000</v>
      </c>
      <c r="F4743" s="13" t="s">
        <v>70</v>
      </c>
      <c r="G4743" s="14">
        <v>44809</v>
      </c>
      <c r="H4743" s="13" t="s">
        <v>29</v>
      </c>
    </row>
    <row r="4744" spans="1:8" ht="14.4" x14ac:dyDescent="0.3">
      <c r="A4744" s="8">
        <v>80688602</v>
      </c>
      <c r="B4744" s="11">
        <v>44805</v>
      </c>
      <c r="C4744" s="13" t="s">
        <v>5898</v>
      </c>
      <c r="D4744" s="13" t="s">
        <v>6166</v>
      </c>
      <c r="E4744" s="8">
        <v>20000</v>
      </c>
      <c r="F4744" s="13" t="s">
        <v>70</v>
      </c>
      <c r="G4744" s="14">
        <v>44809</v>
      </c>
      <c r="H4744" s="13" t="s">
        <v>29</v>
      </c>
    </row>
    <row r="4745" spans="1:8" ht="14.4" x14ac:dyDescent="0.3">
      <c r="A4745" s="8">
        <v>80688603</v>
      </c>
      <c r="B4745" s="11">
        <v>44805</v>
      </c>
      <c r="C4745" s="13" t="s">
        <v>5898</v>
      </c>
      <c r="D4745" s="13" t="s">
        <v>6167</v>
      </c>
      <c r="E4745" s="8">
        <v>20000</v>
      </c>
      <c r="F4745" s="13" t="s">
        <v>70</v>
      </c>
      <c r="G4745" s="14">
        <v>44809</v>
      </c>
      <c r="H4745" s="13" t="s">
        <v>29</v>
      </c>
    </row>
    <row r="4746" spans="1:8" ht="14.4" x14ac:dyDescent="0.3">
      <c r="A4746" s="8">
        <v>80688604</v>
      </c>
      <c r="B4746" s="11">
        <v>44805</v>
      </c>
      <c r="C4746" s="13" t="s">
        <v>5898</v>
      </c>
      <c r="D4746" s="13" t="s">
        <v>6168</v>
      </c>
      <c r="E4746" s="8">
        <v>20000</v>
      </c>
      <c r="F4746" s="13" t="s">
        <v>70</v>
      </c>
      <c r="G4746" s="14">
        <v>44809</v>
      </c>
      <c r="H4746" s="13" t="s">
        <v>29</v>
      </c>
    </row>
    <row r="4747" spans="1:8" ht="14.4" x14ac:dyDescent="0.3">
      <c r="A4747" s="8">
        <v>80688605</v>
      </c>
      <c r="B4747" s="11">
        <v>44805</v>
      </c>
      <c r="C4747" s="13" t="s">
        <v>5898</v>
      </c>
      <c r="D4747" s="13" t="s">
        <v>6169</v>
      </c>
      <c r="E4747" s="8">
        <v>20000</v>
      </c>
      <c r="F4747" s="13" t="s">
        <v>70</v>
      </c>
      <c r="G4747" s="14">
        <v>44809</v>
      </c>
      <c r="H4747" s="13" t="s">
        <v>29</v>
      </c>
    </row>
    <row r="4748" spans="1:8" ht="14.4" x14ac:dyDescent="0.3">
      <c r="A4748" s="8">
        <v>80688606</v>
      </c>
      <c r="B4748" s="11">
        <v>44806</v>
      </c>
      <c r="C4748" s="13" t="s">
        <v>2624</v>
      </c>
      <c r="D4748" s="13" t="s">
        <v>6170</v>
      </c>
      <c r="E4748" s="8">
        <v>3509150.83</v>
      </c>
      <c r="F4748" s="13" t="s">
        <v>70</v>
      </c>
      <c r="G4748" s="14">
        <v>44809</v>
      </c>
      <c r="H4748" s="13" t="s">
        <v>29</v>
      </c>
    </row>
    <row r="4749" spans="1:8" ht="14.4" x14ac:dyDescent="0.3">
      <c r="A4749" s="8">
        <v>80688607</v>
      </c>
      <c r="B4749" s="11">
        <v>44806</v>
      </c>
      <c r="C4749" s="13" t="s">
        <v>5898</v>
      </c>
      <c r="D4749" s="13" t="s">
        <v>6171</v>
      </c>
      <c r="E4749" s="8">
        <v>20000</v>
      </c>
      <c r="F4749" s="13" t="s">
        <v>70</v>
      </c>
      <c r="G4749" s="14">
        <v>44813</v>
      </c>
      <c r="H4749" s="13" t="s">
        <v>29</v>
      </c>
    </row>
    <row r="4750" spans="1:8" ht="14.4" x14ac:dyDescent="0.3">
      <c r="A4750" s="8">
        <v>80688608</v>
      </c>
      <c r="B4750" s="11">
        <v>44806</v>
      </c>
      <c r="C4750" s="13" t="s">
        <v>5898</v>
      </c>
      <c r="D4750" s="13" t="s">
        <v>6172</v>
      </c>
      <c r="E4750" s="8">
        <v>20000</v>
      </c>
      <c r="F4750" s="13" t="s">
        <v>70</v>
      </c>
      <c r="G4750" s="14">
        <v>44813</v>
      </c>
      <c r="H4750" s="13" t="s">
        <v>29</v>
      </c>
    </row>
    <row r="4751" spans="1:8" ht="14.4" x14ac:dyDescent="0.3">
      <c r="A4751" s="8">
        <v>80688609</v>
      </c>
      <c r="B4751" s="11">
        <v>44806</v>
      </c>
      <c r="C4751" s="13" t="s">
        <v>5898</v>
      </c>
      <c r="D4751" s="13" t="s">
        <v>6173</v>
      </c>
      <c r="E4751" s="8">
        <v>30000</v>
      </c>
      <c r="F4751" s="13" t="s">
        <v>70</v>
      </c>
      <c r="G4751" s="14">
        <v>44813</v>
      </c>
      <c r="H4751" s="13" t="s">
        <v>29</v>
      </c>
    </row>
    <row r="4752" spans="1:8" ht="14.4" x14ac:dyDescent="0.3">
      <c r="A4752" s="8">
        <v>80688610</v>
      </c>
      <c r="B4752" s="11">
        <v>44806</v>
      </c>
      <c r="C4752" s="13" t="s">
        <v>5898</v>
      </c>
      <c r="D4752" s="13" t="s">
        <v>6174</v>
      </c>
      <c r="E4752" s="8">
        <v>30000</v>
      </c>
      <c r="F4752" s="13" t="s">
        <v>70</v>
      </c>
      <c r="G4752" s="14">
        <v>44813</v>
      </c>
      <c r="H4752" s="13" t="s">
        <v>29</v>
      </c>
    </row>
    <row r="4753" spans="1:8" ht="14.4" x14ac:dyDescent="0.3">
      <c r="A4753" s="8">
        <v>80688611</v>
      </c>
      <c r="B4753" s="11">
        <v>44806</v>
      </c>
      <c r="C4753" s="13" t="s">
        <v>5898</v>
      </c>
      <c r="D4753" s="13" t="s">
        <v>6175</v>
      </c>
      <c r="E4753" s="8">
        <v>30000</v>
      </c>
      <c r="F4753" s="13" t="s">
        <v>70</v>
      </c>
      <c r="G4753" s="14">
        <v>44813</v>
      </c>
      <c r="H4753" s="13" t="s">
        <v>29</v>
      </c>
    </row>
    <row r="4754" spans="1:8" ht="14.4" x14ac:dyDescent="0.3">
      <c r="A4754" s="8">
        <v>80688612</v>
      </c>
      <c r="B4754" s="11">
        <v>44806</v>
      </c>
      <c r="C4754" s="13" t="s">
        <v>5898</v>
      </c>
      <c r="D4754" s="13" t="s">
        <v>6176</v>
      </c>
      <c r="E4754" s="8">
        <v>30000</v>
      </c>
      <c r="F4754" s="13" t="s">
        <v>70</v>
      </c>
      <c r="G4754" s="14">
        <v>44813</v>
      </c>
      <c r="H4754" s="13" t="s">
        <v>29</v>
      </c>
    </row>
    <row r="4755" spans="1:8" ht="14.4" x14ac:dyDescent="0.3">
      <c r="A4755" s="8">
        <v>80688613</v>
      </c>
      <c r="B4755" s="11">
        <v>44806</v>
      </c>
      <c r="C4755" s="13" t="s">
        <v>5898</v>
      </c>
      <c r="D4755" s="13" t="s">
        <v>6177</v>
      </c>
      <c r="E4755" s="8">
        <v>30000</v>
      </c>
      <c r="F4755" s="13" t="s">
        <v>70</v>
      </c>
      <c r="G4755" s="14">
        <v>44813</v>
      </c>
      <c r="H4755" s="13" t="s">
        <v>29</v>
      </c>
    </row>
    <row r="4756" spans="1:8" ht="14.4" x14ac:dyDescent="0.3">
      <c r="A4756" s="8">
        <v>80688614</v>
      </c>
      <c r="B4756" s="11">
        <v>44806</v>
      </c>
      <c r="C4756" s="13" t="s">
        <v>5898</v>
      </c>
      <c r="D4756" s="13" t="s">
        <v>6178</v>
      </c>
      <c r="E4756" s="8">
        <v>30000</v>
      </c>
      <c r="F4756" s="13" t="s">
        <v>70</v>
      </c>
      <c r="G4756" s="14">
        <v>44813</v>
      </c>
      <c r="H4756" s="13" t="s">
        <v>29</v>
      </c>
    </row>
    <row r="4757" spans="1:8" ht="14.4" x14ac:dyDescent="0.3">
      <c r="A4757" s="8">
        <v>80688615</v>
      </c>
      <c r="B4757" s="11">
        <v>44806</v>
      </c>
      <c r="C4757" s="13" t="s">
        <v>5898</v>
      </c>
      <c r="D4757" s="13" t="s">
        <v>6179</v>
      </c>
      <c r="E4757" s="8">
        <v>40000</v>
      </c>
      <c r="F4757" s="13" t="s">
        <v>70</v>
      </c>
      <c r="G4757" s="14">
        <v>44813</v>
      </c>
      <c r="H4757" s="13" t="s">
        <v>29</v>
      </c>
    </row>
    <row r="4758" spans="1:8" ht="14.4" x14ac:dyDescent="0.3">
      <c r="A4758" s="8">
        <v>80688616</v>
      </c>
      <c r="B4758" s="11">
        <v>44806</v>
      </c>
      <c r="C4758" s="13" t="s">
        <v>5898</v>
      </c>
      <c r="D4758" s="13" t="s">
        <v>6180</v>
      </c>
      <c r="E4758" s="8">
        <v>40000</v>
      </c>
      <c r="F4758" s="13" t="s">
        <v>70</v>
      </c>
      <c r="G4758" s="14">
        <v>44813</v>
      </c>
      <c r="H4758" s="13" t="s">
        <v>29</v>
      </c>
    </row>
    <row r="4759" spans="1:8" ht="14.4" x14ac:dyDescent="0.3">
      <c r="A4759" s="8">
        <v>80688617</v>
      </c>
      <c r="B4759" s="11">
        <v>44806</v>
      </c>
      <c r="C4759" s="13" t="s">
        <v>5898</v>
      </c>
      <c r="D4759" s="13" t="s">
        <v>6181</v>
      </c>
      <c r="E4759" s="8">
        <v>40000</v>
      </c>
      <c r="F4759" s="13" t="s">
        <v>70</v>
      </c>
      <c r="G4759" s="14">
        <v>44813</v>
      </c>
      <c r="H4759" s="13" t="s">
        <v>29</v>
      </c>
    </row>
    <row r="4760" spans="1:8" ht="14.4" x14ac:dyDescent="0.3">
      <c r="A4760" s="8">
        <v>80688618</v>
      </c>
      <c r="B4760" s="11">
        <v>44806</v>
      </c>
      <c r="C4760" s="13" t="s">
        <v>5898</v>
      </c>
      <c r="D4760" s="13" t="s">
        <v>6182</v>
      </c>
      <c r="E4760" s="8">
        <v>40000</v>
      </c>
      <c r="F4760" s="13" t="s">
        <v>70</v>
      </c>
      <c r="G4760" s="14">
        <v>44813</v>
      </c>
      <c r="H4760" s="13" t="s">
        <v>29</v>
      </c>
    </row>
    <row r="4761" spans="1:8" ht="14.4" x14ac:dyDescent="0.3">
      <c r="A4761" s="8">
        <v>80688619</v>
      </c>
      <c r="B4761" s="11">
        <v>44806</v>
      </c>
      <c r="C4761" s="13" t="s">
        <v>5898</v>
      </c>
      <c r="D4761" s="13" t="s">
        <v>6183</v>
      </c>
      <c r="E4761" s="8">
        <v>40000</v>
      </c>
      <c r="F4761" s="13" t="s">
        <v>70</v>
      </c>
      <c r="G4761" s="14">
        <v>44813</v>
      </c>
      <c r="H4761" s="13" t="s">
        <v>29</v>
      </c>
    </row>
    <row r="4762" spans="1:8" ht="14.4" x14ac:dyDescent="0.3">
      <c r="A4762" s="8">
        <v>80688620</v>
      </c>
      <c r="B4762" s="11">
        <v>44806</v>
      </c>
      <c r="C4762" s="13" t="s">
        <v>5898</v>
      </c>
      <c r="D4762" s="13" t="s">
        <v>6184</v>
      </c>
      <c r="E4762" s="8">
        <v>40000</v>
      </c>
      <c r="F4762" s="13" t="s">
        <v>70</v>
      </c>
      <c r="G4762" s="14">
        <v>44813</v>
      </c>
      <c r="H4762" s="13" t="s">
        <v>29</v>
      </c>
    </row>
    <row r="4763" spans="1:8" ht="14.4" x14ac:dyDescent="0.3">
      <c r="A4763" s="8">
        <v>80688621</v>
      </c>
      <c r="B4763" s="11">
        <v>44809</v>
      </c>
      <c r="C4763" s="13" t="s">
        <v>191</v>
      </c>
      <c r="D4763" s="13" t="s">
        <v>6185</v>
      </c>
      <c r="E4763" s="8">
        <v>8711040</v>
      </c>
      <c r="F4763" s="13" t="s">
        <v>70</v>
      </c>
      <c r="G4763" s="14">
        <v>44810</v>
      </c>
      <c r="H4763" s="13" t="s">
        <v>29</v>
      </c>
    </row>
    <row r="4764" spans="1:8" ht="14.4" x14ac:dyDescent="0.3">
      <c r="A4764" s="8">
        <v>80688622</v>
      </c>
      <c r="B4764" s="11">
        <v>44809</v>
      </c>
      <c r="C4764" s="13" t="s">
        <v>6186</v>
      </c>
      <c r="D4764" s="13" t="s">
        <v>6187</v>
      </c>
      <c r="E4764" s="8">
        <v>5192572.16</v>
      </c>
      <c r="F4764" s="13" t="s">
        <v>70</v>
      </c>
      <c r="G4764" s="14">
        <v>44811</v>
      </c>
      <c r="H4764" s="13" t="s">
        <v>29</v>
      </c>
    </row>
    <row r="4765" spans="1:8" ht="14.4" x14ac:dyDescent="0.3">
      <c r="A4765" s="8">
        <v>80688623</v>
      </c>
      <c r="B4765" s="11">
        <v>44810</v>
      </c>
      <c r="C4765" s="13" t="s">
        <v>235</v>
      </c>
      <c r="D4765" s="13" t="s">
        <v>6188</v>
      </c>
      <c r="E4765" s="8">
        <v>4760</v>
      </c>
      <c r="F4765" s="13" t="s">
        <v>70</v>
      </c>
      <c r="G4765" s="14">
        <v>44811</v>
      </c>
      <c r="H4765" s="13" t="s">
        <v>29</v>
      </c>
    </row>
    <row r="4766" spans="1:8" ht="14.4" x14ac:dyDescent="0.3">
      <c r="A4766" s="8">
        <v>80688624</v>
      </c>
      <c r="B4766" s="11">
        <v>44810</v>
      </c>
      <c r="C4766" s="13" t="s">
        <v>2425</v>
      </c>
      <c r="D4766" s="13" t="s">
        <v>6189</v>
      </c>
      <c r="E4766" s="8">
        <v>13740.23</v>
      </c>
      <c r="F4766" s="13" t="s">
        <v>70</v>
      </c>
      <c r="G4766" s="14">
        <v>44811</v>
      </c>
      <c r="H4766" s="13" t="s">
        <v>29</v>
      </c>
    </row>
    <row r="4767" spans="1:8" ht="14.4" x14ac:dyDescent="0.3">
      <c r="A4767" s="8">
        <v>80688625</v>
      </c>
      <c r="B4767" s="11">
        <v>44810</v>
      </c>
      <c r="C4767" s="13" t="s">
        <v>5898</v>
      </c>
      <c r="D4767" s="13" t="s">
        <v>6190</v>
      </c>
      <c r="E4767" s="8">
        <v>40000</v>
      </c>
      <c r="F4767" s="13" t="s">
        <v>70</v>
      </c>
      <c r="G4767" s="14">
        <v>44813</v>
      </c>
      <c r="H4767" s="13" t="s">
        <v>29</v>
      </c>
    </row>
    <row r="4768" spans="1:8" ht="14.4" x14ac:dyDescent="0.3">
      <c r="A4768" s="8">
        <v>80688626</v>
      </c>
      <c r="B4768" s="11">
        <v>44810</v>
      </c>
      <c r="C4768" s="13" t="s">
        <v>5898</v>
      </c>
      <c r="D4768" s="13" t="s">
        <v>6191</v>
      </c>
      <c r="E4768" s="8">
        <v>10000</v>
      </c>
      <c r="F4768" s="13" t="s">
        <v>70</v>
      </c>
      <c r="G4768" s="14">
        <v>44813</v>
      </c>
      <c r="H4768" s="13" t="s">
        <v>29</v>
      </c>
    </row>
    <row r="4769" spans="1:8" ht="14.4" x14ac:dyDescent="0.3">
      <c r="A4769" s="8">
        <v>80688627</v>
      </c>
      <c r="B4769" s="11">
        <v>44810</v>
      </c>
      <c r="C4769" s="13" t="s">
        <v>5898</v>
      </c>
      <c r="D4769" s="13" t="s">
        <v>6192</v>
      </c>
      <c r="E4769" s="8">
        <v>20000</v>
      </c>
      <c r="F4769" s="13" t="s">
        <v>70</v>
      </c>
      <c r="G4769" s="14">
        <v>44813</v>
      </c>
      <c r="H4769" s="13" t="s">
        <v>29</v>
      </c>
    </row>
    <row r="4770" spans="1:8" ht="14.4" x14ac:dyDescent="0.3">
      <c r="A4770" s="8">
        <v>80688628</v>
      </c>
      <c r="B4770" s="11">
        <v>44810</v>
      </c>
      <c r="C4770" s="13" t="s">
        <v>5898</v>
      </c>
      <c r="D4770" s="13" t="s">
        <v>6193</v>
      </c>
      <c r="E4770" s="8">
        <v>40000</v>
      </c>
      <c r="F4770" s="13" t="s">
        <v>70</v>
      </c>
      <c r="G4770" s="14">
        <v>44813</v>
      </c>
      <c r="H4770" s="13" t="s">
        <v>29</v>
      </c>
    </row>
    <row r="4771" spans="1:8" ht="14.4" x14ac:dyDescent="0.3">
      <c r="A4771" s="8">
        <v>80688629</v>
      </c>
      <c r="B4771" s="11">
        <v>44810</v>
      </c>
      <c r="C4771" s="13" t="s">
        <v>5898</v>
      </c>
      <c r="D4771" s="13" t="s">
        <v>6194</v>
      </c>
      <c r="E4771" s="8">
        <v>40000</v>
      </c>
      <c r="F4771" s="13" t="s">
        <v>70</v>
      </c>
      <c r="G4771" s="14">
        <v>44813</v>
      </c>
      <c r="H4771" s="13" t="s">
        <v>29</v>
      </c>
    </row>
    <row r="4772" spans="1:8" ht="14.4" x14ac:dyDescent="0.3">
      <c r="A4772" s="8">
        <v>80688630</v>
      </c>
      <c r="B4772" s="11">
        <v>44810</v>
      </c>
      <c r="C4772" s="13" t="s">
        <v>5898</v>
      </c>
      <c r="D4772" s="13" t="s">
        <v>6195</v>
      </c>
      <c r="E4772" s="8">
        <v>40000</v>
      </c>
      <c r="F4772" s="13" t="s">
        <v>70</v>
      </c>
      <c r="G4772" s="14">
        <v>44813</v>
      </c>
      <c r="H4772" s="13" t="s">
        <v>29</v>
      </c>
    </row>
    <row r="4773" spans="1:8" ht="14.4" x14ac:dyDescent="0.3">
      <c r="A4773" s="8">
        <v>80688631</v>
      </c>
      <c r="B4773" s="11">
        <v>44810</v>
      </c>
      <c r="C4773" s="13" t="s">
        <v>5898</v>
      </c>
      <c r="D4773" s="13" t="s">
        <v>6196</v>
      </c>
      <c r="E4773" s="8">
        <v>40000</v>
      </c>
      <c r="F4773" s="13" t="s">
        <v>70</v>
      </c>
      <c r="G4773" s="14">
        <v>44813</v>
      </c>
      <c r="H4773" s="13" t="s">
        <v>29</v>
      </c>
    </row>
    <row r="4774" spans="1:8" ht="14.4" x14ac:dyDescent="0.3">
      <c r="A4774" s="8">
        <v>80688632</v>
      </c>
      <c r="B4774" s="11">
        <v>44810</v>
      </c>
      <c r="C4774" s="13" t="s">
        <v>5898</v>
      </c>
      <c r="D4774" s="13" t="s">
        <v>6197</v>
      </c>
      <c r="E4774" s="8">
        <v>40000</v>
      </c>
      <c r="F4774" s="13" t="s">
        <v>70</v>
      </c>
      <c r="G4774" s="14">
        <v>44813</v>
      </c>
      <c r="H4774" s="13" t="s">
        <v>29</v>
      </c>
    </row>
    <row r="4775" spans="1:8" ht="14.4" x14ac:dyDescent="0.3">
      <c r="A4775" s="8">
        <v>80688633</v>
      </c>
      <c r="B4775" s="11">
        <v>44810</v>
      </c>
      <c r="C4775" s="13" t="s">
        <v>5898</v>
      </c>
      <c r="D4775" s="13" t="s">
        <v>6198</v>
      </c>
      <c r="E4775" s="8">
        <v>40000</v>
      </c>
      <c r="F4775" s="13" t="s">
        <v>70</v>
      </c>
      <c r="G4775" s="14">
        <v>44813</v>
      </c>
      <c r="H4775" s="13" t="s">
        <v>29</v>
      </c>
    </row>
    <row r="4776" spans="1:8" ht="14.4" x14ac:dyDescent="0.3">
      <c r="A4776" s="8">
        <v>80688634</v>
      </c>
      <c r="B4776" s="11">
        <v>44810</v>
      </c>
      <c r="C4776" s="13" t="s">
        <v>5898</v>
      </c>
      <c r="D4776" s="13" t="s">
        <v>6199</v>
      </c>
      <c r="E4776" s="8">
        <v>40000</v>
      </c>
      <c r="F4776" s="13" t="s">
        <v>70</v>
      </c>
      <c r="G4776" s="14">
        <v>44813</v>
      </c>
      <c r="H4776" s="13" t="s">
        <v>29</v>
      </c>
    </row>
    <row r="4777" spans="1:8" ht="14.4" x14ac:dyDescent="0.3">
      <c r="A4777" s="8">
        <v>80688635</v>
      </c>
      <c r="B4777" s="11">
        <v>44810</v>
      </c>
      <c r="C4777" s="13" t="s">
        <v>5898</v>
      </c>
      <c r="D4777" s="13" t="s">
        <v>6200</v>
      </c>
      <c r="E4777" s="8">
        <v>40000</v>
      </c>
      <c r="F4777" s="13" t="s">
        <v>70</v>
      </c>
      <c r="G4777" s="14">
        <v>44813</v>
      </c>
      <c r="H4777" s="13" t="s">
        <v>29</v>
      </c>
    </row>
    <row r="4778" spans="1:8" ht="14.4" x14ac:dyDescent="0.3">
      <c r="A4778" s="8">
        <v>80688636</v>
      </c>
      <c r="B4778" s="11">
        <v>44810</v>
      </c>
      <c r="C4778" s="13" t="s">
        <v>5898</v>
      </c>
      <c r="D4778" s="13" t="s">
        <v>6201</v>
      </c>
      <c r="E4778" s="8">
        <v>40000</v>
      </c>
      <c r="F4778" s="13" t="s">
        <v>70</v>
      </c>
      <c r="G4778" s="14">
        <v>44813</v>
      </c>
      <c r="H4778" s="13" t="s">
        <v>29</v>
      </c>
    </row>
    <row r="4779" spans="1:8" ht="14.4" x14ac:dyDescent="0.3">
      <c r="A4779" s="8">
        <v>80688637</v>
      </c>
      <c r="B4779" s="11">
        <v>44810</v>
      </c>
      <c r="C4779" s="13" t="s">
        <v>5898</v>
      </c>
      <c r="D4779" s="13" t="s">
        <v>6202</v>
      </c>
      <c r="E4779" s="8">
        <v>20000</v>
      </c>
      <c r="F4779" s="13" t="s">
        <v>70</v>
      </c>
      <c r="G4779" s="14">
        <v>44813</v>
      </c>
      <c r="H4779" s="13" t="s">
        <v>29</v>
      </c>
    </row>
    <row r="4780" spans="1:8" ht="14.4" x14ac:dyDescent="0.3">
      <c r="A4780" s="8">
        <v>80688638</v>
      </c>
      <c r="B4780" s="11">
        <v>44810</v>
      </c>
      <c r="C4780" s="13" t="s">
        <v>5898</v>
      </c>
      <c r="D4780" s="13" t="s">
        <v>6203</v>
      </c>
      <c r="E4780" s="8">
        <v>20000</v>
      </c>
      <c r="F4780" s="13" t="s">
        <v>70</v>
      </c>
      <c r="G4780" s="14">
        <v>44813</v>
      </c>
      <c r="H4780" s="13" t="s">
        <v>29</v>
      </c>
    </row>
    <row r="4781" spans="1:8" ht="14.4" x14ac:dyDescent="0.3">
      <c r="A4781" s="8">
        <v>80688639</v>
      </c>
      <c r="B4781" s="11">
        <v>44810</v>
      </c>
      <c r="C4781" s="13" t="s">
        <v>5898</v>
      </c>
      <c r="D4781" s="13" t="s">
        <v>6204</v>
      </c>
      <c r="E4781" s="8">
        <v>20000</v>
      </c>
      <c r="F4781" s="13" t="s">
        <v>70</v>
      </c>
      <c r="G4781" s="14">
        <v>44813</v>
      </c>
      <c r="H4781" s="13" t="s">
        <v>29</v>
      </c>
    </row>
    <row r="4782" spans="1:8" ht="14.4" x14ac:dyDescent="0.3">
      <c r="A4782" s="8">
        <v>80688640</v>
      </c>
      <c r="B4782" s="11">
        <v>44810</v>
      </c>
      <c r="C4782" s="13" t="s">
        <v>5898</v>
      </c>
      <c r="D4782" s="13" t="s">
        <v>6205</v>
      </c>
      <c r="E4782" s="8">
        <v>20000</v>
      </c>
      <c r="F4782" s="13" t="s">
        <v>70</v>
      </c>
      <c r="G4782" s="14">
        <v>44813</v>
      </c>
      <c r="H4782" s="13" t="s">
        <v>29</v>
      </c>
    </row>
    <row r="4783" spans="1:8" ht="14.4" x14ac:dyDescent="0.3">
      <c r="A4783" s="8">
        <v>80688641</v>
      </c>
      <c r="B4783" s="11">
        <v>44810</v>
      </c>
      <c r="C4783" s="13" t="s">
        <v>5898</v>
      </c>
      <c r="D4783" s="13" t="s">
        <v>6206</v>
      </c>
      <c r="E4783" s="8">
        <v>20000</v>
      </c>
      <c r="F4783" s="13" t="s">
        <v>70</v>
      </c>
      <c r="G4783" s="14">
        <v>44813</v>
      </c>
      <c r="H4783" s="13" t="s">
        <v>29</v>
      </c>
    </row>
    <row r="4784" spans="1:8" ht="14.4" x14ac:dyDescent="0.3">
      <c r="A4784" s="8">
        <v>80688642</v>
      </c>
      <c r="B4784" s="11">
        <v>44810</v>
      </c>
      <c r="C4784" s="13" t="s">
        <v>5898</v>
      </c>
      <c r="D4784" s="13" t="s">
        <v>6207</v>
      </c>
      <c r="E4784" s="8">
        <v>20000</v>
      </c>
      <c r="F4784" s="13" t="s">
        <v>70</v>
      </c>
      <c r="G4784" s="14">
        <v>44813</v>
      </c>
      <c r="H4784" s="13" t="s">
        <v>29</v>
      </c>
    </row>
    <row r="4785" spans="1:8" ht="14.4" x14ac:dyDescent="0.3">
      <c r="A4785" s="8">
        <v>80688643</v>
      </c>
      <c r="B4785" s="11">
        <v>44810</v>
      </c>
      <c r="C4785" s="13" t="s">
        <v>5898</v>
      </c>
      <c r="D4785" s="13" t="s">
        <v>6208</v>
      </c>
      <c r="E4785" s="8">
        <v>10000</v>
      </c>
      <c r="F4785" s="13" t="s">
        <v>70</v>
      </c>
      <c r="G4785" s="14">
        <v>44813</v>
      </c>
      <c r="H4785" s="13" t="s">
        <v>29</v>
      </c>
    </row>
    <row r="4786" spans="1:8" ht="14.4" x14ac:dyDescent="0.3">
      <c r="A4786" s="8">
        <v>80688644</v>
      </c>
      <c r="B4786" s="11">
        <v>44810</v>
      </c>
      <c r="C4786" s="13" t="s">
        <v>5898</v>
      </c>
      <c r="D4786" s="13" t="s">
        <v>6209</v>
      </c>
      <c r="E4786" s="8">
        <v>20000</v>
      </c>
      <c r="F4786" s="13" t="s">
        <v>70</v>
      </c>
      <c r="G4786" s="14">
        <v>44813</v>
      </c>
      <c r="H4786" s="13" t="s">
        <v>29</v>
      </c>
    </row>
    <row r="4787" spans="1:8" ht="14.4" x14ac:dyDescent="0.3">
      <c r="A4787" s="8">
        <v>80688645</v>
      </c>
      <c r="B4787" s="11">
        <v>44810</v>
      </c>
      <c r="C4787" s="13" t="s">
        <v>5898</v>
      </c>
      <c r="D4787" s="13" t="s">
        <v>6210</v>
      </c>
      <c r="E4787" s="8">
        <v>20000</v>
      </c>
      <c r="F4787" s="13" t="s">
        <v>70</v>
      </c>
      <c r="G4787" s="14">
        <v>44813</v>
      </c>
      <c r="H4787" s="13" t="s">
        <v>29</v>
      </c>
    </row>
    <row r="4788" spans="1:8" ht="14.4" x14ac:dyDescent="0.3">
      <c r="A4788" s="8">
        <v>80688646</v>
      </c>
      <c r="B4788" s="11">
        <v>44810</v>
      </c>
      <c r="C4788" s="13" t="s">
        <v>5898</v>
      </c>
      <c r="D4788" s="13" t="s">
        <v>6211</v>
      </c>
      <c r="E4788" s="8">
        <v>30000</v>
      </c>
      <c r="F4788" s="13" t="s">
        <v>70</v>
      </c>
      <c r="G4788" s="14">
        <v>44813</v>
      </c>
      <c r="H4788" s="13" t="s">
        <v>29</v>
      </c>
    </row>
    <row r="4789" spans="1:8" ht="14.4" x14ac:dyDescent="0.3">
      <c r="A4789" s="8">
        <v>80688647</v>
      </c>
      <c r="B4789" s="11">
        <v>44810</v>
      </c>
      <c r="C4789" s="13" t="s">
        <v>5898</v>
      </c>
      <c r="D4789" s="13" t="s">
        <v>6212</v>
      </c>
      <c r="E4789" s="8">
        <v>40000</v>
      </c>
      <c r="F4789" s="13" t="s">
        <v>70</v>
      </c>
      <c r="G4789" s="14">
        <v>44813</v>
      </c>
      <c r="H4789" s="13" t="s">
        <v>29</v>
      </c>
    </row>
    <row r="4790" spans="1:8" ht="14.4" x14ac:dyDescent="0.3">
      <c r="A4790" s="8">
        <v>80688648</v>
      </c>
      <c r="B4790" s="11">
        <v>44810</v>
      </c>
      <c r="C4790" s="13" t="s">
        <v>5898</v>
      </c>
      <c r="D4790" s="13" t="s">
        <v>6213</v>
      </c>
      <c r="E4790" s="8">
        <v>40000</v>
      </c>
      <c r="F4790" s="13" t="s">
        <v>70</v>
      </c>
      <c r="G4790" s="14">
        <v>44813</v>
      </c>
      <c r="H4790" s="13" t="s">
        <v>29</v>
      </c>
    </row>
    <row r="4791" spans="1:8" ht="14.4" x14ac:dyDescent="0.3">
      <c r="A4791" s="8">
        <v>80688649</v>
      </c>
      <c r="B4791" s="11">
        <v>44810</v>
      </c>
      <c r="C4791" s="13" t="s">
        <v>5898</v>
      </c>
      <c r="D4791" s="13" t="s">
        <v>6214</v>
      </c>
      <c r="E4791" s="8">
        <v>40000</v>
      </c>
      <c r="F4791" s="13" t="s">
        <v>70</v>
      </c>
      <c r="G4791" s="14">
        <v>44813</v>
      </c>
      <c r="H4791" s="13" t="s">
        <v>29</v>
      </c>
    </row>
    <row r="4792" spans="1:8" ht="14.4" x14ac:dyDescent="0.3">
      <c r="A4792" s="8">
        <v>80688650</v>
      </c>
      <c r="B4792" s="11">
        <v>44810</v>
      </c>
      <c r="C4792" s="13" t="s">
        <v>5898</v>
      </c>
      <c r="D4792" s="13" t="s">
        <v>6215</v>
      </c>
      <c r="E4792" s="8">
        <v>40000</v>
      </c>
      <c r="F4792" s="13" t="s">
        <v>70</v>
      </c>
      <c r="G4792" s="14">
        <v>44813</v>
      </c>
      <c r="H4792" s="13" t="s">
        <v>29</v>
      </c>
    </row>
    <row r="4793" spans="1:8" ht="14.4" x14ac:dyDescent="0.3">
      <c r="A4793" s="8">
        <v>80688651</v>
      </c>
      <c r="B4793" s="11">
        <v>44810</v>
      </c>
      <c r="C4793" s="13" t="s">
        <v>5898</v>
      </c>
      <c r="D4793" s="13" t="s">
        <v>6216</v>
      </c>
      <c r="E4793" s="8">
        <v>10000</v>
      </c>
      <c r="F4793" s="13" t="s">
        <v>70</v>
      </c>
      <c r="G4793" s="14">
        <v>44813</v>
      </c>
      <c r="H4793" s="13" t="s">
        <v>29</v>
      </c>
    </row>
    <row r="4794" spans="1:8" ht="14.4" x14ac:dyDescent="0.3">
      <c r="A4794" s="8">
        <v>80688652</v>
      </c>
      <c r="B4794" s="11">
        <v>44810</v>
      </c>
      <c r="C4794" s="13" t="s">
        <v>5898</v>
      </c>
      <c r="D4794" s="13" t="s">
        <v>6217</v>
      </c>
      <c r="E4794" s="8">
        <v>30000</v>
      </c>
      <c r="F4794" s="13" t="s">
        <v>70</v>
      </c>
      <c r="G4794" s="14">
        <v>44813</v>
      </c>
      <c r="H4794" s="13" t="s">
        <v>29</v>
      </c>
    </row>
    <row r="4795" spans="1:8" ht="14.4" x14ac:dyDescent="0.3">
      <c r="A4795" s="8">
        <v>80688653</v>
      </c>
      <c r="B4795" s="11">
        <v>44810</v>
      </c>
      <c r="C4795" s="13" t="s">
        <v>5898</v>
      </c>
      <c r="D4795" s="13" t="s">
        <v>6218</v>
      </c>
      <c r="E4795" s="8">
        <v>30000</v>
      </c>
      <c r="F4795" s="13" t="s">
        <v>70</v>
      </c>
      <c r="G4795" s="14">
        <v>44813</v>
      </c>
      <c r="H4795" s="13" t="s">
        <v>29</v>
      </c>
    </row>
    <row r="4796" spans="1:8" ht="14.4" x14ac:dyDescent="0.3">
      <c r="A4796" s="8">
        <v>80688654</v>
      </c>
      <c r="B4796" s="11">
        <v>44810</v>
      </c>
      <c r="C4796" s="13" t="s">
        <v>5898</v>
      </c>
      <c r="D4796" s="13" t="s">
        <v>6219</v>
      </c>
      <c r="E4796" s="8">
        <v>20000</v>
      </c>
      <c r="F4796" s="13" t="s">
        <v>70</v>
      </c>
      <c r="G4796" s="14">
        <v>44813</v>
      </c>
      <c r="H4796" s="13" t="s">
        <v>29</v>
      </c>
    </row>
    <row r="4797" spans="1:8" ht="14.4" x14ac:dyDescent="0.3">
      <c r="A4797" s="8">
        <v>80688655</v>
      </c>
      <c r="B4797" s="11">
        <v>44810</v>
      </c>
      <c r="C4797" s="13" t="s">
        <v>5898</v>
      </c>
      <c r="D4797" s="13" t="s">
        <v>6220</v>
      </c>
      <c r="E4797" s="8">
        <v>30000</v>
      </c>
      <c r="F4797" s="13" t="s">
        <v>70</v>
      </c>
      <c r="G4797" s="14">
        <v>44813</v>
      </c>
      <c r="H4797" s="13" t="s">
        <v>29</v>
      </c>
    </row>
    <row r="4798" spans="1:8" ht="14.4" x14ac:dyDescent="0.3">
      <c r="A4798" s="8">
        <v>80688656</v>
      </c>
      <c r="B4798" s="11">
        <v>44810</v>
      </c>
      <c r="C4798" s="13" t="s">
        <v>5898</v>
      </c>
      <c r="D4798" s="13" t="s">
        <v>6221</v>
      </c>
      <c r="E4798" s="8">
        <v>30000</v>
      </c>
      <c r="F4798" s="13" t="s">
        <v>70</v>
      </c>
      <c r="G4798" s="14">
        <v>44813</v>
      </c>
      <c r="H4798" s="13" t="s">
        <v>29</v>
      </c>
    </row>
    <row r="4799" spans="1:8" ht="14.4" x14ac:dyDescent="0.3">
      <c r="A4799" s="8">
        <v>80688657</v>
      </c>
      <c r="B4799" s="11">
        <v>44810</v>
      </c>
      <c r="C4799" s="13" t="s">
        <v>5898</v>
      </c>
      <c r="D4799" s="13" t="s">
        <v>6222</v>
      </c>
      <c r="E4799" s="8">
        <v>40000</v>
      </c>
      <c r="F4799" s="13" t="s">
        <v>70</v>
      </c>
      <c r="G4799" s="14">
        <v>44813</v>
      </c>
      <c r="H4799" s="13" t="s">
        <v>29</v>
      </c>
    </row>
    <row r="4800" spans="1:8" ht="14.4" x14ac:dyDescent="0.3">
      <c r="A4800" s="8">
        <v>80688658</v>
      </c>
      <c r="B4800" s="11">
        <v>44810</v>
      </c>
      <c r="C4800" s="13" t="s">
        <v>5898</v>
      </c>
      <c r="D4800" s="13" t="s">
        <v>6223</v>
      </c>
      <c r="E4800" s="8">
        <v>40000</v>
      </c>
      <c r="F4800" s="13" t="s">
        <v>70</v>
      </c>
      <c r="G4800" s="14">
        <v>44813</v>
      </c>
      <c r="H4800" s="13" t="s">
        <v>29</v>
      </c>
    </row>
    <row r="4801" spans="1:8" ht="14.4" x14ac:dyDescent="0.3">
      <c r="A4801" s="8">
        <v>80688659</v>
      </c>
      <c r="B4801" s="11">
        <v>44810</v>
      </c>
      <c r="C4801" s="13" t="s">
        <v>5898</v>
      </c>
      <c r="D4801" s="13" t="s">
        <v>6224</v>
      </c>
      <c r="E4801" s="8">
        <v>40000</v>
      </c>
      <c r="F4801" s="13" t="s">
        <v>70</v>
      </c>
      <c r="G4801" s="14">
        <v>44813</v>
      </c>
      <c r="H4801" s="13" t="s">
        <v>29</v>
      </c>
    </row>
    <row r="4802" spans="1:8" ht="14.4" x14ac:dyDescent="0.3">
      <c r="A4802" s="8">
        <v>80688660</v>
      </c>
      <c r="B4802" s="11">
        <v>44810</v>
      </c>
      <c r="C4802" s="13" t="s">
        <v>5898</v>
      </c>
      <c r="D4802" s="13" t="s">
        <v>6225</v>
      </c>
      <c r="E4802" s="8">
        <v>20000</v>
      </c>
      <c r="F4802" s="13" t="s">
        <v>70</v>
      </c>
      <c r="G4802" s="14">
        <v>44813</v>
      </c>
      <c r="H4802" s="13" t="s">
        <v>29</v>
      </c>
    </row>
    <row r="4803" spans="1:8" ht="14.4" x14ac:dyDescent="0.3">
      <c r="A4803" s="8">
        <v>80688661</v>
      </c>
      <c r="B4803" s="11">
        <v>44810</v>
      </c>
      <c r="C4803" s="13" t="s">
        <v>5898</v>
      </c>
      <c r="D4803" s="13" t="s">
        <v>6226</v>
      </c>
      <c r="E4803" s="8">
        <v>20000</v>
      </c>
      <c r="F4803" s="13" t="s">
        <v>70</v>
      </c>
      <c r="G4803" s="14">
        <v>44813</v>
      </c>
      <c r="H4803" s="13" t="s">
        <v>29</v>
      </c>
    </row>
    <row r="4804" spans="1:8" ht="14.4" x14ac:dyDescent="0.3">
      <c r="A4804" s="8">
        <v>80688662</v>
      </c>
      <c r="B4804" s="11">
        <v>44810</v>
      </c>
      <c r="C4804" s="13" t="s">
        <v>5898</v>
      </c>
      <c r="D4804" s="13" t="s">
        <v>6227</v>
      </c>
      <c r="E4804" s="8">
        <v>20000</v>
      </c>
      <c r="F4804" s="13" t="s">
        <v>70</v>
      </c>
      <c r="G4804" s="14">
        <v>44813</v>
      </c>
      <c r="H4804" s="13" t="s">
        <v>29</v>
      </c>
    </row>
    <row r="4805" spans="1:8" ht="14.4" x14ac:dyDescent="0.3">
      <c r="A4805" s="8">
        <v>80688663</v>
      </c>
      <c r="B4805" s="11">
        <v>44810</v>
      </c>
      <c r="C4805" s="13" t="s">
        <v>5898</v>
      </c>
      <c r="D4805" s="13" t="s">
        <v>6228</v>
      </c>
      <c r="E4805" s="8">
        <v>20000</v>
      </c>
      <c r="F4805" s="13" t="s">
        <v>70</v>
      </c>
      <c r="G4805" s="14">
        <v>44813</v>
      </c>
      <c r="H4805" s="13" t="s">
        <v>29</v>
      </c>
    </row>
    <row r="4806" spans="1:8" ht="14.4" x14ac:dyDescent="0.3">
      <c r="A4806" s="8">
        <v>80688664</v>
      </c>
      <c r="B4806" s="11">
        <v>44810</v>
      </c>
      <c r="C4806" s="13" t="s">
        <v>5898</v>
      </c>
      <c r="D4806" s="13" t="s">
        <v>6229</v>
      </c>
      <c r="E4806" s="8">
        <v>30000</v>
      </c>
      <c r="F4806" s="13" t="s">
        <v>70</v>
      </c>
      <c r="G4806" s="14">
        <v>44813</v>
      </c>
      <c r="H4806" s="13" t="s">
        <v>29</v>
      </c>
    </row>
    <row r="4807" spans="1:8" ht="14.4" x14ac:dyDescent="0.3">
      <c r="A4807" s="8">
        <v>80688665</v>
      </c>
      <c r="B4807" s="11">
        <v>44811</v>
      </c>
      <c r="C4807" s="13" t="s">
        <v>1420</v>
      </c>
      <c r="D4807" s="13" t="s">
        <v>6230</v>
      </c>
      <c r="E4807" s="8">
        <v>61284.57</v>
      </c>
      <c r="F4807" s="13" t="s">
        <v>70</v>
      </c>
      <c r="G4807" s="14">
        <v>44817</v>
      </c>
      <c r="H4807" s="13" t="s">
        <v>29</v>
      </c>
    </row>
    <row r="4808" spans="1:8" ht="14.4" x14ac:dyDescent="0.3">
      <c r="A4808" s="8">
        <v>80688666</v>
      </c>
      <c r="B4808" s="11">
        <v>44812</v>
      </c>
      <c r="C4808" s="13" t="s">
        <v>184</v>
      </c>
      <c r="D4808" s="13" t="s">
        <v>6231</v>
      </c>
      <c r="E4808" s="8">
        <v>36973.980000000003</v>
      </c>
      <c r="F4808" s="13" t="s">
        <v>70</v>
      </c>
      <c r="G4808" s="14">
        <v>44812</v>
      </c>
      <c r="H4808" s="13" t="s">
        <v>29</v>
      </c>
    </row>
    <row r="4809" spans="1:8" ht="14.4" x14ac:dyDescent="0.3">
      <c r="A4809" s="8">
        <v>80688667</v>
      </c>
      <c r="B4809" s="11">
        <v>44812</v>
      </c>
      <c r="C4809" s="13" t="s">
        <v>184</v>
      </c>
      <c r="D4809" s="13" t="s">
        <v>6232</v>
      </c>
      <c r="E4809" s="8">
        <v>28300</v>
      </c>
      <c r="F4809" s="13" t="s">
        <v>70</v>
      </c>
      <c r="G4809" s="14">
        <v>44812</v>
      </c>
      <c r="H4809" s="13" t="s">
        <v>29</v>
      </c>
    </row>
    <row r="4810" spans="1:8" ht="14.4" x14ac:dyDescent="0.3">
      <c r="A4810" s="8">
        <v>80688668</v>
      </c>
      <c r="B4810" s="11">
        <v>44812</v>
      </c>
      <c r="C4810" s="13" t="s">
        <v>5898</v>
      </c>
      <c r="D4810" s="13" t="s">
        <v>6233</v>
      </c>
      <c r="E4810" s="8">
        <v>30000</v>
      </c>
      <c r="F4810" s="13" t="s">
        <v>70</v>
      </c>
      <c r="G4810" s="14">
        <v>44819</v>
      </c>
      <c r="H4810" s="13" t="s">
        <v>29</v>
      </c>
    </row>
    <row r="4811" spans="1:8" ht="14.4" x14ac:dyDescent="0.3">
      <c r="A4811" s="8">
        <v>80688669</v>
      </c>
      <c r="B4811" s="11">
        <v>44812</v>
      </c>
      <c r="C4811" s="13" t="s">
        <v>5898</v>
      </c>
      <c r="D4811" s="13" t="s">
        <v>6234</v>
      </c>
      <c r="E4811" s="8">
        <v>20000</v>
      </c>
      <c r="F4811" s="13" t="s">
        <v>70</v>
      </c>
      <c r="G4811" s="14">
        <v>44819</v>
      </c>
      <c r="H4811" s="13" t="s">
        <v>29</v>
      </c>
    </row>
    <row r="4812" spans="1:8" ht="14.4" x14ac:dyDescent="0.3">
      <c r="A4812" s="8">
        <v>80688670</v>
      </c>
      <c r="B4812" s="11">
        <v>44812</v>
      </c>
      <c r="C4812" s="13" t="s">
        <v>5898</v>
      </c>
      <c r="D4812" s="13" t="s">
        <v>6235</v>
      </c>
      <c r="E4812" s="8">
        <v>20000</v>
      </c>
      <c r="F4812" s="13" t="s">
        <v>70</v>
      </c>
      <c r="G4812" s="14">
        <v>44819</v>
      </c>
      <c r="H4812" s="13" t="s">
        <v>29</v>
      </c>
    </row>
    <row r="4813" spans="1:8" ht="14.4" x14ac:dyDescent="0.3">
      <c r="A4813" s="8">
        <v>80688671</v>
      </c>
      <c r="B4813" s="11">
        <v>44812</v>
      </c>
      <c r="C4813" s="13" t="s">
        <v>5898</v>
      </c>
      <c r="D4813" s="13" t="s">
        <v>6236</v>
      </c>
      <c r="E4813" s="8">
        <v>20000</v>
      </c>
      <c r="F4813" s="13" t="s">
        <v>70</v>
      </c>
      <c r="G4813" s="14">
        <v>44819</v>
      </c>
      <c r="H4813" s="13" t="s">
        <v>29</v>
      </c>
    </row>
    <row r="4814" spans="1:8" ht="14.4" x14ac:dyDescent="0.3">
      <c r="A4814" s="8">
        <v>80688672</v>
      </c>
      <c r="B4814" s="11">
        <v>44812</v>
      </c>
      <c r="C4814" s="13" t="s">
        <v>5898</v>
      </c>
      <c r="D4814" s="13" t="s">
        <v>6237</v>
      </c>
      <c r="E4814" s="8">
        <v>30000</v>
      </c>
      <c r="F4814" s="13" t="s">
        <v>70</v>
      </c>
      <c r="G4814" s="14">
        <v>44819</v>
      </c>
      <c r="H4814" s="13" t="s">
        <v>29</v>
      </c>
    </row>
    <row r="4815" spans="1:8" ht="14.4" x14ac:dyDescent="0.3">
      <c r="A4815" s="8">
        <v>80688673</v>
      </c>
      <c r="B4815" s="11">
        <v>44812</v>
      </c>
      <c r="C4815" s="13" t="s">
        <v>5898</v>
      </c>
      <c r="D4815" s="13" t="s">
        <v>6238</v>
      </c>
      <c r="E4815" s="8">
        <v>10000</v>
      </c>
      <c r="F4815" s="13" t="s">
        <v>70</v>
      </c>
      <c r="G4815" s="14">
        <v>44819</v>
      </c>
      <c r="H4815" s="13" t="s">
        <v>29</v>
      </c>
    </row>
    <row r="4816" spans="1:8" ht="14.4" x14ac:dyDescent="0.3">
      <c r="A4816" s="8">
        <v>80688674</v>
      </c>
      <c r="B4816" s="11">
        <v>44812</v>
      </c>
      <c r="C4816" s="13" t="s">
        <v>5898</v>
      </c>
      <c r="D4816" s="13" t="s">
        <v>6239</v>
      </c>
      <c r="E4816" s="8">
        <v>20000</v>
      </c>
      <c r="F4816" s="13" t="s">
        <v>70</v>
      </c>
      <c r="G4816" s="14">
        <v>44819</v>
      </c>
      <c r="H4816" s="13" t="s">
        <v>29</v>
      </c>
    </row>
    <row r="4817" spans="1:8" ht="14.4" x14ac:dyDescent="0.3">
      <c r="A4817" s="8">
        <v>80688675</v>
      </c>
      <c r="B4817" s="11">
        <v>44812</v>
      </c>
      <c r="C4817" s="13" t="s">
        <v>5898</v>
      </c>
      <c r="D4817" s="13" t="s">
        <v>6240</v>
      </c>
      <c r="E4817" s="8">
        <v>20000</v>
      </c>
      <c r="F4817" s="13" t="s">
        <v>70</v>
      </c>
      <c r="G4817" s="14">
        <v>44819</v>
      </c>
      <c r="H4817" s="13" t="s">
        <v>29</v>
      </c>
    </row>
    <row r="4818" spans="1:8" ht="14.4" x14ac:dyDescent="0.3">
      <c r="A4818" s="8">
        <v>80688676</v>
      </c>
      <c r="B4818" s="11">
        <v>44812</v>
      </c>
      <c r="C4818" s="13" t="s">
        <v>5898</v>
      </c>
      <c r="D4818" s="13" t="s">
        <v>6241</v>
      </c>
      <c r="E4818" s="8">
        <v>20000</v>
      </c>
      <c r="F4818" s="13" t="s">
        <v>70</v>
      </c>
      <c r="G4818" s="14">
        <v>44819</v>
      </c>
      <c r="H4818" s="13" t="s">
        <v>29</v>
      </c>
    </row>
    <row r="4819" spans="1:8" ht="14.4" x14ac:dyDescent="0.3">
      <c r="A4819" s="8">
        <v>80688677</v>
      </c>
      <c r="B4819" s="11">
        <v>44812</v>
      </c>
      <c r="C4819" s="13" t="s">
        <v>5898</v>
      </c>
      <c r="D4819" s="13" t="s">
        <v>6242</v>
      </c>
      <c r="E4819" s="8">
        <v>10000</v>
      </c>
      <c r="F4819" s="13" t="s">
        <v>70</v>
      </c>
      <c r="G4819" s="14">
        <v>44819</v>
      </c>
      <c r="H4819" s="13" t="s">
        <v>29</v>
      </c>
    </row>
    <row r="4820" spans="1:8" ht="14.4" x14ac:dyDescent="0.3">
      <c r="A4820" s="8">
        <v>80688678</v>
      </c>
      <c r="B4820" s="11">
        <v>44812</v>
      </c>
      <c r="C4820" s="13" t="s">
        <v>5898</v>
      </c>
      <c r="D4820" s="13" t="s">
        <v>6243</v>
      </c>
      <c r="E4820" s="8">
        <v>10000</v>
      </c>
      <c r="F4820" s="13" t="s">
        <v>70</v>
      </c>
      <c r="G4820" s="14">
        <v>44819</v>
      </c>
      <c r="H4820" s="13" t="s">
        <v>29</v>
      </c>
    </row>
    <row r="4821" spans="1:8" ht="14.4" x14ac:dyDescent="0.3">
      <c r="A4821" s="8">
        <v>80688679</v>
      </c>
      <c r="B4821" s="11">
        <v>44812</v>
      </c>
      <c r="C4821" s="13" t="s">
        <v>5898</v>
      </c>
      <c r="D4821" s="13" t="s">
        <v>6244</v>
      </c>
      <c r="E4821" s="8">
        <v>10000</v>
      </c>
      <c r="F4821" s="13" t="s">
        <v>70</v>
      </c>
      <c r="G4821" s="14">
        <v>44819</v>
      </c>
      <c r="H4821" s="13" t="s">
        <v>29</v>
      </c>
    </row>
    <row r="4822" spans="1:8" ht="14.4" x14ac:dyDescent="0.3">
      <c r="A4822" s="8">
        <v>80688680</v>
      </c>
      <c r="B4822" s="11">
        <v>44812</v>
      </c>
      <c r="C4822" s="13" t="s">
        <v>5898</v>
      </c>
      <c r="D4822" s="13" t="s">
        <v>6245</v>
      </c>
      <c r="E4822" s="8">
        <v>10000</v>
      </c>
      <c r="F4822" s="13" t="s">
        <v>70</v>
      </c>
      <c r="G4822" s="14">
        <v>44819</v>
      </c>
      <c r="H4822" s="13" t="s">
        <v>29</v>
      </c>
    </row>
    <row r="4823" spans="1:8" ht="14.4" x14ac:dyDescent="0.3">
      <c r="A4823" s="8">
        <v>80688681</v>
      </c>
      <c r="B4823" s="11">
        <v>44812</v>
      </c>
      <c r="C4823" s="13" t="s">
        <v>5898</v>
      </c>
      <c r="D4823" s="13" t="s">
        <v>6246</v>
      </c>
      <c r="E4823" s="8">
        <v>10000</v>
      </c>
      <c r="F4823" s="13" t="s">
        <v>70</v>
      </c>
      <c r="G4823" s="14">
        <v>44819</v>
      </c>
      <c r="H4823" s="13" t="s">
        <v>29</v>
      </c>
    </row>
    <row r="4824" spans="1:8" ht="14.4" x14ac:dyDescent="0.3">
      <c r="A4824" s="8">
        <v>80688682</v>
      </c>
      <c r="B4824" s="11">
        <v>44812</v>
      </c>
      <c r="C4824" s="13" t="s">
        <v>5898</v>
      </c>
      <c r="D4824" s="13" t="s">
        <v>6247</v>
      </c>
      <c r="E4824" s="8">
        <v>10000</v>
      </c>
      <c r="F4824" s="13" t="s">
        <v>70</v>
      </c>
      <c r="G4824" s="14">
        <v>44819</v>
      </c>
      <c r="H4824" s="13" t="s">
        <v>29</v>
      </c>
    </row>
    <row r="4825" spans="1:8" ht="14.4" x14ac:dyDescent="0.3">
      <c r="A4825" s="8">
        <v>80688683</v>
      </c>
      <c r="B4825" s="11">
        <v>44812</v>
      </c>
      <c r="C4825" s="13" t="s">
        <v>5898</v>
      </c>
      <c r="D4825" s="13" t="s">
        <v>6248</v>
      </c>
      <c r="E4825" s="8">
        <v>10000</v>
      </c>
      <c r="F4825" s="13" t="s">
        <v>70</v>
      </c>
      <c r="G4825" s="14">
        <v>44819</v>
      </c>
      <c r="H4825" s="13" t="s">
        <v>29</v>
      </c>
    </row>
    <row r="4826" spans="1:8" ht="14.4" x14ac:dyDescent="0.3">
      <c r="A4826" s="8">
        <v>80688684</v>
      </c>
      <c r="B4826" s="11">
        <v>44812</v>
      </c>
      <c r="C4826" s="13" t="s">
        <v>5898</v>
      </c>
      <c r="D4826" s="13" t="s">
        <v>6249</v>
      </c>
      <c r="E4826" s="8">
        <v>10000</v>
      </c>
      <c r="F4826" s="13" t="s">
        <v>70</v>
      </c>
      <c r="G4826" s="14">
        <v>44819</v>
      </c>
      <c r="H4826" s="13" t="s">
        <v>29</v>
      </c>
    </row>
    <row r="4827" spans="1:8" ht="14.4" x14ac:dyDescent="0.3">
      <c r="A4827" s="8">
        <v>80688685</v>
      </c>
      <c r="B4827" s="11">
        <v>44812</v>
      </c>
      <c r="C4827" s="13" t="s">
        <v>5898</v>
      </c>
      <c r="D4827" s="13" t="s">
        <v>6250</v>
      </c>
      <c r="E4827" s="8">
        <v>10000</v>
      </c>
      <c r="F4827" s="13" t="s">
        <v>70</v>
      </c>
      <c r="G4827" s="14">
        <v>44819</v>
      </c>
      <c r="H4827" s="13" t="s">
        <v>29</v>
      </c>
    </row>
    <row r="4828" spans="1:8" ht="14.4" x14ac:dyDescent="0.3">
      <c r="A4828" s="8">
        <v>80688686</v>
      </c>
      <c r="B4828" s="11">
        <v>44812</v>
      </c>
      <c r="C4828" s="13" t="s">
        <v>5898</v>
      </c>
      <c r="D4828" s="13" t="s">
        <v>6251</v>
      </c>
      <c r="E4828" s="8">
        <v>10000</v>
      </c>
      <c r="F4828" s="13" t="s">
        <v>70</v>
      </c>
      <c r="G4828" s="14">
        <v>44819</v>
      </c>
      <c r="H4828" s="13" t="s">
        <v>29</v>
      </c>
    </row>
    <row r="4829" spans="1:8" ht="14.4" x14ac:dyDescent="0.3">
      <c r="A4829" s="8">
        <v>80688687</v>
      </c>
      <c r="B4829" s="11">
        <v>44812</v>
      </c>
      <c r="C4829" s="13" t="s">
        <v>5898</v>
      </c>
      <c r="D4829" s="13" t="s">
        <v>6252</v>
      </c>
      <c r="E4829" s="8">
        <v>20000</v>
      </c>
      <c r="F4829" s="13" t="s">
        <v>70</v>
      </c>
      <c r="G4829" s="14">
        <v>44819</v>
      </c>
      <c r="H4829" s="13" t="s">
        <v>29</v>
      </c>
    </row>
    <row r="4830" spans="1:8" ht="14.4" x14ac:dyDescent="0.3">
      <c r="A4830" s="8">
        <v>80688688</v>
      </c>
      <c r="B4830" s="11">
        <v>44812</v>
      </c>
      <c r="C4830" s="13" t="s">
        <v>5898</v>
      </c>
      <c r="D4830" s="13" t="s">
        <v>6253</v>
      </c>
      <c r="E4830" s="8">
        <v>20000</v>
      </c>
      <c r="F4830" s="13" t="s">
        <v>70</v>
      </c>
      <c r="G4830" s="14">
        <v>44819</v>
      </c>
      <c r="H4830" s="13" t="s">
        <v>29</v>
      </c>
    </row>
    <row r="4831" spans="1:8" ht="14.4" x14ac:dyDescent="0.3">
      <c r="A4831" s="8">
        <v>80688689</v>
      </c>
      <c r="B4831" s="11">
        <v>44812</v>
      </c>
      <c r="C4831" s="13" t="s">
        <v>5898</v>
      </c>
      <c r="D4831" s="13" t="s">
        <v>6119</v>
      </c>
      <c r="E4831" s="8">
        <v>10000</v>
      </c>
      <c r="F4831" s="13" t="s">
        <v>70</v>
      </c>
      <c r="G4831" s="14">
        <v>44819</v>
      </c>
      <c r="H4831" s="13" t="s">
        <v>29</v>
      </c>
    </row>
    <row r="4832" spans="1:8" ht="14.4" x14ac:dyDescent="0.3">
      <c r="A4832" s="8">
        <v>80688690</v>
      </c>
      <c r="B4832" s="11">
        <v>44812</v>
      </c>
      <c r="C4832" s="13" t="s">
        <v>5898</v>
      </c>
      <c r="D4832" s="13" t="s">
        <v>6254</v>
      </c>
      <c r="E4832" s="8">
        <v>20000</v>
      </c>
      <c r="F4832" s="13" t="s">
        <v>70</v>
      </c>
      <c r="G4832" s="14">
        <v>44819</v>
      </c>
      <c r="H4832" s="13" t="s">
        <v>29</v>
      </c>
    </row>
    <row r="4833" spans="1:8" ht="14.4" x14ac:dyDescent="0.3">
      <c r="A4833" s="8">
        <v>80688691</v>
      </c>
      <c r="B4833" s="11">
        <v>44812</v>
      </c>
      <c r="C4833" s="13" t="s">
        <v>5898</v>
      </c>
      <c r="D4833" s="13" t="s">
        <v>6255</v>
      </c>
      <c r="E4833" s="8">
        <v>20000</v>
      </c>
      <c r="F4833" s="13" t="s">
        <v>70</v>
      </c>
      <c r="G4833" s="14">
        <v>44819</v>
      </c>
      <c r="H4833" s="13" t="s">
        <v>29</v>
      </c>
    </row>
    <row r="4834" spans="1:8" ht="14.4" x14ac:dyDescent="0.3">
      <c r="A4834" s="8">
        <v>80688692</v>
      </c>
      <c r="B4834" s="11">
        <v>44812</v>
      </c>
      <c r="C4834" s="13" t="s">
        <v>5898</v>
      </c>
      <c r="D4834" s="13" t="s">
        <v>6256</v>
      </c>
      <c r="E4834" s="8">
        <v>20000</v>
      </c>
      <c r="F4834" s="13" t="s">
        <v>70</v>
      </c>
      <c r="G4834" s="14">
        <v>44819</v>
      </c>
      <c r="H4834" s="13" t="s">
        <v>29</v>
      </c>
    </row>
    <row r="4835" spans="1:8" ht="14.4" x14ac:dyDescent="0.3">
      <c r="A4835" s="8">
        <v>80688693</v>
      </c>
      <c r="B4835" s="11">
        <v>44812</v>
      </c>
      <c r="C4835" s="13" t="s">
        <v>5898</v>
      </c>
      <c r="D4835" s="13" t="s">
        <v>6257</v>
      </c>
      <c r="E4835" s="8">
        <v>20000</v>
      </c>
      <c r="F4835" s="13" t="s">
        <v>70</v>
      </c>
      <c r="G4835" s="14">
        <v>44819</v>
      </c>
      <c r="H4835" s="13" t="s">
        <v>29</v>
      </c>
    </row>
    <row r="4836" spans="1:8" ht="14.4" x14ac:dyDescent="0.3">
      <c r="A4836" s="8">
        <v>80688694</v>
      </c>
      <c r="B4836" s="11">
        <v>44812</v>
      </c>
      <c r="C4836" s="13" t="s">
        <v>5898</v>
      </c>
      <c r="D4836" s="13" t="s">
        <v>6258</v>
      </c>
      <c r="E4836" s="8">
        <v>20000</v>
      </c>
      <c r="F4836" s="13" t="s">
        <v>70</v>
      </c>
      <c r="G4836" s="14">
        <v>44819</v>
      </c>
      <c r="H4836" s="13" t="s">
        <v>29</v>
      </c>
    </row>
    <row r="4837" spans="1:8" ht="14.4" x14ac:dyDescent="0.3">
      <c r="A4837" s="8">
        <v>80688695</v>
      </c>
      <c r="B4837" s="11">
        <v>44812</v>
      </c>
      <c r="C4837" s="13" t="s">
        <v>5898</v>
      </c>
      <c r="D4837" s="13" t="s">
        <v>6259</v>
      </c>
      <c r="E4837" s="8">
        <v>20000</v>
      </c>
      <c r="F4837" s="13" t="s">
        <v>70</v>
      </c>
      <c r="G4837" s="14">
        <v>44819</v>
      </c>
      <c r="H4837" s="13" t="s">
        <v>29</v>
      </c>
    </row>
    <row r="4838" spans="1:8" ht="14.4" x14ac:dyDescent="0.3">
      <c r="A4838" s="8">
        <v>80688696</v>
      </c>
      <c r="B4838" s="11">
        <v>44812</v>
      </c>
      <c r="C4838" s="13" t="s">
        <v>5898</v>
      </c>
      <c r="D4838" s="13" t="s">
        <v>6260</v>
      </c>
      <c r="E4838" s="8">
        <v>20000</v>
      </c>
      <c r="F4838" s="13" t="s">
        <v>70</v>
      </c>
      <c r="G4838" s="14">
        <v>44819</v>
      </c>
      <c r="H4838" s="13" t="s">
        <v>29</v>
      </c>
    </row>
    <row r="4839" spans="1:8" ht="14.4" x14ac:dyDescent="0.3">
      <c r="A4839" s="8">
        <v>80688697</v>
      </c>
      <c r="B4839" s="11">
        <v>44812</v>
      </c>
      <c r="C4839" s="13" t="s">
        <v>5898</v>
      </c>
      <c r="D4839" s="13" t="s">
        <v>6261</v>
      </c>
      <c r="E4839" s="8">
        <v>20000</v>
      </c>
      <c r="F4839" s="13" t="s">
        <v>70</v>
      </c>
      <c r="G4839" s="14">
        <v>44819</v>
      </c>
      <c r="H4839" s="13" t="s">
        <v>29</v>
      </c>
    </row>
    <row r="4840" spans="1:8" ht="14.4" x14ac:dyDescent="0.3">
      <c r="A4840" s="8">
        <v>80688698</v>
      </c>
      <c r="B4840" s="11">
        <v>44812</v>
      </c>
      <c r="C4840" s="13" t="s">
        <v>5898</v>
      </c>
      <c r="D4840" s="13" t="s">
        <v>6262</v>
      </c>
      <c r="E4840" s="8">
        <v>10000</v>
      </c>
      <c r="F4840" s="13" t="s">
        <v>70</v>
      </c>
      <c r="G4840" s="14">
        <v>44819</v>
      </c>
      <c r="H4840" s="13" t="s">
        <v>29</v>
      </c>
    </row>
    <row r="4841" spans="1:8" ht="14.4" x14ac:dyDescent="0.3">
      <c r="A4841" s="8">
        <v>80688699</v>
      </c>
      <c r="B4841" s="11">
        <v>44812</v>
      </c>
      <c r="C4841" s="13" t="s">
        <v>5898</v>
      </c>
      <c r="D4841" s="13" t="s">
        <v>6263</v>
      </c>
      <c r="E4841" s="8">
        <v>10000</v>
      </c>
      <c r="F4841" s="13" t="s">
        <v>70</v>
      </c>
      <c r="G4841" s="14">
        <v>44819</v>
      </c>
      <c r="H4841" s="13" t="s">
        <v>29</v>
      </c>
    </row>
    <row r="4842" spans="1:8" ht="14.4" x14ac:dyDescent="0.3">
      <c r="A4842" s="8">
        <v>80688700</v>
      </c>
      <c r="B4842" s="11">
        <v>44812</v>
      </c>
      <c r="C4842" s="13" t="s">
        <v>5898</v>
      </c>
      <c r="D4842" s="13" t="s">
        <v>6264</v>
      </c>
      <c r="E4842" s="8">
        <v>10000</v>
      </c>
      <c r="F4842" s="13" t="s">
        <v>70</v>
      </c>
      <c r="G4842" s="14">
        <v>44819</v>
      </c>
      <c r="H4842" s="13" t="s">
        <v>29</v>
      </c>
    </row>
    <row r="4843" spans="1:8" ht="14.4" x14ac:dyDescent="0.3">
      <c r="A4843" s="8">
        <v>80688701</v>
      </c>
      <c r="B4843" s="11">
        <v>44812</v>
      </c>
      <c r="C4843" s="13" t="s">
        <v>5898</v>
      </c>
      <c r="D4843" s="13" t="s">
        <v>6265</v>
      </c>
      <c r="E4843" s="8">
        <v>30000</v>
      </c>
      <c r="F4843" s="13" t="s">
        <v>70</v>
      </c>
      <c r="G4843" s="14">
        <v>44819</v>
      </c>
      <c r="H4843" s="13" t="s">
        <v>29</v>
      </c>
    </row>
    <row r="4844" spans="1:8" ht="14.4" x14ac:dyDescent="0.3">
      <c r="A4844" s="8">
        <v>80688702</v>
      </c>
      <c r="B4844" s="11">
        <v>44812</v>
      </c>
      <c r="C4844" s="13" t="s">
        <v>5898</v>
      </c>
      <c r="D4844" s="13" t="s">
        <v>6266</v>
      </c>
      <c r="E4844" s="8">
        <v>30000</v>
      </c>
      <c r="F4844" s="13" t="s">
        <v>70</v>
      </c>
      <c r="G4844" s="14">
        <v>44819</v>
      </c>
      <c r="H4844" s="13" t="s">
        <v>29</v>
      </c>
    </row>
    <row r="4845" spans="1:8" ht="14.4" x14ac:dyDescent="0.3">
      <c r="A4845" s="8">
        <v>80688704</v>
      </c>
      <c r="B4845" s="11">
        <v>44812</v>
      </c>
      <c r="C4845" s="13" t="s">
        <v>5898</v>
      </c>
      <c r="D4845" s="13" t="s">
        <v>6267</v>
      </c>
      <c r="E4845" s="8">
        <v>20000</v>
      </c>
      <c r="F4845" s="13" t="s">
        <v>70</v>
      </c>
      <c r="G4845" s="14">
        <v>44819</v>
      </c>
      <c r="H4845" s="13" t="s">
        <v>29</v>
      </c>
    </row>
    <row r="4846" spans="1:8" ht="14.4" x14ac:dyDescent="0.3">
      <c r="A4846" s="8">
        <v>80688705</v>
      </c>
      <c r="B4846" s="11">
        <v>44812</v>
      </c>
      <c r="C4846" s="13" t="s">
        <v>5898</v>
      </c>
      <c r="D4846" s="13" t="s">
        <v>6268</v>
      </c>
      <c r="E4846" s="8">
        <v>30000</v>
      </c>
      <c r="F4846" s="13" t="s">
        <v>70</v>
      </c>
      <c r="G4846" s="14">
        <v>44819</v>
      </c>
      <c r="H4846" s="13" t="s">
        <v>29</v>
      </c>
    </row>
    <row r="4847" spans="1:8" ht="14.4" x14ac:dyDescent="0.3">
      <c r="A4847" s="8">
        <v>80688706</v>
      </c>
      <c r="B4847" s="11">
        <v>44812</v>
      </c>
      <c r="C4847" s="13" t="s">
        <v>5898</v>
      </c>
      <c r="D4847" s="13" t="s">
        <v>6269</v>
      </c>
      <c r="E4847" s="8">
        <v>20000</v>
      </c>
      <c r="F4847" s="13" t="s">
        <v>70</v>
      </c>
      <c r="G4847" s="14">
        <v>44819</v>
      </c>
      <c r="H4847" s="13" t="s">
        <v>29</v>
      </c>
    </row>
    <row r="4848" spans="1:8" ht="14.4" x14ac:dyDescent="0.3">
      <c r="A4848" s="8">
        <v>80688707</v>
      </c>
      <c r="B4848" s="11">
        <v>44812</v>
      </c>
      <c r="C4848" s="13" t="s">
        <v>5898</v>
      </c>
      <c r="D4848" s="13" t="s">
        <v>6270</v>
      </c>
      <c r="E4848" s="8">
        <v>20000</v>
      </c>
      <c r="F4848" s="13" t="s">
        <v>70</v>
      </c>
      <c r="G4848" s="14">
        <v>44819</v>
      </c>
      <c r="H4848" s="13" t="s">
        <v>29</v>
      </c>
    </row>
    <row r="4849" spans="1:8" ht="14.4" x14ac:dyDescent="0.3">
      <c r="A4849" s="8">
        <v>80688708</v>
      </c>
      <c r="B4849" s="11">
        <v>44812</v>
      </c>
      <c r="C4849" s="13" t="s">
        <v>5898</v>
      </c>
      <c r="D4849" s="13" t="s">
        <v>6271</v>
      </c>
      <c r="E4849" s="8">
        <v>20000</v>
      </c>
      <c r="F4849" s="13" t="s">
        <v>70</v>
      </c>
      <c r="G4849" s="14">
        <v>44819</v>
      </c>
      <c r="H4849" s="13" t="s">
        <v>29</v>
      </c>
    </row>
    <row r="4850" spans="1:8" ht="14.4" x14ac:dyDescent="0.3">
      <c r="A4850" s="8">
        <v>80688709</v>
      </c>
      <c r="B4850" s="11">
        <v>44818</v>
      </c>
      <c r="C4850" s="13" t="s">
        <v>191</v>
      </c>
      <c r="D4850" s="13" t="s">
        <v>34</v>
      </c>
      <c r="E4850" s="8">
        <v>219982</v>
      </c>
      <c r="F4850" s="13" t="s">
        <v>70</v>
      </c>
      <c r="G4850" s="14">
        <v>44818</v>
      </c>
      <c r="H4850" s="13" t="s">
        <v>29</v>
      </c>
    </row>
    <row r="4851" spans="1:8" ht="14.4" x14ac:dyDescent="0.3">
      <c r="A4851" s="8">
        <v>80688710</v>
      </c>
      <c r="B4851" s="11">
        <v>44819</v>
      </c>
      <c r="C4851" s="13" t="s">
        <v>5898</v>
      </c>
      <c r="D4851" s="13" t="s">
        <v>6272</v>
      </c>
      <c r="E4851" s="8">
        <v>10000</v>
      </c>
      <c r="F4851" s="13" t="s">
        <v>70</v>
      </c>
      <c r="G4851" s="14">
        <v>44820</v>
      </c>
      <c r="H4851" s="13" t="s">
        <v>29</v>
      </c>
    </row>
    <row r="4852" spans="1:8" ht="14.4" x14ac:dyDescent="0.3">
      <c r="A4852" s="8">
        <v>80688711</v>
      </c>
      <c r="B4852" s="11">
        <v>44819</v>
      </c>
      <c r="C4852" s="13" t="s">
        <v>5898</v>
      </c>
      <c r="D4852" s="13" t="s">
        <v>6273</v>
      </c>
      <c r="E4852" s="8">
        <v>10000</v>
      </c>
      <c r="F4852" s="13" t="s">
        <v>70</v>
      </c>
      <c r="G4852" s="14">
        <v>44820</v>
      </c>
      <c r="H4852" s="13" t="s">
        <v>29</v>
      </c>
    </row>
    <row r="4853" spans="1:8" ht="14.4" x14ac:dyDescent="0.3">
      <c r="A4853" s="8">
        <v>80688712</v>
      </c>
      <c r="B4853" s="11">
        <v>44819</v>
      </c>
      <c r="C4853" s="13" t="s">
        <v>5898</v>
      </c>
      <c r="D4853" s="13" t="s">
        <v>6274</v>
      </c>
      <c r="E4853" s="8">
        <v>10000</v>
      </c>
      <c r="F4853" s="13" t="s">
        <v>70</v>
      </c>
      <c r="G4853" s="14">
        <v>44820</v>
      </c>
      <c r="H4853" s="13" t="s">
        <v>29</v>
      </c>
    </row>
    <row r="4854" spans="1:8" ht="14.4" x14ac:dyDescent="0.3">
      <c r="A4854" s="8">
        <v>80688713</v>
      </c>
      <c r="B4854" s="11">
        <v>44819</v>
      </c>
      <c r="C4854" s="13" t="s">
        <v>5898</v>
      </c>
      <c r="D4854" s="13" t="s">
        <v>6275</v>
      </c>
      <c r="E4854" s="8">
        <v>10000</v>
      </c>
      <c r="F4854" s="13" t="s">
        <v>70</v>
      </c>
      <c r="G4854" s="14">
        <v>44820</v>
      </c>
      <c r="H4854" s="13" t="s">
        <v>29</v>
      </c>
    </row>
    <row r="4855" spans="1:8" ht="14.4" x14ac:dyDescent="0.3">
      <c r="A4855" s="8">
        <v>80688714</v>
      </c>
      <c r="B4855" s="11">
        <v>44819</v>
      </c>
      <c r="C4855" s="13" t="s">
        <v>5898</v>
      </c>
      <c r="D4855" s="13" t="s">
        <v>6276</v>
      </c>
      <c r="E4855" s="8">
        <v>20000</v>
      </c>
      <c r="F4855" s="13" t="s">
        <v>70</v>
      </c>
      <c r="G4855" s="14">
        <v>44820</v>
      </c>
      <c r="H4855" s="13" t="s">
        <v>29</v>
      </c>
    </row>
    <row r="4856" spans="1:8" ht="14.4" x14ac:dyDescent="0.3">
      <c r="A4856" s="8">
        <v>80688716</v>
      </c>
      <c r="B4856" s="11">
        <v>44819</v>
      </c>
      <c r="C4856" s="13" t="s">
        <v>5898</v>
      </c>
      <c r="D4856" s="13" t="s">
        <v>6277</v>
      </c>
      <c r="E4856" s="8">
        <v>20000</v>
      </c>
      <c r="F4856" s="13" t="s">
        <v>70</v>
      </c>
      <c r="G4856" s="14">
        <v>44820</v>
      </c>
      <c r="H4856" s="13" t="s">
        <v>29</v>
      </c>
    </row>
    <row r="4857" spans="1:8" ht="14.4" x14ac:dyDescent="0.3">
      <c r="A4857" s="8">
        <v>80688717</v>
      </c>
      <c r="B4857" s="11">
        <v>44819</v>
      </c>
      <c r="C4857" s="13" t="s">
        <v>5898</v>
      </c>
      <c r="D4857" s="13" t="s">
        <v>6278</v>
      </c>
      <c r="E4857" s="8">
        <v>10000</v>
      </c>
      <c r="F4857" s="13" t="s">
        <v>70</v>
      </c>
      <c r="G4857" s="14">
        <v>44820</v>
      </c>
      <c r="H4857" s="13" t="s">
        <v>29</v>
      </c>
    </row>
    <row r="4858" spans="1:8" ht="14.4" x14ac:dyDescent="0.3">
      <c r="A4858" s="8">
        <v>80688718</v>
      </c>
      <c r="B4858" s="11">
        <v>44819</v>
      </c>
      <c r="C4858" s="13" t="s">
        <v>5898</v>
      </c>
      <c r="D4858" s="13" t="s">
        <v>6279</v>
      </c>
      <c r="E4858" s="8">
        <v>20000</v>
      </c>
      <c r="F4858" s="13" t="s">
        <v>70</v>
      </c>
      <c r="G4858" s="14">
        <v>44820</v>
      </c>
      <c r="H4858" s="13" t="s">
        <v>29</v>
      </c>
    </row>
    <row r="4859" spans="1:8" ht="14.4" x14ac:dyDescent="0.3">
      <c r="A4859" s="8">
        <v>80688719</v>
      </c>
      <c r="B4859" s="11">
        <v>44819</v>
      </c>
      <c r="C4859" s="13" t="s">
        <v>5898</v>
      </c>
      <c r="D4859" s="13" t="s">
        <v>6280</v>
      </c>
      <c r="E4859" s="8">
        <v>20000</v>
      </c>
      <c r="F4859" s="13" t="s">
        <v>70</v>
      </c>
      <c r="G4859" s="14">
        <v>44820</v>
      </c>
      <c r="H4859" s="13" t="s">
        <v>29</v>
      </c>
    </row>
    <row r="4860" spans="1:8" ht="14.4" x14ac:dyDescent="0.3">
      <c r="A4860" s="8">
        <v>80688720</v>
      </c>
      <c r="B4860" s="11">
        <v>44819</v>
      </c>
      <c r="C4860" s="13" t="s">
        <v>5898</v>
      </c>
      <c r="D4860" s="13" t="s">
        <v>6281</v>
      </c>
      <c r="E4860" s="8">
        <v>40000</v>
      </c>
      <c r="F4860" s="13" t="s">
        <v>70</v>
      </c>
      <c r="G4860" s="14">
        <v>44820</v>
      </c>
      <c r="H4860" s="13" t="s">
        <v>29</v>
      </c>
    </row>
    <row r="4861" spans="1:8" ht="14.4" x14ac:dyDescent="0.3">
      <c r="A4861" s="8">
        <v>80688721</v>
      </c>
      <c r="B4861" s="11">
        <v>44819</v>
      </c>
      <c r="C4861" s="13" t="s">
        <v>5898</v>
      </c>
      <c r="D4861" s="13" t="s">
        <v>6282</v>
      </c>
      <c r="E4861" s="8">
        <v>40000</v>
      </c>
      <c r="F4861" s="13" t="s">
        <v>70</v>
      </c>
      <c r="G4861" s="14">
        <v>44820</v>
      </c>
      <c r="H4861" s="13" t="s">
        <v>29</v>
      </c>
    </row>
    <row r="4862" spans="1:8" ht="14.4" x14ac:dyDescent="0.3">
      <c r="A4862" s="8">
        <v>80688722</v>
      </c>
      <c r="B4862" s="11">
        <v>44819</v>
      </c>
      <c r="C4862" s="13" t="s">
        <v>5898</v>
      </c>
      <c r="D4862" s="13" t="s">
        <v>6283</v>
      </c>
      <c r="E4862" s="8">
        <v>10000</v>
      </c>
      <c r="F4862" s="13" t="s">
        <v>70</v>
      </c>
      <c r="G4862" s="14">
        <v>44820</v>
      </c>
      <c r="H4862" s="13" t="s">
        <v>29</v>
      </c>
    </row>
    <row r="4863" spans="1:8" ht="14.4" x14ac:dyDescent="0.3">
      <c r="A4863" s="8">
        <v>80688723</v>
      </c>
      <c r="B4863" s="11">
        <v>44819</v>
      </c>
      <c r="C4863" s="13" t="s">
        <v>5898</v>
      </c>
      <c r="D4863" s="13" t="s">
        <v>6284</v>
      </c>
      <c r="E4863" s="8">
        <v>30000</v>
      </c>
      <c r="F4863" s="13" t="s">
        <v>70</v>
      </c>
      <c r="G4863" s="14">
        <v>44820</v>
      </c>
      <c r="H4863" s="13" t="s">
        <v>29</v>
      </c>
    </row>
    <row r="4864" spans="1:8" ht="14.4" x14ac:dyDescent="0.3">
      <c r="A4864" s="8">
        <v>80688724</v>
      </c>
      <c r="B4864" s="11">
        <v>44819</v>
      </c>
      <c r="C4864" s="13" t="s">
        <v>5898</v>
      </c>
      <c r="D4864" s="13" t="s">
        <v>6285</v>
      </c>
      <c r="E4864" s="8">
        <v>20000</v>
      </c>
      <c r="F4864" s="13" t="s">
        <v>70</v>
      </c>
      <c r="G4864" s="14">
        <v>44820</v>
      </c>
      <c r="H4864" s="13" t="s">
        <v>29</v>
      </c>
    </row>
    <row r="4865" spans="1:8" ht="14.4" x14ac:dyDescent="0.3">
      <c r="A4865" s="8">
        <v>80688725</v>
      </c>
      <c r="B4865" s="11">
        <v>44819</v>
      </c>
      <c r="C4865" s="13" t="s">
        <v>5898</v>
      </c>
      <c r="D4865" s="13" t="s">
        <v>6286</v>
      </c>
      <c r="E4865" s="8">
        <v>20000</v>
      </c>
      <c r="F4865" s="13" t="s">
        <v>70</v>
      </c>
      <c r="G4865" s="14">
        <v>44820</v>
      </c>
      <c r="H4865" s="13" t="s">
        <v>29</v>
      </c>
    </row>
    <row r="4866" spans="1:8" ht="14.4" x14ac:dyDescent="0.3">
      <c r="A4866" s="8">
        <v>80688726</v>
      </c>
      <c r="B4866" s="11">
        <v>44819</v>
      </c>
      <c r="C4866" s="13" t="s">
        <v>5898</v>
      </c>
      <c r="D4866" s="13" t="s">
        <v>6287</v>
      </c>
      <c r="E4866" s="8">
        <v>20000</v>
      </c>
      <c r="F4866" s="13" t="s">
        <v>70</v>
      </c>
      <c r="G4866" s="14">
        <v>44820</v>
      </c>
      <c r="H4866" s="13" t="s">
        <v>29</v>
      </c>
    </row>
    <row r="4867" spans="1:8" ht="14.4" x14ac:dyDescent="0.3">
      <c r="A4867" s="8">
        <v>80688727</v>
      </c>
      <c r="B4867" s="11">
        <v>44819</v>
      </c>
      <c r="C4867" s="13" t="s">
        <v>5898</v>
      </c>
      <c r="D4867" s="13" t="s">
        <v>6288</v>
      </c>
      <c r="E4867" s="8">
        <v>10000</v>
      </c>
      <c r="F4867" s="13" t="s">
        <v>70</v>
      </c>
      <c r="G4867" s="14">
        <v>44820</v>
      </c>
      <c r="H4867" s="13" t="s">
        <v>29</v>
      </c>
    </row>
    <row r="4868" spans="1:8" ht="14.4" x14ac:dyDescent="0.3">
      <c r="A4868" s="8">
        <v>80688728</v>
      </c>
      <c r="B4868" s="11">
        <v>44819</v>
      </c>
      <c r="C4868" s="13" t="s">
        <v>5898</v>
      </c>
      <c r="D4868" s="13" t="s">
        <v>6289</v>
      </c>
      <c r="E4868" s="8">
        <v>10000</v>
      </c>
      <c r="F4868" s="13" t="s">
        <v>70</v>
      </c>
      <c r="G4868" s="14">
        <v>44820</v>
      </c>
      <c r="H4868" s="13" t="s">
        <v>29</v>
      </c>
    </row>
    <row r="4869" spans="1:8" ht="14.4" x14ac:dyDescent="0.3">
      <c r="A4869" s="8">
        <v>80688729</v>
      </c>
      <c r="B4869" s="11">
        <v>44819</v>
      </c>
      <c r="C4869" s="13" t="s">
        <v>5898</v>
      </c>
      <c r="D4869" s="13" t="s">
        <v>6290</v>
      </c>
      <c r="E4869" s="8">
        <v>40000</v>
      </c>
      <c r="F4869" s="13" t="s">
        <v>70</v>
      </c>
      <c r="G4869" s="14">
        <v>44820</v>
      </c>
      <c r="H4869" s="13" t="s">
        <v>29</v>
      </c>
    </row>
    <row r="4870" spans="1:8" ht="14.4" x14ac:dyDescent="0.3">
      <c r="A4870" s="8">
        <v>80688730</v>
      </c>
      <c r="B4870" s="11">
        <v>44819</v>
      </c>
      <c r="C4870" s="13" t="s">
        <v>5898</v>
      </c>
      <c r="D4870" s="13" t="s">
        <v>6291</v>
      </c>
      <c r="E4870" s="8">
        <v>20000</v>
      </c>
      <c r="F4870" s="13" t="s">
        <v>70</v>
      </c>
      <c r="G4870" s="14">
        <v>44820</v>
      </c>
      <c r="H4870" s="13" t="s">
        <v>29</v>
      </c>
    </row>
    <row r="4871" spans="1:8" ht="14.4" x14ac:dyDescent="0.3">
      <c r="A4871" s="8">
        <v>80688731</v>
      </c>
      <c r="B4871" s="11">
        <v>44819</v>
      </c>
      <c r="C4871" s="13" t="s">
        <v>5898</v>
      </c>
      <c r="D4871" s="13" t="s">
        <v>6292</v>
      </c>
      <c r="E4871" s="8">
        <v>20000</v>
      </c>
      <c r="F4871" s="13" t="s">
        <v>70</v>
      </c>
      <c r="G4871" s="14">
        <v>44820</v>
      </c>
      <c r="H4871" s="13" t="s">
        <v>29</v>
      </c>
    </row>
    <row r="4872" spans="1:8" ht="14.4" x14ac:dyDescent="0.3">
      <c r="A4872" s="8">
        <v>80688732</v>
      </c>
      <c r="B4872" s="11">
        <v>44819</v>
      </c>
      <c r="C4872" s="13" t="s">
        <v>5898</v>
      </c>
      <c r="D4872" s="13" t="s">
        <v>6293</v>
      </c>
      <c r="E4872" s="8">
        <v>10000</v>
      </c>
      <c r="F4872" s="13" t="s">
        <v>70</v>
      </c>
      <c r="G4872" s="14">
        <v>44820</v>
      </c>
      <c r="H4872" s="13" t="s">
        <v>29</v>
      </c>
    </row>
    <row r="4873" spans="1:8" ht="14.4" x14ac:dyDescent="0.3">
      <c r="A4873" s="8">
        <v>80688733</v>
      </c>
      <c r="B4873" s="11">
        <v>44819</v>
      </c>
      <c r="C4873" s="13" t="s">
        <v>5898</v>
      </c>
      <c r="D4873" s="13" t="s">
        <v>6294</v>
      </c>
      <c r="E4873" s="8">
        <v>20000</v>
      </c>
      <c r="F4873" s="13" t="s">
        <v>70</v>
      </c>
      <c r="G4873" s="14">
        <v>44820</v>
      </c>
      <c r="H4873" s="13" t="s">
        <v>29</v>
      </c>
    </row>
    <row r="4874" spans="1:8" ht="14.4" x14ac:dyDescent="0.3">
      <c r="A4874" s="8">
        <v>80688734</v>
      </c>
      <c r="B4874" s="11">
        <v>44819</v>
      </c>
      <c r="C4874" s="13" t="s">
        <v>5898</v>
      </c>
      <c r="D4874" s="13" t="s">
        <v>6295</v>
      </c>
      <c r="E4874" s="8">
        <v>20000</v>
      </c>
      <c r="F4874" s="13" t="s">
        <v>70</v>
      </c>
      <c r="G4874" s="14">
        <v>44820</v>
      </c>
      <c r="H4874" s="13" t="s">
        <v>29</v>
      </c>
    </row>
    <row r="4875" spans="1:8" ht="14.4" x14ac:dyDescent="0.3">
      <c r="A4875" s="8">
        <v>80688735</v>
      </c>
      <c r="B4875" s="11">
        <v>44819</v>
      </c>
      <c r="C4875" s="13" t="s">
        <v>5898</v>
      </c>
      <c r="D4875" s="13" t="s">
        <v>6296</v>
      </c>
      <c r="E4875" s="8">
        <v>20000</v>
      </c>
      <c r="F4875" s="13" t="s">
        <v>70</v>
      </c>
      <c r="G4875" s="14">
        <v>44820</v>
      </c>
      <c r="H4875" s="13" t="s">
        <v>29</v>
      </c>
    </row>
    <row r="4876" spans="1:8" ht="14.4" x14ac:dyDescent="0.3">
      <c r="A4876" s="8">
        <v>80688736</v>
      </c>
      <c r="B4876" s="11">
        <v>44819</v>
      </c>
      <c r="C4876" s="13" t="s">
        <v>5898</v>
      </c>
      <c r="D4876" s="13" t="s">
        <v>6297</v>
      </c>
      <c r="E4876" s="8">
        <v>20000</v>
      </c>
      <c r="F4876" s="13" t="s">
        <v>70</v>
      </c>
      <c r="G4876" s="14">
        <v>44820</v>
      </c>
      <c r="H4876" s="13" t="s">
        <v>29</v>
      </c>
    </row>
    <row r="4877" spans="1:8" ht="14.4" x14ac:dyDescent="0.3">
      <c r="A4877" s="8">
        <v>80688737</v>
      </c>
      <c r="B4877" s="11">
        <v>44819</v>
      </c>
      <c r="C4877" s="13" t="s">
        <v>5898</v>
      </c>
      <c r="D4877" s="13" t="s">
        <v>6298</v>
      </c>
      <c r="E4877" s="8">
        <v>10000</v>
      </c>
      <c r="F4877" s="13" t="s">
        <v>70</v>
      </c>
      <c r="G4877" s="14">
        <v>44820</v>
      </c>
      <c r="H4877" s="13" t="s">
        <v>29</v>
      </c>
    </row>
    <row r="4878" spans="1:8" ht="14.4" x14ac:dyDescent="0.3">
      <c r="A4878" s="8">
        <v>80688738</v>
      </c>
      <c r="B4878" s="11">
        <v>44819</v>
      </c>
      <c r="C4878" s="13" t="s">
        <v>5898</v>
      </c>
      <c r="D4878" s="13" t="s">
        <v>6299</v>
      </c>
      <c r="E4878" s="8">
        <v>20000</v>
      </c>
      <c r="F4878" s="13" t="s">
        <v>70</v>
      </c>
      <c r="G4878" s="14">
        <v>44820</v>
      </c>
      <c r="H4878" s="13" t="s">
        <v>29</v>
      </c>
    </row>
    <row r="4879" spans="1:8" ht="14.4" x14ac:dyDescent="0.3">
      <c r="A4879" s="8">
        <v>80688739</v>
      </c>
      <c r="B4879" s="11">
        <v>44819</v>
      </c>
      <c r="C4879" s="13" t="s">
        <v>1956</v>
      </c>
      <c r="D4879" s="13" t="s">
        <v>6300</v>
      </c>
      <c r="E4879" s="8">
        <v>2953901.1</v>
      </c>
      <c r="F4879" s="13" t="s">
        <v>70</v>
      </c>
      <c r="G4879" s="14">
        <v>44819</v>
      </c>
      <c r="H4879" s="13" t="s">
        <v>29</v>
      </c>
    </row>
    <row r="4880" spans="1:8" ht="14.4" x14ac:dyDescent="0.3">
      <c r="A4880" s="8">
        <v>80688740</v>
      </c>
      <c r="B4880" s="11">
        <v>44819</v>
      </c>
      <c r="C4880" s="13" t="s">
        <v>5898</v>
      </c>
      <c r="D4880" s="13" t="s">
        <v>6301</v>
      </c>
      <c r="E4880" s="8">
        <v>40000</v>
      </c>
      <c r="F4880" s="13" t="s">
        <v>70</v>
      </c>
      <c r="G4880" s="14">
        <v>44820</v>
      </c>
      <c r="H4880" s="13" t="s">
        <v>29</v>
      </c>
    </row>
    <row r="4881" spans="1:8" ht="14.4" x14ac:dyDescent="0.3">
      <c r="A4881" s="8">
        <v>80688741</v>
      </c>
      <c r="B4881" s="11">
        <v>44823</v>
      </c>
      <c r="C4881" s="13" t="s">
        <v>5898</v>
      </c>
      <c r="D4881" s="13" t="s">
        <v>6302</v>
      </c>
      <c r="E4881" s="8">
        <v>20000</v>
      </c>
      <c r="F4881" s="13" t="s">
        <v>70</v>
      </c>
      <c r="G4881" s="14">
        <v>44831</v>
      </c>
      <c r="H4881" s="13" t="s">
        <v>29</v>
      </c>
    </row>
    <row r="4882" spans="1:8" ht="14.4" x14ac:dyDescent="0.3">
      <c r="A4882" s="8">
        <v>80688742</v>
      </c>
      <c r="B4882" s="11">
        <v>44823</v>
      </c>
      <c r="C4882" s="13" t="s">
        <v>5898</v>
      </c>
      <c r="D4882" s="13" t="s">
        <v>6303</v>
      </c>
      <c r="E4882" s="8">
        <v>20000</v>
      </c>
      <c r="F4882" s="13" t="s">
        <v>70</v>
      </c>
      <c r="G4882" s="14">
        <v>44831</v>
      </c>
      <c r="H4882" s="13" t="s">
        <v>29</v>
      </c>
    </row>
    <row r="4883" spans="1:8" ht="14.4" x14ac:dyDescent="0.3">
      <c r="A4883" s="8">
        <v>80688743</v>
      </c>
      <c r="B4883" s="11">
        <v>44824</v>
      </c>
      <c r="C4883" s="13" t="s">
        <v>31</v>
      </c>
      <c r="D4883" s="13" t="s">
        <v>6304</v>
      </c>
      <c r="E4883" s="8">
        <v>20000</v>
      </c>
      <c r="F4883" s="13" t="s">
        <v>70</v>
      </c>
      <c r="G4883" s="14">
        <v>44831</v>
      </c>
      <c r="H4883" s="13" t="s">
        <v>29</v>
      </c>
    </row>
    <row r="4884" spans="1:8" ht="14.4" x14ac:dyDescent="0.3">
      <c r="A4884" s="8">
        <v>80688744</v>
      </c>
      <c r="B4884" s="11">
        <v>44824</v>
      </c>
      <c r="C4884" s="13" t="s">
        <v>31</v>
      </c>
      <c r="D4884" s="13" t="s">
        <v>6305</v>
      </c>
      <c r="E4884" s="8">
        <v>20000</v>
      </c>
      <c r="F4884" s="13" t="s">
        <v>70</v>
      </c>
      <c r="G4884" s="14">
        <v>44831</v>
      </c>
      <c r="H4884" s="13" t="s">
        <v>29</v>
      </c>
    </row>
    <row r="4885" spans="1:8" ht="14.4" x14ac:dyDescent="0.3">
      <c r="A4885" s="8">
        <v>80688745</v>
      </c>
      <c r="B4885" s="11">
        <v>44824</v>
      </c>
      <c r="C4885" s="13" t="s">
        <v>31</v>
      </c>
      <c r="D4885" s="13" t="s">
        <v>6306</v>
      </c>
      <c r="E4885" s="8">
        <v>20000</v>
      </c>
      <c r="F4885" s="13" t="s">
        <v>70</v>
      </c>
      <c r="G4885" s="14">
        <v>44831</v>
      </c>
      <c r="H4885" s="13" t="s">
        <v>29</v>
      </c>
    </row>
    <row r="4886" spans="1:8" ht="14.4" x14ac:dyDescent="0.3">
      <c r="A4886" s="8">
        <v>80688746</v>
      </c>
      <c r="B4886" s="11">
        <v>44824</v>
      </c>
      <c r="C4886" s="13" t="s">
        <v>31</v>
      </c>
      <c r="D4886" s="13" t="s">
        <v>6307</v>
      </c>
      <c r="E4886" s="8">
        <v>30000</v>
      </c>
      <c r="F4886" s="13" t="s">
        <v>70</v>
      </c>
      <c r="G4886" s="14">
        <v>44831</v>
      </c>
      <c r="H4886" s="13" t="s">
        <v>29</v>
      </c>
    </row>
    <row r="4887" spans="1:8" ht="14.4" x14ac:dyDescent="0.3">
      <c r="A4887" s="8">
        <v>80688747</v>
      </c>
      <c r="B4887" s="11">
        <v>44825</v>
      </c>
      <c r="C4887" s="13" t="s">
        <v>180</v>
      </c>
      <c r="D4887" s="13" t="s">
        <v>33</v>
      </c>
      <c r="E4887" s="8">
        <v>10000</v>
      </c>
      <c r="F4887" s="13" t="s">
        <v>70</v>
      </c>
      <c r="G4887" s="14">
        <v>44827</v>
      </c>
      <c r="H4887" s="13" t="s">
        <v>29</v>
      </c>
    </row>
    <row r="4888" spans="1:8" ht="14.4" x14ac:dyDescent="0.3">
      <c r="A4888" s="8">
        <v>80688749</v>
      </c>
      <c r="B4888" s="11">
        <v>44826</v>
      </c>
      <c r="C4888" s="13" t="s">
        <v>5898</v>
      </c>
      <c r="D4888" s="13" t="s">
        <v>6308</v>
      </c>
      <c r="E4888" s="8">
        <v>101460</v>
      </c>
      <c r="F4888" s="13" t="s">
        <v>70</v>
      </c>
      <c r="G4888" s="14">
        <v>44831</v>
      </c>
      <c r="H4888" s="13" t="s">
        <v>29</v>
      </c>
    </row>
    <row r="4889" spans="1:8" ht="14.4" x14ac:dyDescent="0.3">
      <c r="A4889" s="8">
        <v>80688750</v>
      </c>
      <c r="B4889" s="11">
        <v>44826</v>
      </c>
      <c r="C4889" s="13" t="s">
        <v>4525</v>
      </c>
      <c r="D4889" s="13" t="s">
        <v>6309</v>
      </c>
      <c r="E4889" s="8">
        <v>1709.22</v>
      </c>
      <c r="F4889" s="13" t="s">
        <v>70</v>
      </c>
      <c r="G4889" s="14">
        <v>44868</v>
      </c>
      <c r="H4889" s="13" t="s">
        <v>29</v>
      </c>
    </row>
    <row r="4890" spans="1:8" ht="14.4" x14ac:dyDescent="0.3">
      <c r="A4890" s="8">
        <v>80688751</v>
      </c>
      <c r="B4890" s="11">
        <v>44826</v>
      </c>
      <c r="C4890" s="13" t="s">
        <v>6310</v>
      </c>
      <c r="D4890" s="13" t="s">
        <v>6311</v>
      </c>
      <c r="E4890" s="8">
        <v>5346.47</v>
      </c>
      <c r="F4890" s="13" t="s">
        <v>70</v>
      </c>
      <c r="G4890" s="14">
        <v>44845</v>
      </c>
      <c r="H4890" s="13" t="s">
        <v>29</v>
      </c>
    </row>
    <row r="4891" spans="1:8" ht="14.4" x14ac:dyDescent="0.3">
      <c r="A4891" s="8">
        <v>80688752</v>
      </c>
      <c r="B4891" s="11">
        <v>44826</v>
      </c>
      <c r="C4891" s="13" t="s">
        <v>208</v>
      </c>
      <c r="D4891" s="13" t="s">
        <v>6312</v>
      </c>
      <c r="E4891" s="8">
        <v>19769.439999999999</v>
      </c>
      <c r="F4891" s="13" t="s">
        <v>70</v>
      </c>
      <c r="G4891" s="14">
        <v>44845</v>
      </c>
      <c r="H4891" s="13" t="s">
        <v>29</v>
      </c>
    </row>
    <row r="4892" spans="1:8" ht="14.4" x14ac:dyDescent="0.3">
      <c r="A4892" s="8">
        <v>80688753</v>
      </c>
      <c r="B4892" s="11">
        <v>44826</v>
      </c>
      <c r="C4892" s="13" t="s">
        <v>3523</v>
      </c>
      <c r="D4892" s="13" t="s">
        <v>6313</v>
      </c>
      <c r="E4892" s="8">
        <v>1000</v>
      </c>
      <c r="F4892" s="13" t="s">
        <v>70</v>
      </c>
      <c r="G4892" s="14">
        <v>44838</v>
      </c>
      <c r="H4892" s="13" t="s">
        <v>29</v>
      </c>
    </row>
    <row r="4893" spans="1:8" ht="14.4" x14ac:dyDescent="0.3">
      <c r="A4893" s="8">
        <v>80688754</v>
      </c>
      <c r="B4893" s="11">
        <v>44827</v>
      </c>
      <c r="C4893" s="13" t="s">
        <v>5898</v>
      </c>
      <c r="D4893" s="13" t="s">
        <v>6314</v>
      </c>
      <c r="E4893" s="8">
        <v>10000</v>
      </c>
      <c r="F4893" s="13" t="s">
        <v>70</v>
      </c>
      <c r="G4893" s="14">
        <v>44831</v>
      </c>
      <c r="H4893" s="13" t="s">
        <v>29</v>
      </c>
    </row>
    <row r="4894" spans="1:8" ht="14.4" x14ac:dyDescent="0.3">
      <c r="A4894" s="8">
        <v>80688755</v>
      </c>
      <c r="B4894" s="11">
        <v>44827</v>
      </c>
      <c r="C4894" s="13" t="s">
        <v>5927</v>
      </c>
      <c r="D4894" s="13" t="s">
        <v>6063</v>
      </c>
      <c r="E4894" s="8">
        <v>7723533.9100000001</v>
      </c>
      <c r="F4894" s="13" t="s">
        <v>70</v>
      </c>
      <c r="G4894" s="14">
        <v>44831</v>
      </c>
      <c r="H4894" s="13" t="s">
        <v>29</v>
      </c>
    </row>
    <row r="4895" spans="1:8" ht="14.4" x14ac:dyDescent="0.3">
      <c r="A4895" s="8">
        <v>80688757</v>
      </c>
      <c r="B4895" s="11">
        <v>44831</v>
      </c>
      <c r="C4895" s="13" t="s">
        <v>5920</v>
      </c>
      <c r="D4895" s="13" t="s">
        <v>6315</v>
      </c>
      <c r="E4895" s="8">
        <v>1595158.27</v>
      </c>
      <c r="F4895" s="13" t="s">
        <v>70</v>
      </c>
      <c r="G4895" s="14">
        <v>44832</v>
      </c>
      <c r="H4895" s="13" t="s">
        <v>29</v>
      </c>
    </row>
    <row r="4896" spans="1:8" ht="14.4" x14ac:dyDescent="0.3">
      <c r="A4896" s="8">
        <v>80688759</v>
      </c>
      <c r="B4896" s="11">
        <v>44831</v>
      </c>
      <c r="C4896" s="13" t="s">
        <v>5851</v>
      </c>
      <c r="D4896" s="13" t="s">
        <v>6316</v>
      </c>
      <c r="E4896" s="8">
        <v>909635.04</v>
      </c>
      <c r="F4896" s="13" t="s">
        <v>70</v>
      </c>
      <c r="G4896" s="14">
        <v>44833</v>
      </c>
      <c r="H4896" s="13" t="s">
        <v>29</v>
      </c>
    </row>
    <row r="4897" spans="1:8" ht="14.4" x14ac:dyDescent="0.3">
      <c r="A4897" s="8">
        <v>80688761</v>
      </c>
      <c r="B4897" s="11">
        <v>44832</v>
      </c>
      <c r="C4897" s="13" t="s">
        <v>5786</v>
      </c>
      <c r="D4897" s="13" t="s">
        <v>6317</v>
      </c>
      <c r="E4897" s="8">
        <v>76693.5</v>
      </c>
      <c r="F4897" s="13" t="s">
        <v>70</v>
      </c>
      <c r="G4897" s="14">
        <v>44833</v>
      </c>
      <c r="H4897" s="13" t="s">
        <v>29</v>
      </c>
    </row>
    <row r="4898" spans="1:8" ht="14.4" x14ac:dyDescent="0.3">
      <c r="A4898" s="8">
        <v>80688762</v>
      </c>
      <c r="B4898" s="11">
        <v>44832</v>
      </c>
      <c r="C4898" s="13" t="s">
        <v>127</v>
      </c>
      <c r="D4898" s="13" t="s">
        <v>6318</v>
      </c>
      <c r="E4898" s="8">
        <v>51503.57</v>
      </c>
      <c r="F4898" s="13" t="s">
        <v>70</v>
      </c>
      <c r="G4898" s="14">
        <v>44838</v>
      </c>
      <c r="H4898" s="13" t="s">
        <v>29</v>
      </c>
    </row>
    <row r="4899" spans="1:8" ht="14.4" x14ac:dyDescent="0.3">
      <c r="A4899" s="8">
        <v>80688763</v>
      </c>
      <c r="B4899" s="11">
        <v>44838</v>
      </c>
      <c r="C4899" s="13" t="s">
        <v>2624</v>
      </c>
      <c r="D4899" s="13" t="s">
        <v>6319</v>
      </c>
      <c r="E4899" s="8">
        <v>4169995.14</v>
      </c>
      <c r="F4899" s="13" t="s">
        <v>70</v>
      </c>
      <c r="G4899" s="14">
        <v>44839</v>
      </c>
      <c r="H4899" s="13" t="s">
        <v>29</v>
      </c>
    </row>
    <row r="4900" spans="1:8" ht="14.4" x14ac:dyDescent="0.3">
      <c r="A4900" s="8">
        <v>80688764</v>
      </c>
      <c r="B4900" s="11">
        <v>44838</v>
      </c>
      <c r="C4900" s="13" t="s">
        <v>188</v>
      </c>
      <c r="D4900" s="13" t="s">
        <v>6320</v>
      </c>
      <c r="E4900" s="8">
        <v>46949.9</v>
      </c>
      <c r="F4900" s="13" t="s">
        <v>70</v>
      </c>
      <c r="G4900" s="14">
        <v>44839</v>
      </c>
      <c r="H4900" s="13" t="s">
        <v>29</v>
      </c>
    </row>
    <row r="4901" spans="1:8" ht="14.4" x14ac:dyDescent="0.3">
      <c r="A4901" s="8">
        <v>80688766</v>
      </c>
      <c r="B4901" s="11">
        <v>44838</v>
      </c>
      <c r="C4901" s="13" t="s">
        <v>5898</v>
      </c>
      <c r="D4901" s="13" t="s">
        <v>6321</v>
      </c>
      <c r="E4901" s="8">
        <v>30000</v>
      </c>
      <c r="F4901" s="13" t="s">
        <v>70</v>
      </c>
      <c r="G4901" s="14">
        <v>44848</v>
      </c>
      <c r="H4901" s="13" t="s">
        <v>29</v>
      </c>
    </row>
    <row r="4902" spans="1:8" ht="14.4" x14ac:dyDescent="0.3">
      <c r="A4902" s="8">
        <v>80688767</v>
      </c>
      <c r="B4902" s="11">
        <v>44840</v>
      </c>
      <c r="C4902" s="13" t="s">
        <v>2425</v>
      </c>
      <c r="D4902" s="13" t="s">
        <v>4868</v>
      </c>
      <c r="E4902" s="8">
        <v>15118.36</v>
      </c>
      <c r="F4902" s="13" t="s">
        <v>70</v>
      </c>
      <c r="G4902" s="14">
        <v>44841</v>
      </c>
      <c r="H4902" s="13" t="s">
        <v>29</v>
      </c>
    </row>
    <row r="4903" spans="1:8" ht="14.4" x14ac:dyDescent="0.3">
      <c r="A4903" s="8">
        <v>80688768</v>
      </c>
      <c r="B4903" s="11">
        <v>44841</v>
      </c>
      <c r="C4903" s="13" t="s">
        <v>184</v>
      </c>
      <c r="D4903" s="13" t="s">
        <v>4897</v>
      </c>
      <c r="E4903" s="8">
        <v>34934.99</v>
      </c>
      <c r="F4903" s="13" t="s">
        <v>70</v>
      </c>
      <c r="G4903" s="14">
        <v>44844</v>
      </c>
      <c r="H4903" s="13" t="s">
        <v>29</v>
      </c>
    </row>
    <row r="4904" spans="1:8" ht="14.4" x14ac:dyDescent="0.3">
      <c r="A4904" s="8">
        <v>80688769</v>
      </c>
      <c r="B4904" s="11">
        <v>44841</v>
      </c>
      <c r="C4904" s="13" t="s">
        <v>184</v>
      </c>
      <c r="D4904" s="13" t="s">
        <v>4898</v>
      </c>
      <c r="E4904" s="8">
        <v>20500</v>
      </c>
      <c r="F4904" s="13" t="s">
        <v>70</v>
      </c>
      <c r="G4904" s="14">
        <v>44844</v>
      </c>
      <c r="H4904" s="13" t="s">
        <v>29</v>
      </c>
    </row>
    <row r="4905" spans="1:8" ht="14.4" x14ac:dyDescent="0.3">
      <c r="A4905" s="8">
        <v>80688771</v>
      </c>
      <c r="B4905" s="11">
        <v>44845</v>
      </c>
      <c r="C4905" s="13" t="s">
        <v>1956</v>
      </c>
      <c r="D4905" s="13" t="s">
        <v>6322</v>
      </c>
      <c r="E4905" s="8">
        <v>2953901.1</v>
      </c>
      <c r="F4905" s="13" t="s">
        <v>70</v>
      </c>
      <c r="G4905" s="14">
        <v>44846</v>
      </c>
      <c r="H4905" s="13" t="s">
        <v>29</v>
      </c>
    </row>
    <row r="4906" spans="1:8" ht="14.4" x14ac:dyDescent="0.3">
      <c r="A4906" s="8">
        <v>80688772</v>
      </c>
      <c r="B4906" s="11">
        <v>44845</v>
      </c>
      <c r="C4906" s="13" t="s">
        <v>4591</v>
      </c>
      <c r="D4906" s="13" t="s">
        <v>6323</v>
      </c>
      <c r="E4906" s="8">
        <v>17298294.489999998</v>
      </c>
      <c r="F4906" s="13" t="s">
        <v>70</v>
      </c>
      <c r="G4906" s="14">
        <v>44846</v>
      </c>
      <c r="H4906" s="13" t="s">
        <v>29</v>
      </c>
    </row>
    <row r="4907" spans="1:8" ht="14.4" x14ac:dyDescent="0.3">
      <c r="A4907" s="8">
        <v>80688773</v>
      </c>
      <c r="B4907" s="11">
        <v>44845</v>
      </c>
      <c r="C4907" s="13" t="s">
        <v>4591</v>
      </c>
      <c r="D4907" s="13" t="s">
        <v>6324</v>
      </c>
      <c r="E4907" s="8">
        <v>9309043.5700000003</v>
      </c>
      <c r="F4907" s="13" t="s">
        <v>70</v>
      </c>
      <c r="G4907" s="14">
        <v>44846</v>
      </c>
      <c r="H4907" s="13" t="s">
        <v>29</v>
      </c>
    </row>
    <row r="4908" spans="1:8" ht="14.4" x14ac:dyDescent="0.3">
      <c r="A4908" s="8">
        <v>80688774</v>
      </c>
      <c r="B4908" s="11">
        <v>44845</v>
      </c>
      <c r="C4908" s="13" t="s">
        <v>5819</v>
      </c>
      <c r="D4908" s="13" t="s">
        <v>6325</v>
      </c>
      <c r="E4908" s="8">
        <v>14258972.26</v>
      </c>
      <c r="F4908" s="13" t="s">
        <v>70</v>
      </c>
      <c r="G4908" s="14">
        <v>44846</v>
      </c>
      <c r="H4908" s="13" t="s">
        <v>29</v>
      </c>
    </row>
    <row r="4909" spans="1:8" ht="14.4" x14ac:dyDescent="0.3">
      <c r="A4909" s="8">
        <v>80688776</v>
      </c>
      <c r="B4909" s="11">
        <v>44847</v>
      </c>
      <c r="C4909" s="13" t="s">
        <v>5898</v>
      </c>
      <c r="D4909" s="13" t="s">
        <v>6326</v>
      </c>
      <c r="E4909" s="8">
        <v>1318320</v>
      </c>
      <c r="F4909" s="13" t="s">
        <v>70</v>
      </c>
      <c r="G4909" s="14">
        <v>44848</v>
      </c>
      <c r="H4909" s="13" t="s">
        <v>29</v>
      </c>
    </row>
    <row r="4910" spans="1:8" ht="14.4" x14ac:dyDescent="0.3">
      <c r="A4910" s="8">
        <v>80688777</v>
      </c>
      <c r="B4910" s="11">
        <v>44847</v>
      </c>
      <c r="C4910" s="13" t="s">
        <v>4960</v>
      </c>
      <c r="D4910" s="13" t="s">
        <v>4961</v>
      </c>
      <c r="E4910" s="8">
        <v>6076.75</v>
      </c>
      <c r="F4910" s="13" t="s">
        <v>70</v>
      </c>
      <c r="G4910" s="14">
        <v>44852</v>
      </c>
      <c r="H4910" s="13" t="s">
        <v>29</v>
      </c>
    </row>
    <row r="4911" spans="1:8" ht="14.4" x14ac:dyDescent="0.3">
      <c r="A4911" s="8">
        <v>80688778</v>
      </c>
      <c r="B4911" s="11">
        <v>44847</v>
      </c>
      <c r="C4911" s="13" t="s">
        <v>5907</v>
      </c>
      <c r="D4911" s="13" t="s">
        <v>6327</v>
      </c>
      <c r="E4911" s="8">
        <v>4948158.49</v>
      </c>
      <c r="F4911" s="13" t="s">
        <v>70</v>
      </c>
      <c r="G4911" s="14">
        <v>44848</v>
      </c>
      <c r="H4911" s="13" t="s">
        <v>29</v>
      </c>
    </row>
    <row r="4912" spans="1:8" ht="14.4" x14ac:dyDescent="0.3">
      <c r="A4912" s="8">
        <v>80688779</v>
      </c>
      <c r="B4912" s="11">
        <v>44848</v>
      </c>
      <c r="C4912" s="13" t="s">
        <v>6328</v>
      </c>
      <c r="D4912" s="13" t="s">
        <v>6329</v>
      </c>
      <c r="E4912" s="8">
        <v>1819143.07</v>
      </c>
      <c r="F4912" s="13" t="s">
        <v>70</v>
      </c>
      <c r="G4912" s="14">
        <v>44848</v>
      </c>
      <c r="H4912" s="13" t="s">
        <v>29</v>
      </c>
    </row>
    <row r="4913" spans="1:8" ht="14.4" x14ac:dyDescent="0.3">
      <c r="A4913" s="8">
        <v>80688780</v>
      </c>
      <c r="B4913" s="11">
        <v>44848</v>
      </c>
      <c r="C4913" s="13" t="s">
        <v>6330</v>
      </c>
      <c r="D4913" s="13" t="s">
        <v>6331</v>
      </c>
      <c r="E4913" s="8">
        <v>4230.3999999999996</v>
      </c>
      <c r="F4913" s="13" t="s">
        <v>70</v>
      </c>
      <c r="G4913" s="14">
        <v>44852</v>
      </c>
      <c r="H4913" s="13" t="s">
        <v>29</v>
      </c>
    </row>
    <row r="4914" spans="1:8" ht="14.4" x14ac:dyDescent="0.3">
      <c r="A4914" s="8">
        <v>80688781</v>
      </c>
      <c r="B4914" s="11">
        <v>44848</v>
      </c>
      <c r="C4914" s="13" t="s">
        <v>5851</v>
      </c>
      <c r="D4914" s="13" t="s">
        <v>6332</v>
      </c>
      <c r="E4914" s="8">
        <v>1548555.43</v>
      </c>
      <c r="F4914" s="13" t="s">
        <v>70</v>
      </c>
      <c r="G4914" s="14">
        <v>44851</v>
      </c>
      <c r="H4914" s="13" t="s">
        <v>29</v>
      </c>
    </row>
    <row r="4915" spans="1:8" ht="14.4" x14ac:dyDescent="0.3">
      <c r="A4915" s="8">
        <v>80688782</v>
      </c>
      <c r="B4915" s="11">
        <v>44853</v>
      </c>
      <c r="C4915" s="13" t="s">
        <v>5935</v>
      </c>
      <c r="D4915" s="13" t="s">
        <v>6333</v>
      </c>
      <c r="E4915" s="8">
        <v>7022954.7599999998</v>
      </c>
      <c r="F4915" s="13" t="s">
        <v>70</v>
      </c>
      <c r="G4915" s="14">
        <v>44855</v>
      </c>
      <c r="H4915" s="13" t="s">
        <v>29</v>
      </c>
    </row>
    <row r="4916" spans="1:8" ht="14.4" x14ac:dyDescent="0.3">
      <c r="A4916" s="8">
        <v>80688783</v>
      </c>
      <c r="B4916" s="11">
        <v>44853</v>
      </c>
      <c r="C4916" s="13" t="s">
        <v>5231</v>
      </c>
      <c r="D4916" s="13" t="s">
        <v>6334</v>
      </c>
      <c r="E4916" s="8">
        <v>90000</v>
      </c>
      <c r="F4916" s="13" t="s">
        <v>70</v>
      </c>
      <c r="G4916" s="14">
        <v>44855</v>
      </c>
      <c r="H4916" s="13" t="s">
        <v>29</v>
      </c>
    </row>
    <row r="4917" spans="1:8" ht="14.4" x14ac:dyDescent="0.3">
      <c r="A4917" s="8">
        <v>80688784</v>
      </c>
      <c r="B4917" s="11">
        <v>44853</v>
      </c>
      <c r="C4917" s="13" t="s">
        <v>6335</v>
      </c>
      <c r="D4917" s="13" t="s">
        <v>6336</v>
      </c>
      <c r="E4917" s="8">
        <v>10000</v>
      </c>
      <c r="F4917" s="13" t="s">
        <v>70</v>
      </c>
      <c r="G4917" s="14">
        <v>44854</v>
      </c>
      <c r="H4917" s="13" t="s">
        <v>29</v>
      </c>
    </row>
    <row r="4918" spans="1:8" ht="14.4" x14ac:dyDescent="0.3">
      <c r="A4918" s="8">
        <v>80688786</v>
      </c>
      <c r="B4918" s="11">
        <v>44855</v>
      </c>
      <c r="C4918" s="13" t="s">
        <v>52</v>
      </c>
      <c r="D4918" s="13" t="s">
        <v>6337</v>
      </c>
      <c r="E4918" s="8">
        <v>56185.72</v>
      </c>
      <c r="F4918" s="13" t="s">
        <v>70</v>
      </c>
      <c r="G4918" s="14">
        <v>44862</v>
      </c>
      <c r="H4918" s="13" t="s">
        <v>29</v>
      </c>
    </row>
    <row r="4919" spans="1:8" ht="14.4" x14ac:dyDescent="0.3">
      <c r="A4919" s="8">
        <v>80688785</v>
      </c>
      <c r="B4919" s="11">
        <v>44856</v>
      </c>
      <c r="C4919" s="13" t="s">
        <v>180</v>
      </c>
      <c r="D4919" s="13" t="s">
        <v>33</v>
      </c>
      <c r="E4919" s="8">
        <v>10000</v>
      </c>
      <c r="F4919" s="13" t="s">
        <v>70</v>
      </c>
      <c r="G4919" s="14">
        <v>44862</v>
      </c>
      <c r="H4919" s="13" t="s">
        <v>29</v>
      </c>
    </row>
    <row r="4920" spans="1:8" ht="14.4" x14ac:dyDescent="0.3">
      <c r="A4920" s="8">
        <v>80688787</v>
      </c>
      <c r="B4920" s="11">
        <v>44858</v>
      </c>
      <c r="C4920" s="13" t="s">
        <v>6338</v>
      </c>
      <c r="D4920" s="13" t="s">
        <v>6339</v>
      </c>
      <c r="E4920" s="8">
        <v>17792.150000000001</v>
      </c>
      <c r="F4920" s="13" t="s">
        <v>70</v>
      </c>
      <c r="G4920" s="14">
        <v>44868</v>
      </c>
      <c r="H4920" s="13" t="s">
        <v>29</v>
      </c>
    </row>
    <row r="4921" spans="1:8" ht="14.4" x14ac:dyDescent="0.3">
      <c r="A4921" s="8">
        <v>80688788</v>
      </c>
      <c r="B4921" s="11">
        <v>44858</v>
      </c>
      <c r="C4921" s="13" t="s">
        <v>6338</v>
      </c>
      <c r="D4921" s="13" t="s">
        <v>6340</v>
      </c>
      <c r="E4921" s="8">
        <v>54312.85</v>
      </c>
      <c r="F4921" s="13" t="s">
        <v>70</v>
      </c>
      <c r="G4921" s="14">
        <v>44868</v>
      </c>
      <c r="H4921" s="13" t="s">
        <v>29</v>
      </c>
    </row>
    <row r="4922" spans="1:8" ht="14.4" x14ac:dyDescent="0.3">
      <c r="A4922" s="8">
        <v>80688789</v>
      </c>
      <c r="B4922" s="11">
        <v>44858</v>
      </c>
      <c r="C4922" s="13" t="s">
        <v>6341</v>
      </c>
      <c r="D4922" s="13" t="s">
        <v>6342</v>
      </c>
      <c r="E4922" s="8">
        <v>21537.85</v>
      </c>
      <c r="F4922" s="13" t="s">
        <v>70</v>
      </c>
      <c r="G4922" s="14">
        <v>44873</v>
      </c>
      <c r="H4922" s="13" t="s">
        <v>29</v>
      </c>
    </row>
    <row r="4923" spans="1:8" ht="14.4" x14ac:dyDescent="0.3">
      <c r="A4923" s="8">
        <v>80688790</v>
      </c>
      <c r="B4923" s="11">
        <v>44859</v>
      </c>
      <c r="C4923" s="13" t="s">
        <v>255</v>
      </c>
      <c r="D4923" s="13" t="s">
        <v>6343</v>
      </c>
      <c r="E4923" s="8">
        <v>48694.28</v>
      </c>
      <c r="F4923" s="13" t="s">
        <v>70</v>
      </c>
      <c r="G4923" s="14">
        <v>44868</v>
      </c>
      <c r="H4923" s="13" t="s">
        <v>29</v>
      </c>
    </row>
    <row r="4924" spans="1:8" ht="14.4" x14ac:dyDescent="0.3">
      <c r="A4924" s="8">
        <v>80688791</v>
      </c>
      <c r="B4924" s="11">
        <v>44859</v>
      </c>
      <c r="C4924" s="13" t="s">
        <v>1745</v>
      </c>
      <c r="D4924" s="13" t="s">
        <v>6344</v>
      </c>
      <c r="E4924" s="8">
        <v>18965</v>
      </c>
      <c r="F4924" s="13" t="s">
        <v>70</v>
      </c>
      <c r="G4924" s="14">
        <v>44861</v>
      </c>
      <c r="H4924" s="13" t="s">
        <v>29</v>
      </c>
    </row>
    <row r="4925" spans="1:8" ht="14.4" x14ac:dyDescent="0.3">
      <c r="A4925" s="8">
        <v>80688792</v>
      </c>
      <c r="B4925" s="11">
        <v>44859</v>
      </c>
      <c r="C4925" s="13" t="s">
        <v>6345</v>
      </c>
      <c r="D4925" s="13" t="s">
        <v>6346</v>
      </c>
      <c r="E4925" s="8">
        <v>21869121.530000001</v>
      </c>
      <c r="F4925" s="13" t="s">
        <v>70</v>
      </c>
      <c r="G4925" s="14">
        <v>44873</v>
      </c>
      <c r="H4925" s="13" t="s">
        <v>29</v>
      </c>
    </row>
    <row r="4926" spans="1:8" ht="14.4" x14ac:dyDescent="0.3">
      <c r="A4926" s="8">
        <v>80688793</v>
      </c>
      <c r="B4926" s="11">
        <v>44861</v>
      </c>
      <c r="C4926" s="13" t="s">
        <v>188</v>
      </c>
      <c r="D4926" s="13" t="s">
        <v>6320</v>
      </c>
      <c r="E4926" s="8">
        <v>52789.82</v>
      </c>
      <c r="F4926" s="13" t="s">
        <v>70</v>
      </c>
      <c r="G4926" s="14">
        <v>44861</v>
      </c>
      <c r="H4926" s="13" t="s">
        <v>29</v>
      </c>
    </row>
    <row r="4927" spans="1:8" ht="14.4" x14ac:dyDescent="0.3">
      <c r="A4927" s="8">
        <v>80688794</v>
      </c>
      <c r="B4927" s="11">
        <v>44861</v>
      </c>
      <c r="C4927" s="13" t="s">
        <v>1745</v>
      </c>
      <c r="D4927" s="13" t="s">
        <v>6347</v>
      </c>
      <c r="E4927" s="8">
        <v>191090</v>
      </c>
      <c r="F4927" s="13" t="s">
        <v>70</v>
      </c>
      <c r="G4927" s="14">
        <v>44861</v>
      </c>
      <c r="H4927" s="13" t="s">
        <v>29</v>
      </c>
    </row>
    <row r="4928" spans="1:8" ht="14.4" x14ac:dyDescent="0.3">
      <c r="A4928" s="8">
        <v>80688795</v>
      </c>
      <c r="B4928" s="11">
        <v>44861</v>
      </c>
      <c r="C4928" s="13" t="s">
        <v>6348</v>
      </c>
      <c r="D4928" s="13" t="s">
        <v>6349</v>
      </c>
      <c r="E4928" s="8">
        <v>6383760.6399999997</v>
      </c>
      <c r="F4928" s="13" t="s">
        <v>70</v>
      </c>
      <c r="G4928" s="14">
        <v>44861</v>
      </c>
      <c r="H4928" s="13" t="s">
        <v>29</v>
      </c>
    </row>
    <row r="4929" spans="1:8" ht="14.4" x14ac:dyDescent="0.3">
      <c r="A4929" s="8">
        <v>80688796</v>
      </c>
      <c r="B4929" s="11">
        <v>44861</v>
      </c>
      <c r="C4929" s="13" t="s">
        <v>6348</v>
      </c>
      <c r="D4929" s="13" t="s">
        <v>6350</v>
      </c>
      <c r="E4929" s="8">
        <v>6220092.79</v>
      </c>
      <c r="F4929" s="13" t="s">
        <v>70</v>
      </c>
      <c r="G4929" s="14">
        <v>44862</v>
      </c>
      <c r="H4929" s="13" t="s">
        <v>29</v>
      </c>
    </row>
    <row r="4930" spans="1:8" ht="14.4" x14ac:dyDescent="0.3">
      <c r="A4930" s="8">
        <v>80688797</v>
      </c>
      <c r="B4930" s="11">
        <v>44862</v>
      </c>
      <c r="C4930" s="13" t="s">
        <v>6351</v>
      </c>
      <c r="D4930" s="13" t="s">
        <v>28</v>
      </c>
      <c r="E4930" s="8">
        <v>6203343.7999999998</v>
      </c>
      <c r="F4930" s="13" t="s">
        <v>70</v>
      </c>
      <c r="G4930" s="14">
        <v>44867</v>
      </c>
      <c r="H4930" s="13" t="s">
        <v>29</v>
      </c>
    </row>
    <row r="4931" spans="1:8" ht="14.4" x14ac:dyDescent="0.3">
      <c r="A4931" s="8">
        <v>80688798</v>
      </c>
      <c r="B4931" s="11">
        <v>44862</v>
      </c>
      <c r="C4931" s="13" t="s">
        <v>5927</v>
      </c>
      <c r="D4931" s="13" t="s">
        <v>6347</v>
      </c>
      <c r="E4931" s="8">
        <v>23239846.940000001</v>
      </c>
      <c r="F4931" s="13" t="s">
        <v>70</v>
      </c>
      <c r="G4931" s="14">
        <v>44868</v>
      </c>
      <c r="H4931" s="13" t="s">
        <v>29</v>
      </c>
    </row>
    <row r="4932" spans="1:8" ht="14.4" x14ac:dyDescent="0.3">
      <c r="A4932" s="8">
        <v>80688800</v>
      </c>
      <c r="B4932" s="11">
        <v>44869</v>
      </c>
      <c r="C4932" s="13" t="s">
        <v>2624</v>
      </c>
      <c r="D4932" s="13" t="s">
        <v>6352</v>
      </c>
      <c r="E4932" s="8">
        <v>4422659.5199999996</v>
      </c>
      <c r="F4932" s="13" t="s">
        <v>70</v>
      </c>
      <c r="G4932" s="14">
        <v>44869</v>
      </c>
      <c r="H4932" s="13" t="s">
        <v>29</v>
      </c>
    </row>
    <row r="4933" spans="1:8" ht="14.4" x14ac:dyDescent="0.3">
      <c r="A4933" s="8">
        <v>80688801</v>
      </c>
      <c r="B4933" s="11">
        <v>44872</v>
      </c>
      <c r="C4933" s="13" t="s">
        <v>5682</v>
      </c>
      <c r="D4933" s="13" t="s">
        <v>6353</v>
      </c>
      <c r="E4933" s="8">
        <v>4110</v>
      </c>
      <c r="F4933" s="13" t="s">
        <v>70</v>
      </c>
      <c r="G4933" s="14">
        <v>44873</v>
      </c>
      <c r="H4933" s="13" t="s">
        <v>29</v>
      </c>
    </row>
    <row r="4934" spans="1:8" ht="14.4" x14ac:dyDescent="0.3">
      <c r="A4934" s="8">
        <v>80688802</v>
      </c>
      <c r="B4934" s="11">
        <v>44872</v>
      </c>
      <c r="C4934" s="13" t="s">
        <v>2425</v>
      </c>
      <c r="D4934" s="13" t="s">
        <v>6354</v>
      </c>
      <c r="E4934" s="8">
        <v>15976.2</v>
      </c>
      <c r="F4934" s="13" t="s">
        <v>70</v>
      </c>
      <c r="G4934" s="14">
        <v>44873</v>
      </c>
      <c r="H4934" s="13" t="s">
        <v>29</v>
      </c>
    </row>
    <row r="4935" spans="1:8" ht="14.4" x14ac:dyDescent="0.3">
      <c r="A4935" s="8">
        <v>80688803</v>
      </c>
      <c r="B4935" s="11">
        <v>44873</v>
      </c>
      <c r="C4935" s="13" t="s">
        <v>25</v>
      </c>
      <c r="D4935" s="13" t="s">
        <v>6355</v>
      </c>
      <c r="E4935" s="8">
        <v>57403.07</v>
      </c>
      <c r="F4935" s="13" t="s">
        <v>70</v>
      </c>
      <c r="G4935" s="14">
        <v>44875</v>
      </c>
      <c r="H4935" s="13" t="s">
        <v>29</v>
      </c>
    </row>
    <row r="4936" spans="1:8" ht="14.4" x14ac:dyDescent="0.3">
      <c r="A4936" s="8">
        <v>80688804</v>
      </c>
      <c r="B4936" s="11">
        <v>44874</v>
      </c>
      <c r="C4936" s="13" t="s">
        <v>184</v>
      </c>
      <c r="D4936" s="13" t="s">
        <v>6356</v>
      </c>
      <c r="E4936" s="8">
        <v>23700</v>
      </c>
      <c r="F4936" s="13" t="s">
        <v>70</v>
      </c>
      <c r="G4936" s="14">
        <v>44875</v>
      </c>
      <c r="H4936" s="13" t="s">
        <v>29</v>
      </c>
    </row>
    <row r="4937" spans="1:8" ht="14.4" x14ac:dyDescent="0.3">
      <c r="A4937" s="8">
        <v>80688805</v>
      </c>
      <c r="B4937" s="11">
        <v>44874</v>
      </c>
      <c r="C4937" s="13" t="s">
        <v>184</v>
      </c>
      <c r="D4937" s="13" t="s">
        <v>6357</v>
      </c>
      <c r="E4937" s="8">
        <v>41030.97</v>
      </c>
      <c r="F4937" s="13" t="s">
        <v>70</v>
      </c>
      <c r="G4937" s="14">
        <v>44875</v>
      </c>
      <c r="H4937" s="13" t="s">
        <v>29</v>
      </c>
    </row>
    <row r="4938" spans="1:8" ht="14.4" x14ac:dyDescent="0.3">
      <c r="A4938" s="8">
        <v>80688807</v>
      </c>
      <c r="B4938" s="11">
        <v>44875</v>
      </c>
      <c r="C4938" s="13" t="s">
        <v>25</v>
      </c>
      <c r="D4938" s="13" t="s">
        <v>6358</v>
      </c>
      <c r="E4938" s="8">
        <v>387775.07</v>
      </c>
      <c r="F4938" s="13" t="s">
        <v>70</v>
      </c>
      <c r="G4938" s="14">
        <v>44876</v>
      </c>
      <c r="H4938" s="13" t="s">
        <v>29</v>
      </c>
    </row>
    <row r="4939" spans="1:8" ht="14.4" x14ac:dyDescent="0.3">
      <c r="A4939" s="8">
        <v>1968264</v>
      </c>
      <c r="B4939" s="11">
        <v>44574</v>
      </c>
      <c r="C4939" s="13" t="s">
        <v>6359</v>
      </c>
      <c r="D4939" s="13" t="s">
        <v>672</v>
      </c>
      <c r="E4939" s="8">
        <v>527671.43000000005</v>
      </c>
      <c r="F4939" s="13" t="s">
        <v>70</v>
      </c>
      <c r="G4939" s="14">
        <v>44579</v>
      </c>
      <c r="H4939" s="13" t="s">
        <v>35</v>
      </c>
    </row>
    <row r="4940" spans="1:8" ht="14.4" x14ac:dyDescent="0.3">
      <c r="A4940" s="8">
        <v>1968265</v>
      </c>
      <c r="B4940" s="11">
        <v>44574</v>
      </c>
      <c r="C4940" s="13" t="s">
        <v>6360</v>
      </c>
      <c r="D4940" s="13" t="s">
        <v>672</v>
      </c>
      <c r="E4940" s="8">
        <v>527671.43000000005</v>
      </c>
      <c r="F4940" s="13" t="s">
        <v>70</v>
      </c>
      <c r="G4940" s="14">
        <v>44579</v>
      </c>
      <c r="H4940" s="13" t="s">
        <v>35</v>
      </c>
    </row>
    <row r="4941" spans="1:8" ht="14.4" x14ac:dyDescent="0.3">
      <c r="A4941" s="8">
        <v>1968266</v>
      </c>
      <c r="B4941" s="11">
        <v>44574</v>
      </c>
      <c r="C4941" s="13" t="s">
        <v>6361</v>
      </c>
      <c r="D4941" s="13" t="s">
        <v>672</v>
      </c>
      <c r="E4941" s="8">
        <v>527671.43000000005</v>
      </c>
      <c r="F4941" s="13" t="s">
        <v>70</v>
      </c>
      <c r="G4941" s="14">
        <v>44596</v>
      </c>
      <c r="H4941" s="13" t="s">
        <v>35</v>
      </c>
    </row>
    <row r="4942" spans="1:8" ht="14.4" x14ac:dyDescent="0.3">
      <c r="A4942" s="8">
        <v>1968267</v>
      </c>
      <c r="B4942" s="11">
        <v>44574</v>
      </c>
      <c r="C4942" s="13" t="s">
        <v>6362</v>
      </c>
      <c r="D4942" s="13" t="s">
        <v>672</v>
      </c>
      <c r="E4942" s="8">
        <v>527671.43000000005</v>
      </c>
      <c r="F4942" s="13" t="s">
        <v>70</v>
      </c>
      <c r="G4942" s="14">
        <v>44579</v>
      </c>
      <c r="H4942" s="13" t="s">
        <v>35</v>
      </c>
    </row>
    <row r="4943" spans="1:8" ht="14.4" x14ac:dyDescent="0.3">
      <c r="A4943" s="8">
        <v>1968268</v>
      </c>
      <c r="B4943" s="11">
        <v>44574</v>
      </c>
      <c r="C4943" s="13" t="s">
        <v>6363</v>
      </c>
      <c r="D4943" s="13" t="s">
        <v>672</v>
      </c>
      <c r="E4943" s="8">
        <v>527671.42000000004</v>
      </c>
      <c r="F4943" s="13" t="s">
        <v>70</v>
      </c>
      <c r="G4943" s="14">
        <v>44579</v>
      </c>
      <c r="H4943" s="13" t="s">
        <v>35</v>
      </c>
    </row>
    <row r="4944" spans="1:8" ht="14.4" x14ac:dyDescent="0.3">
      <c r="A4944" s="8">
        <v>1968271</v>
      </c>
      <c r="B4944" s="11">
        <v>44574</v>
      </c>
      <c r="C4944" s="13" t="s">
        <v>6364</v>
      </c>
      <c r="D4944" s="13" t="s">
        <v>672</v>
      </c>
      <c r="E4944" s="8">
        <v>527671.43000000005</v>
      </c>
      <c r="F4944" s="13" t="s">
        <v>70</v>
      </c>
      <c r="G4944" s="14">
        <v>44587</v>
      </c>
      <c r="H4944" s="13" t="s">
        <v>35</v>
      </c>
    </row>
    <row r="4945" spans="1:8" ht="14.4" x14ac:dyDescent="0.3">
      <c r="A4945" s="8">
        <v>1968272</v>
      </c>
      <c r="B4945" s="11">
        <v>44574</v>
      </c>
      <c r="C4945" s="13" t="s">
        <v>6365</v>
      </c>
      <c r="D4945" s="13" t="s">
        <v>672</v>
      </c>
      <c r="E4945" s="8">
        <v>527671.43000000005</v>
      </c>
      <c r="F4945" s="13" t="s">
        <v>70</v>
      </c>
      <c r="G4945" s="14">
        <v>44579</v>
      </c>
      <c r="H4945" s="13" t="s">
        <v>35</v>
      </c>
    </row>
    <row r="4946" spans="1:8" ht="14.4" x14ac:dyDescent="0.3">
      <c r="A4946" s="8">
        <v>1968273</v>
      </c>
      <c r="B4946" s="11">
        <v>44585</v>
      </c>
      <c r="C4946" s="13" t="s">
        <v>6366</v>
      </c>
      <c r="D4946" s="13" t="s">
        <v>6367</v>
      </c>
      <c r="E4946" s="8">
        <v>40000</v>
      </c>
      <c r="F4946" s="13" t="s">
        <v>70</v>
      </c>
      <c r="G4946" s="14">
        <v>44596</v>
      </c>
      <c r="H4946" s="13" t="s">
        <v>35</v>
      </c>
    </row>
    <row r="4947" spans="1:8" ht="14.4" x14ac:dyDescent="0.3">
      <c r="A4947" s="8">
        <v>1968274</v>
      </c>
      <c r="B4947" s="11">
        <v>44585</v>
      </c>
      <c r="C4947" s="13" t="s">
        <v>1193</v>
      </c>
      <c r="D4947" s="13" t="s">
        <v>6368</v>
      </c>
      <c r="E4947" s="8">
        <v>19000</v>
      </c>
      <c r="F4947" s="13" t="s">
        <v>70</v>
      </c>
      <c r="G4947" s="14">
        <v>44599</v>
      </c>
      <c r="H4947" s="13" t="s">
        <v>35</v>
      </c>
    </row>
    <row r="4948" spans="1:8" ht="14.4" x14ac:dyDescent="0.3">
      <c r="A4948" s="8">
        <v>1968275</v>
      </c>
      <c r="B4948" s="11">
        <v>44585</v>
      </c>
      <c r="C4948" s="13" t="s">
        <v>669</v>
      </c>
      <c r="D4948" s="13" t="s">
        <v>6369</v>
      </c>
      <c r="E4948" s="8">
        <v>147000</v>
      </c>
      <c r="F4948" s="13" t="s">
        <v>70</v>
      </c>
      <c r="G4948" s="14">
        <v>44599</v>
      </c>
      <c r="H4948" s="13" t="s">
        <v>35</v>
      </c>
    </row>
    <row r="4949" spans="1:8" ht="14.4" x14ac:dyDescent="0.3">
      <c r="A4949" s="8">
        <v>1968276</v>
      </c>
      <c r="B4949" s="11">
        <v>44585</v>
      </c>
      <c r="C4949" s="13" t="s">
        <v>1592</v>
      </c>
      <c r="D4949" s="13" t="s">
        <v>6370</v>
      </c>
      <c r="E4949" s="8">
        <v>20000</v>
      </c>
      <c r="F4949" s="13" t="s">
        <v>70</v>
      </c>
      <c r="G4949" s="14">
        <v>44601</v>
      </c>
      <c r="H4949" s="13" t="s">
        <v>35</v>
      </c>
    </row>
    <row r="4950" spans="1:8" ht="14.4" x14ac:dyDescent="0.3">
      <c r="A4950" s="8">
        <v>1968277</v>
      </c>
      <c r="B4950" s="11">
        <v>44585</v>
      </c>
      <c r="C4950" s="13" t="s">
        <v>6371</v>
      </c>
      <c r="D4950" s="13" t="s">
        <v>371</v>
      </c>
      <c r="E4950" s="8">
        <v>17100</v>
      </c>
      <c r="F4950" s="13" t="s">
        <v>70</v>
      </c>
      <c r="G4950" s="14">
        <v>44588</v>
      </c>
      <c r="H4950" s="13" t="s">
        <v>35</v>
      </c>
    </row>
    <row r="4951" spans="1:8" ht="14.4" x14ac:dyDescent="0.3">
      <c r="A4951" s="8">
        <v>1968278</v>
      </c>
      <c r="B4951" s="11">
        <v>44585</v>
      </c>
      <c r="C4951" s="13" t="s">
        <v>180</v>
      </c>
      <c r="D4951" s="13" t="s">
        <v>181</v>
      </c>
      <c r="E4951" s="8">
        <v>50036.639999999999</v>
      </c>
      <c r="F4951" s="13" t="s">
        <v>70</v>
      </c>
      <c r="G4951" s="14">
        <v>44585</v>
      </c>
      <c r="H4951" s="13" t="s">
        <v>35</v>
      </c>
    </row>
    <row r="4952" spans="1:8" ht="14.4" x14ac:dyDescent="0.3">
      <c r="A4952" s="8">
        <v>1968279</v>
      </c>
      <c r="B4952" s="11">
        <v>44585</v>
      </c>
      <c r="C4952" s="13" t="s">
        <v>1956</v>
      </c>
      <c r="D4952" s="13" t="s">
        <v>6372</v>
      </c>
      <c r="E4952" s="8">
        <v>1362685.5</v>
      </c>
      <c r="F4952" s="13" t="s">
        <v>70</v>
      </c>
      <c r="G4952" s="14">
        <v>44586</v>
      </c>
      <c r="H4952" s="13" t="s">
        <v>35</v>
      </c>
    </row>
    <row r="4953" spans="1:8" ht="14.4" x14ac:dyDescent="0.3">
      <c r="A4953" s="8">
        <v>1968280</v>
      </c>
      <c r="B4953" s="11">
        <v>44585</v>
      </c>
      <c r="C4953" s="13" t="s">
        <v>1956</v>
      </c>
      <c r="D4953" s="13" t="s">
        <v>6373</v>
      </c>
      <c r="E4953" s="8">
        <v>2960431.29</v>
      </c>
      <c r="F4953" s="13" t="s">
        <v>70</v>
      </c>
      <c r="G4953" s="14">
        <v>44586</v>
      </c>
      <c r="H4953" s="13" t="s">
        <v>35</v>
      </c>
    </row>
    <row r="4954" spans="1:8" ht="14.4" x14ac:dyDescent="0.3">
      <c r="A4954" s="8">
        <v>1968281</v>
      </c>
      <c r="B4954" s="11">
        <v>44585</v>
      </c>
      <c r="C4954" s="13" t="s">
        <v>1956</v>
      </c>
      <c r="D4954" s="13" t="s">
        <v>6374</v>
      </c>
      <c r="E4954" s="8">
        <v>1362685.5</v>
      </c>
      <c r="F4954" s="13" t="s">
        <v>70</v>
      </c>
      <c r="G4954" s="14">
        <v>44586</v>
      </c>
      <c r="H4954" s="13" t="s">
        <v>35</v>
      </c>
    </row>
    <row r="4955" spans="1:8" ht="14.4" x14ac:dyDescent="0.3">
      <c r="A4955" s="8">
        <v>1968282</v>
      </c>
      <c r="B4955" s="11">
        <v>44585</v>
      </c>
      <c r="C4955" s="13" t="s">
        <v>1956</v>
      </c>
      <c r="D4955" s="13" t="s">
        <v>6375</v>
      </c>
      <c r="E4955" s="8">
        <v>2960431.29</v>
      </c>
      <c r="F4955" s="13" t="s">
        <v>70</v>
      </c>
      <c r="G4955" s="14">
        <v>44586</v>
      </c>
      <c r="H4955" s="13" t="s">
        <v>35</v>
      </c>
    </row>
    <row r="4956" spans="1:8" ht="14.4" x14ac:dyDescent="0.3">
      <c r="A4956" s="8">
        <v>1968283</v>
      </c>
      <c r="B4956" s="11">
        <v>44585</v>
      </c>
      <c r="C4956" s="13" t="s">
        <v>44</v>
      </c>
      <c r="D4956" s="13" t="s">
        <v>6376</v>
      </c>
      <c r="E4956" s="8">
        <v>61950</v>
      </c>
      <c r="F4956" s="13" t="s">
        <v>70</v>
      </c>
      <c r="G4956" s="14">
        <v>44587</v>
      </c>
      <c r="H4956" s="13" t="s">
        <v>35</v>
      </c>
    </row>
    <row r="4957" spans="1:8" ht="14.4" x14ac:dyDescent="0.3">
      <c r="A4957" s="8">
        <v>1968284</v>
      </c>
      <c r="B4957" s="11">
        <v>44585</v>
      </c>
      <c r="C4957" s="13" t="s">
        <v>44</v>
      </c>
      <c r="D4957" s="13" t="s">
        <v>6377</v>
      </c>
      <c r="E4957" s="8">
        <v>31500</v>
      </c>
      <c r="F4957" s="13" t="s">
        <v>70</v>
      </c>
      <c r="G4957" s="14">
        <v>44587</v>
      </c>
      <c r="H4957" s="13" t="s">
        <v>35</v>
      </c>
    </row>
    <row r="4958" spans="1:8" ht="14.4" x14ac:dyDescent="0.3">
      <c r="A4958" s="8">
        <v>1968285</v>
      </c>
      <c r="B4958" s="11">
        <v>44585</v>
      </c>
      <c r="C4958" s="13" t="s">
        <v>26</v>
      </c>
      <c r="D4958" s="13" t="s">
        <v>6378</v>
      </c>
      <c r="E4958" s="8">
        <v>75000</v>
      </c>
      <c r="F4958" s="13" t="s">
        <v>70</v>
      </c>
      <c r="G4958" s="14">
        <v>44596</v>
      </c>
      <c r="H4958" s="13" t="s">
        <v>35</v>
      </c>
    </row>
    <row r="4959" spans="1:8" ht="14.4" x14ac:dyDescent="0.3">
      <c r="A4959" s="8">
        <v>1968286</v>
      </c>
      <c r="B4959" s="11">
        <v>44585</v>
      </c>
      <c r="C4959" s="13" t="s">
        <v>26</v>
      </c>
      <c r="D4959" s="13" t="s">
        <v>6379</v>
      </c>
      <c r="E4959" s="8">
        <v>14062.5</v>
      </c>
      <c r="F4959" s="13" t="s">
        <v>70</v>
      </c>
      <c r="G4959" s="14">
        <v>44596</v>
      </c>
      <c r="H4959" s="13" t="s">
        <v>35</v>
      </c>
    </row>
    <row r="4960" spans="1:8" ht="14.4" x14ac:dyDescent="0.3">
      <c r="A4960" s="8">
        <v>1968287</v>
      </c>
      <c r="B4960" s="11">
        <v>44585</v>
      </c>
      <c r="C4960" s="13" t="s">
        <v>26</v>
      </c>
      <c r="D4960" s="13" t="s">
        <v>6380</v>
      </c>
      <c r="E4960" s="8">
        <v>71741.25</v>
      </c>
      <c r="F4960" s="13" t="s">
        <v>70</v>
      </c>
      <c r="G4960" s="14">
        <v>44596</v>
      </c>
      <c r="H4960" s="13" t="s">
        <v>35</v>
      </c>
    </row>
    <row r="4961" spans="1:8" ht="14.4" x14ac:dyDescent="0.3">
      <c r="A4961" s="8">
        <v>1968288</v>
      </c>
      <c r="B4961" s="11">
        <v>44585</v>
      </c>
      <c r="C4961" s="13" t="s">
        <v>44</v>
      </c>
      <c r="D4961" s="13" t="s">
        <v>6381</v>
      </c>
      <c r="E4961" s="8">
        <v>944.34</v>
      </c>
      <c r="F4961" s="13" t="s">
        <v>70</v>
      </c>
      <c r="G4961" s="14">
        <v>44587</v>
      </c>
      <c r="H4961" s="13" t="s">
        <v>35</v>
      </c>
    </row>
    <row r="4962" spans="1:8" ht="14.4" x14ac:dyDescent="0.3">
      <c r="A4962" s="8">
        <v>1968289</v>
      </c>
      <c r="B4962" s="11">
        <v>44585</v>
      </c>
      <c r="C4962" s="13" t="s">
        <v>153</v>
      </c>
      <c r="D4962" s="13" t="s">
        <v>6382</v>
      </c>
      <c r="E4962" s="8">
        <v>112275.5</v>
      </c>
      <c r="F4962" s="13" t="s">
        <v>70</v>
      </c>
      <c r="G4962" s="14">
        <v>44592</v>
      </c>
      <c r="H4962" s="13" t="s">
        <v>35</v>
      </c>
    </row>
    <row r="4963" spans="1:8" ht="14.4" x14ac:dyDescent="0.3">
      <c r="A4963" s="8">
        <v>1968290</v>
      </c>
      <c r="B4963" s="11">
        <v>44585</v>
      </c>
      <c r="C4963" s="13" t="s">
        <v>60</v>
      </c>
      <c r="D4963" s="13" t="s">
        <v>6383</v>
      </c>
      <c r="E4963" s="8">
        <v>24046054.199999999</v>
      </c>
      <c r="F4963" s="13" t="s">
        <v>70</v>
      </c>
      <c r="G4963" s="14">
        <v>44586</v>
      </c>
      <c r="H4963" s="13" t="s">
        <v>35</v>
      </c>
    </row>
    <row r="4964" spans="1:8" ht="14.4" x14ac:dyDescent="0.3">
      <c r="A4964" s="8">
        <v>1968291</v>
      </c>
      <c r="B4964" s="11">
        <v>44585</v>
      </c>
      <c r="C4964" s="13" t="s">
        <v>60</v>
      </c>
      <c r="D4964" s="13" t="s">
        <v>6384</v>
      </c>
      <c r="E4964" s="8">
        <v>1573012.01</v>
      </c>
      <c r="F4964" s="13" t="s">
        <v>70</v>
      </c>
      <c r="G4964" s="14">
        <v>44586</v>
      </c>
      <c r="H4964" s="13" t="s">
        <v>35</v>
      </c>
    </row>
    <row r="4965" spans="1:8" ht="14.4" x14ac:dyDescent="0.3">
      <c r="A4965" s="8">
        <v>1968292</v>
      </c>
      <c r="B4965" s="11">
        <v>44585</v>
      </c>
      <c r="C4965" s="13" t="s">
        <v>60</v>
      </c>
      <c r="D4965" s="13" t="s">
        <v>6385</v>
      </c>
      <c r="E4965" s="8">
        <v>1573012.01</v>
      </c>
      <c r="F4965" s="13" t="s">
        <v>70</v>
      </c>
      <c r="G4965" s="14">
        <v>44586</v>
      </c>
      <c r="H4965" s="13" t="s">
        <v>35</v>
      </c>
    </row>
    <row r="4966" spans="1:8" ht="14.4" x14ac:dyDescent="0.3">
      <c r="A4966" s="8">
        <v>1968293</v>
      </c>
      <c r="B4966" s="11">
        <v>44585</v>
      </c>
      <c r="C4966" s="13" t="s">
        <v>60</v>
      </c>
      <c r="D4966" s="13" t="s">
        <v>6386</v>
      </c>
      <c r="E4966" s="8">
        <v>3429272.49</v>
      </c>
      <c r="F4966" s="13" t="s">
        <v>70</v>
      </c>
      <c r="G4966" s="14">
        <v>44586</v>
      </c>
      <c r="H4966" s="13" t="s">
        <v>35</v>
      </c>
    </row>
    <row r="4967" spans="1:8" ht="14.4" x14ac:dyDescent="0.3">
      <c r="A4967" s="8">
        <v>1968296</v>
      </c>
      <c r="B4967" s="11">
        <v>44585</v>
      </c>
      <c r="C4967" s="13" t="s">
        <v>50</v>
      </c>
      <c r="D4967" s="13" t="s">
        <v>6387</v>
      </c>
      <c r="E4967" s="8">
        <v>106700</v>
      </c>
      <c r="F4967" s="13" t="s">
        <v>70</v>
      </c>
      <c r="G4967" s="14">
        <v>44588</v>
      </c>
      <c r="H4967" s="13" t="s">
        <v>35</v>
      </c>
    </row>
    <row r="4968" spans="1:8" ht="14.4" x14ac:dyDescent="0.3">
      <c r="A4968" s="8">
        <v>1968297</v>
      </c>
      <c r="B4968" s="11">
        <v>44585</v>
      </c>
      <c r="C4968" s="13" t="s">
        <v>6388</v>
      </c>
      <c r="D4968" s="13" t="s">
        <v>6389</v>
      </c>
      <c r="E4968" s="8">
        <v>180000</v>
      </c>
      <c r="F4968" s="13" t="s">
        <v>70</v>
      </c>
      <c r="G4968" s="14">
        <v>44587</v>
      </c>
      <c r="H4968" s="13" t="s">
        <v>35</v>
      </c>
    </row>
    <row r="4969" spans="1:8" ht="14.4" x14ac:dyDescent="0.3">
      <c r="A4969" s="8">
        <v>1968298</v>
      </c>
      <c r="B4969" s="11">
        <v>44585</v>
      </c>
      <c r="C4969" s="13" t="s">
        <v>2428</v>
      </c>
      <c r="D4969" s="13" t="s">
        <v>6390</v>
      </c>
      <c r="E4969" s="8">
        <v>56260</v>
      </c>
      <c r="F4969" s="13" t="s">
        <v>70</v>
      </c>
      <c r="G4969" s="14">
        <v>44595</v>
      </c>
      <c r="H4969" s="13" t="s">
        <v>35</v>
      </c>
    </row>
    <row r="4970" spans="1:8" ht="14.4" x14ac:dyDescent="0.3">
      <c r="A4970" s="8">
        <v>1968299</v>
      </c>
      <c r="B4970" s="11">
        <v>44585</v>
      </c>
      <c r="C4970" s="13" t="s">
        <v>6388</v>
      </c>
      <c r="D4970" s="13" t="s">
        <v>6391</v>
      </c>
      <c r="E4970" s="8">
        <v>160000</v>
      </c>
      <c r="F4970" s="13" t="s">
        <v>70</v>
      </c>
      <c r="G4970" s="14">
        <v>44587</v>
      </c>
      <c r="H4970" s="13" t="s">
        <v>35</v>
      </c>
    </row>
    <row r="4971" spans="1:8" ht="14.4" x14ac:dyDescent="0.3">
      <c r="A4971" s="8">
        <v>1968301</v>
      </c>
      <c r="B4971" s="11">
        <v>44585</v>
      </c>
      <c r="C4971" s="13" t="s">
        <v>6388</v>
      </c>
      <c r="D4971" s="13" t="s">
        <v>6392</v>
      </c>
      <c r="E4971" s="8">
        <v>140000</v>
      </c>
      <c r="F4971" s="13" t="s">
        <v>70</v>
      </c>
      <c r="G4971" s="14">
        <v>44587</v>
      </c>
      <c r="H4971" s="13" t="s">
        <v>35</v>
      </c>
    </row>
    <row r="4972" spans="1:8" ht="14.4" x14ac:dyDescent="0.3">
      <c r="A4972" s="8">
        <v>1968302</v>
      </c>
      <c r="B4972" s="11">
        <v>44585</v>
      </c>
      <c r="C4972" s="13" t="s">
        <v>3525</v>
      </c>
      <c r="D4972" s="13" t="s">
        <v>6393</v>
      </c>
      <c r="E4972" s="8">
        <v>238620</v>
      </c>
      <c r="F4972" s="13" t="s">
        <v>70</v>
      </c>
      <c r="G4972" s="14">
        <v>44588</v>
      </c>
      <c r="H4972" s="13" t="s">
        <v>35</v>
      </c>
    </row>
    <row r="4973" spans="1:8" ht="14.4" x14ac:dyDescent="0.3">
      <c r="A4973" s="8">
        <v>1968303</v>
      </c>
      <c r="B4973" s="11">
        <v>44585</v>
      </c>
      <c r="C4973" s="13" t="s">
        <v>3525</v>
      </c>
      <c r="D4973" s="13" t="s">
        <v>6394</v>
      </c>
      <c r="E4973" s="8">
        <v>93120</v>
      </c>
      <c r="F4973" s="13" t="s">
        <v>70</v>
      </c>
      <c r="G4973" s="14">
        <v>44588</v>
      </c>
      <c r="H4973" s="13" t="s">
        <v>35</v>
      </c>
    </row>
    <row r="4974" spans="1:8" ht="14.4" x14ac:dyDescent="0.3">
      <c r="A4974" s="8">
        <v>1968304</v>
      </c>
      <c r="B4974" s="11">
        <v>44585</v>
      </c>
      <c r="C4974" s="13" t="s">
        <v>2428</v>
      </c>
      <c r="D4974" s="13" t="s">
        <v>6395</v>
      </c>
      <c r="E4974" s="8">
        <v>65960</v>
      </c>
      <c r="F4974" s="13" t="s">
        <v>70</v>
      </c>
      <c r="G4974" s="14">
        <v>44595</v>
      </c>
      <c r="H4974" s="13" t="s">
        <v>35</v>
      </c>
    </row>
    <row r="4975" spans="1:8" ht="14.4" x14ac:dyDescent="0.3">
      <c r="A4975" s="8">
        <v>1968305</v>
      </c>
      <c r="B4975" s="11">
        <v>44585</v>
      </c>
      <c r="C4975" s="13" t="s">
        <v>6388</v>
      </c>
      <c r="D4975" s="13" t="s">
        <v>6396</v>
      </c>
      <c r="E4975" s="8">
        <v>150000</v>
      </c>
      <c r="F4975" s="13" t="s">
        <v>70</v>
      </c>
      <c r="G4975" s="14">
        <v>44587</v>
      </c>
      <c r="H4975" s="13" t="s">
        <v>35</v>
      </c>
    </row>
    <row r="4976" spans="1:8" ht="14.4" x14ac:dyDescent="0.3">
      <c r="A4976" s="8">
        <v>1968306</v>
      </c>
      <c r="B4976" s="11">
        <v>44585</v>
      </c>
      <c r="C4976" s="13" t="s">
        <v>1726</v>
      </c>
      <c r="D4976" s="13" t="s">
        <v>6397</v>
      </c>
      <c r="E4976" s="8">
        <v>56260</v>
      </c>
      <c r="F4976" s="13" t="s">
        <v>70</v>
      </c>
      <c r="G4976" s="14">
        <v>44587</v>
      </c>
      <c r="H4976" s="13" t="s">
        <v>35</v>
      </c>
    </row>
    <row r="4977" spans="1:8" ht="14.4" x14ac:dyDescent="0.3">
      <c r="A4977" s="8">
        <v>1968307</v>
      </c>
      <c r="B4977" s="11">
        <v>44585</v>
      </c>
      <c r="C4977" s="13" t="s">
        <v>1308</v>
      </c>
      <c r="D4977" s="13" t="s">
        <v>6398</v>
      </c>
      <c r="E4977" s="8">
        <v>61875</v>
      </c>
      <c r="F4977" s="13" t="s">
        <v>70</v>
      </c>
      <c r="G4977" s="14">
        <v>44600</v>
      </c>
      <c r="H4977" s="13" t="s">
        <v>35</v>
      </c>
    </row>
    <row r="4978" spans="1:8" ht="14.4" x14ac:dyDescent="0.3">
      <c r="A4978" s="8">
        <v>1968308</v>
      </c>
      <c r="B4978" s="11">
        <v>44585</v>
      </c>
      <c r="C4978" s="13" t="s">
        <v>2102</v>
      </c>
      <c r="D4978" s="13" t="s">
        <v>1209</v>
      </c>
      <c r="E4978" s="8">
        <v>48000</v>
      </c>
      <c r="F4978" s="13" t="s">
        <v>70</v>
      </c>
      <c r="G4978" s="14">
        <v>44599</v>
      </c>
      <c r="H4978" s="13" t="s">
        <v>35</v>
      </c>
    </row>
    <row r="4979" spans="1:8" ht="14.4" x14ac:dyDescent="0.3">
      <c r="A4979" s="8">
        <v>1968309</v>
      </c>
      <c r="B4979" s="11">
        <v>44585</v>
      </c>
      <c r="C4979" s="13" t="s">
        <v>71</v>
      </c>
      <c r="D4979" s="13" t="s">
        <v>6399</v>
      </c>
      <c r="E4979" s="8">
        <v>20740.79</v>
      </c>
      <c r="F4979" s="13" t="s">
        <v>70</v>
      </c>
      <c r="G4979" s="14">
        <v>44592</v>
      </c>
      <c r="H4979" s="13" t="s">
        <v>35</v>
      </c>
    </row>
    <row r="4980" spans="1:8" ht="14.4" x14ac:dyDescent="0.3">
      <c r="A4980" s="8">
        <v>1968312</v>
      </c>
      <c r="B4980" s="11">
        <v>44585</v>
      </c>
      <c r="C4980" s="13" t="s">
        <v>1716</v>
      </c>
      <c r="D4980" s="13" t="s">
        <v>6400</v>
      </c>
      <c r="E4980" s="8">
        <v>41944</v>
      </c>
      <c r="F4980" s="13" t="s">
        <v>70</v>
      </c>
      <c r="G4980" s="14">
        <v>44594</v>
      </c>
      <c r="H4980" s="13" t="s">
        <v>35</v>
      </c>
    </row>
    <row r="4981" spans="1:8" ht="14.4" x14ac:dyDescent="0.3">
      <c r="A4981" s="8">
        <v>1968313</v>
      </c>
      <c r="B4981" s="11">
        <v>44585</v>
      </c>
      <c r="C4981" s="13" t="s">
        <v>2684</v>
      </c>
      <c r="D4981" s="13" t="s">
        <v>6401</v>
      </c>
      <c r="E4981" s="8">
        <v>58200</v>
      </c>
      <c r="F4981" s="13" t="s">
        <v>70</v>
      </c>
      <c r="G4981" s="14">
        <v>44588</v>
      </c>
      <c r="H4981" s="13" t="s">
        <v>35</v>
      </c>
    </row>
    <row r="4982" spans="1:8" ht="14.4" x14ac:dyDescent="0.3">
      <c r="A4982" s="8">
        <v>1968314</v>
      </c>
      <c r="B4982" s="11">
        <v>44585</v>
      </c>
      <c r="C4982" s="13" t="s">
        <v>232</v>
      </c>
      <c r="D4982" s="13" t="s">
        <v>6402</v>
      </c>
      <c r="E4982" s="8">
        <v>1200</v>
      </c>
      <c r="F4982" s="13" t="s">
        <v>70</v>
      </c>
      <c r="G4982" s="14">
        <v>44588</v>
      </c>
      <c r="H4982" s="13" t="s">
        <v>35</v>
      </c>
    </row>
    <row r="4983" spans="1:8" ht="14.4" x14ac:dyDescent="0.3">
      <c r="A4983" s="8">
        <v>1968315</v>
      </c>
      <c r="B4983" s="11">
        <v>44585</v>
      </c>
      <c r="C4983" s="13" t="s">
        <v>6403</v>
      </c>
      <c r="D4983" s="13" t="s">
        <v>6404</v>
      </c>
      <c r="E4983" s="8">
        <v>16041.37</v>
      </c>
      <c r="F4983" s="13" t="s">
        <v>70</v>
      </c>
      <c r="G4983" s="14">
        <v>44588</v>
      </c>
      <c r="H4983" s="13" t="s">
        <v>35</v>
      </c>
    </row>
    <row r="4984" spans="1:8" ht="14.4" x14ac:dyDescent="0.3">
      <c r="A4984" s="8">
        <v>1968316</v>
      </c>
      <c r="B4984" s="11">
        <v>44585</v>
      </c>
      <c r="C4984" s="13" t="s">
        <v>53</v>
      </c>
      <c r="D4984" s="13" t="s">
        <v>6405</v>
      </c>
      <c r="E4984" s="8">
        <v>169902.6</v>
      </c>
      <c r="F4984" s="13" t="s">
        <v>70</v>
      </c>
      <c r="G4984" s="14">
        <v>44587</v>
      </c>
      <c r="H4984" s="13" t="s">
        <v>35</v>
      </c>
    </row>
    <row r="4985" spans="1:8" ht="14.4" x14ac:dyDescent="0.3">
      <c r="A4985" s="8">
        <v>1968317</v>
      </c>
      <c r="B4985" s="11">
        <v>44585</v>
      </c>
      <c r="C4985" s="13" t="s">
        <v>2074</v>
      </c>
      <c r="D4985" s="13" t="s">
        <v>6406</v>
      </c>
      <c r="E4985" s="8">
        <v>5300</v>
      </c>
      <c r="F4985" s="13" t="s">
        <v>70</v>
      </c>
      <c r="G4985" s="14">
        <v>44587</v>
      </c>
      <c r="H4985" s="13" t="s">
        <v>35</v>
      </c>
    </row>
    <row r="4986" spans="1:8" ht="14.4" x14ac:dyDescent="0.3">
      <c r="A4986" s="8">
        <v>1968318</v>
      </c>
      <c r="B4986" s="11">
        <v>44585</v>
      </c>
      <c r="C4986" s="13" t="s">
        <v>191</v>
      </c>
      <c r="D4986" s="13" t="s">
        <v>6407</v>
      </c>
      <c r="E4986" s="8">
        <v>20395.54</v>
      </c>
      <c r="F4986" s="13" t="s">
        <v>70</v>
      </c>
      <c r="G4986" s="14">
        <v>44586</v>
      </c>
      <c r="H4986" s="13" t="s">
        <v>35</v>
      </c>
    </row>
    <row r="4987" spans="1:8" ht="14.4" x14ac:dyDescent="0.3">
      <c r="A4987" s="8">
        <v>1968319</v>
      </c>
      <c r="B4987" s="11">
        <v>44585</v>
      </c>
      <c r="C4987" s="13" t="s">
        <v>376</v>
      </c>
      <c r="D4987" s="13" t="s">
        <v>6408</v>
      </c>
      <c r="E4987" s="8">
        <v>39396</v>
      </c>
      <c r="F4987" s="13" t="s">
        <v>70</v>
      </c>
      <c r="G4987" s="14">
        <v>44599</v>
      </c>
      <c r="H4987" s="13" t="s">
        <v>35</v>
      </c>
    </row>
    <row r="4988" spans="1:8" ht="14.4" x14ac:dyDescent="0.3">
      <c r="A4988" s="8">
        <v>1968320</v>
      </c>
      <c r="B4988" s="11">
        <v>44585</v>
      </c>
      <c r="C4988" s="13" t="s">
        <v>191</v>
      </c>
      <c r="D4988" s="13" t="s">
        <v>6409</v>
      </c>
      <c r="E4988" s="8">
        <v>20395.54</v>
      </c>
      <c r="F4988" s="13" t="s">
        <v>70</v>
      </c>
      <c r="G4988" s="14">
        <v>44586</v>
      </c>
      <c r="H4988" s="13" t="s">
        <v>35</v>
      </c>
    </row>
    <row r="4989" spans="1:8" ht="14.4" x14ac:dyDescent="0.3">
      <c r="A4989" s="8">
        <v>1968321</v>
      </c>
      <c r="B4989" s="11">
        <v>44585</v>
      </c>
      <c r="C4989" s="13" t="s">
        <v>374</v>
      </c>
      <c r="D4989" s="13" t="s">
        <v>6410</v>
      </c>
      <c r="E4989" s="8">
        <v>338835</v>
      </c>
      <c r="F4989" s="13" t="s">
        <v>70</v>
      </c>
      <c r="G4989" s="14">
        <v>44599</v>
      </c>
      <c r="H4989" s="13" t="s">
        <v>35</v>
      </c>
    </row>
    <row r="4990" spans="1:8" ht="14.4" x14ac:dyDescent="0.3">
      <c r="A4990" s="8">
        <v>1968322</v>
      </c>
      <c r="B4990" s="11">
        <v>44585</v>
      </c>
      <c r="C4990" s="13" t="s">
        <v>1716</v>
      </c>
      <c r="D4990" s="13" t="s">
        <v>6411</v>
      </c>
      <c r="E4990" s="8">
        <v>6703.2</v>
      </c>
      <c r="F4990" s="13" t="s">
        <v>70</v>
      </c>
      <c r="G4990" s="14">
        <v>44594</v>
      </c>
      <c r="H4990" s="13" t="s">
        <v>35</v>
      </c>
    </row>
    <row r="4991" spans="1:8" ht="14.4" x14ac:dyDescent="0.3">
      <c r="A4991" s="8">
        <v>1968323</v>
      </c>
      <c r="B4991" s="11">
        <v>44585</v>
      </c>
      <c r="C4991" s="13" t="s">
        <v>53</v>
      </c>
      <c r="D4991" s="13" t="s">
        <v>6412</v>
      </c>
      <c r="E4991" s="8">
        <v>169902.6</v>
      </c>
      <c r="F4991" s="13" t="s">
        <v>70</v>
      </c>
      <c r="G4991" s="14">
        <v>44587</v>
      </c>
      <c r="H4991" s="13" t="s">
        <v>35</v>
      </c>
    </row>
    <row r="4992" spans="1:8" ht="14.4" x14ac:dyDescent="0.3">
      <c r="A4992" s="8">
        <v>1968324</v>
      </c>
      <c r="B4992" s="11">
        <v>44585</v>
      </c>
      <c r="C4992" s="13" t="s">
        <v>374</v>
      </c>
      <c r="D4992" s="13" t="s">
        <v>6413</v>
      </c>
      <c r="E4992" s="8">
        <v>325115</v>
      </c>
      <c r="F4992" s="13" t="s">
        <v>70</v>
      </c>
      <c r="G4992" s="14">
        <v>44599</v>
      </c>
      <c r="H4992" s="13" t="s">
        <v>35</v>
      </c>
    </row>
    <row r="4993" spans="1:8" ht="14.4" x14ac:dyDescent="0.3">
      <c r="A4993" s="8">
        <v>1968325</v>
      </c>
      <c r="B4993" s="11">
        <v>44585</v>
      </c>
      <c r="C4993" s="13" t="s">
        <v>6414</v>
      </c>
      <c r="D4993" s="13" t="s">
        <v>6415</v>
      </c>
      <c r="E4993" s="8">
        <v>318385.71999999997</v>
      </c>
      <c r="F4993" s="13" t="s">
        <v>70</v>
      </c>
      <c r="G4993" s="14">
        <v>44588</v>
      </c>
      <c r="H4993" s="13" t="s">
        <v>35</v>
      </c>
    </row>
    <row r="4994" spans="1:8" ht="14.4" x14ac:dyDescent="0.3">
      <c r="A4994" s="8">
        <v>1968326</v>
      </c>
      <c r="B4994" s="11">
        <v>44585</v>
      </c>
      <c r="C4994" s="13" t="s">
        <v>1596</v>
      </c>
      <c r="D4994" s="13" t="s">
        <v>6416</v>
      </c>
      <c r="E4994" s="8">
        <v>128772</v>
      </c>
      <c r="F4994" s="13" t="s">
        <v>70</v>
      </c>
      <c r="G4994" s="14">
        <v>44586</v>
      </c>
      <c r="H4994" s="13" t="s">
        <v>35</v>
      </c>
    </row>
    <row r="4995" spans="1:8" ht="14.4" x14ac:dyDescent="0.3">
      <c r="A4995" s="8">
        <v>1968327</v>
      </c>
      <c r="B4995" s="11">
        <v>44585</v>
      </c>
      <c r="C4995" s="13" t="s">
        <v>1596</v>
      </c>
      <c r="D4995" s="13" t="s">
        <v>6417</v>
      </c>
      <c r="E4995" s="8">
        <v>27930</v>
      </c>
      <c r="F4995" s="13" t="s">
        <v>70</v>
      </c>
      <c r="G4995" s="14">
        <v>44586</v>
      </c>
      <c r="H4995" s="13" t="s">
        <v>35</v>
      </c>
    </row>
    <row r="4996" spans="1:8" ht="14.4" x14ac:dyDescent="0.3">
      <c r="A4996" s="8">
        <v>1968328</v>
      </c>
      <c r="B4996" s="11">
        <v>44585</v>
      </c>
      <c r="C4996" s="13" t="s">
        <v>6418</v>
      </c>
      <c r="D4996" s="13" t="s">
        <v>6419</v>
      </c>
      <c r="E4996" s="8">
        <v>770000</v>
      </c>
      <c r="F4996" s="13" t="s">
        <v>70</v>
      </c>
      <c r="G4996" s="14">
        <v>44587</v>
      </c>
      <c r="H4996" s="13" t="s">
        <v>35</v>
      </c>
    </row>
    <row r="4997" spans="1:8" ht="14.4" x14ac:dyDescent="0.3">
      <c r="A4997" s="8">
        <v>1968329</v>
      </c>
      <c r="B4997" s="11">
        <v>44585</v>
      </c>
      <c r="C4997" s="13" t="s">
        <v>6420</v>
      </c>
      <c r="D4997" s="13" t="s">
        <v>6421</v>
      </c>
      <c r="E4997" s="8">
        <v>555954</v>
      </c>
      <c r="F4997" s="13" t="s">
        <v>70</v>
      </c>
      <c r="G4997" s="14">
        <v>44586</v>
      </c>
      <c r="H4997" s="13" t="s">
        <v>35</v>
      </c>
    </row>
    <row r="4998" spans="1:8" ht="14.4" x14ac:dyDescent="0.3">
      <c r="A4998" s="8">
        <v>1968330</v>
      </c>
      <c r="B4998" s="11">
        <v>44585</v>
      </c>
      <c r="C4998" s="13" t="s">
        <v>1420</v>
      </c>
      <c r="D4998" s="13" t="s">
        <v>6422</v>
      </c>
      <c r="E4998" s="8">
        <v>935613.88</v>
      </c>
      <c r="F4998" s="13" t="s">
        <v>70</v>
      </c>
      <c r="G4998" s="14">
        <v>44588</v>
      </c>
      <c r="H4998" s="13" t="s">
        <v>35</v>
      </c>
    </row>
    <row r="4999" spans="1:8" ht="14.4" x14ac:dyDescent="0.3">
      <c r="A4999" s="8">
        <v>1968331</v>
      </c>
      <c r="B4999" s="11">
        <v>44585</v>
      </c>
      <c r="C4999" s="13" t="s">
        <v>1420</v>
      </c>
      <c r="D4999" s="13" t="s">
        <v>6423</v>
      </c>
      <c r="E4999" s="8">
        <v>129082</v>
      </c>
      <c r="F4999" s="13" t="s">
        <v>70</v>
      </c>
      <c r="G4999" s="14">
        <v>44588</v>
      </c>
      <c r="H4999" s="13" t="s">
        <v>35</v>
      </c>
    </row>
    <row r="5000" spans="1:8" ht="14.4" x14ac:dyDescent="0.3">
      <c r="A5000" s="8">
        <v>1968332</v>
      </c>
      <c r="B5000" s="11">
        <v>44585</v>
      </c>
      <c r="C5000" s="13" t="s">
        <v>395</v>
      </c>
      <c r="D5000" s="13" t="s">
        <v>6424</v>
      </c>
      <c r="E5000" s="8">
        <v>59019</v>
      </c>
      <c r="F5000" s="13" t="s">
        <v>70</v>
      </c>
      <c r="G5000" s="14">
        <v>44592</v>
      </c>
      <c r="H5000" s="13" t="s">
        <v>35</v>
      </c>
    </row>
    <row r="5001" spans="1:8" ht="14.4" x14ac:dyDescent="0.3">
      <c r="A5001" s="8">
        <v>1968333</v>
      </c>
      <c r="B5001" s="11">
        <v>44585</v>
      </c>
      <c r="C5001" s="13" t="s">
        <v>265</v>
      </c>
      <c r="D5001" s="13" t="s">
        <v>6425</v>
      </c>
      <c r="E5001" s="8">
        <v>17668</v>
      </c>
      <c r="F5001" s="13" t="s">
        <v>70</v>
      </c>
      <c r="G5001" s="14">
        <v>44592</v>
      </c>
      <c r="H5001" s="13" t="s">
        <v>35</v>
      </c>
    </row>
    <row r="5002" spans="1:8" ht="14.4" x14ac:dyDescent="0.3">
      <c r="A5002" s="8">
        <v>1968334</v>
      </c>
      <c r="B5002" s="11">
        <v>44586</v>
      </c>
      <c r="C5002" s="13" t="s">
        <v>275</v>
      </c>
      <c r="D5002" s="13" t="s">
        <v>6426</v>
      </c>
      <c r="E5002" s="8">
        <v>294570</v>
      </c>
      <c r="F5002" s="13" t="s">
        <v>70</v>
      </c>
      <c r="G5002" s="14">
        <v>44586</v>
      </c>
      <c r="H5002" s="13" t="s">
        <v>35</v>
      </c>
    </row>
    <row r="5003" spans="1:8" ht="14.4" x14ac:dyDescent="0.3">
      <c r="A5003" s="8">
        <v>1968336</v>
      </c>
      <c r="B5003" s="11">
        <v>44586</v>
      </c>
      <c r="C5003" s="13" t="s">
        <v>2842</v>
      </c>
      <c r="D5003" s="13" t="s">
        <v>6427</v>
      </c>
      <c r="E5003" s="8">
        <v>14760.02</v>
      </c>
      <c r="F5003" s="13" t="s">
        <v>70</v>
      </c>
      <c r="G5003" s="14">
        <v>44587</v>
      </c>
      <c r="H5003" s="13" t="s">
        <v>35</v>
      </c>
    </row>
    <row r="5004" spans="1:8" ht="14.4" x14ac:dyDescent="0.3">
      <c r="A5004" s="8">
        <v>1968337</v>
      </c>
      <c r="B5004" s="11">
        <v>44586</v>
      </c>
      <c r="C5004" s="13" t="s">
        <v>217</v>
      </c>
      <c r="D5004" s="13" t="s">
        <v>6428</v>
      </c>
      <c r="E5004" s="8">
        <v>64406.48</v>
      </c>
      <c r="F5004" s="13" t="s">
        <v>70</v>
      </c>
      <c r="G5004" s="14">
        <v>44600</v>
      </c>
      <c r="H5004" s="13" t="s">
        <v>35</v>
      </c>
    </row>
    <row r="5005" spans="1:8" ht="14.4" x14ac:dyDescent="0.3">
      <c r="A5005" s="8">
        <v>1968338</v>
      </c>
      <c r="B5005" s="11">
        <v>44586</v>
      </c>
      <c r="C5005" s="13" t="s">
        <v>6429</v>
      </c>
      <c r="D5005" s="13" t="s">
        <v>6430</v>
      </c>
      <c r="E5005" s="8">
        <v>60000</v>
      </c>
      <c r="F5005" s="13" t="s">
        <v>70</v>
      </c>
      <c r="G5005" s="14">
        <v>44595</v>
      </c>
      <c r="H5005" s="13" t="s">
        <v>35</v>
      </c>
    </row>
    <row r="5006" spans="1:8" ht="14.4" x14ac:dyDescent="0.3">
      <c r="A5006" s="8">
        <v>1968339</v>
      </c>
      <c r="B5006" s="11">
        <v>44586</v>
      </c>
      <c r="C5006" s="13" t="s">
        <v>405</v>
      </c>
      <c r="D5006" s="13" t="s">
        <v>6431</v>
      </c>
      <c r="E5006" s="8">
        <v>44527.93</v>
      </c>
      <c r="F5006" s="13" t="s">
        <v>70</v>
      </c>
      <c r="G5006" s="14">
        <v>44589</v>
      </c>
      <c r="H5006" s="13" t="s">
        <v>35</v>
      </c>
    </row>
    <row r="5007" spans="1:8" ht="14.4" x14ac:dyDescent="0.3">
      <c r="A5007" s="8">
        <v>1968340</v>
      </c>
      <c r="B5007" s="11">
        <v>44586</v>
      </c>
      <c r="C5007" s="13" t="s">
        <v>405</v>
      </c>
      <c r="D5007" s="13" t="s">
        <v>6432</v>
      </c>
      <c r="E5007" s="8">
        <v>57577.31</v>
      </c>
      <c r="F5007" s="13" t="s">
        <v>70</v>
      </c>
      <c r="G5007" s="14">
        <v>44589</v>
      </c>
      <c r="H5007" s="13" t="s">
        <v>35</v>
      </c>
    </row>
    <row r="5008" spans="1:8" ht="14.4" x14ac:dyDescent="0.3">
      <c r="A5008" s="8">
        <v>1968342</v>
      </c>
      <c r="B5008" s="11">
        <v>44586</v>
      </c>
      <c r="C5008" s="13" t="s">
        <v>405</v>
      </c>
      <c r="D5008" s="13" t="s">
        <v>6433</v>
      </c>
      <c r="E5008" s="8">
        <v>23823.55</v>
      </c>
      <c r="F5008" s="13" t="s">
        <v>70</v>
      </c>
      <c r="G5008" s="14">
        <v>44589</v>
      </c>
      <c r="H5008" s="13" t="s">
        <v>35</v>
      </c>
    </row>
    <row r="5009" spans="1:8" ht="14.4" x14ac:dyDescent="0.3">
      <c r="A5009" s="8">
        <v>1968343</v>
      </c>
      <c r="B5009" s="11">
        <v>44586</v>
      </c>
      <c r="C5009" s="13" t="s">
        <v>405</v>
      </c>
      <c r="D5009" s="13" t="s">
        <v>6434</v>
      </c>
      <c r="E5009" s="8">
        <v>2804.98</v>
      </c>
      <c r="F5009" s="13" t="s">
        <v>70</v>
      </c>
      <c r="G5009" s="14">
        <v>44589</v>
      </c>
      <c r="H5009" s="13" t="s">
        <v>35</v>
      </c>
    </row>
    <row r="5010" spans="1:8" ht="14.4" x14ac:dyDescent="0.3">
      <c r="A5010" s="8">
        <v>1968344</v>
      </c>
      <c r="B5010" s="11">
        <v>44586</v>
      </c>
      <c r="C5010" s="13" t="s">
        <v>405</v>
      </c>
      <c r="D5010" s="13" t="s">
        <v>6435</v>
      </c>
      <c r="E5010" s="8">
        <v>31578.86</v>
      </c>
      <c r="F5010" s="13" t="s">
        <v>70</v>
      </c>
      <c r="G5010" s="14">
        <v>44589</v>
      </c>
      <c r="H5010" s="13" t="s">
        <v>35</v>
      </c>
    </row>
    <row r="5011" spans="1:8" ht="14.4" x14ac:dyDescent="0.3">
      <c r="A5011" s="8">
        <v>1968345</v>
      </c>
      <c r="B5011" s="11">
        <v>44586</v>
      </c>
      <c r="C5011" s="13" t="s">
        <v>405</v>
      </c>
      <c r="D5011" s="13" t="s">
        <v>6436</v>
      </c>
      <c r="E5011" s="8">
        <v>19051.5</v>
      </c>
      <c r="F5011" s="13" t="s">
        <v>70</v>
      </c>
      <c r="G5011" s="14">
        <v>44589</v>
      </c>
      <c r="H5011" s="13" t="s">
        <v>35</v>
      </c>
    </row>
    <row r="5012" spans="1:8" ht="14.4" x14ac:dyDescent="0.3">
      <c r="A5012" s="8">
        <v>1968346</v>
      </c>
      <c r="B5012" s="11">
        <v>44586</v>
      </c>
      <c r="C5012" s="13" t="s">
        <v>405</v>
      </c>
      <c r="D5012" s="13" t="s">
        <v>6437</v>
      </c>
      <c r="E5012" s="8">
        <v>24330.73</v>
      </c>
      <c r="F5012" s="13" t="s">
        <v>70</v>
      </c>
      <c r="G5012" s="14">
        <v>44589</v>
      </c>
      <c r="H5012" s="13" t="s">
        <v>35</v>
      </c>
    </row>
    <row r="5013" spans="1:8" ht="14.4" x14ac:dyDescent="0.3">
      <c r="A5013" s="8">
        <v>1968347</v>
      </c>
      <c r="B5013" s="11">
        <v>44586</v>
      </c>
      <c r="C5013" s="13" t="s">
        <v>405</v>
      </c>
      <c r="D5013" s="13" t="s">
        <v>6438</v>
      </c>
      <c r="E5013" s="8">
        <v>22406.27</v>
      </c>
      <c r="F5013" s="13" t="s">
        <v>70</v>
      </c>
      <c r="G5013" s="14">
        <v>44589</v>
      </c>
      <c r="H5013" s="13" t="s">
        <v>35</v>
      </c>
    </row>
    <row r="5014" spans="1:8" ht="14.4" x14ac:dyDescent="0.3">
      <c r="A5014" s="8">
        <v>1968349</v>
      </c>
      <c r="B5014" s="11">
        <v>44586</v>
      </c>
      <c r="C5014" s="13" t="s">
        <v>405</v>
      </c>
      <c r="D5014" s="13" t="s">
        <v>6439</v>
      </c>
      <c r="E5014" s="8">
        <v>57689.41</v>
      </c>
      <c r="F5014" s="13" t="s">
        <v>70</v>
      </c>
      <c r="G5014" s="14">
        <v>44589</v>
      </c>
      <c r="H5014" s="13" t="s">
        <v>35</v>
      </c>
    </row>
    <row r="5015" spans="1:8" ht="14.4" x14ac:dyDescent="0.3">
      <c r="A5015" s="8">
        <v>1968350</v>
      </c>
      <c r="B5015" s="11">
        <v>44586</v>
      </c>
      <c r="C5015" s="13" t="s">
        <v>202</v>
      </c>
      <c r="D5015" s="13" t="s">
        <v>6440</v>
      </c>
      <c r="E5015" s="8">
        <v>9454.82</v>
      </c>
      <c r="F5015" s="13" t="s">
        <v>70</v>
      </c>
      <c r="G5015" s="14">
        <v>44588</v>
      </c>
      <c r="H5015" s="13" t="s">
        <v>35</v>
      </c>
    </row>
    <row r="5016" spans="1:8" ht="14.4" x14ac:dyDescent="0.3">
      <c r="A5016" s="8">
        <v>1968351</v>
      </c>
      <c r="B5016" s="11">
        <v>44586</v>
      </c>
      <c r="C5016" s="13" t="s">
        <v>202</v>
      </c>
      <c r="D5016" s="13" t="s">
        <v>6441</v>
      </c>
      <c r="E5016" s="8">
        <v>72105</v>
      </c>
      <c r="F5016" s="13" t="s">
        <v>70</v>
      </c>
      <c r="G5016" s="14">
        <v>44588</v>
      </c>
      <c r="H5016" s="13" t="s">
        <v>35</v>
      </c>
    </row>
    <row r="5017" spans="1:8" ht="14.4" x14ac:dyDescent="0.3">
      <c r="A5017" s="8">
        <v>1968352</v>
      </c>
      <c r="B5017" s="11">
        <v>44586</v>
      </c>
      <c r="C5017" s="13" t="s">
        <v>202</v>
      </c>
      <c r="D5017" s="13" t="s">
        <v>6442</v>
      </c>
      <c r="E5017" s="8">
        <v>541344.68000000005</v>
      </c>
      <c r="F5017" s="13" t="s">
        <v>70</v>
      </c>
      <c r="G5017" s="14">
        <v>44588</v>
      </c>
      <c r="H5017" s="13" t="s">
        <v>35</v>
      </c>
    </row>
    <row r="5018" spans="1:8" ht="14.4" x14ac:dyDescent="0.3">
      <c r="A5018" s="8">
        <v>1968353</v>
      </c>
      <c r="B5018" s="11">
        <v>44586</v>
      </c>
      <c r="C5018" s="13" t="s">
        <v>202</v>
      </c>
      <c r="D5018" s="13" t="s">
        <v>2329</v>
      </c>
      <c r="E5018" s="8">
        <v>360525</v>
      </c>
      <c r="F5018" s="13" t="s">
        <v>70</v>
      </c>
      <c r="G5018" s="14">
        <v>44588</v>
      </c>
      <c r="H5018" s="13" t="s">
        <v>35</v>
      </c>
    </row>
    <row r="5019" spans="1:8" ht="14.4" x14ac:dyDescent="0.3">
      <c r="A5019" s="8">
        <v>1968354</v>
      </c>
      <c r="B5019" s="11">
        <v>44586</v>
      </c>
      <c r="C5019" s="13" t="s">
        <v>202</v>
      </c>
      <c r="D5019" s="13" t="s">
        <v>6443</v>
      </c>
      <c r="E5019" s="8">
        <v>448736.57</v>
      </c>
      <c r="F5019" s="13" t="s">
        <v>70</v>
      </c>
      <c r="G5019" s="14">
        <v>44588</v>
      </c>
      <c r="H5019" s="13" t="s">
        <v>35</v>
      </c>
    </row>
    <row r="5020" spans="1:8" ht="14.4" x14ac:dyDescent="0.3">
      <c r="A5020" s="8">
        <v>1968355</v>
      </c>
      <c r="B5020" s="11">
        <v>44586</v>
      </c>
      <c r="C5020" s="13" t="s">
        <v>202</v>
      </c>
      <c r="D5020" s="13" t="s">
        <v>6444</v>
      </c>
      <c r="E5020" s="8">
        <v>156010.87</v>
      </c>
      <c r="F5020" s="13" t="s">
        <v>70</v>
      </c>
      <c r="G5020" s="14">
        <v>44588</v>
      </c>
      <c r="H5020" s="13" t="s">
        <v>35</v>
      </c>
    </row>
    <row r="5021" spans="1:8" ht="14.4" x14ac:dyDescent="0.3">
      <c r="A5021" s="8">
        <v>1968356</v>
      </c>
      <c r="B5021" s="11">
        <v>44586</v>
      </c>
      <c r="C5021" s="13" t="s">
        <v>202</v>
      </c>
      <c r="D5021" s="13" t="s">
        <v>6445</v>
      </c>
      <c r="E5021" s="8">
        <v>886513.19</v>
      </c>
      <c r="F5021" s="13" t="s">
        <v>70</v>
      </c>
      <c r="G5021" s="14">
        <v>44588</v>
      </c>
      <c r="H5021" s="13" t="s">
        <v>35</v>
      </c>
    </row>
    <row r="5022" spans="1:8" ht="14.4" x14ac:dyDescent="0.3">
      <c r="A5022" s="8">
        <v>1968357</v>
      </c>
      <c r="B5022" s="11">
        <v>44586</v>
      </c>
      <c r="C5022" s="13" t="s">
        <v>4191</v>
      </c>
      <c r="D5022" s="13" t="s">
        <v>6446</v>
      </c>
      <c r="E5022" s="8">
        <v>151234.22</v>
      </c>
      <c r="F5022" s="13" t="s">
        <v>70</v>
      </c>
      <c r="G5022" s="14">
        <v>44592</v>
      </c>
      <c r="H5022" s="13" t="s">
        <v>35</v>
      </c>
    </row>
    <row r="5023" spans="1:8" ht="14.4" x14ac:dyDescent="0.3">
      <c r="A5023" s="8">
        <v>1968358</v>
      </c>
      <c r="B5023" s="11">
        <v>44586</v>
      </c>
      <c r="C5023" s="13" t="s">
        <v>4191</v>
      </c>
      <c r="D5023" s="13" t="s">
        <v>6447</v>
      </c>
      <c r="E5023" s="8">
        <v>748539.43</v>
      </c>
      <c r="F5023" s="13" t="s">
        <v>70</v>
      </c>
      <c r="G5023" s="14">
        <v>44592</v>
      </c>
      <c r="H5023" s="13" t="s">
        <v>35</v>
      </c>
    </row>
    <row r="5024" spans="1:8" ht="14.4" x14ac:dyDescent="0.3">
      <c r="A5024" s="8">
        <v>1968359</v>
      </c>
      <c r="B5024" s="11">
        <v>44586</v>
      </c>
      <c r="C5024" s="13" t="s">
        <v>405</v>
      </c>
      <c r="D5024" s="13" t="s">
        <v>6448</v>
      </c>
      <c r="E5024" s="8">
        <v>18169.740000000002</v>
      </c>
      <c r="F5024" s="13" t="s">
        <v>70</v>
      </c>
      <c r="G5024" s="14">
        <v>44589</v>
      </c>
      <c r="H5024" s="13" t="s">
        <v>35</v>
      </c>
    </row>
    <row r="5025" spans="1:8" ht="14.4" x14ac:dyDescent="0.3">
      <c r="A5025" s="8">
        <v>1968360</v>
      </c>
      <c r="B5025" s="11">
        <v>44586</v>
      </c>
      <c r="C5025" s="13" t="s">
        <v>405</v>
      </c>
      <c r="D5025" s="13" t="s">
        <v>6449</v>
      </c>
      <c r="E5025" s="8">
        <v>12702.29</v>
      </c>
      <c r="F5025" s="13" t="s">
        <v>70</v>
      </c>
      <c r="G5025" s="14">
        <v>44589</v>
      </c>
      <c r="H5025" s="13" t="s">
        <v>35</v>
      </c>
    </row>
    <row r="5026" spans="1:8" ht="14.4" x14ac:dyDescent="0.3">
      <c r="A5026" s="8">
        <v>1968361</v>
      </c>
      <c r="B5026" s="11">
        <v>44586</v>
      </c>
      <c r="C5026" s="13" t="s">
        <v>3241</v>
      </c>
      <c r="D5026" s="13" t="s">
        <v>6450</v>
      </c>
      <c r="E5026" s="8">
        <v>19404</v>
      </c>
      <c r="F5026" s="13" t="s">
        <v>70</v>
      </c>
      <c r="G5026" s="14">
        <v>44589</v>
      </c>
      <c r="H5026" s="13" t="s">
        <v>35</v>
      </c>
    </row>
    <row r="5027" spans="1:8" ht="14.4" x14ac:dyDescent="0.3">
      <c r="A5027" s="8">
        <v>1968362</v>
      </c>
      <c r="B5027" s="11">
        <v>44586</v>
      </c>
      <c r="C5027" s="13" t="s">
        <v>405</v>
      </c>
      <c r="D5027" s="13" t="s">
        <v>6451</v>
      </c>
      <c r="E5027" s="8">
        <v>12582.99</v>
      </c>
      <c r="F5027" s="13" t="s">
        <v>70</v>
      </c>
      <c r="G5027" s="14">
        <v>44589</v>
      </c>
      <c r="H5027" s="13" t="s">
        <v>35</v>
      </c>
    </row>
    <row r="5028" spans="1:8" ht="14.4" x14ac:dyDescent="0.3">
      <c r="A5028" s="8">
        <v>1968363</v>
      </c>
      <c r="B5028" s="11">
        <v>44586</v>
      </c>
      <c r="C5028" s="13" t="s">
        <v>405</v>
      </c>
      <c r="D5028" s="13" t="s">
        <v>6452</v>
      </c>
      <c r="E5028" s="8">
        <v>12923.04</v>
      </c>
      <c r="F5028" s="13" t="s">
        <v>70</v>
      </c>
      <c r="G5028" s="14">
        <v>44589</v>
      </c>
      <c r="H5028" s="13" t="s">
        <v>35</v>
      </c>
    </row>
    <row r="5029" spans="1:8" ht="14.4" x14ac:dyDescent="0.3">
      <c r="A5029" s="8">
        <v>1968364</v>
      </c>
      <c r="B5029" s="11">
        <v>44586</v>
      </c>
      <c r="C5029" s="13" t="s">
        <v>405</v>
      </c>
      <c r="D5029" s="13" t="s">
        <v>6453</v>
      </c>
      <c r="E5029" s="8">
        <v>10621.49</v>
      </c>
      <c r="F5029" s="13" t="s">
        <v>70</v>
      </c>
      <c r="G5029" s="14">
        <v>44589</v>
      </c>
      <c r="H5029" s="13" t="s">
        <v>35</v>
      </c>
    </row>
    <row r="5030" spans="1:8" ht="14.4" x14ac:dyDescent="0.3">
      <c r="A5030" s="8">
        <v>1968365</v>
      </c>
      <c r="B5030" s="11">
        <v>44586</v>
      </c>
      <c r="C5030" s="13" t="s">
        <v>405</v>
      </c>
      <c r="D5030" s="13" t="s">
        <v>6454</v>
      </c>
      <c r="E5030" s="8">
        <v>25100.03</v>
      </c>
      <c r="F5030" s="13" t="s">
        <v>70</v>
      </c>
      <c r="G5030" s="14">
        <v>44589</v>
      </c>
      <c r="H5030" s="13" t="s">
        <v>35</v>
      </c>
    </row>
    <row r="5031" spans="1:8" ht="14.4" x14ac:dyDescent="0.3">
      <c r="A5031" s="8">
        <v>1968366</v>
      </c>
      <c r="B5031" s="11">
        <v>44586</v>
      </c>
      <c r="C5031" s="13" t="s">
        <v>405</v>
      </c>
      <c r="D5031" s="13" t="s">
        <v>6455</v>
      </c>
      <c r="E5031" s="8">
        <v>13020.29</v>
      </c>
      <c r="F5031" s="13" t="s">
        <v>70</v>
      </c>
      <c r="G5031" s="14">
        <v>44589</v>
      </c>
      <c r="H5031" s="13" t="s">
        <v>35</v>
      </c>
    </row>
    <row r="5032" spans="1:8" ht="14.4" x14ac:dyDescent="0.3">
      <c r="A5032" s="8">
        <v>1968367</v>
      </c>
      <c r="B5032" s="11">
        <v>44586</v>
      </c>
      <c r="C5032" s="13" t="s">
        <v>405</v>
      </c>
      <c r="D5032" s="13" t="s">
        <v>6456</v>
      </c>
      <c r="E5032" s="8">
        <v>13909.31</v>
      </c>
      <c r="F5032" s="13" t="s">
        <v>70</v>
      </c>
      <c r="G5032" s="14">
        <v>44589</v>
      </c>
      <c r="H5032" s="13" t="s">
        <v>35</v>
      </c>
    </row>
    <row r="5033" spans="1:8" ht="14.4" x14ac:dyDescent="0.3">
      <c r="A5033" s="8">
        <v>1968368</v>
      </c>
      <c r="B5033" s="11">
        <v>44586</v>
      </c>
      <c r="C5033" s="13" t="s">
        <v>405</v>
      </c>
      <c r="D5033" s="13" t="s">
        <v>6457</v>
      </c>
      <c r="E5033" s="8">
        <v>11484.48</v>
      </c>
      <c r="F5033" s="13" t="s">
        <v>70</v>
      </c>
      <c r="G5033" s="14">
        <v>44589</v>
      </c>
      <c r="H5033" s="13" t="s">
        <v>35</v>
      </c>
    </row>
    <row r="5034" spans="1:8" ht="14.4" x14ac:dyDescent="0.3">
      <c r="A5034" s="8">
        <v>1968369</v>
      </c>
      <c r="B5034" s="11">
        <v>44586</v>
      </c>
      <c r="C5034" s="13" t="s">
        <v>405</v>
      </c>
      <c r="D5034" s="13" t="s">
        <v>6458</v>
      </c>
      <c r="E5034" s="8">
        <v>12808.29</v>
      </c>
      <c r="F5034" s="13" t="s">
        <v>70</v>
      </c>
      <c r="G5034" s="14">
        <v>44589</v>
      </c>
      <c r="H5034" s="13" t="s">
        <v>35</v>
      </c>
    </row>
    <row r="5035" spans="1:8" ht="14.4" x14ac:dyDescent="0.3">
      <c r="A5035" s="8">
        <v>1968370</v>
      </c>
      <c r="B5035" s="11">
        <v>44586</v>
      </c>
      <c r="C5035" s="13" t="s">
        <v>405</v>
      </c>
      <c r="D5035" s="13" t="s">
        <v>6459</v>
      </c>
      <c r="E5035" s="8">
        <v>12596.29</v>
      </c>
      <c r="F5035" s="13" t="s">
        <v>70</v>
      </c>
      <c r="G5035" s="14">
        <v>44589</v>
      </c>
      <c r="H5035" s="13" t="s">
        <v>35</v>
      </c>
    </row>
    <row r="5036" spans="1:8" ht="14.4" x14ac:dyDescent="0.3">
      <c r="A5036" s="8">
        <v>1968371</v>
      </c>
      <c r="B5036" s="11">
        <v>44586</v>
      </c>
      <c r="C5036" s="13" t="s">
        <v>405</v>
      </c>
      <c r="D5036" s="13" t="s">
        <v>6460</v>
      </c>
      <c r="E5036" s="8">
        <v>46007.5</v>
      </c>
      <c r="F5036" s="13" t="s">
        <v>70</v>
      </c>
      <c r="G5036" s="14">
        <v>44589</v>
      </c>
      <c r="H5036" s="13" t="s">
        <v>35</v>
      </c>
    </row>
    <row r="5037" spans="1:8" ht="14.4" x14ac:dyDescent="0.3">
      <c r="A5037" s="8">
        <v>1968372</v>
      </c>
      <c r="B5037" s="11">
        <v>44586</v>
      </c>
      <c r="C5037" s="13" t="s">
        <v>405</v>
      </c>
      <c r="D5037" s="13" t="s">
        <v>6461</v>
      </c>
      <c r="E5037" s="8">
        <v>12572.14</v>
      </c>
      <c r="F5037" s="13" t="s">
        <v>70</v>
      </c>
      <c r="G5037" s="14">
        <v>44589</v>
      </c>
      <c r="H5037" s="13" t="s">
        <v>35</v>
      </c>
    </row>
    <row r="5038" spans="1:8" ht="14.4" x14ac:dyDescent="0.3">
      <c r="A5038" s="8">
        <v>1968373</v>
      </c>
      <c r="B5038" s="11">
        <v>44586</v>
      </c>
      <c r="C5038" s="13" t="s">
        <v>405</v>
      </c>
      <c r="D5038" s="13" t="s">
        <v>6462</v>
      </c>
      <c r="E5038" s="8">
        <v>13949.78</v>
      </c>
      <c r="F5038" s="13" t="s">
        <v>70</v>
      </c>
      <c r="G5038" s="14">
        <v>44589</v>
      </c>
      <c r="H5038" s="13" t="s">
        <v>35</v>
      </c>
    </row>
    <row r="5039" spans="1:8" ht="14.4" x14ac:dyDescent="0.3">
      <c r="A5039" s="8">
        <v>1968374</v>
      </c>
      <c r="B5039" s="11">
        <v>44586</v>
      </c>
      <c r="C5039" s="13" t="s">
        <v>3838</v>
      </c>
      <c r="D5039" s="13" t="s">
        <v>6463</v>
      </c>
      <c r="E5039" s="8">
        <v>45779</v>
      </c>
      <c r="F5039" s="13" t="s">
        <v>70</v>
      </c>
      <c r="G5039" s="14">
        <v>44592</v>
      </c>
      <c r="H5039" s="13" t="s">
        <v>35</v>
      </c>
    </row>
    <row r="5040" spans="1:8" ht="14.4" x14ac:dyDescent="0.3">
      <c r="A5040" s="8">
        <v>1968375</v>
      </c>
      <c r="B5040" s="11">
        <v>44586</v>
      </c>
      <c r="C5040" s="13" t="s">
        <v>201</v>
      </c>
      <c r="D5040" s="13" t="s">
        <v>6464</v>
      </c>
      <c r="E5040" s="8">
        <v>2815.63</v>
      </c>
      <c r="F5040" s="13" t="s">
        <v>70</v>
      </c>
      <c r="G5040" s="14">
        <v>44592</v>
      </c>
      <c r="H5040" s="13" t="s">
        <v>35</v>
      </c>
    </row>
    <row r="5041" spans="1:8" ht="14.4" x14ac:dyDescent="0.3">
      <c r="A5041" s="8">
        <v>1968376</v>
      </c>
      <c r="B5041" s="11">
        <v>44586</v>
      </c>
      <c r="C5041" s="13" t="s">
        <v>405</v>
      </c>
      <c r="D5041" s="13" t="s">
        <v>6465</v>
      </c>
      <c r="E5041" s="8">
        <v>2048.2199999999998</v>
      </c>
      <c r="F5041" s="13" t="s">
        <v>70</v>
      </c>
      <c r="G5041" s="14">
        <v>44589</v>
      </c>
      <c r="H5041" s="13" t="s">
        <v>35</v>
      </c>
    </row>
    <row r="5042" spans="1:8" ht="14.4" x14ac:dyDescent="0.3">
      <c r="A5042" s="8">
        <v>1968377</v>
      </c>
      <c r="B5042" s="11">
        <v>44586</v>
      </c>
      <c r="C5042" s="13" t="s">
        <v>405</v>
      </c>
      <c r="D5042" s="13" t="s">
        <v>6466</v>
      </c>
      <c r="E5042" s="8">
        <v>21376.34</v>
      </c>
      <c r="F5042" s="13" t="s">
        <v>70</v>
      </c>
      <c r="G5042" s="14">
        <v>44589</v>
      </c>
      <c r="H5042" s="13" t="s">
        <v>35</v>
      </c>
    </row>
    <row r="5043" spans="1:8" ht="14.4" x14ac:dyDescent="0.3">
      <c r="A5043" s="8">
        <v>1968378</v>
      </c>
      <c r="B5043" s="11">
        <v>44586</v>
      </c>
      <c r="C5043" s="13" t="s">
        <v>405</v>
      </c>
      <c r="D5043" s="13" t="s">
        <v>6467</v>
      </c>
      <c r="E5043" s="8">
        <v>18232.740000000002</v>
      </c>
      <c r="F5043" s="13" t="s">
        <v>70</v>
      </c>
      <c r="G5043" s="14">
        <v>44589</v>
      </c>
      <c r="H5043" s="13" t="s">
        <v>35</v>
      </c>
    </row>
    <row r="5044" spans="1:8" ht="14.4" x14ac:dyDescent="0.3">
      <c r="A5044" s="8">
        <v>1968379</v>
      </c>
      <c r="B5044" s="11">
        <v>44586</v>
      </c>
      <c r="C5044" s="13" t="s">
        <v>405</v>
      </c>
      <c r="D5044" s="13" t="s">
        <v>6468</v>
      </c>
      <c r="E5044" s="8">
        <v>9593.41</v>
      </c>
      <c r="F5044" s="13" t="s">
        <v>70</v>
      </c>
      <c r="G5044" s="14">
        <v>44589</v>
      </c>
      <c r="H5044" s="13" t="s">
        <v>35</v>
      </c>
    </row>
    <row r="5045" spans="1:8" ht="14.4" x14ac:dyDescent="0.3">
      <c r="A5045" s="8">
        <v>1968380</v>
      </c>
      <c r="B5045" s="11">
        <v>44586</v>
      </c>
      <c r="C5045" s="13" t="s">
        <v>3838</v>
      </c>
      <c r="D5045" s="13" t="s">
        <v>6469</v>
      </c>
      <c r="E5045" s="8">
        <v>21397</v>
      </c>
      <c r="F5045" s="13" t="s">
        <v>70</v>
      </c>
      <c r="G5045" s="14">
        <v>44592</v>
      </c>
      <c r="H5045" s="13" t="s">
        <v>35</v>
      </c>
    </row>
    <row r="5046" spans="1:8" ht="14.4" x14ac:dyDescent="0.3">
      <c r="A5046" s="8">
        <v>1968381</v>
      </c>
      <c r="B5046" s="11">
        <v>44586</v>
      </c>
      <c r="C5046" s="13" t="s">
        <v>405</v>
      </c>
      <c r="D5046" s="13" t="s">
        <v>6470</v>
      </c>
      <c r="E5046" s="8">
        <v>11265.34</v>
      </c>
      <c r="F5046" s="13" t="s">
        <v>70</v>
      </c>
      <c r="G5046" s="14">
        <v>44589</v>
      </c>
      <c r="H5046" s="13" t="s">
        <v>35</v>
      </c>
    </row>
    <row r="5047" spans="1:8" ht="14.4" x14ac:dyDescent="0.3">
      <c r="A5047" s="8">
        <v>1968382</v>
      </c>
      <c r="B5047" s="11">
        <v>44586</v>
      </c>
      <c r="C5047" s="13" t="s">
        <v>405</v>
      </c>
      <c r="D5047" s="13" t="s">
        <v>6471</v>
      </c>
      <c r="E5047" s="8">
        <v>10405.14</v>
      </c>
      <c r="F5047" s="13" t="s">
        <v>70</v>
      </c>
      <c r="G5047" s="14">
        <v>44589</v>
      </c>
      <c r="H5047" s="13" t="s">
        <v>35</v>
      </c>
    </row>
    <row r="5048" spans="1:8" ht="14.4" x14ac:dyDescent="0.3">
      <c r="A5048" s="8">
        <v>1968383</v>
      </c>
      <c r="B5048" s="11">
        <v>44586</v>
      </c>
      <c r="C5048" s="13" t="s">
        <v>3838</v>
      </c>
      <c r="D5048" s="13" t="s">
        <v>6472</v>
      </c>
      <c r="E5048" s="8">
        <v>18946</v>
      </c>
      <c r="F5048" s="13" t="s">
        <v>70</v>
      </c>
      <c r="G5048" s="14">
        <v>44592</v>
      </c>
      <c r="H5048" s="13" t="s">
        <v>35</v>
      </c>
    </row>
    <row r="5049" spans="1:8" ht="14.4" x14ac:dyDescent="0.3">
      <c r="A5049" s="8">
        <v>1968384</v>
      </c>
      <c r="B5049" s="11">
        <v>44586</v>
      </c>
      <c r="C5049" s="13" t="s">
        <v>405</v>
      </c>
      <c r="D5049" s="13" t="s">
        <v>6473</v>
      </c>
      <c r="E5049" s="8">
        <v>20776.02</v>
      </c>
      <c r="F5049" s="13" t="s">
        <v>70</v>
      </c>
      <c r="G5049" s="14">
        <v>44589</v>
      </c>
      <c r="H5049" s="13" t="s">
        <v>35</v>
      </c>
    </row>
    <row r="5050" spans="1:8" ht="14.4" x14ac:dyDescent="0.3">
      <c r="A5050" s="8">
        <v>1968385</v>
      </c>
      <c r="B5050" s="11">
        <v>44586</v>
      </c>
      <c r="C5050" s="13" t="s">
        <v>405</v>
      </c>
      <c r="D5050" s="13" t="s">
        <v>6474</v>
      </c>
      <c r="E5050" s="8">
        <v>48562.96</v>
      </c>
      <c r="F5050" s="13" t="s">
        <v>70</v>
      </c>
      <c r="G5050" s="14">
        <v>44589</v>
      </c>
      <c r="H5050" s="13" t="s">
        <v>35</v>
      </c>
    </row>
    <row r="5051" spans="1:8" ht="14.4" x14ac:dyDescent="0.3">
      <c r="A5051" s="8">
        <v>1968386</v>
      </c>
      <c r="B5051" s="11">
        <v>44586</v>
      </c>
      <c r="C5051" s="13" t="s">
        <v>1276</v>
      </c>
      <c r="D5051" s="13" t="s">
        <v>6475</v>
      </c>
      <c r="E5051" s="8">
        <v>38800</v>
      </c>
      <c r="F5051" s="13" t="s">
        <v>70</v>
      </c>
      <c r="G5051" s="14">
        <v>44589</v>
      </c>
      <c r="H5051" s="13" t="s">
        <v>35</v>
      </c>
    </row>
    <row r="5052" spans="1:8" ht="14.4" x14ac:dyDescent="0.3">
      <c r="A5052" s="8">
        <v>1968387</v>
      </c>
      <c r="B5052" s="11">
        <v>44586</v>
      </c>
      <c r="C5052" s="13" t="s">
        <v>601</v>
      </c>
      <c r="D5052" s="13" t="s">
        <v>6476</v>
      </c>
      <c r="E5052" s="8">
        <v>46875</v>
      </c>
      <c r="F5052" s="13" t="s">
        <v>70</v>
      </c>
      <c r="G5052" s="14">
        <v>44589</v>
      </c>
      <c r="H5052" s="13" t="s">
        <v>35</v>
      </c>
    </row>
    <row r="5053" spans="1:8" ht="14.4" x14ac:dyDescent="0.3">
      <c r="A5053" s="8">
        <v>1968388</v>
      </c>
      <c r="B5053" s="11">
        <v>44586</v>
      </c>
      <c r="C5053" s="13" t="s">
        <v>1286</v>
      </c>
      <c r="D5053" s="13" t="s">
        <v>6477</v>
      </c>
      <c r="E5053" s="8">
        <v>125203.04</v>
      </c>
      <c r="F5053" s="13" t="s">
        <v>70</v>
      </c>
      <c r="G5053" s="14">
        <v>44589</v>
      </c>
      <c r="H5053" s="13" t="s">
        <v>35</v>
      </c>
    </row>
    <row r="5054" spans="1:8" ht="14.4" x14ac:dyDescent="0.3">
      <c r="A5054" s="8">
        <v>1968389</v>
      </c>
      <c r="B5054" s="11">
        <v>44586</v>
      </c>
      <c r="C5054" s="13" t="s">
        <v>1286</v>
      </c>
      <c r="D5054" s="13" t="s">
        <v>6478</v>
      </c>
      <c r="E5054" s="8">
        <v>122730.67</v>
      </c>
      <c r="F5054" s="13" t="s">
        <v>70</v>
      </c>
      <c r="G5054" s="14">
        <v>44589</v>
      </c>
      <c r="H5054" s="13" t="s">
        <v>35</v>
      </c>
    </row>
    <row r="5055" spans="1:8" ht="14.4" x14ac:dyDescent="0.3">
      <c r="A5055" s="8">
        <v>1968390</v>
      </c>
      <c r="B5055" s="11">
        <v>44586</v>
      </c>
      <c r="C5055" s="13" t="s">
        <v>1286</v>
      </c>
      <c r="D5055" s="13" t="s">
        <v>6479</v>
      </c>
      <c r="E5055" s="8">
        <v>57703.88</v>
      </c>
      <c r="F5055" s="13" t="s">
        <v>70</v>
      </c>
      <c r="G5055" s="14">
        <v>44589</v>
      </c>
      <c r="H5055" s="13" t="s">
        <v>35</v>
      </c>
    </row>
    <row r="5056" spans="1:8" ht="14.4" x14ac:dyDescent="0.3">
      <c r="A5056" s="8">
        <v>1968391</v>
      </c>
      <c r="B5056" s="11">
        <v>44586</v>
      </c>
      <c r="C5056" s="13" t="s">
        <v>211</v>
      </c>
      <c r="D5056" s="13" t="s">
        <v>6480</v>
      </c>
      <c r="E5056" s="8">
        <v>28800</v>
      </c>
      <c r="F5056" s="13" t="s">
        <v>70</v>
      </c>
      <c r="G5056" s="14">
        <v>44602</v>
      </c>
      <c r="H5056" s="13" t="s">
        <v>35</v>
      </c>
    </row>
    <row r="5057" spans="1:8" ht="14.4" x14ac:dyDescent="0.3">
      <c r="A5057" s="8">
        <v>1968392</v>
      </c>
      <c r="B5057" s="11">
        <v>44586</v>
      </c>
      <c r="C5057" s="13" t="s">
        <v>1718</v>
      </c>
      <c r="D5057" s="13" t="s">
        <v>6481</v>
      </c>
      <c r="E5057" s="8">
        <v>65625</v>
      </c>
      <c r="F5057" s="13" t="s">
        <v>70</v>
      </c>
      <c r="G5057" s="14">
        <v>44589</v>
      </c>
      <c r="H5057" s="13" t="s">
        <v>35</v>
      </c>
    </row>
    <row r="5058" spans="1:8" ht="14.4" x14ac:dyDescent="0.3">
      <c r="A5058" s="8">
        <v>1968393</v>
      </c>
      <c r="B5058" s="11">
        <v>44586</v>
      </c>
      <c r="C5058" s="13" t="s">
        <v>67</v>
      </c>
      <c r="D5058" s="13" t="s">
        <v>6482</v>
      </c>
      <c r="E5058" s="8">
        <v>1710</v>
      </c>
      <c r="F5058" s="13" t="s">
        <v>70</v>
      </c>
      <c r="G5058" s="14">
        <v>44589</v>
      </c>
      <c r="H5058" s="13" t="s">
        <v>35</v>
      </c>
    </row>
    <row r="5059" spans="1:8" ht="14.4" x14ac:dyDescent="0.3">
      <c r="A5059" s="8">
        <v>1968394</v>
      </c>
      <c r="B5059" s="11">
        <v>44586</v>
      </c>
      <c r="C5059" s="13" t="s">
        <v>1946</v>
      </c>
      <c r="D5059" s="13" t="s">
        <v>6483</v>
      </c>
      <c r="E5059" s="8">
        <v>45239.28</v>
      </c>
      <c r="F5059" s="13" t="s">
        <v>70</v>
      </c>
      <c r="G5059" s="14">
        <v>44589</v>
      </c>
      <c r="H5059" s="13" t="s">
        <v>35</v>
      </c>
    </row>
    <row r="5060" spans="1:8" ht="14.4" x14ac:dyDescent="0.3">
      <c r="A5060" s="8">
        <v>1968395</v>
      </c>
      <c r="B5060" s="11">
        <v>44586</v>
      </c>
      <c r="C5060" s="13" t="s">
        <v>6484</v>
      </c>
      <c r="D5060" s="13" t="s">
        <v>6485</v>
      </c>
      <c r="E5060" s="8">
        <v>77600</v>
      </c>
      <c r="F5060" s="13" t="s">
        <v>70</v>
      </c>
      <c r="G5060" s="14">
        <v>44592</v>
      </c>
      <c r="H5060" s="13" t="s">
        <v>35</v>
      </c>
    </row>
    <row r="5061" spans="1:8" ht="14.4" x14ac:dyDescent="0.3">
      <c r="A5061" s="8">
        <v>1968396</v>
      </c>
      <c r="B5061" s="11">
        <v>44586</v>
      </c>
      <c r="C5061" s="13" t="s">
        <v>1581</v>
      </c>
      <c r="D5061" s="13" t="s">
        <v>6486</v>
      </c>
      <c r="E5061" s="8">
        <v>4258.93</v>
      </c>
      <c r="F5061" s="13" t="s">
        <v>70</v>
      </c>
      <c r="G5061" s="14">
        <v>44589</v>
      </c>
      <c r="H5061" s="13" t="s">
        <v>35</v>
      </c>
    </row>
    <row r="5062" spans="1:8" ht="14.4" x14ac:dyDescent="0.3">
      <c r="A5062" s="8">
        <v>1968397</v>
      </c>
      <c r="B5062" s="11">
        <v>44586</v>
      </c>
      <c r="C5062" s="13" t="s">
        <v>1581</v>
      </c>
      <c r="D5062" s="13" t="s">
        <v>6487</v>
      </c>
      <c r="E5062" s="8">
        <v>45428.57</v>
      </c>
      <c r="F5062" s="13" t="s">
        <v>70</v>
      </c>
      <c r="G5062" s="14">
        <v>44589</v>
      </c>
      <c r="H5062" s="13" t="s">
        <v>35</v>
      </c>
    </row>
    <row r="5063" spans="1:8" ht="14.4" x14ac:dyDescent="0.3">
      <c r="A5063" s="8">
        <v>1968398</v>
      </c>
      <c r="B5063" s="11">
        <v>44586</v>
      </c>
      <c r="C5063" s="13" t="s">
        <v>1946</v>
      </c>
      <c r="D5063" s="13" t="s">
        <v>6488</v>
      </c>
      <c r="E5063" s="8">
        <v>2366.0700000000002</v>
      </c>
      <c r="F5063" s="13" t="s">
        <v>70</v>
      </c>
      <c r="G5063" s="14">
        <v>44589</v>
      </c>
      <c r="H5063" s="13" t="s">
        <v>35</v>
      </c>
    </row>
    <row r="5064" spans="1:8" ht="14.4" x14ac:dyDescent="0.3">
      <c r="A5064" s="8">
        <v>1968399</v>
      </c>
      <c r="B5064" s="11">
        <v>44586</v>
      </c>
      <c r="C5064" s="13" t="s">
        <v>6489</v>
      </c>
      <c r="D5064" s="13" t="s">
        <v>6490</v>
      </c>
      <c r="E5064" s="8">
        <v>1940</v>
      </c>
      <c r="F5064" s="13" t="s">
        <v>70</v>
      </c>
      <c r="G5064" s="14">
        <v>44715</v>
      </c>
      <c r="H5064" s="13" t="s">
        <v>35</v>
      </c>
    </row>
    <row r="5065" spans="1:8" ht="14.4" x14ac:dyDescent="0.3">
      <c r="A5065" s="8">
        <v>1968400</v>
      </c>
      <c r="B5065" s="11">
        <v>44586</v>
      </c>
      <c r="C5065" s="13" t="s">
        <v>1581</v>
      </c>
      <c r="D5065" s="13" t="s">
        <v>6491</v>
      </c>
      <c r="E5065" s="8">
        <v>12776.78</v>
      </c>
      <c r="F5065" s="13" t="s">
        <v>70</v>
      </c>
      <c r="G5065" s="14">
        <v>44589</v>
      </c>
      <c r="H5065" s="13" t="s">
        <v>35</v>
      </c>
    </row>
    <row r="5066" spans="1:8" ht="14.4" x14ac:dyDescent="0.3">
      <c r="A5066" s="8">
        <v>1968401</v>
      </c>
      <c r="B5066" s="11">
        <v>44586</v>
      </c>
      <c r="C5066" s="13" t="s">
        <v>1946</v>
      </c>
      <c r="D5066" s="13" t="s">
        <v>6492</v>
      </c>
      <c r="E5066" s="8">
        <v>43062.5</v>
      </c>
      <c r="F5066" s="13" t="s">
        <v>70</v>
      </c>
      <c r="G5066" s="14">
        <v>44592</v>
      </c>
      <c r="H5066" s="13" t="s">
        <v>35</v>
      </c>
    </row>
    <row r="5067" spans="1:8" ht="14.4" x14ac:dyDescent="0.3">
      <c r="A5067" s="8">
        <v>1968402</v>
      </c>
      <c r="B5067" s="11">
        <v>44586</v>
      </c>
      <c r="C5067" s="13" t="s">
        <v>127</v>
      </c>
      <c r="D5067" s="13" t="s">
        <v>6493</v>
      </c>
      <c r="E5067" s="8">
        <v>963.46</v>
      </c>
      <c r="F5067" s="13" t="s">
        <v>70</v>
      </c>
      <c r="G5067" s="14">
        <v>44592</v>
      </c>
      <c r="H5067" s="13" t="s">
        <v>35</v>
      </c>
    </row>
    <row r="5068" spans="1:8" ht="14.4" x14ac:dyDescent="0.3">
      <c r="A5068" s="8">
        <v>1968403</v>
      </c>
      <c r="B5068" s="11">
        <v>44586</v>
      </c>
      <c r="C5068" s="13" t="s">
        <v>1522</v>
      </c>
      <c r="D5068" s="13" t="s">
        <v>6494</v>
      </c>
      <c r="E5068" s="8">
        <v>10192</v>
      </c>
      <c r="F5068" s="13" t="s">
        <v>70</v>
      </c>
      <c r="G5068" s="14">
        <v>44594</v>
      </c>
      <c r="H5068" s="13" t="s">
        <v>35</v>
      </c>
    </row>
    <row r="5069" spans="1:8" ht="14.4" x14ac:dyDescent="0.3">
      <c r="A5069" s="8">
        <v>1968404</v>
      </c>
      <c r="B5069" s="11">
        <v>44586</v>
      </c>
      <c r="C5069" s="13" t="s">
        <v>6495</v>
      </c>
      <c r="D5069" s="13" t="s">
        <v>6496</v>
      </c>
      <c r="E5069" s="8">
        <v>35966</v>
      </c>
      <c r="F5069" s="13" t="s">
        <v>70</v>
      </c>
      <c r="G5069" s="14">
        <v>44615</v>
      </c>
      <c r="H5069" s="13" t="s">
        <v>35</v>
      </c>
    </row>
    <row r="5070" spans="1:8" ht="14.4" x14ac:dyDescent="0.3">
      <c r="A5070" s="8">
        <v>1968405</v>
      </c>
      <c r="B5070" s="11">
        <v>44586</v>
      </c>
      <c r="C5070" s="13" t="s">
        <v>1946</v>
      </c>
      <c r="D5070" s="13" t="s">
        <v>6497</v>
      </c>
      <c r="E5070" s="8">
        <v>20329.28</v>
      </c>
      <c r="F5070" s="13" t="s">
        <v>70</v>
      </c>
      <c r="G5070" s="14">
        <v>44592</v>
      </c>
      <c r="H5070" s="13" t="s">
        <v>35</v>
      </c>
    </row>
    <row r="5071" spans="1:8" ht="14.4" x14ac:dyDescent="0.3">
      <c r="A5071" s="8">
        <v>1968406</v>
      </c>
      <c r="B5071" s="11">
        <v>44586</v>
      </c>
      <c r="C5071" s="13" t="s">
        <v>10</v>
      </c>
      <c r="D5071" s="13" t="s">
        <v>6498</v>
      </c>
      <c r="E5071" s="8">
        <v>7850</v>
      </c>
      <c r="F5071" s="13" t="s">
        <v>70</v>
      </c>
      <c r="G5071" s="14">
        <v>44686</v>
      </c>
      <c r="H5071" s="13" t="s">
        <v>35</v>
      </c>
    </row>
    <row r="5072" spans="1:8" ht="14.4" x14ac:dyDescent="0.3">
      <c r="A5072" s="8">
        <v>1968407</v>
      </c>
      <c r="B5072" s="11">
        <v>44586</v>
      </c>
      <c r="C5072" s="13" t="s">
        <v>1946</v>
      </c>
      <c r="D5072" s="13" t="s">
        <v>6499</v>
      </c>
      <c r="E5072" s="8">
        <v>1116.78</v>
      </c>
      <c r="F5072" s="13" t="s">
        <v>70</v>
      </c>
      <c r="G5072" s="14">
        <v>44592</v>
      </c>
      <c r="H5072" s="13" t="s">
        <v>35</v>
      </c>
    </row>
    <row r="5073" spans="1:8" ht="14.4" x14ac:dyDescent="0.3">
      <c r="A5073" s="8">
        <v>1968408</v>
      </c>
      <c r="B5073" s="11">
        <v>44586</v>
      </c>
      <c r="C5073" s="13" t="s">
        <v>127</v>
      </c>
      <c r="D5073" s="13" t="s">
        <v>6500</v>
      </c>
      <c r="E5073" s="8">
        <v>6738.57</v>
      </c>
      <c r="F5073" s="13" t="s">
        <v>70</v>
      </c>
      <c r="G5073" s="14">
        <v>44592</v>
      </c>
      <c r="H5073" s="13" t="s">
        <v>35</v>
      </c>
    </row>
    <row r="5074" spans="1:8" ht="14.4" x14ac:dyDescent="0.3">
      <c r="A5074" s="8">
        <v>1968409</v>
      </c>
      <c r="B5074" s="11">
        <v>44586</v>
      </c>
      <c r="C5074" s="13" t="s">
        <v>1784</v>
      </c>
      <c r="D5074" s="13" t="s">
        <v>6501</v>
      </c>
      <c r="E5074" s="8">
        <v>28500</v>
      </c>
      <c r="F5074" s="13" t="s">
        <v>70</v>
      </c>
      <c r="G5074" s="14">
        <v>44595</v>
      </c>
      <c r="H5074" s="13" t="s">
        <v>35</v>
      </c>
    </row>
    <row r="5075" spans="1:8" ht="14.4" x14ac:dyDescent="0.3">
      <c r="A5075" s="8">
        <v>1968410</v>
      </c>
      <c r="B5075" s="11">
        <v>44586</v>
      </c>
      <c r="C5075" s="13" t="s">
        <v>4211</v>
      </c>
      <c r="D5075" s="13" t="s">
        <v>6502</v>
      </c>
      <c r="E5075" s="8">
        <v>16312.5</v>
      </c>
      <c r="F5075" s="13" t="s">
        <v>70</v>
      </c>
      <c r="G5075" s="14">
        <v>44594</v>
      </c>
      <c r="H5075" s="13" t="s">
        <v>35</v>
      </c>
    </row>
    <row r="5076" spans="1:8" ht="14.4" x14ac:dyDescent="0.3">
      <c r="A5076" s="8">
        <v>1968411</v>
      </c>
      <c r="B5076" s="11">
        <v>44586</v>
      </c>
      <c r="C5076" s="13" t="s">
        <v>6503</v>
      </c>
      <c r="D5076" s="13" t="s">
        <v>6504</v>
      </c>
      <c r="E5076" s="8">
        <v>7781.25</v>
      </c>
      <c r="F5076" s="13" t="s">
        <v>70</v>
      </c>
      <c r="G5076" s="14">
        <v>44595</v>
      </c>
      <c r="H5076" s="13" t="s">
        <v>35</v>
      </c>
    </row>
    <row r="5077" spans="1:8" ht="14.4" x14ac:dyDescent="0.3">
      <c r="A5077" s="8">
        <v>1968412</v>
      </c>
      <c r="B5077" s="11">
        <v>44586</v>
      </c>
      <c r="C5077" s="13" t="s">
        <v>1941</v>
      </c>
      <c r="D5077" s="13" t="s">
        <v>6505</v>
      </c>
      <c r="E5077" s="8">
        <v>28069.38</v>
      </c>
      <c r="F5077" s="13" t="s">
        <v>70</v>
      </c>
      <c r="G5077" s="14">
        <v>44592</v>
      </c>
      <c r="H5077" s="13" t="s">
        <v>35</v>
      </c>
    </row>
    <row r="5078" spans="1:8" ht="14.4" x14ac:dyDescent="0.3">
      <c r="A5078" s="8">
        <v>1968413</v>
      </c>
      <c r="B5078" s="11">
        <v>44586</v>
      </c>
      <c r="C5078" s="13" t="s">
        <v>3838</v>
      </c>
      <c r="D5078" s="13" t="s">
        <v>6506</v>
      </c>
      <c r="E5078" s="8">
        <v>14106</v>
      </c>
      <c r="F5078" s="13" t="s">
        <v>70</v>
      </c>
      <c r="G5078" s="14">
        <v>44592</v>
      </c>
      <c r="H5078" s="13" t="s">
        <v>35</v>
      </c>
    </row>
    <row r="5079" spans="1:8" ht="14.4" x14ac:dyDescent="0.3">
      <c r="A5079" s="8">
        <v>1968414</v>
      </c>
      <c r="B5079" s="11">
        <v>44586</v>
      </c>
      <c r="C5079" s="13" t="s">
        <v>4191</v>
      </c>
      <c r="D5079" s="13" t="s">
        <v>6507</v>
      </c>
      <c r="E5079" s="8">
        <v>28676.78</v>
      </c>
      <c r="F5079" s="13" t="s">
        <v>70</v>
      </c>
      <c r="G5079" s="14">
        <v>44592</v>
      </c>
      <c r="H5079" s="13" t="s">
        <v>35</v>
      </c>
    </row>
    <row r="5080" spans="1:8" ht="14.4" x14ac:dyDescent="0.3">
      <c r="A5080" s="8">
        <v>1968415</v>
      </c>
      <c r="B5080" s="11">
        <v>44586</v>
      </c>
      <c r="C5080" s="13" t="s">
        <v>202</v>
      </c>
      <c r="D5080" s="13" t="s">
        <v>6508</v>
      </c>
      <c r="E5080" s="8">
        <v>1983917.57</v>
      </c>
      <c r="F5080" s="13" t="s">
        <v>70</v>
      </c>
      <c r="G5080" s="14">
        <v>44588</v>
      </c>
      <c r="H5080" s="13" t="s">
        <v>35</v>
      </c>
    </row>
    <row r="5081" spans="1:8" ht="14.4" x14ac:dyDescent="0.3">
      <c r="A5081" s="8">
        <v>1968416</v>
      </c>
      <c r="B5081" s="11">
        <v>44586</v>
      </c>
      <c r="C5081" s="13" t="s">
        <v>1946</v>
      </c>
      <c r="D5081" s="13" t="s">
        <v>6509</v>
      </c>
      <c r="E5081" s="8">
        <v>6672.32</v>
      </c>
      <c r="F5081" s="13" t="s">
        <v>70</v>
      </c>
      <c r="G5081" s="14">
        <v>44589</v>
      </c>
      <c r="H5081" s="13" t="s">
        <v>35</v>
      </c>
    </row>
    <row r="5082" spans="1:8" ht="14.4" x14ac:dyDescent="0.3">
      <c r="A5082" s="8">
        <v>1968417</v>
      </c>
      <c r="B5082" s="11">
        <v>44586</v>
      </c>
      <c r="C5082" s="13" t="s">
        <v>4211</v>
      </c>
      <c r="D5082" s="13" t="s">
        <v>6510</v>
      </c>
      <c r="E5082" s="8">
        <v>5156.25</v>
      </c>
      <c r="F5082" s="13" t="s">
        <v>70</v>
      </c>
      <c r="G5082" s="14">
        <v>44594</v>
      </c>
      <c r="H5082" s="13" t="s">
        <v>35</v>
      </c>
    </row>
    <row r="5083" spans="1:8" ht="14.4" x14ac:dyDescent="0.3">
      <c r="A5083" s="8">
        <v>1968418</v>
      </c>
      <c r="B5083" s="11">
        <v>44586</v>
      </c>
      <c r="C5083" s="13" t="s">
        <v>1784</v>
      </c>
      <c r="D5083" s="13" t="s">
        <v>6511</v>
      </c>
      <c r="E5083" s="8">
        <v>3000</v>
      </c>
      <c r="F5083" s="13" t="s">
        <v>70</v>
      </c>
      <c r="G5083" s="14">
        <v>44595</v>
      </c>
      <c r="H5083" s="13" t="s">
        <v>35</v>
      </c>
    </row>
    <row r="5084" spans="1:8" ht="14.4" x14ac:dyDescent="0.3">
      <c r="A5084" s="8">
        <v>1968419</v>
      </c>
      <c r="B5084" s="11">
        <v>44586</v>
      </c>
      <c r="C5084" s="13" t="s">
        <v>65</v>
      </c>
      <c r="D5084" s="13" t="s">
        <v>6512</v>
      </c>
      <c r="E5084" s="8">
        <v>9331.7800000000007</v>
      </c>
      <c r="F5084" s="13" t="s">
        <v>70</v>
      </c>
      <c r="G5084" s="14">
        <v>44680</v>
      </c>
      <c r="H5084" s="13" t="s">
        <v>35</v>
      </c>
    </row>
    <row r="5085" spans="1:8" ht="14.4" x14ac:dyDescent="0.3">
      <c r="A5085" s="8">
        <v>1968420</v>
      </c>
      <c r="B5085" s="11">
        <v>44586</v>
      </c>
      <c r="C5085" s="13" t="s">
        <v>188</v>
      </c>
      <c r="D5085" s="13" t="s">
        <v>5809</v>
      </c>
      <c r="E5085" s="8">
        <v>500647.14</v>
      </c>
      <c r="F5085" s="13" t="s">
        <v>70</v>
      </c>
      <c r="G5085" s="14">
        <v>44588</v>
      </c>
      <c r="H5085" s="13" t="s">
        <v>35</v>
      </c>
    </row>
    <row r="5086" spans="1:8" ht="14.4" x14ac:dyDescent="0.3">
      <c r="A5086" s="8">
        <v>1968421</v>
      </c>
      <c r="B5086" s="11">
        <v>44586</v>
      </c>
      <c r="C5086" s="13" t="s">
        <v>159</v>
      </c>
      <c r="D5086" s="13" t="s">
        <v>6513</v>
      </c>
      <c r="E5086" s="8">
        <v>219500</v>
      </c>
      <c r="F5086" s="13" t="s">
        <v>70</v>
      </c>
      <c r="G5086" s="14">
        <v>44588</v>
      </c>
      <c r="H5086" s="13" t="s">
        <v>35</v>
      </c>
    </row>
    <row r="5087" spans="1:8" ht="14.4" x14ac:dyDescent="0.3">
      <c r="A5087" s="8">
        <v>1968422</v>
      </c>
      <c r="B5087" s="11">
        <v>44586</v>
      </c>
      <c r="C5087" s="13" t="s">
        <v>756</v>
      </c>
      <c r="D5087" s="13" t="s">
        <v>6514</v>
      </c>
      <c r="E5087" s="8">
        <v>1265400</v>
      </c>
      <c r="F5087" s="13" t="s">
        <v>70</v>
      </c>
      <c r="G5087" s="14">
        <v>44589</v>
      </c>
      <c r="H5087" s="13" t="s">
        <v>35</v>
      </c>
    </row>
    <row r="5088" spans="1:8" ht="14.4" x14ac:dyDescent="0.3">
      <c r="A5088" s="8">
        <v>1968423</v>
      </c>
      <c r="B5088" s="11">
        <v>44587</v>
      </c>
      <c r="C5088" s="13" t="s">
        <v>1286</v>
      </c>
      <c r="D5088" s="13" t="s">
        <v>6515</v>
      </c>
      <c r="E5088" s="8">
        <v>76335.509999999995</v>
      </c>
      <c r="F5088" s="13" t="s">
        <v>70</v>
      </c>
      <c r="G5088" s="14">
        <v>44589</v>
      </c>
      <c r="H5088" s="13" t="s">
        <v>35</v>
      </c>
    </row>
    <row r="5089" spans="1:8" ht="14.4" x14ac:dyDescent="0.3">
      <c r="A5089" s="8">
        <v>1968424</v>
      </c>
      <c r="B5089" s="11">
        <v>44587</v>
      </c>
      <c r="C5089" s="13" t="s">
        <v>1286</v>
      </c>
      <c r="D5089" s="13" t="s">
        <v>6516</v>
      </c>
      <c r="E5089" s="8">
        <v>7697.44</v>
      </c>
      <c r="F5089" s="13" t="s">
        <v>70</v>
      </c>
      <c r="G5089" s="14">
        <v>44589</v>
      </c>
      <c r="H5089" s="13" t="s">
        <v>35</v>
      </c>
    </row>
    <row r="5090" spans="1:8" ht="14.4" x14ac:dyDescent="0.3">
      <c r="A5090" s="8">
        <v>1968425</v>
      </c>
      <c r="B5090" s="11">
        <v>44587</v>
      </c>
      <c r="C5090" s="13" t="s">
        <v>1286</v>
      </c>
      <c r="D5090" s="13" t="s">
        <v>6517</v>
      </c>
      <c r="E5090" s="8">
        <v>5328.3</v>
      </c>
      <c r="F5090" s="13" t="s">
        <v>70</v>
      </c>
      <c r="G5090" s="14">
        <v>44589</v>
      </c>
      <c r="H5090" s="13" t="s">
        <v>35</v>
      </c>
    </row>
    <row r="5091" spans="1:8" ht="14.4" x14ac:dyDescent="0.3">
      <c r="A5091" s="8">
        <v>1968426</v>
      </c>
      <c r="B5091" s="11">
        <v>44587</v>
      </c>
      <c r="C5091" s="13" t="s">
        <v>6518</v>
      </c>
      <c r="D5091" s="13" t="s">
        <v>6519</v>
      </c>
      <c r="E5091" s="8">
        <v>5293.95</v>
      </c>
      <c r="F5091" s="13" t="s">
        <v>70</v>
      </c>
      <c r="G5091" s="14">
        <v>44596</v>
      </c>
      <c r="H5091" s="13" t="s">
        <v>35</v>
      </c>
    </row>
    <row r="5092" spans="1:8" ht="14.4" x14ac:dyDescent="0.3">
      <c r="A5092" s="8">
        <v>1968427</v>
      </c>
      <c r="B5092" s="11">
        <v>44587</v>
      </c>
      <c r="C5092" s="13" t="s">
        <v>1286</v>
      </c>
      <c r="D5092" s="13" t="s">
        <v>6520</v>
      </c>
      <c r="E5092" s="8">
        <v>12654.04</v>
      </c>
      <c r="F5092" s="13" t="s">
        <v>70</v>
      </c>
      <c r="G5092" s="14">
        <v>44589</v>
      </c>
      <c r="H5092" s="13" t="s">
        <v>35</v>
      </c>
    </row>
    <row r="5093" spans="1:8" ht="14.4" x14ac:dyDescent="0.3">
      <c r="A5093" s="8">
        <v>1968428</v>
      </c>
      <c r="B5093" s="11">
        <v>44587</v>
      </c>
      <c r="C5093" s="13" t="s">
        <v>1286</v>
      </c>
      <c r="D5093" s="13" t="s">
        <v>6478</v>
      </c>
      <c r="E5093" s="8">
        <v>54481.99</v>
      </c>
      <c r="F5093" s="13" t="s">
        <v>70</v>
      </c>
      <c r="G5093" s="14">
        <v>44589</v>
      </c>
      <c r="H5093" s="13" t="s">
        <v>35</v>
      </c>
    </row>
    <row r="5094" spans="1:8" ht="14.4" x14ac:dyDescent="0.3">
      <c r="A5094" s="8">
        <v>1968429</v>
      </c>
      <c r="B5094" s="11">
        <v>44587</v>
      </c>
      <c r="C5094" s="13" t="s">
        <v>1286</v>
      </c>
      <c r="D5094" s="13" t="s">
        <v>6516</v>
      </c>
      <c r="E5094" s="8">
        <v>7293.19</v>
      </c>
      <c r="F5094" s="13" t="s">
        <v>70</v>
      </c>
      <c r="G5094" s="14">
        <v>44589</v>
      </c>
      <c r="H5094" s="13" t="s">
        <v>35</v>
      </c>
    </row>
    <row r="5095" spans="1:8" ht="14.4" x14ac:dyDescent="0.3">
      <c r="A5095" s="8">
        <v>1968430</v>
      </c>
      <c r="B5095" s="11">
        <v>44587</v>
      </c>
      <c r="C5095" s="13" t="s">
        <v>1420</v>
      </c>
      <c r="D5095" s="13" t="s">
        <v>5808</v>
      </c>
      <c r="E5095" s="8">
        <v>12305.85</v>
      </c>
      <c r="F5095" s="13" t="s">
        <v>70</v>
      </c>
      <c r="G5095" s="14">
        <v>44610</v>
      </c>
      <c r="H5095" s="13" t="s">
        <v>35</v>
      </c>
    </row>
    <row r="5096" spans="1:8" ht="14.4" x14ac:dyDescent="0.3">
      <c r="A5096" s="8">
        <v>1968431</v>
      </c>
      <c r="B5096" s="11">
        <v>44587</v>
      </c>
      <c r="C5096" s="13" t="s">
        <v>6518</v>
      </c>
      <c r="D5096" s="13" t="s">
        <v>6521</v>
      </c>
      <c r="E5096" s="8">
        <v>3822.48</v>
      </c>
      <c r="F5096" s="13" t="s">
        <v>70</v>
      </c>
      <c r="G5096" s="14">
        <v>44596</v>
      </c>
      <c r="H5096" s="13" t="s">
        <v>35</v>
      </c>
    </row>
    <row r="5097" spans="1:8" ht="14.4" x14ac:dyDescent="0.3">
      <c r="A5097" s="8">
        <v>1968432</v>
      </c>
      <c r="B5097" s="11">
        <v>44587</v>
      </c>
      <c r="C5097" s="13" t="s">
        <v>6522</v>
      </c>
      <c r="D5097" s="13" t="s">
        <v>6523</v>
      </c>
      <c r="E5097" s="8">
        <v>1460</v>
      </c>
      <c r="F5097" s="13" t="s">
        <v>70</v>
      </c>
      <c r="G5097" s="14">
        <v>44657</v>
      </c>
      <c r="H5097" s="13" t="s">
        <v>35</v>
      </c>
    </row>
    <row r="5098" spans="1:8" ht="14.4" x14ac:dyDescent="0.3">
      <c r="A5098" s="8">
        <v>1968433</v>
      </c>
      <c r="B5098" s="11">
        <v>44587</v>
      </c>
      <c r="C5098" s="13" t="s">
        <v>4211</v>
      </c>
      <c r="D5098" s="13" t="s">
        <v>6524</v>
      </c>
      <c r="E5098" s="8">
        <v>2156.25</v>
      </c>
      <c r="F5098" s="13" t="s">
        <v>70</v>
      </c>
      <c r="G5098" s="14">
        <v>44594</v>
      </c>
      <c r="H5098" s="13" t="s">
        <v>35</v>
      </c>
    </row>
    <row r="5099" spans="1:8" ht="14.4" x14ac:dyDescent="0.3">
      <c r="A5099" s="8">
        <v>1968434</v>
      </c>
      <c r="B5099" s="11">
        <v>44587</v>
      </c>
      <c r="C5099" s="13" t="s">
        <v>1286</v>
      </c>
      <c r="D5099" s="13" t="s">
        <v>6525</v>
      </c>
      <c r="E5099" s="8">
        <v>57790.43</v>
      </c>
      <c r="F5099" s="13" t="s">
        <v>70</v>
      </c>
      <c r="G5099" s="14">
        <v>44589</v>
      </c>
      <c r="H5099" s="13" t="s">
        <v>35</v>
      </c>
    </row>
    <row r="5100" spans="1:8" ht="14.4" x14ac:dyDescent="0.3">
      <c r="A5100" s="8">
        <v>1968435</v>
      </c>
      <c r="B5100" s="11">
        <v>44587</v>
      </c>
      <c r="C5100" s="13" t="s">
        <v>1286</v>
      </c>
      <c r="D5100" s="13" t="s">
        <v>6526</v>
      </c>
      <c r="E5100" s="8">
        <v>7007.35</v>
      </c>
      <c r="F5100" s="13" t="s">
        <v>70</v>
      </c>
      <c r="G5100" s="14">
        <v>44589</v>
      </c>
      <c r="H5100" s="13" t="s">
        <v>35</v>
      </c>
    </row>
    <row r="5101" spans="1:8" ht="14.4" x14ac:dyDescent="0.3">
      <c r="A5101" s="8">
        <v>1968436</v>
      </c>
      <c r="B5101" s="11">
        <v>44587</v>
      </c>
      <c r="C5101" s="13" t="s">
        <v>1286</v>
      </c>
      <c r="D5101" s="13" t="s">
        <v>6527</v>
      </c>
      <c r="E5101" s="8">
        <v>4909.13</v>
      </c>
      <c r="F5101" s="13" t="s">
        <v>70</v>
      </c>
      <c r="G5101" s="14">
        <v>44589</v>
      </c>
      <c r="H5101" s="13" t="s">
        <v>35</v>
      </c>
    </row>
    <row r="5102" spans="1:8" ht="14.4" x14ac:dyDescent="0.3">
      <c r="A5102" s="8">
        <v>1968437</v>
      </c>
      <c r="B5102" s="11">
        <v>44587</v>
      </c>
      <c r="C5102" s="13" t="s">
        <v>1286</v>
      </c>
      <c r="D5102" s="13" t="s">
        <v>6528</v>
      </c>
      <c r="E5102" s="8">
        <v>3418.5</v>
      </c>
      <c r="F5102" s="13" t="s">
        <v>70</v>
      </c>
      <c r="G5102" s="14">
        <v>44589</v>
      </c>
      <c r="H5102" s="13" t="s">
        <v>35</v>
      </c>
    </row>
    <row r="5103" spans="1:8" ht="14.4" x14ac:dyDescent="0.3">
      <c r="A5103" s="8">
        <v>1968438</v>
      </c>
      <c r="B5103" s="11">
        <v>44587</v>
      </c>
      <c r="C5103" s="13" t="s">
        <v>1286</v>
      </c>
      <c r="D5103" s="13" t="s">
        <v>6529</v>
      </c>
      <c r="E5103" s="8">
        <v>3000.45</v>
      </c>
      <c r="F5103" s="13" t="s">
        <v>70</v>
      </c>
      <c r="G5103" s="14">
        <v>44589</v>
      </c>
      <c r="H5103" s="13" t="s">
        <v>35</v>
      </c>
    </row>
    <row r="5104" spans="1:8" ht="14.4" x14ac:dyDescent="0.3">
      <c r="A5104" s="8">
        <v>1968439</v>
      </c>
      <c r="B5104" s="11">
        <v>44587</v>
      </c>
      <c r="C5104" s="13" t="s">
        <v>1286</v>
      </c>
      <c r="D5104" s="13" t="s">
        <v>6530</v>
      </c>
      <c r="E5104" s="8">
        <v>7759.2</v>
      </c>
      <c r="F5104" s="13" t="s">
        <v>70</v>
      </c>
      <c r="G5104" s="14">
        <v>44589</v>
      </c>
      <c r="H5104" s="13" t="s">
        <v>35</v>
      </c>
    </row>
    <row r="5105" spans="1:8" ht="14.4" x14ac:dyDescent="0.3">
      <c r="A5105" s="8">
        <v>1968440</v>
      </c>
      <c r="B5105" s="11">
        <v>44587</v>
      </c>
      <c r="C5105" s="13" t="s">
        <v>1286</v>
      </c>
      <c r="D5105" s="13" t="s">
        <v>6531</v>
      </c>
      <c r="E5105" s="8">
        <v>7239.36</v>
      </c>
      <c r="F5105" s="13" t="s">
        <v>70</v>
      </c>
      <c r="G5105" s="14">
        <v>44589</v>
      </c>
      <c r="H5105" s="13" t="s">
        <v>35</v>
      </c>
    </row>
    <row r="5106" spans="1:8" ht="14.4" x14ac:dyDescent="0.3">
      <c r="A5106" s="8">
        <v>1968441</v>
      </c>
      <c r="B5106" s="11">
        <v>44587</v>
      </c>
      <c r="C5106" s="13" t="s">
        <v>1286</v>
      </c>
      <c r="D5106" s="13" t="s">
        <v>6532</v>
      </c>
      <c r="E5106" s="8">
        <v>1611</v>
      </c>
      <c r="F5106" s="13" t="s">
        <v>70</v>
      </c>
      <c r="G5106" s="14">
        <v>44589</v>
      </c>
      <c r="H5106" s="13" t="s">
        <v>35</v>
      </c>
    </row>
    <row r="5107" spans="1:8" ht="14.4" x14ac:dyDescent="0.3">
      <c r="A5107" s="8">
        <v>1968442</v>
      </c>
      <c r="B5107" s="11">
        <v>44587</v>
      </c>
      <c r="C5107" s="13" t="s">
        <v>1286</v>
      </c>
      <c r="D5107" s="13" t="s">
        <v>6533</v>
      </c>
      <c r="E5107" s="8">
        <v>7768.57</v>
      </c>
      <c r="F5107" s="13" t="s">
        <v>70</v>
      </c>
      <c r="G5107" s="14">
        <v>44589</v>
      </c>
      <c r="H5107" s="13" t="s">
        <v>35</v>
      </c>
    </row>
    <row r="5108" spans="1:8" ht="14.4" x14ac:dyDescent="0.3">
      <c r="A5108" s="8">
        <v>1968443</v>
      </c>
      <c r="B5108" s="11">
        <v>44587</v>
      </c>
      <c r="C5108" s="13" t="s">
        <v>1286</v>
      </c>
      <c r="D5108" s="13" t="s">
        <v>6534</v>
      </c>
      <c r="E5108" s="8">
        <v>6593.92</v>
      </c>
      <c r="F5108" s="13" t="s">
        <v>70</v>
      </c>
      <c r="G5108" s="14">
        <v>44589</v>
      </c>
      <c r="H5108" s="13" t="s">
        <v>35</v>
      </c>
    </row>
    <row r="5109" spans="1:8" ht="14.4" x14ac:dyDescent="0.3">
      <c r="A5109" s="8">
        <v>1968444</v>
      </c>
      <c r="B5109" s="11">
        <v>44587</v>
      </c>
      <c r="C5109" s="13" t="s">
        <v>1286</v>
      </c>
      <c r="D5109" s="13" t="s">
        <v>6535</v>
      </c>
      <c r="E5109" s="8">
        <v>7395.39</v>
      </c>
      <c r="F5109" s="13" t="s">
        <v>70</v>
      </c>
      <c r="G5109" s="14">
        <v>44589</v>
      </c>
      <c r="H5109" s="13" t="s">
        <v>35</v>
      </c>
    </row>
    <row r="5110" spans="1:8" ht="14.4" x14ac:dyDescent="0.3">
      <c r="A5110" s="8">
        <v>1968445</v>
      </c>
      <c r="B5110" s="11">
        <v>44587</v>
      </c>
      <c r="C5110" s="13" t="s">
        <v>1286</v>
      </c>
      <c r="D5110" s="13" t="s">
        <v>6526</v>
      </c>
      <c r="E5110" s="8">
        <v>7007.83</v>
      </c>
      <c r="F5110" s="13" t="s">
        <v>70</v>
      </c>
      <c r="G5110" s="14">
        <v>44589</v>
      </c>
      <c r="H5110" s="13" t="s">
        <v>35</v>
      </c>
    </row>
    <row r="5111" spans="1:8" ht="14.4" x14ac:dyDescent="0.3">
      <c r="A5111" s="8">
        <v>1968446</v>
      </c>
      <c r="B5111" s="11">
        <v>44587</v>
      </c>
      <c r="C5111" s="13" t="s">
        <v>1286</v>
      </c>
      <c r="D5111" s="13" t="s">
        <v>6536</v>
      </c>
      <c r="E5111" s="8">
        <v>76750.880000000005</v>
      </c>
      <c r="F5111" s="13" t="s">
        <v>70</v>
      </c>
      <c r="G5111" s="14">
        <v>44589</v>
      </c>
      <c r="H5111" s="13" t="s">
        <v>35</v>
      </c>
    </row>
    <row r="5112" spans="1:8" ht="14.4" x14ac:dyDescent="0.3">
      <c r="A5112" s="8">
        <v>1968447</v>
      </c>
      <c r="B5112" s="11">
        <v>44587</v>
      </c>
      <c r="C5112" s="13" t="s">
        <v>1286</v>
      </c>
      <c r="D5112" s="13" t="s">
        <v>6537</v>
      </c>
      <c r="E5112" s="8">
        <v>74719.58</v>
      </c>
      <c r="F5112" s="13" t="s">
        <v>70</v>
      </c>
      <c r="G5112" s="14">
        <v>44589</v>
      </c>
      <c r="H5112" s="13" t="s">
        <v>35</v>
      </c>
    </row>
    <row r="5113" spans="1:8" ht="14.4" x14ac:dyDescent="0.3">
      <c r="A5113" s="8">
        <v>1968448</v>
      </c>
      <c r="B5113" s="11">
        <v>44587</v>
      </c>
      <c r="C5113" s="13" t="s">
        <v>1286</v>
      </c>
      <c r="D5113" s="13" t="s">
        <v>6538</v>
      </c>
      <c r="E5113" s="8">
        <v>9994.66</v>
      </c>
      <c r="F5113" s="13" t="s">
        <v>70</v>
      </c>
      <c r="G5113" s="14">
        <v>44589</v>
      </c>
      <c r="H5113" s="13" t="s">
        <v>35</v>
      </c>
    </row>
    <row r="5114" spans="1:8" ht="14.4" x14ac:dyDescent="0.3">
      <c r="A5114" s="8">
        <v>1968449</v>
      </c>
      <c r="B5114" s="11">
        <v>44587</v>
      </c>
      <c r="C5114" s="13" t="s">
        <v>1286</v>
      </c>
      <c r="D5114" s="13" t="s">
        <v>6539</v>
      </c>
      <c r="E5114" s="8">
        <v>2602.16</v>
      </c>
      <c r="F5114" s="13" t="s">
        <v>70</v>
      </c>
      <c r="G5114" s="14">
        <v>44589</v>
      </c>
      <c r="H5114" s="13" t="s">
        <v>35</v>
      </c>
    </row>
    <row r="5115" spans="1:8" ht="14.4" x14ac:dyDescent="0.3">
      <c r="A5115" s="8">
        <v>1968450</v>
      </c>
      <c r="B5115" s="11">
        <v>44587</v>
      </c>
      <c r="C5115" s="13" t="s">
        <v>1286</v>
      </c>
      <c r="D5115" s="13" t="s">
        <v>6540</v>
      </c>
      <c r="E5115" s="8">
        <v>7259.48</v>
      </c>
      <c r="F5115" s="13" t="s">
        <v>70</v>
      </c>
      <c r="G5115" s="14">
        <v>44589</v>
      </c>
      <c r="H5115" s="13" t="s">
        <v>35</v>
      </c>
    </row>
    <row r="5116" spans="1:8" ht="14.4" x14ac:dyDescent="0.3">
      <c r="A5116" s="8">
        <v>1968451</v>
      </c>
      <c r="B5116" s="11">
        <v>44587</v>
      </c>
      <c r="C5116" s="13" t="s">
        <v>1286</v>
      </c>
      <c r="D5116" s="13" t="s">
        <v>6541</v>
      </c>
      <c r="E5116" s="8">
        <v>11371.56</v>
      </c>
      <c r="F5116" s="13" t="s">
        <v>70</v>
      </c>
      <c r="G5116" s="14">
        <v>44589</v>
      </c>
      <c r="H5116" s="13" t="s">
        <v>35</v>
      </c>
    </row>
    <row r="5117" spans="1:8" ht="14.4" x14ac:dyDescent="0.3">
      <c r="A5117" s="8">
        <v>1968452</v>
      </c>
      <c r="B5117" s="11">
        <v>44587</v>
      </c>
      <c r="C5117" s="13" t="s">
        <v>6518</v>
      </c>
      <c r="D5117" s="13" t="s">
        <v>6542</v>
      </c>
      <c r="E5117" s="8">
        <v>49959.82</v>
      </c>
      <c r="F5117" s="13" t="s">
        <v>70</v>
      </c>
      <c r="G5117" s="14">
        <v>44596</v>
      </c>
      <c r="H5117" s="13" t="s">
        <v>35</v>
      </c>
    </row>
    <row r="5118" spans="1:8" ht="14.4" x14ac:dyDescent="0.3">
      <c r="A5118" s="8">
        <v>1968453</v>
      </c>
      <c r="B5118" s="11">
        <v>44587</v>
      </c>
      <c r="C5118" s="13" t="s">
        <v>6518</v>
      </c>
      <c r="D5118" s="13" t="s">
        <v>6543</v>
      </c>
      <c r="E5118" s="8">
        <v>1402.61</v>
      </c>
      <c r="F5118" s="13" t="s">
        <v>70</v>
      </c>
      <c r="G5118" s="14">
        <v>44596</v>
      </c>
      <c r="H5118" s="13" t="s">
        <v>35</v>
      </c>
    </row>
    <row r="5119" spans="1:8" ht="14.4" x14ac:dyDescent="0.3">
      <c r="A5119" s="8">
        <v>1968454</v>
      </c>
      <c r="B5119" s="11">
        <v>44587</v>
      </c>
      <c r="C5119" s="13" t="s">
        <v>6518</v>
      </c>
      <c r="D5119" s="13" t="s">
        <v>6544</v>
      </c>
      <c r="E5119" s="8">
        <v>2053.25</v>
      </c>
      <c r="F5119" s="13" t="s">
        <v>70</v>
      </c>
      <c r="G5119" s="14">
        <v>44596</v>
      </c>
      <c r="H5119" s="13" t="s">
        <v>35</v>
      </c>
    </row>
    <row r="5120" spans="1:8" ht="14.4" x14ac:dyDescent="0.3">
      <c r="A5120" s="8">
        <v>1968455</v>
      </c>
      <c r="B5120" s="11">
        <v>44587</v>
      </c>
      <c r="C5120" s="13" t="s">
        <v>6518</v>
      </c>
      <c r="D5120" s="13" t="s">
        <v>6545</v>
      </c>
      <c r="E5120" s="8">
        <v>3083.88</v>
      </c>
      <c r="F5120" s="13" t="s">
        <v>70</v>
      </c>
      <c r="G5120" s="14">
        <v>44596</v>
      </c>
      <c r="H5120" s="13" t="s">
        <v>35</v>
      </c>
    </row>
    <row r="5121" spans="1:8" ht="14.4" x14ac:dyDescent="0.3">
      <c r="A5121" s="8">
        <v>1968456</v>
      </c>
      <c r="B5121" s="11">
        <v>44587</v>
      </c>
      <c r="C5121" s="13" t="s">
        <v>6518</v>
      </c>
      <c r="D5121" s="13" t="s">
        <v>6546</v>
      </c>
      <c r="E5121" s="8">
        <v>4110.08</v>
      </c>
      <c r="F5121" s="13" t="s">
        <v>70</v>
      </c>
      <c r="G5121" s="14">
        <v>44596</v>
      </c>
      <c r="H5121" s="13" t="s">
        <v>35</v>
      </c>
    </row>
    <row r="5122" spans="1:8" ht="14.4" x14ac:dyDescent="0.3">
      <c r="A5122" s="8">
        <v>1968457</v>
      </c>
      <c r="B5122" s="11">
        <v>44587</v>
      </c>
      <c r="C5122" s="13" t="s">
        <v>6518</v>
      </c>
      <c r="D5122" s="13" t="s">
        <v>6547</v>
      </c>
      <c r="E5122" s="8">
        <v>4393.8</v>
      </c>
      <c r="F5122" s="13" t="s">
        <v>70</v>
      </c>
      <c r="G5122" s="14">
        <v>44596</v>
      </c>
      <c r="H5122" s="13" t="s">
        <v>35</v>
      </c>
    </row>
    <row r="5123" spans="1:8" ht="14.4" x14ac:dyDescent="0.3">
      <c r="A5123" s="8">
        <v>1968458</v>
      </c>
      <c r="B5123" s="11">
        <v>44587</v>
      </c>
      <c r="C5123" s="13" t="s">
        <v>6518</v>
      </c>
      <c r="D5123" s="13" t="s">
        <v>6548</v>
      </c>
      <c r="E5123" s="8">
        <v>3162.21</v>
      </c>
      <c r="F5123" s="13" t="s">
        <v>70</v>
      </c>
      <c r="G5123" s="14">
        <v>44596</v>
      </c>
      <c r="H5123" s="13" t="s">
        <v>35</v>
      </c>
    </row>
    <row r="5124" spans="1:8" ht="14.4" x14ac:dyDescent="0.3">
      <c r="A5124" s="8">
        <v>1968459</v>
      </c>
      <c r="B5124" s="11">
        <v>44587</v>
      </c>
      <c r="C5124" s="13" t="s">
        <v>6518</v>
      </c>
      <c r="D5124" s="13" t="s">
        <v>6549</v>
      </c>
      <c r="E5124" s="8">
        <v>5640.48</v>
      </c>
      <c r="F5124" s="13" t="s">
        <v>70</v>
      </c>
      <c r="G5124" s="14">
        <v>44596</v>
      </c>
      <c r="H5124" s="13" t="s">
        <v>35</v>
      </c>
    </row>
    <row r="5125" spans="1:8" ht="14.4" x14ac:dyDescent="0.3">
      <c r="A5125" s="8">
        <v>1968460</v>
      </c>
      <c r="B5125" s="11">
        <v>44587</v>
      </c>
      <c r="C5125" s="13" t="s">
        <v>6518</v>
      </c>
      <c r="D5125" s="13" t="s">
        <v>6550</v>
      </c>
      <c r="E5125" s="8">
        <v>1463.48</v>
      </c>
      <c r="F5125" s="13" t="s">
        <v>70</v>
      </c>
      <c r="G5125" s="14">
        <v>44596</v>
      </c>
      <c r="H5125" s="13" t="s">
        <v>35</v>
      </c>
    </row>
    <row r="5126" spans="1:8" ht="14.4" x14ac:dyDescent="0.3">
      <c r="A5126" s="8">
        <v>1968461</v>
      </c>
      <c r="B5126" s="11">
        <v>44587</v>
      </c>
      <c r="C5126" s="13" t="s">
        <v>6518</v>
      </c>
      <c r="D5126" s="13" t="s">
        <v>6551</v>
      </c>
      <c r="E5126" s="8">
        <v>3100.5</v>
      </c>
      <c r="F5126" s="13" t="s">
        <v>70</v>
      </c>
      <c r="G5126" s="14">
        <v>44596</v>
      </c>
      <c r="H5126" s="13" t="s">
        <v>35</v>
      </c>
    </row>
    <row r="5127" spans="1:8" ht="14.4" x14ac:dyDescent="0.3">
      <c r="A5127" s="8">
        <v>1968462</v>
      </c>
      <c r="B5127" s="11">
        <v>44587</v>
      </c>
      <c r="C5127" s="13" t="s">
        <v>6518</v>
      </c>
      <c r="D5127" s="13" t="s">
        <v>6552</v>
      </c>
      <c r="E5127" s="8">
        <v>3975</v>
      </c>
      <c r="F5127" s="13" t="s">
        <v>70</v>
      </c>
      <c r="G5127" s="14">
        <v>44596</v>
      </c>
      <c r="H5127" s="13" t="s">
        <v>35</v>
      </c>
    </row>
    <row r="5128" spans="1:8" ht="14.4" x14ac:dyDescent="0.3">
      <c r="A5128" s="8">
        <v>1968463</v>
      </c>
      <c r="B5128" s="11">
        <v>44587</v>
      </c>
      <c r="C5128" s="13" t="s">
        <v>6518</v>
      </c>
      <c r="D5128" s="13" t="s">
        <v>6553</v>
      </c>
      <c r="E5128" s="8">
        <v>3943.76</v>
      </c>
      <c r="F5128" s="13" t="s">
        <v>70</v>
      </c>
      <c r="G5128" s="14">
        <v>44596</v>
      </c>
      <c r="H5128" s="13" t="s">
        <v>35</v>
      </c>
    </row>
    <row r="5129" spans="1:8" ht="14.4" x14ac:dyDescent="0.3">
      <c r="A5129" s="8">
        <v>1968464</v>
      </c>
      <c r="B5129" s="11">
        <v>44587</v>
      </c>
      <c r="C5129" s="13" t="s">
        <v>1286</v>
      </c>
      <c r="D5129" s="13" t="s">
        <v>6554</v>
      </c>
      <c r="E5129" s="8">
        <v>3971.74</v>
      </c>
      <c r="F5129" s="13" t="s">
        <v>70</v>
      </c>
      <c r="G5129" s="14">
        <v>44589</v>
      </c>
      <c r="H5129" s="13" t="s">
        <v>35</v>
      </c>
    </row>
    <row r="5130" spans="1:8" ht="14.4" x14ac:dyDescent="0.3">
      <c r="A5130" s="8">
        <v>1968465</v>
      </c>
      <c r="B5130" s="11">
        <v>44587</v>
      </c>
      <c r="C5130" s="13" t="s">
        <v>1286</v>
      </c>
      <c r="D5130" s="13" t="s">
        <v>6555</v>
      </c>
      <c r="E5130" s="8">
        <v>65852.03</v>
      </c>
      <c r="F5130" s="13" t="s">
        <v>70</v>
      </c>
      <c r="G5130" s="14">
        <v>44589</v>
      </c>
      <c r="H5130" s="13" t="s">
        <v>35</v>
      </c>
    </row>
    <row r="5131" spans="1:8" ht="14.4" x14ac:dyDescent="0.3">
      <c r="A5131" s="8">
        <v>1968466</v>
      </c>
      <c r="B5131" s="11">
        <v>44587</v>
      </c>
      <c r="C5131" s="13" t="s">
        <v>1286</v>
      </c>
      <c r="D5131" s="13" t="s">
        <v>6556</v>
      </c>
      <c r="E5131" s="8">
        <v>62791.7</v>
      </c>
      <c r="F5131" s="13" t="s">
        <v>70</v>
      </c>
      <c r="G5131" s="14">
        <v>44589</v>
      </c>
      <c r="H5131" s="13" t="s">
        <v>35</v>
      </c>
    </row>
    <row r="5132" spans="1:8" ht="14.4" x14ac:dyDescent="0.3">
      <c r="A5132" s="8">
        <v>1968467</v>
      </c>
      <c r="B5132" s="11">
        <v>44587</v>
      </c>
      <c r="C5132" s="13" t="s">
        <v>1286</v>
      </c>
      <c r="D5132" s="13" t="s">
        <v>6478</v>
      </c>
      <c r="E5132" s="8">
        <v>71565.94</v>
      </c>
      <c r="F5132" s="13" t="s">
        <v>70</v>
      </c>
      <c r="G5132" s="14">
        <v>44589</v>
      </c>
      <c r="H5132" s="13" t="s">
        <v>35</v>
      </c>
    </row>
    <row r="5133" spans="1:8" ht="14.4" x14ac:dyDescent="0.3">
      <c r="A5133" s="8">
        <v>1968468</v>
      </c>
      <c r="B5133" s="11">
        <v>44587</v>
      </c>
      <c r="C5133" s="13" t="s">
        <v>6518</v>
      </c>
      <c r="D5133" s="13" t="s">
        <v>6557</v>
      </c>
      <c r="E5133" s="8">
        <v>50351.07</v>
      </c>
      <c r="F5133" s="13" t="s">
        <v>70</v>
      </c>
      <c r="G5133" s="14">
        <v>44596</v>
      </c>
      <c r="H5133" s="13" t="s">
        <v>35</v>
      </c>
    </row>
    <row r="5134" spans="1:8" ht="14.4" x14ac:dyDescent="0.3">
      <c r="A5134" s="8">
        <v>1968469</v>
      </c>
      <c r="B5134" s="11">
        <v>44587</v>
      </c>
      <c r="C5134" s="13" t="s">
        <v>1286</v>
      </c>
      <c r="D5134" s="13" t="s">
        <v>6558</v>
      </c>
      <c r="E5134" s="8">
        <v>71212.160000000003</v>
      </c>
      <c r="F5134" s="13" t="s">
        <v>70</v>
      </c>
      <c r="G5134" s="14">
        <v>44589</v>
      </c>
      <c r="H5134" s="13" t="s">
        <v>35</v>
      </c>
    </row>
    <row r="5135" spans="1:8" ht="14.4" x14ac:dyDescent="0.3">
      <c r="A5135" s="8">
        <v>1968470</v>
      </c>
      <c r="B5135" s="11">
        <v>44587</v>
      </c>
      <c r="C5135" s="13" t="s">
        <v>6518</v>
      </c>
      <c r="D5135" s="13" t="s">
        <v>6521</v>
      </c>
      <c r="E5135" s="8">
        <v>9565.9699999999993</v>
      </c>
      <c r="F5135" s="13" t="s">
        <v>70</v>
      </c>
      <c r="G5135" s="14">
        <v>44596</v>
      </c>
      <c r="H5135" s="13" t="s">
        <v>35</v>
      </c>
    </row>
    <row r="5136" spans="1:8" ht="14.4" x14ac:dyDescent="0.3">
      <c r="A5136" s="8">
        <v>1968471</v>
      </c>
      <c r="B5136" s="11">
        <v>44587</v>
      </c>
      <c r="C5136" s="13" t="s">
        <v>6518</v>
      </c>
      <c r="D5136" s="13" t="s">
        <v>6559</v>
      </c>
      <c r="E5136" s="8">
        <v>16423.41</v>
      </c>
      <c r="F5136" s="13" t="s">
        <v>70</v>
      </c>
      <c r="G5136" s="14">
        <v>44596</v>
      </c>
      <c r="H5136" s="13" t="s">
        <v>35</v>
      </c>
    </row>
    <row r="5137" spans="1:8" ht="14.4" x14ac:dyDescent="0.3">
      <c r="A5137" s="8">
        <v>1968472</v>
      </c>
      <c r="B5137" s="11">
        <v>44587</v>
      </c>
      <c r="C5137" s="13" t="s">
        <v>6518</v>
      </c>
      <c r="D5137" s="13" t="s">
        <v>6560</v>
      </c>
      <c r="E5137" s="8">
        <v>8064.74</v>
      </c>
      <c r="F5137" s="13" t="s">
        <v>70</v>
      </c>
      <c r="G5137" s="14">
        <v>44596</v>
      </c>
      <c r="H5137" s="13" t="s">
        <v>35</v>
      </c>
    </row>
    <row r="5138" spans="1:8" ht="14.4" x14ac:dyDescent="0.3">
      <c r="A5138" s="8">
        <v>1968473</v>
      </c>
      <c r="B5138" s="11">
        <v>44587</v>
      </c>
      <c r="C5138" s="13" t="s">
        <v>1286</v>
      </c>
      <c r="D5138" s="13" t="s">
        <v>6516</v>
      </c>
      <c r="E5138" s="8">
        <v>12600.72</v>
      </c>
      <c r="F5138" s="13" t="s">
        <v>70</v>
      </c>
      <c r="G5138" s="14">
        <v>44589</v>
      </c>
      <c r="H5138" s="13" t="s">
        <v>35</v>
      </c>
    </row>
    <row r="5139" spans="1:8" ht="14.4" x14ac:dyDescent="0.3">
      <c r="A5139" s="8">
        <v>1968476</v>
      </c>
      <c r="B5139" s="11">
        <v>44587</v>
      </c>
      <c r="C5139" s="13" t="s">
        <v>1286</v>
      </c>
      <c r="D5139" s="13" t="s">
        <v>6561</v>
      </c>
      <c r="E5139" s="8">
        <v>1977.28</v>
      </c>
      <c r="F5139" s="13" t="s">
        <v>70</v>
      </c>
      <c r="G5139" s="14">
        <v>44589</v>
      </c>
      <c r="H5139" s="13" t="s">
        <v>35</v>
      </c>
    </row>
    <row r="5140" spans="1:8" ht="14.4" x14ac:dyDescent="0.3">
      <c r="A5140" s="8">
        <v>1968477</v>
      </c>
      <c r="B5140" s="11">
        <v>44587</v>
      </c>
      <c r="C5140" s="13" t="s">
        <v>1286</v>
      </c>
      <c r="D5140" s="13" t="s">
        <v>6516</v>
      </c>
      <c r="E5140" s="8">
        <v>4926.8900000000003</v>
      </c>
      <c r="F5140" s="13" t="s">
        <v>70</v>
      </c>
      <c r="G5140" s="14">
        <v>44589</v>
      </c>
      <c r="H5140" s="13" t="s">
        <v>35</v>
      </c>
    </row>
    <row r="5141" spans="1:8" ht="14.4" x14ac:dyDescent="0.3">
      <c r="A5141" s="8">
        <v>1968478</v>
      </c>
      <c r="B5141" s="11">
        <v>44587</v>
      </c>
      <c r="C5141" s="13" t="s">
        <v>1286</v>
      </c>
      <c r="D5141" s="13" t="s">
        <v>6562</v>
      </c>
      <c r="E5141" s="8">
        <v>7722.85</v>
      </c>
      <c r="F5141" s="13" t="s">
        <v>70</v>
      </c>
      <c r="G5141" s="14">
        <v>44589</v>
      </c>
      <c r="H5141" s="13" t="s">
        <v>35</v>
      </c>
    </row>
    <row r="5142" spans="1:8" ht="14.4" x14ac:dyDescent="0.3">
      <c r="A5142" s="8">
        <v>1968479</v>
      </c>
      <c r="B5142" s="11">
        <v>44587</v>
      </c>
      <c r="C5142" s="13" t="s">
        <v>6518</v>
      </c>
      <c r="D5142" s="13" t="s">
        <v>6516</v>
      </c>
      <c r="E5142" s="8">
        <v>5092.92</v>
      </c>
      <c r="F5142" s="13" t="s">
        <v>70</v>
      </c>
      <c r="G5142" s="14">
        <v>44596</v>
      </c>
      <c r="H5142" s="13" t="s">
        <v>35</v>
      </c>
    </row>
    <row r="5143" spans="1:8" ht="14.4" x14ac:dyDescent="0.3">
      <c r="A5143" s="8">
        <v>1968480</v>
      </c>
      <c r="B5143" s="11">
        <v>44587</v>
      </c>
      <c r="C5143" s="13" t="s">
        <v>6518</v>
      </c>
      <c r="D5143" s="13" t="s">
        <v>6563</v>
      </c>
      <c r="E5143" s="8">
        <v>3736.32</v>
      </c>
      <c r="F5143" s="13" t="s">
        <v>70</v>
      </c>
      <c r="G5143" s="14">
        <v>44596</v>
      </c>
      <c r="H5143" s="13" t="s">
        <v>35</v>
      </c>
    </row>
    <row r="5144" spans="1:8" ht="14.4" x14ac:dyDescent="0.3">
      <c r="A5144" s="8">
        <v>1968481</v>
      </c>
      <c r="B5144" s="11">
        <v>44587</v>
      </c>
      <c r="C5144" s="13" t="s">
        <v>1286</v>
      </c>
      <c r="D5144" s="13" t="s">
        <v>6564</v>
      </c>
      <c r="E5144" s="8">
        <v>1469.24</v>
      </c>
      <c r="F5144" s="13" t="s">
        <v>70</v>
      </c>
      <c r="G5144" s="14">
        <v>44589</v>
      </c>
      <c r="H5144" s="13" t="s">
        <v>35</v>
      </c>
    </row>
    <row r="5145" spans="1:8" ht="14.4" x14ac:dyDescent="0.3">
      <c r="A5145" s="8">
        <v>1968482</v>
      </c>
      <c r="B5145" s="11">
        <v>44587</v>
      </c>
      <c r="C5145" s="13" t="s">
        <v>6518</v>
      </c>
      <c r="D5145" s="13" t="s">
        <v>6516</v>
      </c>
      <c r="E5145" s="8">
        <v>3126.25</v>
      </c>
      <c r="F5145" s="13" t="s">
        <v>70</v>
      </c>
      <c r="G5145" s="14">
        <v>44596</v>
      </c>
      <c r="H5145" s="13" t="s">
        <v>35</v>
      </c>
    </row>
    <row r="5146" spans="1:8" ht="14.4" x14ac:dyDescent="0.3">
      <c r="A5146" s="8">
        <v>1968483</v>
      </c>
      <c r="B5146" s="11">
        <v>44587</v>
      </c>
      <c r="C5146" s="13" t="s">
        <v>6518</v>
      </c>
      <c r="D5146" s="13" t="s">
        <v>6565</v>
      </c>
      <c r="E5146" s="8">
        <v>2762.63</v>
      </c>
      <c r="F5146" s="13" t="s">
        <v>70</v>
      </c>
      <c r="G5146" s="14">
        <v>44596</v>
      </c>
      <c r="H5146" s="13" t="s">
        <v>35</v>
      </c>
    </row>
    <row r="5147" spans="1:8" ht="14.4" x14ac:dyDescent="0.3">
      <c r="A5147" s="8">
        <v>1968484</v>
      </c>
      <c r="B5147" s="11">
        <v>44587</v>
      </c>
      <c r="C5147" s="13" t="s">
        <v>6518</v>
      </c>
      <c r="D5147" s="13" t="s">
        <v>6566</v>
      </c>
      <c r="E5147" s="8">
        <v>2990.57</v>
      </c>
      <c r="F5147" s="13" t="s">
        <v>70</v>
      </c>
      <c r="G5147" s="14">
        <v>44596</v>
      </c>
      <c r="H5147" s="13" t="s">
        <v>35</v>
      </c>
    </row>
    <row r="5148" spans="1:8" ht="14.4" x14ac:dyDescent="0.3">
      <c r="A5148" s="8">
        <v>1968485</v>
      </c>
      <c r="B5148" s="11">
        <v>44587</v>
      </c>
      <c r="C5148" s="13" t="s">
        <v>6518</v>
      </c>
      <c r="D5148" s="13" t="s">
        <v>6567</v>
      </c>
      <c r="E5148" s="8">
        <v>9736.1200000000008</v>
      </c>
      <c r="F5148" s="13" t="s">
        <v>70</v>
      </c>
      <c r="G5148" s="14">
        <v>44596</v>
      </c>
      <c r="H5148" s="13" t="s">
        <v>35</v>
      </c>
    </row>
    <row r="5149" spans="1:8" ht="14.4" x14ac:dyDescent="0.3">
      <c r="A5149" s="8">
        <v>1968486</v>
      </c>
      <c r="B5149" s="11">
        <v>44587</v>
      </c>
      <c r="C5149" s="13" t="s">
        <v>1286</v>
      </c>
      <c r="D5149" s="13" t="s">
        <v>6568</v>
      </c>
      <c r="E5149" s="8">
        <v>7414.8</v>
      </c>
      <c r="F5149" s="13" t="s">
        <v>70</v>
      </c>
      <c r="G5149" s="14">
        <v>44589</v>
      </c>
      <c r="H5149" s="13" t="s">
        <v>35</v>
      </c>
    </row>
    <row r="5150" spans="1:8" ht="14.4" x14ac:dyDescent="0.3">
      <c r="A5150" s="8">
        <v>1968487</v>
      </c>
      <c r="B5150" s="11">
        <v>44587</v>
      </c>
      <c r="C5150" s="13" t="s">
        <v>1286</v>
      </c>
      <c r="D5150" s="13" t="s">
        <v>6516</v>
      </c>
      <c r="E5150" s="8">
        <v>8203.4500000000007</v>
      </c>
      <c r="F5150" s="13" t="s">
        <v>70</v>
      </c>
      <c r="G5150" s="14">
        <v>44589</v>
      </c>
      <c r="H5150" s="13" t="s">
        <v>35</v>
      </c>
    </row>
    <row r="5151" spans="1:8" ht="14.4" x14ac:dyDescent="0.3">
      <c r="A5151" s="8">
        <v>1968488</v>
      </c>
      <c r="B5151" s="11">
        <v>44588</v>
      </c>
      <c r="C5151" s="13" t="s">
        <v>1784</v>
      </c>
      <c r="D5151" s="13" t="s">
        <v>6569</v>
      </c>
      <c r="E5151" s="8">
        <v>5000</v>
      </c>
      <c r="F5151" s="13" t="s">
        <v>70</v>
      </c>
      <c r="G5151" s="14">
        <v>44595</v>
      </c>
      <c r="H5151" s="13" t="s">
        <v>35</v>
      </c>
    </row>
    <row r="5152" spans="1:8" ht="14.4" x14ac:dyDescent="0.3">
      <c r="A5152" s="8">
        <v>1968489</v>
      </c>
      <c r="B5152" s="11">
        <v>44588</v>
      </c>
      <c r="C5152" s="13" t="s">
        <v>1286</v>
      </c>
      <c r="D5152" s="13" t="s">
        <v>6527</v>
      </c>
      <c r="E5152" s="8">
        <v>13878.55</v>
      </c>
      <c r="F5152" s="13" t="s">
        <v>70</v>
      </c>
      <c r="G5152" s="14">
        <v>44592</v>
      </c>
      <c r="H5152" s="13" t="s">
        <v>35</v>
      </c>
    </row>
    <row r="5153" spans="1:8" ht="14.4" x14ac:dyDescent="0.3">
      <c r="A5153" s="8">
        <v>1968490</v>
      </c>
      <c r="B5153" s="11">
        <v>44588</v>
      </c>
      <c r="C5153" s="13" t="s">
        <v>1286</v>
      </c>
      <c r="D5153" s="13" t="s">
        <v>6570</v>
      </c>
      <c r="E5153" s="8">
        <v>12791.57</v>
      </c>
      <c r="F5153" s="13" t="s">
        <v>70</v>
      </c>
      <c r="G5153" s="14">
        <v>44592</v>
      </c>
      <c r="H5153" s="13" t="s">
        <v>35</v>
      </c>
    </row>
    <row r="5154" spans="1:8" ht="14.4" x14ac:dyDescent="0.3">
      <c r="A5154" s="8">
        <v>1968491</v>
      </c>
      <c r="B5154" s="11">
        <v>44588</v>
      </c>
      <c r="C5154" s="13" t="s">
        <v>1286</v>
      </c>
      <c r="D5154" s="13" t="s">
        <v>6478</v>
      </c>
      <c r="E5154" s="8">
        <v>2324.91</v>
      </c>
      <c r="F5154" s="13" t="s">
        <v>70</v>
      </c>
      <c r="G5154" s="14">
        <v>44592</v>
      </c>
      <c r="H5154" s="13" t="s">
        <v>35</v>
      </c>
    </row>
    <row r="5155" spans="1:8" ht="14.4" x14ac:dyDescent="0.3">
      <c r="A5155" s="8">
        <v>1968492</v>
      </c>
      <c r="B5155" s="11">
        <v>44588</v>
      </c>
      <c r="C5155" s="13" t="s">
        <v>4211</v>
      </c>
      <c r="D5155" s="13" t="s">
        <v>6571</v>
      </c>
      <c r="E5155" s="8">
        <v>19500</v>
      </c>
      <c r="F5155" s="13" t="s">
        <v>70</v>
      </c>
      <c r="G5155" s="14">
        <v>44594</v>
      </c>
      <c r="H5155" s="13" t="s">
        <v>35</v>
      </c>
    </row>
    <row r="5156" spans="1:8" ht="14.4" x14ac:dyDescent="0.3">
      <c r="A5156" s="8">
        <v>1968493</v>
      </c>
      <c r="B5156" s="11">
        <v>44588</v>
      </c>
      <c r="C5156" s="13" t="s">
        <v>217</v>
      </c>
      <c r="D5156" s="13" t="s">
        <v>6572</v>
      </c>
      <c r="E5156" s="8">
        <v>258403</v>
      </c>
      <c r="F5156" s="13" t="s">
        <v>70</v>
      </c>
      <c r="G5156" s="14">
        <v>44599</v>
      </c>
      <c r="H5156" s="13" t="s">
        <v>35</v>
      </c>
    </row>
    <row r="5157" spans="1:8" ht="14.4" x14ac:dyDescent="0.3">
      <c r="A5157" s="8">
        <v>1968494</v>
      </c>
      <c r="B5157" s="11">
        <v>44588</v>
      </c>
      <c r="C5157" s="13" t="s">
        <v>217</v>
      </c>
      <c r="D5157" s="13" t="s">
        <v>6573</v>
      </c>
      <c r="E5157" s="8">
        <v>259596</v>
      </c>
      <c r="F5157" s="13" t="s">
        <v>70</v>
      </c>
      <c r="G5157" s="14">
        <v>44600</v>
      </c>
      <c r="H5157" s="13" t="s">
        <v>35</v>
      </c>
    </row>
    <row r="5158" spans="1:8" ht="14.4" x14ac:dyDescent="0.3">
      <c r="A5158" s="8">
        <v>1968495</v>
      </c>
      <c r="B5158" s="11">
        <v>44588</v>
      </c>
      <c r="C5158" s="13" t="s">
        <v>162</v>
      </c>
      <c r="D5158" s="13" t="s">
        <v>6574</v>
      </c>
      <c r="E5158" s="8">
        <v>3494.34</v>
      </c>
      <c r="F5158" s="13" t="s">
        <v>70</v>
      </c>
      <c r="G5158" s="14">
        <v>44615</v>
      </c>
      <c r="H5158" s="13" t="s">
        <v>35</v>
      </c>
    </row>
    <row r="5159" spans="1:8" ht="14.4" x14ac:dyDescent="0.3">
      <c r="A5159" s="8">
        <v>1968496</v>
      </c>
      <c r="B5159" s="11">
        <v>44588</v>
      </c>
      <c r="C5159" s="13" t="s">
        <v>162</v>
      </c>
      <c r="D5159" s="13" t="s">
        <v>6575</v>
      </c>
      <c r="E5159" s="8">
        <v>26974.47</v>
      </c>
      <c r="F5159" s="13" t="s">
        <v>70</v>
      </c>
      <c r="G5159" s="14">
        <v>44608</v>
      </c>
      <c r="H5159" s="13" t="s">
        <v>35</v>
      </c>
    </row>
    <row r="5160" spans="1:8" ht="14.4" x14ac:dyDescent="0.3">
      <c r="A5160" s="8">
        <v>1968497</v>
      </c>
      <c r="B5160" s="11">
        <v>44588</v>
      </c>
      <c r="C5160" s="13" t="s">
        <v>162</v>
      </c>
      <c r="D5160" s="13" t="s">
        <v>6576</v>
      </c>
      <c r="E5160" s="8">
        <v>65357.34</v>
      </c>
      <c r="F5160" s="13" t="s">
        <v>70</v>
      </c>
      <c r="G5160" s="14">
        <v>44608</v>
      </c>
      <c r="H5160" s="13" t="s">
        <v>35</v>
      </c>
    </row>
    <row r="5161" spans="1:8" ht="14.4" x14ac:dyDescent="0.3">
      <c r="A5161" s="8">
        <v>1968498</v>
      </c>
      <c r="B5161" s="11">
        <v>44588</v>
      </c>
      <c r="C5161" s="13" t="s">
        <v>162</v>
      </c>
      <c r="D5161" s="13" t="s">
        <v>6577</v>
      </c>
      <c r="E5161" s="8">
        <v>338599.01</v>
      </c>
      <c r="F5161" s="13" t="s">
        <v>70</v>
      </c>
      <c r="G5161" s="14">
        <v>44608</v>
      </c>
      <c r="H5161" s="13" t="s">
        <v>35</v>
      </c>
    </row>
    <row r="5162" spans="1:8" ht="14.4" x14ac:dyDescent="0.3">
      <c r="A5162" s="8">
        <v>1968499</v>
      </c>
      <c r="B5162" s="11">
        <v>44588</v>
      </c>
      <c r="C5162" s="13" t="s">
        <v>162</v>
      </c>
      <c r="D5162" s="13" t="s">
        <v>6578</v>
      </c>
      <c r="E5162" s="8">
        <v>11327.05</v>
      </c>
      <c r="F5162" s="13" t="s">
        <v>70</v>
      </c>
      <c r="G5162" s="14">
        <v>44608</v>
      </c>
      <c r="H5162" s="13" t="s">
        <v>35</v>
      </c>
    </row>
    <row r="5163" spans="1:8" ht="14.4" x14ac:dyDescent="0.3">
      <c r="A5163" s="8">
        <v>1968500</v>
      </c>
      <c r="B5163" s="11">
        <v>44588</v>
      </c>
      <c r="C5163" s="13" t="s">
        <v>1286</v>
      </c>
      <c r="D5163" s="13" t="s">
        <v>6579</v>
      </c>
      <c r="E5163" s="8">
        <v>42042.96</v>
      </c>
      <c r="F5163" s="13" t="s">
        <v>70</v>
      </c>
      <c r="G5163" s="14">
        <v>44592</v>
      </c>
      <c r="H5163" s="13" t="s">
        <v>35</v>
      </c>
    </row>
    <row r="5164" spans="1:8" ht="14.4" x14ac:dyDescent="0.3">
      <c r="A5164" s="8">
        <v>1968501</v>
      </c>
      <c r="B5164" s="11">
        <v>44588</v>
      </c>
      <c r="C5164" s="13" t="s">
        <v>66</v>
      </c>
      <c r="D5164" s="13" t="s">
        <v>6580</v>
      </c>
      <c r="E5164" s="8">
        <v>90468.75</v>
      </c>
      <c r="F5164" s="13" t="s">
        <v>70</v>
      </c>
      <c r="G5164" s="14">
        <v>44595</v>
      </c>
      <c r="H5164" s="13" t="s">
        <v>35</v>
      </c>
    </row>
    <row r="5165" spans="1:8" ht="14.4" x14ac:dyDescent="0.3">
      <c r="A5165" s="8">
        <v>1968502</v>
      </c>
      <c r="B5165" s="11">
        <v>44588</v>
      </c>
      <c r="C5165" s="13" t="s">
        <v>66</v>
      </c>
      <c r="D5165" s="13" t="s">
        <v>6581</v>
      </c>
      <c r="E5165" s="8">
        <v>85110</v>
      </c>
      <c r="F5165" s="13" t="s">
        <v>70</v>
      </c>
      <c r="G5165" s="14">
        <v>44595</v>
      </c>
      <c r="H5165" s="13" t="s">
        <v>35</v>
      </c>
    </row>
    <row r="5166" spans="1:8" ht="14.4" x14ac:dyDescent="0.3">
      <c r="A5166" s="8">
        <v>1968503</v>
      </c>
      <c r="B5166" s="11">
        <v>44588</v>
      </c>
      <c r="C5166" s="13" t="s">
        <v>1946</v>
      </c>
      <c r="D5166" s="13" t="s">
        <v>6582</v>
      </c>
      <c r="E5166" s="8">
        <v>53454.28</v>
      </c>
      <c r="F5166" s="13" t="s">
        <v>70</v>
      </c>
      <c r="G5166" s="14">
        <v>44592</v>
      </c>
      <c r="H5166" s="13" t="s">
        <v>35</v>
      </c>
    </row>
    <row r="5167" spans="1:8" ht="14.4" x14ac:dyDescent="0.3">
      <c r="A5167" s="8">
        <v>1968504</v>
      </c>
      <c r="B5167" s="11">
        <v>44588</v>
      </c>
      <c r="C5167" s="13" t="s">
        <v>67</v>
      </c>
      <c r="D5167" s="13" t="s">
        <v>6583</v>
      </c>
      <c r="E5167" s="8">
        <v>85178.57</v>
      </c>
      <c r="F5167" s="13" t="s">
        <v>70</v>
      </c>
      <c r="G5167" s="14">
        <v>44589</v>
      </c>
      <c r="H5167" s="13" t="s">
        <v>35</v>
      </c>
    </row>
    <row r="5168" spans="1:8" ht="14.4" x14ac:dyDescent="0.3">
      <c r="A5168" s="8">
        <v>1968505</v>
      </c>
      <c r="B5168" s="11">
        <v>44588</v>
      </c>
      <c r="C5168" s="13" t="s">
        <v>127</v>
      </c>
      <c r="D5168" s="13" t="s">
        <v>6584</v>
      </c>
      <c r="E5168" s="8">
        <v>57702.73</v>
      </c>
      <c r="F5168" s="13" t="s">
        <v>70</v>
      </c>
      <c r="G5168" s="14">
        <v>44592</v>
      </c>
      <c r="H5168" s="13" t="s">
        <v>35</v>
      </c>
    </row>
    <row r="5169" spans="1:8" ht="14.4" x14ac:dyDescent="0.3">
      <c r="A5169" s="8">
        <v>1968506</v>
      </c>
      <c r="B5169" s="11">
        <v>44588</v>
      </c>
      <c r="C5169" s="13" t="s">
        <v>245</v>
      </c>
      <c r="D5169" s="13" t="s">
        <v>6585</v>
      </c>
      <c r="E5169" s="8">
        <v>56185.72</v>
      </c>
      <c r="F5169" s="13" t="s">
        <v>70</v>
      </c>
      <c r="G5169" s="14">
        <v>44592</v>
      </c>
      <c r="H5169" s="13" t="s">
        <v>35</v>
      </c>
    </row>
    <row r="5170" spans="1:8" ht="14.4" x14ac:dyDescent="0.3">
      <c r="A5170" s="8">
        <v>1968507</v>
      </c>
      <c r="B5170" s="11">
        <v>44588</v>
      </c>
      <c r="C5170" s="13" t="s">
        <v>1718</v>
      </c>
      <c r="D5170" s="13" t="s">
        <v>6586</v>
      </c>
      <c r="E5170" s="8">
        <v>89062.5</v>
      </c>
      <c r="F5170" s="13" t="s">
        <v>70</v>
      </c>
      <c r="G5170" s="14">
        <v>44592</v>
      </c>
      <c r="H5170" s="13" t="s">
        <v>35</v>
      </c>
    </row>
    <row r="5171" spans="1:8" ht="14.4" x14ac:dyDescent="0.3">
      <c r="A5171" s="8">
        <v>1968508</v>
      </c>
      <c r="B5171" s="11">
        <v>44588</v>
      </c>
      <c r="C5171" s="13" t="s">
        <v>1522</v>
      </c>
      <c r="D5171" s="13" t="s">
        <v>6587</v>
      </c>
      <c r="E5171" s="8">
        <v>95060</v>
      </c>
      <c r="F5171" s="13" t="s">
        <v>70</v>
      </c>
      <c r="G5171" s="14">
        <v>44594</v>
      </c>
      <c r="H5171" s="13" t="s">
        <v>35</v>
      </c>
    </row>
    <row r="5172" spans="1:8" ht="14.4" x14ac:dyDescent="0.3">
      <c r="A5172" s="8">
        <v>1968509</v>
      </c>
      <c r="B5172" s="11">
        <v>44588</v>
      </c>
      <c r="C5172" s="13" t="s">
        <v>2086</v>
      </c>
      <c r="D5172" s="13" t="s">
        <v>6588</v>
      </c>
      <c r="E5172" s="8">
        <v>62519.38</v>
      </c>
      <c r="F5172" s="13" t="s">
        <v>70</v>
      </c>
      <c r="G5172" s="14">
        <v>44592</v>
      </c>
      <c r="H5172" s="13" t="s">
        <v>35</v>
      </c>
    </row>
    <row r="5173" spans="1:8" ht="14.4" x14ac:dyDescent="0.3">
      <c r="A5173" s="8">
        <v>1968510</v>
      </c>
      <c r="B5173" s="11">
        <v>44588</v>
      </c>
      <c r="C5173" s="13" t="s">
        <v>1784</v>
      </c>
      <c r="D5173" s="13" t="s">
        <v>6589</v>
      </c>
      <c r="E5173" s="8">
        <v>3000</v>
      </c>
      <c r="F5173" s="13" t="s">
        <v>70</v>
      </c>
      <c r="G5173" s="14">
        <v>44595</v>
      </c>
      <c r="H5173" s="13" t="s">
        <v>35</v>
      </c>
    </row>
    <row r="5174" spans="1:8" ht="14.4" x14ac:dyDescent="0.3">
      <c r="A5174" s="8">
        <v>1968511</v>
      </c>
      <c r="B5174" s="11">
        <v>44588</v>
      </c>
      <c r="C5174" s="13" t="s">
        <v>1941</v>
      </c>
      <c r="D5174" s="13" t="s">
        <v>6590</v>
      </c>
      <c r="E5174" s="8">
        <v>30719.38</v>
      </c>
      <c r="F5174" s="13" t="s">
        <v>70</v>
      </c>
      <c r="G5174" s="14">
        <v>44592</v>
      </c>
      <c r="H5174" s="13" t="s">
        <v>35</v>
      </c>
    </row>
    <row r="5175" spans="1:8" ht="14.4" x14ac:dyDescent="0.3">
      <c r="A5175" s="8">
        <v>1968512</v>
      </c>
      <c r="B5175" s="11">
        <v>44588</v>
      </c>
      <c r="C5175" s="13" t="s">
        <v>1941</v>
      </c>
      <c r="D5175" s="13" t="s">
        <v>6591</v>
      </c>
      <c r="E5175" s="8">
        <v>33369.379999999997</v>
      </c>
      <c r="F5175" s="13" t="s">
        <v>70</v>
      </c>
      <c r="G5175" s="14">
        <v>44592</v>
      </c>
      <c r="H5175" s="13" t="s">
        <v>35</v>
      </c>
    </row>
    <row r="5176" spans="1:8" ht="14.4" x14ac:dyDescent="0.3">
      <c r="A5176" s="8">
        <v>1968513</v>
      </c>
      <c r="B5176" s="11">
        <v>44588</v>
      </c>
      <c r="C5176" s="13" t="s">
        <v>1581</v>
      </c>
      <c r="D5176" s="13" t="s">
        <v>6592</v>
      </c>
      <c r="E5176" s="8">
        <v>5678.57</v>
      </c>
      <c r="F5176" s="13" t="s">
        <v>70</v>
      </c>
      <c r="G5176" s="14">
        <v>44589</v>
      </c>
      <c r="H5176" s="13" t="s">
        <v>35</v>
      </c>
    </row>
    <row r="5177" spans="1:8" ht="14.4" x14ac:dyDescent="0.3">
      <c r="A5177" s="8">
        <v>1968514</v>
      </c>
      <c r="B5177" s="11">
        <v>44588</v>
      </c>
      <c r="C5177" s="13" t="s">
        <v>1522</v>
      </c>
      <c r="D5177" s="13" t="s">
        <v>6593</v>
      </c>
      <c r="E5177" s="8">
        <v>4047.68</v>
      </c>
      <c r="F5177" s="13" t="s">
        <v>70</v>
      </c>
      <c r="G5177" s="14">
        <v>44594</v>
      </c>
      <c r="H5177" s="13" t="s">
        <v>35</v>
      </c>
    </row>
    <row r="5178" spans="1:8" ht="14.4" x14ac:dyDescent="0.3">
      <c r="A5178" s="8">
        <v>1968515</v>
      </c>
      <c r="B5178" s="11">
        <v>44588</v>
      </c>
      <c r="C5178" s="13" t="s">
        <v>127</v>
      </c>
      <c r="D5178" s="13" t="s">
        <v>6594</v>
      </c>
      <c r="E5178" s="8">
        <v>2202.34</v>
      </c>
      <c r="F5178" s="13" t="s">
        <v>70</v>
      </c>
      <c r="G5178" s="14">
        <v>44592</v>
      </c>
      <c r="H5178" s="13" t="s">
        <v>35</v>
      </c>
    </row>
    <row r="5179" spans="1:8" ht="14.4" x14ac:dyDescent="0.3">
      <c r="A5179" s="8">
        <v>1968516</v>
      </c>
      <c r="B5179" s="11">
        <v>44588</v>
      </c>
      <c r="C5179" s="13" t="s">
        <v>1584</v>
      </c>
      <c r="D5179" s="13" t="s">
        <v>6595</v>
      </c>
      <c r="E5179" s="8">
        <v>36437.5</v>
      </c>
      <c r="F5179" s="13" t="s">
        <v>70</v>
      </c>
      <c r="G5179" s="14">
        <v>44594</v>
      </c>
      <c r="H5179" s="13" t="s">
        <v>35</v>
      </c>
    </row>
    <row r="5180" spans="1:8" ht="14.4" x14ac:dyDescent="0.3">
      <c r="A5180" s="8">
        <v>1968517</v>
      </c>
      <c r="B5180" s="11">
        <v>44588</v>
      </c>
      <c r="C5180" s="13" t="s">
        <v>3202</v>
      </c>
      <c r="D5180" s="13" t="s">
        <v>6596</v>
      </c>
      <c r="E5180" s="8">
        <v>38795.15</v>
      </c>
      <c r="F5180" s="13" t="s">
        <v>70</v>
      </c>
      <c r="G5180" s="14">
        <v>44594</v>
      </c>
      <c r="H5180" s="13" t="s">
        <v>35</v>
      </c>
    </row>
    <row r="5181" spans="1:8" ht="14.4" x14ac:dyDescent="0.3">
      <c r="A5181" s="8">
        <v>1968518</v>
      </c>
      <c r="B5181" s="11">
        <v>44588</v>
      </c>
      <c r="C5181" s="13" t="s">
        <v>201</v>
      </c>
      <c r="D5181" s="13" t="s">
        <v>6597</v>
      </c>
      <c r="E5181" s="8">
        <v>21805.72</v>
      </c>
      <c r="F5181" s="13" t="s">
        <v>70</v>
      </c>
      <c r="G5181" s="14">
        <v>44592</v>
      </c>
      <c r="H5181" s="13" t="s">
        <v>35</v>
      </c>
    </row>
    <row r="5182" spans="1:8" ht="14.4" x14ac:dyDescent="0.3">
      <c r="A5182" s="8">
        <v>1968519</v>
      </c>
      <c r="B5182" s="11">
        <v>44588</v>
      </c>
      <c r="C5182" s="13" t="s">
        <v>2436</v>
      </c>
      <c r="D5182" s="13" t="s">
        <v>6598</v>
      </c>
      <c r="E5182" s="8">
        <v>17640</v>
      </c>
      <c r="F5182" s="13" t="s">
        <v>70</v>
      </c>
      <c r="G5182" s="14">
        <v>44592</v>
      </c>
      <c r="H5182" s="13" t="s">
        <v>35</v>
      </c>
    </row>
    <row r="5183" spans="1:8" ht="14.4" x14ac:dyDescent="0.3">
      <c r="A5183" s="8">
        <v>1968520</v>
      </c>
      <c r="B5183" s="11">
        <v>44588</v>
      </c>
      <c r="C5183" s="13" t="s">
        <v>1941</v>
      </c>
      <c r="D5183" s="13" t="s">
        <v>6599</v>
      </c>
      <c r="E5183" s="8">
        <v>48750</v>
      </c>
      <c r="F5183" s="13" t="s">
        <v>70</v>
      </c>
      <c r="G5183" s="14">
        <v>44592</v>
      </c>
      <c r="H5183" s="13" t="s">
        <v>35</v>
      </c>
    </row>
    <row r="5184" spans="1:8" ht="14.4" x14ac:dyDescent="0.3">
      <c r="A5184" s="8">
        <v>1968521</v>
      </c>
      <c r="B5184" s="11">
        <v>44588</v>
      </c>
      <c r="C5184" s="13" t="s">
        <v>6600</v>
      </c>
      <c r="D5184" s="13" t="s">
        <v>6601</v>
      </c>
      <c r="E5184" s="8">
        <v>3300</v>
      </c>
      <c r="F5184" s="13" t="s">
        <v>70</v>
      </c>
      <c r="G5184" s="14">
        <v>44600</v>
      </c>
      <c r="H5184" s="13" t="s">
        <v>35</v>
      </c>
    </row>
    <row r="5185" spans="1:8" ht="14.4" x14ac:dyDescent="0.3">
      <c r="A5185" s="8">
        <v>1968522</v>
      </c>
      <c r="B5185" s="11">
        <v>44588</v>
      </c>
      <c r="C5185" s="13" t="s">
        <v>1941</v>
      </c>
      <c r="D5185" s="13" t="s">
        <v>6602</v>
      </c>
      <c r="E5185" s="8">
        <v>15480.36</v>
      </c>
      <c r="F5185" s="13" t="s">
        <v>70</v>
      </c>
      <c r="G5185" s="14">
        <v>44592</v>
      </c>
      <c r="H5185" s="13" t="s">
        <v>35</v>
      </c>
    </row>
    <row r="5186" spans="1:8" ht="14.4" x14ac:dyDescent="0.3">
      <c r="A5186" s="8">
        <v>1968523</v>
      </c>
      <c r="B5186" s="11">
        <v>44588</v>
      </c>
      <c r="C5186" s="13" t="s">
        <v>1946</v>
      </c>
      <c r="D5186" s="13"/>
      <c r="E5186" s="8">
        <v>32557.15</v>
      </c>
      <c r="F5186" s="13" t="s">
        <v>70</v>
      </c>
      <c r="G5186" s="14">
        <v>44592</v>
      </c>
      <c r="H5186" s="13" t="s">
        <v>35</v>
      </c>
    </row>
    <row r="5187" spans="1:8" ht="14.4" x14ac:dyDescent="0.3">
      <c r="A5187" s="8">
        <v>1968524</v>
      </c>
      <c r="B5187" s="11">
        <v>44588</v>
      </c>
      <c r="C5187" s="13" t="s">
        <v>1941</v>
      </c>
      <c r="D5187" s="13" t="s">
        <v>6603</v>
      </c>
      <c r="E5187" s="8">
        <v>17986.150000000001</v>
      </c>
      <c r="F5187" s="13" t="s">
        <v>70</v>
      </c>
      <c r="G5187" s="14">
        <v>44592</v>
      </c>
      <c r="H5187" s="13" t="s">
        <v>35</v>
      </c>
    </row>
    <row r="5188" spans="1:8" ht="14.4" x14ac:dyDescent="0.3">
      <c r="A5188" s="8">
        <v>1968525</v>
      </c>
      <c r="B5188" s="11">
        <v>44588</v>
      </c>
      <c r="C5188" s="13" t="s">
        <v>1946</v>
      </c>
      <c r="D5188" s="13" t="s">
        <v>6604</v>
      </c>
      <c r="E5188" s="8">
        <v>28572.68</v>
      </c>
      <c r="F5188" s="13" t="s">
        <v>70</v>
      </c>
      <c r="G5188" s="14">
        <v>44592</v>
      </c>
      <c r="H5188" s="13" t="s">
        <v>35</v>
      </c>
    </row>
    <row r="5189" spans="1:8" ht="14.4" x14ac:dyDescent="0.3">
      <c r="A5189" s="8">
        <v>1968527</v>
      </c>
      <c r="B5189" s="11">
        <v>44588</v>
      </c>
      <c r="C5189" s="13" t="s">
        <v>259</v>
      </c>
      <c r="D5189" s="13" t="s">
        <v>6605</v>
      </c>
      <c r="E5189" s="8">
        <v>24985.72</v>
      </c>
      <c r="F5189" s="13" t="s">
        <v>70</v>
      </c>
      <c r="G5189" s="14">
        <v>44599</v>
      </c>
      <c r="H5189" s="13" t="s">
        <v>35</v>
      </c>
    </row>
    <row r="5190" spans="1:8" ht="14.4" x14ac:dyDescent="0.3">
      <c r="A5190" s="8">
        <v>1968528</v>
      </c>
      <c r="B5190" s="11">
        <v>44588</v>
      </c>
      <c r="C5190" s="13" t="s">
        <v>201</v>
      </c>
      <c r="D5190" s="13" t="s">
        <v>6606</v>
      </c>
      <c r="E5190" s="8">
        <v>11409.2</v>
      </c>
      <c r="F5190" s="13" t="s">
        <v>70</v>
      </c>
      <c r="G5190" s="14">
        <v>44592</v>
      </c>
      <c r="H5190" s="13" t="s">
        <v>35</v>
      </c>
    </row>
    <row r="5191" spans="1:8" ht="14.4" x14ac:dyDescent="0.3">
      <c r="A5191" s="8">
        <v>1968529</v>
      </c>
      <c r="B5191" s="11">
        <v>44588</v>
      </c>
      <c r="C5191" s="13" t="s">
        <v>1946</v>
      </c>
      <c r="D5191" s="13" t="s">
        <v>6607</v>
      </c>
      <c r="E5191" s="8">
        <v>5441.96</v>
      </c>
      <c r="F5191" s="13" t="s">
        <v>70</v>
      </c>
      <c r="G5191" s="14">
        <v>44592</v>
      </c>
      <c r="H5191" s="13" t="s">
        <v>35</v>
      </c>
    </row>
    <row r="5192" spans="1:8" ht="14.4" x14ac:dyDescent="0.3">
      <c r="A5192" s="8">
        <v>1968530</v>
      </c>
      <c r="B5192" s="11">
        <v>44588</v>
      </c>
      <c r="C5192" s="13" t="s">
        <v>1784</v>
      </c>
      <c r="D5192" s="13" t="s">
        <v>6608</v>
      </c>
      <c r="E5192" s="8">
        <v>6000</v>
      </c>
      <c r="F5192" s="13" t="s">
        <v>70</v>
      </c>
      <c r="G5192" s="14">
        <v>44595</v>
      </c>
      <c r="H5192" s="13" t="s">
        <v>35</v>
      </c>
    </row>
    <row r="5193" spans="1:8" ht="14.4" x14ac:dyDescent="0.3">
      <c r="A5193" s="8">
        <v>1968533</v>
      </c>
      <c r="B5193" s="11">
        <v>44588</v>
      </c>
      <c r="C5193" s="13" t="s">
        <v>1784</v>
      </c>
      <c r="D5193" s="13" t="s">
        <v>6609</v>
      </c>
      <c r="E5193" s="8">
        <v>3000</v>
      </c>
      <c r="F5193" s="13" t="s">
        <v>70</v>
      </c>
      <c r="G5193" s="14">
        <v>44595</v>
      </c>
      <c r="H5193" s="13" t="s">
        <v>35</v>
      </c>
    </row>
    <row r="5194" spans="1:8" ht="14.4" x14ac:dyDescent="0.3">
      <c r="A5194" s="8">
        <v>1968534</v>
      </c>
      <c r="B5194" s="11">
        <v>44588</v>
      </c>
      <c r="C5194" s="13" t="s">
        <v>2080</v>
      </c>
      <c r="D5194" s="13" t="s">
        <v>6610</v>
      </c>
      <c r="E5194" s="8">
        <v>14700</v>
      </c>
      <c r="F5194" s="13" t="s">
        <v>70</v>
      </c>
      <c r="G5194" s="14">
        <v>44607</v>
      </c>
      <c r="H5194" s="13" t="s">
        <v>35</v>
      </c>
    </row>
    <row r="5195" spans="1:8" ht="14.4" x14ac:dyDescent="0.3">
      <c r="A5195" s="8">
        <v>1968535</v>
      </c>
      <c r="B5195" s="11">
        <v>44588</v>
      </c>
      <c r="C5195" s="13" t="s">
        <v>1596</v>
      </c>
      <c r="D5195" s="13" t="s">
        <v>6611</v>
      </c>
      <c r="E5195" s="8">
        <v>588</v>
      </c>
      <c r="F5195" s="13" t="s">
        <v>70</v>
      </c>
      <c r="G5195" s="14">
        <v>44595</v>
      </c>
      <c r="H5195" s="13" t="s">
        <v>35</v>
      </c>
    </row>
    <row r="5196" spans="1:8" ht="14.4" x14ac:dyDescent="0.3">
      <c r="A5196" s="8">
        <v>1968536</v>
      </c>
      <c r="B5196" s="11">
        <v>44588</v>
      </c>
      <c r="C5196" s="13" t="s">
        <v>1522</v>
      </c>
      <c r="D5196" s="13" t="s">
        <v>6612</v>
      </c>
      <c r="E5196" s="8">
        <v>28120.3</v>
      </c>
      <c r="F5196" s="13" t="s">
        <v>70</v>
      </c>
      <c r="G5196" s="14">
        <v>44594</v>
      </c>
      <c r="H5196" s="13" t="s">
        <v>35</v>
      </c>
    </row>
    <row r="5197" spans="1:8" ht="14.4" x14ac:dyDescent="0.3">
      <c r="A5197" s="8">
        <v>1968537</v>
      </c>
      <c r="B5197" s="11">
        <v>44588</v>
      </c>
      <c r="C5197" s="13" t="s">
        <v>201</v>
      </c>
      <c r="D5197" s="13" t="s">
        <v>6613</v>
      </c>
      <c r="E5197" s="8">
        <v>6360</v>
      </c>
      <c r="F5197" s="13" t="s">
        <v>70</v>
      </c>
      <c r="G5197" s="14">
        <v>44592</v>
      </c>
      <c r="H5197" s="13" t="s">
        <v>35</v>
      </c>
    </row>
    <row r="5198" spans="1:8" ht="14.4" x14ac:dyDescent="0.3">
      <c r="A5198" s="8">
        <v>1968538</v>
      </c>
      <c r="B5198" s="11">
        <v>44588</v>
      </c>
      <c r="C5198" s="13" t="s">
        <v>4189</v>
      </c>
      <c r="D5198" s="13" t="s">
        <v>4190</v>
      </c>
      <c r="E5198" s="8">
        <v>38465</v>
      </c>
      <c r="F5198" s="13" t="s">
        <v>70</v>
      </c>
      <c r="G5198" s="14">
        <v>44608</v>
      </c>
      <c r="H5198" s="13" t="s">
        <v>35</v>
      </c>
    </row>
    <row r="5199" spans="1:8" ht="14.4" x14ac:dyDescent="0.3">
      <c r="A5199" s="8">
        <v>1968539</v>
      </c>
      <c r="B5199" s="11">
        <v>44588</v>
      </c>
      <c r="C5199" s="13" t="s">
        <v>193</v>
      </c>
      <c r="D5199" s="13" t="s">
        <v>6614</v>
      </c>
      <c r="E5199" s="8">
        <v>18502.68</v>
      </c>
      <c r="F5199" s="13" t="s">
        <v>70</v>
      </c>
      <c r="G5199" s="14">
        <v>44592</v>
      </c>
      <c r="H5199" s="13" t="s">
        <v>35</v>
      </c>
    </row>
    <row r="5200" spans="1:8" ht="14.4" x14ac:dyDescent="0.3">
      <c r="A5200" s="8">
        <v>1968540</v>
      </c>
      <c r="B5200" s="11">
        <v>44588</v>
      </c>
      <c r="C5200" s="13" t="s">
        <v>259</v>
      </c>
      <c r="D5200" s="13" t="s">
        <v>6615</v>
      </c>
      <c r="E5200" s="8">
        <v>16089.28</v>
      </c>
      <c r="F5200" s="13" t="s">
        <v>70</v>
      </c>
      <c r="G5200" s="14">
        <v>44619</v>
      </c>
      <c r="H5200" s="13" t="s">
        <v>35</v>
      </c>
    </row>
    <row r="5201" spans="1:8" ht="14.4" x14ac:dyDescent="0.3">
      <c r="A5201" s="8">
        <v>1968541</v>
      </c>
      <c r="B5201" s="11">
        <v>44588</v>
      </c>
      <c r="C5201" s="13" t="s">
        <v>201</v>
      </c>
      <c r="D5201" s="13" t="s">
        <v>6616</v>
      </c>
      <c r="E5201" s="8">
        <v>44369.04</v>
      </c>
      <c r="F5201" s="13" t="s">
        <v>70</v>
      </c>
      <c r="G5201" s="14">
        <v>44592</v>
      </c>
      <c r="H5201" s="13" t="s">
        <v>35</v>
      </c>
    </row>
    <row r="5202" spans="1:8" ht="14.4" x14ac:dyDescent="0.3">
      <c r="A5202" s="8">
        <v>1968542</v>
      </c>
      <c r="B5202" s="11">
        <v>44588</v>
      </c>
      <c r="C5202" s="13" t="s">
        <v>127</v>
      </c>
      <c r="D5202" s="13" t="s">
        <v>6617</v>
      </c>
      <c r="E5202" s="8">
        <v>12034.28</v>
      </c>
      <c r="F5202" s="13" t="s">
        <v>70</v>
      </c>
      <c r="G5202" s="14">
        <v>44592</v>
      </c>
      <c r="H5202" s="13" t="s">
        <v>35</v>
      </c>
    </row>
    <row r="5203" spans="1:8" ht="14.4" x14ac:dyDescent="0.3">
      <c r="A5203" s="8">
        <v>1968544</v>
      </c>
      <c r="B5203" s="11">
        <v>44588</v>
      </c>
      <c r="C5203" s="13" t="s">
        <v>1581</v>
      </c>
      <c r="D5203" s="13" t="s">
        <v>6618</v>
      </c>
      <c r="E5203" s="8">
        <v>8328.57</v>
      </c>
      <c r="F5203" s="13" t="s">
        <v>70</v>
      </c>
      <c r="G5203" s="14">
        <v>44589</v>
      </c>
      <c r="H5203" s="13" t="s">
        <v>35</v>
      </c>
    </row>
    <row r="5204" spans="1:8" ht="14.4" x14ac:dyDescent="0.3">
      <c r="A5204" s="8">
        <v>1968545</v>
      </c>
      <c r="B5204" s="11">
        <v>44588</v>
      </c>
      <c r="C5204" s="13" t="s">
        <v>6619</v>
      </c>
      <c r="D5204" s="13" t="s">
        <v>6620</v>
      </c>
      <c r="E5204" s="8">
        <v>8730</v>
      </c>
      <c r="F5204" s="13" t="s">
        <v>70</v>
      </c>
      <c r="G5204" s="14">
        <v>44592</v>
      </c>
      <c r="H5204" s="13" t="s">
        <v>35</v>
      </c>
    </row>
    <row r="5205" spans="1:8" ht="14.4" x14ac:dyDescent="0.3">
      <c r="A5205" s="8">
        <v>1968546</v>
      </c>
      <c r="B5205" s="11">
        <v>44588</v>
      </c>
      <c r="C5205" s="13" t="s">
        <v>3174</v>
      </c>
      <c r="D5205" s="13" t="s">
        <v>6621</v>
      </c>
      <c r="E5205" s="8">
        <v>19508.5</v>
      </c>
      <c r="F5205" s="13" t="s">
        <v>70</v>
      </c>
      <c r="G5205" s="14">
        <v>44592</v>
      </c>
      <c r="H5205" s="13" t="s">
        <v>35</v>
      </c>
    </row>
    <row r="5206" spans="1:8" ht="14.4" x14ac:dyDescent="0.3">
      <c r="A5206" s="8">
        <v>1968547</v>
      </c>
      <c r="B5206" s="11">
        <v>44588</v>
      </c>
      <c r="C5206" s="13" t="s">
        <v>25</v>
      </c>
      <c r="D5206" s="13" t="s">
        <v>6622</v>
      </c>
      <c r="E5206" s="8">
        <v>3312.5</v>
      </c>
      <c r="F5206" s="13" t="s">
        <v>70</v>
      </c>
      <c r="G5206" s="14">
        <v>44592</v>
      </c>
      <c r="H5206" s="13" t="s">
        <v>35</v>
      </c>
    </row>
    <row r="5207" spans="1:8" ht="14.4" x14ac:dyDescent="0.3">
      <c r="A5207" s="8">
        <v>1968548</v>
      </c>
      <c r="B5207" s="11">
        <v>44588</v>
      </c>
      <c r="C5207" s="13" t="s">
        <v>1784</v>
      </c>
      <c r="D5207" s="13" t="s">
        <v>6623</v>
      </c>
      <c r="E5207" s="8">
        <v>47000</v>
      </c>
      <c r="F5207" s="13" t="s">
        <v>70</v>
      </c>
      <c r="G5207" s="14">
        <v>44595</v>
      </c>
      <c r="H5207" s="13" t="s">
        <v>35</v>
      </c>
    </row>
    <row r="5208" spans="1:8" ht="14.4" x14ac:dyDescent="0.3">
      <c r="A5208" s="8">
        <v>1968549</v>
      </c>
      <c r="B5208" s="11">
        <v>44588</v>
      </c>
      <c r="C5208" s="13" t="s">
        <v>1581</v>
      </c>
      <c r="D5208" s="13" t="s">
        <v>6624</v>
      </c>
      <c r="E5208" s="8">
        <v>9937.5</v>
      </c>
      <c r="F5208" s="13" t="s">
        <v>70</v>
      </c>
      <c r="G5208" s="14">
        <v>44589</v>
      </c>
      <c r="H5208" s="13" t="s">
        <v>35</v>
      </c>
    </row>
    <row r="5209" spans="1:8" ht="14.4" x14ac:dyDescent="0.3">
      <c r="A5209" s="8">
        <v>1968550</v>
      </c>
      <c r="B5209" s="11">
        <v>44588</v>
      </c>
      <c r="C5209" s="13" t="s">
        <v>1581</v>
      </c>
      <c r="D5209" s="13" t="s">
        <v>6625</v>
      </c>
      <c r="E5209" s="8">
        <v>10647.33</v>
      </c>
      <c r="F5209" s="13" t="s">
        <v>70</v>
      </c>
      <c r="G5209" s="14">
        <v>44589</v>
      </c>
      <c r="H5209" s="13" t="s">
        <v>35</v>
      </c>
    </row>
    <row r="5210" spans="1:8" ht="14.4" x14ac:dyDescent="0.3">
      <c r="A5210" s="8">
        <v>1968551</v>
      </c>
      <c r="B5210" s="11">
        <v>44588</v>
      </c>
      <c r="C5210" s="13" t="s">
        <v>1581</v>
      </c>
      <c r="D5210" s="13" t="s">
        <v>6626</v>
      </c>
      <c r="E5210" s="8">
        <v>5678.57</v>
      </c>
      <c r="F5210" s="13" t="s">
        <v>70</v>
      </c>
      <c r="G5210" s="14">
        <v>44589</v>
      </c>
      <c r="H5210" s="13" t="s">
        <v>35</v>
      </c>
    </row>
    <row r="5211" spans="1:8" ht="14.4" x14ac:dyDescent="0.3">
      <c r="A5211" s="8">
        <v>1968552</v>
      </c>
      <c r="B5211" s="11">
        <v>44588</v>
      </c>
      <c r="C5211" s="13" t="s">
        <v>1941</v>
      </c>
      <c r="D5211" s="13" t="s">
        <v>6627</v>
      </c>
      <c r="E5211" s="8">
        <v>9133.0400000000009</v>
      </c>
      <c r="F5211" s="13" t="s">
        <v>70</v>
      </c>
      <c r="G5211" s="14">
        <v>44592</v>
      </c>
      <c r="H5211" s="13" t="s">
        <v>35</v>
      </c>
    </row>
    <row r="5212" spans="1:8" ht="14.4" x14ac:dyDescent="0.3">
      <c r="A5212" s="8">
        <v>1968553</v>
      </c>
      <c r="B5212" s="11">
        <v>44588</v>
      </c>
      <c r="C5212" s="13" t="s">
        <v>1581</v>
      </c>
      <c r="D5212" s="13" t="s">
        <v>6628</v>
      </c>
      <c r="E5212" s="8">
        <v>14196.43</v>
      </c>
      <c r="F5212" s="13" t="s">
        <v>70</v>
      </c>
      <c r="G5212" s="14">
        <v>44589</v>
      </c>
      <c r="H5212" s="13" t="s">
        <v>35</v>
      </c>
    </row>
    <row r="5213" spans="1:8" ht="14.4" x14ac:dyDescent="0.3">
      <c r="A5213" s="8">
        <v>1968554</v>
      </c>
      <c r="B5213" s="11">
        <v>44588</v>
      </c>
      <c r="C5213" s="13" t="s">
        <v>6629</v>
      </c>
      <c r="D5213" s="13" t="s">
        <v>6630</v>
      </c>
      <c r="E5213" s="8">
        <v>15655.5</v>
      </c>
      <c r="F5213" s="13" t="s">
        <v>70</v>
      </c>
      <c r="G5213" s="14">
        <v>44596</v>
      </c>
      <c r="H5213" s="13" t="s">
        <v>35</v>
      </c>
    </row>
    <row r="5214" spans="1:8" ht="14.4" x14ac:dyDescent="0.3">
      <c r="A5214" s="8">
        <v>1968555</v>
      </c>
      <c r="B5214" s="11">
        <v>44588</v>
      </c>
      <c r="C5214" s="13" t="s">
        <v>1581</v>
      </c>
      <c r="D5214" s="13" t="s">
        <v>6631</v>
      </c>
      <c r="E5214" s="8">
        <v>21294.65</v>
      </c>
      <c r="F5214" s="13" t="s">
        <v>70</v>
      </c>
      <c r="G5214" s="14">
        <v>44589</v>
      </c>
      <c r="H5214" s="13" t="s">
        <v>35</v>
      </c>
    </row>
    <row r="5215" spans="1:8" ht="14.4" x14ac:dyDescent="0.3">
      <c r="A5215" s="8">
        <v>1968556</v>
      </c>
      <c r="B5215" s="11">
        <v>44588</v>
      </c>
      <c r="C5215" s="13" t="s">
        <v>2330</v>
      </c>
      <c r="D5215" s="13" t="s">
        <v>6632</v>
      </c>
      <c r="E5215" s="8">
        <v>9310</v>
      </c>
      <c r="F5215" s="13" t="s">
        <v>70</v>
      </c>
      <c r="G5215" s="14">
        <v>44600</v>
      </c>
      <c r="H5215" s="13" t="s">
        <v>35</v>
      </c>
    </row>
    <row r="5216" spans="1:8" ht="14.4" x14ac:dyDescent="0.3">
      <c r="A5216" s="8">
        <v>1968557</v>
      </c>
      <c r="B5216" s="11">
        <v>44588</v>
      </c>
      <c r="C5216" s="13" t="s">
        <v>162</v>
      </c>
      <c r="D5216" s="13" t="s">
        <v>6633</v>
      </c>
      <c r="E5216" s="8">
        <v>11398.81</v>
      </c>
      <c r="F5216" s="13" t="s">
        <v>70</v>
      </c>
      <c r="G5216" s="14">
        <v>44608</v>
      </c>
      <c r="H5216" s="13" t="s">
        <v>35</v>
      </c>
    </row>
    <row r="5217" spans="1:8" ht="14.4" x14ac:dyDescent="0.3">
      <c r="A5217" s="8">
        <v>1968558</v>
      </c>
      <c r="B5217" s="11">
        <v>44588</v>
      </c>
      <c r="C5217" s="13" t="s">
        <v>748</v>
      </c>
      <c r="D5217" s="13" t="s">
        <v>6634</v>
      </c>
      <c r="E5217" s="8">
        <v>4687.5</v>
      </c>
      <c r="F5217" s="13" t="s">
        <v>70</v>
      </c>
      <c r="G5217" s="14">
        <v>44592</v>
      </c>
      <c r="H5217" s="13" t="s">
        <v>35</v>
      </c>
    </row>
    <row r="5218" spans="1:8" ht="14.4" x14ac:dyDescent="0.3">
      <c r="A5218" s="8">
        <v>1968559</v>
      </c>
      <c r="B5218" s="11">
        <v>44588</v>
      </c>
      <c r="C5218" s="13" t="s">
        <v>265</v>
      </c>
      <c r="D5218" s="13" t="s">
        <v>6635</v>
      </c>
      <c r="E5218" s="8">
        <v>9000.44</v>
      </c>
      <c r="F5218" s="13" t="s">
        <v>70</v>
      </c>
      <c r="G5218" s="14">
        <v>44592</v>
      </c>
      <c r="H5218" s="13" t="s">
        <v>35</v>
      </c>
    </row>
    <row r="5219" spans="1:8" ht="14.4" x14ac:dyDescent="0.3">
      <c r="A5219" s="8">
        <v>1968560</v>
      </c>
      <c r="B5219" s="11">
        <v>44588</v>
      </c>
      <c r="C5219" s="13" t="s">
        <v>265</v>
      </c>
      <c r="D5219" s="13" t="s">
        <v>6636</v>
      </c>
      <c r="E5219" s="8">
        <v>22038</v>
      </c>
      <c r="F5219" s="13" t="s">
        <v>70</v>
      </c>
      <c r="G5219" s="14">
        <v>44592</v>
      </c>
      <c r="H5219" s="13" t="s">
        <v>35</v>
      </c>
    </row>
    <row r="5220" spans="1:8" ht="14.4" x14ac:dyDescent="0.3">
      <c r="A5220" s="8">
        <v>1968561</v>
      </c>
      <c r="B5220" s="11">
        <v>44588</v>
      </c>
      <c r="C5220" s="13" t="s">
        <v>3434</v>
      </c>
      <c r="D5220" s="13" t="s">
        <v>6637</v>
      </c>
      <c r="E5220" s="8">
        <v>2910</v>
      </c>
      <c r="F5220" s="13" t="s">
        <v>70</v>
      </c>
      <c r="G5220" s="14">
        <v>44596</v>
      </c>
      <c r="H5220" s="13" t="s">
        <v>35</v>
      </c>
    </row>
    <row r="5221" spans="1:8" ht="14.4" x14ac:dyDescent="0.3">
      <c r="A5221" s="8">
        <v>1968562</v>
      </c>
      <c r="B5221" s="11">
        <v>44588</v>
      </c>
      <c r="C5221" s="13" t="s">
        <v>3434</v>
      </c>
      <c r="D5221" s="13" t="s">
        <v>6638</v>
      </c>
      <c r="E5221" s="8">
        <v>715</v>
      </c>
      <c r="F5221" s="13" t="s">
        <v>70</v>
      </c>
      <c r="G5221" s="14">
        <v>44596</v>
      </c>
      <c r="H5221" s="13" t="s">
        <v>35</v>
      </c>
    </row>
    <row r="5222" spans="1:8" ht="14.4" x14ac:dyDescent="0.3">
      <c r="A5222" s="8">
        <v>1968563</v>
      </c>
      <c r="B5222" s="11">
        <v>44588</v>
      </c>
      <c r="C5222" s="13" t="s">
        <v>2684</v>
      </c>
      <c r="D5222" s="13" t="s">
        <v>6639</v>
      </c>
      <c r="E5222" s="8">
        <v>93120</v>
      </c>
      <c r="F5222" s="13" t="s">
        <v>70</v>
      </c>
      <c r="G5222" s="14">
        <v>44594</v>
      </c>
      <c r="H5222" s="13" t="s">
        <v>35</v>
      </c>
    </row>
    <row r="5223" spans="1:8" ht="14.4" x14ac:dyDescent="0.3">
      <c r="A5223" s="8">
        <v>1968564</v>
      </c>
      <c r="B5223" s="11">
        <v>44588</v>
      </c>
      <c r="C5223" s="13" t="s">
        <v>1810</v>
      </c>
      <c r="D5223" s="13" t="s">
        <v>6640</v>
      </c>
      <c r="E5223" s="8">
        <v>48500</v>
      </c>
      <c r="F5223" s="13" t="s">
        <v>70</v>
      </c>
      <c r="G5223" s="14">
        <v>44589</v>
      </c>
      <c r="H5223" s="13" t="s">
        <v>35</v>
      </c>
    </row>
    <row r="5224" spans="1:8" ht="14.4" x14ac:dyDescent="0.3">
      <c r="A5224" s="8">
        <v>1968565</v>
      </c>
      <c r="B5224" s="11">
        <v>44588</v>
      </c>
      <c r="C5224" s="13" t="s">
        <v>604</v>
      </c>
      <c r="D5224" s="13" t="s">
        <v>6641</v>
      </c>
      <c r="E5224" s="8">
        <v>184300</v>
      </c>
      <c r="F5224" s="13" t="s">
        <v>70</v>
      </c>
      <c r="G5224" s="14">
        <v>44592</v>
      </c>
      <c r="H5224" s="13" t="s">
        <v>35</v>
      </c>
    </row>
    <row r="5225" spans="1:8" ht="14.4" x14ac:dyDescent="0.3">
      <c r="A5225" s="8">
        <v>1968566</v>
      </c>
      <c r="B5225" s="11">
        <v>44588</v>
      </c>
      <c r="C5225" s="13" t="s">
        <v>604</v>
      </c>
      <c r="D5225" s="13" t="s">
        <v>6642</v>
      </c>
      <c r="E5225" s="8">
        <v>75660</v>
      </c>
      <c r="F5225" s="13" t="s">
        <v>70</v>
      </c>
      <c r="G5225" s="14">
        <v>44592</v>
      </c>
      <c r="H5225" s="13" t="s">
        <v>35</v>
      </c>
    </row>
    <row r="5226" spans="1:8" ht="14.4" x14ac:dyDescent="0.3">
      <c r="A5226" s="8">
        <v>1968567</v>
      </c>
      <c r="B5226" s="11">
        <v>44588</v>
      </c>
      <c r="C5226" s="13" t="s">
        <v>1726</v>
      </c>
      <c r="D5226" s="13" t="s">
        <v>6643</v>
      </c>
      <c r="E5226" s="8">
        <v>95060</v>
      </c>
      <c r="F5226" s="13" t="s">
        <v>70</v>
      </c>
      <c r="G5226" s="14">
        <v>44592</v>
      </c>
      <c r="H5226" s="13" t="s">
        <v>35</v>
      </c>
    </row>
    <row r="5227" spans="1:8" ht="14.4" x14ac:dyDescent="0.3">
      <c r="A5227" s="8">
        <v>1968568</v>
      </c>
      <c r="B5227" s="11">
        <v>44588</v>
      </c>
      <c r="C5227" s="13" t="s">
        <v>1286</v>
      </c>
      <c r="D5227" s="13" t="s">
        <v>6644</v>
      </c>
      <c r="E5227" s="8">
        <v>59989.69</v>
      </c>
      <c r="F5227" s="13" t="s">
        <v>70</v>
      </c>
      <c r="G5227" s="14">
        <v>44592</v>
      </c>
      <c r="H5227" s="13" t="s">
        <v>35</v>
      </c>
    </row>
    <row r="5228" spans="1:8" ht="14.4" x14ac:dyDescent="0.3">
      <c r="A5228" s="8">
        <v>1968569</v>
      </c>
      <c r="B5228" s="11">
        <v>44588</v>
      </c>
      <c r="C5228" s="13" t="s">
        <v>6645</v>
      </c>
      <c r="D5228" s="13" t="s">
        <v>6646</v>
      </c>
      <c r="E5228" s="8">
        <v>50000</v>
      </c>
      <c r="F5228" s="13" t="s">
        <v>70</v>
      </c>
      <c r="G5228" s="14">
        <v>44588</v>
      </c>
      <c r="H5228" s="13" t="s">
        <v>35</v>
      </c>
    </row>
    <row r="5229" spans="1:8" ht="14.4" x14ac:dyDescent="0.3">
      <c r="A5229" s="8">
        <v>1968570</v>
      </c>
      <c r="B5229" s="11">
        <v>44588</v>
      </c>
      <c r="C5229" s="13" t="s">
        <v>1286</v>
      </c>
      <c r="D5229" s="13" t="s">
        <v>6647</v>
      </c>
      <c r="E5229" s="8">
        <v>61580.72</v>
      </c>
      <c r="F5229" s="13" t="s">
        <v>70</v>
      </c>
      <c r="G5229" s="14">
        <v>44592</v>
      </c>
      <c r="H5229" s="13" t="s">
        <v>35</v>
      </c>
    </row>
    <row r="5230" spans="1:8" ht="14.4" x14ac:dyDescent="0.3">
      <c r="A5230" s="8">
        <v>1968571</v>
      </c>
      <c r="B5230" s="11">
        <v>44588</v>
      </c>
      <c r="C5230" s="13" t="s">
        <v>1286</v>
      </c>
      <c r="D5230" s="13" t="s">
        <v>6648</v>
      </c>
      <c r="E5230" s="8">
        <v>11560.03</v>
      </c>
      <c r="F5230" s="13" t="s">
        <v>70</v>
      </c>
      <c r="G5230" s="14">
        <v>44592</v>
      </c>
      <c r="H5230" s="13" t="s">
        <v>35</v>
      </c>
    </row>
    <row r="5231" spans="1:8" ht="14.4" x14ac:dyDescent="0.3">
      <c r="A5231" s="8">
        <v>1968572</v>
      </c>
      <c r="B5231" s="11">
        <v>44588</v>
      </c>
      <c r="C5231" s="13" t="s">
        <v>1581</v>
      </c>
      <c r="D5231" s="13" t="s">
        <v>6649</v>
      </c>
      <c r="E5231" s="8">
        <v>17035.72</v>
      </c>
      <c r="F5231" s="13" t="s">
        <v>70</v>
      </c>
      <c r="G5231" s="14">
        <v>44589</v>
      </c>
      <c r="H5231" s="13" t="s">
        <v>35</v>
      </c>
    </row>
    <row r="5232" spans="1:8" ht="14.4" x14ac:dyDescent="0.3">
      <c r="A5232" s="8">
        <v>1968573</v>
      </c>
      <c r="B5232" s="11">
        <v>44588</v>
      </c>
      <c r="C5232" s="13" t="s">
        <v>1581</v>
      </c>
      <c r="D5232" s="13" t="s">
        <v>6650</v>
      </c>
      <c r="E5232" s="8">
        <v>5110.72</v>
      </c>
      <c r="F5232" s="13" t="s">
        <v>70</v>
      </c>
      <c r="G5232" s="14">
        <v>44589</v>
      </c>
      <c r="H5232" s="13" t="s">
        <v>35</v>
      </c>
    </row>
    <row r="5233" spans="1:8" ht="14.4" x14ac:dyDescent="0.3">
      <c r="A5233" s="8">
        <v>1968574</v>
      </c>
      <c r="B5233" s="11">
        <v>44588</v>
      </c>
      <c r="C5233" s="13" t="s">
        <v>1286</v>
      </c>
      <c r="D5233" s="13" t="s">
        <v>6554</v>
      </c>
      <c r="E5233" s="8">
        <v>9292.2000000000007</v>
      </c>
      <c r="F5233" s="13" t="s">
        <v>70</v>
      </c>
      <c r="G5233" s="14">
        <v>44592</v>
      </c>
      <c r="H5233" s="13" t="s">
        <v>35</v>
      </c>
    </row>
    <row r="5234" spans="1:8" ht="14.4" x14ac:dyDescent="0.3">
      <c r="A5234" s="8">
        <v>1968575</v>
      </c>
      <c r="B5234" s="11">
        <v>44588</v>
      </c>
      <c r="C5234" s="13" t="s">
        <v>1286</v>
      </c>
      <c r="D5234" s="13" t="s">
        <v>6651</v>
      </c>
      <c r="E5234" s="8">
        <v>69842.740000000005</v>
      </c>
      <c r="F5234" s="13" t="s">
        <v>70</v>
      </c>
      <c r="G5234" s="14">
        <v>44592</v>
      </c>
      <c r="H5234" s="13" t="s">
        <v>35</v>
      </c>
    </row>
    <row r="5235" spans="1:8" ht="14.4" x14ac:dyDescent="0.3">
      <c r="A5235" s="8">
        <v>1968576</v>
      </c>
      <c r="B5235" s="11">
        <v>44588</v>
      </c>
      <c r="C5235" s="13" t="s">
        <v>6518</v>
      </c>
      <c r="D5235" s="13" t="s">
        <v>6652</v>
      </c>
      <c r="E5235" s="8">
        <v>9721.39</v>
      </c>
      <c r="F5235" s="13" t="s">
        <v>70</v>
      </c>
      <c r="G5235" s="14">
        <v>44596</v>
      </c>
      <c r="H5235" s="13" t="s">
        <v>35</v>
      </c>
    </row>
    <row r="5236" spans="1:8" ht="14.4" x14ac:dyDescent="0.3">
      <c r="A5236" s="8">
        <v>1968577</v>
      </c>
      <c r="B5236" s="11">
        <v>44588</v>
      </c>
      <c r="C5236" s="13" t="s">
        <v>1286</v>
      </c>
      <c r="D5236" s="13" t="s">
        <v>6653</v>
      </c>
      <c r="E5236" s="8">
        <v>1374.86</v>
      </c>
      <c r="F5236" s="13" t="s">
        <v>70</v>
      </c>
      <c r="G5236" s="14">
        <v>44592</v>
      </c>
      <c r="H5236" s="13" t="s">
        <v>35</v>
      </c>
    </row>
    <row r="5237" spans="1:8" ht="14.4" x14ac:dyDescent="0.3">
      <c r="A5237" s="8">
        <v>1968578</v>
      </c>
      <c r="B5237" s="11">
        <v>44588</v>
      </c>
      <c r="C5237" s="13" t="s">
        <v>1286</v>
      </c>
      <c r="D5237" s="13" t="s">
        <v>6654</v>
      </c>
      <c r="E5237" s="8">
        <v>71714.13</v>
      </c>
      <c r="F5237" s="13" t="s">
        <v>70</v>
      </c>
      <c r="G5237" s="14">
        <v>44592</v>
      </c>
      <c r="H5237" s="13" t="s">
        <v>35</v>
      </c>
    </row>
    <row r="5238" spans="1:8" ht="14.4" x14ac:dyDescent="0.3">
      <c r="A5238" s="8">
        <v>1968579</v>
      </c>
      <c r="B5238" s="11">
        <v>44588</v>
      </c>
      <c r="C5238" s="13" t="s">
        <v>1286</v>
      </c>
      <c r="D5238" s="13" t="s">
        <v>6655</v>
      </c>
      <c r="E5238" s="8">
        <v>11220.1</v>
      </c>
      <c r="F5238" s="13" t="s">
        <v>70</v>
      </c>
      <c r="G5238" s="14">
        <v>44592</v>
      </c>
      <c r="H5238" s="13" t="s">
        <v>35</v>
      </c>
    </row>
    <row r="5239" spans="1:8" ht="14.4" x14ac:dyDescent="0.3">
      <c r="A5239" s="8">
        <v>1968580</v>
      </c>
      <c r="B5239" s="11">
        <v>44588</v>
      </c>
      <c r="C5239" s="13" t="s">
        <v>1286</v>
      </c>
      <c r="D5239" s="13" t="s">
        <v>6656</v>
      </c>
      <c r="E5239" s="8">
        <v>9843.8799999999992</v>
      </c>
      <c r="F5239" s="13" t="s">
        <v>70</v>
      </c>
      <c r="G5239" s="14">
        <v>44592</v>
      </c>
      <c r="H5239" s="13" t="s">
        <v>35</v>
      </c>
    </row>
    <row r="5240" spans="1:8" ht="14.4" x14ac:dyDescent="0.3">
      <c r="A5240" s="8">
        <v>1968581</v>
      </c>
      <c r="B5240" s="11">
        <v>44588</v>
      </c>
      <c r="C5240" s="13" t="s">
        <v>6518</v>
      </c>
      <c r="D5240" s="13" t="s">
        <v>6657</v>
      </c>
      <c r="E5240" s="8">
        <v>16999.349999999999</v>
      </c>
      <c r="F5240" s="13" t="s">
        <v>70</v>
      </c>
      <c r="G5240" s="14">
        <v>44596</v>
      </c>
      <c r="H5240" s="13" t="s">
        <v>35</v>
      </c>
    </row>
    <row r="5241" spans="1:8" ht="14.4" x14ac:dyDescent="0.3">
      <c r="A5241" s="8">
        <v>1968582</v>
      </c>
      <c r="B5241" s="11">
        <v>44588</v>
      </c>
      <c r="C5241" s="13" t="s">
        <v>6518</v>
      </c>
      <c r="D5241" s="13" t="s">
        <v>6658</v>
      </c>
      <c r="E5241" s="8">
        <v>7474.89</v>
      </c>
      <c r="F5241" s="13" t="s">
        <v>70</v>
      </c>
      <c r="G5241" s="14">
        <v>44596</v>
      </c>
      <c r="H5241" s="13" t="s">
        <v>35</v>
      </c>
    </row>
    <row r="5242" spans="1:8" ht="14.4" x14ac:dyDescent="0.3">
      <c r="A5242" s="8">
        <v>1968583</v>
      </c>
      <c r="B5242" s="11">
        <v>44588</v>
      </c>
      <c r="C5242" s="13" t="s">
        <v>1497</v>
      </c>
      <c r="D5242" s="13" t="s">
        <v>6659</v>
      </c>
      <c r="E5242" s="8">
        <v>71667.399999999994</v>
      </c>
      <c r="F5242" s="13" t="s">
        <v>70</v>
      </c>
      <c r="G5242" s="14">
        <v>44600</v>
      </c>
      <c r="H5242" s="13" t="s">
        <v>35</v>
      </c>
    </row>
    <row r="5243" spans="1:8" ht="14.4" x14ac:dyDescent="0.3">
      <c r="A5243" s="8">
        <v>1968584</v>
      </c>
      <c r="B5243" s="11">
        <v>44588</v>
      </c>
      <c r="C5243" s="13" t="s">
        <v>2571</v>
      </c>
      <c r="D5243" s="13" t="s">
        <v>6660</v>
      </c>
      <c r="E5243" s="8">
        <v>81584.37</v>
      </c>
      <c r="F5243" s="13" t="s">
        <v>70</v>
      </c>
      <c r="G5243" s="14">
        <v>44592</v>
      </c>
      <c r="H5243" s="13" t="s">
        <v>35</v>
      </c>
    </row>
    <row r="5244" spans="1:8" ht="14.4" x14ac:dyDescent="0.3">
      <c r="A5244" s="8">
        <v>1968585</v>
      </c>
      <c r="B5244" s="11">
        <v>44588</v>
      </c>
      <c r="C5244" s="13" t="s">
        <v>2077</v>
      </c>
      <c r="D5244" s="13" t="s">
        <v>6661</v>
      </c>
      <c r="E5244" s="8">
        <v>14194.38</v>
      </c>
      <c r="F5244" s="13" t="s">
        <v>70</v>
      </c>
      <c r="G5244" s="14">
        <v>44592</v>
      </c>
      <c r="H5244" s="13" t="s">
        <v>35</v>
      </c>
    </row>
    <row r="5245" spans="1:8" ht="14.4" x14ac:dyDescent="0.3">
      <c r="A5245" s="8">
        <v>1968586</v>
      </c>
      <c r="B5245" s="11">
        <v>44588</v>
      </c>
      <c r="C5245" s="13" t="s">
        <v>6662</v>
      </c>
      <c r="D5245" s="13" t="s">
        <v>6663</v>
      </c>
      <c r="E5245" s="8">
        <v>62456.25</v>
      </c>
      <c r="F5245" s="13" t="s">
        <v>70</v>
      </c>
      <c r="G5245" s="14">
        <v>44663</v>
      </c>
      <c r="H5245" s="13" t="s">
        <v>35</v>
      </c>
    </row>
    <row r="5246" spans="1:8" ht="14.4" x14ac:dyDescent="0.3">
      <c r="A5246" s="8">
        <v>1968587</v>
      </c>
      <c r="B5246" s="11">
        <v>44588</v>
      </c>
      <c r="C5246" s="13" t="s">
        <v>6664</v>
      </c>
      <c r="D5246" s="13" t="s">
        <v>6665</v>
      </c>
      <c r="E5246" s="8">
        <v>54656.24</v>
      </c>
      <c r="F5246" s="13" t="s">
        <v>70</v>
      </c>
      <c r="G5246" s="14">
        <v>44594</v>
      </c>
      <c r="H5246" s="13" t="s">
        <v>35</v>
      </c>
    </row>
    <row r="5247" spans="1:8" ht="14.4" x14ac:dyDescent="0.3">
      <c r="A5247" s="8">
        <v>1968588</v>
      </c>
      <c r="B5247" s="11">
        <v>44588</v>
      </c>
      <c r="C5247" s="13" t="s">
        <v>2334</v>
      </c>
      <c r="D5247" s="13" t="s">
        <v>6666</v>
      </c>
      <c r="E5247" s="8">
        <v>8000</v>
      </c>
      <c r="F5247" s="13" t="s">
        <v>70</v>
      </c>
      <c r="G5247" s="14">
        <v>44603</v>
      </c>
      <c r="H5247" s="13" t="s">
        <v>35</v>
      </c>
    </row>
    <row r="5248" spans="1:8" ht="14.4" x14ac:dyDescent="0.3">
      <c r="A5248" s="8">
        <v>1968589</v>
      </c>
      <c r="B5248" s="11">
        <v>44588</v>
      </c>
      <c r="C5248" s="13" t="s">
        <v>6667</v>
      </c>
      <c r="D5248" s="13" t="s">
        <v>538</v>
      </c>
      <c r="E5248" s="8">
        <v>14000</v>
      </c>
      <c r="F5248" s="13" t="s">
        <v>70</v>
      </c>
      <c r="G5248" s="14">
        <v>44592</v>
      </c>
      <c r="H5248" s="13" t="s">
        <v>35</v>
      </c>
    </row>
    <row r="5249" spans="1:8" ht="14.4" x14ac:dyDescent="0.3">
      <c r="A5249" s="8">
        <v>1968590</v>
      </c>
      <c r="B5249" s="11">
        <v>44588</v>
      </c>
      <c r="C5249" s="13" t="s">
        <v>6668</v>
      </c>
      <c r="D5249" s="13" t="s">
        <v>538</v>
      </c>
      <c r="E5249" s="8">
        <v>12000</v>
      </c>
      <c r="F5249" s="13" t="s">
        <v>70</v>
      </c>
      <c r="G5249" s="14">
        <v>44594</v>
      </c>
      <c r="H5249" s="13" t="s">
        <v>35</v>
      </c>
    </row>
    <row r="5250" spans="1:8" ht="14.4" x14ac:dyDescent="0.3">
      <c r="A5250" s="8">
        <v>1968591</v>
      </c>
      <c r="B5250" s="11">
        <v>44588</v>
      </c>
      <c r="C5250" s="13" t="s">
        <v>2334</v>
      </c>
      <c r="D5250" s="13" t="s">
        <v>6669</v>
      </c>
      <c r="E5250" s="8">
        <v>24000</v>
      </c>
      <c r="F5250" s="13" t="s">
        <v>70</v>
      </c>
      <c r="G5250" s="14">
        <v>44603</v>
      </c>
      <c r="H5250" s="13" t="s">
        <v>35</v>
      </c>
    </row>
    <row r="5251" spans="1:8" ht="14.4" x14ac:dyDescent="0.3">
      <c r="A5251" s="8">
        <v>1968592</v>
      </c>
      <c r="B5251" s="11">
        <v>44588</v>
      </c>
      <c r="C5251" s="13" t="s">
        <v>2334</v>
      </c>
      <c r="D5251" s="13" t="s">
        <v>6670</v>
      </c>
      <c r="E5251" s="8">
        <v>8000</v>
      </c>
      <c r="F5251" s="13" t="s">
        <v>70</v>
      </c>
      <c r="G5251" s="14">
        <v>44603</v>
      </c>
      <c r="H5251" s="13" t="s">
        <v>35</v>
      </c>
    </row>
    <row r="5252" spans="1:8" ht="14.4" x14ac:dyDescent="0.3">
      <c r="A5252" s="8">
        <v>1968593</v>
      </c>
      <c r="B5252" s="11">
        <v>44588</v>
      </c>
      <c r="C5252" s="13" t="s">
        <v>67</v>
      </c>
      <c r="D5252" s="13" t="s">
        <v>6671</v>
      </c>
      <c r="E5252" s="8">
        <v>34560</v>
      </c>
      <c r="F5252" s="13" t="s">
        <v>70</v>
      </c>
      <c r="G5252" s="14">
        <v>44589</v>
      </c>
      <c r="H5252" s="13" t="s">
        <v>35</v>
      </c>
    </row>
    <row r="5253" spans="1:8" ht="14.4" x14ac:dyDescent="0.3">
      <c r="A5253" s="8">
        <v>1968594</v>
      </c>
      <c r="B5253" s="11">
        <v>44588</v>
      </c>
      <c r="C5253" s="13" t="s">
        <v>1286</v>
      </c>
      <c r="D5253" s="13" t="s">
        <v>6672</v>
      </c>
      <c r="E5253" s="8">
        <v>55346.98</v>
      </c>
      <c r="F5253" s="13" t="s">
        <v>70</v>
      </c>
      <c r="G5253" s="14">
        <v>44592</v>
      </c>
      <c r="H5253" s="13" t="s">
        <v>35</v>
      </c>
    </row>
    <row r="5254" spans="1:8" ht="14.4" x14ac:dyDescent="0.3">
      <c r="A5254" s="8">
        <v>1968595</v>
      </c>
      <c r="B5254" s="11">
        <v>44588</v>
      </c>
      <c r="C5254" s="13" t="s">
        <v>1286</v>
      </c>
      <c r="D5254" s="13" t="s">
        <v>6673</v>
      </c>
      <c r="E5254" s="8">
        <v>62672.35</v>
      </c>
      <c r="F5254" s="13" t="s">
        <v>70</v>
      </c>
      <c r="G5254" s="14">
        <v>44592</v>
      </c>
      <c r="H5254" s="13" t="s">
        <v>35</v>
      </c>
    </row>
    <row r="5255" spans="1:8" ht="14.4" x14ac:dyDescent="0.3">
      <c r="A5255" s="8">
        <v>1968596</v>
      </c>
      <c r="B5255" s="11">
        <v>44588</v>
      </c>
      <c r="C5255" s="13" t="s">
        <v>2336</v>
      </c>
      <c r="D5255" s="13" t="s">
        <v>6674</v>
      </c>
      <c r="E5255" s="8">
        <v>15000</v>
      </c>
      <c r="F5255" s="13" t="s">
        <v>70</v>
      </c>
      <c r="G5255" s="14">
        <v>44592</v>
      </c>
      <c r="H5255" s="13" t="s">
        <v>35</v>
      </c>
    </row>
    <row r="5256" spans="1:8" ht="14.4" x14ac:dyDescent="0.3">
      <c r="A5256" s="8">
        <v>1968597</v>
      </c>
      <c r="B5256" s="11">
        <v>44588</v>
      </c>
      <c r="C5256" s="13" t="s">
        <v>697</v>
      </c>
      <c r="D5256" s="13" t="s">
        <v>6675</v>
      </c>
      <c r="E5256" s="8">
        <v>2090.83</v>
      </c>
      <c r="F5256" s="13" t="s">
        <v>70</v>
      </c>
      <c r="G5256" s="14">
        <v>44607</v>
      </c>
      <c r="H5256" s="13" t="s">
        <v>35</v>
      </c>
    </row>
    <row r="5257" spans="1:8" ht="14.4" x14ac:dyDescent="0.3">
      <c r="A5257" s="8">
        <v>1968598</v>
      </c>
      <c r="B5257" s="11">
        <v>44588</v>
      </c>
      <c r="C5257" s="13" t="s">
        <v>1286</v>
      </c>
      <c r="D5257" s="13" t="s">
        <v>6676</v>
      </c>
      <c r="E5257" s="8">
        <v>8735.73</v>
      </c>
      <c r="F5257" s="13" t="s">
        <v>70</v>
      </c>
      <c r="G5257" s="14">
        <v>44592</v>
      </c>
      <c r="H5257" s="13" t="s">
        <v>35</v>
      </c>
    </row>
    <row r="5258" spans="1:8" ht="14.4" x14ac:dyDescent="0.3">
      <c r="A5258" s="8">
        <v>1968599</v>
      </c>
      <c r="B5258" s="11">
        <v>44588</v>
      </c>
      <c r="C5258" s="13" t="s">
        <v>1286</v>
      </c>
      <c r="D5258" s="13" t="s">
        <v>6677</v>
      </c>
      <c r="E5258" s="8">
        <v>3152.17</v>
      </c>
      <c r="F5258" s="13" t="s">
        <v>70</v>
      </c>
      <c r="G5258" s="14">
        <v>44592</v>
      </c>
      <c r="H5258" s="13" t="s">
        <v>35</v>
      </c>
    </row>
    <row r="5259" spans="1:8" ht="14.4" x14ac:dyDescent="0.3">
      <c r="A5259" s="8">
        <v>1968600</v>
      </c>
      <c r="B5259" s="11">
        <v>44588</v>
      </c>
      <c r="C5259" s="13" t="s">
        <v>1344</v>
      </c>
      <c r="D5259" s="13" t="s">
        <v>6678</v>
      </c>
      <c r="E5259" s="8">
        <v>46560</v>
      </c>
      <c r="F5259" s="13" t="s">
        <v>70</v>
      </c>
      <c r="G5259" s="14">
        <v>44594</v>
      </c>
      <c r="H5259" s="13" t="s">
        <v>35</v>
      </c>
    </row>
    <row r="5260" spans="1:8" ht="14.4" x14ac:dyDescent="0.3">
      <c r="A5260" s="8">
        <v>1968601</v>
      </c>
      <c r="B5260" s="11">
        <v>44588</v>
      </c>
      <c r="C5260" s="13" t="s">
        <v>1584</v>
      </c>
      <c r="D5260" s="13" t="s">
        <v>6679</v>
      </c>
      <c r="E5260" s="8">
        <v>10331.219999999999</v>
      </c>
      <c r="F5260" s="13" t="s">
        <v>70</v>
      </c>
      <c r="G5260" s="14">
        <v>44594</v>
      </c>
      <c r="H5260" s="13" t="s">
        <v>35</v>
      </c>
    </row>
    <row r="5261" spans="1:8" ht="14.4" x14ac:dyDescent="0.3">
      <c r="A5261" s="8">
        <v>1968603</v>
      </c>
      <c r="B5261" s="11">
        <v>44588</v>
      </c>
      <c r="C5261" s="13" t="s">
        <v>6518</v>
      </c>
      <c r="D5261" s="13" t="s">
        <v>6680</v>
      </c>
      <c r="E5261" s="8">
        <v>8914.35</v>
      </c>
      <c r="F5261" s="13" t="s">
        <v>70</v>
      </c>
      <c r="G5261" s="14">
        <v>44596</v>
      </c>
      <c r="H5261" s="13" t="s">
        <v>35</v>
      </c>
    </row>
    <row r="5262" spans="1:8" ht="14.4" x14ac:dyDescent="0.3">
      <c r="A5262" s="8">
        <v>1968604</v>
      </c>
      <c r="B5262" s="11">
        <v>44588</v>
      </c>
      <c r="C5262" s="13" t="s">
        <v>6518</v>
      </c>
      <c r="D5262" s="13" t="s">
        <v>6681</v>
      </c>
      <c r="E5262" s="8">
        <v>11004.47</v>
      </c>
      <c r="F5262" s="13" t="s">
        <v>70</v>
      </c>
      <c r="G5262" s="14">
        <v>44596</v>
      </c>
      <c r="H5262" s="13" t="s">
        <v>35</v>
      </c>
    </row>
    <row r="5263" spans="1:8" ht="14.4" x14ac:dyDescent="0.3">
      <c r="A5263" s="8">
        <v>1968605</v>
      </c>
      <c r="B5263" s="11">
        <v>44588</v>
      </c>
      <c r="C5263" s="13" t="s">
        <v>1286</v>
      </c>
      <c r="D5263" s="13" t="s">
        <v>6682</v>
      </c>
      <c r="E5263" s="8">
        <v>6819.11</v>
      </c>
      <c r="F5263" s="13" t="s">
        <v>70</v>
      </c>
      <c r="G5263" s="14">
        <v>44592</v>
      </c>
      <c r="H5263" s="13" t="s">
        <v>35</v>
      </c>
    </row>
    <row r="5264" spans="1:8" ht="14.4" x14ac:dyDescent="0.3">
      <c r="A5264" s="8">
        <v>1968606</v>
      </c>
      <c r="B5264" s="11">
        <v>44588</v>
      </c>
      <c r="C5264" s="13" t="s">
        <v>1946</v>
      </c>
      <c r="D5264" s="13" t="s">
        <v>6683</v>
      </c>
      <c r="E5264" s="8">
        <v>14385.72</v>
      </c>
      <c r="F5264" s="13" t="s">
        <v>70</v>
      </c>
      <c r="G5264" s="14">
        <v>44592</v>
      </c>
      <c r="H5264" s="13" t="s">
        <v>35</v>
      </c>
    </row>
    <row r="5265" spans="1:8" ht="14.4" x14ac:dyDescent="0.3">
      <c r="A5265" s="8">
        <v>1968607</v>
      </c>
      <c r="B5265" s="11">
        <v>44588</v>
      </c>
      <c r="C5265" s="13" t="s">
        <v>6518</v>
      </c>
      <c r="D5265" s="13" t="s">
        <v>6684</v>
      </c>
      <c r="E5265" s="8">
        <v>49754.85</v>
      </c>
      <c r="F5265" s="13" t="s">
        <v>70</v>
      </c>
      <c r="G5265" s="14">
        <v>44596</v>
      </c>
      <c r="H5265" s="13" t="s">
        <v>35</v>
      </c>
    </row>
    <row r="5266" spans="1:8" ht="14.4" x14ac:dyDescent="0.3">
      <c r="A5266" s="8">
        <v>1968608</v>
      </c>
      <c r="B5266" s="11">
        <v>44588</v>
      </c>
      <c r="C5266" s="13" t="s">
        <v>6518</v>
      </c>
      <c r="D5266" s="13" t="s">
        <v>6685</v>
      </c>
      <c r="E5266" s="8">
        <v>51700.95</v>
      </c>
      <c r="F5266" s="13" t="s">
        <v>70</v>
      </c>
      <c r="G5266" s="14">
        <v>44596</v>
      </c>
      <c r="H5266" s="13" t="s">
        <v>35</v>
      </c>
    </row>
    <row r="5267" spans="1:8" ht="14.4" x14ac:dyDescent="0.3">
      <c r="A5267" s="8">
        <v>1968609</v>
      </c>
      <c r="B5267" s="11">
        <v>44588</v>
      </c>
      <c r="C5267" s="13" t="s">
        <v>6518</v>
      </c>
      <c r="D5267" s="13" t="s">
        <v>6686</v>
      </c>
      <c r="E5267" s="8">
        <v>4866.9799999999996</v>
      </c>
      <c r="F5267" s="13" t="s">
        <v>70</v>
      </c>
      <c r="G5267" s="14">
        <v>44596</v>
      </c>
      <c r="H5267" s="13" t="s">
        <v>35</v>
      </c>
    </row>
    <row r="5268" spans="1:8" ht="14.4" x14ac:dyDescent="0.3">
      <c r="A5268" s="8">
        <v>1968610</v>
      </c>
      <c r="B5268" s="11">
        <v>44588</v>
      </c>
      <c r="C5268" s="13" t="s">
        <v>6518</v>
      </c>
      <c r="D5268" s="13" t="s">
        <v>6687</v>
      </c>
      <c r="E5268" s="8">
        <v>3837.76</v>
      </c>
      <c r="F5268" s="13" t="s">
        <v>70</v>
      </c>
      <c r="G5268" s="14">
        <v>44596</v>
      </c>
      <c r="H5268" s="13" t="s">
        <v>35</v>
      </c>
    </row>
    <row r="5269" spans="1:8" ht="14.4" x14ac:dyDescent="0.3">
      <c r="A5269" s="8">
        <v>1968611</v>
      </c>
      <c r="B5269" s="11">
        <v>44588</v>
      </c>
      <c r="C5269" s="13" t="s">
        <v>6518</v>
      </c>
      <c r="D5269" s="13" t="s">
        <v>6688</v>
      </c>
      <c r="E5269" s="8">
        <v>4112.47</v>
      </c>
      <c r="F5269" s="13" t="s">
        <v>70</v>
      </c>
      <c r="G5269" s="14">
        <v>44596</v>
      </c>
      <c r="H5269" s="13" t="s">
        <v>35</v>
      </c>
    </row>
    <row r="5270" spans="1:8" ht="14.4" x14ac:dyDescent="0.3">
      <c r="A5270" s="8">
        <v>1968612</v>
      </c>
      <c r="B5270" s="11">
        <v>44588</v>
      </c>
      <c r="C5270" s="13" t="s">
        <v>6518</v>
      </c>
      <c r="D5270" s="13" t="s">
        <v>6689</v>
      </c>
      <c r="E5270" s="8">
        <v>6008.17</v>
      </c>
      <c r="F5270" s="13" t="s">
        <v>70</v>
      </c>
      <c r="G5270" s="14">
        <v>44596</v>
      </c>
      <c r="H5270" s="13" t="s">
        <v>35</v>
      </c>
    </row>
    <row r="5271" spans="1:8" ht="14.4" x14ac:dyDescent="0.3">
      <c r="A5271" s="8">
        <v>1968613</v>
      </c>
      <c r="B5271" s="11">
        <v>44588</v>
      </c>
      <c r="C5271" s="13" t="s">
        <v>6518</v>
      </c>
      <c r="D5271" s="13" t="s">
        <v>6690</v>
      </c>
      <c r="E5271" s="8">
        <v>4893.9399999999996</v>
      </c>
      <c r="F5271" s="13" t="s">
        <v>70</v>
      </c>
      <c r="G5271" s="14">
        <v>44596</v>
      </c>
      <c r="H5271" s="13" t="s">
        <v>35</v>
      </c>
    </row>
    <row r="5272" spans="1:8" ht="14.4" x14ac:dyDescent="0.3">
      <c r="A5272" s="8">
        <v>1968614</v>
      </c>
      <c r="B5272" s="11">
        <v>44588</v>
      </c>
      <c r="C5272" s="13" t="s">
        <v>6518</v>
      </c>
      <c r="D5272" s="13" t="s">
        <v>6691</v>
      </c>
      <c r="E5272" s="8">
        <v>9756.33</v>
      </c>
      <c r="F5272" s="13" t="s">
        <v>70</v>
      </c>
      <c r="G5272" s="14">
        <v>44596</v>
      </c>
      <c r="H5272" s="13" t="s">
        <v>35</v>
      </c>
    </row>
    <row r="5273" spans="1:8" ht="14.4" x14ac:dyDescent="0.3">
      <c r="A5273" s="8">
        <v>1968615</v>
      </c>
      <c r="B5273" s="11">
        <v>44588</v>
      </c>
      <c r="C5273" s="13" t="s">
        <v>6518</v>
      </c>
      <c r="D5273" s="13" t="s">
        <v>6692</v>
      </c>
      <c r="E5273" s="8">
        <v>5558.3</v>
      </c>
      <c r="F5273" s="13" t="s">
        <v>70</v>
      </c>
      <c r="G5273" s="14">
        <v>44596</v>
      </c>
      <c r="H5273" s="13" t="s">
        <v>35</v>
      </c>
    </row>
    <row r="5274" spans="1:8" ht="14.4" x14ac:dyDescent="0.3">
      <c r="A5274" s="8">
        <v>1968616</v>
      </c>
      <c r="B5274" s="11">
        <v>44588</v>
      </c>
      <c r="C5274" s="13" t="s">
        <v>1587</v>
      </c>
      <c r="D5274" s="13" t="s">
        <v>6693</v>
      </c>
      <c r="E5274" s="8">
        <v>20821.43</v>
      </c>
      <c r="F5274" s="13" t="s">
        <v>70</v>
      </c>
      <c r="G5274" s="14">
        <v>44607</v>
      </c>
      <c r="H5274" s="13" t="s">
        <v>35</v>
      </c>
    </row>
    <row r="5275" spans="1:8" ht="14.4" x14ac:dyDescent="0.3">
      <c r="A5275" s="8">
        <v>1968617</v>
      </c>
      <c r="B5275" s="11">
        <v>44588</v>
      </c>
      <c r="C5275" s="13" t="s">
        <v>275</v>
      </c>
      <c r="D5275" s="13" t="s">
        <v>6694</v>
      </c>
      <c r="E5275" s="8">
        <v>204436.48000000001</v>
      </c>
      <c r="F5275" s="13" t="s">
        <v>70</v>
      </c>
      <c r="G5275" s="14">
        <v>44594</v>
      </c>
      <c r="H5275" s="13" t="s">
        <v>35</v>
      </c>
    </row>
    <row r="5276" spans="1:8" ht="14.4" x14ac:dyDescent="0.3">
      <c r="A5276" s="8">
        <v>1968618</v>
      </c>
      <c r="B5276" s="11">
        <v>44588</v>
      </c>
      <c r="C5276" s="13" t="s">
        <v>25</v>
      </c>
      <c r="D5276" s="13" t="s">
        <v>4881</v>
      </c>
      <c r="E5276" s="8">
        <v>19728</v>
      </c>
      <c r="F5276" s="13" t="s">
        <v>70</v>
      </c>
      <c r="G5276" s="14">
        <v>44592</v>
      </c>
      <c r="H5276" s="13" t="s">
        <v>35</v>
      </c>
    </row>
    <row r="5277" spans="1:8" ht="14.4" x14ac:dyDescent="0.3">
      <c r="A5277" s="8">
        <v>1968619</v>
      </c>
      <c r="B5277" s="11">
        <v>44588</v>
      </c>
      <c r="C5277" s="13" t="s">
        <v>127</v>
      </c>
      <c r="D5277" s="13" t="s">
        <v>6695</v>
      </c>
      <c r="E5277" s="8">
        <v>1097.8499999999999</v>
      </c>
      <c r="F5277" s="13" t="s">
        <v>70</v>
      </c>
      <c r="G5277" s="14">
        <v>44592</v>
      </c>
      <c r="H5277" s="13" t="s">
        <v>35</v>
      </c>
    </row>
    <row r="5278" spans="1:8" ht="14.4" x14ac:dyDescent="0.3">
      <c r="A5278" s="8">
        <v>1968620</v>
      </c>
      <c r="B5278" s="11">
        <v>44588</v>
      </c>
      <c r="C5278" s="13" t="s">
        <v>1941</v>
      </c>
      <c r="D5278" s="13" t="s">
        <v>6696</v>
      </c>
      <c r="E5278" s="8">
        <v>19362.23</v>
      </c>
      <c r="F5278" s="13" t="s">
        <v>70</v>
      </c>
      <c r="G5278" s="14">
        <v>44592</v>
      </c>
      <c r="H5278" s="13" t="s">
        <v>35</v>
      </c>
    </row>
    <row r="5279" spans="1:8" ht="14.4" x14ac:dyDescent="0.3">
      <c r="A5279" s="8">
        <v>1968621</v>
      </c>
      <c r="B5279" s="11">
        <v>44588</v>
      </c>
      <c r="C5279" s="13" t="s">
        <v>6697</v>
      </c>
      <c r="D5279" s="13" t="s">
        <v>6698</v>
      </c>
      <c r="E5279" s="8">
        <v>4365</v>
      </c>
      <c r="F5279" s="13" t="s">
        <v>70</v>
      </c>
      <c r="G5279" s="14">
        <v>44600</v>
      </c>
      <c r="H5279" s="13" t="s">
        <v>35</v>
      </c>
    </row>
    <row r="5280" spans="1:8" ht="14.4" x14ac:dyDescent="0.3">
      <c r="A5280" s="8">
        <v>1968622</v>
      </c>
      <c r="B5280" s="11">
        <v>44588</v>
      </c>
      <c r="C5280" s="13" t="s">
        <v>1581</v>
      </c>
      <c r="D5280" s="13" t="s">
        <v>6699</v>
      </c>
      <c r="E5280" s="8">
        <v>28392.85</v>
      </c>
      <c r="F5280" s="13" t="s">
        <v>70</v>
      </c>
      <c r="G5280" s="14">
        <v>44592</v>
      </c>
      <c r="H5280" s="13" t="s">
        <v>35</v>
      </c>
    </row>
    <row r="5281" spans="1:8" ht="14.4" x14ac:dyDescent="0.3">
      <c r="A5281" s="8">
        <v>1968623</v>
      </c>
      <c r="B5281" s="11">
        <v>44588</v>
      </c>
      <c r="C5281" s="13" t="s">
        <v>6619</v>
      </c>
      <c r="D5281" s="13" t="s">
        <v>6700</v>
      </c>
      <c r="E5281" s="8">
        <v>5820</v>
      </c>
      <c r="F5281" s="13" t="s">
        <v>70</v>
      </c>
      <c r="G5281" s="14">
        <v>44592</v>
      </c>
      <c r="H5281" s="13" t="s">
        <v>35</v>
      </c>
    </row>
    <row r="5282" spans="1:8" ht="14.4" x14ac:dyDescent="0.3">
      <c r="A5282" s="8">
        <v>1968624</v>
      </c>
      <c r="B5282" s="11">
        <v>44588</v>
      </c>
      <c r="C5282" s="13" t="s">
        <v>2395</v>
      </c>
      <c r="D5282" s="13" t="s">
        <v>6701</v>
      </c>
      <c r="E5282" s="8">
        <v>4116</v>
      </c>
      <c r="F5282" s="13" t="s">
        <v>70</v>
      </c>
      <c r="G5282" s="14">
        <v>44595</v>
      </c>
      <c r="H5282" s="13" t="s">
        <v>35</v>
      </c>
    </row>
    <row r="5283" spans="1:8" ht="14.4" x14ac:dyDescent="0.3">
      <c r="A5283" s="8">
        <v>1968625</v>
      </c>
      <c r="B5283" s="11">
        <v>44588</v>
      </c>
      <c r="C5283" s="13" t="s">
        <v>1344</v>
      </c>
      <c r="D5283" s="13" t="s">
        <v>6702</v>
      </c>
      <c r="E5283" s="8">
        <v>13095</v>
      </c>
      <c r="F5283" s="13" t="s">
        <v>70</v>
      </c>
      <c r="G5283" s="14">
        <v>44592</v>
      </c>
      <c r="H5283" s="13" t="s">
        <v>35</v>
      </c>
    </row>
    <row r="5284" spans="1:8" ht="14.4" x14ac:dyDescent="0.3">
      <c r="A5284" s="8">
        <v>1968626</v>
      </c>
      <c r="B5284" s="11">
        <v>44588</v>
      </c>
      <c r="C5284" s="13" t="s">
        <v>6703</v>
      </c>
      <c r="D5284" s="13" t="s">
        <v>6704</v>
      </c>
      <c r="E5284" s="8">
        <v>5583.93</v>
      </c>
      <c r="F5284" s="13" t="s">
        <v>70</v>
      </c>
      <c r="G5284" s="14">
        <v>44650</v>
      </c>
      <c r="H5284" s="13" t="s">
        <v>35</v>
      </c>
    </row>
    <row r="5285" spans="1:8" ht="14.4" x14ac:dyDescent="0.3">
      <c r="A5285" s="8">
        <v>1968627</v>
      </c>
      <c r="B5285" s="11">
        <v>44588</v>
      </c>
      <c r="C5285" s="13" t="s">
        <v>1581</v>
      </c>
      <c r="D5285" s="13" t="s">
        <v>6705</v>
      </c>
      <c r="E5285" s="8">
        <v>5678.57</v>
      </c>
      <c r="F5285" s="13" t="s">
        <v>70</v>
      </c>
      <c r="G5285" s="14">
        <v>44592</v>
      </c>
      <c r="H5285" s="13" t="s">
        <v>35</v>
      </c>
    </row>
    <row r="5286" spans="1:8" ht="14.4" x14ac:dyDescent="0.3">
      <c r="A5286" s="8">
        <v>1968629</v>
      </c>
      <c r="B5286" s="11">
        <v>44588</v>
      </c>
      <c r="C5286" s="13" t="s">
        <v>1581</v>
      </c>
      <c r="D5286" s="13" t="s">
        <v>6706</v>
      </c>
      <c r="E5286" s="8">
        <v>6388.39</v>
      </c>
      <c r="F5286" s="13" t="s">
        <v>70</v>
      </c>
      <c r="G5286" s="14">
        <v>44592</v>
      </c>
      <c r="H5286" s="13" t="s">
        <v>35</v>
      </c>
    </row>
    <row r="5287" spans="1:8" ht="14.4" x14ac:dyDescent="0.3">
      <c r="A5287" s="8">
        <v>1968630</v>
      </c>
      <c r="B5287" s="11">
        <v>44588</v>
      </c>
      <c r="C5287" s="13" t="s">
        <v>1941</v>
      </c>
      <c r="D5287" s="13" t="s">
        <v>6707</v>
      </c>
      <c r="E5287" s="8">
        <v>5054.46</v>
      </c>
      <c r="F5287" s="13" t="s">
        <v>70</v>
      </c>
      <c r="G5287" s="14">
        <v>44592</v>
      </c>
      <c r="H5287" s="13" t="s">
        <v>35</v>
      </c>
    </row>
    <row r="5288" spans="1:8" ht="14.4" x14ac:dyDescent="0.3">
      <c r="A5288" s="8">
        <v>1968631</v>
      </c>
      <c r="B5288" s="11">
        <v>44588</v>
      </c>
      <c r="C5288" s="13" t="s">
        <v>1941</v>
      </c>
      <c r="D5288" s="13" t="s">
        <v>6708</v>
      </c>
      <c r="E5288" s="8">
        <v>6672.32</v>
      </c>
      <c r="F5288" s="13" t="s">
        <v>70</v>
      </c>
      <c r="G5288" s="14">
        <v>44592</v>
      </c>
      <c r="H5288" s="13" t="s">
        <v>35</v>
      </c>
    </row>
    <row r="5289" spans="1:8" ht="14.4" x14ac:dyDescent="0.3">
      <c r="A5289" s="8">
        <v>1968632</v>
      </c>
      <c r="B5289" s="11">
        <v>44588</v>
      </c>
      <c r="C5289" s="13" t="s">
        <v>25</v>
      </c>
      <c r="D5289" s="13" t="s">
        <v>6709</v>
      </c>
      <c r="E5289" s="8">
        <v>2839.28</v>
      </c>
      <c r="F5289" s="13" t="s">
        <v>70</v>
      </c>
      <c r="G5289" s="14">
        <v>44592</v>
      </c>
      <c r="H5289" s="13" t="s">
        <v>35</v>
      </c>
    </row>
    <row r="5290" spans="1:8" ht="14.4" x14ac:dyDescent="0.3">
      <c r="A5290" s="8">
        <v>1968633</v>
      </c>
      <c r="B5290" s="11">
        <v>44588</v>
      </c>
      <c r="C5290" s="13" t="s">
        <v>1946</v>
      </c>
      <c r="D5290" s="13" t="s">
        <v>6710</v>
      </c>
      <c r="E5290" s="8">
        <v>20229.91</v>
      </c>
      <c r="F5290" s="13" t="s">
        <v>70</v>
      </c>
      <c r="G5290" s="14">
        <v>44592</v>
      </c>
      <c r="H5290" s="13" t="s">
        <v>35</v>
      </c>
    </row>
    <row r="5291" spans="1:8" ht="14.4" x14ac:dyDescent="0.3">
      <c r="A5291" s="8">
        <v>1968634</v>
      </c>
      <c r="B5291" s="11">
        <v>44588</v>
      </c>
      <c r="C5291" s="13" t="s">
        <v>127</v>
      </c>
      <c r="D5291" s="13" t="s">
        <v>6711</v>
      </c>
      <c r="E5291" s="8">
        <v>11357.15</v>
      </c>
      <c r="F5291" s="13" t="s">
        <v>70</v>
      </c>
      <c r="G5291" s="14">
        <v>44592</v>
      </c>
      <c r="H5291" s="13" t="s">
        <v>35</v>
      </c>
    </row>
    <row r="5292" spans="1:8" ht="14.4" x14ac:dyDescent="0.3">
      <c r="A5292" s="8">
        <v>1968635</v>
      </c>
      <c r="B5292" s="11">
        <v>44588</v>
      </c>
      <c r="C5292" s="13" t="s">
        <v>1784</v>
      </c>
      <c r="D5292" s="13" t="s">
        <v>6712</v>
      </c>
      <c r="E5292" s="8">
        <v>3000</v>
      </c>
      <c r="F5292" s="13" t="s">
        <v>70</v>
      </c>
      <c r="G5292" s="14">
        <v>44599</v>
      </c>
      <c r="H5292" s="13" t="s">
        <v>35</v>
      </c>
    </row>
    <row r="5293" spans="1:8" ht="14.4" x14ac:dyDescent="0.3">
      <c r="A5293" s="8">
        <v>1968636</v>
      </c>
      <c r="B5293" s="11">
        <v>44588</v>
      </c>
      <c r="C5293" s="13" t="s">
        <v>1946</v>
      </c>
      <c r="D5293" s="13" t="s">
        <v>6713</v>
      </c>
      <c r="E5293" s="8">
        <v>26301.24</v>
      </c>
      <c r="F5293" s="13" t="s">
        <v>70</v>
      </c>
      <c r="G5293" s="14">
        <v>44592</v>
      </c>
      <c r="H5293" s="13" t="s">
        <v>35</v>
      </c>
    </row>
    <row r="5294" spans="1:8" ht="14.4" x14ac:dyDescent="0.3">
      <c r="A5294" s="8">
        <v>1968637</v>
      </c>
      <c r="B5294" s="11">
        <v>44588</v>
      </c>
      <c r="C5294" s="13" t="s">
        <v>127</v>
      </c>
      <c r="D5294" s="13" t="s">
        <v>6597</v>
      </c>
      <c r="E5294" s="8">
        <v>8943.74</v>
      </c>
      <c r="F5294" s="13" t="s">
        <v>70</v>
      </c>
      <c r="G5294" s="14">
        <v>44592</v>
      </c>
      <c r="H5294" s="13" t="s">
        <v>35</v>
      </c>
    </row>
    <row r="5295" spans="1:8" ht="14.4" x14ac:dyDescent="0.3">
      <c r="A5295" s="8">
        <v>1968638</v>
      </c>
      <c r="B5295" s="11">
        <v>44588</v>
      </c>
      <c r="C5295" s="13" t="s">
        <v>1946</v>
      </c>
      <c r="D5295" s="13" t="s">
        <v>6714</v>
      </c>
      <c r="E5295" s="8">
        <v>15900</v>
      </c>
      <c r="F5295" s="13" t="s">
        <v>70</v>
      </c>
      <c r="G5295" s="14">
        <v>44592</v>
      </c>
      <c r="H5295" s="13" t="s">
        <v>35</v>
      </c>
    </row>
    <row r="5296" spans="1:8" ht="14.4" x14ac:dyDescent="0.3">
      <c r="A5296" s="8">
        <v>1968639</v>
      </c>
      <c r="B5296" s="11">
        <v>44588</v>
      </c>
      <c r="C5296" s="13" t="s">
        <v>1941</v>
      </c>
      <c r="D5296" s="13" t="s">
        <v>6710</v>
      </c>
      <c r="E5296" s="8">
        <v>36202.410000000003</v>
      </c>
      <c r="F5296" s="13" t="s">
        <v>70</v>
      </c>
      <c r="G5296" s="14">
        <v>44592</v>
      </c>
      <c r="H5296" s="13" t="s">
        <v>35</v>
      </c>
    </row>
    <row r="5297" spans="1:8" ht="14.4" x14ac:dyDescent="0.3">
      <c r="A5297" s="8">
        <v>1968640</v>
      </c>
      <c r="B5297" s="11">
        <v>44588</v>
      </c>
      <c r="C5297" s="13" t="s">
        <v>1946</v>
      </c>
      <c r="D5297" s="13" t="s">
        <v>6715</v>
      </c>
      <c r="E5297" s="8">
        <v>16467.849999999999</v>
      </c>
      <c r="F5297" s="13" t="s">
        <v>70</v>
      </c>
      <c r="G5297" s="14">
        <v>44592</v>
      </c>
      <c r="H5297" s="13" t="s">
        <v>35</v>
      </c>
    </row>
    <row r="5298" spans="1:8" ht="14.4" x14ac:dyDescent="0.3">
      <c r="A5298" s="8">
        <v>1968641</v>
      </c>
      <c r="B5298" s="11">
        <v>44588</v>
      </c>
      <c r="C5298" s="13" t="s">
        <v>259</v>
      </c>
      <c r="D5298" s="13" t="s">
        <v>6716</v>
      </c>
      <c r="E5298" s="8">
        <v>8044.65</v>
      </c>
      <c r="F5298" s="13" t="s">
        <v>70</v>
      </c>
      <c r="G5298" s="14">
        <v>44599</v>
      </c>
      <c r="H5298" s="13" t="s">
        <v>35</v>
      </c>
    </row>
    <row r="5299" spans="1:8" ht="14.4" x14ac:dyDescent="0.3">
      <c r="A5299" s="8">
        <v>1968642</v>
      </c>
      <c r="B5299" s="11">
        <v>44588</v>
      </c>
      <c r="C5299" s="13" t="s">
        <v>127</v>
      </c>
      <c r="D5299" s="13" t="s">
        <v>6717</v>
      </c>
      <c r="E5299" s="8">
        <v>3785.72</v>
      </c>
      <c r="F5299" s="13" t="s">
        <v>70</v>
      </c>
      <c r="G5299" s="14">
        <v>44592</v>
      </c>
      <c r="H5299" s="13" t="s">
        <v>35</v>
      </c>
    </row>
    <row r="5300" spans="1:8" ht="14.4" x14ac:dyDescent="0.3">
      <c r="A5300" s="8">
        <v>1968643</v>
      </c>
      <c r="B5300" s="11">
        <v>44588</v>
      </c>
      <c r="C5300" s="13" t="s">
        <v>6718</v>
      </c>
      <c r="D5300" s="13" t="s">
        <v>6719</v>
      </c>
      <c r="E5300" s="8">
        <v>300000</v>
      </c>
      <c r="F5300" s="13" t="s">
        <v>70</v>
      </c>
      <c r="G5300" s="14">
        <v>44649</v>
      </c>
      <c r="H5300" s="13" t="s">
        <v>35</v>
      </c>
    </row>
    <row r="5301" spans="1:8" ht="14.4" x14ac:dyDescent="0.3">
      <c r="A5301" s="8">
        <v>1968644</v>
      </c>
      <c r="B5301" s="11">
        <v>44588</v>
      </c>
      <c r="C5301" s="13" t="s">
        <v>6720</v>
      </c>
      <c r="D5301" s="13" t="s">
        <v>6721</v>
      </c>
      <c r="E5301" s="8">
        <v>37500</v>
      </c>
      <c r="F5301" s="13" t="s">
        <v>70</v>
      </c>
      <c r="G5301" s="14">
        <v>44600</v>
      </c>
      <c r="H5301" s="13" t="s">
        <v>35</v>
      </c>
    </row>
    <row r="5302" spans="1:8" ht="14.4" x14ac:dyDescent="0.3">
      <c r="A5302" s="8">
        <v>1968645</v>
      </c>
      <c r="B5302" s="11">
        <v>44588</v>
      </c>
      <c r="C5302" s="13" t="s">
        <v>1276</v>
      </c>
      <c r="D5302" s="13" t="s">
        <v>6722</v>
      </c>
      <c r="E5302" s="8">
        <v>29100</v>
      </c>
      <c r="F5302" s="13" t="s">
        <v>70</v>
      </c>
      <c r="G5302" s="14">
        <v>44595</v>
      </c>
      <c r="H5302" s="13" t="s">
        <v>35</v>
      </c>
    </row>
    <row r="5303" spans="1:8" ht="14.4" x14ac:dyDescent="0.3">
      <c r="A5303" s="8">
        <v>1968646</v>
      </c>
      <c r="B5303" s="11">
        <v>44588</v>
      </c>
      <c r="C5303" s="13" t="s">
        <v>50</v>
      </c>
      <c r="D5303" s="13" t="s">
        <v>6723</v>
      </c>
      <c r="E5303" s="8">
        <v>38800</v>
      </c>
      <c r="F5303" s="13" t="s">
        <v>70</v>
      </c>
      <c r="G5303" s="14">
        <v>44594</v>
      </c>
      <c r="H5303" s="13" t="s">
        <v>35</v>
      </c>
    </row>
    <row r="5304" spans="1:8" ht="14.4" x14ac:dyDescent="0.3">
      <c r="A5304" s="8">
        <v>1968647</v>
      </c>
      <c r="B5304" s="11">
        <v>44588</v>
      </c>
      <c r="C5304" s="13" t="s">
        <v>44</v>
      </c>
      <c r="D5304" s="13" t="s">
        <v>6724</v>
      </c>
      <c r="E5304" s="8">
        <v>5886.48</v>
      </c>
      <c r="F5304" s="13" t="s">
        <v>70</v>
      </c>
      <c r="G5304" s="14">
        <v>44592</v>
      </c>
      <c r="H5304" s="13" t="s">
        <v>35</v>
      </c>
    </row>
    <row r="5305" spans="1:8" ht="14.4" x14ac:dyDescent="0.3">
      <c r="A5305" s="8">
        <v>1968648</v>
      </c>
      <c r="B5305" s="11">
        <v>44588</v>
      </c>
      <c r="C5305" s="13" t="s">
        <v>6725</v>
      </c>
      <c r="D5305" s="13" t="s">
        <v>6726</v>
      </c>
      <c r="E5305" s="8">
        <v>1301</v>
      </c>
      <c r="F5305" s="13" t="s">
        <v>70</v>
      </c>
      <c r="G5305" s="14">
        <v>44601</v>
      </c>
      <c r="H5305" s="13" t="s">
        <v>35</v>
      </c>
    </row>
    <row r="5306" spans="1:8" ht="14.4" x14ac:dyDescent="0.3">
      <c r="A5306" s="8">
        <v>1968649</v>
      </c>
      <c r="B5306" s="11">
        <v>44588</v>
      </c>
      <c r="C5306" s="13" t="s">
        <v>4914</v>
      </c>
      <c r="D5306" s="13" t="s">
        <v>6726</v>
      </c>
      <c r="E5306" s="8">
        <v>1931.6</v>
      </c>
      <c r="F5306" s="13" t="s">
        <v>70</v>
      </c>
      <c r="G5306" s="14">
        <v>44601</v>
      </c>
      <c r="H5306" s="13" t="s">
        <v>35</v>
      </c>
    </row>
    <row r="5307" spans="1:8" ht="14.4" x14ac:dyDescent="0.3">
      <c r="A5307" s="8">
        <v>1968650</v>
      </c>
      <c r="B5307" s="11">
        <v>44588</v>
      </c>
      <c r="C5307" s="13" t="s">
        <v>197</v>
      </c>
      <c r="D5307" s="13" t="s">
        <v>6727</v>
      </c>
      <c r="E5307" s="8">
        <v>5100</v>
      </c>
      <c r="F5307" s="13" t="s">
        <v>70</v>
      </c>
      <c r="G5307" s="14">
        <v>44595</v>
      </c>
      <c r="H5307" s="13" t="s">
        <v>35</v>
      </c>
    </row>
    <row r="5308" spans="1:8" ht="14.4" x14ac:dyDescent="0.3">
      <c r="A5308" s="8">
        <v>1968651</v>
      </c>
      <c r="B5308" s="11">
        <v>44588</v>
      </c>
      <c r="C5308" s="13" t="s">
        <v>232</v>
      </c>
      <c r="D5308" s="13" t="s">
        <v>6727</v>
      </c>
      <c r="E5308" s="8">
        <v>6000</v>
      </c>
      <c r="F5308" s="13" t="s">
        <v>70</v>
      </c>
      <c r="G5308" s="14">
        <v>44592</v>
      </c>
      <c r="H5308" s="13" t="s">
        <v>35</v>
      </c>
    </row>
    <row r="5309" spans="1:8" ht="14.4" x14ac:dyDescent="0.3">
      <c r="A5309" s="8">
        <v>1968652</v>
      </c>
      <c r="B5309" s="11">
        <v>44588</v>
      </c>
      <c r="C5309" s="13" t="s">
        <v>6728</v>
      </c>
      <c r="D5309" s="13" t="s">
        <v>6729</v>
      </c>
      <c r="E5309" s="8">
        <v>250383.26</v>
      </c>
      <c r="F5309" s="13" t="s">
        <v>70</v>
      </c>
      <c r="G5309" s="14">
        <v>44592</v>
      </c>
      <c r="H5309" s="13" t="s">
        <v>35</v>
      </c>
    </row>
    <row r="5310" spans="1:8" ht="14.4" x14ac:dyDescent="0.3">
      <c r="A5310" s="8">
        <v>1968653</v>
      </c>
      <c r="B5310" s="11">
        <v>44588</v>
      </c>
      <c r="C5310" s="13" t="s">
        <v>1958</v>
      </c>
      <c r="D5310" s="13" t="s">
        <v>6730</v>
      </c>
      <c r="E5310" s="8">
        <v>1323854.03</v>
      </c>
      <c r="F5310" s="13" t="s">
        <v>70</v>
      </c>
      <c r="G5310" s="14">
        <v>44589</v>
      </c>
      <c r="H5310" s="13" t="s">
        <v>35</v>
      </c>
    </row>
    <row r="5311" spans="1:8" ht="14.4" x14ac:dyDescent="0.3">
      <c r="A5311" s="8">
        <v>1968654</v>
      </c>
      <c r="B5311" s="11">
        <v>44588</v>
      </c>
      <c r="C5311" s="13" t="s">
        <v>1958</v>
      </c>
      <c r="D5311" s="13" t="s">
        <v>6731</v>
      </c>
      <c r="E5311" s="8">
        <v>1323854.03</v>
      </c>
      <c r="F5311" s="13" t="s">
        <v>70</v>
      </c>
      <c r="G5311" s="14">
        <v>44589</v>
      </c>
      <c r="H5311" s="13" t="s">
        <v>35</v>
      </c>
    </row>
    <row r="5312" spans="1:8" ht="14.4" x14ac:dyDescent="0.3">
      <c r="A5312" s="8">
        <v>1968655</v>
      </c>
      <c r="B5312" s="11">
        <v>44588</v>
      </c>
      <c r="C5312" s="13" t="s">
        <v>1941</v>
      </c>
      <c r="D5312" s="13" t="s">
        <v>6732</v>
      </c>
      <c r="E5312" s="8">
        <v>2640.27</v>
      </c>
      <c r="F5312" s="13" t="s">
        <v>70</v>
      </c>
      <c r="G5312" s="14">
        <v>44592</v>
      </c>
      <c r="H5312" s="13" t="s">
        <v>35</v>
      </c>
    </row>
    <row r="5313" spans="1:8" ht="14.4" x14ac:dyDescent="0.3">
      <c r="A5313" s="8">
        <v>1968656</v>
      </c>
      <c r="B5313" s="11">
        <v>44589</v>
      </c>
      <c r="C5313" s="13" t="s">
        <v>245</v>
      </c>
      <c r="D5313" s="13" t="s">
        <v>6446</v>
      </c>
      <c r="E5313" s="8">
        <v>552357.07999999996</v>
      </c>
      <c r="F5313" s="13" t="s">
        <v>70</v>
      </c>
      <c r="G5313" s="14">
        <v>44592</v>
      </c>
      <c r="H5313" s="13" t="s">
        <v>35</v>
      </c>
    </row>
    <row r="5314" spans="1:8" ht="14.4" x14ac:dyDescent="0.3">
      <c r="A5314" s="8">
        <v>1968657</v>
      </c>
      <c r="B5314" s="11">
        <v>44589</v>
      </c>
      <c r="C5314" s="13" t="s">
        <v>1286</v>
      </c>
      <c r="D5314" s="13" t="s">
        <v>6733</v>
      </c>
      <c r="E5314" s="8">
        <v>118306.38</v>
      </c>
      <c r="F5314" s="13" t="s">
        <v>70</v>
      </c>
      <c r="G5314" s="14">
        <v>44592</v>
      </c>
      <c r="H5314" s="13" t="s">
        <v>35</v>
      </c>
    </row>
    <row r="5315" spans="1:8" ht="14.4" x14ac:dyDescent="0.3">
      <c r="A5315" s="8">
        <v>1968658</v>
      </c>
      <c r="B5315" s="11">
        <v>44589</v>
      </c>
      <c r="C5315" s="13" t="s">
        <v>1286</v>
      </c>
      <c r="D5315" s="13" t="s">
        <v>6734</v>
      </c>
      <c r="E5315" s="8">
        <v>132482.57999999999</v>
      </c>
      <c r="F5315" s="13" t="s">
        <v>70</v>
      </c>
      <c r="G5315" s="14">
        <v>44592</v>
      </c>
      <c r="H5315" s="13" t="s">
        <v>35</v>
      </c>
    </row>
    <row r="5316" spans="1:8" ht="14.4" x14ac:dyDescent="0.3">
      <c r="A5316" s="8">
        <v>1968659</v>
      </c>
      <c r="B5316" s="11">
        <v>44589</v>
      </c>
      <c r="C5316" s="13" t="s">
        <v>1286</v>
      </c>
      <c r="D5316" s="13" t="s">
        <v>6478</v>
      </c>
      <c r="E5316" s="8">
        <v>242643.4</v>
      </c>
      <c r="F5316" s="13" t="s">
        <v>70</v>
      </c>
      <c r="G5316" s="14">
        <v>44592</v>
      </c>
      <c r="H5316" s="13" t="s">
        <v>35</v>
      </c>
    </row>
    <row r="5317" spans="1:8" ht="14.4" x14ac:dyDescent="0.3">
      <c r="A5317" s="8">
        <v>1968660</v>
      </c>
      <c r="B5317" s="11">
        <v>44589</v>
      </c>
      <c r="C5317" s="13" t="s">
        <v>2334</v>
      </c>
      <c r="D5317" s="13" t="s">
        <v>6735</v>
      </c>
      <c r="E5317" s="8">
        <v>147200</v>
      </c>
      <c r="F5317" s="13" t="s">
        <v>70</v>
      </c>
      <c r="G5317" s="14">
        <v>44603</v>
      </c>
      <c r="H5317" s="13" t="s">
        <v>35</v>
      </c>
    </row>
    <row r="5318" spans="1:8" ht="14.4" x14ac:dyDescent="0.3">
      <c r="A5318" s="8">
        <v>1968661</v>
      </c>
      <c r="B5318" s="11">
        <v>44589</v>
      </c>
      <c r="C5318" s="13" t="s">
        <v>1286</v>
      </c>
      <c r="D5318" s="13" t="s">
        <v>6736</v>
      </c>
      <c r="E5318" s="8">
        <v>117647.22</v>
      </c>
      <c r="F5318" s="13" t="s">
        <v>70</v>
      </c>
      <c r="G5318" s="14">
        <v>44592</v>
      </c>
      <c r="H5318" s="13" t="s">
        <v>35</v>
      </c>
    </row>
    <row r="5319" spans="1:8" ht="14.4" x14ac:dyDescent="0.3">
      <c r="A5319" s="8">
        <v>1968662</v>
      </c>
      <c r="B5319" s="11">
        <v>44589</v>
      </c>
      <c r="C5319" s="13" t="s">
        <v>1547</v>
      </c>
      <c r="D5319" s="13" t="s">
        <v>6737</v>
      </c>
      <c r="E5319" s="8">
        <v>250383.26</v>
      </c>
      <c r="F5319" s="13" t="s">
        <v>70</v>
      </c>
      <c r="G5319" s="14">
        <v>44592</v>
      </c>
      <c r="H5319" s="13" t="s">
        <v>35</v>
      </c>
    </row>
    <row r="5320" spans="1:8" ht="14.4" x14ac:dyDescent="0.3">
      <c r="A5320" s="8">
        <v>1968663</v>
      </c>
      <c r="B5320" s="11">
        <v>44589</v>
      </c>
      <c r="C5320" s="13" t="s">
        <v>265</v>
      </c>
      <c r="D5320" s="13" t="s">
        <v>6738</v>
      </c>
      <c r="E5320" s="8">
        <v>25955.93</v>
      </c>
      <c r="F5320" s="13" t="s">
        <v>70</v>
      </c>
      <c r="G5320" s="14">
        <v>44592</v>
      </c>
      <c r="H5320" s="13" t="s">
        <v>35</v>
      </c>
    </row>
    <row r="5321" spans="1:8" ht="14.4" x14ac:dyDescent="0.3">
      <c r="A5321" s="8">
        <v>1968664</v>
      </c>
      <c r="B5321" s="11">
        <v>44589</v>
      </c>
      <c r="C5321" s="13" t="s">
        <v>265</v>
      </c>
      <c r="D5321" s="13" t="s">
        <v>6739</v>
      </c>
      <c r="E5321" s="8">
        <v>19470.34</v>
      </c>
      <c r="F5321" s="13" t="s">
        <v>70</v>
      </c>
      <c r="G5321" s="14">
        <v>44592</v>
      </c>
      <c r="H5321" s="13" t="s">
        <v>35</v>
      </c>
    </row>
    <row r="5322" spans="1:8" ht="14.4" x14ac:dyDescent="0.3">
      <c r="A5322" s="8">
        <v>1968665</v>
      </c>
      <c r="B5322" s="11">
        <v>44589</v>
      </c>
      <c r="C5322" s="13" t="s">
        <v>1414</v>
      </c>
      <c r="D5322" s="13" t="s">
        <v>6740</v>
      </c>
      <c r="E5322" s="8">
        <v>475008</v>
      </c>
      <c r="F5322" s="13" t="s">
        <v>70</v>
      </c>
      <c r="G5322" s="14">
        <v>44610</v>
      </c>
      <c r="H5322" s="13" t="s">
        <v>35</v>
      </c>
    </row>
    <row r="5323" spans="1:8" ht="14.4" x14ac:dyDescent="0.3">
      <c r="A5323" s="8">
        <v>1968666</v>
      </c>
      <c r="B5323" s="11">
        <v>44589</v>
      </c>
      <c r="C5323" s="13" t="s">
        <v>159</v>
      </c>
      <c r="D5323" s="13" t="s">
        <v>6741</v>
      </c>
      <c r="E5323" s="8">
        <v>315450</v>
      </c>
      <c r="F5323" s="13" t="s">
        <v>70</v>
      </c>
      <c r="G5323" s="14">
        <v>44592</v>
      </c>
      <c r="H5323" s="13" t="s">
        <v>35</v>
      </c>
    </row>
    <row r="5324" spans="1:8" ht="14.4" x14ac:dyDescent="0.3">
      <c r="A5324" s="8">
        <v>1968667</v>
      </c>
      <c r="B5324" s="11">
        <v>44589</v>
      </c>
      <c r="C5324" s="13" t="s">
        <v>1286</v>
      </c>
      <c r="D5324" s="13" t="s">
        <v>6742</v>
      </c>
      <c r="E5324" s="8">
        <v>6832.26</v>
      </c>
      <c r="F5324" s="13" t="s">
        <v>70</v>
      </c>
      <c r="G5324" s="14">
        <v>44592</v>
      </c>
      <c r="H5324" s="13" t="s">
        <v>35</v>
      </c>
    </row>
    <row r="5325" spans="1:8" ht="14.4" x14ac:dyDescent="0.3">
      <c r="A5325" s="8">
        <v>1968668</v>
      </c>
      <c r="B5325" s="11">
        <v>44589</v>
      </c>
      <c r="C5325" s="13" t="s">
        <v>1286</v>
      </c>
      <c r="D5325" s="13" t="s">
        <v>6743</v>
      </c>
      <c r="E5325" s="8">
        <v>123142.41</v>
      </c>
      <c r="F5325" s="13" t="s">
        <v>70</v>
      </c>
      <c r="G5325" s="14">
        <v>44592</v>
      </c>
      <c r="H5325" s="13" t="s">
        <v>35</v>
      </c>
    </row>
    <row r="5326" spans="1:8" ht="14.4" x14ac:dyDescent="0.3">
      <c r="A5326" s="8">
        <v>1968669</v>
      </c>
      <c r="B5326" s="11">
        <v>44589</v>
      </c>
      <c r="C5326" s="13" t="s">
        <v>2571</v>
      </c>
      <c r="D5326" s="13" t="s">
        <v>6744</v>
      </c>
      <c r="E5326" s="8">
        <v>1648769.78</v>
      </c>
      <c r="F5326" s="13" t="s">
        <v>70</v>
      </c>
      <c r="G5326" s="14">
        <v>44592</v>
      </c>
      <c r="H5326" s="13" t="s">
        <v>35</v>
      </c>
    </row>
    <row r="5327" spans="1:8" ht="14.4" x14ac:dyDescent="0.3">
      <c r="A5327" s="8">
        <v>1968670</v>
      </c>
      <c r="B5327" s="11">
        <v>44589</v>
      </c>
      <c r="C5327" s="13" t="s">
        <v>127</v>
      </c>
      <c r="D5327" s="13" t="s">
        <v>6745</v>
      </c>
      <c r="E5327" s="8">
        <v>142586.75</v>
      </c>
      <c r="F5327" s="13" t="s">
        <v>70</v>
      </c>
      <c r="G5327" s="14">
        <v>44592</v>
      </c>
      <c r="H5327" s="13" t="s">
        <v>35</v>
      </c>
    </row>
    <row r="5328" spans="1:8" ht="14.4" x14ac:dyDescent="0.3">
      <c r="A5328" s="8">
        <v>1968671</v>
      </c>
      <c r="B5328" s="11">
        <v>44589</v>
      </c>
      <c r="C5328" s="13" t="s">
        <v>2571</v>
      </c>
      <c r="D5328" s="13" t="s">
        <v>6746</v>
      </c>
      <c r="E5328" s="8">
        <v>535766.26</v>
      </c>
      <c r="F5328" s="13" t="s">
        <v>70</v>
      </c>
      <c r="G5328" s="14">
        <v>44592</v>
      </c>
      <c r="H5328" s="13" t="s">
        <v>35</v>
      </c>
    </row>
    <row r="5329" spans="1:8" ht="14.4" x14ac:dyDescent="0.3">
      <c r="A5329" s="8">
        <v>1968672</v>
      </c>
      <c r="B5329" s="11">
        <v>44589</v>
      </c>
      <c r="C5329" s="13" t="s">
        <v>3203</v>
      </c>
      <c r="D5329" s="13" t="s">
        <v>6747</v>
      </c>
      <c r="E5329" s="8">
        <v>121117.67</v>
      </c>
      <c r="F5329" s="13" t="s">
        <v>70</v>
      </c>
      <c r="G5329" s="14">
        <v>44607</v>
      </c>
      <c r="H5329" s="13" t="s">
        <v>35</v>
      </c>
    </row>
    <row r="5330" spans="1:8" ht="14.4" x14ac:dyDescent="0.3">
      <c r="A5330" s="8">
        <v>1968673</v>
      </c>
      <c r="B5330" s="11">
        <v>44589</v>
      </c>
      <c r="C5330" s="13" t="s">
        <v>376</v>
      </c>
      <c r="D5330" s="13" t="s">
        <v>6748</v>
      </c>
      <c r="E5330" s="8">
        <v>39396</v>
      </c>
      <c r="F5330" s="13" t="s">
        <v>70</v>
      </c>
      <c r="G5330" s="14">
        <v>44599</v>
      </c>
      <c r="H5330" s="13" t="s">
        <v>35</v>
      </c>
    </row>
    <row r="5331" spans="1:8" ht="14.4" x14ac:dyDescent="0.3">
      <c r="A5331" s="8">
        <v>1968674</v>
      </c>
      <c r="B5331" s="11">
        <v>44589</v>
      </c>
      <c r="C5331" s="13" t="s">
        <v>6749</v>
      </c>
      <c r="D5331" s="13" t="s">
        <v>6750</v>
      </c>
      <c r="E5331" s="8">
        <v>14700</v>
      </c>
      <c r="F5331" s="13" t="s">
        <v>70</v>
      </c>
      <c r="G5331" s="14">
        <v>44592</v>
      </c>
      <c r="H5331" s="13" t="s">
        <v>35</v>
      </c>
    </row>
    <row r="5332" spans="1:8" ht="14.4" x14ac:dyDescent="0.3">
      <c r="A5332" s="8">
        <v>1968675</v>
      </c>
      <c r="B5332" s="11">
        <v>44589</v>
      </c>
      <c r="C5332" s="13" t="s">
        <v>180</v>
      </c>
      <c r="D5332" s="13" t="s">
        <v>6751</v>
      </c>
      <c r="E5332" s="8">
        <v>206121.19</v>
      </c>
      <c r="F5332" s="13" t="s">
        <v>70</v>
      </c>
      <c r="G5332" s="14">
        <v>44592</v>
      </c>
      <c r="H5332" s="13" t="s">
        <v>35</v>
      </c>
    </row>
    <row r="5333" spans="1:8" ht="14.4" x14ac:dyDescent="0.3">
      <c r="A5333" s="8">
        <v>1968676</v>
      </c>
      <c r="B5333" s="11">
        <v>44589</v>
      </c>
      <c r="C5333" s="13" t="s">
        <v>3434</v>
      </c>
      <c r="D5333" s="13" t="s">
        <v>6752</v>
      </c>
      <c r="E5333" s="8">
        <v>150</v>
      </c>
      <c r="F5333" s="13" t="s">
        <v>70</v>
      </c>
      <c r="G5333" s="14">
        <v>44596</v>
      </c>
      <c r="H5333" s="13" t="s">
        <v>35</v>
      </c>
    </row>
    <row r="5334" spans="1:8" ht="14.4" x14ac:dyDescent="0.3">
      <c r="A5334" s="8">
        <v>1968677</v>
      </c>
      <c r="B5334" s="11">
        <v>44589</v>
      </c>
      <c r="C5334" s="13" t="s">
        <v>3434</v>
      </c>
      <c r="D5334" s="13" t="s">
        <v>6753</v>
      </c>
      <c r="E5334" s="8">
        <v>456</v>
      </c>
      <c r="F5334" s="13" t="s">
        <v>70</v>
      </c>
      <c r="G5334" s="14">
        <v>44596</v>
      </c>
      <c r="H5334" s="13" t="s">
        <v>35</v>
      </c>
    </row>
    <row r="5335" spans="1:8" ht="14.4" x14ac:dyDescent="0.3">
      <c r="A5335" s="8">
        <v>1968678</v>
      </c>
      <c r="B5335" s="11">
        <v>44589</v>
      </c>
      <c r="C5335" s="13" t="s">
        <v>6388</v>
      </c>
      <c r="D5335" s="13" t="s">
        <v>6754</v>
      </c>
      <c r="E5335" s="8">
        <v>90000</v>
      </c>
      <c r="F5335" s="13" t="s">
        <v>70</v>
      </c>
      <c r="G5335" s="14">
        <v>44603</v>
      </c>
      <c r="H5335" s="13" t="s">
        <v>35</v>
      </c>
    </row>
    <row r="5336" spans="1:8" ht="14.4" x14ac:dyDescent="0.3">
      <c r="A5336" s="8">
        <v>1968679</v>
      </c>
      <c r="B5336" s="11">
        <v>44589</v>
      </c>
      <c r="C5336" s="13" t="s">
        <v>1033</v>
      </c>
      <c r="D5336" s="13" t="s">
        <v>6755</v>
      </c>
      <c r="E5336" s="8">
        <v>29100</v>
      </c>
      <c r="F5336" s="13" t="s">
        <v>70</v>
      </c>
      <c r="G5336" s="14">
        <v>44594</v>
      </c>
      <c r="H5336" s="13" t="s">
        <v>35</v>
      </c>
    </row>
    <row r="5337" spans="1:8" ht="14.4" x14ac:dyDescent="0.3">
      <c r="A5337" s="8">
        <v>1968680</v>
      </c>
      <c r="B5337" s="11">
        <v>44589</v>
      </c>
      <c r="C5337" s="13" t="s">
        <v>153</v>
      </c>
      <c r="D5337" s="13" t="s">
        <v>6756</v>
      </c>
      <c r="E5337" s="8">
        <v>57606.5</v>
      </c>
      <c r="F5337" s="13" t="s">
        <v>70</v>
      </c>
      <c r="G5337" s="14">
        <v>44596</v>
      </c>
      <c r="H5337" s="13" t="s">
        <v>35</v>
      </c>
    </row>
    <row r="5338" spans="1:8" ht="14.4" x14ac:dyDescent="0.3">
      <c r="A5338" s="8">
        <v>1968681</v>
      </c>
      <c r="B5338" s="11">
        <v>44589</v>
      </c>
      <c r="C5338" s="13" t="s">
        <v>265</v>
      </c>
      <c r="D5338" s="13" t="s">
        <v>6757</v>
      </c>
      <c r="E5338" s="8">
        <v>66612</v>
      </c>
      <c r="F5338" s="13" t="s">
        <v>70</v>
      </c>
      <c r="G5338" s="14">
        <v>44594</v>
      </c>
      <c r="H5338" s="13" t="s">
        <v>35</v>
      </c>
    </row>
    <row r="5339" spans="1:8" ht="14.4" x14ac:dyDescent="0.3">
      <c r="A5339" s="8">
        <v>1968682</v>
      </c>
      <c r="B5339" s="11">
        <v>44589</v>
      </c>
      <c r="C5339" s="13" t="s">
        <v>152</v>
      </c>
      <c r="D5339" s="13" t="s">
        <v>6758</v>
      </c>
      <c r="E5339" s="8">
        <v>31300</v>
      </c>
      <c r="F5339" s="13" t="s">
        <v>70</v>
      </c>
      <c r="G5339" s="14">
        <v>44595</v>
      </c>
      <c r="H5339" s="13" t="s">
        <v>35</v>
      </c>
    </row>
    <row r="5340" spans="1:8" ht="14.4" x14ac:dyDescent="0.3">
      <c r="A5340" s="8">
        <v>1968683</v>
      </c>
      <c r="B5340" s="11">
        <v>44589</v>
      </c>
      <c r="C5340" s="13" t="s">
        <v>1322</v>
      </c>
      <c r="D5340" s="13" t="s">
        <v>6759</v>
      </c>
      <c r="E5340" s="8">
        <v>333.68</v>
      </c>
      <c r="F5340" s="13" t="s">
        <v>70</v>
      </c>
      <c r="G5340" s="14">
        <v>44610</v>
      </c>
      <c r="H5340" s="13" t="s">
        <v>35</v>
      </c>
    </row>
    <row r="5341" spans="1:8" ht="14.4" x14ac:dyDescent="0.3">
      <c r="A5341" s="8">
        <v>1968684</v>
      </c>
      <c r="B5341" s="11">
        <v>44589</v>
      </c>
      <c r="C5341" s="13" t="s">
        <v>217</v>
      </c>
      <c r="D5341" s="13" t="s">
        <v>6760</v>
      </c>
      <c r="E5341" s="8">
        <v>221246.61</v>
      </c>
      <c r="F5341" s="13" t="s">
        <v>70</v>
      </c>
      <c r="G5341" s="14">
        <v>44600</v>
      </c>
      <c r="H5341" s="13" t="s">
        <v>35</v>
      </c>
    </row>
    <row r="5342" spans="1:8" ht="14.4" x14ac:dyDescent="0.3">
      <c r="A5342" s="8">
        <v>1968685</v>
      </c>
      <c r="B5342" s="11">
        <v>44592</v>
      </c>
      <c r="C5342" s="13" t="s">
        <v>6388</v>
      </c>
      <c r="D5342" s="13" t="s">
        <v>6761</v>
      </c>
      <c r="E5342" s="8">
        <v>190000</v>
      </c>
      <c r="F5342" s="13" t="s">
        <v>70</v>
      </c>
      <c r="G5342" s="14">
        <v>44603</v>
      </c>
      <c r="H5342" s="13" t="s">
        <v>35</v>
      </c>
    </row>
    <row r="5343" spans="1:8" ht="14.4" x14ac:dyDescent="0.3">
      <c r="A5343" s="8">
        <v>1968686</v>
      </c>
      <c r="B5343" s="11">
        <v>44592</v>
      </c>
      <c r="C5343" s="13" t="s">
        <v>6762</v>
      </c>
      <c r="D5343" s="13" t="s">
        <v>6763</v>
      </c>
      <c r="E5343" s="8">
        <v>350000</v>
      </c>
      <c r="F5343" s="13" t="s">
        <v>70</v>
      </c>
      <c r="G5343" s="14">
        <v>44595</v>
      </c>
      <c r="H5343" s="13" t="s">
        <v>35</v>
      </c>
    </row>
    <row r="5344" spans="1:8" ht="14.4" x14ac:dyDescent="0.3">
      <c r="A5344" s="8">
        <v>1968687</v>
      </c>
      <c r="B5344" s="11">
        <v>44592</v>
      </c>
      <c r="C5344" s="13" t="s">
        <v>265</v>
      </c>
      <c r="D5344" s="13" t="s">
        <v>6764</v>
      </c>
      <c r="E5344" s="8">
        <v>124878.55</v>
      </c>
      <c r="F5344" s="13" t="s">
        <v>70</v>
      </c>
      <c r="G5344" s="14">
        <v>44594</v>
      </c>
      <c r="H5344" s="13" t="s">
        <v>35</v>
      </c>
    </row>
    <row r="5345" spans="1:8" ht="14.4" x14ac:dyDescent="0.3">
      <c r="A5345" s="8">
        <v>1968688</v>
      </c>
      <c r="B5345" s="11">
        <v>44592</v>
      </c>
      <c r="C5345" s="13" t="s">
        <v>963</v>
      </c>
      <c r="D5345" s="13" t="s">
        <v>6765</v>
      </c>
      <c r="E5345" s="8">
        <v>10000</v>
      </c>
      <c r="F5345" s="13" t="s">
        <v>70</v>
      </c>
      <c r="G5345" s="14">
        <v>44599</v>
      </c>
      <c r="H5345" s="13" t="s">
        <v>35</v>
      </c>
    </row>
    <row r="5346" spans="1:8" ht="14.4" x14ac:dyDescent="0.3">
      <c r="A5346" s="8">
        <v>1968689</v>
      </c>
      <c r="B5346" s="11">
        <v>44592</v>
      </c>
      <c r="C5346" s="13" t="s">
        <v>6766</v>
      </c>
      <c r="D5346" s="13" t="s">
        <v>6767</v>
      </c>
      <c r="E5346" s="8">
        <v>20000</v>
      </c>
      <c r="F5346" s="13" t="s">
        <v>70</v>
      </c>
      <c r="G5346" s="14">
        <v>44596</v>
      </c>
      <c r="H5346" s="13" t="s">
        <v>35</v>
      </c>
    </row>
    <row r="5347" spans="1:8" ht="14.4" x14ac:dyDescent="0.3">
      <c r="A5347" s="8">
        <v>1968690</v>
      </c>
      <c r="B5347" s="11">
        <v>44592</v>
      </c>
      <c r="C5347" s="13" t="s">
        <v>6768</v>
      </c>
      <c r="D5347" s="13" t="s">
        <v>6769</v>
      </c>
      <c r="E5347" s="8">
        <v>6000</v>
      </c>
      <c r="F5347" s="13" t="s">
        <v>70</v>
      </c>
      <c r="G5347" s="14">
        <v>44608</v>
      </c>
      <c r="H5347" s="13" t="s">
        <v>35</v>
      </c>
    </row>
    <row r="5348" spans="1:8" ht="14.4" x14ac:dyDescent="0.3">
      <c r="A5348" s="8">
        <v>1968691</v>
      </c>
      <c r="B5348" s="11">
        <v>44592</v>
      </c>
      <c r="C5348" s="13" t="s">
        <v>653</v>
      </c>
      <c r="D5348" s="13" t="s">
        <v>6770</v>
      </c>
      <c r="E5348" s="8">
        <v>6000</v>
      </c>
      <c r="F5348" s="13" t="s">
        <v>70</v>
      </c>
      <c r="G5348" s="14">
        <v>44596</v>
      </c>
      <c r="H5348" s="13" t="s">
        <v>35</v>
      </c>
    </row>
    <row r="5349" spans="1:8" ht="14.4" x14ac:dyDescent="0.3">
      <c r="A5349" s="8">
        <v>1968692</v>
      </c>
      <c r="B5349" s="11">
        <v>44592</v>
      </c>
      <c r="C5349" s="13" t="s">
        <v>661</v>
      </c>
      <c r="D5349" s="13" t="s">
        <v>6771</v>
      </c>
      <c r="E5349" s="8">
        <v>4000</v>
      </c>
      <c r="F5349" s="13" t="s">
        <v>70</v>
      </c>
      <c r="G5349" s="14">
        <v>44596</v>
      </c>
      <c r="H5349" s="13" t="s">
        <v>35</v>
      </c>
    </row>
    <row r="5350" spans="1:8" ht="14.4" x14ac:dyDescent="0.3">
      <c r="A5350" s="8">
        <v>1968693</v>
      </c>
      <c r="B5350" s="11">
        <v>44592</v>
      </c>
      <c r="C5350" s="13" t="s">
        <v>6772</v>
      </c>
      <c r="D5350" s="13" t="s">
        <v>6773</v>
      </c>
      <c r="E5350" s="8">
        <v>6000</v>
      </c>
      <c r="F5350" s="13" t="s">
        <v>70</v>
      </c>
      <c r="G5350" s="14">
        <v>44596</v>
      </c>
      <c r="H5350" s="13" t="s">
        <v>35</v>
      </c>
    </row>
    <row r="5351" spans="1:8" ht="14.4" x14ac:dyDescent="0.3">
      <c r="A5351" s="8">
        <v>1968694</v>
      </c>
      <c r="B5351" s="11">
        <v>44592</v>
      </c>
      <c r="C5351" s="13" t="s">
        <v>6774</v>
      </c>
      <c r="D5351" s="13" t="s">
        <v>6775</v>
      </c>
      <c r="E5351" s="8">
        <v>2000</v>
      </c>
      <c r="F5351" s="13" t="s">
        <v>70</v>
      </c>
      <c r="G5351" s="14">
        <v>44596</v>
      </c>
      <c r="H5351" s="13" t="s">
        <v>35</v>
      </c>
    </row>
    <row r="5352" spans="1:8" ht="14.4" x14ac:dyDescent="0.3">
      <c r="A5352" s="8">
        <v>1968695</v>
      </c>
      <c r="B5352" s="11">
        <v>44592</v>
      </c>
      <c r="C5352" s="13" t="s">
        <v>6776</v>
      </c>
      <c r="D5352" s="13" t="s">
        <v>6777</v>
      </c>
      <c r="E5352" s="8">
        <v>2000</v>
      </c>
      <c r="F5352" s="13" t="s">
        <v>70</v>
      </c>
      <c r="G5352" s="14">
        <v>44596</v>
      </c>
      <c r="H5352" s="13" t="s">
        <v>35</v>
      </c>
    </row>
    <row r="5353" spans="1:8" ht="14.4" x14ac:dyDescent="0.3">
      <c r="A5353" s="8">
        <v>1968696</v>
      </c>
      <c r="B5353" s="11">
        <v>44592</v>
      </c>
      <c r="C5353" s="13" t="s">
        <v>6778</v>
      </c>
      <c r="D5353" s="13" t="s">
        <v>6779</v>
      </c>
      <c r="E5353" s="8">
        <v>10000</v>
      </c>
      <c r="F5353" s="13" t="s">
        <v>70</v>
      </c>
      <c r="G5353" s="14">
        <v>44596</v>
      </c>
      <c r="H5353" s="13" t="s">
        <v>35</v>
      </c>
    </row>
    <row r="5354" spans="1:8" ht="14.4" x14ac:dyDescent="0.3">
      <c r="A5354" s="8">
        <v>1968697</v>
      </c>
      <c r="B5354" s="11">
        <v>44592</v>
      </c>
      <c r="C5354" s="13" t="s">
        <v>6780</v>
      </c>
      <c r="D5354" s="13" t="s">
        <v>6781</v>
      </c>
      <c r="E5354" s="8">
        <v>6000</v>
      </c>
      <c r="F5354" s="13" t="s">
        <v>70</v>
      </c>
      <c r="G5354" s="14">
        <v>44596</v>
      </c>
      <c r="H5354" s="13" t="s">
        <v>35</v>
      </c>
    </row>
    <row r="5355" spans="1:8" ht="14.4" x14ac:dyDescent="0.3">
      <c r="A5355" s="8">
        <v>1968698</v>
      </c>
      <c r="B5355" s="11">
        <v>44592</v>
      </c>
      <c r="C5355" s="13" t="s">
        <v>6782</v>
      </c>
      <c r="D5355" s="13" t="s">
        <v>6783</v>
      </c>
      <c r="E5355" s="8">
        <v>6000</v>
      </c>
      <c r="F5355" s="13" t="s">
        <v>70</v>
      </c>
      <c r="G5355" s="14">
        <v>44599</v>
      </c>
      <c r="H5355" s="13" t="s">
        <v>35</v>
      </c>
    </row>
    <row r="5356" spans="1:8" ht="14.4" x14ac:dyDescent="0.3">
      <c r="A5356" s="8">
        <v>1968699</v>
      </c>
      <c r="B5356" s="11">
        <v>44592</v>
      </c>
      <c r="C5356" s="13" t="s">
        <v>6784</v>
      </c>
      <c r="D5356" s="13" t="s">
        <v>6785</v>
      </c>
      <c r="E5356" s="8">
        <v>6000</v>
      </c>
      <c r="F5356" s="13" t="s">
        <v>70</v>
      </c>
      <c r="G5356" s="14">
        <v>44596</v>
      </c>
      <c r="H5356" s="13" t="s">
        <v>35</v>
      </c>
    </row>
    <row r="5357" spans="1:8" ht="14.4" x14ac:dyDescent="0.3">
      <c r="A5357" s="8">
        <v>1968700</v>
      </c>
      <c r="B5357" s="11">
        <v>44592</v>
      </c>
      <c r="C5357" s="13" t="s">
        <v>6786</v>
      </c>
      <c r="D5357" s="13" t="s">
        <v>6787</v>
      </c>
      <c r="E5357" s="8">
        <v>6000</v>
      </c>
      <c r="F5357" s="13" t="s">
        <v>70</v>
      </c>
      <c r="G5357" s="14">
        <v>44619</v>
      </c>
      <c r="H5357" s="13" t="s">
        <v>35</v>
      </c>
    </row>
    <row r="5358" spans="1:8" ht="14.4" x14ac:dyDescent="0.3">
      <c r="A5358" s="8">
        <v>1968701</v>
      </c>
      <c r="B5358" s="11">
        <v>44592</v>
      </c>
      <c r="C5358" s="13" t="s">
        <v>6788</v>
      </c>
      <c r="D5358" s="13" t="s">
        <v>6789</v>
      </c>
      <c r="E5358" s="8">
        <v>6000</v>
      </c>
      <c r="F5358" s="13" t="s">
        <v>70</v>
      </c>
      <c r="G5358" s="14">
        <v>44596</v>
      </c>
      <c r="H5358" s="13" t="s">
        <v>35</v>
      </c>
    </row>
    <row r="5359" spans="1:8" ht="14.4" x14ac:dyDescent="0.3">
      <c r="A5359" s="8">
        <v>1968702</v>
      </c>
      <c r="B5359" s="11">
        <v>44592</v>
      </c>
      <c r="C5359" s="13" t="s">
        <v>6790</v>
      </c>
      <c r="D5359" s="13" t="s">
        <v>6791</v>
      </c>
      <c r="E5359" s="8">
        <v>6000</v>
      </c>
      <c r="F5359" s="13" t="s">
        <v>70</v>
      </c>
      <c r="G5359" s="14">
        <v>44596</v>
      </c>
      <c r="H5359" s="13" t="s">
        <v>35</v>
      </c>
    </row>
    <row r="5360" spans="1:8" ht="14.4" x14ac:dyDescent="0.3">
      <c r="A5360" s="8">
        <v>1968703</v>
      </c>
      <c r="B5360" s="11">
        <v>44592</v>
      </c>
      <c r="C5360" s="13" t="s">
        <v>6792</v>
      </c>
      <c r="D5360" s="13" t="s">
        <v>6793</v>
      </c>
      <c r="E5360" s="8">
        <v>20000</v>
      </c>
      <c r="F5360" s="13" t="s">
        <v>70</v>
      </c>
      <c r="G5360" s="14">
        <v>44596</v>
      </c>
      <c r="H5360" s="13" t="s">
        <v>35</v>
      </c>
    </row>
    <row r="5361" spans="1:8" ht="14.4" x14ac:dyDescent="0.3">
      <c r="A5361" s="8">
        <v>1968704</v>
      </c>
      <c r="B5361" s="11">
        <v>44592</v>
      </c>
      <c r="C5361" s="13" t="s">
        <v>6794</v>
      </c>
      <c r="D5361" s="13" t="s">
        <v>6795</v>
      </c>
      <c r="E5361" s="8">
        <v>6000</v>
      </c>
      <c r="F5361" s="13" t="s">
        <v>70</v>
      </c>
      <c r="G5361" s="14">
        <v>44596</v>
      </c>
      <c r="H5361" s="13" t="s">
        <v>35</v>
      </c>
    </row>
    <row r="5362" spans="1:8" ht="14.4" x14ac:dyDescent="0.3">
      <c r="A5362" s="8">
        <v>1968705</v>
      </c>
      <c r="B5362" s="11">
        <v>44592</v>
      </c>
      <c r="C5362" s="13" t="s">
        <v>6796</v>
      </c>
      <c r="D5362" s="13" t="s">
        <v>6797</v>
      </c>
      <c r="E5362" s="8">
        <v>6000</v>
      </c>
      <c r="F5362" s="13" t="s">
        <v>70</v>
      </c>
      <c r="G5362" s="14">
        <v>44596</v>
      </c>
      <c r="H5362" s="13" t="s">
        <v>35</v>
      </c>
    </row>
    <row r="5363" spans="1:8" ht="14.4" x14ac:dyDescent="0.3">
      <c r="A5363" s="8">
        <v>1968706</v>
      </c>
      <c r="B5363" s="11">
        <v>44592</v>
      </c>
      <c r="C5363" s="13" t="s">
        <v>6798</v>
      </c>
      <c r="D5363" s="13" t="s">
        <v>6799</v>
      </c>
      <c r="E5363" s="8">
        <v>20000</v>
      </c>
      <c r="F5363" s="13" t="s">
        <v>70</v>
      </c>
      <c r="G5363" s="14">
        <v>44599</v>
      </c>
      <c r="H5363" s="13" t="s">
        <v>35</v>
      </c>
    </row>
    <row r="5364" spans="1:8" ht="14.4" x14ac:dyDescent="0.3">
      <c r="A5364" s="8">
        <v>1968707</v>
      </c>
      <c r="B5364" s="11">
        <v>44592</v>
      </c>
      <c r="C5364" s="13" t="s">
        <v>6800</v>
      </c>
      <c r="D5364" s="13" t="s">
        <v>6801</v>
      </c>
      <c r="E5364" s="8">
        <v>20000</v>
      </c>
      <c r="F5364" s="13" t="s">
        <v>70</v>
      </c>
      <c r="G5364" s="14">
        <v>44596</v>
      </c>
      <c r="H5364" s="13" t="s">
        <v>35</v>
      </c>
    </row>
    <row r="5365" spans="1:8" ht="14.4" x14ac:dyDescent="0.3">
      <c r="A5365" s="8">
        <v>1968708</v>
      </c>
      <c r="B5365" s="11">
        <v>44592</v>
      </c>
      <c r="C5365" s="13" t="s">
        <v>6802</v>
      </c>
      <c r="D5365" s="13" t="s">
        <v>6803</v>
      </c>
      <c r="E5365" s="8">
        <v>8000</v>
      </c>
      <c r="F5365" s="13" t="s">
        <v>70</v>
      </c>
      <c r="G5365" s="14">
        <v>44596</v>
      </c>
      <c r="H5365" s="13" t="s">
        <v>35</v>
      </c>
    </row>
    <row r="5366" spans="1:8" ht="14.4" x14ac:dyDescent="0.3">
      <c r="A5366" s="8">
        <v>1968709</v>
      </c>
      <c r="B5366" s="11">
        <v>44592</v>
      </c>
      <c r="C5366" s="13" t="s">
        <v>6804</v>
      </c>
      <c r="D5366" s="13" t="s">
        <v>6805</v>
      </c>
      <c r="E5366" s="8">
        <v>8000</v>
      </c>
      <c r="F5366" s="13" t="s">
        <v>70</v>
      </c>
      <c r="G5366" s="14">
        <v>44596</v>
      </c>
      <c r="H5366" s="13" t="s">
        <v>35</v>
      </c>
    </row>
    <row r="5367" spans="1:8" ht="14.4" x14ac:dyDescent="0.3">
      <c r="A5367" s="8">
        <v>1968710</v>
      </c>
      <c r="B5367" s="11">
        <v>44592</v>
      </c>
      <c r="C5367" s="13" t="s">
        <v>635</v>
      </c>
      <c r="D5367" s="13" t="s">
        <v>6806</v>
      </c>
      <c r="E5367" s="8">
        <v>10000</v>
      </c>
      <c r="F5367" s="13" t="s">
        <v>70</v>
      </c>
      <c r="G5367" s="14">
        <v>44595</v>
      </c>
      <c r="H5367" s="13" t="s">
        <v>35</v>
      </c>
    </row>
    <row r="5368" spans="1:8" ht="14.4" x14ac:dyDescent="0.3">
      <c r="A5368" s="8">
        <v>1968711</v>
      </c>
      <c r="B5368" s="11">
        <v>44592</v>
      </c>
      <c r="C5368" s="13" t="s">
        <v>6807</v>
      </c>
      <c r="D5368" s="13" t="s">
        <v>6808</v>
      </c>
      <c r="E5368" s="8">
        <v>14000</v>
      </c>
      <c r="F5368" s="13" t="s">
        <v>70</v>
      </c>
      <c r="G5368" s="14">
        <v>44596</v>
      </c>
      <c r="H5368" s="13" t="s">
        <v>35</v>
      </c>
    </row>
    <row r="5369" spans="1:8" ht="14.4" x14ac:dyDescent="0.3">
      <c r="A5369" s="8">
        <v>1968712</v>
      </c>
      <c r="B5369" s="11">
        <v>44592</v>
      </c>
      <c r="C5369" s="13" t="s">
        <v>6809</v>
      </c>
      <c r="D5369" s="13" t="s">
        <v>6810</v>
      </c>
      <c r="E5369" s="8">
        <v>2000</v>
      </c>
      <c r="F5369" s="13" t="s">
        <v>70</v>
      </c>
      <c r="G5369" s="14">
        <v>44596</v>
      </c>
      <c r="H5369" s="13" t="s">
        <v>35</v>
      </c>
    </row>
    <row r="5370" spans="1:8" ht="14.4" x14ac:dyDescent="0.3">
      <c r="A5370" s="8">
        <v>1968713</v>
      </c>
      <c r="B5370" s="11">
        <v>44592</v>
      </c>
      <c r="C5370" s="13" t="s">
        <v>6811</v>
      </c>
      <c r="D5370" s="13" t="s">
        <v>6812</v>
      </c>
      <c r="E5370" s="8">
        <v>2000</v>
      </c>
      <c r="F5370" s="13" t="s">
        <v>70</v>
      </c>
      <c r="G5370" s="14">
        <v>44596</v>
      </c>
      <c r="H5370" s="13" t="s">
        <v>35</v>
      </c>
    </row>
    <row r="5371" spans="1:8" ht="14.4" x14ac:dyDescent="0.3">
      <c r="A5371" s="8">
        <v>1968714</v>
      </c>
      <c r="B5371" s="11">
        <v>44592</v>
      </c>
      <c r="C5371" s="13" t="s">
        <v>6813</v>
      </c>
      <c r="D5371" s="13" t="s">
        <v>6814</v>
      </c>
      <c r="E5371" s="8">
        <v>8000</v>
      </c>
      <c r="F5371" s="13" t="s">
        <v>70</v>
      </c>
      <c r="G5371" s="14">
        <v>44596</v>
      </c>
      <c r="H5371" s="13" t="s">
        <v>35</v>
      </c>
    </row>
    <row r="5372" spans="1:8" ht="14.4" x14ac:dyDescent="0.3">
      <c r="A5372" s="8">
        <v>1968715</v>
      </c>
      <c r="B5372" s="11">
        <v>44592</v>
      </c>
      <c r="C5372" s="13" t="s">
        <v>6815</v>
      </c>
      <c r="D5372" s="13" t="s">
        <v>6816</v>
      </c>
      <c r="E5372" s="8">
        <v>2000</v>
      </c>
      <c r="F5372" s="13" t="s">
        <v>70</v>
      </c>
      <c r="G5372" s="14">
        <v>44596</v>
      </c>
      <c r="H5372" s="13" t="s">
        <v>35</v>
      </c>
    </row>
    <row r="5373" spans="1:8" ht="14.4" x14ac:dyDescent="0.3">
      <c r="A5373" s="8">
        <v>1968716</v>
      </c>
      <c r="B5373" s="11">
        <v>44592</v>
      </c>
      <c r="C5373" s="13" t="s">
        <v>6817</v>
      </c>
      <c r="D5373" s="13" t="s">
        <v>6818</v>
      </c>
      <c r="E5373" s="8">
        <v>4000</v>
      </c>
      <c r="F5373" s="13" t="s">
        <v>70</v>
      </c>
      <c r="G5373" s="14">
        <v>44596</v>
      </c>
      <c r="H5373" s="13" t="s">
        <v>35</v>
      </c>
    </row>
    <row r="5374" spans="1:8" ht="14.4" x14ac:dyDescent="0.3">
      <c r="A5374" s="8">
        <v>1968717</v>
      </c>
      <c r="B5374" s="11">
        <v>44592</v>
      </c>
      <c r="C5374" s="13" t="s">
        <v>6819</v>
      </c>
      <c r="D5374" s="13" t="s">
        <v>6820</v>
      </c>
      <c r="E5374" s="8">
        <v>6000</v>
      </c>
      <c r="F5374" s="13" t="s">
        <v>70</v>
      </c>
      <c r="G5374" s="14">
        <v>44596</v>
      </c>
      <c r="H5374" s="13" t="s">
        <v>35</v>
      </c>
    </row>
    <row r="5375" spans="1:8" ht="14.4" x14ac:dyDescent="0.3">
      <c r="A5375" s="8">
        <v>1968718</v>
      </c>
      <c r="B5375" s="11">
        <v>44592</v>
      </c>
      <c r="C5375" s="13" t="s">
        <v>6821</v>
      </c>
      <c r="D5375" s="13" t="s">
        <v>6822</v>
      </c>
      <c r="E5375" s="8">
        <v>4000</v>
      </c>
      <c r="F5375" s="13" t="s">
        <v>70</v>
      </c>
      <c r="G5375" s="14">
        <v>44606</v>
      </c>
      <c r="H5375" s="13" t="s">
        <v>35</v>
      </c>
    </row>
    <row r="5376" spans="1:8" ht="14.4" x14ac:dyDescent="0.3">
      <c r="A5376" s="8">
        <v>1968719</v>
      </c>
      <c r="B5376" s="11">
        <v>44592</v>
      </c>
      <c r="C5376" s="13" t="s">
        <v>6823</v>
      </c>
      <c r="D5376" s="13" t="s">
        <v>6824</v>
      </c>
      <c r="E5376" s="8">
        <v>50000</v>
      </c>
      <c r="F5376" s="13" t="s">
        <v>70</v>
      </c>
      <c r="G5376" s="14">
        <v>44601</v>
      </c>
      <c r="H5376" s="13" t="s">
        <v>35</v>
      </c>
    </row>
    <row r="5377" spans="1:8" ht="14.4" x14ac:dyDescent="0.3">
      <c r="A5377" s="8">
        <v>1968720</v>
      </c>
      <c r="B5377" s="11">
        <v>44592</v>
      </c>
      <c r="C5377" s="13" t="s">
        <v>6825</v>
      </c>
      <c r="D5377" s="13" t="s">
        <v>6826</v>
      </c>
      <c r="E5377" s="8">
        <v>50000</v>
      </c>
      <c r="F5377" s="13" t="s">
        <v>70</v>
      </c>
      <c r="G5377" s="14">
        <v>44596</v>
      </c>
      <c r="H5377" s="13" t="s">
        <v>35</v>
      </c>
    </row>
    <row r="5378" spans="1:8" ht="14.4" x14ac:dyDescent="0.3">
      <c r="A5378" s="8">
        <v>1968721</v>
      </c>
      <c r="B5378" s="11">
        <v>44592</v>
      </c>
      <c r="C5378" s="13" t="s">
        <v>6827</v>
      </c>
      <c r="D5378" s="13" t="s">
        <v>6828</v>
      </c>
      <c r="E5378" s="8">
        <v>30000</v>
      </c>
      <c r="F5378" s="13" t="s">
        <v>70</v>
      </c>
      <c r="G5378" s="14">
        <v>44596</v>
      </c>
      <c r="H5378" s="13" t="s">
        <v>35</v>
      </c>
    </row>
    <row r="5379" spans="1:8" ht="14.4" x14ac:dyDescent="0.3">
      <c r="A5379" s="8">
        <v>1968722</v>
      </c>
      <c r="B5379" s="11">
        <v>44592</v>
      </c>
      <c r="C5379" s="13" t="s">
        <v>6829</v>
      </c>
      <c r="D5379" s="13" t="s">
        <v>6830</v>
      </c>
      <c r="E5379" s="8">
        <v>6000</v>
      </c>
      <c r="F5379" s="13" t="s">
        <v>70</v>
      </c>
      <c r="G5379" s="14">
        <v>44622</v>
      </c>
      <c r="H5379" s="13" t="s">
        <v>35</v>
      </c>
    </row>
    <row r="5380" spans="1:8" ht="14.4" x14ac:dyDescent="0.3">
      <c r="A5380" s="8">
        <v>1968723</v>
      </c>
      <c r="B5380" s="11">
        <v>44592</v>
      </c>
      <c r="C5380" s="13" t="s">
        <v>910</v>
      </c>
      <c r="D5380" s="13" t="s">
        <v>6831</v>
      </c>
      <c r="E5380" s="8">
        <v>6000</v>
      </c>
      <c r="F5380" s="13" t="s">
        <v>70</v>
      </c>
      <c r="G5380" s="14">
        <v>44595</v>
      </c>
      <c r="H5380" s="13" t="s">
        <v>35</v>
      </c>
    </row>
    <row r="5381" spans="1:8" ht="14.4" x14ac:dyDescent="0.3">
      <c r="A5381" s="8">
        <v>1968724</v>
      </c>
      <c r="B5381" s="11">
        <v>44592</v>
      </c>
      <c r="C5381" s="13" t="s">
        <v>6832</v>
      </c>
      <c r="D5381" s="13" t="s">
        <v>6833</v>
      </c>
      <c r="E5381" s="8">
        <v>10000</v>
      </c>
      <c r="F5381" s="13" t="s">
        <v>70</v>
      </c>
      <c r="G5381" s="14">
        <v>44644</v>
      </c>
      <c r="H5381" s="13" t="s">
        <v>35</v>
      </c>
    </row>
    <row r="5382" spans="1:8" ht="14.4" x14ac:dyDescent="0.3">
      <c r="A5382" s="8">
        <v>1968725</v>
      </c>
      <c r="B5382" s="11">
        <v>44592</v>
      </c>
      <c r="C5382" s="13" t="s">
        <v>6834</v>
      </c>
      <c r="D5382" s="13" t="s">
        <v>6835</v>
      </c>
      <c r="E5382" s="8">
        <v>10000</v>
      </c>
      <c r="F5382" s="13" t="s">
        <v>70</v>
      </c>
      <c r="G5382" s="14">
        <v>44599</v>
      </c>
      <c r="H5382" s="13" t="s">
        <v>35</v>
      </c>
    </row>
    <row r="5383" spans="1:8" ht="14.4" x14ac:dyDescent="0.3">
      <c r="A5383" s="8">
        <v>1968726</v>
      </c>
      <c r="B5383" s="11">
        <v>44592</v>
      </c>
      <c r="C5383" s="13" t="s">
        <v>6836</v>
      </c>
      <c r="D5383" s="13" t="s">
        <v>6837</v>
      </c>
      <c r="E5383" s="8">
        <v>8000</v>
      </c>
      <c r="F5383" s="13" t="s">
        <v>70</v>
      </c>
      <c r="G5383" s="14">
        <v>44607</v>
      </c>
      <c r="H5383" s="13" t="s">
        <v>35</v>
      </c>
    </row>
    <row r="5384" spans="1:8" ht="14.4" x14ac:dyDescent="0.3">
      <c r="A5384" s="8">
        <v>1968727</v>
      </c>
      <c r="B5384" s="11">
        <v>44592</v>
      </c>
      <c r="C5384" s="13" t="s">
        <v>6838</v>
      </c>
      <c r="D5384" s="13" t="s">
        <v>6839</v>
      </c>
      <c r="E5384" s="8">
        <v>10000</v>
      </c>
      <c r="F5384" s="13" t="s">
        <v>70</v>
      </c>
      <c r="G5384" s="14">
        <v>44596</v>
      </c>
      <c r="H5384" s="13" t="s">
        <v>35</v>
      </c>
    </row>
    <row r="5385" spans="1:8" ht="14.4" x14ac:dyDescent="0.3">
      <c r="A5385" s="8">
        <v>1968728</v>
      </c>
      <c r="B5385" s="11">
        <v>44592</v>
      </c>
      <c r="C5385" s="13" t="s">
        <v>6840</v>
      </c>
      <c r="D5385" s="13" t="s">
        <v>6841</v>
      </c>
      <c r="E5385" s="8">
        <v>2000</v>
      </c>
      <c r="F5385" s="13" t="s">
        <v>70</v>
      </c>
      <c r="G5385" s="14">
        <v>44596</v>
      </c>
      <c r="H5385" s="13" t="s">
        <v>35</v>
      </c>
    </row>
    <row r="5386" spans="1:8" ht="14.4" x14ac:dyDescent="0.3">
      <c r="A5386" s="8">
        <v>1968729</v>
      </c>
      <c r="B5386" s="11">
        <v>44592</v>
      </c>
      <c r="C5386" s="13" t="s">
        <v>6645</v>
      </c>
      <c r="D5386" s="13" t="s">
        <v>6842</v>
      </c>
      <c r="E5386" s="8">
        <v>30000</v>
      </c>
      <c r="F5386" s="13" t="s">
        <v>70</v>
      </c>
      <c r="G5386" s="14">
        <v>44619</v>
      </c>
      <c r="H5386" s="13" t="s">
        <v>35</v>
      </c>
    </row>
    <row r="5387" spans="1:8" ht="14.4" x14ac:dyDescent="0.3">
      <c r="A5387" s="8">
        <v>1968730</v>
      </c>
      <c r="B5387" s="11">
        <v>44592</v>
      </c>
      <c r="C5387" s="13" t="s">
        <v>6843</v>
      </c>
      <c r="D5387" s="13" t="s">
        <v>6844</v>
      </c>
      <c r="E5387" s="8">
        <v>20000</v>
      </c>
      <c r="F5387" s="13" t="s">
        <v>70</v>
      </c>
      <c r="G5387" s="14">
        <v>44592</v>
      </c>
      <c r="H5387" s="13" t="s">
        <v>35</v>
      </c>
    </row>
    <row r="5388" spans="1:8" ht="14.4" x14ac:dyDescent="0.3">
      <c r="A5388" s="8">
        <v>1968731</v>
      </c>
      <c r="B5388" s="11">
        <v>44592</v>
      </c>
      <c r="C5388" s="13" t="s">
        <v>6845</v>
      </c>
      <c r="D5388" s="13" t="s">
        <v>6846</v>
      </c>
      <c r="E5388" s="8">
        <v>50000</v>
      </c>
      <c r="F5388" s="13" t="s">
        <v>70</v>
      </c>
      <c r="G5388" s="14">
        <v>44599</v>
      </c>
      <c r="H5388" s="13" t="s">
        <v>35</v>
      </c>
    </row>
    <row r="5389" spans="1:8" ht="14.4" x14ac:dyDescent="0.3">
      <c r="A5389" s="8">
        <v>1968732</v>
      </c>
      <c r="B5389" s="11">
        <v>44592</v>
      </c>
      <c r="C5389" s="13" t="s">
        <v>6847</v>
      </c>
      <c r="D5389" s="13" t="s">
        <v>6848</v>
      </c>
      <c r="E5389" s="8">
        <v>6000</v>
      </c>
      <c r="F5389" s="13" t="s">
        <v>70</v>
      </c>
      <c r="G5389" s="14">
        <v>44596</v>
      </c>
      <c r="H5389" s="13" t="s">
        <v>35</v>
      </c>
    </row>
    <row r="5390" spans="1:8" ht="14.4" x14ac:dyDescent="0.3">
      <c r="A5390" s="8">
        <v>1968733</v>
      </c>
      <c r="B5390" s="11">
        <v>44592</v>
      </c>
      <c r="C5390" s="13" t="s">
        <v>6849</v>
      </c>
      <c r="D5390" s="13" t="s">
        <v>6850</v>
      </c>
      <c r="E5390" s="8">
        <v>6000</v>
      </c>
      <c r="F5390" s="13" t="s">
        <v>70</v>
      </c>
      <c r="G5390" s="14">
        <v>44607</v>
      </c>
      <c r="H5390" s="13" t="s">
        <v>35</v>
      </c>
    </row>
    <row r="5391" spans="1:8" ht="14.4" x14ac:dyDescent="0.3">
      <c r="A5391" s="8">
        <v>1968734</v>
      </c>
      <c r="B5391" s="11">
        <v>44592</v>
      </c>
      <c r="C5391" s="13" t="s">
        <v>6851</v>
      </c>
      <c r="D5391" s="13" t="s">
        <v>6852</v>
      </c>
      <c r="E5391" s="8">
        <v>8000</v>
      </c>
      <c r="F5391" s="13" t="s">
        <v>70</v>
      </c>
      <c r="G5391" s="14">
        <v>44599</v>
      </c>
      <c r="H5391" s="13" t="s">
        <v>35</v>
      </c>
    </row>
    <row r="5392" spans="1:8" ht="14.4" x14ac:dyDescent="0.3">
      <c r="A5392" s="8">
        <v>1968735</v>
      </c>
      <c r="B5392" s="11">
        <v>44592</v>
      </c>
      <c r="C5392" s="13" t="s">
        <v>6853</v>
      </c>
      <c r="D5392" s="13" t="s">
        <v>6854</v>
      </c>
      <c r="E5392" s="8">
        <v>2000</v>
      </c>
      <c r="F5392" s="13" t="s">
        <v>70</v>
      </c>
      <c r="G5392" s="14">
        <v>44596</v>
      </c>
      <c r="H5392" s="13" t="s">
        <v>35</v>
      </c>
    </row>
    <row r="5393" spans="1:8" ht="14.4" x14ac:dyDescent="0.3">
      <c r="A5393" s="8">
        <v>1968736</v>
      </c>
      <c r="B5393" s="11">
        <v>44592</v>
      </c>
      <c r="C5393" s="13" t="s">
        <v>6855</v>
      </c>
      <c r="D5393" s="13" t="s">
        <v>6856</v>
      </c>
      <c r="E5393" s="8">
        <v>2000</v>
      </c>
      <c r="F5393" s="13" t="s">
        <v>70</v>
      </c>
      <c r="G5393" s="14">
        <v>44599</v>
      </c>
      <c r="H5393" s="13" t="s">
        <v>35</v>
      </c>
    </row>
    <row r="5394" spans="1:8" ht="14.4" x14ac:dyDescent="0.3">
      <c r="A5394" s="8">
        <v>1968737</v>
      </c>
      <c r="B5394" s="11">
        <v>44592</v>
      </c>
      <c r="C5394" s="13" t="s">
        <v>657</v>
      </c>
      <c r="D5394" s="13" t="s">
        <v>6857</v>
      </c>
      <c r="E5394" s="8">
        <v>10000</v>
      </c>
      <c r="F5394" s="13" t="s">
        <v>70</v>
      </c>
      <c r="G5394" s="14">
        <v>44596</v>
      </c>
      <c r="H5394" s="13" t="s">
        <v>35</v>
      </c>
    </row>
    <row r="5395" spans="1:8" ht="14.4" x14ac:dyDescent="0.3">
      <c r="A5395" s="8">
        <v>1968738</v>
      </c>
      <c r="B5395" s="11">
        <v>44592</v>
      </c>
      <c r="C5395" s="13" t="s">
        <v>6858</v>
      </c>
      <c r="D5395" s="13" t="s">
        <v>6859</v>
      </c>
      <c r="E5395" s="8">
        <v>2000</v>
      </c>
      <c r="F5395" s="13" t="s">
        <v>70</v>
      </c>
      <c r="G5395" s="14">
        <v>44603</v>
      </c>
      <c r="H5395" s="13" t="s">
        <v>35</v>
      </c>
    </row>
    <row r="5396" spans="1:8" ht="14.4" x14ac:dyDescent="0.3">
      <c r="A5396" s="8">
        <v>1968739</v>
      </c>
      <c r="B5396" s="11">
        <v>44592</v>
      </c>
      <c r="C5396" s="13" t="s">
        <v>6860</v>
      </c>
      <c r="D5396" s="13" t="s">
        <v>6861</v>
      </c>
      <c r="E5396" s="8">
        <v>4000</v>
      </c>
      <c r="F5396" s="13" t="s">
        <v>70</v>
      </c>
      <c r="G5396" s="14">
        <v>44599</v>
      </c>
      <c r="H5396" s="13" t="s">
        <v>35</v>
      </c>
    </row>
    <row r="5397" spans="1:8" ht="14.4" x14ac:dyDescent="0.3">
      <c r="A5397" s="8">
        <v>1968740</v>
      </c>
      <c r="B5397" s="11">
        <v>44592</v>
      </c>
      <c r="C5397" s="13" t="s">
        <v>6862</v>
      </c>
      <c r="D5397" s="13" t="s">
        <v>6863</v>
      </c>
      <c r="E5397" s="8">
        <v>2000</v>
      </c>
      <c r="F5397" s="13" t="s">
        <v>70</v>
      </c>
      <c r="G5397" s="14">
        <v>44607</v>
      </c>
      <c r="H5397" s="13" t="s">
        <v>35</v>
      </c>
    </row>
    <row r="5398" spans="1:8" ht="14.4" x14ac:dyDescent="0.3">
      <c r="A5398" s="8">
        <v>1968741</v>
      </c>
      <c r="B5398" s="11">
        <v>44592</v>
      </c>
      <c r="C5398" s="13" t="s">
        <v>6864</v>
      </c>
      <c r="D5398" s="13" t="s">
        <v>6865</v>
      </c>
      <c r="E5398" s="8">
        <v>8000</v>
      </c>
      <c r="F5398" s="13" t="s">
        <v>70</v>
      </c>
      <c r="G5398" s="14">
        <v>44601</v>
      </c>
      <c r="H5398" s="13" t="s">
        <v>35</v>
      </c>
    </row>
    <row r="5399" spans="1:8" ht="14.4" x14ac:dyDescent="0.3">
      <c r="A5399" s="8">
        <v>1968742</v>
      </c>
      <c r="B5399" s="11">
        <v>44592</v>
      </c>
      <c r="C5399" s="13" t="s">
        <v>932</v>
      </c>
      <c r="D5399" s="13" t="s">
        <v>6866</v>
      </c>
      <c r="E5399" s="8">
        <v>10000</v>
      </c>
      <c r="F5399" s="13" t="s">
        <v>70</v>
      </c>
      <c r="G5399" s="14">
        <v>44594</v>
      </c>
      <c r="H5399" s="13" t="s">
        <v>35</v>
      </c>
    </row>
    <row r="5400" spans="1:8" ht="14.4" x14ac:dyDescent="0.3">
      <c r="A5400" s="8">
        <v>1968743</v>
      </c>
      <c r="B5400" s="11">
        <v>44592</v>
      </c>
      <c r="C5400" s="13" t="s">
        <v>6867</v>
      </c>
      <c r="D5400" s="13" t="s">
        <v>6868</v>
      </c>
      <c r="E5400" s="8">
        <v>6000</v>
      </c>
      <c r="F5400" s="13" t="s">
        <v>70</v>
      </c>
      <c r="G5400" s="14">
        <v>44599</v>
      </c>
      <c r="H5400" s="13" t="s">
        <v>35</v>
      </c>
    </row>
    <row r="5401" spans="1:8" ht="14.4" x14ac:dyDescent="0.3">
      <c r="A5401" s="8">
        <v>1968744</v>
      </c>
      <c r="B5401" s="11">
        <v>44592</v>
      </c>
      <c r="C5401" s="13" t="s">
        <v>6869</v>
      </c>
      <c r="D5401" s="13" t="s">
        <v>6870</v>
      </c>
      <c r="E5401" s="8">
        <v>16000</v>
      </c>
      <c r="F5401" s="13" t="s">
        <v>70</v>
      </c>
      <c r="G5401" s="14">
        <v>44619</v>
      </c>
      <c r="H5401" s="13" t="s">
        <v>35</v>
      </c>
    </row>
    <row r="5402" spans="1:8" ht="14.4" x14ac:dyDescent="0.3">
      <c r="A5402" s="8">
        <v>1968745</v>
      </c>
      <c r="B5402" s="11">
        <v>44592</v>
      </c>
      <c r="C5402" s="13" t="s">
        <v>6871</v>
      </c>
      <c r="D5402" s="13" t="s">
        <v>6872</v>
      </c>
      <c r="E5402" s="8">
        <v>10000</v>
      </c>
      <c r="F5402" s="13" t="s">
        <v>70</v>
      </c>
      <c r="G5402" s="14">
        <v>44683</v>
      </c>
      <c r="H5402" s="13" t="s">
        <v>35</v>
      </c>
    </row>
    <row r="5403" spans="1:8" ht="14.4" x14ac:dyDescent="0.3">
      <c r="A5403" s="8">
        <v>1968746</v>
      </c>
      <c r="B5403" s="11">
        <v>44592</v>
      </c>
      <c r="C5403" s="13" t="s">
        <v>6873</v>
      </c>
      <c r="D5403" s="13" t="s">
        <v>6874</v>
      </c>
      <c r="E5403" s="8">
        <v>10000</v>
      </c>
      <c r="F5403" s="13" t="s">
        <v>70</v>
      </c>
      <c r="G5403" s="14">
        <v>44596</v>
      </c>
      <c r="H5403" s="13" t="s">
        <v>35</v>
      </c>
    </row>
    <row r="5404" spans="1:8" ht="14.4" x14ac:dyDescent="0.3">
      <c r="A5404" s="8">
        <v>1968747</v>
      </c>
      <c r="B5404" s="11">
        <v>44592</v>
      </c>
      <c r="C5404" s="13" t="s">
        <v>6875</v>
      </c>
      <c r="D5404" s="13" t="s">
        <v>6876</v>
      </c>
      <c r="E5404" s="8">
        <v>4000</v>
      </c>
      <c r="F5404" s="13" t="s">
        <v>70</v>
      </c>
      <c r="G5404" s="14">
        <v>44608</v>
      </c>
      <c r="H5404" s="13" t="s">
        <v>35</v>
      </c>
    </row>
    <row r="5405" spans="1:8" ht="14.4" x14ac:dyDescent="0.3">
      <c r="A5405" s="8">
        <v>1968748</v>
      </c>
      <c r="B5405" s="11">
        <v>44592</v>
      </c>
      <c r="C5405" s="13" t="s">
        <v>6877</v>
      </c>
      <c r="D5405" s="13" t="s">
        <v>6878</v>
      </c>
      <c r="E5405" s="8">
        <v>4000</v>
      </c>
      <c r="F5405" s="13" t="s">
        <v>70</v>
      </c>
      <c r="G5405" s="14">
        <v>44607</v>
      </c>
      <c r="H5405" s="13" t="s">
        <v>35</v>
      </c>
    </row>
    <row r="5406" spans="1:8" ht="14.4" x14ac:dyDescent="0.3">
      <c r="A5406" s="8">
        <v>1968749</v>
      </c>
      <c r="B5406" s="11">
        <v>44592</v>
      </c>
      <c r="C5406" s="13" t="s">
        <v>6879</v>
      </c>
      <c r="D5406" s="13" t="s">
        <v>6880</v>
      </c>
      <c r="E5406" s="8">
        <v>2000</v>
      </c>
      <c r="F5406" s="13" t="s">
        <v>70</v>
      </c>
      <c r="G5406" s="14">
        <v>44609</v>
      </c>
      <c r="H5406" s="13" t="s">
        <v>35</v>
      </c>
    </row>
    <row r="5407" spans="1:8" ht="14.4" x14ac:dyDescent="0.3">
      <c r="A5407" s="8">
        <v>1968750</v>
      </c>
      <c r="B5407" s="11">
        <v>44592</v>
      </c>
      <c r="C5407" s="13" t="s">
        <v>6845</v>
      </c>
      <c r="D5407" s="13" t="s">
        <v>6881</v>
      </c>
      <c r="E5407" s="8">
        <v>20000</v>
      </c>
      <c r="F5407" s="13" t="s">
        <v>70</v>
      </c>
      <c r="G5407" s="14">
        <v>44599</v>
      </c>
      <c r="H5407" s="13" t="s">
        <v>35</v>
      </c>
    </row>
    <row r="5408" spans="1:8" ht="14.4" x14ac:dyDescent="0.3">
      <c r="A5408" s="8">
        <v>1968751</v>
      </c>
      <c r="B5408" s="11">
        <v>44592</v>
      </c>
      <c r="C5408" s="13" t="s">
        <v>6882</v>
      </c>
      <c r="D5408" s="13" t="s">
        <v>6883</v>
      </c>
      <c r="E5408" s="8">
        <v>4000</v>
      </c>
      <c r="F5408" s="13" t="s">
        <v>70</v>
      </c>
      <c r="G5408" s="14">
        <v>44602</v>
      </c>
      <c r="H5408" s="13" t="s">
        <v>35</v>
      </c>
    </row>
    <row r="5409" spans="1:8" ht="14.4" x14ac:dyDescent="0.3">
      <c r="A5409" s="8">
        <v>1968752</v>
      </c>
      <c r="B5409" s="11">
        <v>44592</v>
      </c>
      <c r="C5409" s="13" t="s">
        <v>6884</v>
      </c>
      <c r="D5409" s="13" t="s">
        <v>6885</v>
      </c>
      <c r="E5409" s="8">
        <v>12000</v>
      </c>
      <c r="F5409" s="13" t="s">
        <v>70</v>
      </c>
      <c r="G5409" s="14">
        <v>44595</v>
      </c>
      <c r="H5409" s="13" t="s">
        <v>35</v>
      </c>
    </row>
    <row r="5410" spans="1:8" ht="14.4" x14ac:dyDescent="0.3">
      <c r="A5410" s="8">
        <v>1968753</v>
      </c>
      <c r="B5410" s="11">
        <v>44592</v>
      </c>
      <c r="C5410" s="13" t="s">
        <v>6886</v>
      </c>
      <c r="D5410" s="13" t="s">
        <v>6887</v>
      </c>
      <c r="E5410" s="8">
        <v>4000</v>
      </c>
      <c r="F5410" s="13" t="s">
        <v>70</v>
      </c>
      <c r="G5410" s="14">
        <v>44609</v>
      </c>
      <c r="H5410" s="13" t="s">
        <v>35</v>
      </c>
    </row>
    <row r="5411" spans="1:8" ht="14.4" x14ac:dyDescent="0.3">
      <c r="A5411" s="8">
        <v>1968754</v>
      </c>
      <c r="B5411" s="11">
        <v>44592</v>
      </c>
      <c r="C5411" s="13" t="s">
        <v>6888</v>
      </c>
      <c r="D5411" s="13" t="s">
        <v>6889</v>
      </c>
      <c r="E5411" s="8">
        <v>6000</v>
      </c>
      <c r="F5411" s="13" t="s">
        <v>70</v>
      </c>
      <c r="G5411" s="14">
        <v>44608</v>
      </c>
      <c r="H5411" s="13" t="s">
        <v>35</v>
      </c>
    </row>
    <row r="5412" spans="1:8" ht="14.4" x14ac:dyDescent="0.3">
      <c r="A5412" s="8">
        <v>1968755</v>
      </c>
      <c r="B5412" s="11">
        <v>44592</v>
      </c>
      <c r="C5412" s="13" t="s">
        <v>6890</v>
      </c>
      <c r="D5412" s="13" t="s">
        <v>6891</v>
      </c>
      <c r="E5412" s="8">
        <v>2000</v>
      </c>
      <c r="F5412" s="13" t="s">
        <v>70</v>
      </c>
      <c r="G5412" s="14">
        <v>44607</v>
      </c>
      <c r="H5412" s="13" t="s">
        <v>35</v>
      </c>
    </row>
    <row r="5413" spans="1:8" ht="14.4" x14ac:dyDescent="0.3">
      <c r="A5413" s="8">
        <v>1968756</v>
      </c>
      <c r="B5413" s="11">
        <v>44592</v>
      </c>
      <c r="C5413" s="13" t="s">
        <v>6892</v>
      </c>
      <c r="D5413" s="13" t="s">
        <v>6893</v>
      </c>
      <c r="E5413" s="8">
        <v>50000</v>
      </c>
      <c r="F5413" s="13" t="s">
        <v>70</v>
      </c>
      <c r="G5413" s="14">
        <v>44595</v>
      </c>
      <c r="H5413" s="13" t="s">
        <v>35</v>
      </c>
    </row>
    <row r="5414" spans="1:8" ht="14.4" x14ac:dyDescent="0.3">
      <c r="A5414" s="8">
        <v>1968757</v>
      </c>
      <c r="B5414" s="11">
        <v>44592</v>
      </c>
      <c r="C5414" s="13" t="s">
        <v>6894</v>
      </c>
      <c r="D5414" s="13" t="s">
        <v>6895</v>
      </c>
      <c r="E5414" s="8">
        <v>6000</v>
      </c>
      <c r="F5414" s="13" t="s">
        <v>70</v>
      </c>
      <c r="G5414" s="14">
        <v>44608</v>
      </c>
      <c r="H5414" s="13" t="s">
        <v>35</v>
      </c>
    </row>
    <row r="5415" spans="1:8" ht="14.4" x14ac:dyDescent="0.3">
      <c r="A5415" s="8">
        <v>1968758</v>
      </c>
      <c r="B5415" s="11">
        <v>44592</v>
      </c>
      <c r="C5415" s="13" t="s">
        <v>6896</v>
      </c>
      <c r="D5415" s="13" t="s">
        <v>6897</v>
      </c>
      <c r="E5415" s="8">
        <v>2000</v>
      </c>
      <c r="F5415" s="13" t="s">
        <v>70</v>
      </c>
      <c r="G5415" s="14">
        <v>44607</v>
      </c>
      <c r="H5415" s="13" t="s">
        <v>35</v>
      </c>
    </row>
    <row r="5416" spans="1:8" ht="14.4" x14ac:dyDescent="0.3">
      <c r="A5416" s="8">
        <v>1968760</v>
      </c>
      <c r="B5416" s="11">
        <v>44592</v>
      </c>
      <c r="C5416" s="13" t="s">
        <v>813</v>
      </c>
      <c r="D5416" s="13" t="s">
        <v>6898</v>
      </c>
      <c r="E5416" s="8">
        <v>6000</v>
      </c>
      <c r="F5416" s="13" t="s">
        <v>70</v>
      </c>
      <c r="G5416" s="14">
        <v>44595</v>
      </c>
      <c r="H5416" s="13" t="s">
        <v>35</v>
      </c>
    </row>
    <row r="5417" spans="1:8" ht="14.4" x14ac:dyDescent="0.3">
      <c r="A5417" s="8">
        <v>1968761</v>
      </c>
      <c r="B5417" s="11">
        <v>44592</v>
      </c>
      <c r="C5417" s="13" t="s">
        <v>6899</v>
      </c>
      <c r="D5417" s="13" t="s">
        <v>6900</v>
      </c>
      <c r="E5417" s="8">
        <v>4000</v>
      </c>
      <c r="F5417" s="13" t="s">
        <v>70</v>
      </c>
      <c r="G5417" s="14">
        <v>44600</v>
      </c>
      <c r="H5417" s="13" t="s">
        <v>35</v>
      </c>
    </row>
    <row r="5418" spans="1:8" ht="14.4" x14ac:dyDescent="0.3">
      <c r="A5418" s="8">
        <v>1968762</v>
      </c>
      <c r="B5418" s="11">
        <v>44592</v>
      </c>
      <c r="C5418" s="13" t="s">
        <v>5410</v>
      </c>
      <c r="D5418" s="13" t="s">
        <v>6901</v>
      </c>
      <c r="E5418" s="8">
        <v>2000</v>
      </c>
      <c r="F5418" s="13" t="s">
        <v>70</v>
      </c>
      <c r="G5418" s="14">
        <v>44608</v>
      </c>
      <c r="H5418" s="13" t="s">
        <v>35</v>
      </c>
    </row>
    <row r="5419" spans="1:8" ht="14.4" x14ac:dyDescent="0.3">
      <c r="A5419" s="8">
        <v>1968763</v>
      </c>
      <c r="B5419" s="11">
        <v>44592</v>
      </c>
      <c r="C5419" s="13" t="s">
        <v>6902</v>
      </c>
      <c r="D5419" s="13" t="s">
        <v>6903</v>
      </c>
      <c r="E5419" s="8">
        <v>6000</v>
      </c>
      <c r="F5419" s="13" t="s">
        <v>70</v>
      </c>
      <c r="G5419" s="14">
        <v>44606</v>
      </c>
      <c r="H5419" s="13" t="s">
        <v>35</v>
      </c>
    </row>
    <row r="5420" spans="1:8" ht="14.4" x14ac:dyDescent="0.3">
      <c r="A5420" s="8">
        <v>1968764</v>
      </c>
      <c r="B5420" s="11">
        <v>44592</v>
      </c>
      <c r="C5420" s="13" t="s">
        <v>6904</v>
      </c>
      <c r="D5420" s="13" t="s">
        <v>6905</v>
      </c>
      <c r="E5420" s="8">
        <v>6000</v>
      </c>
      <c r="F5420" s="13" t="s">
        <v>70</v>
      </c>
      <c r="G5420" s="14">
        <v>44609</v>
      </c>
      <c r="H5420" s="13" t="s">
        <v>35</v>
      </c>
    </row>
    <row r="5421" spans="1:8" ht="14.4" x14ac:dyDescent="0.3">
      <c r="A5421" s="8">
        <v>1968765</v>
      </c>
      <c r="B5421" s="11">
        <v>44592</v>
      </c>
      <c r="C5421" s="13" t="s">
        <v>6906</v>
      </c>
      <c r="D5421" s="13" t="s">
        <v>6907</v>
      </c>
      <c r="E5421" s="8">
        <v>10000</v>
      </c>
      <c r="F5421" s="13" t="s">
        <v>70</v>
      </c>
      <c r="G5421" s="14">
        <v>44608</v>
      </c>
      <c r="H5421" s="13" t="s">
        <v>35</v>
      </c>
    </row>
    <row r="5422" spans="1:8" ht="14.4" x14ac:dyDescent="0.3">
      <c r="A5422" s="8">
        <v>1968766</v>
      </c>
      <c r="B5422" s="11">
        <v>44594</v>
      </c>
      <c r="C5422" s="13" t="s">
        <v>159</v>
      </c>
      <c r="D5422" s="13" t="s">
        <v>6908</v>
      </c>
      <c r="E5422" s="8">
        <v>263700</v>
      </c>
      <c r="F5422" s="13" t="s">
        <v>70</v>
      </c>
      <c r="G5422" s="14">
        <v>44595</v>
      </c>
      <c r="H5422" s="13" t="s">
        <v>35</v>
      </c>
    </row>
    <row r="5423" spans="1:8" ht="14.4" x14ac:dyDescent="0.3">
      <c r="A5423" s="8">
        <v>1968767</v>
      </c>
      <c r="B5423" s="11">
        <v>44594</v>
      </c>
      <c r="C5423" s="13" t="s">
        <v>6909</v>
      </c>
      <c r="D5423" s="13" t="s">
        <v>6910</v>
      </c>
      <c r="E5423" s="8">
        <v>14000</v>
      </c>
      <c r="F5423" s="13" t="s">
        <v>70</v>
      </c>
      <c r="G5423" s="14">
        <v>44595</v>
      </c>
      <c r="H5423" s="13" t="s">
        <v>35</v>
      </c>
    </row>
    <row r="5424" spans="1:8" ht="14.4" x14ac:dyDescent="0.3">
      <c r="A5424" s="8">
        <v>1968768</v>
      </c>
      <c r="B5424" s="11">
        <v>44594</v>
      </c>
      <c r="C5424" s="13" t="s">
        <v>50</v>
      </c>
      <c r="D5424" s="13" t="s">
        <v>6911</v>
      </c>
      <c r="E5424" s="8">
        <v>12000</v>
      </c>
      <c r="F5424" s="13" t="s">
        <v>70</v>
      </c>
      <c r="G5424" s="14">
        <v>44603</v>
      </c>
      <c r="H5424" s="13" t="s">
        <v>35</v>
      </c>
    </row>
    <row r="5425" spans="1:8" ht="14.4" x14ac:dyDescent="0.3">
      <c r="A5425" s="8">
        <v>1968769</v>
      </c>
      <c r="B5425" s="11">
        <v>44594</v>
      </c>
      <c r="C5425" s="13" t="s">
        <v>6912</v>
      </c>
      <c r="D5425" s="13" t="s">
        <v>6913</v>
      </c>
      <c r="E5425" s="8">
        <v>20000</v>
      </c>
      <c r="F5425" s="13" t="s">
        <v>70</v>
      </c>
      <c r="G5425" s="14">
        <v>44608</v>
      </c>
      <c r="H5425" s="13" t="s">
        <v>35</v>
      </c>
    </row>
    <row r="5426" spans="1:8" ht="14.4" x14ac:dyDescent="0.3">
      <c r="A5426" s="8">
        <v>1968770</v>
      </c>
      <c r="B5426" s="11">
        <v>44594</v>
      </c>
      <c r="C5426" s="13" t="s">
        <v>6914</v>
      </c>
      <c r="D5426" s="13" t="s">
        <v>6915</v>
      </c>
      <c r="E5426" s="8">
        <v>15000</v>
      </c>
      <c r="F5426" s="13" t="s">
        <v>70</v>
      </c>
      <c r="G5426" s="14">
        <v>44608</v>
      </c>
      <c r="H5426" s="13" t="s">
        <v>35</v>
      </c>
    </row>
    <row r="5427" spans="1:8" ht="14.4" x14ac:dyDescent="0.3">
      <c r="A5427" s="8">
        <v>1968771</v>
      </c>
      <c r="B5427" s="11">
        <v>44594</v>
      </c>
      <c r="C5427" s="13" t="s">
        <v>6916</v>
      </c>
      <c r="D5427" s="13" t="s">
        <v>6917</v>
      </c>
      <c r="E5427" s="8">
        <v>10000</v>
      </c>
      <c r="F5427" s="13" t="s">
        <v>70</v>
      </c>
      <c r="G5427" s="14">
        <v>44596</v>
      </c>
      <c r="H5427" s="13" t="s">
        <v>35</v>
      </c>
    </row>
    <row r="5428" spans="1:8" ht="14.4" x14ac:dyDescent="0.3">
      <c r="A5428" s="8">
        <v>1968772</v>
      </c>
      <c r="B5428" s="11">
        <v>44594</v>
      </c>
      <c r="C5428" s="13" t="s">
        <v>6918</v>
      </c>
      <c r="D5428" s="13" t="s">
        <v>6919</v>
      </c>
      <c r="E5428" s="8">
        <v>20000</v>
      </c>
      <c r="F5428" s="13" t="s">
        <v>70</v>
      </c>
      <c r="G5428" s="14">
        <v>44607</v>
      </c>
      <c r="H5428" s="13" t="s">
        <v>35</v>
      </c>
    </row>
    <row r="5429" spans="1:8" ht="14.4" x14ac:dyDescent="0.3">
      <c r="A5429" s="8">
        <v>1968773</v>
      </c>
      <c r="B5429" s="11">
        <v>44594</v>
      </c>
      <c r="C5429" s="13" t="s">
        <v>6920</v>
      </c>
      <c r="D5429" s="13" t="s">
        <v>6921</v>
      </c>
      <c r="E5429" s="8">
        <v>15000</v>
      </c>
      <c r="F5429" s="13" t="s">
        <v>70</v>
      </c>
      <c r="G5429" s="14">
        <v>44607</v>
      </c>
      <c r="H5429" s="13" t="s">
        <v>35</v>
      </c>
    </row>
    <row r="5430" spans="1:8" ht="14.4" x14ac:dyDescent="0.3">
      <c r="A5430" s="8">
        <v>1968774</v>
      </c>
      <c r="B5430" s="11">
        <v>44594</v>
      </c>
      <c r="C5430" s="13" t="s">
        <v>6922</v>
      </c>
      <c r="D5430" s="13" t="s">
        <v>6923</v>
      </c>
      <c r="E5430" s="8">
        <v>10000</v>
      </c>
      <c r="F5430" s="13" t="s">
        <v>70</v>
      </c>
      <c r="G5430" s="14">
        <v>44608</v>
      </c>
      <c r="H5430" s="13" t="s">
        <v>35</v>
      </c>
    </row>
    <row r="5431" spans="1:8" ht="14.4" x14ac:dyDescent="0.3">
      <c r="A5431" s="8">
        <v>1968775</v>
      </c>
      <c r="B5431" s="11">
        <v>44594</v>
      </c>
      <c r="C5431" s="13" t="s">
        <v>6924</v>
      </c>
      <c r="D5431" s="13" t="s">
        <v>6925</v>
      </c>
      <c r="E5431" s="8">
        <v>40000</v>
      </c>
      <c r="F5431" s="13" t="s">
        <v>70</v>
      </c>
      <c r="G5431" s="14">
        <v>44595</v>
      </c>
      <c r="H5431" s="13" t="s">
        <v>35</v>
      </c>
    </row>
    <row r="5432" spans="1:8" ht="14.4" x14ac:dyDescent="0.3">
      <c r="A5432" s="8">
        <v>1968776</v>
      </c>
      <c r="B5432" s="11">
        <v>44594</v>
      </c>
      <c r="C5432" s="13" t="s">
        <v>6926</v>
      </c>
      <c r="D5432" s="13" t="s">
        <v>6927</v>
      </c>
      <c r="E5432" s="8">
        <v>10000</v>
      </c>
      <c r="F5432" s="13" t="s">
        <v>70</v>
      </c>
      <c r="G5432" s="14">
        <v>44606</v>
      </c>
      <c r="H5432" s="13" t="s">
        <v>35</v>
      </c>
    </row>
    <row r="5433" spans="1:8" ht="14.4" x14ac:dyDescent="0.3">
      <c r="A5433" s="8">
        <v>1968777</v>
      </c>
      <c r="B5433" s="11">
        <v>44594</v>
      </c>
      <c r="C5433" s="13" t="s">
        <v>6928</v>
      </c>
      <c r="D5433" s="13" t="s">
        <v>6929</v>
      </c>
      <c r="E5433" s="8">
        <v>10000</v>
      </c>
      <c r="F5433" s="13" t="s">
        <v>70</v>
      </c>
      <c r="G5433" s="14">
        <v>44608</v>
      </c>
      <c r="H5433" s="13" t="s">
        <v>35</v>
      </c>
    </row>
    <row r="5434" spans="1:8" ht="14.4" x14ac:dyDescent="0.3">
      <c r="A5434" s="8">
        <v>1968778</v>
      </c>
      <c r="B5434" s="11">
        <v>44594</v>
      </c>
      <c r="C5434" s="13" t="s">
        <v>6930</v>
      </c>
      <c r="D5434" s="13" t="s">
        <v>6931</v>
      </c>
      <c r="E5434" s="8">
        <v>10000</v>
      </c>
      <c r="F5434" s="13" t="s">
        <v>70</v>
      </c>
      <c r="G5434" s="14">
        <v>44607</v>
      </c>
      <c r="H5434" s="13" t="s">
        <v>35</v>
      </c>
    </row>
    <row r="5435" spans="1:8" ht="14.4" x14ac:dyDescent="0.3">
      <c r="A5435" s="8">
        <v>1968779</v>
      </c>
      <c r="B5435" s="11">
        <v>44594</v>
      </c>
      <c r="C5435" s="13" t="s">
        <v>6932</v>
      </c>
      <c r="D5435" s="13" t="s">
        <v>6933</v>
      </c>
      <c r="E5435" s="8">
        <v>16000</v>
      </c>
      <c r="F5435" s="13" t="s">
        <v>70</v>
      </c>
      <c r="G5435" s="14">
        <v>44603</v>
      </c>
      <c r="H5435" s="13" t="s">
        <v>35</v>
      </c>
    </row>
    <row r="5436" spans="1:8" ht="14.4" x14ac:dyDescent="0.3">
      <c r="A5436" s="8">
        <v>1968780</v>
      </c>
      <c r="B5436" s="11">
        <v>44594</v>
      </c>
      <c r="C5436" s="13" t="s">
        <v>6934</v>
      </c>
      <c r="D5436" s="13" t="s">
        <v>6935</v>
      </c>
      <c r="E5436" s="8">
        <v>12000</v>
      </c>
      <c r="F5436" s="13" t="s">
        <v>70</v>
      </c>
      <c r="G5436" s="14">
        <v>44614</v>
      </c>
      <c r="H5436" s="13" t="s">
        <v>35</v>
      </c>
    </row>
    <row r="5437" spans="1:8" ht="14.4" x14ac:dyDescent="0.3">
      <c r="A5437" s="8">
        <v>1968781</v>
      </c>
      <c r="B5437" s="11">
        <v>44594</v>
      </c>
      <c r="C5437" s="13" t="s">
        <v>6899</v>
      </c>
      <c r="D5437" s="13" t="s">
        <v>6936</v>
      </c>
      <c r="E5437" s="8">
        <v>11000</v>
      </c>
      <c r="F5437" s="13" t="s">
        <v>70</v>
      </c>
      <c r="G5437" s="14">
        <v>44600</v>
      </c>
      <c r="H5437" s="13" t="s">
        <v>35</v>
      </c>
    </row>
    <row r="5438" spans="1:8" ht="14.4" x14ac:dyDescent="0.3">
      <c r="A5438" s="8">
        <v>1968782</v>
      </c>
      <c r="B5438" s="11">
        <v>44594</v>
      </c>
      <c r="C5438" s="13" t="s">
        <v>6937</v>
      </c>
      <c r="D5438" s="13" t="s">
        <v>6938</v>
      </c>
      <c r="E5438" s="8">
        <v>13000</v>
      </c>
      <c r="F5438" s="13" t="s">
        <v>70</v>
      </c>
      <c r="G5438" s="14">
        <v>44600</v>
      </c>
      <c r="H5438" s="13" t="s">
        <v>35</v>
      </c>
    </row>
    <row r="5439" spans="1:8" ht="14.4" x14ac:dyDescent="0.3">
      <c r="A5439" s="8">
        <v>1968783</v>
      </c>
      <c r="B5439" s="11">
        <v>44594</v>
      </c>
      <c r="C5439" s="13" t="s">
        <v>6939</v>
      </c>
      <c r="D5439" s="13" t="s">
        <v>6940</v>
      </c>
      <c r="E5439" s="8">
        <v>17000</v>
      </c>
      <c r="F5439" s="13" t="s">
        <v>70</v>
      </c>
      <c r="G5439" s="14">
        <v>44608</v>
      </c>
      <c r="H5439" s="13" t="s">
        <v>35</v>
      </c>
    </row>
    <row r="5440" spans="1:8" ht="14.4" x14ac:dyDescent="0.3">
      <c r="A5440" s="8">
        <v>1968784</v>
      </c>
      <c r="B5440" s="11">
        <v>44594</v>
      </c>
      <c r="C5440" s="13" t="s">
        <v>6941</v>
      </c>
      <c r="D5440" s="13" t="s">
        <v>6942</v>
      </c>
      <c r="E5440" s="8">
        <v>11000</v>
      </c>
      <c r="F5440" s="13" t="s">
        <v>70</v>
      </c>
      <c r="G5440" s="14">
        <v>44608</v>
      </c>
      <c r="H5440" s="13" t="s">
        <v>35</v>
      </c>
    </row>
    <row r="5441" spans="1:8" ht="14.4" x14ac:dyDescent="0.3">
      <c r="A5441" s="8">
        <v>1968785</v>
      </c>
      <c r="B5441" s="11">
        <v>44594</v>
      </c>
      <c r="C5441" s="13" t="s">
        <v>6943</v>
      </c>
      <c r="D5441" s="13" t="s">
        <v>6944</v>
      </c>
      <c r="E5441" s="8">
        <v>11000</v>
      </c>
      <c r="F5441" s="13" t="s">
        <v>70</v>
      </c>
      <c r="G5441" s="14">
        <v>44609</v>
      </c>
      <c r="H5441" s="13" t="s">
        <v>35</v>
      </c>
    </row>
    <row r="5442" spans="1:8" ht="14.4" x14ac:dyDescent="0.3">
      <c r="A5442" s="8">
        <v>1968786</v>
      </c>
      <c r="B5442" s="11">
        <v>44594</v>
      </c>
      <c r="C5442" s="13" t="s">
        <v>6945</v>
      </c>
      <c r="D5442" s="13" t="s">
        <v>6946</v>
      </c>
      <c r="E5442" s="8">
        <v>14800</v>
      </c>
      <c r="F5442" s="13" t="s">
        <v>70</v>
      </c>
      <c r="G5442" s="14">
        <v>44596</v>
      </c>
      <c r="H5442" s="13" t="s">
        <v>35</v>
      </c>
    </row>
    <row r="5443" spans="1:8" ht="14.4" x14ac:dyDescent="0.3">
      <c r="A5443" s="8">
        <v>1968787</v>
      </c>
      <c r="B5443" s="11">
        <v>44594</v>
      </c>
      <c r="C5443" s="13" t="s">
        <v>6947</v>
      </c>
      <c r="D5443" s="13" t="s">
        <v>6948</v>
      </c>
      <c r="E5443" s="8">
        <v>18263748.350000001</v>
      </c>
      <c r="F5443" s="13" t="s">
        <v>70</v>
      </c>
      <c r="G5443" s="14">
        <v>44595</v>
      </c>
      <c r="H5443" s="13" t="s">
        <v>35</v>
      </c>
    </row>
    <row r="5444" spans="1:8" ht="14.4" x14ac:dyDescent="0.3">
      <c r="A5444" s="8">
        <v>1968788</v>
      </c>
      <c r="B5444" s="11">
        <v>44594</v>
      </c>
      <c r="C5444" s="13" t="s">
        <v>4356</v>
      </c>
      <c r="D5444" s="13" t="s">
        <v>6949</v>
      </c>
      <c r="E5444" s="8">
        <v>3000</v>
      </c>
      <c r="F5444" s="13" t="s">
        <v>70</v>
      </c>
      <c r="G5444" s="14">
        <v>44614</v>
      </c>
      <c r="H5444" s="13" t="s">
        <v>35</v>
      </c>
    </row>
    <row r="5445" spans="1:8" ht="14.4" x14ac:dyDescent="0.3">
      <c r="A5445" s="8">
        <v>1968789</v>
      </c>
      <c r="B5445" s="11">
        <v>44594</v>
      </c>
      <c r="C5445" s="13" t="s">
        <v>6950</v>
      </c>
      <c r="D5445" s="13" t="s">
        <v>6949</v>
      </c>
      <c r="E5445" s="8">
        <v>3000</v>
      </c>
      <c r="F5445" s="13" t="s">
        <v>70</v>
      </c>
      <c r="G5445" s="14">
        <v>44616</v>
      </c>
      <c r="H5445" s="13" t="s">
        <v>35</v>
      </c>
    </row>
    <row r="5446" spans="1:8" ht="14.4" x14ac:dyDescent="0.3">
      <c r="A5446" s="8">
        <v>1968790</v>
      </c>
      <c r="B5446" s="11">
        <v>44594</v>
      </c>
      <c r="C5446" s="13" t="s">
        <v>4369</v>
      </c>
      <c r="D5446" s="13" t="s">
        <v>6949</v>
      </c>
      <c r="E5446" s="8">
        <v>3000</v>
      </c>
      <c r="F5446" s="13" t="s">
        <v>70</v>
      </c>
      <c r="G5446" s="14">
        <v>44726</v>
      </c>
      <c r="H5446" s="13" t="s">
        <v>35</v>
      </c>
    </row>
    <row r="5447" spans="1:8" ht="14.4" x14ac:dyDescent="0.3">
      <c r="A5447" s="8">
        <v>1968791</v>
      </c>
      <c r="B5447" s="11">
        <v>44594</v>
      </c>
      <c r="C5447" s="13" t="s">
        <v>4354</v>
      </c>
      <c r="D5447" s="13" t="s">
        <v>6949</v>
      </c>
      <c r="E5447" s="8">
        <v>3000</v>
      </c>
      <c r="F5447" s="13" t="s">
        <v>70</v>
      </c>
      <c r="G5447" s="14">
        <v>44620</v>
      </c>
      <c r="H5447" s="13" t="s">
        <v>35</v>
      </c>
    </row>
    <row r="5448" spans="1:8" ht="14.4" x14ac:dyDescent="0.3">
      <c r="A5448" s="8">
        <v>1968792</v>
      </c>
      <c r="B5448" s="11">
        <v>44594</v>
      </c>
      <c r="C5448" s="13" t="s">
        <v>6951</v>
      </c>
      <c r="D5448" s="13" t="s">
        <v>6949</v>
      </c>
      <c r="E5448" s="8">
        <v>3000</v>
      </c>
      <c r="F5448" s="13" t="s">
        <v>70</v>
      </c>
      <c r="G5448" s="14">
        <v>44676</v>
      </c>
      <c r="H5448" s="13" t="s">
        <v>35</v>
      </c>
    </row>
    <row r="5449" spans="1:8" ht="14.4" x14ac:dyDescent="0.3">
      <c r="A5449" s="8">
        <v>1968793</v>
      </c>
      <c r="B5449" s="11">
        <v>44594</v>
      </c>
      <c r="C5449" s="13" t="s">
        <v>4355</v>
      </c>
      <c r="D5449" s="13" t="s">
        <v>6949</v>
      </c>
      <c r="E5449" s="8">
        <v>3000</v>
      </c>
      <c r="F5449" s="13" t="s">
        <v>70</v>
      </c>
      <c r="G5449" s="14">
        <v>44616</v>
      </c>
      <c r="H5449" s="13" t="s">
        <v>35</v>
      </c>
    </row>
    <row r="5450" spans="1:8" ht="14.4" x14ac:dyDescent="0.3">
      <c r="A5450" s="8">
        <v>1968794</v>
      </c>
      <c r="B5450" s="11">
        <v>44594</v>
      </c>
      <c r="C5450" s="13" t="s">
        <v>4351</v>
      </c>
      <c r="D5450" s="13" t="s">
        <v>6949</v>
      </c>
      <c r="E5450" s="8">
        <v>3000</v>
      </c>
      <c r="F5450" s="13" t="s">
        <v>70</v>
      </c>
      <c r="G5450" s="14">
        <v>44610</v>
      </c>
      <c r="H5450" s="13" t="s">
        <v>35</v>
      </c>
    </row>
    <row r="5451" spans="1:8" ht="14.4" x14ac:dyDescent="0.3">
      <c r="A5451" s="8">
        <v>1968795</v>
      </c>
      <c r="B5451" s="11">
        <v>44594</v>
      </c>
      <c r="C5451" s="13" t="s">
        <v>4352</v>
      </c>
      <c r="D5451" s="13" t="s">
        <v>6949</v>
      </c>
      <c r="E5451" s="8">
        <v>3000</v>
      </c>
      <c r="F5451" s="13" t="s">
        <v>70</v>
      </c>
      <c r="G5451" s="14">
        <v>44620</v>
      </c>
      <c r="H5451" s="13" t="s">
        <v>35</v>
      </c>
    </row>
    <row r="5452" spans="1:8" ht="14.4" x14ac:dyDescent="0.3">
      <c r="A5452" s="8">
        <v>1968797</v>
      </c>
      <c r="B5452" s="11">
        <v>44594</v>
      </c>
      <c r="C5452" s="13" t="s">
        <v>6952</v>
      </c>
      <c r="D5452" s="13" t="s">
        <v>6949</v>
      </c>
      <c r="E5452" s="8">
        <v>3000</v>
      </c>
      <c r="F5452" s="13" t="s">
        <v>70</v>
      </c>
      <c r="G5452" s="14">
        <v>44614</v>
      </c>
      <c r="H5452" s="13" t="s">
        <v>35</v>
      </c>
    </row>
    <row r="5453" spans="1:8" ht="14.4" x14ac:dyDescent="0.3">
      <c r="A5453" s="8">
        <v>1968798</v>
      </c>
      <c r="B5453" s="11">
        <v>44594</v>
      </c>
      <c r="C5453" s="13" t="s">
        <v>4345</v>
      </c>
      <c r="D5453" s="13" t="s">
        <v>6949</v>
      </c>
      <c r="E5453" s="8">
        <v>3000</v>
      </c>
      <c r="F5453" s="13" t="s">
        <v>70</v>
      </c>
      <c r="G5453" s="14">
        <v>44610</v>
      </c>
      <c r="H5453" s="13" t="s">
        <v>35</v>
      </c>
    </row>
    <row r="5454" spans="1:8" ht="14.4" x14ac:dyDescent="0.3">
      <c r="A5454" s="8">
        <v>1968799</v>
      </c>
      <c r="B5454" s="11">
        <v>44594</v>
      </c>
      <c r="C5454" s="13" t="s">
        <v>4341</v>
      </c>
      <c r="D5454" s="13" t="s">
        <v>6949</v>
      </c>
      <c r="E5454" s="8">
        <v>3000</v>
      </c>
      <c r="F5454" s="13" t="s">
        <v>70</v>
      </c>
      <c r="G5454" s="14">
        <v>44610</v>
      </c>
      <c r="H5454" s="13" t="s">
        <v>35</v>
      </c>
    </row>
    <row r="5455" spans="1:8" ht="14.4" x14ac:dyDescent="0.3">
      <c r="A5455" s="8">
        <v>1968800</v>
      </c>
      <c r="B5455" s="11">
        <v>44594</v>
      </c>
      <c r="C5455" s="13" t="s">
        <v>395</v>
      </c>
      <c r="D5455" s="13" t="s">
        <v>6953</v>
      </c>
      <c r="E5455" s="8">
        <v>23177</v>
      </c>
      <c r="F5455" s="13" t="s">
        <v>70</v>
      </c>
      <c r="G5455" s="14">
        <v>44596</v>
      </c>
      <c r="H5455" s="13" t="s">
        <v>35</v>
      </c>
    </row>
    <row r="5456" spans="1:8" ht="14.4" x14ac:dyDescent="0.3">
      <c r="A5456" s="8">
        <v>1968801</v>
      </c>
      <c r="B5456" s="11">
        <v>44594</v>
      </c>
      <c r="C5456" s="13" t="s">
        <v>265</v>
      </c>
      <c r="D5456" s="13" t="s">
        <v>6954</v>
      </c>
      <c r="E5456" s="8">
        <v>161487.5</v>
      </c>
      <c r="F5456" s="13" t="s">
        <v>70</v>
      </c>
      <c r="G5456" s="14">
        <v>44596</v>
      </c>
      <c r="H5456" s="13" t="s">
        <v>35</v>
      </c>
    </row>
    <row r="5457" spans="1:8" ht="14.4" x14ac:dyDescent="0.3">
      <c r="A5457" s="8">
        <v>1968802</v>
      </c>
      <c r="B5457" s="11">
        <v>44594</v>
      </c>
      <c r="C5457" s="13" t="s">
        <v>4349</v>
      </c>
      <c r="D5457" s="13" t="s">
        <v>6949</v>
      </c>
      <c r="E5457" s="8">
        <v>3000</v>
      </c>
      <c r="F5457" s="13" t="s">
        <v>70</v>
      </c>
      <c r="G5457" s="14">
        <v>44610</v>
      </c>
      <c r="H5457" s="13" t="s">
        <v>35</v>
      </c>
    </row>
    <row r="5458" spans="1:8" ht="14.4" x14ac:dyDescent="0.3">
      <c r="A5458" s="8">
        <v>1968803</v>
      </c>
      <c r="B5458" s="11">
        <v>44594</v>
      </c>
      <c r="C5458" s="13" t="s">
        <v>6955</v>
      </c>
      <c r="D5458" s="13" t="s">
        <v>6956</v>
      </c>
      <c r="E5458" s="8">
        <v>20000</v>
      </c>
      <c r="F5458" s="13" t="s">
        <v>70</v>
      </c>
      <c r="G5458" s="14">
        <v>44602</v>
      </c>
      <c r="H5458" s="13" t="s">
        <v>35</v>
      </c>
    </row>
    <row r="5459" spans="1:8" ht="14.4" x14ac:dyDescent="0.3">
      <c r="A5459" s="8">
        <v>1968804</v>
      </c>
      <c r="B5459" s="11">
        <v>44594</v>
      </c>
      <c r="C5459" s="13" t="s">
        <v>6957</v>
      </c>
      <c r="D5459" s="13" t="s">
        <v>6958</v>
      </c>
      <c r="E5459" s="8">
        <v>10000</v>
      </c>
      <c r="F5459" s="13" t="s">
        <v>70</v>
      </c>
      <c r="G5459" s="14">
        <v>44607</v>
      </c>
      <c r="H5459" s="13" t="s">
        <v>35</v>
      </c>
    </row>
    <row r="5460" spans="1:8" ht="14.4" x14ac:dyDescent="0.3">
      <c r="A5460" s="8">
        <v>1968805</v>
      </c>
      <c r="B5460" s="11">
        <v>44594</v>
      </c>
      <c r="C5460" s="13" t="s">
        <v>6959</v>
      </c>
      <c r="D5460" s="13" t="s">
        <v>6960</v>
      </c>
      <c r="E5460" s="8">
        <v>20000</v>
      </c>
      <c r="F5460" s="13" t="s">
        <v>70</v>
      </c>
      <c r="G5460" s="14">
        <v>44596</v>
      </c>
      <c r="H5460" s="13" t="s">
        <v>35</v>
      </c>
    </row>
    <row r="5461" spans="1:8" ht="14.4" x14ac:dyDescent="0.3">
      <c r="A5461" s="8">
        <v>1968806</v>
      </c>
      <c r="B5461" s="11">
        <v>44594</v>
      </c>
      <c r="C5461" s="13" t="s">
        <v>6961</v>
      </c>
      <c r="D5461" s="13" t="s">
        <v>6962</v>
      </c>
      <c r="E5461" s="8">
        <v>30000</v>
      </c>
      <c r="F5461" s="13" t="s">
        <v>70</v>
      </c>
      <c r="G5461" s="14">
        <v>44609</v>
      </c>
      <c r="H5461" s="13" t="s">
        <v>35</v>
      </c>
    </row>
    <row r="5462" spans="1:8" ht="14.4" x14ac:dyDescent="0.3">
      <c r="A5462" s="8">
        <v>1968807</v>
      </c>
      <c r="B5462" s="11">
        <v>44594</v>
      </c>
      <c r="C5462" s="13" t="s">
        <v>6963</v>
      </c>
      <c r="D5462" s="13" t="s">
        <v>6964</v>
      </c>
      <c r="E5462" s="8">
        <v>24000</v>
      </c>
      <c r="F5462" s="13" t="s">
        <v>70</v>
      </c>
      <c r="G5462" s="14">
        <v>44608</v>
      </c>
      <c r="H5462" s="13" t="s">
        <v>35</v>
      </c>
    </row>
    <row r="5463" spans="1:8" ht="14.4" x14ac:dyDescent="0.3">
      <c r="A5463" s="8">
        <v>1968808</v>
      </c>
      <c r="B5463" s="11">
        <v>44594</v>
      </c>
      <c r="C5463" s="13" t="s">
        <v>6965</v>
      </c>
      <c r="D5463" s="13" t="s">
        <v>6966</v>
      </c>
      <c r="E5463" s="8">
        <v>30000</v>
      </c>
      <c r="F5463" s="13" t="s">
        <v>70</v>
      </c>
      <c r="G5463" s="14">
        <v>44608</v>
      </c>
      <c r="H5463" s="13" t="s">
        <v>35</v>
      </c>
    </row>
    <row r="5464" spans="1:8" ht="14.4" x14ac:dyDescent="0.3">
      <c r="A5464" s="8">
        <v>1968809</v>
      </c>
      <c r="B5464" s="11">
        <v>44594</v>
      </c>
      <c r="C5464" s="13" t="s">
        <v>6967</v>
      </c>
      <c r="D5464" s="13" t="s">
        <v>6968</v>
      </c>
      <c r="E5464" s="8">
        <v>10000</v>
      </c>
      <c r="F5464" s="13" t="s">
        <v>70</v>
      </c>
      <c r="G5464" s="14">
        <v>44607</v>
      </c>
      <c r="H5464" s="13" t="s">
        <v>35</v>
      </c>
    </row>
    <row r="5465" spans="1:8" ht="14.4" x14ac:dyDescent="0.3">
      <c r="A5465" s="8">
        <v>1968810</v>
      </c>
      <c r="B5465" s="11">
        <v>44594</v>
      </c>
      <c r="C5465" s="13" t="s">
        <v>6802</v>
      </c>
      <c r="D5465" s="13" t="s">
        <v>6969</v>
      </c>
      <c r="E5465" s="8">
        <v>35000</v>
      </c>
      <c r="F5465" s="13" t="s">
        <v>70</v>
      </c>
      <c r="G5465" s="14">
        <v>44596</v>
      </c>
      <c r="H5465" s="13" t="s">
        <v>35</v>
      </c>
    </row>
    <row r="5466" spans="1:8" ht="14.4" x14ac:dyDescent="0.3">
      <c r="A5466" s="8">
        <v>1968811</v>
      </c>
      <c r="B5466" s="11">
        <v>44594</v>
      </c>
      <c r="C5466" s="13" t="s">
        <v>6970</v>
      </c>
      <c r="D5466" s="13" t="s">
        <v>6971</v>
      </c>
      <c r="E5466" s="8">
        <v>10000</v>
      </c>
      <c r="F5466" s="13" t="s">
        <v>70</v>
      </c>
      <c r="G5466" s="14">
        <v>44603</v>
      </c>
      <c r="H5466" s="13" t="s">
        <v>35</v>
      </c>
    </row>
    <row r="5467" spans="1:8" ht="14.4" x14ac:dyDescent="0.3">
      <c r="A5467" s="8">
        <v>1968812</v>
      </c>
      <c r="B5467" s="11">
        <v>44594</v>
      </c>
      <c r="C5467" s="13" t="s">
        <v>6972</v>
      </c>
      <c r="D5467" s="13" t="s">
        <v>6973</v>
      </c>
      <c r="E5467" s="8">
        <v>50000</v>
      </c>
      <c r="F5467" s="13" t="s">
        <v>70</v>
      </c>
      <c r="G5467" s="14">
        <v>44608</v>
      </c>
      <c r="H5467" s="13" t="s">
        <v>35</v>
      </c>
    </row>
    <row r="5468" spans="1:8" ht="14.4" x14ac:dyDescent="0.3">
      <c r="A5468" s="8">
        <v>1968813</v>
      </c>
      <c r="B5468" s="11">
        <v>44594</v>
      </c>
      <c r="C5468" s="13" t="s">
        <v>6974</v>
      </c>
      <c r="D5468" s="13" t="s">
        <v>6975</v>
      </c>
      <c r="E5468" s="8">
        <v>30000</v>
      </c>
      <c r="F5468" s="13" t="s">
        <v>70</v>
      </c>
      <c r="G5468" s="14">
        <v>44609</v>
      </c>
      <c r="H5468" s="13" t="s">
        <v>35</v>
      </c>
    </row>
    <row r="5469" spans="1:8" ht="14.4" x14ac:dyDescent="0.3">
      <c r="A5469" s="8">
        <v>1968814</v>
      </c>
      <c r="B5469" s="11">
        <v>44594</v>
      </c>
      <c r="C5469" s="13" t="s">
        <v>6976</v>
      </c>
      <c r="D5469" s="13" t="s">
        <v>6977</v>
      </c>
      <c r="E5469" s="8">
        <v>20000</v>
      </c>
      <c r="F5469" s="13" t="s">
        <v>70</v>
      </c>
      <c r="G5469" s="14">
        <v>44607</v>
      </c>
      <c r="H5469" s="13" t="s">
        <v>35</v>
      </c>
    </row>
    <row r="5470" spans="1:8" ht="14.4" x14ac:dyDescent="0.3">
      <c r="A5470" s="8">
        <v>1968815</v>
      </c>
      <c r="B5470" s="11">
        <v>44594</v>
      </c>
      <c r="C5470" s="13" t="s">
        <v>6978</v>
      </c>
      <c r="D5470" s="13" t="s">
        <v>6979</v>
      </c>
      <c r="E5470" s="8">
        <v>8000</v>
      </c>
      <c r="F5470" s="13" t="s">
        <v>70</v>
      </c>
      <c r="G5470" s="14">
        <v>44607</v>
      </c>
      <c r="H5470" s="13" t="s">
        <v>35</v>
      </c>
    </row>
    <row r="5471" spans="1:8" ht="14.4" x14ac:dyDescent="0.3">
      <c r="A5471" s="8">
        <v>1968816</v>
      </c>
      <c r="B5471" s="11">
        <v>44594</v>
      </c>
      <c r="C5471" s="13" t="s">
        <v>6980</v>
      </c>
      <c r="D5471" s="13" t="s">
        <v>6981</v>
      </c>
      <c r="E5471" s="8">
        <v>26000</v>
      </c>
      <c r="F5471" s="13" t="s">
        <v>70</v>
      </c>
      <c r="G5471" s="14">
        <v>44603</v>
      </c>
      <c r="H5471" s="13" t="s">
        <v>35</v>
      </c>
    </row>
    <row r="5472" spans="1:8" ht="14.4" x14ac:dyDescent="0.3">
      <c r="A5472" s="8">
        <v>1968817</v>
      </c>
      <c r="B5472" s="11">
        <v>44594</v>
      </c>
      <c r="C5472" s="13" t="s">
        <v>6982</v>
      </c>
      <c r="D5472" s="13" t="s">
        <v>6983</v>
      </c>
      <c r="E5472" s="8">
        <v>10000</v>
      </c>
      <c r="F5472" s="13" t="s">
        <v>70</v>
      </c>
      <c r="G5472" s="14">
        <v>44607</v>
      </c>
      <c r="H5472" s="13" t="s">
        <v>35</v>
      </c>
    </row>
    <row r="5473" spans="1:8" ht="14.4" x14ac:dyDescent="0.3">
      <c r="A5473" s="8">
        <v>1968818</v>
      </c>
      <c r="B5473" s="11">
        <v>44594</v>
      </c>
      <c r="C5473" s="13" t="s">
        <v>6984</v>
      </c>
      <c r="D5473" s="13" t="s">
        <v>6985</v>
      </c>
      <c r="E5473" s="8">
        <v>10000</v>
      </c>
      <c r="F5473" s="13" t="s">
        <v>70</v>
      </c>
      <c r="G5473" s="14">
        <v>44610</v>
      </c>
      <c r="H5473" s="13" t="s">
        <v>35</v>
      </c>
    </row>
    <row r="5474" spans="1:8" ht="14.4" x14ac:dyDescent="0.3">
      <c r="A5474" s="8">
        <v>1968819</v>
      </c>
      <c r="B5474" s="11">
        <v>44594</v>
      </c>
      <c r="C5474" s="13" t="s">
        <v>6986</v>
      </c>
      <c r="D5474" s="13" t="s">
        <v>6987</v>
      </c>
      <c r="E5474" s="8">
        <v>20000</v>
      </c>
      <c r="F5474" s="13" t="s">
        <v>70</v>
      </c>
      <c r="G5474" s="14">
        <v>44603</v>
      </c>
      <c r="H5474" s="13" t="s">
        <v>35</v>
      </c>
    </row>
    <row r="5475" spans="1:8" ht="14.4" x14ac:dyDescent="0.3">
      <c r="A5475" s="8">
        <v>1968820</v>
      </c>
      <c r="B5475" s="11">
        <v>44594</v>
      </c>
      <c r="C5475" s="13" t="s">
        <v>6988</v>
      </c>
      <c r="D5475" s="13" t="s">
        <v>6989</v>
      </c>
      <c r="E5475" s="8">
        <v>15000</v>
      </c>
      <c r="F5475" s="13" t="s">
        <v>70</v>
      </c>
      <c r="G5475" s="14">
        <v>44610</v>
      </c>
      <c r="H5475" s="13" t="s">
        <v>35</v>
      </c>
    </row>
    <row r="5476" spans="1:8" ht="14.4" x14ac:dyDescent="0.3">
      <c r="A5476" s="8">
        <v>1968821</v>
      </c>
      <c r="B5476" s="11">
        <v>44594</v>
      </c>
      <c r="C5476" s="13" t="s">
        <v>6990</v>
      </c>
      <c r="D5476" s="13" t="s">
        <v>6991</v>
      </c>
      <c r="E5476" s="8">
        <v>10000</v>
      </c>
      <c r="F5476" s="13" t="s">
        <v>70</v>
      </c>
      <c r="G5476" s="14">
        <v>44609</v>
      </c>
      <c r="H5476" s="13" t="s">
        <v>35</v>
      </c>
    </row>
    <row r="5477" spans="1:8" ht="14.4" x14ac:dyDescent="0.3">
      <c r="A5477" s="8">
        <v>1968822</v>
      </c>
      <c r="B5477" s="11">
        <v>44594</v>
      </c>
      <c r="C5477" s="13" t="s">
        <v>6992</v>
      </c>
      <c r="D5477" s="13" t="s">
        <v>6993</v>
      </c>
      <c r="E5477" s="8">
        <v>20000</v>
      </c>
      <c r="F5477" s="13" t="s">
        <v>70</v>
      </c>
      <c r="G5477" s="14">
        <v>44603</v>
      </c>
      <c r="H5477" s="13" t="s">
        <v>35</v>
      </c>
    </row>
    <row r="5478" spans="1:8" ht="14.4" x14ac:dyDescent="0.3">
      <c r="A5478" s="8">
        <v>1968823</v>
      </c>
      <c r="B5478" s="11">
        <v>44594</v>
      </c>
      <c r="C5478" s="13" t="s">
        <v>6994</v>
      </c>
      <c r="D5478" s="13" t="s">
        <v>6995</v>
      </c>
      <c r="E5478" s="8">
        <v>12000</v>
      </c>
      <c r="F5478" s="13" t="s">
        <v>70</v>
      </c>
      <c r="G5478" s="14">
        <v>44596</v>
      </c>
      <c r="H5478" s="13" t="s">
        <v>35</v>
      </c>
    </row>
    <row r="5479" spans="1:8" ht="14.4" x14ac:dyDescent="0.3">
      <c r="A5479" s="8">
        <v>1968824</v>
      </c>
      <c r="B5479" s="11">
        <v>44594</v>
      </c>
      <c r="C5479" s="13" t="s">
        <v>601</v>
      </c>
      <c r="D5479" s="13" t="s">
        <v>6996</v>
      </c>
      <c r="E5479" s="8">
        <v>25000</v>
      </c>
      <c r="F5479" s="13" t="s">
        <v>70</v>
      </c>
      <c r="G5479" s="14">
        <v>44602</v>
      </c>
      <c r="H5479" s="13" t="s">
        <v>35</v>
      </c>
    </row>
    <row r="5480" spans="1:8" ht="14.4" x14ac:dyDescent="0.3">
      <c r="A5480" s="8">
        <v>1968825</v>
      </c>
      <c r="B5480" s="11">
        <v>44594</v>
      </c>
      <c r="C5480" s="13" t="s">
        <v>6997</v>
      </c>
      <c r="D5480" s="13" t="s">
        <v>6998</v>
      </c>
      <c r="E5480" s="8">
        <v>10000</v>
      </c>
      <c r="F5480" s="13" t="s">
        <v>70</v>
      </c>
      <c r="G5480" s="14">
        <v>44607</v>
      </c>
      <c r="H5480" s="13" t="s">
        <v>35</v>
      </c>
    </row>
    <row r="5481" spans="1:8" ht="14.4" x14ac:dyDescent="0.3">
      <c r="A5481" s="8">
        <v>1968826</v>
      </c>
      <c r="B5481" s="11">
        <v>44594</v>
      </c>
      <c r="C5481" s="13" t="s">
        <v>6794</v>
      </c>
      <c r="D5481" s="13" t="s">
        <v>6999</v>
      </c>
      <c r="E5481" s="8">
        <v>10000</v>
      </c>
      <c r="F5481" s="13" t="s">
        <v>70</v>
      </c>
      <c r="G5481" s="14">
        <v>44609</v>
      </c>
      <c r="H5481" s="13" t="s">
        <v>35</v>
      </c>
    </row>
    <row r="5482" spans="1:8" ht="14.4" x14ac:dyDescent="0.3">
      <c r="A5482" s="8">
        <v>1968827</v>
      </c>
      <c r="B5482" s="11">
        <v>44594</v>
      </c>
      <c r="C5482" s="13" t="s">
        <v>7000</v>
      </c>
      <c r="D5482" s="13" t="s">
        <v>7001</v>
      </c>
      <c r="E5482" s="8">
        <v>10000</v>
      </c>
      <c r="F5482" s="13" t="s">
        <v>70</v>
      </c>
      <c r="G5482" s="14">
        <v>44607</v>
      </c>
      <c r="H5482" s="13" t="s">
        <v>35</v>
      </c>
    </row>
    <row r="5483" spans="1:8" ht="14.4" x14ac:dyDescent="0.3">
      <c r="A5483" s="8">
        <v>1968828</v>
      </c>
      <c r="B5483" s="11">
        <v>44594</v>
      </c>
      <c r="C5483" s="13" t="s">
        <v>922</v>
      </c>
      <c r="D5483" s="13" t="s">
        <v>7002</v>
      </c>
      <c r="E5483" s="8">
        <v>35000</v>
      </c>
      <c r="F5483" s="13" t="s">
        <v>70</v>
      </c>
      <c r="G5483" s="14">
        <v>44607</v>
      </c>
      <c r="H5483" s="13" t="s">
        <v>35</v>
      </c>
    </row>
    <row r="5484" spans="1:8" ht="14.4" x14ac:dyDescent="0.3">
      <c r="A5484" s="8">
        <v>1968829</v>
      </c>
      <c r="B5484" s="11">
        <v>44594</v>
      </c>
      <c r="C5484" s="13" t="s">
        <v>7003</v>
      </c>
      <c r="D5484" s="13" t="s">
        <v>7004</v>
      </c>
      <c r="E5484" s="8">
        <v>8000</v>
      </c>
      <c r="F5484" s="13" t="s">
        <v>70</v>
      </c>
      <c r="G5484" s="14">
        <v>44608</v>
      </c>
      <c r="H5484" s="13" t="s">
        <v>35</v>
      </c>
    </row>
    <row r="5485" spans="1:8" ht="14.4" x14ac:dyDescent="0.3">
      <c r="A5485" s="8">
        <v>1968830</v>
      </c>
      <c r="B5485" s="11">
        <v>44594</v>
      </c>
      <c r="C5485" s="13" t="s">
        <v>7005</v>
      </c>
      <c r="D5485" s="13" t="s">
        <v>7006</v>
      </c>
      <c r="E5485" s="8">
        <v>8000</v>
      </c>
      <c r="F5485" s="13" t="s">
        <v>70</v>
      </c>
      <c r="G5485" s="14">
        <v>44607</v>
      </c>
      <c r="H5485" s="13" t="s">
        <v>35</v>
      </c>
    </row>
    <row r="5486" spans="1:8" ht="14.4" x14ac:dyDescent="0.3">
      <c r="A5486" s="8">
        <v>1968831</v>
      </c>
      <c r="B5486" s="11">
        <v>44594</v>
      </c>
      <c r="C5486" s="13" t="s">
        <v>1193</v>
      </c>
      <c r="D5486" s="13" t="s">
        <v>7007</v>
      </c>
      <c r="E5486" s="8">
        <v>15000</v>
      </c>
      <c r="F5486" s="13" t="s">
        <v>70</v>
      </c>
      <c r="G5486" s="14">
        <v>44599</v>
      </c>
      <c r="H5486" s="13" t="s">
        <v>35</v>
      </c>
    </row>
    <row r="5487" spans="1:8" ht="14.4" x14ac:dyDescent="0.3">
      <c r="A5487" s="8">
        <v>1968832</v>
      </c>
      <c r="B5487" s="11">
        <v>44594</v>
      </c>
      <c r="C5487" s="13" t="s">
        <v>7008</v>
      </c>
      <c r="D5487" s="13" t="s">
        <v>7009</v>
      </c>
      <c r="E5487" s="8">
        <v>15000</v>
      </c>
      <c r="F5487" s="13" t="s">
        <v>70</v>
      </c>
      <c r="G5487" s="14">
        <v>44609</v>
      </c>
      <c r="H5487" s="13" t="s">
        <v>35</v>
      </c>
    </row>
    <row r="5488" spans="1:8" ht="14.4" x14ac:dyDescent="0.3">
      <c r="A5488" s="8">
        <v>1968833</v>
      </c>
      <c r="B5488" s="11">
        <v>44594</v>
      </c>
      <c r="C5488" s="13" t="s">
        <v>7010</v>
      </c>
      <c r="D5488" s="13" t="s">
        <v>7011</v>
      </c>
      <c r="E5488" s="8">
        <v>20000</v>
      </c>
      <c r="F5488" s="13" t="s">
        <v>70</v>
      </c>
      <c r="G5488" s="14">
        <v>44607</v>
      </c>
      <c r="H5488" s="13" t="s">
        <v>35</v>
      </c>
    </row>
    <row r="5489" spans="1:8" ht="14.4" x14ac:dyDescent="0.3">
      <c r="A5489" s="8">
        <v>1968834</v>
      </c>
      <c r="B5489" s="11">
        <v>44594</v>
      </c>
      <c r="C5489" s="13" t="s">
        <v>7012</v>
      </c>
      <c r="D5489" s="13" t="s">
        <v>7013</v>
      </c>
      <c r="E5489" s="8">
        <v>18000</v>
      </c>
      <c r="F5489" s="13" t="s">
        <v>70</v>
      </c>
      <c r="G5489" s="14">
        <v>44596</v>
      </c>
      <c r="H5489" s="13" t="s">
        <v>35</v>
      </c>
    </row>
    <row r="5490" spans="1:8" ht="14.4" x14ac:dyDescent="0.3">
      <c r="A5490" s="8">
        <v>1968835</v>
      </c>
      <c r="B5490" s="11">
        <v>44594</v>
      </c>
      <c r="C5490" s="13" t="s">
        <v>7014</v>
      </c>
      <c r="D5490" s="13" t="s">
        <v>7015</v>
      </c>
      <c r="E5490" s="8">
        <v>50000</v>
      </c>
      <c r="F5490" s="13" t="s">
        <v>70</v>
      </c>
      <c r="G5490" s="14">
        <v>44596</v>
      </c>
      <c r="H5490" s="13" t="s">
        <v>35</v>
      </c>
    </row>
    <row r="5491" spans="1:8" ht="14.4" x14ac:dyDescent="0.3">
      <c r="A5491" s="8">
        <v>1968836</v>
      </c>
      <c r="B5491" s="11">
        <v>44594</v>
      </c>
      <c r="C5491" s="13" t="s">
        <v>7016</v>
      </c>
      <c r="D5491" s="13" t="s">
        <v>7017</v>
      </c>
      <c r="E5491" s="8">
        <v>10000</v>
      </c>
      <c r="F5491" s="13" t="s">
        <v>70</v>
      </c>
      <c r="G5491" s="14">
        <v>44607</v>
      </c>
      <c r="H5491" s="13" t="s">
        <v>35</v>
      </c>
    </row>
    <row r="5492" spans="1:8" ht="14.4" x14ac:dyDescent="0.3">
      <c r="A5492" s="8">
        <v>1968837</v>
      </c>
      <c r="B5492" s="11">
        <v>44594</v>
      </c>
      <c r="C5492" s="13" t="s">
        <v>7018</v>
      </c>
      <c r="D5492" s="13" t="s">
        <v>7019</v>
      </c>
      <c r="E5492" s="8">
        <v>40000</v>
      </c>
      <c r="F5492" s="13" t="s">
        <v>70</v>
      </c>
      <c r="G5492" s="14">
        <v>44607</v>
      </c>
      <c r="H5492" s="13" t="s">
        <v>35</v>
      </c>
    </row>
    <row r="5493" spans="1:8" ht="14.4" x14ac:dyDescent="0.3">
      <c r="A5493" s="8">
        <v>1968838</v>
      </c>
      <c r="B5493" s="11">
        <v>44594</v>
      </c>
      <c r="C5493" s="13" t="s">
        <v>7020</v>
      </c>
      <c r="D5493" s="13" t="s">
        <v>7021</v>
      </c>
      <c r="E5493" s="8">
        <v>15000</v>
      </c>
      <c r="F5493" s="13" t="s">
        <v>70</v>
      </c>
      <c r="G5493" s="14">
        <v>44602</v>
      </c>
      <c r="H5493" s="13" t="s">
        <v>35</v>
      </c>
    </row>
    <row r="5494" spans="1:8" ht="14.4" x14ac:dyDescent="0.3">
      <c r="A5494" s="8">
        <v>1968839</v>
      </c>
      <c r="B5494" s="11">
        <v>44594</v>
      </c>
      <c r="C5494" s="13" t="s">
        <v>7022</v>
      </c>
      <c r="D5494" s="13" t="s">
        <v>7023</v>
      </c>
      <c r="E5494" s="8">
        <v>20000</v>
      </c>
      <c r="F5494" s="13" t="s">
        <v>70</v>
      </c>
      <c r="G5494" s="14">
        <v>44607</v>
      </c>
      <c r="H5494" s="13" t="s">
        <v>35</v>
      </c>
    </row>
    <row r="5495" spans="1:8" ht="14.4" x14ac:dyDescent="0.3">
      <c r="A5495" s="8">
        <v>1968840</v>
      </c>
      <c r="B5495" s="11">
        <v>44594</v>
      </c>
      <c r="C5495" s="13" t="s">
        <v>6825</v>
      </c>
      <c r="D5495" s="13" t="s">
        <v>7024</v>
      </c>
      <c r="E5495" s="8">
        <v>10000</v>
      </c>
      <c r="F5495" s="13" t="s">
        <v>70</v>
      </c>
      <c r="G5495" s="14">
        <v>44596</v>
      </c>
      <c r="H5495" s="13" t="s">
        <v>35</v>
      </c>
    </row>
    <row r="5496" spans="1:8" ht="14.4" x14ac:dyDescent="0.3">
      <c r="A5496" s="8">
        <v>1968841</v>
      </c>
      <c r="B5496" s="11">
        <v>44594</v>
      </c>
      <c r="C5496" s="13" t="s">
        <v>7025</v>
      </c>
      <c r="D5496" s="13" t="s">
        <v>7026</v>
      </c>
      <c r="E5496" s="8">
        <v>11000</v>
      </c>
      <c r="F5496" s="13" t="s">
        <v>70</v>
      </c>
      <c r="G5496" s="14">
        <v>44608</v>
      </c>
      <c r="H5496" s="13" t="s">
        <v>35</v>
      </c>
    </row>
    <row r="5497" spans="1:8" ht="14.4" x14ac:dyDescent="0.3">
      <c r="A5497" s="8">
        <v>1968842</v>
      </c>
      <c r="B5497" s="11">
        <v>44594</v>
      </c>
      <c r="C5497" s="13" t="s">
        <v>7027</v>
      </c>
      <c r="D5497" s="13" t="s">
        <v>7028</v>
      </c>
      <c r="E5497" s="8">
        <v>20000</v>
      </c>
      <c r="F5497" s="13" t="s">
        <v>70</v>
      </c>
      <c r="G5497" s="14">
        <v>44608</v>
      </c>
      <c r="H5497" s="13" t="s">
        <v>35</v>
      </c>
    </row>
    <row r="5498" spans="1:8" ht="14.4" x14ac:dyDescent="0.3">
      <c r="A5498" s="8">
        <v>1968843</v>
      </c>
      <c r="B5498" s="11">
        <v>44594</v>
      </c>
      <c r="C5498" s="13" t="s">
        <v>7029</v>
      </c>
      <c r="D5498" s="13" t="s">
        <v>7030</v>
      </c>
      <c r="E5498" s="8">
        <v>10000</v>
      </c>
      <c r="F5498" s="13" t="s">
        <v>70</v>
      </c>
      <c r="G5498" s="14">
        <v>44608</v>
      </c>
      <c r="H5498" s="13" t="s">
        <v>35</v>
      </c>
    </row>
    <row r="5499" spans="1:8" ht="14.4" x14ac:dyDescent="0.3">
      <c r="A5499" s="8">
        <v>1968844</v>
      </c>
      <c r="B5499" s="11">
        <v>44594</v>
      </c>
      <c r="C5499" s="13" t="s">
        <v>7031</v>
      </c>
      <c r="D5499" s="13" t="s">
        <v>7032</v>
      </c>
      <c r="E5499" s="8">
        <v>15000</v>
      </c>
      <c r="F5499" s="13" t="s">
        <v>70</v>
      </c>
      <c r="G5499" s="14">
        <v>44607</v>
      </c>
      <c r="H5499" s="13" t="s">
        <v>35</v>
      </c>
    </row>
    <row r="5500" spans="1:8" ht="14.4" x14ac:dyDescent="0.3">
      <c r="A5500" s="8">
        <v>1968845</v>
      </c>
      <c r="B5500" s="11">
        <v>44594</v>
      </c>
      <c r="C5500" s="13" t="s">
        <v>7033</v>
      </c>
      <c r="D5500" s="13" t="s">
        <v>7034</v>
      </c>
      <c r="E5500" s="8">
        <v>18000</v>
      </c>
      <c r="F5500" s="13" t="s">
        <v>70</v>
      </c>
      <c r="G5500" s="14">
        <v>44607</v>
      </c>
      <c r="H5500" s="13" t="s">
        <v>35</v>
      </c>
    </row>
    <row r="5501" spans="1:8" ht="14.4" x14ac:dyDescent="0.3">
      <c r="A5501" s="8">
        <v>1968846</v>
      </c>
      <c r="B5501" s="11">
        <v>44594</v>
      </c>
      <c r="C5501" s="13" t="s">
        <v>7035</v>
      </c>
      <c r="D5501" s="13" t="s">
        <v>7036</v>
      </c>
      <c r="E5501" s="8">
        <v>33000</v>
      </c>
      <c r="F5501" s="13" t="s">
        <v>70</v>
      </c>
      <c r="G5501" s="14">
        <v>44608</v>
      </c>
      <c r="H5501" s="13" t="s">
        <v>35</v>
      </c>
    </row>
    <row r="5502" spans="1:8" ht="14.4" x14ac:dyDescent="0.3">
      <c r="A5502" s="8">
        <v>1968847</v>
      </c>
      <c r="B5502" s="11">
        <v>44594</v>
      </c>
      <c r="C5502" s="13" t="s">
        <v>7037</v>
      </c>
      <c r="D5502" s="13" t="s">
        <v>7038</v>
      </c>
      <c r="E5502" s="8">
        <v>10000</v>
      </c>
      <c r="F5502" s="13" t="s">
        <v>70</v>
      </c>
      <c r="G5502" s="14">
        <v>44608</v>
      </c>
      <c r="H5502" s="13" t="s">
        <v>35</v>
      </c>
    </row>
    <row r="5503" spans="1:8" ht="14.4" x14ac:dyDescent="0.3">
      <c r="A5503" s="8">
        <v>1968848</v>
      </c>
      <c r="B5503" s="11">
        <v>44594</v>
      </c>
      <c r="C5503" s="13" t="s">
        <v>7039</v>
      </c>
      <c r="D5503" s="13" t="s">
        <v>7040</v>
      </c>
      <c r="E5503" s="8">
        <v>14000</v>
      </c>
      <c r="F5503" s="13" t="s">
        <v>70</v>
      </c>
      <c r="G5503" s="14">
        <v>44607</v>
      </c>
      <c r="H5503" s="13" t="s">
        <v>35</v>
      </c>
    </row>
    <row r="5504" spans="1:8" ht="14.4" x14ac:dyDescent="0.3">
      <c r="A5504" s="8">
        <v>1968849</v>
      </c>
      <c r="B5504" s="11">
        <v>44594</v>
      </c>
      <c r="C5504" s="13" t="s">
        <v>7041</v>
      </c>
      <c r="D5504" s="13" t="s">
        <v>7042</v>
      </c>
      <c r="E5504" s="8">
        <v>45000</v>
      </c>
      <c r="F5504" s="13" t="s">
        <v>70</v>
      </c>
      <c r="G5504" s="14">
        <v>44609</v>
      </c>
      <c r="H5504" s="13" t="s">
        <v>35</v>
      </c>
    </row>
    <row r="5505" spans="1:8" ht="14.4" x14ac:dyDescent="0.3">
      <c r="A5505" s="8">
        <v>1968850</v>
      </c>
      <c r="B5505" s="11">
        <v>44594</v>
      </c>
      <c r="C5505" s="13" t="s">
        <v>7043</v>
      </c>
      <c r="D5505" s="13" t="s">
        <v>7044</v>
      </c>
      <c r="E5505" s="8">
        <v>9000</v>
      </c>
      <c r="F5505" s="13" t="s">
        <v>70</v>
      </c>
      <c r="G5505" s="14">
        <v>44608</v>
      </c>
      <c r="H5505" s="13" t="s">
        <v>35</v>
      </c>
    </row>
    <row r="5506" spans="1:8" ht="14.4" x14ac:dyDescent="0.3">
      <c r="A5506" s="8">
        <v>1968851</v>
      </c>
      <c r="B5506" s="11">
        <v>44594</v>
      </c>
      <c r="C5506" s="13" t="s">
        <v>7045</v>
      </c>
      <c r="D5506" s="13" t="s">
        <v>7046</v>
      </c>
      <c r="E5506" s="8">
        <v>8000</v>
      </c>
      <c r="F5506" s="13" t="s">
        <v>70</v>
      </c>
      <c r="G5506" s="14">
        <v>44606</v>
      </c>
      <c r="H5506" s="13" t="s">
        <v>35</v>
      </c>
    </row>
    <row r="5507" spans="1:8" ht="14.4" x14ac:dyDescent="0.3">
      <c r="A5507" s="8">
        <v>1968852</v>
      </c>
      <c r="B5507" s="11">
        <v>44594</v>
      </c>
      <c r="C5507" s="13" t="s">
        <v>7047</v>
      </c>
      <c r="D5507" s="13" t="s">
        <v>7048</v>
      </c>
      <c r="E5507" s="8">
        <v>30000</v>
      </c>
      <c r="F5507" s="13" t="s">
        <v>70</v>
      </c>
      <c r="G5507" s="14">
        <v>44599</v>
      </c>
      <c r="H5507" s="13" t="s">
        <v>35</v>
      </c>
    </row>
    <row r="5508" spans="1:8" ht="14.4" x14ac:dyDescent="0.3">
      <c r="A5508" s="8">
        <v>1968853</v>
      </c>
      <c r="B5508" s="11">
        <v>44594</v>
      </c>
      <c r="C5508" s="13" t="s">
        <v>7049</v>
      </c>
      <c r="D5508" s="13" t="s">
        <v>7050</v>
      </c>
      <c r="E5508" s="8">
        <v>10000</v>
      </c>
      <c r="F5508" s="13" t="s">
        <v>70</v>
      </c>
      <c r="G5508" s="14">
        <v>44608</v>
      </c>
      <c r="H5508" s="13" t="s">
        <v>35</v>
      </c>
    </row>
    <row r="5509" spans="1:8" ht="14.4" x14ac:dyDescent="0.3">
      <c r="A5509" s="8">
        <v>1968854</v>
      </c>
      <c r="B5509" s="11">
        <v>44594</v>
      </c>
      <c r="C5509" s="13" t="s">
        <v>7051</v>
      </c>
      <c r="D5509" s="13" t="s">
        <v>7052</v>
      </c>
      <c r="E5509" s="8">
        <v>30000</v>
      </c>
      <c r="F5509" s="13" t="s">
        <v>70</v>
      </c>
      <c r="G5509" s="14">
        <v>44600</v>
      </c>
      <c r="H5509" s="13" t="s">
        <v>35</v>
      </c>
    </row>
    <row r="5510" spans="1:8" ht="14.4" x14ac:dyDescent="0.3">
      <c r="A5510" s="8">
        <v>1968855</v>
      </c>
      <c r="B5510" s="11">
        <v>44594</v>
      </c>
      <c r="C5510" s="13" t="s">
        <v>7053</v>
      </c>
      <c r="D5510" s="13" t="s">
        <v>7054</v>
      </c>
      <c r="E5510" s="8">
        <v>50000</v>
      </c>
      <c r="F5510" s="13" t="s">
        <v>70</v>
      </c>
      <c r="G5510" s="14">
        <v>44607</v>
      </c>
      <c r="H5510" s="13" t="s">
        <v>35</v>
      </c>
    </row>
    <row r="5511" spans="1:8" ht="14.4" x14ac:dyDescent="0.3">
      <c r="A5511" s="8">
        <v>1968856</v>
      </c>
      <c r="B5511" s="11">
        <v>44594</v>
      </c>
      <c r="C5511" s="13" t="s">
        <v>7055</v>
      </c>
      <c r="D5511" s="13" t="s">
        <v>7056</v>
      </c>
      <c r="E5511" s="8">
        <v>8000</v>
      </c>
      <c r="F5511" s="13" t="s">
        <v>70</v>
      </c>
      <c r="G5511" s="14">
        <v>44607</v>
      </c>
      <c r="H5511" s="13" t="s">
        <v>35</v>
      </c>
    </row>
    <row r="5512" spans="1:8" ht="14.4" x14ac:dyDescent="0.3">
      <c r="A5512" s="8">
        <v>1968857</v>
      </c>
      <c r="B5512" s="11">
        <v>44594</v>
      </c>
      <c r="C5512" s="13" t="s">
        <v>7057</v>
      </c>
      <c r="D5512" s="13" t="s">
        <v>7058</v>
      </c>
      <c r="E5512" s="8">
        <v>12000</v>
      </c>
      <c r="F5512" s="13" t="s">
        <v>70</v>
      </c>
      <c r="G5512" s="14">
        <v>44607</v>
      </c>
      <c r="H5512" s="13" t="s">
        <v>35</v>
      </c>
    </row>
    <row r="5513" spans="1:8" ht="14.4" x14ac:dyDescent="0.3">
      <c r="A5513" s="8">
        <v>1968858</v>
      </c>
      <c r="B5513" s="11">
        <v>44594</v>
      </c>
      <c r="C5513" s="13" t="s">
        <v>7059</v>
      </c>
      <c r="D5513" s="13" t="s">
        <v>7060</v>
      </c>
      <c r="E5513" s="8">
        <v>18000</v>
      </c>
      <c r="F5513" s="13" t="s">
        <v>70</v>
      </c>
      <c r="G5513" s="14">
        <v>44607</v>
      </c>
      <c r="H5513" s="13" t="s">
        <v>35</v>
      </c>
    </row>
    <row r="5514" spans="1:8" ht="14.4" x14ac:dyDescent="0.3">
      <c r="A5514" s="8">
        <v>1968859</v>
      </c>
      <c r="B5514" s="11">
        <v>44594</v>
      </c>
      <c r="C5514" s="13" t="s">
        <v>7061</v>
      </c>
      <c r="D5514" s="13" t="s">
        <v>7062</v>
      </c>
      <c r="E5514" s="8">
        <v>10000</v>
      </c>
      <c r="F5514" s="13" t="s">
        <v>70</v>
      </c>
      <c r="G5514" s="14">
        <v>44636</v>
      </c>
      <c r="H5514" s="13" t="s">
        <v>35</v>
      </c>
    </row>
    <row r="5515" spans="1:8" ht="14.4" x14ac:dyDescent="0.3">
      <c r="A5515" s="8">
        <v>1968860</v>
      </c>
      <c r="B5515" s="11">
        <v>44594</v>
      </c>
      <c r="C5515" s="13" t="s">
        <v>7063</v>
      </c>
      <c r="D5515" s="13" t="s">
        <v>7064</v>
      </c>
      <c r="E5515" s="8">
        <v>15000</v>
      </c>
      <c r="F5515" s="13" t="s">
        <v>70</v>
      </c>
      <c r="G5515" s="14">
        <v>44607</v>
      </c>
      <c r="H5515" s="13" t="s">
        <v>35</v>
      </c>
    </row>
    <row r="5516" spans="1:8" ht="14.4" x14ac:dyDescent="0.3">
      <c r="A5516" s="8">
        <v>1968861</v>
      </c>
      <c r="B5516" s="11">
        <v>44594</v>
      </c>
      <c r="C5516" s="13" t="s">
        <v>7065</v>
      </c>
      <c r="D5516" s="13" t="s">
        <v>7066</v>
      </c>
      <c r="E5516" s="8">
        <v>25000</v>
      </c>
      <c r="F5516" s="13" t="s">
        <v>70</v>
      </c>
      <c r="G5516" s="14">
        <v>44599</v>
      </c>
      <c r="H5516" s="13" t="s">
        <v>35</v>
      </c>
    </row>
    <row r="5517" spans="1:8" ht="14.4" x14ac:dyDescent="0.3">
      <c r="A5517" s="8">
        <v>1968862</v>
      </c>
      <c r="B5517" s="11">
        <v>44594</v>
      </c>
      <c r="C5517" s="13" t="s">
        <v>7067</v>
      </c>
      <c r="D5517" s="13" t="s">
        <v>7068</v>
      </c>
      <c r="E5517" s="8">
        <v>50000</v>
      </c>
      <c r="F5517" s="13" t="s">
        <v>70</v>
      </c>
      <c r="G5517" s="14">
        <v>44628</v>
      </c>
      <c r="H5517" s="13" t="s">
        <v>35</v>
      </c>
    </row>
    <row r="5518" spans="1:8" ht="14.4" x14ac:dyDescent="0.3">
      <c r="A5518" s="8">
        <v>1968863</v>
      </c>
      <c r="B5518" s="11">
        <v>44594</v>
      </c>
      <c r="C5518" s="13" t="s">
        <v>7069</v>
      </c>
      <c r="D5518" s="13" t="s">
        <v>7070</v>
      </c>
      <c r="E5518" s="8">
        <v>12000</v>
      </c>
      <c r="F5518" s="13" t="s">
        <v>70</v>
      </c>
      <c r="G5518" s="14">
        <v>44608</v>
      </c>
      <c r="H5518" s="13" t="s">
        <v>35</v>
      </c>
    </row>
    <row r="5519" spans="1:8" ht="14.4" x14ac:dyDescent="0.3">
      <c r="A5519" s="8">
        <v>1968864</v>
      </c>
      <c r="B5519" s="11">
        <v>44594</v>
      </c>
      <c r="C5519" s="13" t="s">
        <v>7071</v>
      </c>
      <c r="D5519" s="13" t="s">
        <v>7072</v>
      </c>
      <c r="E5519" s="8">
        <v>7000</v>
      </c>
      <c r="F5519" s="13" t="s">
        <v>70</v>
      </c>
      <c r="G5519" s="14">
        <v>44607</v>
      </c>
      <c r="H5519" s="13" t="s">
        <v>35</v>
      </c>
    </row>
    <row r="5520" spans="1:8" ht="14.4" x14ac:dyDescent="0.3">
      <c r="A5520" s="8">
        <v>1968865</v>
      </c>
      <c r="B5520" s="11">
        <v>44594</v>
      </c>
      <c r="C5520" s="13" t="s">
        <v>7073</v>
      </c>
      <c r="D5520" s="13" t="s">
        <v>7074</v>
      </c>
      <c r="E5520" s="8">
        <v>12000</v>
      </c>
      <c r="F5520" s="13" t="s">
        <v>70</v>
      </c>
      <c r="G5520" s="14">
        <v>44607</v>
      </c>
      <c r="H5520" s="13" t="s">
        <v>35</v>
      </c>
    </row>
    <row r="5521" spans="1:8" ht="14.4" x14ac:dyDescent="0.3">
      <c r="A5521" s="8">
        <v>1968866</v>
      </c>
      <c r="B5521" s="11">
        <v>44594</v>
      </c>
      <c r="C5521" s="13" t="s">
        <v>6518</v>
      </c>
      <c r="D5521" s="13" t="s">
        <v>7075</v>
      </c>
      <c r="E5521" s="8">
        <v>3125.03</v>
      </c>
      <c r="F5521" s="13" t="s">
        <v>70</v>
      </c>
      <c r="G5521" s="14">
        <v>44596</v>
      </c>
      <c r="H5521" s="13" t="s">
        <v>35</v>
      </c>
    </row>
    <row r="5522" spans="1:8" ht="14.4" x14ac:dyDescent="0.3">
      <c r="A5522" s="8">
        <v>1968867</v>
      </c>
      <c r="B5522" s="11">
        <v>44594</v>
      </c>
      <c r="C5522" s="13" t="s">
        <v>265</v>
      </c>
      <c r="D5522" s="13" t="s">
        <v>7076</v>
      </c>
      <c r="E5522" s="8">
        <v>25000</v>
      </c>
      <c r="F5522" s="13" t="s">
        <v>70</v>
      </c>
      <c r="G5522" s="14">
        <v>44596</v>
      </c>
      <c r="H5522" s="13" t="s">
        <v>35</v>
      </c>
    </row>
    <row r="5523" spans="1:8" ht="14.4" x14ac:dyDescent="0.3">
      <c r="A5523" s="8">
        <v>1968869</v>
      </c>
      <c r="B5523" s="11">
        <v>44595</v>
      </c>
      <c r="C5523" s="13" t="s">
        <v>184</v>
      </c>
      <c r="D5523" s="13" t="s">
        <v>7077</v>
      </c>
      <c r="E5523" s="8">
        <v>145500</v>
      </c>
      <c r="F5523" s="13" t="s">
        <v>70</v>
      </c>
      <c r="G5523" s="14">
        <v>44595</v>
      </c>
      <c r="H5523" s="13" t="s">
        <v>35</v>
      </c>
    </row>
    <row r="5524" spans="1:8" ht="14.4" x14ac:dyDescent="0.3">
      <c r="A5524" s="8">
        <v>1968872</v>
      </c>
      <c r="B5524" s="11">
        <v>44595</v>
      </c>
      <c r="C5524" s="13" t="s">
        <v>6518</v>
      </c>
      <c r="D5524" s="13" t="s">
        <v>7078</v>
      </c>
      <c r="E5524" s="8">
        <v>1563.12</v>
      </c>
      <c r="F5524" s="13" t="s">
        <v>70</v>
      </c>
      <c r="G5524" s="14">
        <v>44706</v>
      </c>
      <c r="H5524" s="13" t="s">
        <v>35</v>
      </c>
    </row>
    <row r="5525" spans="1:8" ht="14.4" x14ac:dyDescent="0.3">
      <c r="A5525" s="8">
        <v>1968873</v>
      </c>
      <c r="B5525" s="11">
        <v>44595</v>
      </c>
      <c r="C5525" s="13" t="s">
        <v>279</v>
      </c>
      <c r="D5525" s="13" t="s">
        <v>7079</v>
      </c>
      <c r="E5525" s="8">
        <v>16589.5</v>
      </c>
      <c r="F5525" s="13" t="s">
        <v>70</v>
      </c>
      <c r="G5525" s="14">
        <v>44613</v>
      </c>
      <c r="H5525" s="13" t="s">
        <v>35</v>
      </c>
    </row>
    <row r="5526" spans="1:8" ht="14.4" x14ac:dyDescent="0.3">
      <c r="A5526" s="8">
        <v>1968874</v>
      </c>
      <c r="B5526" s="11">
        <v>44595</v>
      </c>
      <c r="C5526" s="13" t="s">
        <v>43</v>
      </c>
      <c r="D5526" s="13" t="s">
        <v>7080</v>
      </c>
      <c r="E5526" s="8">
        <v>268451.09999999998</v>
      </c>
      <c r="F5526" s="13" t="s">
        <v>70</v>
      </c>
      <c r="G5526" s="14">
        <v>44602</v>
      </c>
      <c r="H5526" s="13" t="s">
        <v>35</v>
      </c>
    </row>
    <row r="5527" spans="1:8" ht="14.4" x14ac:dyDescent="0.3">
      <c r="A5527" s="8">
        <v>1968875</v>
      </c>
      <c r="B5527" s="11">
        <v>44595</v>
      </c>
      <c r="C5527" s="13" t="s">
        <v>7081</v>
      </c>
      <c r="D5527" s="13" t="s">
        <v>7082</v>
      </c>
      <c r="E5527" s="8">
        <v>20000</v>
      </c>
      <c r="F5527" s="13" t="s">
        <v>70</v>
      </c>
      <c r="G5527" s="14">
        <v>44607</v>
      </c>
      <c r="H5527" s="13" t="s">
        <v>35</v>
      </c>
    </row>
    <row r="5528" spans="1:8" ht="14.4" x14ac:dyDescent="0.3">
      <c r="A5528" s="8">
        <v>1968876</v>
      </c>
      <c r="B5528" s="11">
        <v>44595</v>
      </c>
      <c r="C5528" s="13" t="s">
        <v>162</v>
      </c>
      <c r="D5528" s="13" t="s">
        <v>7083</v>
      </c>
      <c r="E5528" s="8">
        <v>32132.76</v>
      </c>
      <c r="F5528" s="13" t="s">
        <v>70</v>
      </c>
      <c r="G5528" s="14">
        <v>44608</v>
      </c>
      <c r="H5528" s="13" t="s">
        <v>35</v>
      </c>
    </row>
    <row r="5529" spans="1:8" ht="14.4" x14ac:dyDescent="0.3">
      <c r="A5529" s="8">
        <v>1968877</v>
      </c>
      <c r="B5529" s="11">
        <v>44595</v>
      </c>
      <c r="C5529" s="13" t="s">
        <v>162</v>
      </c>
      <c r="D5529" s="13" t="s">
        <v>7084</v>
      </c>
      <c r="E5529" s="8">
        <v>253922.44</v>
      </c>
      <c r="F5529" s="13" t="s">
        <v>70</v>
      </c>
      <c r="G5529" s="14">
        <v>44602</v>
      </c>
      <c r="H5529" s="13" t="s">
        <v>35</v>
      </c>
    </row>
    <row r="5530" spans="1:8" ht="14.4" x14ac:dyDescent="0.3">
      <c r="A5530" s="8">
        <v>1968878</v>
      </c>
      <c r="B5530" s="11">
        <v>44595</v>
      </c>
      <c r="C5530" s="13" t="s">
        <v>162</v>
      </c>
      <c r="D5530" s="13" t="s">
        <v>7085</v>
      </c>
      <c r="E5530" s="8">
        <v>38430.69</v>
      </c>
      <c r="F5530" s="13" t="s">
        <v>70</v>
      </c>
      <c r="G5530" s="14">
        <v>44608</v>
      </c>
      <c r="H5530" s="13" t="s">
        <v>35</v>
      </c>
    </row>
    <row r="5531" spans="1:8" ht="14.4" x14ac:dyDescent="0.3">
      <c r="A5531" s="8">
        <v>1968879</v>
      </c>
      <c r="B5531" s="11">
        <v>44595</v>
      </c>
      <c r="C5531" s="13" t="s">
        <v>162</v>
      </c>
      <c r="D5531" s="13" t="s">
        <v>7086</v>
      </c>
      <c r="E5531" s="8">
        <v>4848.5</v>
      </c>
      <c r="F5531" s="13" t="s">
        <v>70</v>
      </c>
      <c r="G5531" s="14">
        <v>44608</v>
      </c>
      <c r="H5531" s="13" t="s">
        <v>35</v>
      </c>
    </row>
    <row r="5532" spans="1:8" ht="14.4" x14ac:dyDescent="0.3">
      <c r="A5532" s="8">
        <v>1968880</v>
      </c>
      <c r="B5532" s="11">
        <v>44595</v>
      </c>
      <c r="C5532" s="13" t="s">
        <v>162</v>
      </c>
      <c r="D5532" s="13" t="s">
        <v>7087</v>
      </c>
      <c r="E5532" s="8">
        <v>25162.1</v>
      </c>
      <c r="F5532" s="13" t="s">
        <v>70</v>
      </c>
      <c r="G5532" s="14">
        <v>44608</v>
      </c>
      <c r="H5532" s="13" t="s">
        <v>35</v>
      </c>
    </row>
    <row r="5533" spans="1:8" ht="14.4" x14ac:dyDescent="0.3">
      <c r="A5533" s="8">
        <v>1968881</v>
      </c>
      <c r="B5533" s="11">
        <v>44595</v>
      </c>
      <c r="C5533" s="13" t="s">
        <v>162</v>
      </c>
      <c r="D5533" s="13" t="s">
        <v>7088</v>
      </c>
      <c r="E5533" s="8">
        <v>503808.18</v>
      </c>
      <c r="F5533" s="13" t="s">
        <v>70</v>
      </c>
      <c r="G5533" s="14">
        <v>44608</v>
      </c>
      <c r="H5533" s="13" t="s">
        <v>35</v>
      </c>
    </row>
    <row r="5534" spans="1:8" ht="14.4" x14ac:dyDescent="0.3">
      <c r="A5534" s="8">
        <v>1968882</v>
      </c>
      <c r="B5534" s="11">
        <v>44595</v>
      </c>
      <c r="C5534" s="13" t="s">
        <v>162</v>
      </c>
      <c r="D5534" s="13" t="s">
        <v>7089</v>
      </c>
      <c r="E5534" s="8">
        <v>595583.72</v>
      </c>
      <c r="F5534" s="13" t="s">
        <v>70</v>
      </c>
      <c r="G5534" s="14">
        <v>44608</v>
      </c>
      <c r="H5534" s="13" t="s">
        <v>35</v>
      </c>
    </row>
    <row r="5535" spans="1:8" ht="14.4" x14ac:dyDescent="0.3">
      <c r="A5535" s="8">
        <v>1968883</v>
      </c>
      <c r="B5535" s="11">
        <v>44595</v>
      </c>
      <c r="C5535" s="13" t="s">
        <v>162</v>
      </c>
      <c r="D5535" s="13" t="s">
        <v>7090</v>
      </c>
      <c r="E5535" s="8">
        <v>1160.92</v>
      </c>
      <c r="F5535" s="13" t="s">
        <v>70</v>
      </c>
      <c r="G5535" s="14">
        <v>44608</v>
      </c>
      <c r="H5535" s="13" t="s">
        <v>35</v>
      </c>
    </row>
    <row r="5536" spans="1:8" ht="14.4" x14ac:dyDescent="0.3">
      <c r="A5536" s="8">
        <v>1968884</v>
      </c>
      <c r="B5536" s="11">
        <v>44595</v>
      </c>
      <c r="C5536" s="13" t="s">
        <v>162</v>
      </c>
      <c r="D5536" s="13" t="s">
        <v>7091</v>
      </c>
      <c r="E5536" s="8">
        <v>3731.79</v>
      </c>
      <c r="F5536" s="13" t="s">
        <v>70</v>
      </c>
      <c r="G5536" s="14">
        <v>44608</v>
      </c>
      <c r="H5536" s="13" t="s">
        <v>35</v>
      </c>
    </row>
    <row r="5537" spans="1:8" ht="14.4" x14ac:dyDescent="0.3">
      <c r="A5537" s="8">
        <v>1968885</v>
      </c>
      <c r="B5537" s="11">
        <v>44595</v>
      </c>
      <c r="C5537" s="13" t="s">
        <v>162</v>
      </c>
      <c r="D5537" s="13" t="s">
        <v>7092</v>
      </c>
      <c r="E5537" s="8">
        <v>1134.67</v>
      </c>
      <c r="F5537" s="13" t="s">
        <v>70</v>
      </c>
      <c r="G5537" s="14">
        <v>44615</v>
      </c>
      <c r="H5537" s="13" t="s">
        <v>35</v>
      </c>
    </row>
    <row r="5538" spans="1:8" ht="14.4" x14ac:dyDescent="0.3">
      <c r="A5538" s="8">
        <v>1968886</v>
      </c>
      <c r="B5538" s="11">
        <v>44595</v>
      </c>
      <c r="C5538" s="13" t="s">
        <v>60</v>
      </c>
      <c r="D5538" s="13" t="s">
        <v>7093</v>
      </c>
      <c r="E5538" s="8">
        <v>1573012.01</v>
      </c>
      <c r="F5538" s="13" t="s">
        <v>70</v>
      </c>
      <c r="G5538" s="14">
        <v>44596</v>
      </c>
      <c r="H5538" s="13" t="s">
        <v>35</v>
      </c>
    </row>
    <row r="5539" spans="1:8" ht="14.4" x14ac:dyDescent="0.3">
      <c r="A5539" s="8">
        <v>1968887</v>
      </c>
      <c r="B5539" s="11">
        <v>44595</v>
      </c>
      <c r="C5539" s="13" t="s">
        <v>4191</v>
      </c>
      <c r="D5539" s="13" t="s">
        <v>7094</v>
      </c>
      <c r="E5539" s="8">
        <v>855657.31</v>
      </c>
      <c r="F5539" s="13" t="s">
        <v>70</v>
      </c>
      <c r="G5539" s="14">
        <v>44620</v>
      </c>
      <c r="H5539" s="13" t="s">
        <v>35</v>
      </c>
    </row>
    <row r="5540" spans="1:8" ht="14.4" x14ac:dyDescent="0.3">
      <c r="A5540" s="8">
        <v>1968888</v>
      </c>
      <c r="B5540" s="11">
        <v>44595</v>
      </c>
      <c r="C5540" s="13" t="s">
        <v>202</v>
      </c>
      <c r="D5540" s="13" t="s">
        <v>7095</v>
      </c>
      <c r="E5540" s="8">
        <v>1682542</v>
      </c>
      <c r="F5540" s="13" t="s">
        <v>70</v>
      </c>
      <c r="G5540" s="14">
        <v>44619</v>
      </c>
      <c r="H5540" s="13" t="s">
        <v>35</v>
      </c>
    </row>
    <row r="5541" spans="1:8" ht="14.4" x14ac:dyDescent="0.3">
      <c r="A5541" s="8">
        <v>1968889</v>
      </c>
      <c r="B5541" s="11">
        <v>44595</v>
      </c>
      <c r="C5541" s="13" t="s">
        <v>202</v>
      </c>
      <c r="D5541" s="13" t="s">
        <v>7096</v>
      </c>
      <c r="E5541" s="8">
        <v>941569.8</v>
      </c>
      <c r="F5541" s="13" t="s">
        <v>70</v>
      </c>
      <c r="G5541" s="14">
        <v>44599</v>
      </c>
      <c r="H5541" s="13" t="s">
        <v>35</v>
      </c>
    </row>
    <row r="5542" spans="1:8" ht="14.4" x14ac:dyDescent="0.3">
      <c r="A5542" s="8">
        <v>1968890</v>
      </c>
      <c r="B5542" s="11">
        <v>44595</v>
      </c>
      <c r="C5542" s="13" t="s">
        <v>259</v>
      </c>
      <c r="D5542" s="13" t="s">
        <v>7097</v>
      </c>
      <c r="E5542" s="8">
        <v>259443.16</v>
      </c>
      <c r="F5542" s="13" t="s">
        <v>70</v>
      </c>
      <c r="G5542" s="14">
        <v>44599</v>
      </c>
      <c r="H5542" s="13" t="s">
        <v>35</v>
      </c>
    </row>
    <row r="5543" spans="1:8" ht="14.4" x14ac:dyDescent="0.3">
      <c r="A5543" s="8">
        <v>1968891</v>
      </c>
      <c r="B5543" s="11">
        <v>44595</v>
      </c>
      <c r="C5543" s="13" t="s">
        <v>52</v>
      </c>
      <c r="D5543" s="13" t="s">
        <v>7098</v>
      </c>
      <c r="E5543" s="8">
        <v>170898.22</v>
      </c>
      <c r="F5543" s="13" t="s">
        <v>70</v>
      </c>
      <c r="G5543" s="14">
        <v>44600</v>
      </c>
      <c r="H5543" s="13" t="s">
        <v>35</v>
      </c>
    </row>
    <row r="5544" spans="1:8" ht="14.4" x14ac:dyDescent="0.3">
      <c r="A5544" s="8">
        <v>1968892</v>
      </c>
      <c r="B5544" s="11">
        <v>44595</v>
      </c>
      <c r="C5544" s="13" t="s">
        <v>1946</v>
      </c>
      <c r="D5544" s="13" t="s">
        <v>7099</v>
      </c>
      <c r="E5544" s="8">
        <v>129850</v>
      </c>
      <c r="F5544" s="13" t="s">
        <v>70</v>
      </c>
      <c r="G5544" s="14">
        <v>44599</v>
      </c>
      <c r="H5544" s="13" t="s">
        <v>35</v>
      </c>
    </row>
    <row r="5545" spans="1:8" ht="14.4" x14ac:dyDescent="0.3">
      <c r="A5545" s="8">
        <v>1968893</v>
      </c>
      <c r="B5545" s="11">
        <v>44595</v>
      </c>
      <c r="C5545" s="13" t="s">
        <v>7100</v>
      </c>
      <c r="D5545" s="13"/>
      <c r="E5545" s="8">
        <v>184476.43</v>
      </c>
      <c r="F5545" s="13" t="s">
        <v>70</v>
      </c>
      <c r="G5545" s="14">
        <v>44599</v>
      </c>
      <c r="H5545" s="13" t="s">
        <v>35</v>
      </c>
    </row>
    <row r="5546" spans="1:8" ht="14.4" x14ac:dyDescent="0.3">
      <c r="A5546" s="8">
        <v>1968894</v>
      </c>
      <c r="B5546" s="11">
        <v>44595</v>
      </c>
      <c r="C5546" s="13" t="s">
        <v>7101</v>
      </c>
      <c r="D5546" s="13" t="s">
        <v>7102</v>
      </c>
      <c r="E5546" s="8">
        <v>3186664.63</v>
      </c>
      <c r="F5546" s="13" t="s">
        <v>70</v>
      </c>
      <c r="G5546" s="14">
        <v>44596</v>
      </c>
      <c r="H5546" s="13" t="s">
        <v>35</v>
      </c>
    </row>
    <row r="5547" spans="1:8" ht="14.4" x14ac:dyDescent="0.3">
      <c r="A5547" s="8">
        <v>1968895</v>
      </c>
      <c r="B5547" s="11">
        <v>44595</v>
      </c>
      <c r="C5547" s="13" t="s">
        <v>7103</v>
      </c>
      <c r="D5547" s="13" t="s">
        <v>7104</v>
      </c>
      <c r="E5547" s="8">
        <v>1868810.58</v>
      </c>
      <c r="F5547" s="13" t="s">
        <v>70</v>
      </c>
      <c r="G5547" s="14">
        <v>44599</v>
      </c>
      <c r="H5547" s="13" t="s">
        <v>35</v>
      </c>
    </row>
    <row r="5548" spans="1:8" ht="14.4" x14ac:dyDescent="0.3">
      <c r="A5548" s="8">
        <v>1968896</v>
      </c>
      <c r="B5548" s="11">
        <v>44595</v>
      </c>
      <c r="C5548" s="13" t="s">
        <v>202</v>
      </c>
      <c r="D5548" s="13" t="s">
        <v>7105</v>
      </c>
      <c r="E5548" s="8">
        <v>562943.68999999994</v>
      </c>
      <c r="F5548" s="13" t="s">
        <v>70</v>
      </c>
      <c r="G5548" s="14">
        <v>44599</v>
      </c>
      <c r="H5548" s="13" t="s">
        <v>35</v>
      </c>
    </row>
    <row r="5549" spans="1:8" ht="14.4" x14ac:dyDescent="0.3">
      <c r="A5549" s="8">
        <v>1968897</v>
      </c>
      <c r="B5549" s="11">
        <v>44595</v>
      </c>
      <c r="C5549" s="13" t="s">
        <v>3190</v>
      </c>
      <c r="D5549" s="13" t="s">
        <v>7106</v>
      </c>
      <c r="E5549" s="8">
        <v>302301.56</v>
      </c>
      <c r="F5549" s="13" t="s">
        <v>70</v>
      </c>
      <c r="G5549" s="14">
        <v>44616</v>
      </c>
      <c r="H5549" s="13" t="s">
        <v>35</v>
      </c>
    </row>
    <row r="5550" spans="1:8" ht="14.4" x14ac:dyDescent="0.3">
      <c r="A5550" s="8">
        <v>1968898</v>
      </c>
      <c r="B5550" s="11">
        <v>44595</v>
      </c>
      <c r="C5550" s="13" t="s">
        <v>7107</v>
      </c>
      <c r="D5550" s="13" t="s">
        <v>7108</v>
      </c>
      <c r="E5550" s="8">
        <v>776481.54</v>
      </c>
      <c r="F5550" s="13" t="s">
        <v>70</v>
      </c>
      <c r="G5550" s="14">
        <v>44600</v>
      </c>
      <c r="H5550" s="13" t="s">
        <v>35</v>
      </c>
    </row>
    <row r="5551" spans="1:8" ht="14.4" x14ac:dyDescent="0.3">
      <c r="A5551" s="8">
        <v>1968899</v>
      </c>
      <c r="B5551" s="11">
        <v>44595</v>
      </c>
      <c r="C5551" s="13" t="s">
        <v>159</v>
      </c>
      <c r="D5551" s="13" t="s">
        <v>7109</v>
      </c>
      <c r="E5551" s="8">
        <v>263400</v>
      </c>
      <c r="F5551" s="13" t="s">
        <v>70</v>
      </c>
      <c r="G5551" s="14">
        <v>44596</v>
      </c>
      <c r="H5551" s="13" t="s">
        <v>35</v>
      </c>
    </row>
    <row r="5552" spans="1:8" ht="14.4" x14ac:dyDescent="0.3">
      <c r="A5552" s="8">
        <v>1968900</v>
      </c>
      <c r="B5552" s="11">
        <v>44595</v>
      </c>
      <c r="C5552" s="13" t="s">
        <v>506</v>
      </c>
      <c r="D5552" s="13" t="s">
        <v>7110</v>
      </c>
      <c r="E5552" s="8">
        <v>35000</v>
      </c>
      <c r="F5552" s="13" t="s">
        <v>70</v>
      </c>
      <c r="G5552" s="14">
        <v>44609</v>
      </c>
      <c r="H5552" s="13" t="s">
        <v>35</v>
      </c>
    </row>
    <row r="5553" spans="1:8" ht="14.4" x14ac:dyDescent="0.3">
      <c r="A5553" s="8">
        <v>1968901</v>
      </c>
      <c r="B5553" s="11">
        <v>44595</v>
      </c>
      <c r="C5553" s="13" t="s">
        <v>74</v>
      </c>
      <c r="D5553" s="13" t="s">
        <v>7111</v>
      </c>
      <c r="E5553" s="8">
        <v>25000</v>
      </c>
      <c r="F5553" s="13" t="s">
        <v>70</v>
      </c>
      <c r="G5553" s="14">
        <v>44609</v>
      </c>
      <c r="H5553" s="13" t="s">
        <v>35</v>
      </c>
    </row>
    <row r="5554" spans="1:8" ht="14.4" x14ac:dyDescent="0.3">
      <c r="A5554" s="8">
        <v>1968902</v>
      </c>
      <c r="B5554" s="11">
        <v>44595</v>
      </c>
      <c r="C5554" s="13" t="s">
        <v>162</v>
      </c>
      <c r="D5554" s="13" t="s">
        <v>7112</v>
      </c>
      <c r="E5554" s="8">
        <v>790043.81</v>
      </c>
      <c r="F5554" s="13" t="s">
        <v>70</v>
      </c>
      <c r="G5554" s="14">
        <v>44608</v>
      </c>
      <c r="H5554" s="13" t="s">
        <v>35</v>
      </c>
    </row>
    <row r="5555" spans="1:8" ht="14.4" x14ac:dyDescent="0.3">
      <c r="A5555" s="8">
        <v>1968903</v>
      </c>
      <c r="B5555" s="11">
        <v>44595</v>
      </c>
      <c r="C5555" s="13" t="s">
        <v>162</v>
      </c>
      <c r="D5555" s="13" t="s">
        <v>7113</v>
      </c>
      <c r="E5555" s="8">
        <v>50777.61</v>
      </c>
      <c r="F5555" s="13" t="s">
        <v>70</v>
      </c>
      <c r="G5555" s="14">
        <v>44608</v>
      </c>
      <c r="H5555" s="13" t="s">
        <v>35</v>
      </c>
    </row>
    <row r="5556" spans="1:8" ht="14.4" x14ac:dyDescent="0.3">
      <c r="A5556" s="8">
        <v>1968904</v>
      </c>
      <c r="B5556" s="11">
        <v>44595</v>
      </c>
      <c r="C5556" s="13" t="s">
        <v>1380</v>
      </c>
      <c r="D5556" s="13" t="s">
        <v>7114</v>
      </c>
      <c r="E5556" s="8">
        <v>561.55999999999995</v>
      </c>
      <c r="F5556" s="13" t="s">
        <v>70</v>
      </c>
      <c r="G5556" s="14">
        <v>44599</v>
      </c>
      <c r="H5556" s="13" t="s">
        <v>35</v>
      </c>
    </row>
    <row r="5557" spans="1:8" ht="14.4" x14ac:dyDescent="0.3">
      <c r="A5557" s="8">
        <v>1968905</v>
      </c>
      <c r="B5557" s="11">
        <v>44595</v>
      </c>
      <c r="C5557" s="13" t="s">
        <v>44</v>
      </c>
      <c r="D5557" s="13" t="s">
        <v>7115</v>
      </c>
      <c r="E5557" s="8">
        <v>3795.73</v>
      </c>
      <c r="F5557" s="13" t="s">
        <v>70</v>
      </c>
      <c r="G5557" s="14">
        <v>44600</v>
      </c>
      <c r="H5557" s="13" t="s">
        <v>35</v>
      </c>
    </row>
    <row r="5558" spans="1:8" ht="14.4" x14ac:dyDescent="0.3">
      <c r="A5558" s="8">
        <v>1968906</v>
      </c>
      <c r="B5558" s="11">
        <v>44595</v>
      </c>
      <c r="C5558" s="13" t="s">
        <v>669</v>
      </c>
      <c r="D5558" s="13" t="s">
        <v>7110</v>
      </c>
      <c r="E5558" s="8">
        <v>170000</v>
      </c>
      <c r="F5558" s="13" t="s">
        <v>70</v>
      </c>
      <c r="G5558" s="14">
        <v>44609</v>
      </c>
      <c r="H5558" s="13" t="s">
        <v>35</v>
      </c>
    </row>
    <row r="5559" spans="1:8" ht="14.4" x14ac:dyDescent="0.3">
      <c r="A5559" s="8">
        <v>1968907</v>
      </c>
      <c r="B5559" s="11">
        <v>44595</v>
      </c>
      <c r="C5559" s="13" t="s">
        <v>1033</v>
      </c>
      <c r="D5559" s="13" t="s">
        <v>7116</v>
      </c>
      <c r="E5559" s="8">
        <v>48500</v>
      </c>
      <c r="F5559" s="13" t="s">
        <v>70</v>
      </c>
      <c r="G5559" s="14">
        <v>44606</v>
      </c>
      <c r="H5559" s="13" t="s">
        <v>35</v>
      </c>
    </row>
    <row r="5560" spans="1:8" ht="14.4" x14ac:dyDescent="0.3">
      <c r="A5560" s="8">
        <v>1968908</v>
      </c>
      <c r="B5560" s="11">
        <v>44596</v>
      </c>
      <c r="C5560" s="13" t="s">
        <v>188</v>
      </c>
      <c r="D5560" s="13" t="s">
        <v>7117</v>
      </c>
      <c r="E5560" s="8">
        <v>837.9</v>
      </c>
      <c r="F5560" s="13" t="s">
        <v>70</v>
      </c>
      <c r="G5560" s="14">
        <v>44599</v>
      </c>
      <c r="H5560" s="13" t="s">
        <v>35</v>
      </c>
    </row>
    <row r="5561" spans="1:8" ht="14.4" x14ac:dyDescent="0.3">
      <c r="A5561" s="8">
        <v>1968909</v>
      </c>
      <c r="B5561" s="11">
        <v>44596</v>
      </c>
      <c r="C5561" s="13" t="s">
        <v>188</v>
      </c>
      <c r="D5561" s="13" t="s">
        <v>7118</v>
      </c>
      <c r="E5561" s="8">
        <v>3138.06</v>
      </c>
      <c r="F5561" s="13" t="s">
        <v>70</v>
      </c>
      <c r="G5561" s="14">
        <v>44599</v>
      </c>
      <c r="H5561" s="13" t="s">
        <v>35</v>
      </c>
    </row>
    <row r="5562" spans="1:8" ht="14.4" x14ac:dyDescent="0.3">
      <c r="A5562" s="8">
        <v>1968910</v>
      </c>
      <c r="B5562" s="11">
        <v>44596</v>
      </c>
      <c r="C5562" s="13" t="s">
        <v>188</v>
      </c>
      <c r="D5562" s="13" t="s">
        <v>7119</v>
      </c>
      <c r="E5562" s="8">
        <v>300</v>
      </c>
      <c r="F5562" s="13" t="s">
        <v>70</v>
      </c>
      <c r="G5562" s="14">
        <v>44599</v>
      </c>
      <c r="H5562" s="13" t="s">
        <v>35</v>
      </c>
    </row>
    <row r="5563" spans="1:8" ht="14.4" x14ac:dyDescent="0.3">
      <c r="A5563" s="8">
        <v>1968911</v>
      </c>
      <c r="B5563" s="11">
        <v>44596</v>
      </c>
      <c r="C5563" s="13" t="s">
        <v>188</v>
      </c>
      <c r="D5563" s="13" t="s">
        <v>7120</v>
      </c>
      <c r="E5563" s="8">
        <v>15150</v>
      </c>
      <c r="F5563" s="13" t="s">
        <v>70</v>
      </c>
      <c r="G5563" s="14">
        <v>44599</v>
      </c>
      <c r="H5563" s="13" t="s">
        <v>35</v>
      </c>
    </row>
    <row r="5564" spans="1:8" ht="14.4" x14ac:dyDescent="0.3">
      <c r="A5564" s="8">
        <v>1968912</v>
      </c>
      <c r="B5564" s="11">
        <v>44596</v>
      </c>
      <c r="C5564" s="13" t="s">
        <v>197</v>
      </c>
      <c r="D5564" s="13" t="s">
        <v>7121</v>
      </c>
      <c r="E5564" s="8">
        <v>1775579.09</v>
      </c>
      <c r="F5564" s="13" t="s">
        <v>70</v>
      </c>
      <c r="G5564" s="14">
        <v>44602</v>
      </c>
      <c r="H5564" s="13" t="s">
        <v>35</v>
      </c>
    </row>
    <row r="5565" spans="1:8" ht="14.4" x14ac:dyDescent="0.3">
      <c r="A5565" s="8">
        <v>1968913</v>
      </c>
      <c r="B5565" s="11">
        <v>44596</v>
      </c>
      <c r="C5565" s="13" t="s">
        <v>186</v>
      </c>
      <c r="D5565" s="13" t="s">
        <v>7121</v>
      </c>
      <c r="E5565" s="8">
        <v>1733572.89</v>
      </c>
      <c r="F5565" s="13" t="s">
        <v>70</v>
      </c>
      <c r="G5565" s="14">
        <v>44599</v>
      </c>
      <c r="H5565" s="13" t="s">
        <v>35</v>
      </c>
    </row>
    <row r="5566" spans="1:8" ht="14.4" x14ac:dyDescent="0.3">
      <c r="A5566" s="8">
        <v>1968914</v>
      </c>
      <c r="B5566" s="11">
        <v>44596</v>
      </c>
      <c r="C5566" s="13" t="s">
        <v>122</v>
      </c>
      <c r="D5566" s="13" t="s">
        <v>7122</v>
      </c>
      <c r="E5566" s="8">
        <v>566480</v>
      </c>
      <c r="F5566" s="13" t="s">
        <v>70</v>
      </c>
      <c r="G5566" s="14">
        <v>44600</v>
      </c>
      <c r="H5566" s="13" t="s">
        <v>35</v>
      </c>
    </row>
    <row r="5567" spans="1:8" ht="14.4" x14ac:dyDescent="0.3">
      <c r="A5567" s="8">
        <v>1968915</v>
      </c>
      <c r="B5567" s="11">
        <v>44596</v>
      </c>
      <c r="C5567" s="13" t="s">
        <v>122</v>
      </c>
      <c r="D5567" s="13" t="s">
        <v>7123</v>
      </c>
      <c r="E5567" s="8">
        <v>376360</v>
      </c>
      <c r="F5567" s="13" t="s">
        <v>70</v>
      </c>
      <c r="G5567" s="14">
        <v>44600</v>
      </c>
      <c r="H5567" s="13" t="s">
        <v>35</v>
      </c>
    </row>
    <row r="5568" spans="1:8" ht="14.4" x14ac:dyDescent="0.3">
      <c r="A5568" s="8">
        <v>1968916</v>
      </c>
      <c r="B5568" s="11">
        <v>44596</v>
      </c>
      <c r="C5568" s="13" t="s">
        <v>152</v>
      </c>
      <c r="D5568" s="13" t="s">
        <v>7124</v>
      </c>
      <c r="E5568" s="8">
        <v>7000</v>
      </c>
      <c r="F5568" s="13" t="s">
        <v>70</v>
      </c>
      <c r="G5568" s="14">
        <v>44600</v>
      </c>
      <c r="H5568" s="13" t="s">
        <v>35</v>
      </c>
    </row>
    <row r="5569" spans="1:8" ht="14.4" x14ac:dyDescent="0.3">
      <c r="A5569" s="8">
        <v>1968917</v>
      </c>
      <c r="B5569" s="11">
        <v>44596</v>
      </c>
      <c r="C5569" s="13" t="s">
        <v>1645</v>
      </c>
      <c r="D5569" s="13" t="s">
        <v>7125</v>
      </c>
      <c r="E5569" s="8">
        <v>5833.44</v>
      </c>
      <c r="F5569" s="13" t="s">
        <v>70</v>
      </c>
      <c r="G5569" s="14">
        <v>44599</v>
      </c>
      <c r="H5569" s="13" t="s">
        <v>35</v>
      </c>
    </row>
    <row r="5570" spans="1:8" ht="14.4" x14ac:dyDescent="0.3">
      <c r="A5570" s="8">
        <v>1968918</v>
      </c>
      <c r="B5570" s="11">
        <v>44596</v>
      </c>
      <c r="C5570" s="13" t="s">
        <v>152</v>
      </c>
      <c r="D5570" s="13" t="s">
        <v>7126</v>
      </c>
      <c r="E5570" s="8">
        <v>10000</v>
      </c>
      <c r="F5570" s="13" t="s">
        <v>70</v>
      </c>
      <c r="G5570" s="14">
        <v>44600</v>
      </c>
      <c r="H5570" s="13" t="s">
        <v>35</v>
      </c>
    </row>
    <row r="5571" spans="1:8" ht="14.4" x14ac:dyDescent="0.3">
      <c r="A5571" s="8">
        <v>1968919</v>
      </c>
      <c r="B5571" s="11">
        <v>44596</v>
      </c>
      <c r="C5571" s="13" t="s">
        <v>6957</v>
      </c>
      <c r="D5571" s="13" t="s">
        <v>7127</v>
      </c>
      <c r="E5571" s="8">
        <v>12000</v>
      </c>
      <c r="F5571" s="13" t="s">
        <v>70</v>
      </c>
      <c r="G5571" s="14">
        <v>44607</v>
      </c>
      <c r="H5571" s="13" t="s">
        <v>35</v>
      </c>
    </row>
    <row r="5572" spans="1:8" ht="14.4" x14ac:dyDescent="0.3">
      <c r="A5572" s="8">
        <v>1968920</v>
      </c>
      <c r="B5572" s="11">
        <v>44596</v>
      </c>
      <c r="C5572" s="13" t="s">
        <v>7128</v>
      </c>
      <c r="D5572" s="13" t="s">
        <v>7129</v>
      </c>
      <c r="E5572" s="8">
        <v>10000</v>
      </c>
      <c r="F5572" s="13" t="s">
        <v>70</v>
      </c>
      <c r="G5572" s="14">
        <v>44603</v>
      </c>
      <c r="H5572" s="13" t="s">
        <v>35</v>
      </c>
    </row>
    <row r="5573" spans="1:8" ht="14.4" x14ac:dyDescent="0.3">
      <c r="A5573" s="8">
        <v>1968921</v>
      </c>
      <c r="B5573" s="11">
        <v>44596</v>
      </c>
      <c r="C5573" s="13" t="s">
        <v>720</v>
      </c>
      <c r="D5573" s="13" t="s">
        <v>7130</v>
      </c>
      <c r="E5573" s="8">
        <v>20000</v>
      </c>
      <c r="F5573" s="13" t="s">
        <v>70</v>
      </c>
      <c r="G5573" s="14">
        <v>44603</v>
      </c>
      <c r="H5573" s="13" t="s">
        <v>35</v>
      </c>
    </row>
    <row r="5574" spans="1:8" ht="14.4" x14ac:dyDescent="0.3">
      <c r="A5574" s="8">
        <v>1968922</v>
      </c>
      <c r="B5574" s="11">
        <v>44596</v>
      </c>
      <c r="C5574" s="13" t="s">
        <v>7131</v>
      </c>
      <c r="D5574" s="13" t="s">
        <v>7132</v>
      </c>
      <c r="E5574" s="8">
        <v>2000</v>
      </c>
      <c r="F5574" s="13" t="s">
        <v>70</v>
      </c>
      <c r="G5574" s="14">
        <v>44602</v>
      </c>
      <c r="H5574" s="13" t="s">
        <v>35</v>
      </c>
    </row>
    <row r="5575" spans="1:8" ht="14.4" x14ac:dyDescent="0.3">
      <c r="A5575" s="8">
        <v>1968923</v>
      </c>
      <c r="B5575" s="11">
        <v>44596</v>
      </c>
      <c r="C5575" s="13" t="s">
        <v>7133</v>
      </c>
      <c r="D5575" s="13" t="s">
        <v>7134</v>
      </c>
      <c r="E5575" s="8">
        <v>4000</v>
      </c>
      <c r="F5575" s="13" t="s">
        <v>70</v>
      </c>
      <c r="G5575" s="14">
        <v>44603</v>
      </c>
      <c r="H5575" s="13" t="s">
        <v>35</v>
      </c>
    </row>
    <row r="5576" spans="1:8" ht="14.4" x14ac:dyDescent="0.3">
      <c r="A5576" s="8">
        <v>1968924</v>
      </c>
      <c r="B5576" s="11">
        <v>44596</v>
      </c>
      <c r="C5576" s="13" t="s">
        <v>7135</v>
      </c>
      <c r="D5576" s="13" t="s">
        <v>7136</v>
      </c>
      <c r="E5576" s="8">
        <v>4000</v>
      </c>
      <c r="F5576" s="13" t="s">
        <v>70</v>
      </c>
      <c r="G5576" s="14">
        <v>44602</v>
      </c>
      <c r="H5576" s="13" t="s">
        <v>35</v>
      </c>
    </row>
    <row r="5577" spans="1:8" ht="14.4" x14ac:dyDescent="0.3">
      <c r="A5577" s="8">
        <v>1968925</v>
      </c>
      <c r="B5577" s="11">
        <v>44596</v>
      </c>
      <c r="C5577" s="13" t="s">
        <v>7137</v>
      </c>
      <c r="D5577" s="13" t="s">
        <v>7138</v>
      </c>
      <c r="E5577" s="8">
        <v>8000</v>
      </c>
      <c r="F5577" s="13" t="s">
        <v>70</v>
      </c>
      <c r="G5577" s="14">
        <v>44602</v>
      </c>
      <c r="H5577" s="13" t="s">
        <v>35</v>
      </c>
    </row>
    <row r="5578" spans="1:8" ht="14.4" x14ac:dyDescent="0.3">
      <c r="A5578" s="8">
        <v>1968926</v>
      </c>
      <c r="B5578" s="11">
        <v>44596</v>
      </c>
      <c r="C5578" s="13" t="s">
        <v>7139</v>
      </c>
      <c r="D5578" s="13" t="s">
        <v>7140</v>
      </c>
      <c r="E5578" s="8">
        <v>6000</v>
      </c>
      <c r="F5578" s="13" t="s">
        <v>70</v>
      </c>
      <c r="G5578" s="14">
        <v>44602</v>
      </c>
      <c r="H5578" s="13" t="s">
        <v>35</v>
      </c>
    </row>
    <row r="5579" spans="1:8" ht="14.4" x14ac:dyDescent="0.3">
      <c r="A5579" s="8">
        <v>1968927</v>
      </c>
      <c r="B5579" s="11">
        <v>44596</v>
      </c>
      <c r="C5579" s="13" t="s">
        <v>7141</v>
      </c>
      <c r="D5579" s="13" t="s">
        <v>7142</v>
      </c>
      <c r="E5579" s="8">
        <v>2000</v>
      </c>
      <c r="F5579" s="13" t="s">
        <v>70</v>
      </c>
      <c r="G5579" s="14">
        <v>44603</v>
      </c>
      <c r="H5579" s="13" t="s">
        <v>35</v>
      </c>
    </row>
    <row r="5580" spans="1:8" ht="14.4" x14ac:dyDescent="0.3">
      <c r="A5580" s="8">
        <v>1968928</v>
      </c>
      <c r="B5580" s="11">
        <v>44596</v>
      </c>
      <c r="C5580" s="13" t="s">
        <v>7143</v>
      </c>
      <c r="D5580" s="13" t="s">
        <v>7144</v>
      </c>
      <c r="E5580" s="8">
        <v>2000</v>
      </c>
      <c r="F5580" s="13" t="s">
        <v>70</v>
      </c>
      <c r="G5580" s="14">
        <v>44603</v>
      </c>
      <c r="H5580" s="13" t="s">
        <v>35</v>
      </c>
    </row>
    <row r="5581" spans="1:8" ht="14.4" x14ac:dyDescent="0.3">
      <c r="A5581" s="8">
        <v>1968929</v>
      </c>
      <c r="B5581" s="11">
        <v>44596</v>
      </c>
      <c r="C5581" s="13" t="s">
        <v>7145</v>
      </c>
      <c r="D5581" s="13" t="s">
        <v>7146</v>
      </c>
      <c r="E5581" s="8">
        <v>2000</v>
      </c>
      <c r="F5581" s="13" t="s">
        <v>70</v>
      </c>
      <c r="G5581" s="14">
        <v>44606</v>
      </c>
      <c r="H5581" s="13" t="s">
        <v>35</v>
      </c>
    </row>
    <row r="5582" spans="1:8" ht="14.4" x14ac:dyDescent="0.3">
      <c r="A5582" s="8">
        <v>1968930</v>
      </c>
      <c r="B5582" s="11">
        <v>44596</v>
      </c>
      <c r="C5582" s="13" t="s">
        <v>7147</v>
      </c>
      <c r="D5582" s="13" t="s">
        <v>7148</v>
      </c>
      <c r="E5582" s="8">
        <v>2000</v>
      </c>
      <c r="F5582" s="13" t="s">
        <v>70</v>
      </c>
      <c r="G5582" s="14">
        <v>44603</v>
      </c>
      <c r="H5582" s="13" t="s">
        <v>35</v>
      </c>
    </row>
    <row r="5583" spans="1:8" ht="14.4" x14ac:dyDescent="0.3">
      <c r="A5583" s="8">
        <v>1968932</v>
      </c>
      <c r="B5583" s="11">
        <v>44596</v>
      </c>
      <c r="C5583" s="13" t="s">
        <v>7149</v>
      </c>
      <c r="D5583" s="13" t="s">
        <v>7150</v>
      </c>
      <c r="E5583" s="8">
        <v>2000</v>
      </c>
      <c r="F5583" s="13" t="s">
        <v>70</v>
      </c>
      <c r="G5583" s="14">
        <v>44603</v>
      </c>
      <c r="H5583" s="13" t="s">
        <v>35</v>
      </c>
    </row>
    <row r="5584" spans="1:8" ht="14.4" x14ac:dyDescent="0.3">
      <c r="A5584" s="8">
        <v>1968933</v>
      </c>
      <c r="B5584" s="11">
        <v>44596</v>
      </c>
      <c r="C5584" s="13" t="s">
        <v>7151</v>
      </c>
      <c r="D5584" s="13" t="s">
        <v>7152</v>
      </c>
      <c r="E5584" s="8">
        <v>2000</v>
      </c>
      <c r="F5584" s="13" t="s">
        <v>70</v>
      </c>
      <c r="G5584" s="14">
        <v>44602</v>
      </c>
      <c r="H5584" s="13" t="s">
        <v>35</v>
      </c>
    </row>
    <row r="5585" spans="1:8" ht="14.4" x14ac:dyDescent="0.3">
      <c r="A5585" s="8">
        <v>1968934</v>
      </c>
      <c r="B5585" s="11">
        <v>44596</v>
      </c>
      <c r="C5585" s="13" t="s">
        <v>7153</v>
      </c>
      <c r="D5585" s="13" t="s">
        <v>7154</v>
      </c>
      <c r="E5585" s="8">
        <v>2000</v>
      </c>
      <c r="F5585" s="13" t="s">
        <v>70</v>
      </c>
      <c r="G5585" s="14">
        <v>44602</v>
      </c>
      <c r="H5585" s="13" t="s">
        <v>35</v>
      </c>
    </row>
    <row r="5586" spans="1:8" ht="14.4" x14ac:dyDescent="0.3">
      <c r="A5586" s="8">
        <v>1968935</v>
      </c>
      <c r="B5586" s="11">
        <v>44596</v>
      </c>
      <c r="C5586" s="13" t="s">
        <v>7155</v>
      </c>
      <c r="D5586" s="13" t="s">
        <v>7156</v>
      </c>
      <c r="E5586" s="8">
        <v>2000</v>
      </c>
      <c r="F5586" s="13" t="s">
        <v>70</v>
      </c>
      <c r="G5586" s="14">
        <v>44602</v>
      </c>
      <c r="H5586" s="13" t="s">
        <v>35</v>
      </c>
    </row>
    <row r="5587" spans="1:8" ht="14.4" x14ac:dyDescent="0.3">
      <c r="A5587" s="8">
        <v>1968936</v>
      </c>
      <c r="B5587" s="11">
        <v>44596</v>
      </c>
      <c r="C5587" s="13" t="s">
        <v>7157</v>
      </c>
      <c r="D5587" s="13" t="s">
        <v>7158</v>
      </c>
      <c r="E5587" s="8">
        <v>2000</v>
      </c>
      <c r="F5587" s="13" t="s">
        <v>70</v>
      </c>
      <c r="G5587" s="14">
        <v>44603</v>
      </c>
      <c r="H5587" s="13" t="s">
        <v>35</v>
      </c>
    </row>
    <row r="5588" spans="1:8" ht="14.4" x14ac:dyDescent="0.3">
      <c r="A5588" s="8">
        <v>1968937</v>
      </c>
      <c r="B5588" s="11">
        <v>44596</v>
      </c>
      <c r="C5588" s="13" t="s">
        <v>7159</v>
      </c>
      <c r="D5588" s="13" t="s">
        <v>7160</v>
      </c>
      <c r="E5588" s="8">
        <v>6000</v>
      </c>
      <c r="F5588" s="13" t="s">
        <v>70</v>
      </c>
      <c r="G5588" s="14">
        <v>44606</v>
      </c>
      <c r="H5588" s="13" t="s">
        <v>35</v>
      </c>
    </row>
    <row r="5589" spans="1:8" ht="14.4" x14ac:dyDescent="0.3">
      <c r="A5589" s="8">
        <v>1968938</v>
      </c>
      <c r="B5589" s="11">
        <v>44596</v>
      </c>
      <c r="C5589" s="13" t="s">
        <v>6992</v>
      </c>
      <c r="D5589" s="13" t="s">
        <v>7161</v>
      </c>
      <c r="E5589" s="8">
        <v>20000</v>
      </c>
      <c r="F5589" s="13" t="s">
        <v>70</v>
      </c>
      <c r="G5589" s="14">
        <v>44603</v>
      </c>
      <c r="H5589" s="13" t="s">
        <v>35</v>
      </c>
    </row>
    <row r="5590" spans="1:8" ht="14.4" x14ac:dyDescent="0.3">
      <c r="A5590" s="8">
        <v>1968939</v>
      </c>
      <c r="B5590" s="11">
        <v>44596</v>
      </c>
      <c r="C5590" s="13" t="s">
        <v>7162</v>
      </c>
      <c r="D5590" s="13" t="s">
        <v>7163</v>
      </c>
      <c r="E5590" s="8">
        <v>4000</v>
      </c>
      <c r="F5590" s="13" t="s">
        <v>70</v>
      </c>
      <c r="G5590" s="14">
        <v>44600</v>
      </c>
      <c r="H5590" s="13" t="s">
        <v>35</v>
      </c>
    </row>
    <row r="5591" spans="1:8" ht="14.4" x14ac:dyDescent="0.3">
      <c r="A5591" s="8">
        <v>1968940</v>
      </c>
      <c r="B5591" s="11">
        <v>44596</v>
      </c>
      <c r="C5591" s="13" t="s">
        <v>7164</v>
      </c>
      <c r="D5591" s="13" t="s">
        <v>7165</v>
      </c>
      <c r="E5591" s="8">
        <v>2000</v>
      </c>
      <c r="F5591" s="13" t="s">
        <v>70</v>
      </c>
      <c r="G5591" s="14">
        <v>44603</v>
      </c>
      <c r="H5591" s="13" t="s">
        <v>35</v>
      </c>
    </row>
    <row r="5592" spans="1:8" ht="14.4" x14ac:dyDescent="0.3">
      <c r="A5592" s="8">
        <v>1968941</v>
      </c>
      <c r="B5592" s="11">
        <v>44596</v>
      </c>
      <c r="C5592" s="13" t="s">
        <v>7166</v>
      </c>
      <c r="D5592" s="13" t="s">
        <v>7167</v>
      </c>
      <c r="E5592" s="8">
        <v>4000</v>
      </c>
      <c r="F5592" s="13" t="s">
        <v>70</v>
      </c>
      <c r="G5592" s="14">
        <v>44603</v>
      </c>
      <c r="H5592" s="13" t="s">
        <v>35</v>
      </c>
    </row>
    <row r="5593" spans="1:8" ht="14.4" x14ac:dyDescent="0.3">
      <c r="A5593" s="8">
        <v>1968942</v>
      </c>
      <c r="B5593" s="11">
        <v>44596</v>
      </c>
      <c r="C5593" s="13" t="s">
        <v>7168</v>
      </c>
      <c r="D5593" s="13" t="s">
        <v>7169</v>
      </c>
      <c r="E5593" s="8">
        <v>6000</v>
      </c>
      <c r="F5593" s="13" t="s">
        <v>70</v>
      </c>
      <c r="G5593" s="14">
        <v>44608</v>
      </c>
      <c r="H5593" s="13" t="s">
        <v>35</v>
      </c>
    </row>
    <row r="5594" spans="1:8" ht="14.4" x14ac:dyDescent="0.3">
      <c r="A5594" s="8">
        <v>1968943</v>
      </c>
      <c r="B5594" s="11">
        <v>44596</v>
      </c>
      <c r="C5594" s="13" t="s">
        <v>7170</v>
      </c>
      <c r="D5594" s="13" t="s">
        <v>7171</v>
      </c>
      <c r="E5594" s="8">
        <v>8000</v>
      </c>
      <c r="F5594" s="13" t="s">
        <v>70</v>
      </c>
      <c r="G5594" s="14">
        <v>44602</v>
      </c>
      <c r="H5594" s="13" t="s">
        <v>35</v>
      </c>
    </row>
    <row r="5595" spans="1:8" ht="14.4" x14ac:dyDescent="0.3">
      <c r="A5595" s="8">
        <v>1968944</v>
      </c>
      <c r="B5595" s="11">
        <v>44596</v>
      </c>
      <c r="C5595" s="13" t="s">
        <v>7172</v>
      </c>
      <c r="D5595" s="13" t="s">
        <v>7173</v>
      </c>
      <c r="E5595" s="8">
        <v>2000</v>
      </c>
      <c r="F5595" s="13" t="s">
        <v>70</v>
      </c>
      <c r="G5595" s="14">
        <v>44606</v>
      </c>
      <c r="H5595" s="13" t="s">
        <v>35</v>
      </c>
    </row>
    <row r="5596" spans="1:8" ht="14.4" x14ac:dyDescent="0.3">
      <c r="A5596" s="8">
        <v>1968945</v>
      </c>
      <c r="B5596" s="11">
        <v>44596</v>
      </c>
      <c r="C5596" s="13" t="s">
        <v>7174</v>
      </c>
      <c r="D5596" s="13" t="s">
        <v>7175</v>
      </c>
      <c r="E5596" s="8">
        <v>2000</v>
      </c>
      <c r="F5596" s="13" t="s">
        <v>70</v>
      </c>
      <c r="G5596" s="14">
        <v>44603</v>
      </c>
      <c r="H5596" s="13" t="s">
        <v>35</v>
      </c>
    </row>
    <row r="5597" spans="1:8" ht="14.4" x14ac:dyDescent="0.3">
      <c r="A5597" s="8">
        <v>1968946</v>
      </c>
      <c r="B5597" s="11">
        <v>44596</v>
      </c>
      <c r="C5597" s="13" t="s">
        <v>122</v>
      </c>
      <c r="D5597" s="13" t="s">
        <v>7176</v>
      </c>
      <c r="E5597" s="8">
        <v>12000</v>
      </c>
      <c r="F5597" s="13" t="s">
        <v>70</v>
      </c>
      <c r="G5597" s="14">
        <v>44600</v>
      </c>
      <c r="H5597" s="13" t="s">
        <v>35</v>
      </c>
    </row>
    <row r="5598" spans="1:8" ht="14.4" x14ac:dyDescent="0.3">
      <c r="A5598" s="8">
        <v>1968947</v>
      </c>
      <c r="B5598" s="11">
        <v>44596</v>
      </c>
      <c r="C5598" s="13" t="s">
        <v>7177</v>
      </c>
      <c r="D5598" s="13" t="s">
        <v>7178</v>
      </c>
      <c r="E5598" s="8">
        <v>10000</v>
      </c>
      <c r="F5598" s="13" t="s">
        <v>70</v>
      </c>
      <c r="G5598" s="14">
        <v>44602</v>
      </c>
      <c r="H5598" s="13" t="s">
        <v>35</v>
      </c>
    </row>
    <row r="5599" spans="1:8" ht="14.4" x14ac:dyDescent="0.3">
      <c r="A5599" s="8">
        <v>1968948</v>
      </c>
      <c r="B5599" s="11">
        <v>44596</v>
      </c>
      <c r="C5599" s="13" t="s">
        <v>7179</v>
      </c>
      <c r="D5599" s="13" t="s">
        <v>7180</v>
      </c>
      <c r="E5599" s="8">
        <v>6000</v>
      </c>
      <c r="F5599" s="13" t="s">
        <v>70</v>
      </c>
      <c r="G5599" s="14">
        <v>44607</v>
      </c>
      <c r="H5599" s="13" t="s">
        <v>35</v>
      </c>
    </row>
    <row r="5600" spans="1:8" ht="14.4" x14ac:dyDescent="0.3">
      <c r="A5600" s="8">
        <v>1968949</v>
      </c>
      <c r="B5600" s="11">
        <v>44596</v>
      </c>
      <c r="C5600" s="13" t="s">
        <v>7181</v>
      </c>
      <c r="D5600" s="13" t="s">
        <v>7182</v>
      </c>
      <c r="E5600" s="8">
        <v>6000</v>
      </c>
      <c r="F5600" s="13" t="s">
        <v>70</v>
      </c>
      <c r="G5600" s="14">
        <v>44608</v>
      </c>
      <c r="H5600" s="13" t="s">
        <v>35</v>
      </c>
    </row>
    <row r="5601" spans="1:8" ht="14.4" x14ac:dyDescent="0.3">
      <c r="A5601" s="8">
        <v>1968950</v>
      </c>
      <c r="B5601" s="11">
        <v>44596</v>
      </c>
      <c r="C5601" s="13" t="s">
        <v>912</v>
      </c>
      <c r="D5601" s="13" t="s">
        <v>7183</v>
      </c>
      <c r="E5601" s="8">
        <v>6000</v>
      </c>
      <c r="F5601" s="13" t="s">
        <v>70</v>
      </c>
      <c r="G5601" s="14">
        <v>44603</v>
      </c>
      <c r="H5601" s="13" t="s">
        <v>35</v>
      </c>
    </row>
    <row r="5602" spans="1:8" ht="14.4" x14ac:dyDescent="0.3">
      <c r="A5602" s="8">
        <v>1968951</v>
      </c>
      <c r="B5602" s="11">
        <v>44596</v>
      </c>
      <c r="C5602" s="13" t="s">
        <v>7184</v>
      </c>
      <c r="D5602" s="13" t="s">
        <v>7185</v>
      </c>
      <c r="E5602" s="8">
        <v>16000</v>
      </c>
      <c r="F5602" s="13" t="s">
        <v>70</v>
      </c>
      <c r="G5602" s="14">
        <v>44602</v>
      </c>
      <c r="H5602" s="13" t="s">
        <v>35</v>
      </c>
    </row>
    <row r="5603" spans="1:8" ht="14.4" x14ac:dyDescent="0.3">
      <c r="A5603" s="8">
        <v>1968952</v>
      </c>
      <c r="B5603" s="11">
        <v>44596</v>
      </c>
      <c r="C5603" s="13" t="s">
        <v>7186</v>
      </c>
      <c r="D5603" s="13" t="s">
        <v>7187</v>
      </c>
      <c r="E5603" s="8">
        <v>4000</v>
      </c>
      <c r="F5603" s="13" t="s">
        <v>70</v>
      </c>
      <c r="G5603" s="14">
        <v>44603</v>
      </c>
      <c r="H5603" s="13" t="s">
        <v>35</v>
      </c>
    </row>
    <row r="5604" spans="1:8" ht="14.4" x14ac:dyDescent="0.3">
      <c r="A5604" s="8">
        <v>1968953</v>
      </c>
      <c r="B5604" s="11">
        <v>44596</v>
      </c>
      <c r="C5604" s="13" t="s">
        <v>7188</v>
      </c>
      <c r="D5604" s="13" t="s">
        <v>7189</v>
      </c>
      <c r="E5604" s="8">
        <v>2000</v>
      </c>
      <c r="F5604" s="13" t="s">
        <v>70</v>
      </c>
      <c r="G5604" s="14">
        <v>44603</v>
      </c>
      <c r="H5604" s="13" t="s">
        <v>35</v>
      </c>
    </row>
    <row r="5605" spans="1:8" ht="14.4" x14ac:dyDescent="0.3">
      <c r="A5605" s="8">
        <v>1968954</v>
      </c>
      <c r="B5605" s="11">
        <v>44596</v>
      </c>
      <c r="C5605" s="13" t="s">
        <v>7190</v>
      </c>
      <c r="D5605" s="13" t="s">
        <v>7191</v>
      </c>
      <c r="E5605" s="8">
        <v>2000</v>
      </c>
      <c r="F5605" s="13" t="s">
        <v>70</v>
      </c>
      <c r="G5605" s="14">
        <v>44602</v>
      </c>
      <c r="H5605" s="13" t="s">
        <v>35</v>
      </c>
    </row>
    <row r="5606" spans="1:8" ht="14.4" x14ac:dyDescent="0.3">
      <c r="A5606" s="8">
        <v>1968955</v>
      </c>
      <c r="B5606" s="11">
        <v>44596</v>
      </c>
      <c r="C5606" s="13" t="s">
        <v>7192</v>
      </c>
      <c r="D5606" s="13" t="s">
        <v>7193</v>
      </c>
      <c r="E5606" s="8">
        <v>20000</v>
      </c>
      <c r="F5606" s="13" t="s">
        <v>70</v>
      </c>
      <c r="G5606" s="14">
        <v>44603</v>
      </c>
      <c r="H5606" s="13" t="s">
        <v>35</v>
      </c>
    </row>
    <row r="5607" spans="1:8" ht="14.4" x14ac:dyDescent="0.3">
      <c r="A5607" s="8">
        <v>1968956</v>
      </c>
      <c r="B5607" s="11">
        <v>44596</v>
      </c>
      <c r="C5607" s="13" t="s">
        <v>7194</v>
      </c>
      <c r="D5607" s="13" t="s">
        <v>7195</v>
      </c>
      <c r="E5607" s="8">
        <v>10000</v>
      </c>
      <c r="F5607" s="13" t="s">
        <v>70</v>
      </c>
      <c r="G5607" s="14">
        <v>44609</v>
      </c>
      <c r="H5607" s="13" t="s">
        <v>35</v>
      </c>
    </row>
    <row r="5608" spans="1:8" ht="14.4" x14ac:dyDescent="0.3">
      <c r="A5608" s="8">
        <v>1968957</v>
      </c>
      <c r="B5608" s="11">
        <v>44596</v>
      </c>
      <c r="C5608" s="13" t="s">
        <v>7196</v>
      </c>
      <c r="D5608" s="13" t="s">
        <v>7197</v>
      </c>
      <c r="E5608" s="8">
        <v>4000</v>
      </c>
      <c r="F5608" s="13" t="s">
        <v>70</v>
      </c>
      <c r="G5608" s="14">
        <v>44607</v>
      </c>
      <c r="H5608" s="13" t="s">
        <v>35</v>
      </c>
    </row>
    <row r="5609" spans="1:8" ht="14.4" x14ac:dyDescent="0.3">
      <c r="A5609" s="8">
        <v>1968958</v>
      </c>
      <c r="B5609" s="11">
        <v>44596</v>
      </c>
      <c r="C5609" s="13" t="s">
        <v>7198</v>
      </c>
      <c r="D5609" s="13" t="s">
        <v>7199</v>
      </c>
      <c r="E5609" s="8">
        <v>2000</v>
      </c>
      <c r="F5609" s="13" t="s">
        <v>70</v>
      </c>
      <c r="G5609" s="14">
        <v>44603</v>
      </c>
      <c r="H5609" s="13" t="s">
        <v>35</v>
      </c>
    </row>
    <row r="5610" spans="1:8" ht="14.4" x14ac:dyDescent="0.3">
      <c r="A5610" s="8">
        <v>1968959</v>
      </c>
      <c r="B5610" s="11">
        <v>44596</v>
      </c>
      <c r="C5610" s="13" t="s">
        <v>7200</v>
      </c>
      <c r="D5610" s="13" t="s">
        <v>7201</v>
      </c>
      <c r="E5610" s="8">
        <v>40000</v>
      </c>
      <c r="F5610" s="13" t="s">
        <v>70</v>
      </c>
      <c r="G5610" s="14">
        <v>44606</v>
      </c>
      <c r="H5610" s="13" t="s">
        <v>35</v>
      </c>
    </row>
    <row r="5611" spans="1:8" ht="14.4" x14ac:dyDescent="0.3">
      <c r="A5611" s="8">
        <v>1968960</v>
      </c>
      <c r="B5611" s="11">
        <v>44596</v>
      </c>
      <c r="C5611" s="13" t="s">
        <v>893</v>
      </c>
      <c r="D5611" s="13" t="s">
        <v>7202</v>
      </c>
      <c r="E5611" s="8">
        <v>275700</v>
      </c>
      <c r="F5611" s="13" t="s">
        <v>70</v>
      </c>
      <c r="G5611" s="14">
        <v>44609</v>
      </c>
      <c r="H5611" s="13" t="s">
        <v>35</v>
      </c>
    </row>
    <row r="5612" spans="1:8" ht="14.4" x14ac:dyDescent="0.3">
      <c r="A5612" s="8">
        <v>1968961</v>
      </c>
      <c r="B5612" s="11">
        <v>44596</v>
      </c>
      <c r="C5612" s="13" t="s">
        <v>7203</v>
      </c>
      <c r="D5612" s="13" t="s">
        <v>7204</v>
      </c>
      <c r="E5612" s="8">
        <v>10000</v>
      </c>
      <c r="F5612" s="13" t="s">
        <v>70</v>
      </c>
      <c r="G5612" s="14">
        <v>44606</v>
      </c>
      <c r="H5612" s="13" t="s">
        <v>35</v>
      </c>
    </row>
    <row r="5613" spans="1:8" ht="14.4" x14ac:dyDescent="0.3">
      <c r="A5613" s="8">
        <v>1968962</v>
      </c>
      <c r="B5613" s="11">
        <v>44596</v>
      </c>
      <c r="C5613" s="13" t="s">
        <v>50</v>
      </c>
      <c r="D5613" s="13" t="s">
        <v>7205</v>
      </c>
      <c r="E5613" s="8">
        <v>12000</v>
      </c>
      <c r="F5613" s="13" t="s">
        <v>70</v>
      </c>
      <c r="G5613" s="14">
        <v>44603</v>
      </c>
      <c r="H5613" s="13" t="s">
        <v>35</v>
      </c>
    </row>
    <row r="5614" spans="1:8" ht="14.4" x14ac:dyDescent="0.3">
      <c r="A5614" s="8">
        <v>1968963</v>
      </c>
      <c r="B5614" s="11">
        <v>44596</v>
      </c>
      <c r="C5614" s="13" t="s">
        <v>7206</v>
      </c>
      <c r="D5614" s="13" t="s">
        <v>7207</v>
      </c>
      <c r="E5614" s="8">
        <v>10000</v>
      </c>
      <c r="F5614" s="13" t="s">
        <v>70</v>
      </c>
      <c r="G5614" s="14">
        <v>44603</v>
      </c>
      <c r="H5614" s="13" t="s">
        <v>35</v>
      </c>
    </row>
    <row r="5615" spans="1:8" ht="14.4" x14ac:dyDescent="0.3">
      <c r="A5615" s="8">
        <v>1968964</v>
      </c>
      <c r="B5615" s="11">
        <v>44596</v>
      </c>
      <c r="C5615" s="13" t="s">
        <v>7208</v>
      </c>
      <c r="D5615" s="13" t="s">
        <v>7209</v>
      </c>
      <c r="E5615" s="8">
        <v>20000</v>
      </c>
      <c r="F5615" s="13" t="s">
        <v>70</v>
      </c>
      <c r="G5615" s="14">
        <v>44608</v>
      </c>
      <c r="H5615" s="13" t="s">
        <v>35</v>
      </c>
    </row>
    <row r="5616" spans="1:8" ht="14.4" x14ac:dyDescent="0.3">
      <c r="A5616" s="8">
        <v>1968965</v>
      </c>
      <c r="B5616" s="11">
        <v>44596</v>
      </c>
      <c r="C5616" s="13" t="s">
        <v>7210</v>
      </c>
      <c r="D5616" s="13" t="s">
        <v>7211</v>
      </c>
      <c r="E5616" s="8">
        <v>20000</v>
      </c>
      <c r="F5616" s="13" t="s">
        <v>70</v>
      </c>
      <c r="G5616" s="14">
        <v>44606</v>
      </c>
      <c r="H5616" s="13" t="s">
        <v>35</v>
      </c>
    </row>
    <row r="5617" spans="1:8" ht="14.4" x14ac:dyDescent="0.3">
      <c r="A5617" s="8">
        <v>1968966</v>
      </c>
      <c r="B5617" s="11">
        <v>44596</v>
      </c>
      <c r="C5617" s="13" t="s">
        <v>7212</v>
      </c>
      <c r="D5617" s="13" t="s">
        <v>7213</v>
      </c>
      <c r="E5617" s="8">
        <v>13000</v>
      </c>
      <c r="F5617" s="13" t="s">
        <v>70</v>
      </c>
      <c r="G5617" s="14">
        <v>44603</v>
      </c>
      <c r="H5617" s="13" t="s">
        <v>35</v>
      </c>
    </row>
    <row r="5618" spans="1:8" ht="14.4" x14ac:dyDescent="0.3">
      <c r="A5618" s="8">
        <v>1968967</v>
      </c>
      <c r="B5618" s="11">
        <v>44596</v>
      </c>
      <c r="C5618" s="13" t="s">
        <v>7214</v>
      </c>
      <c r="D5618" s="13" t="s">
        <v>7215</v>
      </c>
      <c r="E5618" s="8">
        <v>15000</v>
      </c>
      <c r="F5618" s="13" t="s">
        <v>70</v>
      </c>
      <c r="G5618" s="14">
        <v>44606</v>
      </c>
      <c r="H5618" s="13" t="s">
        <v>35</v>
      </c>
    </row>
    <row r="5619" spans="1:8" ht="14.4" x14ac:dyDescent="0.3">
      <c r="A5619" s="8">
        <v>1968969</v>
      </c>
      <c r="B5619" s="11">
        <v>44596</v>
      </c>
      <c r="C5619" s="13" t="s">
        <v>7216</v>
      </c>
      <c r="D5619" s="13" t="s">
        <v>7217</v>
      </c>
      <c r="E5619" s="8">
        <v>20000</v>
      </c>
      <c r="F5619" s="13" t="s">
        <v>70</v>
      </c>
      <c r="G5619" s="14">
        <v>44609</v>
      </c>
      <c r="H5619" s="13" t="s">
        <v>35</v>
      </c>
    </row>
    <row r="5620" spans="1:8" ht="14.4" x14ac:dyDescent="0.3">
      <c r="A5620" s="8">
        <v>1968970</v>
      </c>
      <c r="B5620" s="11">
        <v>44596</v>
      </c>
      <c r="C5620" s="13" t="s">
        <v>2170</v>
      </c>
      <c r="D5620" s="13" t="s">
        <v>7218</v>
      </c>
      <c r="E5620" s="8">
        <v>8000</v>
      </c>
      <c r="F5620" s="13" t="s">
        <v>70</v>
      </c>
      <c r="G5620" s="14">
        <v>44606</v>
      </c>
      <c r="H5620" s="13" t="s">
        <v>35</v>
      </c>
    </row>
    <row r="5621" spans="1:8" ht="14.4" x14ac:dyDescent="0.3">
      <c r="A5621" s="8">
        <v>1968971</v>
      </c>
      <c r="B5621" s="11">
        <v>44596</v>
      </c>
      <c r="C5621" s="13" t="s">
        <v>7219</v>
      </c>
      <c r="D5621" s="13" t="s">
        <v>7220</v>
      </c>
      <c r="E5621" s="8">
        <v>50000</v>
      </c>
      <c r="F5621" s="13" t="s">
        <v>70</v>
      </c>
      <c r="G5621" s="14">
        <v>44608</v>
      </c>
      <c r="H5621" s="13" t="s">
        <v>35</v>
      </c>
    </row>
    <row r="5622" spans="1:8" ht="14.4" x14ac:dyDescent="0.3">
      <c r="A5622" s="8">
        <v>1968972</v>
      </c>
      <c r="B5622" s="11">
        <v>44596</v>
      </c>
      <c r="C5622" s="13" t="s">
        <v>7221</v>
      </c>
      <c r="D5622" s="13" t="s">
        <v>7222</v>
      </c>
      <c r="E5622" s="8">
        <v>20000</v>
      </c>
      <c r="F5622" s="13" t="s">
        <v>70</v>
      </c>
      <c r="G5622" s="14">
        <v>44606</v>
      </c>
      <c r="H5622" s="13" t="s">
        <v>35</v>
      </c>
    </row>
    <row r="5623" spans="1:8" ht="14.4" x14ac:dyDescent="0.3">
      <c r="A5623" s="8">
        <v>1968973</v>
      </c>
      <c r="B5623" s="11">
        <v>44596</v>
      </c>
      <c r="C5623" s="13" t="s">
        <v>7223</v>
      </c>
      <c r="D5623" s="13" t="s">
        <v>7224</v>
      </c>
      <c r="E5623" s="8">
        <v>10000</v>
      </c>
      <c r="F5623" s="13" t="s">
        <v>70</v>
      </c>
      <c r="G5623" s="14">
        <v>44606</v>
      </c>
      <c r="H5623" s="13" t="s">
        <v>35</v>
      </c>
    </row>
    <row r="5624" spans="1:8" ht="14.4" x14ac:dyDescent="0.3">
      <c r="A5624" s="8">
        <v>1968974</v>
      </c>
      <c r="B5624" s="11">
        <v>44596</v>
      </c>
      <c r="C5624" s="13" t="s">
        <v>7225</v>
      </c>
      <c r="D5624" s="13" t="s">
        <v>7226</v>
      </c>
      <c r="E5624" s="8">
        <v>7000</v>
      </c>
      <c r="F5624" s="13" t="s">
        <v>70</v>
      </c>
      <c r="G5624" s="14">
        <v>44607</v>
      </c>
      <c r="H5624" s="13" t="s">
        <v>35</v>
      </c>
    </row>
    <row r="5625" spans="1:8" ht="14.4" x14ac:dyDescent="0.3">
      <c r="A5625" s="8">
        <v>1968975</v>
      </c>
      <c r="B5625" s="11">
        <v>44596</v>
      </c>
      <c r="C5625" s="13" t="s">
        <v>7227</v>
      </c>
      <c r="D5625" s="13" t="s">
        <v>7228</v>
      </c>
      <c r="E5625" s="8">
        <v>20000</v>
      </c>
      <c r="F5625" s="13" t="s">
        <v>70</v>
      </c>
      <c r="G5625" s="14">
        <v>44607</v>
      </c>
      <c r="H5625" s="13" t="s">
        <v>35</v>
      </c>
    </row>
    <row r="5626" spans="1:8" ht="14.4" x14ac:dyDescent="0.3">
      <c r="A5626" s="8">
        <v>1968976</v>
      </c>
      <c r="B5626" s="11">
        <v>44596</v>
      </c>
      <c r="C5626" s="13" t="s">
        <v>7229</v>
      </c>
      <c r="D5626" s="13" t="s">
        <v>7230</v>
      </c>
      <c r="E5626" s="8">
        <v>50000</v>
      </c>
      <c r="F5626" s="13" t="s">
        <v>70</v>
      </c>
      <c r="G5626" s="14">
        <v>44606</v>
      </c>
      <c r="H5626" s="13" t="s">
        <v>35</v>
      </c>
    </row>
    <row r="5627" spans="1:8" ht="14.4" x14ac:dyDescent="0.3">
      <c r="A5627" s="8">
        <v>1968977</v>
      </c>
      <c r="B5627" s="11">
        <v>44596</v>
      </c>
      <c r="C5627" s="13" t="s">
        <v>6388</v>
      </c>
      <c r="D5627" s="13" t="s">
        <v>7231</v>
      </c>
      <c r="E5627" s="8">
        <v>130000</v>
      </c>
      <c r="F5627" s="13" t="s">
        <v>70</v>
      </c>
      <c r="G5627" s="14">
        <v>44603</v>
      </c>
      <c r="H5627" s="13" t="s">
        <v>35</v>
      </c>
    </row>
    <row r="5628" spans="1:8" ht="14.4" x14ac:dyDescent="0.3">
      <c r="A5628" s="8">
        <v>1968978</v>
      </c>
      <c r="B5628" s="11">
        <v>44596</v>
      </c>
      <c r="C5628" s="13" t="s">
        <v>44</v>
      </c>
      <c r="D5628" s="13" t="s">
        <v>7232</v>
      </c>
      <c r="E5628" s="8">
        <v>1795.56</v>
      </c>
      <c r="F5628" s="13" t="s">
        <v>70</v>
      </c>
      <c r="G5628" s="14">
        <v>44600</v>
      </c>
      <c r="H5628" s="13" t="s">
        <v>35</v>
      </c>
    </row>
    <row r="5629" spans="1:8" ht="14.4" x14ac:dyDescent="0.3">
      <c r="A5629" s="8">
        <v>1968979</v>
      </c>
      <c r="B5629" s="11">
        <v>44596</v>
      </c>
      <c r="C5629" s="13" t="s">
        <v>71</v>
      </c>
      <c r="D5629" s="13" t="s">
        <v>7233</v>
      </c>
      <c r="E5629" s="8">
        <v>11969.67</v>
      </c>
      <c r="F5629" s="13" t="s">
        <v>70</v>
      </c>
      <c r="G5629" s="14">
        <v>44613</v>
      </c>
      <c r="H5629" s="13" t="s">
        <v>35</v>
      </c>
    </row>
    <row r="5630" spans="1:8" ht="14.4" x14ac:dyDescent="0.3">
      <c r="A5630" s="8">
        <v>1968981</v>
      </c>
      <c r="B5630" s="11">
        <v>44596</v>
      </c>
      <c r="C5630" s="13" t="s">
        <v>2419</v>
      </c>
      <c r="D5630" s="13" t="s">
        <v>7234</v>
      </c>
      <c r="E5630" s="8">
        <v>1537000</v>
      </c>
      <c r="F5630" s="13" t="s">
        <v>70</v>
      </c>
      <c r="G5630" s="14">
        <v>44609</v>
      </c>
      <c r="H5630" s="13" t="s">
        <v>35</v>
      </c>
    </row>
    <row r="5631" spans="1:8" ht="14.4" x14ac:dyDescent="0.3">
      <c r="A5631" s="8">
        <v>1968983</v>
      </c>
      <c r="B5631" s="11">
        <v>44596</v>
      </c>
      <c r="C5631" s="13" t="s">
        <v>3521</v>
      </c>
      <c r="D5631" s="13" t="s">
        <v>7235</v>
      </c>
      <c r="E5631" s="8">
        <v>89651.35</v>
      </c>
      <c r="F5631" s="13" t="s">
        <v>70</v>
      </c>
      <c r="G5631" s="14">
        <v>44600</v>
      </c>
      <c r="H5631" s="13" t="s">
        <v>35</v>
      </c>
    </row>
    <row r="5632" spans="1:8" ht="14.4" x14ac:dyDescent="0.3">
      <c r="A5632" s="8">
        <v>1968984</v>
      </c>
      <c r="B5632" s="11">
        <v>44596</v>
      </c>
      <c r="C5632" s="13" t="s">
        <v>7236</v>
      </c>
      <c r="D5632" s="13" t="s">
        <v>7237</v>
      </c>
      <c r="E5632" s="8">
        <v>1006000</v>
      </c>
      <c r="F5632" s="13" t="s">
        <v>70</v>
      </c>
      <c r="G5632" s="14">
        <v>44603</v>
      </c>
      <c r="H5632" s="13" t="s">
        <v>35</v>
      </c>
    </row>
    <row r="5633" spans="1:8" ht="14.4" x14ac:dyDescent="0.3">
      <c r="A5633" s="8">
        <v>1968985</v>
      </c>
      <c r="B5633" s="11">
        <v>44599</v>
      </c>
      <c r="C5633" s="13" t="s">
        <v>189</v>
      </c>
      <c r="D5633" s="13" t="s">
        <v>7238</v>
      </c>
      <c r="E5633" s="8">
        <v>7517127.1100000003</v>
      </c>
      <c r="F5633" s="13" t="s">
        <v>70</v>
      </c>
      <c r="G5633" s="14">
        <v>44600</v>
      </c>
      <c r="H5633" s="13" t="s">
        <v>35</v>
      </c>
    </row>
    <row r="5634" spans="1:8" ht="14.4" x14ac:dyDescent="0.3">
      <c r="A5634" s="8">
        <v>1968986</v>
      </c>
      <c r="B5634" s="11">
        <v>44599</v>
      </c>
      <c r="C5634" s="13" t="s">
        <v>1286</v>
      </c>
      <c r="D5634" s="13" t="s">
        <v>7239</v>
      </c>
      <c r="E5634" s="8">
        <v>44832.07</v>
      </c>
      <c r="F5634" s="13" t="s">
        <v>70</v>
      </c>
      <c r="G5634" s="14">
        <v>44602</v>
      </c>
      <c r="H5634" s="13" t="s">
        <v>35</v>
      </c>
    </row>
    <row r="5635" spans="1:8" ht="14.4" x14ac:dyDescent="0.3">
      <c r="A5635" s="8">
        <v>1968987</v>
      </c>
      <c r="B5635" s="11">
        <v>44599</v>
      </c>
      <c r="C5635" s="13" t="s">
        <v>1286</v>
      </c>
      <c r="D5635" s="13" t="s">
        <v>7240</v>
      </c>
      <c r="E5635" s="8">
        <v>43036.1</v>
      </c>
      <c r="F5635" s="13" t="s">
        <v>70</v>
      </c>
      <c r="G5635" s="14">
        <v>44602</v>
      </c>
      <c r="H5635" s="13" t="s">
        <v>35</v>
      </c>
    </row>
    <row r="5636" spans="1:8" ht="14.4" x14ac:dyDescent="0.3">
      <c r="A5636" s="8">
        <v>1968988</v>
      </c>
      <c r="B5636" s="11">
        <v>44599</v>
      </c>
      <c r="C5636" s="13" t="s">
        <v>1286</v>
      </c>
      <c r="D5636" s="13" t="s">
        <v>7241</v>
      </c>
      <c r="E5636" s="8">
        <v>114211.19</v>
      </c>
      <c r="F5636" s="13" t="s">
        <v>70</v>
      </c>
      <c r="G5636" s="14">
        <v>44602</v>
      </c>
      <c r="H5636" s="13" t="s">
        <v>35</v>
      </c>
    </row>
    <row r="5637" spans="1:8" ht="14.4" x14ac:dyDescent="0.3">
      <c r="A5637" s="8">
        <v>1968989</v>
      </c>
      <c r="B5637" s="11">
        <v>44599</v>
      </c>
      <c r="C5637" s="13" t="s">
        <v>1286</v>
      </c>
      <c r="D5637" s="13" t="s">
        <v>7242</v>
      </c>
      <c r="E5637" s="8">
        <v>128696.06</v>
      </c>
      <c r="F5637" s="13" t="s">
        <v>70</v>
      </c>
      <c r="G5637" s="14">
        <v>44602</v>
      </c>
      <c r="H5637" s="13" t="s">
        <v>35</v>
      </c>
    </row>
    <row r="5638" spans="1:8" ht="14.4" x14ac:dyDescent="0.3">
      <c r="A5638" s="8">
        <v>1968990</v>
      </c>
      <c r="B5638" s="11">
        <v>44599</v>
      </c>
      <c r="C5638" s="13" t="s">
        <v>7243</v>
      </c>
      <c r="D5638" s="13" t="s">
        <v>7244</v>
      </c>
      <c r="E5638" s="8">
        <v>5000</v>
      </c>
      <c r="F5638" s="13" t="s">
        <v>70</v>
      </c>
      <c r="G5638" s="14">
        <v>44603</v>
      </c>
      <c r="H5638" s="13" t="s">
        <v>35</v>
      </c>
    </row>
    <row r="5639" spans="1:8" ht="14.4" x14ac:dyDescent="0.3">
      <c r="A5639" s="8">
        <v>1968991</v>
      </c>
      <c r="B5639" s="11">
        <v>44599</v>
      </c>
      <c r="C5639" s="13" t="s">
        <v>7245</v>
      </c>
      <c r="D5639" s="13" t="s">
        <v>7244</v>
      </c>
      <c r="E5639" s="8">
        <v>5000</v>
      </c>
      <c r="F5639" s="13" t="s">
        <v>70</v>
      </c>
      <c r="G5639" s="14">
        <v>44603</v>
      </c>
      <c r="H5639" s="13" t="s">
        <v>35</v>
      </c>
    </row>
    <row r="5640" spans="1:8" ht="14.4" x14ac:dyDescent="0.3">
      <c r="A5640" s="8">
        <v>1968992</v>
      </c>
      <c r="B5640" s="11">
        <v>44599</v>
      </c>
      <c r="C5640" s="13" t="s">
        <v>7246</v>
      </c>
      <c r="D5640" s="13" t="s">
        <v>7244</v>
      </c>
      <c r="E5640" s="8">
        <v>5000</v>
      </c>
      <c r="F5640" s="13" t="s">
        <v>70</v>
      </c>
      <c r="G5640" s="14">
        <v>44603</v>
      </c>
      <c r="H5640" s="13" t="s">
        <v>35</v>
      </c>
    </row>
    <row r="5641" spans="1:8" ht="14.4" x14ac:dyDescent="0.3">
      <c r="A5641" s="8">
        <v>1968993</v>
      </c>
      <c r="B5641" s="11">
        <v>44599</v>
      </c>
      <c r="C5641" s="13" t="s">
        <v>7247</v>
      </c>
      <c r="D5641" s="13" t="s">
        <v>7248</v>
      </c>
      <c r="E5641" s="8">
        <v>15072.48</v>
      </c>
      <c r="F5641" s="13" t="s">
        <v>70</v>
      </c>
      <c r="G5641" s="14">
        <v>44600</v>
      </c>
      <c r="H5641" s="13" t="s">
        <v>35</v>
      </c>
    </row>
    <row r="5642" spans="1:8" ht="14.4" x14ac:dyDescent="0.3">
      <c r="A5642" s="8">
        <v>1968994</v>
      </c>
      <c r="B5642" s="11">
        <v>44599</v>
      </c>
      <c r="C5642" s="13" t="s">
        <v>7249</v>
      </c>
      <c r="D5642" s="13" t="s">
        <v>7250</v>
      </c>
      <c r="E5642" s="8">
        <v>30000</v>
      </c>
      <c r="F5642" s="13" t="s">
        <v>70</v>
      </c>
      <c r="G5642" s="14">
        <v>44609</v>
      </c>
      <c r="H5642" s="13" t="s">
        <v>35</v>
      </c>
    </row>
    <row r="5643" spans="1:8" ht="14.4" x14ac:dyDescent="0.3">
      <c r="A5643" s="8">
        <v>1968995</v>
      </c>
      <c r="B5643" s="11">
        <v>44599</v>
      </c>
      <c r="C5643" s="13" t="s">
        <v>7251</v>
      </c>
      <c r="D5643" s="13" t="s">
        <v>7252</v>
      </c>
      <c r="E5643" s="8">
        <v>35000</v>
      </c>
      <c r="F5643" s="13" t="s">
        <v>70</v>
      </c>
      <c r="G5643" s="14">
        <v>44609</v>
      </c>
      <c r="H5643" s="13" t="s">
        <v>35</v>
      </c>
    </row>
    <row r="5644" spans="1:8" ht="14.4" x14ac:dyDescent="0.3">
      <c r="A5644" s="8">
        <v>1968996</v>
      </c>
      <c r="B5644" s="11">
        <v>44599</v>
      </c>
      <c r="C5644" s="13" t="s">
        <v>7253</v>
      </c>
      <c r="D5644" s="13" t="s">
        <v>7254</v>
      </c>
      <c r="E5644" s="8">
        <v>8000</v>
      </c>
      <c r="F5644" s="13" t="s">
        <v>70</v>
      </c>
      <c r="G5644" s="14">
        <v>44609</v>
      </c>
      <c r="H5644" s="13" t="s">
        <v>35</v>
      </c>
    </row>
    <row r="5645" spans="1:8" ht="14.4" x14ac:dyDescent="0.3">
      <c r="A5645" s="8">
        <v>1968997</v>
      </c>
      <c r="B5645" s="11">
        <v>44599</v>
      </c>
      <c r="C5645" s="13" t="s">
        <v>7255</v>
      </c>
      <c r="D5645" s="13" t="s">
        <v>7256</v>
      </c>
      <c r="E5645" s="8">
        <v>50000</v>
      </c>
      <c r="F5645" s="13" t="s">
        <v>70</v>
      </c>
      <c r="G5645" s="14">
        <v>44606</v>
      </c>
      <c r="H5645" s="13" t="s">
        <v>35</v>
      </c>
    </row>
    <row r="5646" spans="1:8" ht="14.4" x14ac:dyDescent="0.3">
      <c r="A5646" s="8">
        <v>1968998</v>
      </c>
      <c r="B5646" s="11">
        <v>44599</v>
      </c>
      <c r="C5646" s="13" t="s">
        <v>7257</v>
      </c>
      <c r="D5646" s="13" t="s">
        <v>7258</v>
      </c>
      <c r="E5646" s="8">
        <v>20000</v>
      </c>
      <c r="F5646" s="13" t="s">
        <v>70</v>
      </c>
      <c r="G5646" s="14">
        <v>44606</v>
      </c>
      <c r="H5646" s="13" t="s">
        <v>35</v>
      </c>
    </row>
    <row r="5647" spans="1:8" ht="14.4" x14ac:dyDescent="0.3">
      <c r="A5647" s="8">
        <v>1968999</v>
      </c>
      <c r="B5647" s="11">
        <v>44599</v>
      </c>
      <c r="C5647" s="13" t="s">
        <v>7259</v>
      </c>
      <c r="D5647" s="13" t="s">
        <v>7260</v>
      </c>
      <c r="E5647" s="8">
        <v>30000</v>
      </c>
      <c r="F5647" s="13" t="s">
        <v>70</v>
      </c>
      <c r="G5647" s="14">
        <v>44609</v>
      </c>
      <c r="H5647" s="13" t="s">
        <v>35</v>
      </c>
    </row>
    <row r="5648" spans="1:8" ht="14.4" x14ac:dyDescent="0.3">
      <c r="A5648" s="8">
        <v>1969000</v>
      </c>
      <c r="B5648" s="11">
        <v>44599</v>
      </c>
      <c r="C5648" s="13" t="s">
        <v>1193</v>
      </c>
      <c r="D5648" s="13" t="s">
        <v>7261</v>
      </c>
      <c r="E5648" s="8">
        <v>24000</v>
      </c>
      <c r="F5648" s="13" t="s">
        <v>70</v>
      </c>
      <c r="G5648" s="14">
        <v>44609</v>
      </c>
      <c r="H5648" s="13" t="s">
        <v>35</v>
      </c>
    </row>
    <row r="5649" spans="1:8" ht="14.4" x14ac:dyDescent="0.3">
      <c r="A5649" s="8">
        <v>1969001</v>
      </c>
      <c r="B5649" s="11">
        <v>44599</v>
      </c>
      <c r="C5649" s="13" t="s">
        <v>7262</v>
      </c>
      <c r="D5649" s="13" t="s">
        <v>7263</v>
      </c>
      <c r="E5649" s="8">
        <v>18000</v>
      </c>
      <c r="F5649" s="13" t="s">
        <v>70</v>
      </c>
      <c r="G5649" s="14">
        <v>44609</v>
      </c>
      <c r="H5649" s="13" t="s">
        <v>35</v>
      </c>
    </row>
    <row r="5650" spans="1:8" ht="14.4" x14ac:dyDescent="0.3">
      <c r="A5650" s="8">
        <v>1969002</v>
      </c>
      <c r="B5650" s="11">
        <v>44599</v>
      </c>
      <c r="C5650" s="13" t="s">
        <v>7264</v>
      </c>
      <c r="D5650" s="13" t="s">
        <v>7265</v>
      </c>
      <c r="E5650" s="8">
        <v>25000</v>
      </c>
      <c r="F5650" s="13" t="s">
        <v>70</v>
      </c>
      <c r="G5650" s="14">
        <v>44607</v>
      </c>
      <c r="H5650" s="13" t="s">
        <v>35</v>
      </c>
    </row>
    <row r="5651" spans="1:8" ht="14.4" x14ac:dyDescent="0.3">
      <c r="A5651" s="8">
        <v>1969003</v>
      </c>
      <c r="B5651" s="11">
        <v>44599</v>
      </c>
      <c r="C5651" s="13" t="s">
        <v>7266</v>
      </c>
      <c r="D5651" s="13" t="s">
        <v>7267</v>
      </c>
      <c r="E5651" s="8">
        <v>23000</v>
      </c>
      <c r="F5651" s="13" t="s">
        <v>70</v>
      </c>
      <c r="G5651" s="14">
        <v>44603</v>
      </c>
      <c r="H5651" s="13" t="s">
        <v>35</v>
      </c>
    </row>
    <row r="5652" spans="1:8" ht="14.4" x14ac:dyDescent="0.3">
      <c r="A5652" s="8">
        <v>1969004</v>
      </c>
      <c r="B5652" s="11">
        <v>44599</v>
      </c>
      <c r="C5652" s="13" t="s">
        <v>7268</v>
      </c>
      <c r="D5652" s="13" t="s">
        <v>7269</v>
      </c>
      <c r="E5652" s="8">
        <v>8000</v>
      </c>
      <c r="F5652" s="13" t="s">
        <v>70</v>
      </c>
      <c r="G5652" s="14">
        <v>44608</v>
      </c>
      <c r="H5652" s="13" t="s">
        <v>35</v>
      </c>
    </row>
    <row r="5653" spans="1:8" ht="14.4" x14ac:dyDescent="0.3">
      <c r="A5653" s="8">
        <v>1969005</v>
      </c>
      <c r="B5653" s="11">
        <v>44599</v>
      </c>
      <c r="C5653" s="13" t="s">
        <v>7270</v>
      </c>
      <c r="D5653" s="13" t="s">
        <v>7271</v>
      </c>
      <c r="E5653" s="8">
        <v>15000</v>
      </c>
      <c r="F5653" s="13" t="s">
        <v>70</v>
      </c>
      <c r="G5653" s="14">
        <v>44602</v>
      </c>
      <c r="H5653" s="13" t="s">
        <v>35</v>
      </c>
    </row>
    <row r="5654" spans="1:8" ht="14.4" x14ac:dyDescent="0.3">
      <c r="A5654" s="8">
        <v>1969006</v>
      </c>
      <c r="B5654" s="11">
        <v>44599</v>
      </c>
      <c r="C5654" s="13" t="s">
        <v>7272</v>
      </c>
      <c r="D5654" s="13" t="s">
        <v>7273</v>
      </c>
      <c r="E5654" s="8">
        <v>18000</v>
      </c>
      <c r="F5654" s="13" t="s">
        <v>70</v>
      </c>
      <c r="G5654" s="14">
        <v>44607</v>
      </c>
      <c r="H5654" s="13" t="s">
        <v>35</v>
      </c>
    </row>
    <row r="5655" spans="1:8" ht="14.4" x14ac:dyDescent="0.3">
      <c r="A5655" s="8">
        <v>1969007</v>
      </c>
      <c r="B5655" s="11">
        <v>44599</v>
      </c>
      <c r="C5655" s="13" t="s">
        <v>7274</v>
      </c>
      <c r="D5655" s="13" t="s">
        <v>7275</v>
      </c>
      <c r="E5655" s="8">
        <v>14000</v>
      </c>
      <c r="F5655" s="13" t="s">
        <v>70</v>
      </c>
      <c r="G5655" s="14">
        <v>44609</v>
      </c>
      <c r="H5655" s="13" t="s">
        <v>35</v>
      </c>
    </row>
    <row r="5656" spans="1:8" ht="14.4" x14ac:dyDescent="0.3">
      <c r="A5656" s="8">
        <v>1969008</v>
      </c>
      <c r="B5656" s="11">
        <v>44599</v>
      </c>
      <c r="C5656" s="13" t="s">
        <v>7276</v>
      </c>
      <c r="D5656" s="13" t="s">
        <v>7277</v>
      </c>
      <c r="E5656" s="8">
        <v>6000</v>
      </c>
      <c r="F5656" s="13" t="s">
        <v>70</v>
      </c>
      <c r="G5656" s="14">
        <v>44608</v>
      </c>
      <c r="H5656" s="13" t="s">
        <v>35</v>
      </c>
    </row>
    <row r="5657" spans="1:8" ht="14.4" x14ac:dyDescent="0.3">
      <c r="A5657" s="8">
        <v>1969009</v>
      </c>
      <c r="B5657" s="11">
        <v>44599</v>
      </c>
      <c r="C5657" s="13" t="s">
        <v>7278</v>
      </c>
      <c r="D5657" s="13" t="s">
        <v>7279</v>
      </c>
      <c r="E5657" s="8">
        <v>14000</v>
      </c>
      <c r="F5657" s="13" t="s">
        <v>70</v>
      </c>
      <c r="G5657" s="14">
        <v>44609</v>
      </c>
      <c r="H5657" s="13" t="s">
        <v>35</v>
      </c>
    </row>
    <row r="5658" spans="1:8" ht="14.4" x14ac:dyDescent="0.3">
      <c r="A5658" s="8">
        <v>1969010</v>
      </c>
      <c r="B5658" s="11">
        <v>44599</v>
      </c>
      <c r="C5658" s="13" t="s">
        <v>7280</v>
      </c>
      <c r="D5658" s="13" t="s">
        <v>7281</v>
      </c>
      <c r="E5658" s="8">
        <v>6000</v>
      </c>
      <c r="F5658" s="13" t="s">
        <v>70</v>
      </c>
      <c r="G5658" s="14">
        <v>44608</v>
      </c>
      <c r="H5658" s="13" t="s">
        <v>35</v>
      </c>
    </row>
    <row r="5659" spans="1:8" ht="14.4" x14ac:dyDescent="0.3">
      <c r="A5659" s="8">
        <v>1969011</v>
      </c>
      <c r="B5659" s="11">
        <v>44599</v>
      </c>
      <c r="C5659" s="13" t="s">
        <v>7282</v>
      </c>
      <c r="D5659" s="13" t="s">
        <v>7283</v>
      </c>
      <c r="E5659" s="8">
        <v>50000</v>
      </c>
      <c r="F5659" s="13" t="s">
        <v>70</v>
      </c>
      <c r="G5659" s="14">
        <v>44609</v>
      </c>
      <c r="H5659" s="13" t="s">
        <v>35</v>
      </c>
    </row>
    <row r="5660" spans="1:8" ht="14.4" x14ac:dyDescent="0.3">
      <c r="A5660" s="8">
        <v>1969012</v>
      </c>
      <c r="B5660" s="11">
        <v>44599</v>
      </c>
      <c r="C5660" s="13" t="s">
        <v>7284</v>
      </c>
      <c r="D5660" s="13" t="s">
        <v>7285</v>
      </c>
      <c r="E5660" s="8">
        <v>20000</v>
      </c>
      <c r="F5660" s="13" t="s">
        <v>70</v>
      </c>
      <c r="G5660" s="14">
        <v>44609</v>
      </c>
      <c r="H5660" s="13" t="s">
        <v>35</v>
      </c>
    </row>
    <row r="5661" spans="1:8" ht="14.4" x14ac:dyDescent="0.3">
      <c r="A5661" s="8">
        <v>1969013</v>
      </c>
      <c r="B5661" s="11">
        <v>44599</v>
      </c>
      <c r="C5661" s="13" t="s">
        <v>7286</v>
      </c>
      <c r="D5661" s="13" t="s">
        <v>7287</v>
      </c>
      <c r="E5661" s="8">
        <v>8000</v>
      </c>
      <c r="F5661" s="13" t="s">
        <v>70</v>
      </c>
      <c r="G5661" s="14">
        <v>44609</v>
      </c>
      <c r="H5661" s="13" t="s">
        <v>35</v>
      </c>
    </row>
    <row r="5662" spans="1:8" ht="14.4" x14ac:dyDescent="0.3">
      <c r="A5662" s="8">
        <v>1969014</v>
      </c>
      <c r="B5662" s="11">
        <v>44599</v>
      </c>
      <c r="C5662" s="13" t="s">
        <v>7288</v>
      </c>
      <c r="D5662" s="13" t="s">
        <v>7289</v>
      </c>
      <c r="E5662" s="8">
        <v>40000</v>
      </c>
      <c r="F5662" s="13" t="s">
        <v>70</v>
      </c>
      <c r="G5662" s="14">
        <v>44607</v>
      </c>
      <c r="H5662" s="13" t="s">
        <v>35</v>
      </c>
    </row>
    <row r="5663" spans="1:8" ht="14.4" x14ac:dyDescent="0.3">
      <c r="A5663" s="8">
        <v>1969015</v>
      </c>
      <c r="B5663" s="11">
        <v>44599</v>
      </c>
      <c r="C5663" s="13" t="s">
        <v>7290</v>
      </c>
      <c r="D5663" s="13" t="s">
        <v>7291</v>
      </c>
      <c r="E5663" s="8">
        <v>10000</v>
      </c>
      <c r="F5663" s="13" t="s">
        <v>70</v>
      </c>
      <c r="G5663" s="14">
        <v>44608</v>
      </c>
      <c r="H5663" s="13" t="s">
        <v>35</v>
      </c>
    </row>
    <row r="5664" spans="1:8" ht="14.4" x14ac:dyDescent="0.3">
      <c r="A5664" s="8">
        <v>1969016</v>
      </c>
      <c r="B5664" s="11">
        <v>44599</v>
      </c>
      <c r="C5664" s="13" t="s">
        <v>180</v>
      </c>
      <c r="D5664" s="13" t="s">
        <v>7292</v>
      </c>
      <c r="E5664" s="8">
        <v>37703.68</v>
      </c>
      <c r="F5664" s="13" t="s">
        <v>70</v>
      </c>
      <c r="G5664" s="14">
        <v>44600</v>
      </c>
      <c r="H5664" s="13" t="s">
        <v>35</v>
      </c>
    </row>
    <row r="5665" spans="1:8" ht="14.4" x14ac:dyDescent="0.3">
      <c r="A5665" s="8">
        <v>1969017</v>
      </c>
      <c r="B5665" s="11">
        <v>44599</v>
      </c>
      <c r="C5665" s="13" t="s">
        <v>235</v>
      </c>
      <c r="D5665" s="13" t="s">
        <v>7293</v>
      </c>
      <c r="E5665" s="8">
        <v>404790</v>
      </c>
      <c r="F5665" s="13" t="s">
        <v>70</v>
      </c>
      <c r="G5665" s="14">
        <v>44600</v>
      </c>
      <c r="H5665" s="13" t="s">
        <v>35</v>
      </c>
    </row>
    <row r="5666" spans="1:8" ht="14.4" x14ac:dyDescent="0.3">
      <c r="A5666" s="8">
        <v>1969018</v>
      </c>
      <c r="B5666" s="11">
        <v>44599</v>
      </c>
      <c r="C5666" s="13" t="s">
        <v>186</v>
      </c>
      <c r="D5666" s="13" t="s">
        <v>5825</v>
      </c>
      <c r="E5666" s="8">
        <v>212085.67</v>
      </c>
      <c r="F5666" s="13" t="s">
        <v>70</v>
      </c>
      <c r="G5666" s="14">
        <v>44600</v>
      </c>
      <c r="H5666" s="13" t="s">
        <v>35</v>
      </c>
    </row>
    <row r="5667" spans="1:8" ht="14.4" x14ac:dyDescent="0.3">
      <c r="A5667" s="8">
        <v>1969019</v>
      </c>
      <c r="B5667" s="11">
        <v>44599</v>
      </c>
      <c r="C5667" s="13" t="s">
        <v>2305</v>
      </c>
      <c r="D5667" s="13" t="s">
        <v>7294</v>
      </c>
      <c r="E5667" s="8">
        <v>14520.02</v>
      </c>
      <c r="F5667" s="13" t="s">
        <v>70</v>
      </c>
      <c r="G5667" s="14">
        <v>44603</v>
      </c>
      <c r="H5667" s="13" t="s">
        <v>35</v>
      </c>
    </row>
    <row r="5668" spans="1:8" ht="14.4" x14ac:dyDescent="0.3">
      <c r="A5668" s="8">
        <v>1969020</v>
      </c>
      <c r="B5668" s="11">
        <v>44599</v>
      </c>
      <c r="C5668" s="13" t="s">
        <v>7295</v>
      </c>
      <c r="D5668" s="13" t="s">
        <v>7296</v>
      </c>
      <c r="E5668" s="8">
        <v>21515.78</v>
      </c>
      <c r="F5668" s="13" t="s">
        <v>70</v>
      </c>
      <c r="G5668" s="14">
        <v>44600</v>
      </c>
      <c r="H5668" s="13" t="s">
        <v>35</v>
      </c>
    </row>
    <row r="5669" spans="1:8" ht="14.4" x14ac:dyDescent="0.3">
      <c r="A5669" s="8">
        <v>1969021</v>
      </c>
      <c r="B5669" s="11">
        <v>44599</v>
      </c>
      <c r="C5669" s="13" t="s">
        <v>7297</v>
      </c>
      <c r="D5669" s="13" t="s">
        <v>7298</v>
      </c>
      <c r="E5669" s="8">
        <v>7000</v>
      </c>
      <c r="F5669" s="13" t="s">
        <v>70</v>
      </c>
      <c r="G5669" s="14">
        <v>44606</v>
      </c>
      <c r="H5669" s="13" t="s">
        <v>35</v>
      </c>
    </row>
    <row r="5670" spans="1:8" ht="14.4" x14ac:dyDescent="0.3">
      <c r="A5670" s="8">
        <v>1969022</v>
      </c>
      <c r="B5670" s="11">
        <v>44599</v>
      </c>
      <c r="C5670" s="13" t="s">
        <v>7299</v>
      </c>
      <c r="D5670" s="13" t="s">
        <v>7300</v>
      </c>
      <c r="E5670" s="8">
        <v>12000</v>
      </c>
      <c r="F5670" s="13" t="s">
        <v>70</v>
      </c>
      <c r="G5670" s="14">
        <v>44607</v>
      </c>
      <c r="H5670" s="13" t="s">
        <v>35</v>
      </c>
    </row>
    <row r="5671" spans="1:8" ht="14.4" x14ac:dyDescent="0.3">
      <c r="A5671" s="8">
        <v>1969023</v>
      </c>
      <c r="B5671" s="11">
        <v>44599</v>
      </c>
      <c r="C5671" s="13" t="s">
        <v>7301</v>
      </c>
      <c r="D5671" s="13" t="s">
        <v>7302</v>
      </c>
      <c r="E5671" s="8">
        <v>32000</v>
      </c>
      <c r="F5671" s="13" t="s">
        <v>70</v>
      </c>
      <c r="G5671" s="14">
        <v>44603</v>
      </c>
      <c r="H5671" s="13" t="s">
        <v>35</v>
      </c>
    </row>
    <row r="5672" spans="1:8" ht="14.4" x14ac:dyDescent="0.3">
      <c r="A5672" s="8">
        <v>1969024</v>
      </c>
      <c r="B5672" s="11">
        <v>44599</v>
      </c>
      <c r="C5672" s="13" t="s">
        <v>7303</v>
      </c>
      <c r="D5672" s="13" t="s">
        <v>7304</v>
      </c>
      <c r="E5672" s="8">
        <v>18000</v>
      </c>
      <c r="F5672" s="13" t="s">
        <v>70</v>
      </c>
      <c r="G5672" s="14">
        <v>44619</v>
      </c>
      <c r="H5672" s="13" t="s">
        <v>35</v>
      </c>
    </row>
    <row r="5673" spans="1:8" ht="14.4" x14ac:dyDescent="0.3">
      <c r="A5673" s="8">
        <v>1969025</v>
      </c>
      <c r="B5673" s="11">
        <v>44599</v>
      </c>
      <c r="C5673" s="13" t="s">
        <v>7305</v>
      </c>
      <c r="D5673" s="13" t="s">
        <v>7306</v>
      </c>
      <c r="E5673" s="8">
        <v>9000</v>
      </c>
      <c r="F5673" s="13" t="s">
        <v>70</v>
      </c>
      <c r="G5673" s="14">
        <v>44602</v>
      </c>
      <c r="H5673" s="13" t="s">
        <v>35</v>
      </c>
    </row>
    <row r="5674" spans="1:8" ht="14.4" x14ac:dyDescent="0.3">
      <c r="A5674" s="8">
        <v>1969026</v>
      </c>
      <c r="B5674" s="11">
        <v>44599</v>
      </c>
      <c r="C5674" s="13" t="s">
        <v>7307</v>
      </c>
      <c r="D5674" s="13" t="s">
        <v>7308</v>
      </c>
      <c r="E5674" s="8">
        <v>12000</v>
      </c>
      <c r="F5674" s="13" t="s">
        <v>70</v>
      </c>
      <c r="G5674" s="14">
        <v>44606</v>
      </c>
      <c r="H5674" s="13" t="s">
        <v>35</v>
      </c>
    </row>
    <row r="5675" spans="1:8" ht="14.4" x14ac:dyDescent="0.3">
      <c r="A5675" s="8">
        <v>1969027</v>
      </c>
      <c r="B5675" s="11">
        <v>44599</v>
      </c>
      <c r="C5675" s="13" t="s">
        <v>7309</v>
      </c>
      <c r="D5675" s="13" t="s">
        <v>7310</v>
      </c>
      <c r="E5675" s="8">
        <v>8000</v>
      </c>
      <c r="F5675" s="13" t="s">
        <v>70</v>
      </c>
      <c r="G5675" s="14">
        <v>44606</v>
      </c>
      <c r="H5675" s="13" t="s">
        <v>35</v>
      </c>
    </row>
    <row r="5676" spans="1:8" ht="14.4" x14ac:dyDescent="0.3">
      <c r="A5676" s="8">
        <v>1969028</v>
      </c>
      <c r="B5676" s="11">
        <v>44599</v>
      </c>
      <c r="C5676" s="13" t="s">
        <v>7311</v>
      </c>
      <c r="D5676" s="13" t="s">
        <v>7312</v>
      </c>
      <c r="E5676" s="8">
        <v>21000</v>
      </c>
      <c r="F5676" s="13" t="s">
        <v>70</v>
      </c>
      <c r="G5676" s="14">
        <v>44607</v>
      </c>
      <c r="H5676" s="13" t="s">
        <v>35</v>
      </c>
    </row>
    <row r="5677" spans="1:8" ht="14.4" x14ac:dyDescent="0.3">
      <c r="A5677" s="8">
        <v>1969029</v>
      </c>
      <c r="B5677" s="11">
        <v>44599</v>
      </c>
      <c r="C5677" s="13" t="s">
        <v>7313</v>
      </c>
      <c r="D5677" s="13" t="s">
        <v>7314</v>
      </c>
      <c r="E5677" s="8">
        <v>9000</v>
      </c>
      <c r="F5677" s="13" t="s">
        <v>70</v>
      </c>
      <c r="G5677" s="14">
        <v>44613</v>
      </c>
      <c r="H5677" s="13" t="s">
        <v>35</v>
      </c>
    </row>
    <row r="5678" spans="1:8" ht="14.4" x14ac:dyDescent="0.3">
      <c r="A5678" s="8">
        <v>1969030</v>
      </c>
      <c r="B5678" s="11">
        <v>44599</v>
      </c>
      <c r="C5678" s="13" t="s">
        <v>50</v>
      </c>
      <c r="D5678" s="13" t="s">
        <v>7315</v>
      </c>
      <c r="E5678" s="8">
        <v>6500</v>
      </c>
      <c r="F5678" s="13" t="s">
        <v>70</v>
      </c>
      <c r="G5678" s="14">
        <v>44603</v>
      </c>
      <c r="H5678" s="13" t="s">
        <v>35</v>
      </c>
    </row>
    <row r="5679" spans="1:8" ht="14.4" x14ac:dyDescent="0.3">
      <c r="A5679" s="8">
        <v>1969031</v>
      </c>
      <c r="B5679" s="11">
        <v>44599</v>
      </c>
      <c r="C5679" s="13" t="s">
        <v>7316</v>
      </c>
      <c r="D5679" s="13" t="s">
        <v>7317</v>
      </c>
      <c r="E5679" s="8">
        <v>10000</v>
      </c>
      <c r="F5679" s="13" t="s">
        <v>70</v>
      </c>
      <c r="G5679" s="14">
        <v>44603</v>
      </c>
      <c r="H5679" s="13" t="s">
        <v>35</v>
      </c>
    </row>
    <row r="5680" spans="1:8" ht="14.4" x14ac:dyDescent="0.3">
      <c r="A5680" s="8">
        <v>1969032</v>
      </c>
      <c r="B5680" s="11">
        <v>44599</v>
      </c>
      <c r="C5680" s="13" t="s">
        <v>7318</v>
      </c>
      <c r="D5680" s="13" t="s">
        <v>7319</v>
      </c>
      <c r="E5680" s="8">
        <v>16000</v>
      </c>
      <c r="F5680" s="13" t="s">
        <v>70</v>
      </c>
      <c r="G5680" s="14">
        <v>44606</v>
      </c>
      <c r="H5680" s="13" t="s">
        <v>35</v>
      </c>
    </row>
    <row r="5681" spans="1:8" ht="14.4" x14ac:dyDescent="0.3">
      <c r="A5681" s="8">
        <v>1969033</v>
      </c>
      <c r="B5681" s="11">
        <v>44599</v>
      </c>
      <c r="C5681" s="13" t="s">
        <v>275</v>
      </c>
      <c r="D5681" s="13" t="s">
        <v>7320</v>
      </c>
      <c r="E5681" s="8">
        <v>230648.27</v>
      </c>
      <c r="F5681" s="13" t="s">
        <v>70</v>
      </c>
      <c r="G5681" s="14">
        <v>44606</v>
      </c>
      <c r="H5681" s="13" t="s">
        <v>35</v>
      </c>
    </row>
    <row r="5682" spans="1:8" ht="14.4" x14ac:dyDescent="0.3">
      <c r="A5682" s="8">
        <v>1969034</v>
      </c>
      <c r="B5682" s="11">
        <v>44599</v>
      </c>
      <c r="C5682" s="13" t="s">
        <v>159</v>
      </c>
      <c r="D5682" s="13" t="s">
        <v>7321</v>
      </c>
      <c r="E5682" s="8">
        <v>321100</v>
      </c>
      <c r="F5682" s="13" t="s">
        <v>70</v>
      </c>
      <c r="G5682" s="14">
        <v>44600</v>
      </c>
      <c r="H5682" s="13" t="s">
        <v>35</v>
      </c>
    </row>
    <row r="5683" spans="1:8" ht="14.4" x14ac:dyDescent="0.3">
      <c r="A5683" s="8">
        <v>1969035</v>
      </c>
      <c r="B5683" s="11">
        <v>44600</v>
      </c>
      <c r="C5683" s="13" t="s">
        <v>44</v>
      </c>
      <c r="D5683" s="13" t="s">
        <v>7322</v>
      </c>
      <c r="E5683" s="8">
        <v>43698.05</v>
      </c>
      <c r="F5683" s="13" t="s">
        <v>70</v>
      </c>
      <c r="G5683" s="14">
        <v>44606</v>
      </c>
      <c r="H5683" s="13" t="s">
        <v>35</v>
      </c>
    </row>
    <row r="5684" spans="1:8" ht="14.4" x14ac:dyDescent="0.3">
      <c r="A5684" s="8">
        <v>1969036</v>
      </c>
      <c r="B5684" s="11">
        <v>44600</v>
      </c>
      <c r="C5684" s="13" t="s">
        <v>44</v>
      </c>
      <c r="D5684" s="13" t="s">
        <v>7323</v>
      </c>
      <c r="E5684" s="8">
        <v>1991.36</v>
      </c>
      <c r="F5684" s="13" t="s">
        <v>70</v>
      </c>
      <c r="G5684" s="14">
        <v>44606</v>
      </c>
      <c r="H5684" s="13" t="s">
        <v>35</v>
      </c>
    </row>
    <row r="5685" spans="1:8" ht="14.4" x14ac:dyDescent="0.3">
      <c r="A5685" s="8">
        <v>1969037</v>
      </c>
      <c r="B5685" s="11">
        <v>44600</v>
      </c>
      <c r="C5685" s="13" t="s">
        <v>7324</v>
      </c>
      <c r="D5685" s="13" t="s">
        <v>7325</v>
      </c>
      <c r="E5685" s="8">
        <v>12500</v>
      </c>
      <c r="F5685" s="13" t="s">
        <v>70</v>
      </c>
      <c r="G5685" s="14">
        <v>44603</v>
      </c>
      <c r="H5685" s="13" t="s">
        <v>35</v>
      </c>
    </row>
    <row r="5686" spans="1:8" ht="14.4" x14ac:dyDescent="0.3">
      <c r="A5686" s="8">
        <v>1969038</v>
      </c>
      <c r="B5686" s="11">
        <v>44600</v>
      </c>
      <c r="C5686" s="13" t="s">
        <v>7326</v>
      </c>
      <c r="D5686" s="13" t="s">
        <v>7327</v>
      </c>
      <c r="E5686" s="8">
        <v>11000</v>
      </c>
      <c r="F5686" s="13" t="s">
        <v>70</v>
      </c>
      <c r="G5686" s="14">
        <v>44603</v>
      </c>
      <c r="H5686" s="13" t="s">
        <v>35</v>
      </c>
    </row>
    <row r="5687" spans="1:8" ht="14.4" x14ac:dyDescent="0.3">
      <c r="A5687" s="8">
        <v>1969039</v>
      </c>
      <c r="B5687" s="11">
        <v>44600</v>
      </c>
      <c r="C5687" s="13" t="s">
        <v>7328</v>
      </c>
      <c r="D5687" s="13" t="s">
        <v>7329</v>
      </c>
      <c r="E5687" s="8">
        <v>11000</v>
      </c>
      <c r="F5687" s="13" t="s">
        <v>70</v>
      </c>
      <c r="G5687" s="14">
        <v>44603</v>
      </c>
      <c r="H5687" s="13" t="s">
        <v>35</v>
      </c>
    </row>
    <row r="5688" spans="1:8" ht="14.4" x14ac:dyDescent="0.3">
      <c r="A5688" s="8">
        <v>1969040</v>
      </c>
      <c r="B5688" s="11">
        <v>44600</v>
      </c>
      <c r="C5688" s="13" t="s">
        <v>7330</v>
      </c>
      <c r="D5688" s="13" t="s">
        <v>7327</v>
      </c>
      <c r="E5688" s="8">
        <v>11000</v>
      </c>
      <c r="F5688" s="13" t="s">
        <v>70</v>
      </c>
      <c r="G5688" s="14">
        <v>44603</v>
      </c>
      <c r="H5688" s="13" t="s">
        <v>35</v>
      </c>
    </row>
    <row r="5689" spans="1:8" ht="14.4" x14ac:dyDescent="0.3">
      <c r="A5689" s="8">
        <v>1969041</v>
      </c>
      <c r="B5689" s="11">
        <v>44600</v>
      </c>
      <c r="C5689" s="13" t="s">
        <v>7331</v>
      </c>
      <c r="D5689" s="13" t="s">
        <v>7327</v>
      </c>
      <c r="E5689" s="8">
        <v>11000</v>
      </c>
      <c r="F5689" s="13" t="s">
        <v>70</v>
      </c>
      <c r="G5689" s="14">
        <v>44607</v>
      </c>
      <c r="H5689" s="13" t="s">
        <v>35</v>
      </c>
    </row>
    <row r="5690" spans="1:8" ht="14.4" x14ac:dyDescent="0.3">
      <c r="A5690" s="8">
        <v>1969042</v>
      </c>
      <c r="B5690" s="11">
        <v>44600</v>
      </c>
      <c r="C5690" s="13" t="s">
        <v>7332</v>
      </c>
      <c r="D5690" s="13" t="s">
        <v>7327</v>
      </c>
      <c r="E5690" s="8">
        <v>11000</v>
      </c>
      <c r="F5690" s="13" t="s">
        <v>70</v>
      </c>
      <c r="G5690" s="14">
        <v>44603</v>
      </c>
      <c r="H5690" s="13" t="s">
        <v>35</v>
      </c>
    </row>
    <row r="5691" spans="1:8" ht="14.4" x14ac:dyDescent="0.3">
      <c r="A5691" s="8">
        <v>1969043</v>
      </c>
      <c r="B5691" s="11">
        <v>44600</v>
      </c>
      <c r="C5691" s="13" t="s">
        <v>7333</v>
      </c>
      <c r="D5691" s="13" t="s">
        <v>7327</v>
      </c>
      <c r="E5691" s="8">
        <v>11000</v>
      </c>
      <c r="F5691" s="13" t="s">
        <v>70</v>
      </c>
      <c r="G5691" s="14">
        <v>44603</v>
      </c>
      <c r="H5691" s="13" t="s">
        <v>35</v>
      </c>
    </row>
    <row r="5692" spans="1:8" ht="14.4" x14ac:dyDescent="0.3">
      <c r="A5692" s="8">
        <v>1969044</v>
      </c>
      <c r="B5692" s="11">
        <v>44600</v>
      </c>
      <c r="C5692" s="13" t="s">
        <v>7334</v>
      </c>
      <c r="D5692" s="13" t="s">
        <v>7327</v>
      </c>
      <c r="E5692" s="8">
        <v>11000</v>
      </c>
      <c r="F5692" s="13" t="s">
        <v>70</v>
      </c>
      <c r="G5692" s="14">
        <v>44603</v>
      </c>
      <c r="H5692" s="13" t="s">
        <v>35</v>
      </c>
    </row>
    <row r="5693" spans="1:8" ht="14.4" x14ac:dyDescent="0.3">
      <c r="A5693" s="8">
        <v>1969045</v>
      </c>
      <c r="B5693" s="11">
        <v>44600</v>
      </c>
      <c r="C5693" s="13" t="s">
        <v>7335</v>
      </c>
      <c r="D5693" s="13" t="s">
        <v>7327</v>
      </c>
      <c r="E5693" s="8">
        <v>11000</v>
      </c>
      <c r="F5693" s="13" t="s">
        <v>70</v>
      </c>
      <c r="G5693" s="14">
        <v>44606</v>
      </c>
      <c r="H5693" s="13" t="s">
        <v>35</v>
      </c>
    </row>
    <row r="5694" spans="1:8" ht="14.4" x14ac:dyDescent="0.3">
      <c r="A5694" s="8">
        <v>1969046</v>
      </c>
      <c r="B5694" s="11">
        <v>44600</v>
      </c>
      <c r="C5694" s="13" t="s">
        <v>7336</v>
      </c>
      <c r="D5694" s="13" t="s">
        <v>7337</v>
      </c>
      <c r="E5694" s="8">
        <v>11000</v>
      </c>
      <c r="F5694" s="13" t="s">
        <v>70</v>
      </c>
      <c r="G5694" s="14">
        <v>44607</v>
      </c>
      <c r="H5694" s="13" t="s">
        <v>35</v>
      </c>
    </row>
    <row r="5695" spans="1:8" ht="14.4" x14ac:dyDescent="0.3">
      <c r="A5695" s="8">
        <v>1969047</v>
      </c>
      <c r="B5695" s="11">
        <v>44600</v>
      </c>
      <c r="C5695" s="13" t="s">
        <v>7338</v>
      </c>
      <c r="D5695" s="13" t="s">
        <v>7327</v>
      </c>
      <c r="E5695" s="8">
        <v>11000</v>
      </c>
      <c r="F5695" s="13" t="s">
        <v>70</v>
      </c>
      <c r="G5695" s="14">
        <v>44603</v>
      </c>
      <c r="H5695" s="13" t="s">
        <v>35</v>
      </c>
    </row>
    <row r="5696" spans="1:8" ht="14.4" x14ac:dyDescent="0.3">
      <c r="A5696" s="8">
        <v>1969048</v>
      </c>
      <c r="B5696" s="11">
        <v>44600</v>
      </c>
      <c r="C5696" s="13" t="s">
        <v>184</v>
      </c>
      <c r="D5696" s="13" t="s">
        <v>7339</v>
      </c>
      <c r="E5696" s="8">
        <v>289186.92</v>
      </c>
      <c r="F5696" s="13" t="s">
        <v>70</v>
      </c>
      <c r="G5696" s="14">
        <v>44602</v>
      </c>
      <c r="H5696" s="13" t="s">
        <v>35</v>
      </c>
    </row>
    <row r="5697" spans="1:8" ht="14.4" x14ac:dyDescent="0.3">
      <c r="A5697" s="8">
        <v>1969049</v>
      </c>
      <c r="B5697" s="11">
        <v>44600</v>
      </c>
      <c r="C5697" s="13" t="s">
        <v>184</v>
      </c>
      <c r="D5697" s="13" t="s">
        <v>7340</v>
      </c>
      <c r="E5697" s="8">
        <v>185734.29</v>
      </c>
      <c r="F5697" s="13" t="s">
        <v>70</v>
      </c>
      <c r="G5697" s="14">
        <v>44602</v>
      </c>
      <c r="H5697" s="13" t="s">
        <v>35</v>
      </c>
    </row>
    <row r="5698" spans="1:8" ht="14.4" x14ac:dyDescent="0.3">
      <c r="A5698" s="8">
        <v>1969050</v>
      </c>
      <c r="B5698" s="11">
        <v>44600</v>
      </c>
      <c r="C5698" s="13" t="s">
        <v>122</v>
      </c>
      <c r="D5698" s="13" t="s">
        <v>7341</v>
      </c>
      <c r="E5698" s="8">
        <v>172660</v>
      </c>
      <c r="F5698" s="13" t="s">
        <v>70</v>
      </c>
      <c r="G5698" s="14">
        <v>44602</v>
      </c>
      <c r="H5698" s="13" t="s">
        <v>35</v>
      </c>
    </row>
    <row r="5699" spans="1:8" ht="14.4" x14ac:dyDescent="0.3">
      <c r="A5699" s="8">
        <v>1969051</v>
      </c>
      <c r="B5699" s="11">
        <v>44600</v>
      </c>
      <c r="C5699" s="13" t="s">
        <v>122</v>
      </c>
      <c r="D5699" s="13" t="s">
        <v>7342</v>
      </c>
      <c r="E5699" s="8">
        <v>151320</v>
      </c>
      <c r="F5699" s="13" t="s">
        <v>70</v>
      </c>
      <c r="G5699" s="14">
        <v>44602</v>
      </c>
      <c r="H5699" s="13" t="s">
        <v>35</v>
      </c>
    </row>
    <row r="5700" spans="1:8" ht="14.4" x14ac:dyDescent="0.3">
      <c r="A5700" s="8">
        <v>1969052</v>
      </c>
      <c r="B5700" s="11">
        <v>44600</v>
      </c>
      <c r="C5700" s="13" t="s">
        <v>122</v>
      </c>
      <c r="D5700" s="13" t="s">
        <v>7343</v>
      </c>
      <c r="E5700" s="8">
        <v>192060</v>
      </c>
      <c r="F5700" s="13" t="s">
        <v>70</v>
      </c>
      <c r="G5700" s="14">
        <v>44602</v>
      </c>
      <c r="H5700" s="13" t="s">
        <v>35</v>
      </c>
    </row>
    <row r="5701" spans="1:8" ht="14.4" x14ac:dyDescent="0.3">
      <c r="A5701" s="8">
        <v>1969053</v>
      </c>
      <c r="B5701" s="11">
        <v>44600</v>
      </c>
      <c r="C5701" s="13" t="s">
        <v>265</v>
      </c>
      <c r="D5701" s="13" t="s">
        <v>7344</v>
      </c>
      <c r="E5701" s="8">
        <v>120342.6</v>
      </c>
      <c r="F5701" s="13" t="s">
        <v>70</v>
      </c>
      <c r="G5701" s="14">
        <v>44603</v>
      </c>
      <c r="H5701" s="13" t="s">
        <v>35</v>
      </c>
    </row>
    <row r="5702" spans="1:8" ht="14.4" x14ac:dyDescent="0.3">
      <c r="A5702" s="8">
        <v>1969054</v>
      </c>
      <c r="B5702" s="11">
        <v>44600</v>
      </c>
      <c r="C5702" s="13" t="s">
        <v>748</v>
      </c>
      <c r="D5702" s="13" t="s">
        <v>7345</v>
      </c>
      <c r="E5702" s="8">
        <v>936.56</v>
      </c>
      <c r="F5702" s="13" t="s">
        <v>70</v>
      </c>
      <c r="G5702" s="14">
        <v>44602</v>
      </c>
      <c r="H5702" s="13" t="s">
        <v>35</v>
      </c>
    </row>
    <row r="5703" spans="1:8" ht="14.4" x14ac:dyDescent="0.3">
      <c r="A5703" s="8">
        <v>1969055</v>
      </c>
      <c r="B5703" s="11">
        <v>44600</v>
      </c>
      <c r="C5703" s="13" t="s">
        <v>682</v>
      </c>
      <c r="D5703" s="13" t="s">
        <v>7346</v>
      </c>
      <c r="E5703" s="8">
        <v>72851.34</v>
      </c>
      <c r="F5703" s="13" t="s">
        <v>70</v>
      </c>
      <c r="G5703" s="14">
        <v>44602</v>
      </c>
      <c r="H5703" s="13" t="s">
        <v>35</v>
      </c>
    </row>
    <row r="5704" spans="1:8" ht="14.4" x14ac:dyDescent="0.3">
      <c r="A5704" s="8">
        <v>1969056</v>
      </c>
      <c r="B5704" s="11">
        <v>44600</v>
      </c>
      <c r="C5704" s="13" t="s">
        <v>611</v>
      </c>
      <c r="D5704" s="13" t="s">
        <v>7347</v>
      </c>
      <c r="E5704" s="8">
        <v>24667.91</v>
      </c>
      <c r="F5704" s="13" t="s">
        <v>70</v>
      </c>
      <c r="G5704" s="14">
        <v>44602</v>
      </c>
      <c r="H5704" s="13" t="s">
        <v>35</v>
      </c>
    </row>
    <row r="5705" spans="1:8" ht="14.4" x14ac:dyDescent="0.3">
      <c r="A5705" s="8">
        <v>1969057</v>
      </c>
      <c r="B5705" s="11">
        <v>44600</v>
      </c>
      <c r="C5705" s="13" t="s">
        <v>613</v>
      </c>
      <c r="D5705" s="13" t="s">
        <v>7348</v>
      </c>
      <c r="E5705" s="8">
        <v>42356.69</v>
      </c>
      <c r="F5705" s="13" t="s">
        <v>70</v>
      </c>
      <c r="G5705" s="14">
        <v>44619</v>
      </c>
      <c r="H5705" s="13" t="s">
        <v>35</v>
      </c>
    </row>
    <row r="5706" spans="1:8" ht="14.4" x14ac:dyDescent="0.3">
      <c r="A5706" s="8">
        <v>1969058</v>
      </c>
      <c r="B5706" s="11">
        <v>44600</v>
      </c>
      <c r="C5706" s="13" t="s">
        <v>4308</v>
      </c>
      <c r="D5706" s="13" t="s">
        <v>7349</v>
      </c>
      <c r="E5706" s="8">
        <v>19290.5</v>
      </c>
      <c r="F5706" s="13" t="s">
        <v>70</v>
      </c>
      <c r="G5706" s="14">
        <v>44601</v>
      </c>
      <c r="H5706" s="13" t="s">
        <v>35</v>
      </c>
    </row>
    <row r="5707" spans="1:8" ht="14.4" x14ac:dyDescent="0.3">
      <c r="A5707" s="8">
        <v>1969059</v>
      </c>
      <c r="B5707" s="11">
        <v>44600</v>
      </c>
      <c r="C5707" s="13" t="s">
        <v>287</v>
      </c>
      <c r="D5707" s="13" t="s">
        <v>7349</v>
      </c>
      <c r="E5707" s="8">
        <v>22697.23</v>
      </c>
      <c r="F5707" s="13" t="s">
        <v>70</v>
      </c>
      <c r="G5707" s="14">
        <v>44606</v>
      </c>
      <c r="H5707" s="13" t="s">
        <v>35</v>
      </c>
    </row>
    <row r="5708" spans="1:8" ht="14.4" x14ac:dyDescent="0.3">
      <c r="A5708" s="8">
        <v>1969060</v>
      </c>
      <c r="B5708" s="11">
        <v>44600</v>
      </c>
      <c r="C5708" s="13" t="s">
        <v>354</v>
      </c>
      <c r="D5708" s="13" t="s">
        <v>7349</v>
      </c>
      <c r="E5708" s="8">
        <v>19939.89</v>
      </c>
      <c r="F5708" s="13" t="s">
        <v>70</v>
      </c>
      <c r="G5708" s="14">
        <v>44601</v>
      </c>
      <c r="H5708" s="13" t="s">
        <v>35</v>
      </c>
    </row>
    <row r="5709" spans="1:8" ht="14.4" x14ac:dyDescent="0.3">
      <c r="A5709" s="8">
        <v>1969061</v>
      </c>
      <c r="B5709" s="11">
        <v>44600</v>
      </c>
      <c r="C5709" s="13" t="s">
        <v>7350</v>
      </c>
      <c r="D5709" s="13" t="s">
        <v>683</v>
      </c>
      <c r="E5709" s="8">
        <v>17000</v>
      </c>
      <c r="F5709" s="13" t="s">
        <v>70</v>
      </c>
      <c r="G5709" s="14">
        <v>44602</v>
      </c>
      <c r="H5709" s="13" t="s">
        <v>35</v>
      </c>
    </row>
    <row r="5710" spans="1:8" ht="14.4" x14ac:dyDescent="0.3">
      <c r="A5710" s="8">
        <v>1969062</v>
      </c>
      <c r="B5710" s="11">
        <v>44600</v>
      </c>
      <c r="C5710" s="13" t="s">
        <v>682</v>
      </c>
      <c r="D5710" s="13" t="s">
        <v>3522</v>
      </c>
      <c r="E5710" s="8">
        <v>17000</v>
      </c>
      <c r="F5710" s="13" t="s">
        <v>70</v>
      </c>
      <c r="G5710" s="14">
        <v>44602</v>
      </c>
      <c r="H5710" s="13" t="s">
        <v>35</v>
      </c>
    </row>
    <row r="5711" spans="1:8" ht="14.4" x14ac:dyDescent="0.3">
      <c r="A5711" s="8">
        <v>1969063</v>
      </c>
      <c r="B5711" s="11">
        <v>44600</v>
      </c>
      <c r="C5711" s="13" t="s">
        <v>7351</v>
      </c>
      <c r="D5711" s="13" t="s">
        <v>7352</v>
      </c>
      <c r="E5711" s="8">
        <v>6000</v>
      </c>
      <c r="F5711" s="13" t="s">
        <v>70</v>
      </c>
      <c r="G5711" s="14">
        <v>44602</v>
      </c>
      <c r="H5711" s="13" t="s">
        <v>35</v>
      </c>
    </row>
    <row r="5712" spans="1:8" ht="14.4" x14ac:dyDescent="0.3">
      <c r="A5712" s="8">
        <v>1969065</v>
      </c>
      <c r="B5712" s="11">
        <v>44600</v>
      </c>
      <c r="C5712" s="13" t="s">
        <v>3730</v>
      </c>
      <c r="D5712" s="13" t="s">
        <v>7353</v>
      </c>
      <c r="E5712" s="8">
        <v>10000</v>
      </c>
      <c r="F5712" s="13" t="s">
        <v>70</v>
      </c>
      <c r="G5712" s="14">
        <v>44602</v>
      </c>
      <c r="H5712" s="13" t="s">
        <v>35</v>
      </c>
    </row>
    <row r="5713" spans="1:8" ht="14.4" x14ac:dyDescent="0.3">
      <c r="A5713" s="8">
        <v>1969067</v>
      </c>
      <c r="B5713" s="11">
        <v>44601</v>
      </c>
      <c r="C5713" s="13" t="s">
        <v>188</v>
      </c>
      <c r="D5713" s="13" t="s">
        <v>7354</v>
      </c>
      <c r="E5713" s="8">
        <v>53538</v>
      </c>
      <c r="F5713" s="13" t="s">
        <v>70</v>
      </c>
      <c r="G5713" s="14">
        <v>44602</v>
      </c>
      <c r="H5713" s="13" t="s">
        <v>35</v>
      </c>
    </row>
    <row r="5714" spans="1:8" ht="14.4" x14ac:dyDescent="0.3">
      <c r="A5714" s="8">
        <v>1969068</v>
      </c>
      <c r="B5714" s="11">
        <v>44601</v>
      </c>
      <c r="C5714" s="13" t="s">
        <v>7355</v>
      </c>
      <c r="D5714" s="13" t="s">
        <v>7356</v>
      </c>
      <c r="E5714" s="8">
        <v>12000</v>
      </c>
      <c r="F5714" s="13" t="s">
        <v>70</v>
      </c>
      <c r="G5714" s="14">
        <v>44608</v>
      </c>
      <c r="H5714" s="13" t="s">
        <v>35</v>
      </c>
    </row>
    <row r="5715" spans="1:8" ht="14.4" x14ac:dyDescent="0.3">
      <c r="A5715" s="8">
        <v>1969069</v>
      </c>
      <c r="B5715" s="11">
        <v>44601</v>
      </c>
      <c r="C5715" s="13" t="s">
        <v>7357</v>
      </c>
      <c r="D5715" s="13" t="s">
        <v>7358</v>
      </c>
      <c r="E5715" s="8">
        <v>12000</v>
      </c>
      <c r="F5715" s="13" t="s">
        <v>70</v>
      </c>
      <c r="G5715" s="14">
        <v>44606</v>
      </c>
      <c r="H5715" s="13" t="s">
        <v>35</v>
      </c>
    </row>
    <row r="5716" spans="1:8" ht="14.4" x14ac:dyDescent="0.3">
      <c r="A5716" s="8">
        <v>1969070</v>
      </c>
      <c r="B5716" s="11">
        <v>44601</v>
      </c>
      <c r="C5716" s="13" t="s">
        <v>7359</v>
      </c>
      <c r="D5716" s="13" t="s">
        <v>7360</v>
      </c>
      <c r="E5716" s="8">
        <v>8400</v>
      </c>
      <c r="F5716" s="13" t="s">
        <v>70</v>
      </c>
      <c r="G5716" s="14">
        <v>44603</v>
      </c>
      <c r="H5716" s="13" t="s">
        <v>35</v>
      </c>
    </row>
    <row r="5717" spans="1:8" ht="14.4" x14ac:dyDescent="0.3">
      <c r="A5717" s="8">
        <v>1969071</v>
      </c>
      <c r="B5717" s="11">
        <v>44601</v>
      </c>
      <c r="C5717" s="13" t="s">
        <v>7361</v>
      </c>
      <c r="D5717" s="13" t="s">
        <v>7362</v>
      </c>
      <c r="E5717" s="8">
        <v>8000</v>
      </c>
      <c r="F5717" s="13" t="s">
        <v>70</v>
      </c>
      <c r="G5717" s="14">
        <v>44606</v>
      </c>
      <c r="H5717" s="13" t="s">
        <v>35</v>
      </c>
    </row>
    <row r="5718" spans="1:8" ht="14.4" x14ac:dyDescent="0.3">
      <c r="A5718" s="8">
        <v>1969073</v>
      </c>
      <c r="B5718" s="11">
        <v>44601</v>
      </c>
      <c r="C5718" s="13" t="s">
        <v>7363</v>
      </c>
      <c r="D5718" s="13" t="s">
        <v>7364</v>
      </c>
      <c r="E5718" s="8">
        <v>13000</v>
      </c>
      <c r="F5718" s="13" t="s">
        <v>70</v>
      </c>
      <c r="G5718" s="14">
        <v>44606</v>
      </c>
      <c r="H5718" s="13" t="s">
        <v>35</v>
      </c>
    </row>
    <row r="5719" spans="1:8" ht="14.4" x14ac:dyDescent="0.3">
      <c r="A5719" s="8">
        <v>1969074</v>
      </c>
      <c r="B5719" s="11">
        <v>44601</v>
      </c>
      <c r="C5719" s="13" t="s">
        <v>7365</v>
      </c>
      <c r="D5719" s="13" t="s">
        <v>7366</v>
      </c>
      <c r="E5719" s="8">
        <v>15000</v>
      </c>
      <c r="F5719" s="13" t="s">
        <v>70</v>
      </c>
      <c r="G5719" s="14">
        <v>44606</v>
      </c>
      <c r="H5719" s="13" t="s">
        <v>35</v>
      </c>
    </row>
    <row r="5720" spans="1:8" ht="14.4" x14ac:dyDescent="0.3">
      <c r="A5720" s="8">
        <v>1969075</v>
      </c>
      <c r="B5720" s="11">
        <v>44601</v>
      </c>
      <c r="C5720" s="13" t="s">
        <v>7177</v>
      </c>
      <c r="D5720" s="13" t="s">
        <v>7367</v>
      </c>
      <c r="E5720" s="8">
        <v>10000</v>
      </c>
      <c r="F5720" s="13" t="s">
        <v>70</v>
      </c>
      <c r="G5720" s="14">
        <v>44606</v>
      </c>
      <c r="H5720" s="13" t="s">
        <v>35</v>
      </c>
    </row>
    <row r="5721" spans="1:8" ht="14.4" x14ac:dyDescent="0.3">
      <c r="A5721" s="8">
        <v>1969076</v>
      </c>
      <c r="B5721" s="11">
        <v>44601</v>
      </c>
      <c r="C5721" s="13" t="s">
        <v>613</v>
      </c>
      <c r="D5721" s="13" t="s">
        <v>7368</v>
      </c>
      <c r="E5721" s="8">
        <v>30000</v>
      </c>
      <c r="F5721" s="13" t="s">
        <v>70</v>
      </c>
      <c r="G5721" s="14">
        <v>44609</v>
      </c>
      <c r="H5721" s="13" t="s">
        <v>35</v>
      </c>
    </row>
    <row r="5722" spans="1:8" ht="14.4" x14ac:dyDescent="0.3">
      <c r="A5722" s="8">
        <v>1969077</v>
      </c>
      <c r="B5722" s="11">
        <v>44601</v>
      </c>
      <c r="C5722" s="13" t="s">
        <v>7369</v>
      </c>
      <c r="D5722" s="13" t="s">
        <v>7370</v>
      </c>
      <c r="E5722" s="8">
        <v>40000</v>
      </c>
      <c r="F5722" s="13" t="s">
        <v>70</v>
      </c>
      <c r="G5722" s="14">
        <v>44606</v>
      </c>
      <c r="H5722" s="13" t="s">
        <v>35</v>
      </c>
    </row>
    <row r="5723" spans="1:8" ht="14.4" x14ac:dyDescent="0.3">
      <c r="A5723" s="8">
        <v>1969078</v>
      </c>
      <c r="B5723" s="11">
        <v>44601</v>
      </c>
      <c r="C5723" s="13" t="s">
        <v>7371</v>
      </c>
      <c r="D5723" s="13" t="s">
        <v>7372</v>
      </c>
      <c r="E5723" s="8">
        <v>18000</v>
      </c>
      <c r="F5723" s="13" t="s">
        <v>70</v>
      </c>
      <c r="G5723" s="14">
        <v>44606</v>
      </c>
      <c r="H5723" s="13" t="s">
        <v>35</v>
      </c>
    </row>
    <row r="5724" spans="1:8" ht="14.4" x14ac:dyDescent="0.3">
      <c r="A5724" s="8">
        <v>1969079</v>
      </c>
      <c r="B5724" s="11">
        <v>44601</v>
      </c>
      <c r="C5724" s="13" t="s">
        <v>7373</v>
      </c>
      <c r="D5724" s="13" t="s">
        <v>7374</v>
      </c>
      <c r="E5724" s="8">
        <v>10000</v>
      </c>
      <c r="F5724" s="13" t="s">
        <v>70</v>
      </c>
      <c r="G5724" s="14">
        <v>44608</v>
      </c>
      <c r="H5724" s="13" t="s">
        <v>35</v>
      </c>
    </row>
    <row r="5725" spans="1:8" ht="14.4" x14ac:dyDescent="0.3">
      <c r="A5725" s="8">
        <v>1969080</v>
      </c>
      <c r="B5725" s="11">
        <v>44601</v>
      </c>
      <c r="C5725" s="13" t="s">
        <v>1193</v>
      </c>
      <c r="D5725" s="13" t="s">
        <v>7375</v>
      </c>
      <c r="E5725" s="8">
        <v>87000</v>
      </c>
      <c r="F5725" s="13" t="s">
        <v>70</v>
      </c>
      <c r="G5725" s="14">
        <v>44609</v>
      </c>
      <c r="H5725" s="13" t="s">
        <v>35</v>
      </c>
    </row>
    <row r="5726" spans="1:8" ht="14.4" x14ac:dyDescent="0.3">
      <c r="A5726" s="8">
        <v>1969081</v>
      </c>
      <c r="B5726" s="11">
        <v>44601</v>
      </c>
      <c r="C5726" s="13" t="s">
        <v>7376</v>
      </c>
      <c r="D5726" s="13" t="s">
        <v>7377</v>
      </c>
      <c r="E5726" s="8">
        <v>130000</v>
      </c>
      <c r="F5726" s="13" t="s">
        <v>70</v>
      </c>
      <c r="G5726" s="14">
        <v>44609</v>
      </c>
      <c r="H5726" s="13" t="s">
        <v>35</v>
      </c>
    </row>
    <row r="5727" spans="1:8" ht="14.4" x14ac:dyDescent="0.3">
      <c r="A5727" s="8">
        <v>1969082</v>
      </c>
      <c r="B5727" s="11">
        <v>44601</v>
      </c>
      <c r="C5727" s="13" t="s">
        <v>506</v>
      </c>
      <c r="D5727" s="13" t="s">
        <v>7378</v>
      </c>
      <c r="E5727" s="8">
        <v>31000</v>
      </c>
      <c r="F5727" s="13" t="s">
        <v>70</v>
      </c>
      <c r="G5727" s="14">
        <v>44609</v>
      </c>
      <c r="H5727" s="13" t="s">
        <v>35</v>
      </c>
    </row>
    <row r="5728" spans="1:8" ht="14.4" x14ac:dyDescent="0.3">
      <c r="A5728" s="8">
        <v>1969083</v>
      </c>
      <c r="B5728" s="11">
        <v>44601</v>
      </c>
      <c r="C5728" s="13" t="s">
        <v>74</v>
      </c>
      <c r="D5728" s="13" t="s">
        <v>7379</v>
      </c>
      <c r="E5728" s="8">
        <v>94500</v>
      </c>
      <c r="F5728" s="13" t="s">
        <v>70</v>
      </c>
      <c r="G5728" s="14">
        <v>44609</v>
      </c>
      <c r="H5728" s="13" t="s">
        <v>35</v>
      </c>
    </row>
    <row r="5729" spans="1:8" ht="14.4" x14ac:dyDescent="0.3">
      <c r="A5729" s="8">
        <v>1969084</v>
      </c>
      <c r="B5729" s="11">
        <v>44601</v>
      </c>
      <c r="C5729" s="13" t="s">
        <v>7196</v>
      </c>
      <c r="D5729" s="13" t="s">
        <v>7380</v>
      </c>
      <c r="E5729" s="8">
        <v>10000</v>
      </c>
      <c r="F5729" s="13" t="s">
        <v>70</v>
      </c>
      <c r="G5729" s="14">
        <v>44607</v>
      </c>
      <c r="H5729" s="13" t="s">
        <v>35</v>
      </c>
    </row>
    <row r="5730" spans="1:8" ht="14.4" x14ac:dyDescent="0.3">
      <c r="A5730" s="8">
        <v>1969085</v>
      </c>
      <c r="B5730" s="11">
        <v>44601</v>
      </c>
      <c r="C5730" s="13" t="s">
        <v>176</v>
      </c>
      <c r="D5730" s="13" t="s">
        <v>7110</v>
      </c>
      <c r="E5730" s="8">
        <v>88000</v>
      </c>
      <c r="F5730" s="13" t="s">
        <v>70</v>
      </c>
      <c r="G5730" s="14">
        <v>44609</v>
      </c>
      <c r="H5730" s="13" t="s">
        <v>35</v>
      </c>
    </row>
    <row r="5731" spans="1:8" ht="14.4" x14ac:dyDescent="0.3">
      <c r="A5731" s="8">
        <v>1969086</v>
      </c>
      <c r="B5731" s="11">
        <v>44601</v>
      </c>
      <c r="C5731" s="13" t="s">
        <v>7381</v>
      </c>
      <c r="D5731" s="13" t="s">
        <v>7382</v>
      </c>
      <c r="E5731" s="8">
        <v>8000</v>
      </c>
      <c r="F5731" s="13" t="s">
        <v>70</v>
      </c>
      <c r="G5731" s="14">
        <v>44613</v>
      </c>
      <c r="H5731" s="13" t="s">
        <v>35</v>
      </c>
    </row>
    <row r="5732" spans="1:8" ht="14.4" x14ac:dyDescent="0.3">
      <c r="A5732" s="8">
        <v>1969087</v>
      </c>
      <c r="B5732" s="11">
        <v>44601</v>
      </c>
      <c r="C5732" s="13" t="s">
        <v>1536</v>
      </c>
      <c r="D5732" s="13" t="s">
        <v>7383</v>
      </c>
      <c r="E5732" s="8">
        <v>310110.39</v>
      </c>
      <c r="F5732" s="13" t="s">
        <v>70</v>
      </c>
      <c r="G5732" s="14">
        <v>44601</v>
      </c>
      <c r="H5732" s="13" t="s">
        <v>35</v>
      </c>
    </row>
    <row r="5733" spans="1:8" ht="14.4" x14ac:dyDescent="0.3">
      <c r="A5733" s="8">
        <v>1969088</v>
      </c>
      <c r="B5733" s="11">
        <v>44602</v>
      </c>
      <c r="C5733" s="13" t="s">
        <v>7384</v>
      </c>
      <c r="D5733" s="13" t="s">
        <v>7385</v>
      </c>
      <c r="E5733" s="8">
        <v>378721.32</v>
      </c>
      <c r="F5733" s="13" t="s">
        <v>70</v>
      </c>
      <c r="G5733" s="14">
        <v>44602</v>
      </c>
      <c r="H5733" s="13" t="s">
        <v>35</v>
      </c>
    </row>
    <row r="5734" spans="1:8" ht="14.4" x14ac:dyDescent="0.3">
      <c r="A5734" s="8">
        <v>1969089</v>
      </c>
      <c r="B5734" s="11">
        <v>44602</v>
      </c>
      <c r="C5734" s="13" t="s">
        <v>159</v>
      </c>
      <c r="D5734" s="13" t="s">
        <v>7386</v>
      </c>
      <c r="E5734" s="8">
        <v>172000</v>
      </c>
      <c r="F5734" s="13" t="s">
        <v>70</v>
      </c>
      <c r="G5734" s="14">
        <v>44603</v>
      </c>
      <c r="H5734" s="13" t="s">
        <v>35</v>
      </c>
    </row>
    <row r="5735" spans="1:8" ht="14.4" x14ac:dyDescent="0.3">
      <c r="A5735" s="8">
        <v>1969090</v>
      </c>
      <c r="B5735" s="11">
        <v>44602</v>
      </c>
      <c r="C5735" s="13" t="s">
        <v>7387</v>
      </c>
      <c r="D5735" s="13" t="s">
        <v>7388</v>
      </c>
      <c r="E5735" s="8">
        <v>10000</v>
      </c>
      <c r="F5735" s="13" t="s">
        <v>70</v>
      </c>
      <c r="G5735" s="14">
        <v>44624</v>
      </c>
      <c r="H5735" s="13" t="s">
        <v>35</v>
      </c>
    </row>
    <row r="5736" spans="1:8" ht="14.4" x14ac:dyDescent="0.3">
      <c r="A5736" s="8">
        <v>1969091</v>
      </c>
      <c r="B5736" s="11">
        <v>44602</v>
      </c>
      <c r="C5736" s="13" t="s">
        <v>7389</v>
      </c>
      <c r="D5736" s="13" t="s">
        <v>7390</v>
      </c>
      <c r="E5736" s="8">
        <v>6000</v>
      </c>
      <c r="F5736" s="13" t="s">
        <v>70</v>
      </c>
      <c r="G5736" s="14">
        <v>44624</v>
      </c>
      <c r="H5736" s="13" t="s">
        <v>35</v>
      </c>
    </row>
    <row r="5737" spans="1:8" ht="14.4" x14ac:dyDescent="0.3">
      <c r="A5737" s="8">
        <v>1969092</v>
      </c>
      <c r="B5737" s="11">
        <v>44602</v>
      </c>
      <c r="C5737" s="13" t="s">
        <v>2179</v>
      </c>
      <c r="D5737" s="13" t="s">
        <v>7391</v>
      </c>
      <c r="E5737" s="8">
        <v>6000</v>
      </c>
      <c r="F5737" s="13" t="s">
        <v>70</v>
      </c>
      <c r="G5737" s="14">
        <v>44603</v>
      </c>
      <c r="H5737" s="13" t="s">
        <v>35</v>
      </c>
    </row>
    <row r="5738" spans="1:8" ht="14.4" x14ac:dyDescent="0.3">
      <c r="A5738" s="8">
        <v>1969093</v>
      </c>
      <c r="B5738" s="11">
        <v>44602</v>
      </c>
      <c r="C5738" s="13" t="s">
        <v>7392</v>
      </c>
      <c r="D5738" s="13" t="s">
        <v>7393</v>
      </c>
      <c r="E5738" s="8">
        <v>4500</v>
      </c>
      <c r="F5738" s="13" t="s">
        <v>70</v>
      </c>
      <c r="G5738" s="14">
        <v>44603</v>
      </c>
      <c r="H5738" s="13" t="s">
        <v>35</v>
      </c>
    </row>
    <row r="5739" spans="1:8" ht="14.4" x14ac:dyDescent="0.3">
      <c r="A5739" s="8">
        <v>1969094</v>
      </c>
      <c r="B5739" s="11">
        <v>44602</v>
      </c>
      <c r="C5739" s="13" t="s">
        <v>7394</v>
      </c>
      <c r="D5739" s="13" t="s">
        <v>7391</v>
      </c>
      <c r="E5739" s="8">
        <v>4500</v>
      </c>
      <c r="F5739" s="13" t="s">
        <v>70</v>
      </c>
      <c r="G5739" s="14">
        <v>44603</v>
      </c>
      <c r="H5739" s="13" t="s">
        <v>35</v>
      </c>
    </row>
    <row r="5740" spans="1:8" ht="14.4" x14ac:dyDescent="0.3">
      <c r="A5740" s="8">
        <v>1969095</v>
      </c>
      <c r="B5740" s="11">
        <v>44602</v>
      </c>
      <c r="C5740" s="13" t="s">
        <v>2184</v>
      </c>
      <c r="D5740" s="13" t="s">
        <v>7391</v>
      </c>
      <c r="E5740" s="8">
        <v>4500</v>
      </c>
      <c r="F5740" s="13" t="s">
        <v>70</v>
      </c>
      <c r="G5740" s="14">
        <v>44603</v>
      </c>
      <c r="H5740" s="13" t="s">
        <v>35</v>
      </c>
    </row>
    <row r="5741" spans="1:8" ht="14.4" x14ac:dyDescent="0.3">
      <c r="A5741" s="8">
        <v>1969096</v>
      </c>
      <c r="B5741" s="11">
        <v>44602</v>
      </c>
      <c r="C5741" s="13" t="s">
        <v>2203</v>
      </c>
      <c r="D5741" s="13" t="s">
        <v>7391</v>
      </c>
      <c r="E5741" s="8">
        <v>4500</v>
      </c>
      <c r="F5741" s="13" t="s">
        <v>70</v>
      </c>
      <c r="G5741" s="14">
        <v>44603</v>
      </c>
      <c r="H5741" s="13" t="s">
        <v>35</v>
      </c>
    </row>
    <row r="5742" spans="1:8" ht="14.4" x14ac:dyDescent="0.3">
      <c r="A5742" s="8">
        <v>1969097</v>
      </c>
      <c r="B5742" s="11">
        <v>44602</v>
      </c>
      <c r="C5742" s="13" t="s">
        <v>5006</v>
      </c>
      <c r="D5742" s="13" t="s">
        <v>1396</v>
      </c>
      <c r="E5742" s="8">
        <v>20000</v>
      </c>
      <c r="F5742" s="13" t="s">
        <v>70</v>
      </c>
      <c r="G5742" s="14">
        <v>44603</v>
      </c>
      <c r="H5742" s="13" t="s">
        <v>35</v>
      </c>
    </row>
    <row r="5743" spans="1:8" ht="14.4" x14ac:dyDescent="0.3">
      <c r="A5743" s="8">
        <v>1969098</v>
      </c>
      <c r="B5743" s="11">
        <v>44602</v>
      </c>
      <c r="C5743" s="13" t="s">
        <v>5008</v>
      </c>
      <c r="D5743" s="13" t="s">
        <v>1396</v>
      </c>
      <c r="E5743" s="8">
        <v>10000</v>
      </c>
      <c r="F5743" s="13" t="s">
        <v>70</v>
      </c>
      <c r="G5743" s="14">
        <v>44603</v>
      </c>
      <c r="H5743" s="13" t="s">
        <v>35</v>
      </c>
    </row>
    <row r="5744" spans="1:8" ht="14.4" x14ac:dyDescent="0.3">
      <c r="A5744" s="8">
        <v>1969099</v>
      </c>
      <c r="B5744" s="11">
        <v>44602</v>
      </c>
      <c r="C5744" s="13" t="s">
        <v>5004</v>
      </c>
      <c r="D5744" s="13" t="s">
        <v>1396</v>
      </c>
      <c r="E5744" s="8">
        <v>5000</v>
      </c>
      <c r="F5744" s="13" t="s">
        <v>70</v>
      </c>
      <c r="G5744" s="14">
        <v>44603</v>
      </c>
      <c r="H5744" s="13" t="s">
        <v>35</v>
      </c>
    </row>
    <row r="5745" spans="1:8" ht="14.4" x14ac:dyDescent="0.3">
      <c r="A5745" s="8">
        <v>1969100</v>
      </c>
      <c r="B5745" s="11">
        <v>44602</v>
      </c>
      <c r="C5745" s="13" t="s">
        <v>5005</v>
      </c>
      <c r="D5745" s="13" t="s">
        <v>1396</v>
      </c>
      <c r="E5745" s="8">
        <v>3000</v>
      </c>
      <c r="F5745" s="13" t="s">
        <v>70</v>
      </c>
      <c r="G5745" s="14">
        <v>44603</v>
      </c>
      <c r="H5745" s="13" t="s">
        <v>35</v>
      </c>
    </row>
    <row r="5746" spans="1:8" ht="14.4" x14ac:dyDescent="0.3">
      <c r="A5746" s="8">
        <v>1969101</v>
      </c>
      <c r="B5746" s="11">
        <v>44602</v>
      </c>
      <c r="C5746" s="13" t="s">
        <v>4997</v>
      </c>
      <c r="D5746" s="13" t="s">
        <v>7395</v>
      </c>
      <c r="E5746" s="8">
        <v>10000</v>
      </c>
      <c r="F5746" s="13" t="s">
        <v>70</v>
      </c>
      <c r="G5746" s="14">
        <v>44609</v>
      </c>
      <c r="H5746" s="13" t="s">
        <v>35</v>
      </c>
    </row>
    <row r="5747" spans="1:8" ht="14.4" x14ac:dyDescent="0.3">
      <c r="A5747" s="8">
        <v>1969102</v>
      </c>
      <c r="B5747" s="11">
        <v>44602</v>
      </c>
      <c r="C5747" s="13" t="s">
        <v>7396</v>
      </c>
      <c r="D5747" s="13" t="s">
        <v>7395</v>
      </c>
      <c r="E5747" s="8">
        <v>20000</v>
      </c>
      <c r="F5747" s="13" t="s">
        <v>70</v>
      </c>
      <c r="G5747" s="14">
        <v>44609</v>
      </c>
      <c r="H5747" s="13" t="s">
        <v>35</v>
      </c>
    </row>
    <row r="5748" spans="1:8" ht="14.4" x14ac:dyDescent="0.3">
      <c r="A5748" s="8">
        <v>1969103</v>
      </c>
      <c r="B5748" s="11">
        <v>44602</v>
      </c>
      <c r="C5748" s="13" t="s">
        <v>7397</v>
      </c>
      <c r="D5748" s="13" t="s">
        <v>7395</v>
      </c>
      <c r="E5748" s="8">
        <v>6000</v>
      </c>
      <c r="F5748" s="13" t="s">
        <v>70</v>
      </c>
      <c r="G5748" s="14">
        <v>44609</v>
      </c>
      <c r="H5748" s="13" t="s">
        <v>35</v>
      </c>
    </row>
    <row r="5749" spans="1:8" ht="14.4" x14ac:dyDescent="0.3">
      <c r="A5749" s="8">
        <v>1969104</v>
      </c>
      <c r="B5749" s="11">
        <v>44602</v>
      </c>
      <c r="C5749" s="13" t="s">
        <v>7398</v>
      </c>
      <c r="D5749" s="13" t="s">
        <v>7395</v>
      </c>
      <c r="E5749" s="8">
        <v>5000</v>
      </c>
      <c r="F5749" s="13" t="s">
        <v>70</v>
      </c>
      <c r="G5749" s="14">
        <v>44609</v>
      </c>
      <c r="H5749" s="13" t="s">
        <v>35</v>
      </c>
    </row>
    <row r="5750" spans="1:8" ht="14.4" x14ac:dyDescent="0.3">
      <c r="A5750" s="8">
        <v>1969105</v>
      </c>
      <c r="B5750" s="11">
        <v>44602</v>
      </c>
      <c r="C5750" s="13" t="s">
        <v>7399</v>
      </c>
      <c r="D5750" s="13" t="s">
        <v>7395</v>
      </c>
      <c r="E5750" s="8">
        <v>5000</v>
      </c>
      <c r="F5750" s="13" t="s">
        <v>70</v>
      </c>
      <c r="G5750" s="14">
        <v>44609</v>
      </c>
      <c r="H5750" s="13" t="s">
        <v>35</v>
      </c>
    </row>
    <row r="5751" spans="1:8" ht="14.4" x14ac:dyDescent="0.3">
      <c r="A5751" s="8">
        <v>1969106</v>
      </c>
      <c r="B5751" s="11">
        <v>44602</v>
      </c>
      <c r="C5751" s="13" t="s">
        <v>7400</v>
      </c>
      <c r="D5751" s="13" t="s">
        <v>7395</v>
      </c>
      <c r="E5751" s="8">
        <v>5000</v>
      </c>
      <c r="F5751" s="13" t="s">
        <v>70</v>
      </c>
      <c r="G5751" s="14">
        <v>44609</v>
      </c>
      <c r="H5751" s="13" t="s">
        <v>35</v>
      </c>
    </row>
    <row r="5752" spans="1:8" ht="14.4" x14ac:dyDescent="0.3">
      <c r="A5752" s="8">
        <v>1969107</v>
      </c>
      <c r="B5752" s="11">
        <v>44602</v>
      </c>
      <c r="C5752" s="13" t="s">
        <v>7401</v>
      </c>
      <c r="D5752" s="13" t="s">
        <v>7402</v>
      </c>
      <c r="E5752" s="8">
        <v>3000</v>
      </c>
      <c r="F5752" s="13" t="s">
        <v>70</v>
      </c>
      <c r="G5752" s="14">
        <v>44609</v>
      </c>
      <c r="H5752" s="13" t="s">
        <v>35</v>
      </c>
    </row>
    <row r="5753" spans="1:8" ht="14.4" x14ac:dyDescent="0.3">
      <c r="A5753" s="8">
        <v>1969108</v>
      </c>
      <c r="B5753" s="11">
        <v>44602</v>
      </c>
      <c r="C5753" s="13" t="s">
        <v>7403</v>
      </c>
      <c r="D5753" s="13" t="s">
        <v>7395</v>
      </c>
      <c r="E5753" s="8">
        <v>3000</v>
      </c>
      <c r="F5753" s="13" t="s">
        <v>70</v>
      </c>
      <c r="G5753" s="14">
        <v>44609</v>
      </c>
      <c r="H5753" s="13" t="s">
        <v>35</v>
      </c>
    </row>
    <row r="5754" spans="1:8" ht="14.4" x14ac:dyDescent="0.3">
      <c r="A5754" s="8">
        <v>1969109</v>
      </c>
      <c r="B5754" s="11">
        <v>44602</v>
      </c>
      <c r="C5754" s="13" t="s">
        <v>85</v>
      </c>
      <c r="D5754" s="13" t="s">
        <v>280</v>
      </c>
      <c r="E5754" s="8">
        <v>7500</v>
      </c>
      <c r="F5754" s="13" t="s">
        <v>70</v>
      </c>
      <c r="G5754" s="14">
        <v>44607</v>
      </c>
      <c r="H5754" s="13" t="s">
        <v>35</v>
      </c>
    </row>
    <row r="5755" spans="1:8" ht="14.4" x14ac:dyDescent="0.3">
      <c r="A5755" s="8">
        <v>1969110</v>
      </c>
      <c r="B5755" s="11">
        <v>44602</v>
      </c>
      <c r="C5755" s="13" t="s">
        <v>7404</v>
      </c>
      <c r="D5755" s="13" t="s">
        <v>757</v>
      </c>
      <c r="E5755" s="8">
        <v>250312.5</v>
      </c>
      <c r="F5755" s="13" t="s">
        <v>70</v>
      </c>
      <c r="G5755" s="14">
        <v>44603</v>
      </c>
      <c r="H5755" s="13" t="s">
        <v>35</v>
      </c>
    </row>
    <row r="5756" spans="1:8" ht="14.4" x14ac:dyDescent="0.3">
      <c r="A5756" s="8">
        <v>1969111</v>
      </c>
      <c r="B5756" s="11">
        <v>44602</v>
      </c>
      <c r="C5756" s="13" t="s">
        <v>217</v>
      </c>
      <c r="D5756" s="13" t="s">
        <v>7405</v>
      </c>
      <c r="E5756" s="8">
        <v>7584.35</v>
      </c>
      <c r="F5756" s="13" t="s">
        <v>70</v>
      </c>
      <c r="G5756" s="14">
        <v>44607</v>
      </c>
      <c r="H5756" s="13" t="s">
        <v>35</v>
      </c>
    </row>
    <row r="5757" spans="1:8" ht="14.4" x14ac:dyDescent="0.3">
      <c r="A5757" s="8">
        <v>1969112</v>
      </c>
      <c r="B5757" s="11">
        <v>44602</v>
      </c>
      <c r="C5757" s="13" t="s">
        <v>125</v>
      </c>
      <c r="D5757" s="13" t="s">
        <v>7406</v>
      </c>
      <c r="E5757" s="8">
        <v>32886</v>
      </c>
      <c r="F5757" s="13" t="s">
        <v>70</v>
      </c>
      <c r="G5757" s="14">
        <v>44606</v>
      </c>
      <c r="H5757" s="13" t="s">
        <v>35</v>
      </c>
    </row>
    <row r="5758" spans="1:8" ht="14.4" x14ac:dyDescent="0.3">
      <c r="A5758" s="8">
        <v>1969113</v>
      </c>
      <c r="B5758" s="11">
        <v>44602</v>
      </c>
      <c r="C5758" s="13" t="s">
        <v>7407</v>
      </c>
      <c r="D5758" s="13" t="s">
        <v>7408</v>
      </c>
      <c r="E5758" s="8">
        <v>1350000</v>
      </c>
      <c r="F5758" s="13" t="s">
        <v>70</v>
      </c>
      <c r="G5758" s="14">
        <v>44608</v>
      </c>
      <c r="H5758" s="13" t="s">
        <v>35</v>
      </c>
    </row>
    <row r="5759" spans="1:8" ht="14.4" x14ac:dyDescent="0.3">
      <c r="A5759" s="8">
        <v>1969114</v>
      </c>
      <c r="B5759" s="11">
        <v>44602</v>
      </c>
      <c r="C5759" s="13" t="s">
        <v>85</v>
      </c>
      <c r="D5759" s="13" t="s">
        <v>7409</v>
      </c>
      <c r="E5759" s="8">
        <v>1687.5</v>
      </c>
      <c r="F5759" s="13" t="s">
        <v>70</v>
      </c>
      <c r="G5759" s="14">
        <v>44608</v>
      </c>
      <c r="H5759" s="13" t="s">
        <v>35</v>
      </c>
    </row>
    <row r="5760" spans="1:8" ht="14.4" x14ac:dyDescent="0.3">
      <c r="A5760" s="8">
        <v>1969115</v>
      </c>
      <c r="B5760" s="11">
        <v>44602</v>
      </c>
      <c r="C5760" s="13" t="s">
        <v>180</v>
      </c>
      <c r="D5760" s="13" t="s">
        <v>901</v>
      </c>
      <c r="E5760" s="8">
        <v>319046.67</v>
      </c>
      <c r="F5760" s="13" t="s">
        <v>70</v>
      </c>
      <c r="G5760" s="14">
        <v>44602</v>
      </c>
      <c r="H5760" s="13" t="s">
        <v>35</v>
      </c>
    </row>
    <row r="5761" spans="1:8" ht="14.4" x14ac:dyDescent="0.3">
      <c r="A5761" s="8">
        <v>1969116</v>
      </c>
      <c r="B5761" s="11">
        <v>44602</v>
      </c>
      <c r="C5761" s="13" t="s">
        <v>232</v>
      </c>
      <c r="D5761" s="13" t="s">
        <v>7410</v>
      </c>
      <c r="E5761" s="8">
        <v>18000</v>
      </c>
      <c r="F5761" s="13" t="s">
        <v>70</v>
      </c>
      <c r="G5761" s="14">
        <v>44607</v>
      </c>
      <c r="H5761" s="13" t="s">
        <v>35</v>
      </c>
    </row>
    <row r="5762" spans="1:8" ht="14.4" x14ac:dyDescent="0.3">
      <c r="A5762" s="8">
        <v>1969117</v>
      </c>
      <c r="B5762" s="11">
        <v>44602</v>
      </c>
      <c r="C5762" s="13" t="s">
        <v>7411</v>
      </c>
      <c r="D5762" s="13" t="s">
        <v>7412</v>
      </c>
      <c r="E5762" s="8">
        <v>5367.19</v>
      </c>
      <c r="F5762" s="13" t="s">
        <v>70</v>
      </c>
      <c r="G5762" s="14">
        <v>44656</v>
      </c>
      <c r="H5762" s="13" t="s">
        <v>35</v>
      </c>
    </row>
    <row r="5763" spans="1:8" ht="14.4" x14ac:dyDescent="0.3">
      <c r="A5763" s="8">
        <v>1969118</v>
      </c>
      <c r="B5763" s="11">
        <v>44602</v>
      </c>
      <c r="C5763" s="13" t="s">
        <v>2530</v>
      </c>
      <c r="D5763" s="13" t="s">
        <v>7390</v>
      </c>
      <c r="E5763" s="8">
        <v>9790</v>
      </c>
      <c r="F5763" s="13" t="s">
        <v>70</v>
      </c>
      <c r="G5763" s="14">
        <v>44630</v>
      </c>
      <c r="H5763" s="13" t="s">
        <v>35</v>
      </c>
    </row>
    <row r="5764" spans="1:8" ht="14.4" x14ac:dyDescent="0.3">
      <c r="A5764" s="8">
        <v>1969119</v>
      </c>
      <c r="B5764" s="11">
        <v>44602</v>
      </c>
      <c r="C5764" s="13" t="s">
        <v>3108</v>
      </c>
      <c r="D5764" s="13" t="s">
        <v>7413</v>
      </c>
      <c r="E5764" s="8">
        <v>20000</v>
      </c>
      <c r="F5764" s="13" t="s">
        <v>70</v>
      </c>
      <c r="G5764" s="14">
        <v>44608</v>
      </c>
      <c r="H5764" s="13" t="s">
        <v>35</v>
      </c>
    </row>
    <row r="5765" spans="1:8" ht="14.4" x14ac:dyDescent="0.3">
      <c r="A5765" s="8">
        <v>1969120</v>
      </c>
      <c r="B5765" s="11">
        <v>44602</v>
      </c>
      <c r="C5765" s="13" t="s">
        <v>2305</v>
      </c>
      <c r="D5765" s="13" t="s">
        <v>7414</v>
      </c>
      <c r="E5765" s="8">
        <v>29025.02</v>
      </c>
      <c r="F5765" s="13" t="s">
        <v>70</v>
      </c>
      <c r="G5765" s="14">
        <v>44609</v>
      </c>
      <c r="H5765" s="13" t="s">
        <v>35</v>
      </c>
    </row>
    <row r="5766" spans="1:8" ht="14.4" x14ac:dyDescent="0.3">
      <c r="A5766" s="8">
        <v>1969121</v>
      </c>
      <c r="B5766" s="11">
        <v>44602</v>
      </c>
      <c r="C5766" s="13" t="s">
        <v>7415</v>
      </c>
      <c r="D5766" s="13" t="s">
        <v>7416</v>
      </c>
      <c r="E5766" s="8">
        <v>3000</v>
      </c>
      <c r="F5766" s="13" t="s">
        <v>70</v>
      </c>
      <c r="G5766" s="14">
        <v>44607</v>
      </c>
      <c r="H5766" s="13" t="s">
        <v>35</v>
      </c>
    </row>
    <row r="5767" spans="1:8" ht="14.4" x14ac:dyDescent="0.3">
      <c r="A5767" s="8">
        <v>1969122</v>
      </c>
      <c r="B5767" s="11">
        <v>44602</v>
      </c>
      <c r="C5767" s="13" t="s">
        <v>92</v>
      </c>
      <c r="D5767" s="13" t="s">
        <v>7416</v>
      </c>
      <c r="E5767" s="8">
        <v>3000</v>
      </c>
      <c r="F5767" s="13" t="s">
        <v>70</v>
      </c>
      <c r="G5767" s="14">
        <v>44606</v>
      </c>
      <c r="H5767" s="13" t="s">
        <v>35</v>
      </c>
    </row>
    <row r="5768" spans="1:8" ht="14.4" x14ac:dyDescent="0.3">
      <c r="A5768" s="8">
        <v>1969123</v>
      </c>
      <c r="B5768" s="11">
        <v>44602</v>
      </c>
      <c r="C5768" s="13" t="s">
        <v>7417</v>
      </c>
      <c r="D5768" s="13" t="s">
        <v>7416</v>
      </c>
      <c r="E5768" s="8">
        <v>3000</v>
      </c>
      <c r="F5768" s="13" t="s">
        <v>70</v>
      </c>
      <c r="G5768" s="14">
        <v>44606</v>
      </c>
      <c r="H5768" s="13" t="s">
        <v>35</v>
      </c>
    </row>
    <row r="5769" spans="1:8" ht="14.4" x14ac:dyDescent="0.3">
      <c r="A5769" s="8">
        <v>1969124</v>
      </c>
      <c r="B5769" s="11">
        <v>44602</v>
      </c>
      <c r="C5769" s="13" t="s">
        <v>91</v>
      </c>
      <c r="D5769" s="13" t="s">
        <v>7416</v>
      </c>
      <c r="E5769" s="8">
        <v>3000</v>
      </c>
      <c r="F5769" s="13" t="s">
        <v>70</v>
      </c>
      <c r="G5769" s="14">
        <v>44606</v>
      </c>
      <c r="H5769" s="13" t="s">
        <v>35</v>
      </c>
    </row>
    <row r="5770" spans="1:8" ht="14.4" x14ac:dyDescent="0.3">
      <c r="A5770" s="8">
        <v>1969125</v>
      </c>
      <c r="B5770" s="11">
        <v>44602</v>
      </c>
      <c r="C5770" s="13" t="s">
        <v>7418</v>
      </c>
      <c r="D5770" s="13" t="s">
        <v>7416</v>
      </c>
      <c r="E5770" s="8">
        <v>3000</v>
      </c>
      <c r="F5770" s="13" t="s">
        <v>70</v>
      </c>
      <c r="G5770" s="14">
        <v>44607</v>
      </c>
      <c r="H5770" s="13" t="s">
        <v>35</v>
      </c>
    </row>
    <row r="5771" spans="1:8" ht="14.4" x14ac:dyDescent="0.3">
      <c r="A5771" s="8">
        <v>1969126</v>
      </c>
      <c r="B5771" s="11">
        <v>44602</v>
      </c>
      <c r="C5771" s="13" t="s">
        <v>88</v>
      </c>
      <c r="D5771" s="13" t="s">
        <v>7416</v>
      </c>
      <c r="E5771" s="8">
        <v>3000</v>
      </c>
      <c r="F5771" s="13" t="s">
        <v>70</v>
      </c>
      <c r="G5771" s="14">
        <v>44616</v>
      </c>
      <c r="H5771" s="13" t="s">
        <v>35</v>
      </c>
    </row>
    <row r="5772" spans="1:8" ht="14.4" x14ac:dyDescent="0.3">
      <c r="A5772" s="8">
        <v>1969127</v>
      </c>
      <c r="B5772" s="11">
        <v>44602</v>
      </c>
      <c r="C5772" s="13" t="s">
        <v>7419</v>
      </c>
      <c r="D5772" s="13" t="s">
        <v>7416</v>
      </c>
      <c r="E5772" s="8">
        <v>3000</v>
      </c>
      <c r="F5772" s="13" t="s">
        <v>70</v>
      </c>
      <c r="G5772" s="14">
        <v>44610</v>
      </c>
      <c r="H5772" s="13" t="s">
        <v>35</v>
      </c>
    </row>
    <row r="5773" spans="1:8" ht="14.4" x14ac:dyDescent="0.3">
      <c r="A5773" s="8">
        <v>1969128</v>
      </c>
      <c r="B5773" s="11">
        <v>44602</v>
      </c>
      <c r="C5773" s="13" t="s">
        <v>7420</v>
      </c>
      <c r="D5773" s="13" t="s">
        <v>7416</v>
      </c>
      <c r="E5773" s="8">
        <v>3000</v>
      </c>
      <c r="F5773" s="13" t="s">
        <v>70</v>
      </c>
      <c r="G5773" s="14">
        <v>44606</v>
      </c>
      <c r="H5773" s="13" t="s">
        <v>35</v>
      </c>
    </row>
    <row r="5774" spans="1:8" ht="14.4" x14ac:dyDescent="0.3">
      <c r="A5774" s="8">
        <v>1969129</v>
      </c>
      <c r="B5774" s="11">
        <v>44602</v>
      </c>
      <c r="C5774" s="13" t="s">
        <v>265</v>
      </c>
      <c r="D5774" s="13" t="s">
        <v>7421</v>
      </c>
      <c r="E5774" s="8">
        <v>35330</v>
      </c>
      <c r="F5774" s="13" t="s">
        <v>70</v>
      </c>
      <c r="G5774" s="14">
        <v>44603</v>
      </c>
      <c r="H5774" s="13" t="s">
        <v>35</v>
      </c>
    </row>
    <row r="5775" spans="1:8" ht="14.4" x14ac:dyDescent="0.3">
      <c r="A5775" s="8">
        <v>1969130</v>
      </c>
      <c r="B5775" s="11">
        <v>44602</v>
      </c>
      <c r="C5775" s="13" t="s">
        <v>265</v>
      </c>
      <c r="D5775" s="13" t="s">
        <v>7422</v>
      </c>
      <c r="E5775" s="8">
        <v>142272.1</v>
      </c>
      <c r="F5775" s="13" t="s">
        <v>70</v>
      </c>
      <c r="G5775" s="14">
        <v>44603</v>
      </c>
      <c r="H5775" s="13" t="s">
        <v>35</v>
      </c>
    </row>
    <row r="5776" spans="1:8" ht="14.4" x14ac:dyDescent="0.3">
      <c r="A5776" s="8">
        <v>1969131</v>
      </c>
      <c r="B5776" s="11">
        <v>44602</v>
      </c>
      <c r="C5776" s="13" t="s">
        <v>2213</v>
      </c>
      <c r="D5776" s="13" t="s">
        <v>7423</v>
      </c>
      <c r="E5776" s="8">
        <v>3000</v>
      </c>
      <c r="F5776" s="13" t="s">
        <v>70</v>
      </c>
      <c r="G5776" s="14">
        <v>44603</v>
      </c>
      <c r="H5776" s="13" t="s">
        <v>35</v>
      </c>
    </row>
    <row r="5777" spans="1:8" ht="14.4" x14ac:dyDescent="0.3">
      <c r="A5777" s="8">
        <v>1969132</v>
      </c>
      <c r="B5777" s="11">
        <v>44602</v>
      </c>
      <c r="C5777" s="13" t="s">
        <v>7424</v>
      </c>
      <c r="D5777" s="13" t="s">
        <v>307</v>
      </c>
      <c r="E5777" s="8">
        <v>10000</v>
      </c>
      <c r="F5777" s="13" t="s">
        <v>70</v>
      </c>
      <c r="G5777" s="14">
        <v>44606</v>
      </c>
      <c r="H5777" s="13" t="s">
        <v>35</v>
      </c>
    </row>
    <row r="5778" spans="1:8" ht="14.4" x14ac:dyDescent="0.3">
      <c r="A5778" s="8">
        <v>1969136</v>
      </c>
      <c r="B5778" s="11">
        <v>44602</v>
      </c>
      <c r="C5778" s="13" t="s">
        <v>7425</v>
      </c>
      <c r="D5778" s="13" t="s">
        <v>7426</v>
      </c>
      <c r="E5778" s="8">
        <v>10000</v>
      </c>
      <c r="F5778" s="13" t="s">
        <v>70</v>
      </c>
      <c r="G5778" s="14">
        <v>44619</v>
      </c>
      <c r="H5778" s="13" t="s">
        <v>35</v>
      </c>
    </row>
    <row r="5779" spans="1:8" ht="14.4" x14ac:dyDescent="0.3">
      <c r="A5779" s="8">
        <v>1969137</v>
      </c>
      <c r="B5779" s="11">
        <v>44602</v>
      </c>
      <c r="C5779" s="13" t="s">
        <v>7427</v>
      </c>
      <c r="D5779" s="13" t="s">
        <v>7426</v>
      </c>
      <c r="E5779" s="8">
        <v>10000</v>
      </c>
      <c r="F5779" s="13" t="s">
        <v>70</v>
      </c>
      <c r="G5779" s="14">
        <v>44619</v>
      </c>
      <c r="H5779" s="13" t="s">
        <v>35</v>
      </c>
    </row>
    <row r="5780" spans="1:8" ht="14.4" x14ac:dyDescent="0.3">
      <c r="A5780" s="8">
        <v>1969138</v>
      </c>
      <c r="B5780" s="11">
        <v>44602</v>
      </c>
      <c r="C5780" s="13" t="s">
        <v>7428</v>
      </c>
      <c r="D5780" s="13" t="s">
        <v>7426</v>
      </c>
      <c r="E5780" s="8">
        <v>10000</v>
      </c>
      <c r="F5780" s="13" t="s">
        <v>70</v>
      </c>
      <c r="G5780" s="14">
        <v>44606</v>
      </c>
      <c r="H5780" s="13" t="s">
        <v>35</v>
      </c>
    </row>
    <row r="5781" spans="1:8" ht="14.4" x14ac:dyDescent="0.3">
      <c r="A5781" s="8">
        <v>1969139</v>
      </c>
      <c r="B5781" s="11">
        <v>44602</v>
      </c>
      <c r="C5781" s="13" t="s">
        <v>7429</v>
      </c>
      <c r="D5781" s="13" t="s">
        <v>7430</v>
      </c>
      <c r="E5781" s="8">
        <v>12000</v>
      </c>
      <c r="F5781" s="13" t="s">
        <v>70</v>
      </c>
      <c r="G5781" s="14">
        <v>44606</v>
      </c>
      <c r="H5781" s="13" t="s">
        <v>35</v>
      </c>
    </row>
    <row r="5782" spans="1:8" ht="14.4" x14ac:dyDescent="0.3">
      <c r="A5782" s="8">
        <v>1969140</v>
      </c>
      <c r="B5782" s="11">
        <v>44602</v>
      </c>
      <c r="C5782" s="13" t="s">
        <v>7431</v>
      </c>
      <c r="D5782" s="13" t="s">
        <v>7426</v>
      </c>
      <c r="E5782" s="8">
        <v>10000</v>
      </c>
      <c r="F5782" s="13" t="s">
        <v>70</v>
      </c>
      <c r="G5782" s="14">
        <v>44606</v>
      </c>
      <c r="H5782" s="13" t="s">
        <v>35</v>
      </c>
    </row>
    <row r="5783" spans="1:8" ht="14.4" x14ac:dyDescent="0.3">
      <c r="A5783" s="8">
        <v>1969141</v>
      </c>
      <c r="B5783" s="11">
        <v>44602</v>
      </c>
      <c r="C5783" s="13" t="s">
        <v>7432</v>
      </c>
      <c r="D5783" s="13" t="s">
        <v>7426</v>
      </c>
      <c r="E5783" s="8">
        <v>10000</v>
      </c>
      <c r="F5783" s="13" t="s">
        <v>70</v>
      </c>
      <c r="G5783" s="14">
        <v>44606</v>
      </c>
      <c r="H5783" s="13" t="s">
        <v>35</v>
      </c>
    </row>
    <row r="5784" spans="1:8" ht="14.4" x14ac:dyDescent="0.3">
      <c r="A5784" s="8">
        <v>1969143</v>
      </c>
      <c r="B5784" s="11">
        <v>44602</v>
      </c>
      <c r="C5784" s="13" t="s">
        <v>7433</v>
      </c>
      <c r="D5784" s="13" t="s">
        <v>7426</v>
      </c>
      <c r="E5784" s="8">
        <v>10000</v>
      </c>
      <c r="F5784" s="13" t="s">
        <v>70</v>
      </c>
      <c r="G5784" s="14">
        <v>44619</v>
      </c>
      <c r="H5784" s="13" t="s">
        <v>35</v>
      </c>
    </row>
    <row r="5785" spans="1:8" ht="14.4" x14ac:dyDescent="0.3">
      <c r="A5785" s="8">
        <v>1969144</v>
      </c>
      <c r="B5785" s="11">
        <v>44602</v>
      </c>
      <c r="C5785" s="13" t="s">
        <v>7434</v>
      </c>
      <c r="D5785" s="13" t="s">
        <v>7426</v>
      </c>
      <c r="E5785" s="8">
        <v>12000</v>
      </c>
      <c r="F5785" s="13" t="s">
        <v>70</v>
      </c>
      <c r="G5785" s="14">
        <v>44619</v>
      </c>
      <c r="H5785" s="13" t="s">
        <v>35</v>
      </c>
    </row>
    <row r="5786" spans="1:8" ht="14.4" x14ac:dyDescent="0.3">
      <c r="A5786" s="8">
        <v>1969145</v>
      </c>
      <c r="B5786" s="11">
        <v>44602</v>
      </c>
      <c r="C5786" s="13" t="s">
        <v>7435</v>
      </c>
      <c r="D5786" s="13" t="s">
        <v>7426</v>
      </c>
      <c r="E5786" s="8">
        <v>10000</v>
      </c>
      <c r="F5786" s="13" t="s">
        <v>70</v>
      </c>
      <c r="G5786" s="14">
        <v>44619</v>
      </c>
      <c r="H5786" s="13" t="s">
        <v>35</v>
      </c>
    </row>
    <row r="5787" spans="1:8" ht="14.4" x14ac:dyDescent="0.3">
      <c r="A5787" s="8">
        <v>1969146</v>
      </c>
      <c r="B5787" s="11">
        <v>44602</v>
      </c>
      <c r="C5787" s="13" t="s">
        <v>7436</v>
      </c>
      <c r="D5787" s="13" t="s">
        <v>7426</v>
      </c>
      <c r="E5787" s="8">
        <v>12000</v>
      </c>
      <c r="F5787" s="13" t="s">
        <v>70</v>
      </c>
      <c r="G5787" s="14">
        <v>44606</v>
      </c>
      <c r="H5787" s="13" t="s">
        <v>35</v>
      </c>
    </row>
    <row r="5788" spans="1:8" ht="14.4" x14ac:dyDescent="0.3">
      <c r="A5788" s="8">
        <v>1969147</v>
      </c>
      <c r="B5788" s="11">
        <v>44603</v>
      </c>
      <c r="C5788" s="13" t="s">
        <v>159</v>
      </c>
      <c r="D5788" s="13" t="s">
        <v>7437</v>
      </c>
      <c r="E5788" s="8">
        <v>268900</v>
      </c>
      <c r="F5788" s="13" t="s">
        <v>70</v>
      </c>
      <c r="G5788" s="14">
        <v>44603</v>
      </c>
      <c r="H5788" s="13" t="s">
        <v>35</v>
      </c>
    </row>
    <row r="5789" spans="1:8" ht="14.4" x14ac:dyDescent="0.3">
      <c r="A5789" s="8">
        <v>1969148</v>
      </c>
      <c r="B5789" s="11">
        <v>44603</v>
      </c>
      <c r="C5789" s="13" t="s">
        <v>44</v>
      </c>
      <c r="D5789" s="13" t="s">
        <v>7438</v>
      </c>
      <c r="E5789" s="8">
        <v>9379.9</v>
      </c>
      <c r="F5789" s="13" t="s">
        <v>70</v>
      </c>
      <c r="G5789" s="14">
        <v>44607</v>
      </c>
      <c r="H5789" s="13" t="s">
        <v>35</v>
      </c>
    </row>
    <row r="5790" spans="1:8" ht="14.4" x14ac:dyDescent="0.3">
      <c r="A5790" s="8">
        <v>1969149</v>
      </c>
      <c r="B5790" s="11">
        <v>44603</v>
      </c>
      <c r="C5790" s="13" t="s">
        <v>1286</v>
      </c>
      <c r="D5790" s="13" t="s">
        <v>7439</v>
      </c>
      <c r="E5790" s="8">
        <v>14046.23</v>
      </c>
      <c r="F5790" s="13" t="s">
        <v>70</v>
      </c>
      <c r="G5790" s="14">
        <v>44609</v>
      </c>
      <c r="H5790" s="13" t="s">
        <v>35</v>
      </c>
    </row>
    <row r="5791" spans="1:8" ht="14.4" x14ac:dyDescent="0.3">
      <c r="A5791" s="8">
        <v>1969150</v>
      </c>
      <c r="B5791" s="11">
        <v>44603</v>
      </c>
      <c r="C5791" s="13" t="s">
        <v>884</v>
      </c>
      <c r="D5791" s="13" t="s">
        <v>7440</v>
      </c>
      <c r="E5791" s="8">
        <v>63206.18</v>
      </c>
      <c r="F5791" s="13" t="s">
        <v>70</v>
      </c>
      <c r="G5791" s="14">
        <v>44603</v>
      </c>
      <c r="H5791" s="13" t="s">
        <v>35</v>
      </c>
    </row>
    <row r="5792" spans="1:8" ht="14.4" x14ac:dyDescent="0.3">
      <c r="A5792" s="8">
        <v>1969151</v>
      </c>
      <c r="B5792" s="11">
        <v>44603</v>
      </c>
      <c r="C5792" s="13" t="s">
        <v>7441</v>
      </c>
      <c r="D5792" s="13" t="s">
        <v>5721</v>
      </c>
      <c r="E5792" s="8">
        <v>6000</v>
      </c>
      <c r="F5792" s="13" t="s">
        <v>70</v>
      </c>
      <c r="G5792" s="14">
        <v>44613</v>
      </c>
      <c r="H5792" s="13" t="s">
        <v>35</v>
      </c>
    </row>
    <row r="5793" spans="1:8" ht="14.4" x14ac:dyDescent="0.3">
      <c r="A5793" s="8">
        <v>1969152</v>
      </c>
      <c r="B5793" s="11">
        <v>44603</v>
      </c>
      <c r="C5793" s="13" t="s">
        <v>7442</v>
      </c>
      <c r="D5793" s="13" t="s">
        <v>5721</v>
      </c>
      <c r="E5793" s="8">
        <v>6000</v>
      </c>
      <c r="F5793" s="13" t="s">
        <v>70</v>
      </c>
      <c r="G5793" s="14">
        <v>44613</v>
      </c>
      <c r="H5793" s="13" t="s">
        <v>35</v>
      </c>
    </row>
    <row r="5794" spans="1:8" ht="14.4" x14ac:dyDescent="0.3">
      <c r="A5794" s="8">
        <v>1969153</v>
      </c>
      <c r="B5794" s="11">
        <v>44603</v>
      </c>
      <c r="C5794" s="13" t="s">
        <v>1286</v>
      </c>
      <c r="D5794" s="13" t="s">
        <v>7443</v>
      </c>
      <c r="E5794" s="8">
        <v>118585.88</v>
      </c>
      <c r="F5794" s="13" t="s">
        <v>70</v>
      </c>
      <c r="G5794" s="14">
        <v>44609</v>
      </c>
      <c r="H5794" s="13" t="s">
        <v>35</v>
      </c>
    </row>
    <row r="5795" spans="1:8" ht="14.4" x14ac:dyDescent="0.3">
      <c r="A5795" s="8">
        <v>1969154</v>
      </c>
      <c r="B5795" s="11">
        <v>44603</v>
      </c>
      <c r="C5795" s="13" t="s">
        <v>7444</v>
      </c>
      <c r="D5795" s="13" t="s">
        <v>7445</v>
      </c>
      <c r="E5795" s="8">
        <v>1996787.3</v>
      </c>
      <c r="F5795" s="13" t="s">
        <v>70</v>
      </c>
      <c r="G5795" s="14">
        <v>44606</v>
      </c>
      <c r="H5795" s="13" t="s">
        <v>35</v>
      </c>
    </row>
    <row r="5796" spans="1:8" ht="14.4" x14ac:dyDescent="0.3">
      <c r="A5796" s="8">
        <v>1969155</v>
      </c>
      <c r="B5796" s="11">
        <v>44603</v>
      </c>
      <c r="C5796" s="13" t="s">
        <v>7446</v>
      </c>
      <c r="D5796" s="13" t="s">
        <v>7447</v>
      </c>
      <c r="E5796" s="8">
        <v>10000</v>
      </c>
      <c r="F5796" s="13" t="s">
        <v>70</v>
      </c>
      <c r="G5796" s="14">
        <v>44606</v>
      </c>
      <c r="H5796" s="13" t="s">
        <v>35</v>
      </c>
    </row>
    <row r="5797" spans="1:8" ht="14.4" x14ac:dyDescent="0.3">
      <c r="A5797" s="8">
        <v>1969156</v>
      </c>
      <c r="B5797" s="11">
        <v>44603</v>
      </c>
      <c r="C5797" s="13" t="s">
        <v>7448</v>
      </c>
      <c r="D5797" s="13" t="s">
        <v>7449</v>
      </c>
      <c r="E5797" s="8">
        <v>26000</v>
      </c>
      <c r="F5797" s="13" t="s">
        <v>70</v>
      </c>
      <c r="G5797" s="14">
        <v>44607</v>
      </c>
      <c r="H5797" s="13" t="s">
        <v>35</v>
      </c>
    </row>
    <row r="5798" spans="1:8" ht="14.4" x14ac:dyDescent="0.3">
      <c r="A5798" s="8">
        <v>1969157</v>
      </c>
      <c r="B5798" s="11">
        <v>44603</v>
      </c>
      <c r="C5798" s="13" t="s">
        <v>7450</v>
      </c>
      <c r="D5798" s="13" t="s">
        <v>7451</v>
      </c>
      <c r="E5798" s="8">
        <v>25000</v>
      </c>
      <c r="F5798" s="13" t="s">
        <v>70</v>
      </c>
      <c r="G5798" s="14">
        <v>44608</v>
      </c>
      <c r="H5798" s="13" t="s">
        <v>35</v>
      </c>
    </row>
    <row r="5799" spans="1:8" ht="14.4" x14ac:dyDescent="0.3">
      <c r="A5799" s="8">
        <v>1969158</v>
      </c>
      <c r="B5799" s="11">
        <v>44603</v>
      </c>
      <c r="C5799" s="13" t="s">
        <v>7452</v>
      </c>
      <c r="D5799" s="13" t="s">
        <v>7453</v>
      </c>
      <c r="E5799" s="8">
        <v>7000</v>
      </c>
      <c r="F5799" s="13" t="s">
        <v>70</v>
      </c>
      <c r="G5799" s="14">
        <v>44608</v>
      </c>
      <c r="H5799" s="13" t="s">
        <v>35</v>
      </c>
    </row>
    <row r="5800" spans="1:8" ht="14.4" x14ac:dyDescent="0.3">
      <c r="A5800" s="8">
        <v>1969159</v>
      </c>
      <c r="B5800" s="11">
        <v>44603</v>
      </c>
      <c r="C5800" s="13" t="s">
        <v>7454</v>
      </c>
      <c r="D5800" s="13" t="s">
        <v>7455</v>
      </c>
      <c r="E5800" s="8">
        <v>10000</v>
      </c>
      <c r="F5800" s="13" t="s">
        <v>70</v>
      </c>
      <c r="G5800" s="14">
        <v>44608</v>
      </c>
      <c r="H5800" s="13" t="s">
        <v>35</v>
      </c>
    </row>
    <row r="5801" spans="1:8" ht="14.4" x14ac:dyDescent="0.3">
      <c r="A5801" s="8">
        <v>1969160</v>
      </c>
      <c r="B5801" s="11">
        <v>44603</v>
      </c>
      <c r="C5801" s="13" t="s">
        <v>7456</v>
      </c>
      <c r="D5801" s="13" t="s">
        <v>7457</v>
      </c>
      <c r="E5801" s="8">
        <v>20000</v>
      </c>
      <c r="F5801" s="13" t="s">
        <v>70</v>
      </c>
      <c r="G5801" s="14">
        <v>44607</v>
      </c>
      <c r="H5801" s="13" t="s">
        <v>35</v>
      </c>
    </row>
    <row r="5802" spans="1:8" ht="14.4" x14ac:dyDescent="0.3">
      <c r="A5802" s="8">
        <v>1969161</v>
      </c>
      <c r="B5802" s="11">
        <v>44603</v>
      </c>
      <c r="C5802" s="13" t="s">
        <v>74</v>
      </c>
      <c r="D5802" s="13" t="s">
        <v>7458</v>
      </c>
      <c r="E5802" s="8">
        <v>20000</v>
      </c>
      <c r="F5802" s="13" t="s">
        <v>70</v>
      </c>
      <c r="G5802" s="14">
        <v>44609</v>
      </c>
      <c r="H5802" s="13" t="s">
        <v>35</v>
      </c>
    </row>
    <row r="5803" spans="1:8" ht="14.4" x14ac:dyDescent="0.3">
      <c r="A5803" s="8">
        <v>1969162</v>
      </c>
      <c r="B5803" s="11">
        <v>44603</v>
      </c>
      <c r="C5803" s="13" t="s">
        <v>7459</v>
      </c>
      <c r="D5803" s="13" t="s">
        <v>7460</v>
      </c>
      <c r="E5803" s="8">
        <v>30000</v>
      </c>
      <c r="F5803" s="13" t="s">
        <v>70</v>
      </c>
      <c r="G5803" s="14">
        <v>44608</v>
      </c>
      <c r="H5803" s="13" t="s">
        <v>35</v>
      </c>
    </row>
    <row r="5804" spans="1:8" ht="14.4" x14ac:dyDescent="0.3">
      <c r="A5804" s="8">
        <v>1969163</v>
      </c>
      <c r="B5804" s="11">
        <v>44603</v>
      </c>
      <c r="C5804" s="13" t="s">
        <v>7461</v>
      </c>
      <c r="D5804" s="13" t="s">
        <v>7462</v>
      </c>
      <c r="E5804" s="8">
        <v>50000</v>
      </c>
      <c r="F5804" s="13" t="s">
        <v>70</v>
      </c>
      <c r="G5804" s="14">
        <v>44608</v>
      </c>
      <c r="H5804" s="13" t="s">
        <v>35</v>
      </c>
    </row>
    <row r="5805" spans="1:8" ht="14.4" x14ac:dyDescent="0.3">
      <c r="A5805" s="8">
        <v>1969164</v>
      </c>
      <c r="B5805" s="11">
        <v>44603</v>
      </c>
      <c r="C5805" s="13" t="s">
        <v>7463</v>
      </c>
      <c r="D5805" s="13" t="s">
        <v>7464</v>
      </c>
      <c r="E5805" s="8">
        <v>50000</v>
      </c>
      <c r="F5805" s="13" t="s">
        <v>70</v>
      </c>
      <c r="G5805" s="14">
        <v>44607</v>
      </c>
      <c r="H5805" s="13" t="s">
        <v>35</v>
      </c>
    </row>
    <row r="5806" spans="1:8" ht="14.4" x14ac:dyDescent="0.3">
      <c r="A5806" s="8">
        <v>1969165</v>
      </c>
      <c r="B5806" s="11">
        <v>44603</v>
      </c>
      <c r="C5806" s="13" t="s">
        <v>347</v>
      </c>
      <c r="D5806" s="13" t="s">
        <v>7395</v>
      </c>
      <c r="E5806" s="8">
        <v>3000</v>
      </c>
      <c r="F5806" s="13" t="s">
        <v>70</v>
      </c>
      <c r="G5806" s="14">
        <v>44607</v>
      </c>
      <c r="H5806" s="13" t="s">
        <v>35</v>
      </c>
    </row>
    <row r="5807" spans="1:8" ht="14.4" x14ac:dyDescent="0.3">
      <c r="A5807" s="8">
        <v>1969166</v>
      </c>
      <c r="B5807" s="11">
        <v>44603</v>
      </c>
      <c r="C5807" s="13" t="s">
        <v>7465</v>
      </c>
      <c r="D5807" s="13" t="s">
        <v>7466</v>
      </c>
      <c r="E5807" s="8">
        <v>16886.09</v>
      </c>
      <c r="F5807" s="13" t="s">
        <v>70</v>
      </c>
      <c r="G5807" s="14">
        <v>44606</v>
      </c>
      <c r="H5807" s="13" t="s">
        <v>35</v>
      </c>
    </row>
    <row r="5808" spans="1:8" ht="14.4" x14ac:dyDescent="0.3">
      <c r="A5808" s="8">
        <v>1969167</v>
      </c>
      <c r="B5808" s="11">
        <v>44603</v>
      </c>
      <c r="C5808" s="13" t="s">
        <v>7467</v>
      </c>
      <c r="D5808" s="13" t="s">
        <v>7466</v>
      </c>
      <c r="E5808" s="8">
        <v>16886.09</v>
      </c>
      <c r="F5808" s="13" t="s">
        <v>70</v>
      </c>
      <c r="G5808" s="14">
        <v>44603</v>
      </c>
      <c r="H5808" s="13" t="s">
        <v>35</v>
      </c>
    </row>
    <row r="5809" spans="1:8" ht="14.4" x14ac:dyDescent="0.3">
      <c r="A5809" s="8">
        <v>1969168</v>
      </c>
      <c r="B5809" s="11">
        <v>44603</v>
      </c>
      <c r="C5809" s="13" t="s">
        <v>7468</v>
      </c>
      <c r="D5809" s="13" t="s">
        <v>7466</v>
      </c>
      <c r="E5809" s="8">
        <v>20478.759999999998</v>
      </c>
      <c r="F5809" s="13" t="s">
        <v>70</v>
      </c>
      <c r="G5809" s="14">
        <v>44603</v>
      </c>
      <c r="H5809" s="13" t="s">
        <v>35</v>
      </c>
    </row>
    <row r="5810" spans="1:8" ht="14.4" x14ac:dyDescent="0.3">
      <c r="A5810" s="8">
        <v>1969169</v>
      </c>
      <c r="B5810" s="11">
        <v>44603</v>
      </c>
      <c r="C5810" s="13" t="s">
        <v>7469</v>
      </c>
      <c r="D5810" s="13" t="s">
        <v>7466</v>
      </c>
      <c r="E5810" s="8">
        <v>28961.02</v>
      </c>
      <c r="F5810" s="13" t="s">
        <v>70</v>
      </c>
      <c r="G5810" s="14">
        <v>44603</v>
      </c>
      <c r="H5810" s="13" t="s">
        <v>35</v>
      </c>
    </row>
    <row r="5811" spans="1:8" ht="14.4" x14ac:dyDescent="0.3">
      <c r="A5811" s="8">
        <v>1969170</v>
      </c>
      <c r="B5811" s="11">
        <v>44603</v>
      </c>
      <c r="C5811" s="13" t="s">
        <v>202</v>
      </c>
      <c r="D5811" s="13" t="s">
        <v>7470</v>
      </c>
      <c r="E5811" s="8">
        <v>80383.03</v>
      </c>
      <c r="F5811" s="13" t="s">
        <v>70</v>
      </c>
      <c r="G5811" s="14">
        <v>44607</v>
      </c>
      <c r="H5811" s="13" t="s">
        <v>35</v>
      </c>
    </row>
    <row r="5812" spans="1:8" ht="14.4" x14ac:dyDescent="0.3">
      <c r="A5812" s="8">
        <v>1969171</v>
      </c>
      <c r="B5812" s="11">
        <v>44603</v>
      </c>
      <c r="C5812" s="13" t="s">
        <v>313</v>
      </c>
      <c r="D5812" s="13" t="s">
        <v>7426</v>
      </c>
      <c r="E5812" s="8">
        <v>10000</v>
      </c>
      <c r="F5812" s="13" t="s">
        <v>70</v>
      </c>
      <c r="G5812" s="14">
        <v>44608</v>
      </c>
      <c r="H5812" s="13" t="s">
        <v>35</v>
      </c>
    </row>
    <row r="5813" spans="1:8" ht="14.4" x14ac:dyDescent="0.3">
      <c r="A5813" s="8">
        <v>1969172</v>
      </c>
      <c r="B5813" s="11">
        <v>44603</v>
      </c>
      <c r="C5813" s="13" t="s">
        <v>337</v>
      </c>
      <c r="D5813" s="13" t="s">
        <v>7426</v>
      </c>
      <c r="E5813" s="8">
        <v>10000</v>
      </c>
      <c r="F5813" s="13" t="s">
        <v>70</v>
      </c>
      <c r="G5813" s="14">
        <v>44608</v>
      </c>
      <c r="H5813" s="13" t="s">
        <v>35</v>
      </c>
    </row>
    <row r="5814" spans="1:8" ht="14.4" x14ac:dyDescent="0.3">
      <c r="A5814" s="8">
        <v>1969173</v>
      </c>
      <c r="B5814" s="11">
        <v>44603</v>
      </c>
      <c r="C5814" s="13" t="s">
        <v>309</v>
      </c>
      <c r="D5814" s="13" t="s">
        <v>7426</v>
      </c>
      <c r="E5814" s="8">
        <v>10000</v>
      </c>
      <c r="F5814" s="13" t="s">
        <v>70</v>
      </c>
      <c r="G5814" s="14">
        <v>44608</v>
      </c>
      <c r="H5814" s="13" t="s">
        <v>35</v>
      </c>
    </row>
    <row r="5815" spans="1:8" ht="14.4" x14ac:dyDescent="0.3">
      <c r="A5815" s="8">
        <v>1969174</v>
      </c>
      <c r="B5815" s="11">
        <v>44603</v>
      </c>
      <c r="C5815" s="13" t="s">
        <v>311</v>
      </c>
      <c r="D5815" s="13" t="s">
        <v>307</v>
      </c>
      <c r="E5815" s="8">
        <v>10000</v>
      </c>
      <c r="F5815" s="13" t="s">
        <v>70</v>
      </c>
      <c r="G5815" s="14">
        <v>44608</v>
      </c>
      <c r="H5815" s="13" t="s">
        <v>35</v>
      </c>
    </row>
    <row r="5816" spans="1:8" ht="14.4" x14ac:dyDescent="0.3">
      <c r="A5816" s="8">
        <v>1969175</v>
      </c>
      <c r="B5816" s="11">
        <v>44603</v>
      </c>
      <c r="C5816" s="13" t="s">
        <v>310</v>
      </c>
      <c r="D5816" s="13" t="s">
        <v>307</v>
      </c>
      <c r="E5816" s="8">
        <v>10000</v>
      </c>
      <c r="F5816" s="13" t="s">
        <v>70</v>
      </c>
      <c r="G5816" s="14">
        <v>44608</v>
      </c>
      <c r="H5816" s="13" t="s">
        <v>35</v>
      </c>
    </row>
    <row r="5817" spans="1:8" ht="14.4" x14ac:dyDescent="0.3">
      <c r="A5817" s="8">
        <v>1969176</v>
      </c>
      <c r="B5817" s="11">
        <v>44603</v>
      </c>
      <c r="C5817" s="13" t="s">
        <v>312</v>
      </c>
      <c r="D5817" s="13" t="s">
        <v>307</v>
      </c>
      <c r="E5817" s="8">
        <v>10000</v>
      </c>
      <c r="F5817" s="13" t="s">
        <v>70</v>
      </c>
      <c r="G5817" s="14">
        <v>44608</v>
      </c>
      <c r="H5817" s="13" t="s">
        <v>35</v>
      </c>
    </row>
    <row r="5818" spans="1:8" ht="14.4" x14ac:dyDescent="0.3">
      <c r="A5818" s="8">
        <v>1969177</v>
      </c>
      <c r="B5818" s="11">
        <v>44603</v>
      </c>
      <c r="C5818" s="13" t="s">
        <v>7471</v>
      </c>
      <c r="D5818" s="13" t="s">
        <v>7426</v>
      </c>
      <c r="E5818" s="8">
        <v>15000</v>
      </c>
      <c r="F5818" s="13" t="s">
        <v>70</v>
      </c>
      <c r="G5818" s="14">
        <v>44608</v>
      </c>
      <c r="H5818" s="13" t="s">
        <v>35</v>
      </c>
    </row>
    <row r="5819" spans="1:8" ht="14.4" x14ac:dyDescent="0.3">
      <c r="A5819" s="8">
        <v>1969178</v>
      </c>
      <c r="B5819" s="11">
        <v>44603</v>
      </c>
      <c r="C5819" s="13" t="s">
        <v>298</v>
      </c>
      <c r="D5819" s="13" t="s">
        <v>7423</v>
      </c>
      <c r="E5819" s="8">
        <v>5000</v>
      </c>
      <c r="F5819" s="13" t="s">
        <v>70</v>
      </c>
      <c r="G5819" s="14">
        <v>44616</v>
      </c>
      <c r="H5819" s="13" t="s">
        <v>35</v>
      </c>
    </row>
    <row r="5820" spans="1:8" ht="14.4" x14ac:dyDescent="0.3">
      <c r="A5820" s="8">
        <v>1969179</v>
      </c>
      <c r="B5820" s="11">
        <v>44603</v>
      </c>
      <c r="C5820" s="13" t="s">
        <v>297</v>
      </c>
      <c r="D5820" s="13" t="s">
        <v>7423</v>
      </c>
      <c r="E5820" s="8">
        <v>6000</v>
      </c>
      <c r="F5820" s="13" t="s">
        <v>70</v>
      </c>
      <c r="G5820" s="14">
        <v>44609</v>
      </c>
      <c r="H5820" s="13" t="s">
        <v>35</v>
      </c>
    </row>
    <row r="5821" spans="1:8" ht="14.4" x14ac:dyDescent="0.3">
      <c r="A5821" s="8">
        <v>1969180</v>
      </c>
      <c r="B5821" s="11">
        <v>44603</v>
      </c>
      <c r="C5821" s="13" t="s">
        <v>295</v>
      </c>
      <c r="D5821" s="13" t="s">
        <v>7423</v>
      </c>
      <c r="E5821" s="8">
        <v>20000</v>
      </c>
      <c r="F5821" s="13" t="s">
        <v>70</v>
      </c>
      <c r="G5821" s="14">
        <v>44609</v>
      </c>
      <c r="H5821" s="13" t="s">
        <v>35</v>
      </c>
    </row>
    <row r="5822" spans="1:8" ht="14.4" x14ac:dyDescent="0.3">
      <c r="A5822" s="8">
        <v>1969181</v>
      </c>
      <c r="B5822" s="11">
        <v>44603</v>
      </c>
      <c r="C5822" s="13" t="s">
        <v>7472</v>
      </c>
      <c r="D5822" s="13" t="s">
        <v>1466</v>
      </c>
      <c r="E5822" s="8">
        <v>15000</v>
      </c>
      <c r="F5822" s="13" t="s">
        <v>70</v>
      </c>
      <c r="G5822" s="14">
        <v>44608</v>
      </c>
      <c r="H5822" s="13" t="s">
        <v>35</v>
      </c>
    </row>
    <row r="5823" spans="1:8" ht="14.4" x14ac:dyDescent="0.3">
      <c r="A5823" s="8">
        <v>1969182</v>
      </c>
      <c r="B5823" s="11">
        <v>44603</v>
      </c>
      <c r="C5823" s="13" t="s">
        <v>841</v>
      </c>
      <c r="D5823" s="13" t="s">
        <v>1466</v>
      </c>
      <c r="E5823" s="8">
        <v>10000</v>
      </c>
      <c r="F5823" s="13" t="s">
        <v>70</v>
      </c>
      <c r="G5823" s="14">
        <v>44608</v>
      </c>
      <c r="H5823" s="13" t="s">
        <v>35</v>
      </c>
    </row>
    <row r="5824" spans="1:8" ht="14.4" x14ac:dyDescent="0.3">
      <c r="A5824" s="8">
        <v>1969183</v>
      </c>
      <c r="B5824" s="11">
        <v>44603</v>
      </c>
      <c r="C5824" s="13" t="s">
        <v>840</v>
      </c>
      <c r="D5824" s="13" t="s">
        <v>1466</v>
      </c>
      <c r="E5824" s="8">
        <v>10000</v>
      </c>
      <c r="F5824" s="13" t="s">
        <v>70</v>
      </c>
      <c r="G5824" s="14">
        <v>44608</v>
      </c>
      <c r="H5824" s="13" t="s">
        <v>35</v>
      </c>
    </row>
    <row r="5825" spans="1:8" ht="14.4" x14ac:dyDescent="0.3">
      <c r="A5825" s="8">
        <v>1969184</v>
      </c>
      <c r="B5825" s="11">
        <v>44603</v>
      </c>
      <c r="C5825" s="13" t="s">
        <v>839</v>
      </c>
      <c r="D5825" s="13" t="s">
        <v>1466</v>
      </c>
      <c r="E5825" s="8">
        <v>10000</v>
      </c>
      <c r="F5825" s="13" t="s">
        <v>70</v>
      </c>
      <c r="G5825" s="14">
        <v>44608</v>
      </c>
      <c r="H5825" s="13" t="s">
        <v>35</v>
      </c>
    </row>
    <row r="5826" spans="1:8" ht="14.4" x14ac:dyDescent="0.3">
      <c r="A5826" s="8">
        <v>1969185</v>
      </c>
      <c r="B5826" s="11">
        <v>44603</v>
      </c>
      <c r="C5826" s="13" t="s">
        <v>838</v>
      </c>
      <c r="D5826" s="13" t="s">
        <v>7473</v>
      </c>
      <c r="E5826" s="8">
        <v>10000</v>
      </c>
      <c r="F5826" s="13" t="s">
        <v>70</v>
      </c>
      <c r="G5826" s="14">
        <v>44608</v>
      </c>
      <c r="H5826" s="13" t="s">
        <v>35</v>
      </c>
    </row>
    <row r="5827" spans="1:8" ht="14.4" x14ac:dyDescent="0.3">
      <c r="A5827" s="8">
        <v>1969186</v>
      </c>
      <c r="B5827" s="11">
        <v>44603</v>
      </c>
      <c r="C5827" s="13" t="s">
        <v>834</v>
      </c>
      <c r="D5827" s="13" t="s">
        <v>7474</v>
      </c>
      <c r="E5827" s="8">
        <v>10000</v>
      </c>
      <c r="F5827" s="13" t="s">
        <v>70</v>
      </c>
      <c r="G5827" s="14">
        <v>44608</v>
      </c>
      <c r="H5827" s="13" t="s">
        <v>35</v>
      </c>
    </row>
    <row r="5828" spans="1:8" ht="14.4" x14ac:dyDescent="0.3">
      <c r="A5828" s="8">
        <v>1969187</v>
      </c>
      <c r="B5828" s="11">
        <v>44603</v>
      </c>
      <c r="C5828" s="13" t="s">
        <v>833</v>
      </c>
      <c r="D5828" s="13" t="s">
        <v>7475</v>
      </c>
      <c r="E5828" s="8">
        <v>10000</v>
      </c>
      <c r="F5828" s="13" t="s">
        <v>70</v>
      </c>
      <c r="G5828" s="14">
        <v>44608</v>
      </c>
      <c r="H5828" s="13" t="s">
        <v>35</v>
      </c>
    </row>
    <row r="5829" spans="1:8" ht="14.4" x14ac:dyDescent="0.3">
      <c r="A5829" s="8">
        <v>1969188</v>
      </c>
      <c r="B5829" s="11">
        <v>44603</v>
      </c>
      <c r="C5829" s="13" t="s">
        <v>831</v>
      </c>
      <c r="D5829" s="13" t="s">
        <v>7474</v>
      </c>
      <c r="E5829" s="8">
        <v>10000</v>
      </c>
      <c r="F5829" s="13" t="s">
        <v>70</v>
      </c>
      <c r="G5829" s="14">
        <v>44608</v>
      </c>
      <c r="H5829" s="13" t="s">
        <v>35</v>
      </c>
    </row>
    <row r="5830" spans="1:8" ht="14.4" x14ac:dyDescent="0.3">
      <c r="A5830" s="8">
        <v>1969189</v>
      </c>
      <c r="B5830" s="11">
        <v>44603</v>
      </c>
      <c r="C5830" s="13" t="s">
        <v>1286</v>
      </c>
      <c r="D5830" s="13" t="s">
        <v>7476</v>
      </c>
      <c r="E5830" s="8">
        <v>4139.8999999999996</v>
      </c>
      <c r="F5830" s="13" t="s">
        <v>70</v>
      </c>
      <c r="G5830" s="14">
        <v>44609</v>
      </c>
      <c r="H5830" s="13" t="s">
        <v>35</v>
      </c>
    </row>
    <row r="5831" spans="1:8" ht="14.4" x14ac:dyDescent="0.3">
      <c r="A5831" s="8">
        <v>1969190</v>
      </c>
      <c r="B5831" s="11">
        <v>44603</v>
      </c>
      <c r="C5831" s="13" t="s">
        <v>7404</v>
      </c>
      <c r="D5831" s="13" t="s">
        <v>34</v>
      </c>
      <c r="E5831" s="8">
        <v>6415</v>
      </c>
      <c r="F5831" s="13" t="s">
        <v>70</v>
      </c>
      <c r="G5831" s="14">
        <v>44607</v>
      </c>
      <c r="H5831" s="13" t="s">
        <v>35</v>
      </c>
    </row>
    <row r="5832" spans="1:8" ht="14.4" x14ac:dyDescent="0.3">
      <c r="A5832" s="8">
        <v>1969191</v>
      </c>
      <c r="B5832" s="11">
        <v>44603</v>
      </c>
      <c r="C5832" s="13" t="s">
        <v>169</v>
      </c>
      <c r="D5832" s="13" t="s">
        <v>34</v>
      </c>
      <c r="E5832" s="8">
        <v>5427.5</v>
      </c>
      <c r="F5832" s="13" t="s">
        <v>70</v>
      </c>
      <c r="G5832" s="14">
        <v>44620</v>
      </c>
      <c r="H5832" s="13" t="s">
        <v>35</v>
      </c>
    </row>
    <row r="5833" spans="1:8" ht="14.4" x14ac:dyDescent="0.3">
      <c r="A5833" s="8">
        <v>1969192</v>
      </c>
      <c r="B5833" s="11">
        <v>44603</v>
      </c>
      <c r="C5833" s="13" t="s">
        <v>7477</v>
      </c>
      <c r="D5833" s="13" t="s">
        <v>7478</v>
      </c>
      <c r="E5833" s="8">
        <v>5180</v>
      </c>
      <c r="F5833" s="13" t="s">
        <v>70</v>
      </c>
      <c r="G5833" s="14">
        <v>44708</v>
      </c>
      <c r="H5833" s="13" t="s">
        <v>35</v>
      </c>
    </row>
    <row r="5834" spans="1:8" ht="14.4" x14ac:dyDescent="0.3">
      <c r="A5834" s="8">
        <v>1969193</v>
      </c>
      <c r="B5834" s="11">
        <v>44603</v>
      </c>
      <c r="C5834" s="13" t="s">
        <v>245</v>
      </c>
      <c r="D5834" s="13" t="s">
        <v>3650</v>
      </c>
      <c r="E5834" s="8">
        <v>10422.700000000001</v>
      </c>
      <c r="F5834" s="13" t="s">
        <v>70</v>
      </c>
      <c r="G5834" s="14">
        <v>44610</v>
      </c>
      <c r="H5834" s="13" t="s">
        <v>35</v>
      </c>
    </row>
    <row r="5835" spans="1:8" ht="14.4" x14ac:dyDescent="0.3">
      <c r="A5835" s="8">
        <v>1969194</v>
      </c>
      <c r="B5835" s="11">
        <v>44603</v>
      </c>
      <c r="C5835" s="13" t="s">
        <v>673</v>
      </c>
      <c r="D5835" s="13" t="s">
        <v>7479</v>
      </c>
      <c r="E5835" s="8">
        <v>2371.94</v>
      </c>
      <c r="F5835" s="13" t="s">
        <v>70</v>
      </c>
      <c r="G5835" s="14">
        <v>44622</v>
      </c>
      <c r="H5835" s="13" t="s">
        <v>35</v>
      </c>
    </row>
    <row r="5836" spans="1:8" ht="14.4" x14ac:dyDescent="0.3">
      <c r="A5836" s="8">
        <v>1969195</v>
      </c>
      <c r="B5836" s="11">
        <v>44603</v>
      </c>
      <c r="C5836" s="13" t="s">
        <v>1397</v>
      </c>
      <c r="D5836" s="13" t="s">
        <v>34</v>
      </c>
      <c r="E5836" s="8">
        <v>17500</v>
      </c>
      <c r="F5836" s="13" t="s">
        <v>70</v>
      </c>
      <c r="G5836" s="14">
        <v>44624</v>
      </c>
      <c r="H5836" s="13" t="s">
        <v>35</v>
      </c>
    </row>
    <row r="5837" spans="1:8" ht="14.4" x14ac:dyDescent="0.3">
      <c r="A5837" s="8">
        <v>1969197</v>
      </c>
      <c r="B5837" s="11">
        <v>44603</v>
      </c>
      <c r="C5837" s="13" t="s">
        <v>2185</v>
      </c>
      <c r="D5837" s="13" t="s">
        <v>1466</v>
      </c>
      <c r="E5837" s="8">
        <v>15000</v>
      </c>
      <c r="F5837" s="13" t="s">
        <v>70</v>
      </c>
      <c r="G5837" s="14">
        <v>44620</v>
      </c>
      <c r="H5837" s="13" t="s">
        <v>35</v>
      </c>
    </row>
    <row r="5838" spans="1:8" ht="14.4" x14ac:dyDescent="0.3">
      <c r="A5838" s="8">
        <v>1969198</v>
      </c>
      <c r="B5838" s="11">
        <v>44603</v>
      </c>
      <c r="C5838" s="13" t="s">
        <v>399</v>
      </c>
      <c r="D5838" s="13" t="s">
        <v>1466</v>
      </c>
      <c r="E5838" s="8">
        <v>15000</v>
      </c>
      <c r="F5838" s="13" t="s">
        <v>70</v>
      </c>
      <c r="G5838" s="14">
        <v>44610</v>
      </c>
      <c r="H5838" s="13" t="s">
        <v>35</v>
      </c>
    </row>
    <row r="5839" spans="1:8" ht="14.4" x14ac:dyDescent="0.3">
      <c r="A5839" s="8">
        <v>1969199</v>
      </c>
      <c r="B5839" s="11">
        <v>44603</v>
      </c>
      <c r="C5839" s="13" t="s">
        <v>118</v>
      </c>
      <c r="D5839" s="13" t="s">
        <v>1466</v>
      </c>
      <c r="E5839" s="8">
        <v>15000</v>
      </c>
      <c r="F5839" s="13" t="s">
        <v>70</v>
      </c>
      <c r="G5839" s="14">
        <v>44608</v>
      </c>
      <c r="H5839" s="13" t="s">
        <v>35</v>
      </c>
    </row>
    <row r="5840" spans="1:8" ht="14.4" x14ac:dyDescent="0.3">
      <c r="A5840" s="8">
        <v>1969200</v>
      </c>
      <c r="B5840" s="11">
        <v>44603</v>
      </c>
      <c r="C5840" s="13" t="s">
        <v>119</v>
      </c>
      <c r="D5840" s="13" t="s">
        <v>1466</v>
      </c>
      <c r="E5840" s="8">
        <v>15000</v>
      </c>
      <c r="F5840" s="13" t="s">
        <v>70</v>
      </c>
      <c r="G5840" s="14">
        <v>44614</v>
      </c>
      <c r="H5840" s="13" t="s">
        <v>35</v>
      </c>
    </row>
    <row r="5841" spans="1:8" ht="14.4" x14ac:dyDescent="0.3">
      <c r="A5841" s="8">
        <v>1969201</v>
      </c>
      <c r="B5841" s="11">
        <v>44603</v>
      </c>
      <c r="C5841" s="13" t="s">
        <v>120</v>
      </c>
      <c r="D5841" s="13" t="s">
        <v>1466</v>
      </c>
      <c r="E5841" s="8">
        <v>15000</v>
      </c>
      <c r="F5841" s="13" t="s">
        <v>70</v>
      </c>
      <c r="G5841" s="14">
        <v>44624</v>
      </c>
      <c r="H5841" s="13" t="s">
        <v>35</v>
      </c>
    </row>
    <row r="5842" spans="1:8" ht="14.4" x14ac:dyDescent="0.3">
      <c r="A5842" s="8">
        <v>1969202</v>
      </c>
      <c r="B5842" s="11">
        <v>44603</v>
      </c>
      <c r="C5842" s="13" t="s">
        <v>400</v>
      </c>
      <c r="D5842" s="13" t="s">
        <v>1466</v>
      </c>
      <c r="E5842" s="8">
        <v>15000</v>
      </c>
      <c r="F5842" s="13" t="s">
        <v>70</v>
      </c>
      <c r="G5842" s="14">
        <v>44610</v>
      </c>
      <c r="H5842" s="13" t="s">
        <v>35</v>
      </c>
    </row>
    <row r="5843" spans="1:8" ht="14.4" x14ac:dyDescent="0.3">
      <c r="A5843" s="8">
        <v>1969203</v>
      </c>
      <c r="B5843" s="11">
        <v>44603</v>
      </c>
      <c r="C5843" s="13" t="s">
        <v>1551</v>
      </c>
      <c r="D5843" s="13" t="s">
        <v>1466</v>
      </c>
      <c r="E5843" s="8">
        <v>15000</v>
      </c>
      <c r="F5843" s="13" t="s">
        <v>70</v>
      </c>
      <c r="G5843" s="14">
        <v>44610</v>
      </c>
      <c r="H5843" s="13" t="s">
        <v>35</v>
      </c>
    </row>
    <row r="5844" spans="1:8" ht="14.4" x14ac:dyDescent="0.3">
      <c r="A5844" s="8">
        <v>1969204</v>
      </c>
      <c r="B5844" s="11">
        <v>44603</v>
      </c>
      <c r="C5844" s="13" t="s">
        <v>402</v>
      </c>
      <c r="D5844" s="13" t="s">
        <v>1466</v>
      </c>
      <c r="E5844" s="8">
        <v>15000</v>
      </c>
      <c r="F5844" s="13" t="s">
        <v>70</v>
      </c>
      <c r="G5844" s="14">
        <v>44622</v>
      </c>
      <c r="H5844" s="13" t="s">
        <v>35</v>
      </c>
    </row>
    <row r="5845" spans="1:8" ht="14.4" x14ac:dyDescent="0.3">
      <c r="A5845" s="8">
        <v>1969205</v>
      </c>
      <c r="B5845" s="11">
        <v>44603</v>
      </c>
      <c r="C5845" s="13" t="s">
        <v>79</v>
      </c>
      <c r="D5845" s="13" t="s">
        <v>1466</v>
      </c>
      <c r="E5845" s="8">
        <v>20000</v>
      </c>
      <c r="F5845" s="13" t="s">
        <v>70</v>
      </c>
      <c r="G5845" s="14">
        <v>44615</v>
      </c>
      <c r="H5845" s="13" t="s">
        <v>35</v>
      </c>
    </row>
    <row r="5846" spans="1:8" ht="14.4" x14ac:dyDescent="0.3">
      <c r="A5846" s="8">
        <v>1969206</v>
      </c>
      <c r="B5846" s="11">
        <v>44603</v>
      </c>
      <c r="C5846" s="13" t="s">
        <v>80</v>
      </c>
      <c r="D5846" s="13" t="s">
        <v>1466</v>
      </c>
      <c r="E5846" s="8">
        <v>10000</v>
      </c>
      <c r="F5846" s="13" t="s">
        <v>70</v>
      </c>
      <c r="G5846" s="14">
        <v>44615</v>
      </c>
      <c r="H5846" s="13" t="s">
        <v>35</v>
      </c>
    </row>
    <row r="5847" spans="1:8" ht="14.4" x14ac:dyDescent="0.3">
      <c r="A5847" s="8">
        <v>1969207</v>
      </c>
      <c r="B5847" s="11">
        <v>44603</v>
      </c>
      <c r="C5847" s="13" t="s">
        <v>7480</v>
      </c>
      <c r="D5847" s="13" t="s">
        <v>1466</v>
      </c>
      <c r="E5847" s="8">
        <v>3000</v>
      </c>
      <c r="F5847" s="13" t="s">
        <v>70</v>
      </c>
      <c r="G5847" s="14">
        <v>44615</v>
      </c>
      <c r="H5847" s="13" t="s">
        <v>35</v>
      </c>
    </row>
    <row r="5848" spans="1:8" ht="14.4" x14ac:dyDescent="0.3">
      <c r="A5848" s="8">
        <v>1969208</v>
      </c>
      <c r="B5848" s="11">
        <v>44603</v>
      </c>
      <c r="C5848" s="13" t="s">
        <v>330</v>
      </c>
      <c r="D5848" s="13" t="s">
        <v>1466</v>
      </c>
      <c r="E5848" s="8">
        <v>20000</v>
      </c>
      <c r="F5848" s="13" t="s">
        <v>70</v>
      </c>
      <c r="G5848" s="14">
        <v>44607</v>
      </c>
      <c r="H5848" s="13" t="s">
        <v>35</v>
      </c>
    </row>
    <row r="5849" spans="1:8" ht="14.4" x14ac:dyDescent="0.3">
      <c r="A5849" s="8">
        <v>1969209</v>
      </c>
      <c r="B5849" s="11">
        <v>44603</v>
      </c>
      <c r="C5849" s="13" t="s">
        <v>331</v>
      </c>
      <c r="D5849" s="13" t="s">
        <v>1466</v>
      </c>
      <c r="E5849" s="8">
        <v>10000</v>
      </c>
      <c r="F5849" s="13" t="s">
        <v>70</v>
      </c>
      <c r="G5849" s="14">
        <v>44607</v>
      </c>
      <c r="H5849" s="13" t="s">
        <v>35</v>
      </c>
    </row>
    <row r="5850" spans="1:8" ht="14.4" x14ac:dyDescent="0.3">
      <c r="A5850" s="8">
        <v>1969210</v>
      </c>
      <c r="B5850" s="11">
        <v>44603</v>
      </c>
      <c r="C5850" s="13" t="s">
        <v>332</v>
      </c>
      <c r="D5850" s="13" t="s">
        <v>1466</v>
      </c>
      <c r="E5850" s="8">
        <v>5000</v>
      </c>
      <c r="F5850" s="13" t="s">
        <v>70</v>
      </c>
      <c r="G5850" s="14">
        <v>44607</v>
      </c>
      <c r="H5850" s="13" t="s">
        <v>35</v>
      </c>
    </row>
    <row r="5851" spans="1:8" ht="14.4" x14ac:dyDescent="0.3">
      <c r="A5851" s="8">
        <v>1969211</v>
      </c>
      <c r="B5851" s="11">
        <v>44603</v>
      </c>
      <c r="C5851" s="13" t="s">
        <v>122</v>
      </c>
      <c r="D5851" s="13" t="s">
        <v>7481</v>
      </c>
      <c r="E5851" s="8">
        <v>20000</v>
      </c>
      <c r="F5851" s="13" t="s">
        <v>70</v>
      </c>
      <c r="G5851" s="14">
        <v>44608</v>
      </c>
      <c r="H5851" s="13" t="s">
        <v>35</v>
      </c>
    </row>
    <row r="5852" spans="1:8" ht="14.4" x14ac:dyDescent="0.3">
      <c r="A5852" s="8">
        <v>1969212</v>
      </c>
      <c r="B5852" s="11">
        <v>44603</v>
      </c>
      <c r="C5852" s="13" t="s">
        <v>64</v>
      </c>
      <c r="D5852" s="13" t="s">
        <v>7482</v>
      </c>
      <c r="E5852" s="8">
        <v>73500</v>
      </c>
      <c r="F5852" s="13" t="s">
        <v>70</v>
      </c>
      <c r="G5852" s="14">
        <v>44608</v>
      </c>
      <c r="H5852" s="13" t="s">
        <v>35</v>
      </c>
    </row>
    <row r="5853" spans="1:8" ht="14.4" x14ac:dyDescent="0.3">
      <c r="A5853" s="8">
        <v>1969213</v>
      </c>
      <c r="B5853" s="11">
        <v>44603</v>
      </c>
      <c r="C5853" s="13" t="s">
        <v>2080</v>
      </c>
      <c r="D5853" s="13" t="s">
        <v>7483</v>
      </c>
      <c r="E5853" s="8">
        <v>14196.43</v>
      </c>
      <c r="F5853" s="13" t="s">
        <v>70</v>
      </c>
      <c r="G5853" s="14">
        <v>44607</v>
      </c>
      <c r="H5853" s="13" t="s">
        <v>35</v>
      </c>
    </row>
    <row r="5854" spans="1:8" ht="14.4" x14ac:dyDescent="0.3">
      <c r="A5854" s="8">
        <v>1969214</v>
      </c>
      <c r="B5854" s="11">
        <v>44603</v>
      </c>
      <c r="C5854" s="13" t="s">
        <v>4181</v>
      </c>
      <c r="D5854" s="13" t="s">
        <v>7484</v>
      </c>
      <c r="E5854" s="8">
        <v>8054.11</v>
      </c>
      <c r="F5854" s="13" t="s">
        <v>70</v>
      </c>
      <c r="G5854" s="14">
        <v>44614</v>
      </c>
      <c r="H5854" s="13" t="s">
        <v>35</v>
      </c>
    </row>
    <row r="5855" spans="1:8" ht="14.4" x14ac:dyDescent="0.3">
      <c r="A5855" s="8">
        <v>1969215</v>
      </c>
      <c r="B5855" s="11">
        <v>44603</v>
      </c>
      <c r="C5855" s="13" t="s">
        <v>7485</v>
      </c>
      <c r="D5855" s="13" t="s">
        <v>7486</v>
      </c>
      <c r="E5855" s="8">
        <v>51821.95</v>
      </c>
      <c r="F5855" s="13" t="s">
        <v>70</v>
      </c>
      <c r="G5855" s="14">
        <v>44607</v>
      </c>
      <c r="H5855" s="13" t="s">
        <v>35</v>
      </c>
    </row>
    <row r="5856" spans="1:8" ht="14.4" x14ac:dyDescent="0.3">
      <c r="A5856" s="8">
        <v>1969216</v>
      </c>
      <c r="B5856" s="11">
        <v>44603</v>
      </c>
      <c r="C5856" s="13" t="s">
        <v>153</v>
      </c>
      <c r="D5856" s="13" t="s">
        <v>7487</v>
      </c>
      <c r="E5856" s="8">
        <v>61897</v>
      </c>
      <c r="F5856" s="13" t="s">
        <v>70</v>
      </c>
      <c r="G5856" s="14">
        <v>44608</v>
      </c>
      <c r="H5856" s="13" t="s">
        <v>35</v>
      </c>
    </row>
    <row r="5857" spans="1:8" ht="14.4" x14ac:dyDescent="0.3">
      <c r="A5857" s="8">
        <v>1969217</v>
      </c>
      <c r="B5857" s="11">
        <v>44603</v>
      </c>
      <c r="C5857" s="13" t="s">
        <v>395</v>
      </c>
      <c r="D5857" s="13" t="s">
        <v>7488</v>
      </c>
      <c r="E5857" s="8">
        <v>25644</v>
      </c>
      <c r="F5857" s="13" t="s">
        <v>70</v>
      </c>
      <c r="G5857" s="14">
        <v>44607</v>
      </c>
      <c r="H5857" s="13" t="s">
        <v>35</v>
      </c>
    </row>
    <row r="5858" spans="1:8" ht="14.4" x14ac:dyDescent="0.3">
      <c r="A5858" s="8">
        <v>1969218</v>
      </c>
      <c r="B5858" s="11">
        <v>44603</v>
      </c>
      <c r="C5858" s="13" t="s">
        <v>44</v>
      </c>
      <c r="D5858" s="13" t="s">
        <v>7489</v>
      </c>
      <c r="E5858" s="8">
        <v>432.6</v>
      </c>
      <c r="F5858" s="13" t="s">
        <v>70</v>
      </c>
      <c r="G5858" s="14">
        <v>44608</v>
      </c>
      <c r="H5858" s="13" t="s">
        <v>35</v>
      </c>
    </row>
    <row r="5859" spans="1:8" ht="14.4" x14ac:dyDescent="0.3">
      <c r="A5859" s="8">
        <v>1969219</v>
      </c>
      <c r="B5859" s="11">
        <v>44603</v>
      </c>
      <c r="C5859" s="13" t="s">
        <v>265</v>
      </c>
      <c r="D5859" s="13" t="s">
        <v>7490</v>
      </c>
      <c r="E5859" s="8">
        <v>51404</v>
      </c>
      <c r="F5859" s="13" t="s">
        <v>70</v>
      </c>
      <c r="G5859" s="14">
        <v>44608</v>
      </c>
      <c r="H5859" s="13" t="s">
        <v>35</v>
      </c>
    </row>
    <row r="5860" spans="1:8" ht="14.4" x14ac:dyDescent="0.3">
      <c r="A5860" s="8">
        <v>1969220</v>
      </c>
      <c r="B5860" s="11">
        <v>44603</v>
      </c>
      <c r="C5860" s="13" t="s">
        <v>180</v>
      </c>
      <c r="D5860" s="13" t="s">
        <v>901</v>
      </c>
      <c r="E5860" s="8">
        <v>612583.59</v>
      </c>
      <c r="F5860" s="13" t="s">
        <v>70</v>
      </c>
      <c r="G5860" s="14">
        <v>44619</v>
      </c>
      <c r="H5860" s="13" t="s">
        <v>35</v>
      </c>
    </row>
    <row r="5861" spans="1:8" ht="14.4" x14ac:dyDescent="0.3">
      <c r="A5861" s="8">
        <v>1969221</v>
      </c>
      <c r="B5861" s="11">
        <v>44603</v>
      </c>
      <c r="C5861" s="13" t="s">
        <v>217</v>
      </c>
      <c r="D5861" s="13" t="s">
        <v>7491</v>
      </c>
      <c r="E5861" s="8">
        <v>56250</v>
      </c>
      <c r="F5861" s="13" t="s">
        <v>70</v>
      </c>
      <c r="G5861" s="14">
        <v>44607</v>
      </c>
      <c r="H5861" s="13" t="s">
        <v>35</v>
      </c>
    </row>
    <row r="5862" spans="1:8" ht="14.4" x14ac:dyDescent="0.3">
      <c r="A5862" s="8">
        <v>1969222</v>
      </c>
      <c r="B5862" s="11">
        <v>44603</v>
      </c>
      <c r="C5862" s="13" t="s">
        <v>44</v>
      </c>
      <c r="D5862" s="13" t="s">
        <v>7492</v>
      </c>
      <c r="E5862" s="8">
        <v>2883.42</v>
      </c>
      <c r="F5862" s="13" t="s">
        <v>70</v>
      </c>
      <c r="G5862" s="14">
        <v>44608</v>
      </c>
      <c r="H5862" s="13" t="s">
        <v>35</v>
      </c>
    </row>
    <row r="5863" spans="1:8" ht="14.4" x14ac:dyDescent="0.3">
      <c r="A5863" s="8">
        <v>1969223</v>
      </c>
      <c r="B5863" s="11">
        <v>44603</v>
      </c>
      <c r="C5863" s="13" t="s">
        <v>124</v>
      </c>
      <c r="D5863" s="13" t="s">
        <v>7493</v>
      </c>
      <c r="E5863" s="8">
        <v>10062.14</v>
      </c>
      <c r="F5863" s="13" t="s">
        <v>70</v>
      </c>
      <c r="G5863" s="14">
        <v>44631</v>
      </c>
      <c r="H5863" s="13" t="s">
        <v>35</v>
      </c>
    </row>
    <row r="5864" spans="1:8" ht="14.4" x14ac:dyDescent="0.3">
      <c r="A5864" s="8">
        <v>1969224</v>
      </c>
      <c r="B5864" s="11">
        <v>44603</v>
      </c>
      <c r="C5864" s="13" t="s">
        <v>44</v>
      </c>
      <c r="D5864" s="13" t="s">
        <v>7494</v>
      </c>
      <c r="E5864" s="8">
        <v>2448.6799999999998</v>
      </c>
      <c r="F5864" s="13" t="s">
        <v>70</v>
      </c>
      <c r="G5864" s="14">
        <v>44608</v>
      </c>
      <c r="H5864" s="13" t="s">
        <v>35</v>
      </c>
    </row>
    <row r="5865" spans="1:8" ht="14.4" x14ac:dyDescent="0.3">
      <c r="A5865" s="8">
        <v>1969226</v>
      </c>
      <c r="B5865" s="11">
        <v>44603</v>
      </c>
      <c r="C5865" s="13" t="s">
        <v>1286</v>
      </c>
      <c r="D5865" s="13" t="s">
        <v>7495</v>
      </c>
      <c r="E5865" s="8">
        <v>12172.68</v>
      </c>
      <c r="F5865" s="13" t="s">
        <v>70</v>
      </c>
      <c r="G5865" s="14">
        <v>44609</v>
      </c>
      <c r="H5865" s="13" t="s">
        <v>35</v>
      </c>
    </row>
    <row r="5866" spans="1:8" ht="14.4" x14ac:dyDescent="0.3">
      <c r="A5866" s="8">
        <v>1969227</v>
      </c>
      <c r="B5866" s="11">
        <v>44603</v>
      </c>
      <c r="C5866" s="13" t="s">
        <v>2571</v>
      </c>
      <c r="D5866" s="13" t="s">
        <v>7496</v>
      </c>
      <c r="E5866" s="8">
        <v>75381.48</v>
      </c>
      <c r="F5866" s="13" t="s">
        <v>70</v>
      </c>
      <c r="G5866" s="14">
        <v>44614</v>
      </c>
      <c r="H5866" s="13" t="s">
        <v>35</v>
      </c>
    </row>
    <row r="5867" spans="1:8" ht="14.4" x14ac:dyDescent="0.3">
      <c r="A5867" s="8">
        <v>1969228</v>
      </c>
      <c r="B5867" s="11">
        <v>44603</v>
      </c>
      <c r="C5867" s="13" t="s">
        <v>333</v>
      </c>
      <c r="D5867" s="13" t="s">
        <v>1466</v>
      </c>
      <c r="E5867" s="8">
        <v>3000</v>
      </c>
      <c r="F5867" s="13" t="s">
        <v>70</v>
      </c>
      <c r="G5867" s="14">
        <v>44607</v>
      </c>
      <c r="H5867" s="13" t="s">
        <v>35</v>
      </c>
    </row>
    <row r="5868" spans="1:8" ht="14.4" x14ac:dyDescent="0.3">
      <c r="A5868" s="8">
        <v>1969229</v>
      </c>
      <c r="B5868" s="11">
        <v>44603</v>
      </c>
      <c r="C5868" s="13" t="s">
        <v>345</v>
      </c>
      <c r="D5868" s="13" t="s">
        <v>7395</v>
      </c>
      <c r="E5868" s="8">
        <v>10000</v>
      </c>
      <c r="F5868" s="13" t="s">
        <v>70</v>
      </c>
      <c r="G5868" s="14">
        <v>44607</v>
      </c>
      <c r="H5868" s="13" t="s">
        <v>35</v>
      </c>
    </row>
    <row r="5869" spans="1:8" ht="14.4" x14ac:dyDescent="0.3">
      <c r="A5869" s="8">
        <v>1969230</v>
      </c>
      <c r="B5869" s="11">
        <v>44603</v>
      </c>
      <c r="C5869" s="13" t="s">
        <v>346</v>
      </c>
      <c r="D5869" s="13" t="s">
        <v>7395</v>
      </c>
      <c r="E5869" s="8">
        <v>5000</v>
      </c>
      <c r="F5869" s="13" t="s">
        <v>70</v>
      </c>
      <c r="G5869" s="14">
        <v>44607</v>
      </c>
      <c r="H5869" s="13" t="s">
        <v>35</v>
      </c>
    </row>
    <row r="5870" spans="1:8" ht="14.4" x14ac:dyDescent="0.3">
      <c r="A5870" s="8">
        <v>1969231</v>
      </c>
      <c r="B5870" s="11">
        <v>44603</v>
      </c>
      <c r="C5870" s="13" t="s">
        <v>44</v>
      </c>
      <c r="D5870" s="13" t="s">
        <v>7497</v>
      </c>
      <c r="E5870" s="8">
        <v>5496.42</v>
      </c>
      <c r="F5870" s="13" t="s">
        <v>70</v>
      </c>
      <c r="G5870" s="14">
        <v>44608</v>
      </c>
      <c r="H5870" s="13" t="s">
        <v>35</v>
      </c>
    </row>
    <row r="5871" spans="1:8" ht="14.4" x14ac:dyDescent="0.3">
      <c r="A5871" s="8">
        <v>1969232</v>
      </c>
      <c r="B5871" s="11">
        <v>44603</v>
      </c>
      <c r="C5871" s="13" t="s">
        <v>217</v>
      </c>
      <c r="D5871" s="13" t="s">
        <v>7498</v>
      </c>
      <c r="E5871" s="8">
        <v>31250</v>
      </c>
      <c r="F5871" s="13" t="s">
        <v>70</v>
      </c>
      <c r="G5871" s="14">
        <v>44607</v>
      </c>
      <c r="H5871" s="13" t="s">
        <v>35</v>
      </c>
    </row>
    <row r="5872" spans="1:8" ht="14.4" x14ac:dyDescent="0.3">
      <c r="A5872" s="8">
        <v>1969233</v>
      </c>
      <c r="B5872" s="11">
        <v>44603</v>
      </c>
      <c r="C5872" s="13" t="s">
        <v>7499</v>
      </c>
      <c r="D5872" s="13" t="s">
        <v>7500</v>
      </c>
      <c r="E5872" s="8">
        <v>60000</v>
      </c>
      <c r="F5872" s="13" t="s">
        <v>70</v>
      </c>
      <c r="G5872" s="14">
        <v>44620</v>
      </c>
      <c r="H5872" s="13" t="s">
        <v>35</v>
      </c>
    </row>
    <row r="5873" spans="1:8" ht="14.4" x14ac:dyDescent="0.3">
      <c r="A5873" s="8">
        <v>1969234</v>
      </c>
      <c r="B5873" s="11">
        <v>44603</v>
      </c>
      <c r="C5873" s="13" t="s">
        <v>7501</v>
      </c>
      <c r="D5873" s="13" t="s">
        <v>7502</v>
      </c>
      <c r="E5873" s="8">
        <v>30000</v>
      </c>
      <c r="F5873" s="13" t="s">
        <v>70</v>
      </c>
      <c r="G5873" s="14">
        <v>44609</v>
      </c>
      <c r="H5873" s="13" t="s">
        <v>35</v>
      </c>
    </row>
    <row r="5874" spans="1:8" ht="14.4" x14ac:dyDescent="0.3">
      <c r="A5874" s="8">
        <v>1969235</v>
      </c>
      <c r="B5874" s="11">
        <v>44603</v>
      </c>
      <c r="C5874" s="13" t="s">
        <v>7503</v>
      </c>
      <c r="D5874" s="13" t="s">
        <v>7504</v>
      </c>
      <c r="E5874" s="8">
        <v>300000</v>
      </c>
      <c r="F5874" s="13" t="s">
        <v>70</v>
      </c>
      <c r="G5874" s="14">
        <v>44608</v>
      </c>
      <c r="H5874" s="13" t="s">
        <v>35</v>
      </c>
    </row>
    <row r="5875" spans="1:8" ht="14.4" x14ac:dyDescent="0.3">
      <c r="A5875" s="8">
        <v>1969236</v>
      </c>
      <c r="B5875" s="11">
        <v>44603</v>
      </c>
      <c r="C5875" s="13" t="s">
        <v>173</v>
      </c>
      <c r="D5875" s="13" t="s">
        <v>7504</v>
      </c>
      <c r="E5875" s="8">
        <v>60000</v>
      </c>
      <c r="F5875" s="13" t="s">
        <v>70</v>
      </c>
      <c r="G5875" s="14">
        <v>44620</v>
      </c>
      <c r="H5875" s="13" t="s">
        <v>35</v>
      </c>
    </row>
    <row r="5876" spans="1:8" ht="14.4" x14ac:dyDescent="0.3">
      <c r="A5876" s="8">
        <v>1969237</v>
      </c>
      <c r="B5876" s="11">
        <v>44603</v>
      </c>
      <c r="C5876" s="13" t="s">
        <v>7505</v>
      </c>
      <c r="D5876" s="13" t="s">
        <v>7504</v>
      </c>
      <c r="E5876" s="8">
        <v>60000</v>
      </c>
      <c r="F5876" s="13" t="s">
        <v>70</v>
      </c>
      <c r="G5876" s="14">
        <v>44609</v>
      </c>
      <c r="H5876" s="13" t="s">
        <v>35</v>
      </c>
    </row>
    <row r="5877" spans="1:8" ht="14.4" x14ac:dyDescent="0.3">
      <c r="A5877" s="8">
        <v>1969238</v>
      </c>
      <c r="B5877" s="11">
        <v>44603</v>
      </c>
      <c r="C5877" s="13" t="s">
        <v>7506</v>
      </c>
      <c r="D5877" s="13" t="s">
        <v>7504</v>
      </c>
      <c r="E5877" s="8">
        <v>60000</v>
      </c>
      <c r="F5877" s="13" t="s">
        <v>70</v>
      </c>
      <c r="G5877" s="14">
        <v>44620</v>
      </c>
      <c r="H5877" s="13" t="s">
        <v>35</v>
      </c>
    </row>
    <row r="5878" spans="1:8" ht="14.4" x14ac:dyDescent="0.3">
      <c r="A5878" s="8">
        <v>1969239</v>
      </c>
      <c r="B5878" s="11">
        <v>44603</v>
      </c>
      <c r="C5878" s="13" t="s">
        <v>7507</v>
      </c>
      <c r="D5878" s="13" t="s">
        <v>7504</v>
      </c>
      <c r="E5878" s="8">
        <v>60000</v>
      </c>
      <c r="F5878" s="13" t="s">
        <v>70</v>
      </c>
      <c r="G5878" s="14">
        <v>44620</v>
      </c>
      <c r="H5878" s="13" t="s">
        <v>35</v>
      </c>
    </row>
    <row r="5879" spans="1:8" ht="14.4" x14ac:dyDescent="0.3">
      <c r="A5879" s="8">
        <v>1969240</v>
      </c>
      <c r="B5879" s="11">
        <v>44603</v>
      </c>
      <c r="C5879" s="13" t="s">
        <v>7508</v>
      </c>
      <c r="D5879" s="13" t="s">
        <v>7504</v>
      </c>
      <c r="E5879" s="8">
        <v>60000</v>
      </c>
      <c r="F5879" s="13" t="s">
        <v>70</v>
      </c>
      <c r="G5879" s="14">
        <v>44620</v>
      </c>
      <c r="H5879" s="13" t="s">
        <v>35</v>
      </c>
    </row>
    <row r="5880" spans="1:8" ht="14.4" x14ac:dyDescent="0.3">
      <c r="A5880" s="8">
        <v>1969241</v>
      </c>
      <c r="B5880" s="11">
        <v>44603</v>
      </c>
      <c r="C5880" s="13" t="s">
        <v>7509</v>
      </c>
      <c r="D5880" s="13" t="s">
        <v>7504</v>
      </c>
      <c r="E5880" s="8">
        <v>60000</v>
      </c>
      <c r="F5880" s="13" t="s">
        <v>70</v>
      </c>
      <c r="G5880" s="14">
        <v>44620</v>
      </c>
      <c r="H5880" s="13" t="s">
        <v>35</v>
      </c>
    </row>
    <row r="5881" spans="1:8" ht="14.4" x14ac:dyDescent="0.3">
      <c r="A5881" s="8">
        <v>1969242</v>
      </c>
      <c r="B5881" s="11">
        <v>44603</v>
      </c>
      <c r="C5881" s="13" t="s">
        <v>7510</v>
      </c>
      <c r="D5881" s="13" t="s">
        <v>7511</v>
      </c>
      <c r="E5881" s="8">
        <v>30000</v>
      </c>
      <c r="F5881" s="13" t="s">
        <v>70</v>
      </c>
      <c r="G5881" s="14">
        <v>44620</v>
      </c>
      <c r="H5881" s="13" t="s">
        <v>35</v>
      </c>
    </row>
    <row r="5882" spans="1:8" ht="14.4" x14ac:dyDescent="0.3">
      <c r="A5882" s="8">
        <v>1969243</v>
      </c>
      <c r="B5882" s="11">
        <v>44603</v>
      </c>
      <c r="C5882" s="13" t="s">
        <v>7512</v>
      </c>
      <c r="D5882" s="13" t="s">
        <v>7513</v>
      </c>
      <c r="E5882" s="8">
        <v>30000</v>
      </c>
      <c r="F5882" s="13" t="s">
        <v>70</v>
      </c>
      <c r="G5882" s="14">
        <v>44620</v>
      </c>
      <c r="H5882" s="13" t="s">
        <v>35</v>
      </c>
    </row>
    <row r="5883" spans="1:8" ht="14.4" x14ac:dyDescent="0.3">
      <c r="A5883" s="8">
        <v>1969244</v>
      </c>
      <c r="B5883" s="11">
        <v>44603</v>
      </c>
      <c r="C5883" s="13" t="s">
        <v>7514</v>
      </c>
      <c r="D5883" s="13" t="s">
        <v>7513</v>
      </c>
      <c r="E5883" s="8">
        <v>30000</v>
      </c>
      <c r="F5883" s="13" t="s">
        <v>70</v>
      </c>
      <c r="G5883" s="14">
        <v>44620</v>
      </c>
      <c r="H5883" s="13" t="s">
        <v>35</v>
      </c>
    </row>
    <row r="5884" spans="1:8" ht="14.4" x14ac:dyDescent="0.3">
      <c r="A5884" s="8">
        <v>1969245</v>
      </c>
      <c r="B5884" s="11">
        <v>44603</v>
      </c>
      <c r="C5884" s="13" t="s">
        <v>7515</v>
      </c>
      <c r="D5884" s="13" t="s">
        <v>7513</v>
      </c>
      <c r="E5884" s="8">
        <v>30000</v>
      </c>
      <c r="F5884" s="13" t="s">
        <v>70</v>
      </c>
      <c r="G5884" s="14">
        <v>44620</v>
      </c>
      <c r="H5884" s="13" t="s">
        <v>35</v>
      </c>
    </row>
    <row r="5885" spans="1:8" ht="14.4" x14ac:dyDescent="0.3">
      <c r="A5885" s="8">
        <v>1969246</v>
      </c>
      <c r="B5885" s="11">
        <v>44603</v>
      </c>
      <c r="C5885" s="13" t="s">
        <v>217</v>
      </c>
      <c r="D5885" s="13" t="s">
        <v>7516</v>
      </c>
      <c r="E5885" s="8">
        <v>33026</v>
      </c>
      <c r="F5885" s="13" t="s">
        <v>70</v>
      </c>
      <c r="G5885" s="14">
        <v>44607</v>
      </c>
      <c r="H5885" s="13" t="s">
        <v>35</v>
      </c>
    </row>
    <row r="5886" spans="1:8" ht="14.4" x14ac:dyDescent="0.3">
      <c r="A5886" s="8">
        <v>1969247</v>
      </c>
      <c r="B5886" s="11">
        <v>44603</v>
      </c>
      <c r="C5886" s="13" t="s">
        <v>1728</v>
      </c>
      <c r="D5886" s="13" t="s">
        <v>7517</v>
      </c>
      <c r="E5886" s="8">
        <v>177870</v>
      </c>
      <c r="F5886" s="13" t="s">
        <v>70</v>
      </c>
      <c r="G5886" s="14">
        <v>44607</v>
      </c>
      <c r="H5886" s="13" t="s">
        <v>35</v>
      </c>
    </row>
    <row r="5887" spans="1:8" ht="14.4" x14ac:dyDescent="0.3">
      <c r="A5887" s="8">
        <v>1969248</v>
      </c>
      <c r="B5887" s="11">
        <v>44603</v>
      </c>
      <c r="C5887" s="13" t="s">
        <v>7518</v>
      </c>
      <c r="D5887" s="13" t="s">
        <v>7519</v>
      </c>
      <c r="E5887" s="8">
        <v>9000</v>
      </c>
      <c r="F5887" s="13" t="s">
        <v>70</v>
      </c>
      <c r="G5887" s="14">
        <v>44608</v>
      </c>
      <c r="H5887" s="13" t="s">
        <v>35</v>
      </c>
    </row>
    <row r="5888" spans="1:8" ht="14.4" x14ac:dyDescent="0.3">
      <c r="A5888" s="8">
        <v>1969249</v>
      </c>
      <c r="B5888" s="11">
        <v>44603</v>
      </c>
      <c r="C5888" s="13" t="s">
        <v>7520</v>
      </c>
      <c r="D5888" s="13" t="s">
        <v>7521</v>
      </c>
      <c r="E5888" s="8">
        <v>15000</v>
      </c>
      <c r="F5888" s="13" t="s">
        <v>70</v>
      </c>
      <c r="G5888" s="14">
        <v>44609</v>
      </c>
      <c r="H5888" s="13" t="s">
        <v>35</v>
      </c>
    </row>
    <row r="5889" spans="1:8" ht="14.4" x14ac:dyDescent="0.3">
      <c r="A5889" s="8">
        <v>1969250</v>
      </c>
      <c r="B5889" s="11">
        <v>44603</v>
      </c>
      <c r="C5889" s="13" t="s">
        <v>7522</v>
      </c>
      <c r="D5889" s="13" t="s">
        <v>7523</v>
      </c>
      <c r="E5889" s="8">
        <v>50000</v>
      </c>
      <c r="F5889" s="13" t="s">
        <v>70</v>
      </c>
      <c r="G5889" s="14">
        <v>44608</v>
      </c>
      <c r="H5889" s="13" t="s">
        <v>35</v>
      </c>
    </row>
    <row r="5890" spans="1:8" ht="14.4" x14ac:dyDescent="0.3">
      <c r="A5890" s="8">
        <v>1969251</v>
      </c>
      <c r="B5890" s="11">
        <v>44603</v>
      </c>
      <c r="C5890" s="13" t="s">
        <v>7524</v>
      </c>
      <c r="D5890" s="13" t="s">
        <v>7525</v>
      </c>
      <c r="E5890" s="8">
        <v>12000</v>
      </c>
      <c r="F5890" s="13" t="s">
        <v>70</v>
      </c>
      <c r="G5890" s="14">
        <v>44608</v>
      </c>
      <c r="H5890" s="13" t="s">
        <v>35</v>
      </c>
    </row>
    <row r="5891" spans="1:8" ht="14.4" x14ac:dyDescent="0.3">
      <c r="A5891" s="8">
        <v>1969252</v>
      </c>
      <c r="B5891" s="11">
        <v>44603</v>
      </c>
      <c r="C5891" s="13" t="s">
        <v>7526</v>
      </c>
      <c r="D5891" s="13" t="s">
        <v>7527</v>
      </c>
      <c r="E5891" s="8">
        <v>50000</v>
      </c>
      <c r="F5891" s="13" t="s">
        <v>70</v>
      </c>
      <c r="G5891" s="14">
        <v>44608</v>
      </c>
      <c r="H5891" s="13" t="s">
        <v>35</v>
      </c>
    </row>
    <row r="5892" spans="1:8" ht="14.4" x14ac:dyDescent="0.3">
      <c r="A5892" s="8">
        <v>1969253</v>
      </c>
      <c r="B5892" s="11">
        <v>44603</v>
      </c>
      <c r="C5892" s="13" t="s">
        <v>7528</v>
      </c>
      <c r="D5892" s="13" t="s">
        <v>7529</v>
      </c>
      <c r="E5892" s="8">
        <v>11000</v>
      </c>
      <c r="F5892" s="13" t="s">
        <v>70</v>
      </c>
      <c r="G5892" s="14">
        <v>44609</v>
      </c>
      <c r="H5892" s="13" t="s">
        <v>35</v>
      </c>
    </row>
    <row r="5893" spans="1:8" ht="14.4" x14ac:dyDescent="0.3">
      <c r="A5893" s="8">
        <v>1969254</v>
      </c>
      <c r="B5893" s="11">
        <v>44603</v>
      </c>
      <c r="C5893" s="13" t="s">
        <v>3091</v>
      </c>
      <c r="D5893" s="13" t="s">
        <v>7530</v>
      </c>
      <c r="E5893" s="8">
        <v>14000</v>
      </c>
      <c r="F5893" s="13" t="s">
        <v>70</v>
      </c>
      <c r="G5893" s="14">
        <v>44609</v>
      </c>
      <c r="H5893" s="13" t="s">
        <v>35</v>
      </c>
    </row>
    <row r="5894" spans="1:8" ht="14.4" x14ac:dyDescent="0.3">
      <c r="A5894" s="8">
        <v>1969255</v>
      </c>
      <c r="B5894" s="11">
        <v>44603</v>
      </c>
      <c r="C5894" s="13" t="s">
        <v>7531</v>
      </c>
      <c r="D5894" s="13" t="s">
        <v>7532</v>
      </c>
      <c r="E5894" s="8">
        <v>10000</v>
      </c>
      <c r="F5894" s="13" t="s">
        <v>70</v>
      </c>
      <c r="G5894" s="14">
        <v>44609</v>
      </c>
      <c r="H5894" s="13" t="s">
        <v>35</v>
      </c>
    </row>
    <row r="5895" spans="1:8" ht="14.4" x14ac:dyDescent="0.3">
      <c r="A5895" s="8">
        <v>1969256</v>
      </c>
      <c r="B5895" s="11">
        <v>44603</v>
      </c>
      <c r="C5895" s="13" t="s">
        <v>176</v>
      </c>
      <c r="D5895" s="13" t="s">
        <v>7377</v>
      </c>
      <c r="E5895" s="8">
        <v>90000</v>
      </c>
      <c r="F5895" s="13" t="s">
        <v>70</v>
      </c>
      <c r="G5895" s="14">
        <v>44609</v>
      </c>
      <c r="H5895" s="13" t="s">
        <v>35</v>
      </c>
    </row>
    <row r="5896" spans="1:8" ht="14.4" x14ac:dyDescent="0.3">
      <c r="A5896" s="8">
        <v>1969257</v>
      </c>
      <c r="B5896" s="11">
        <v>44603</v>
      </c>
      <c r="C5896" s="13" t="s">
        <v>32</v>
      </c>
      <c r="D5896" s="13" t="s">
        <v>7533</v>
      </c>
      <c r="E5896" s="8">
        <v>202892.07</v>
      </c>
      <c r="F5896" s="13" t="s">
        <v>70</v>
      </c>
      <c r="G5896" s="14">
        <v>44603</v>
      </c>
      <c r="H5896" s="13" t="s">
        <v>35</v>
      </c>
    </row>
    <row r="5897" spans="1:8" ht="14.4" x14ac:dyDescent="0.3">
      <c r="A5897" s="8">
        <v>1969259</v>
      </c>
      <c r="B5897" s="11">
        <v>44603</v>
      </c>
      <c r="C5897" s="13" t="s">
        <v>7534</v>
      </c>
      <c r="D5897" s="13" t="s">
        <v>7535</v>
      </c>
      <c r="E5897" s="8">
        <v>26000</v>
      </c>
      <c r="F5897" s="13" t="s">
        <v>70</v>
      </c>
      <c r="G5897" s="14">
        <v>44608</v>
      </c>
      <c r="H5897" s="13" t="s">
        <v>35</v>
      </c>
    </row>
    <row r="5898" spans="1:8" ht="14.4" x14ac:dyDescent="0.3">
      <c r="A5898" s="8">
        <v>1969260</v>
      </c>
      <c r="B5898" s="11">
        <v>44603</v>
      </c>
      <c r="C5898" s="13" t="s">
        <v>4285</v>
      </c>
      <c r="D5898" s="13" t="s">
        <v>7536</v>
      </c>
      <c r="E5898" s="8">
        <v>8500</v>
      </c>
      <c r="F5898" s="13" t="s">
        <v>70</v>
      </c>
      <c r="G5898" s="14">
        <v>44609</v>
      </c>
      <c r="H5898" s="13" t="s">
        <v>35</v>
      </c>
    </row>
    <row r="5899" spans="1:8" ht="14.4" x14ac:dyDescent="0.3">
      <c r="A5899" s="8">
        <v>1969261</v>
      </c>
      <c r="B5899" s="11">
        <v>44603</v>
      </c>
      <c r="C5899" s="13" t="s">
        <v>7537</v>
      </c>
      <c r="D5899" s="13" t="s">
        <v>7538</v>
      </c>
      <c r="E5899" s="8">
        <v>10000</v>
      </c>
      <c r="F5899" s="13" t="s">
        <v>70</v>
      </c>
      <c r="G5899" s="14">
        <v>44608</v>
      </c>
      <c r="H5899" s="13" t="s">
        <v>35</v>
      </c>
    </row>
    <row r="5900" spans="1:8" ht="14.4" x14ac:dyDescent="0.3">
      <c r="A5900" s="8">
        <v>1969262</v>
      </c>
      <c r="B5900" s="11">
        <v>44603</v>
      </c>
      <c r="C5900" s="13" t="s">
        <v>7539</v>
      </c>
      <c r="D5900" s="13" t="s">
        <v>7540</v>
      </c>
      <c r="E5900" s="8">
        <v>20000</v>
      </c>
      <c r="F5900" s="13" t="s">
        <v>70</v>
      </c>
      <c r="G5900" s="14">
        <v>44608</v>
      </c>
      <c r="H5900" s="13" t="s">
        <v>35</v>
      </c>
    </row>
    <row r="5901" spans="1:8" ht="14.4" x14ac:dyDescent="0.3">
      <c r="A5901" s="8">
        <v>1969263</v>
      </c>
      <c r="B5901" s="11">
        <v>44603</v>
      </c>
      <c r="C5901" s="13" t="s">
        <v>7541</v>
      </c>
      <c r="D5901" s="13" t="s">
        <v>7542</v>
      </c>
      <c r="E5901" s="8">
        <v>10000</v>
      </c>
      <c r="F5901" s="13" t="s">
        <v>70</v>
      </c>
      <c r="G5901" s="14">
        <v>44608</v>
      </c>
      <c r="H5901" s="13" t="s">
        <v>35</v>
      </c>
    </row>
    <row r="5902" spans="1:8" ht="14.4" x14ac:dyDescent="0.3">
      <c r="A5902" s="8">
        <v>1969264</v>
      </c>
      <c r="B5902" s="11">
        <v>44603</v>
      </c>
      <c r="C5902" s="13" t="s">
        <v>7543</v>
      </c>
      <c r="D5902" s="13" t="s">
        <v>7544</v>
      </c>
      <c r="E5902" s="8">
        <v>10000</v>
      </c>
      <c r="F5902" s="13" t="s">
        <v>70</v>
      </c>
      <c r="G5902" s="14">
        <v>44622</v>
      </c>
      <c r="H5902" s="13" t="s">
        <v>35</v>
      </c>
    </row>
    <row r="5903" spans="1:8" ht="14.4" x14ac:dyDescent="0.3">
      <c r="A5903" s="8">
        <v>1969265</v>
      </c>
      <c r="B5903" s="11">
        <v>44603</v>
      </c>
      <c r="C5903" s="13" t="s">
        <v>7545</v>
      </c>
      <c r="D5903" s="13" t="s">
        <v>7546</v>
      </c>
      <c r="E5903" s="8">
        <v>10000</v>
      </c>
      <c r="F5903" s="13" t="s">
        <v>70</v>
      </c>
      <c r="G5903" s="14">
        <v>44608</v>
      </c>
      <c r="H5903" s="13" t="s">
        <v>35</v>
      </c>
    </row>
    <row r="5904" spans="1:8" ht="14.4" x14ac:dyDescent="0.3">
      <c r="A5904" s="8">
        <v>1969266</v>
      </c>
      <c r="B5904" s="11">
        <v>44603</v>
      </c>
      <c r="C5904" s="13" t="s">
        <v>7547</v>
      </c>
      <c r="D5904" s="13" t="s">
        <v>7548</v>
      </c>
      <c r="E5904" s="8">
        <v>20000</v>
      </c>
      <c r="F5904" s="13" t="s">
        <v>70</v>
      </c>
      <c r="G5904" s="14">
        <v>44608</v>
      </c>
      <c r="H5904" s="13" t="s">
        <v>35</v>
      </c>
    </row>
    <row r="5905" spans="1:8" ht="14.4" x14ac:dyDescent="0.3">
      <c r="A5905" s="8">
        <v>1969267</v>
      </c>
      <c r="B5905" s="11">
        <v>44603</v>
      </c>
      <c r="C5905" s="13" t="s">
        <v>7549</v>
      </c>
      <c r="D5905" s="13" t="s">
        <v>7550</v>
      </c>
      <c r="E5905" s="8">
        <v>18000</v>
      </c>
      <c r="F5905" s="13" t="s">
        <v>70</v>
      </c>
      <c r="G5905" s="14">
        <v>44613</v>
      </c>
      <c r="H5905" s="13" t="s">
        <v>35</v>
      </c>
    </row>
    <row r="5906" spans="1:8" ht="14.4" x14ac:dyDescent="0.3">
      <c r="A5906" s="8">
        <v>1969268</v>
      </c>
      <c r="B5906" s="11">
        <v>44603</v>
      </c>
      <c r="C5906" s="13" t="s">
        <v>7551</v>
      </c>
      <c r="D5906" s="13" t="s">
        <v>7552</v>
      </c>
      <c r="E5906" s="8">
        <v>10000</v>
      </c>
      <c r="F5906" s="13" t="s">
        <v>70</v>
      </c>
      <c r="G5906" s="14">
        <v>44608</v>
      </c>
      <c r="H5906" s="13" t="s">
        <v>35</v>
      </c>
    </row>
    <row r="5907" spans="1:8" ht="14.4" x14ac:dyDescent="0.3">
      <c r="A5907" s="8">
        <v>1969269</v>
      </c>
      <c r="B5907" s="11">
        <v>44603</v>
      </c>
      <c r="C5907" s="13" t="s">
        <v>7553</v>
      </c>
      <c r="D5907" s="13" t="s">
        <v>7554</v>
      </c>
      <c r="E5907" s="8">
        <v>10000</v>
      </c>
      <c r="F5907" s="13" t="s">
        <v>70</v>
      </c>
      <c r="G5907" s="14">
        <v>44608</v>
      </c>
      <c r="H5907" s="13" t="s">
        <v>35</v>
      </c>
    </row>
    <row r="5908" spans="1:8" ht="14.4" x14ac:dyDescent="0.3">
      <c r="A5908" s="8">
        <v>1969270</v>
      </c>
      <c r="B5908" s="11">
        <v>44603</v>
      </c>
      <c r="C5908" s="13" t="s">
        <v>7555</v>
      </c>
      <c r="D5908" s="13" t="s">
        <v>7556</v>
      </c>
      <c r="E5908" s="8">
        <v>50000</v>
      </c>
      <c r="F5908" s="13" t="s">
        <v>70</v>
      </c>
      <c r="G5908" s="14">
        <v>44609</v>
      </c>
      <c r="H5908" s="13" t="s">
        <v>35</v>
      </c>
    </row>
    <row r="5909" spans="1:8" ht="14.4" x14ac:dyDescent="0.3">
      <c r="A5909" s="8">
        <v>1969271</v>
      </c>
      <c r="B5909" s="11">
        <v>44603</v>
      </c>
      <c r="C5909" s="13" t="s">
        <v>1694</v>
      </c>
      <c r="D5909" s="13" t="s">
        <v>7557</v>
      </c>
      <c r="E5909" s="8">
        <v>15000</v>
      </c>
      <c r="F5909" s="13" t="s">
        <v>70</v>
      </c>
      <c r="G5909" s="14">
        <v>44608</v>
      </c>
      <c r="H5909" s="13" t="s">
        <v>35</v>
      </c>
    </row>
    <row r="5910" spans="1:8" ht="14.4" x14ac:dyDescent="0.3">
      <c r="A5910" s="8">
        <v>1969272</v>
      </c>
      <c r="B5910" s="11">
        <v>44603</v>
      </c>
      <c r="C5910" s="13" t="s">
        <v>7558</v>
      </c>
      <c r="D5910" s="13" t="s">
        <v>7559</v>
      </c>
      <c r="E5910" s="8">
        <v>12000</v>
      </c>
      <c r="F5910" s="13" t="s">
        <v>70</v>
      </c>
      <c r="G5910" s="14">
        <v>44608</v>
      </c>
      <c r="H5910" s="13" t="s">
        <v>35</v>
      </c>
    </row>
    <row r="5911" spans="1:8" ht="14.4" x14ac:dyDescent="0.3">
      <c r="A5911" s="8">
        <v>1969273</v>
      </c>
      <c r="B5911" s="11">
        <v>44603</v>
      </c>
      <c r="C5911" s="13" t="s">
        <v>7560</v>
      </c>
      <c r="D5911" s="13" t="s">
        <v>7561</v>
      </c>
      <c r="E5911" s="8">
        <v>40000</v>
      </c>
      <c r="F5911" s="13" t="s">
        <v>70</v>
      </c>
      <c r="G5911" s="14">
        <v>44609</v>
      </c>
      <c r="H5911" s="13" t="s">
        <v>35</v>
      </c>
    </row>
    <row r="5912" spans="1:8" ht="14.4" x14ac:dyDescent="0.3">
      <c r="A5912" s="8">
        <v>1969274</v>
      </c>
      <c r="B5912" s="11">
        <v>44603</v>
      </c>
      <c r="C5912" s="13" t="s">
        <v>7562</v>
      </c>
      <c r="D5912" s="13" t="s">
        <v>7563</v>
      </c>
      <c r="E5912" s="8">
        <v>11000</v>
      </c>
      <c r="F5912" s="13" t="s">
        <v>70</v>
      </c>
      <c r="G5912" s="14">
        <v>44683</v>
      </c>
      <c r="H5912" s="13" t="s">
        <v>35</v>
      </c>
    </row>
    <row r="5913" spans="1:8" ht="14.4" x14ac:dyDescent="0.3">
      <c r="A5913" s="8">
        <v>1969275</v>
      </c>
      <c r="B5913" s="11">
        <v>44603</v>
      </c>
      <c r="C5913" s="13" t="s">
        <v>7564</v>
      </c>
      <c r="D5913" s="13" t="s">
        <v>7565</v>
      </c>
      <c r="E5913" s="8">
        <v>25000</v>
      </c>
      <c r="F5913" s="13" t="s">
        <v>70</v>
      </c>
      <c r="G5913" s="14">
        <v>44607</v>
      </c>
      <c r="H5913" s="13" t="s">
        <v>35</v>
      </c>
    </row>
    <row r="5914" spans="1:8" ht="14.4" x14ac:dyDescent="0.3">
      <c r="A5914" s="8">
        <v>1969276</v>
      </c>
      <c r="B5914" s="11">
        <v>44603</v>
      </c>
      <c r="C5914" s="13" t="s">
        <v>7566</v>
      </c>
      <c r="D5914" s="13" t="s">
        <v>7567</v>
      </c>
      <c r="E5914" s="8">
        <v>14000</v>
      </c>
      <c r="F5914" s="13" t="s">
        <v>70</v>
      </c>
      <c r="G5914" s="14">
        <v>44608</v>
      </c>
      <c r="H5914" s="13" t="s">
        <v>35</v>
      </c>
    </row>
    <row r="5915" spans="1:8" ht="14.4" x14ac:dyDescent="0.3">
      <c r="A5915" s="8">
        <v>1969277</v>
      </c>
      <c r="B5915" s="11">
        <v>44603</v>
      </c>
      <c r="C5915" s="13" t="s">
        <v>217</v>
      </c>
      <c r="D5915" s="13" t="s">
        <v>7568</v>
      </c>
      <c r="E5915" s="8">
        <v>71932.929999999993</v>
      </c>
      <c r="F5915" s="13" t="s">
        <v>70</v>
      </c>
      <c r="G5915" s="14">
        <v>44628</v>
      </c>
      <c r="H5915" s="13" t="s">
        <v>35</v>
      </c>
    </row>
    <row r="5916" spans="1:8" ht="14.4" x14ac:dyDescent="0.3">
      <c r="A5916" s="8">
        <v>1969278</v>
      </c>
      <c r="B5916" s="11">
        <v>44603</v>
      </c>
      <c r="C5916" s="13" t="s">
        <v>7569</v>
      </c>
      <c r="D5916" s="13" t="s">
        <v>7570</v>
      </c>
      <c r="E5916" s="8">
        <v>100000</v>
      </c>
      <c r="F5916" s="13" t="s">
        <v>70</v>
      </c>
      <c r="G5916" s="14">
        <v>44608</v>
      </c>
      <c r="H5916" s="13" t="s">
        <v>35</v>
      </c>
    </row>
    <row r="5917" spans="1:8" ht="14.4" x14ac:dyDescent="0.3">
      <c r="A5917" s="8">
        <v>1969279</v>
      </c>
      <c r="B5917" s="11">
        <v>44603</v>
      </c>
      <c r="C5917" s="13" t="s">
        <v>1507</v>
      </c>
      <c r="D5917" s="13" t="s">
        <v>7571</v>
      </c>
      <c r="E5917" s="8">
        <v>10397.200000000001</v>
      </c>
      <c r="F5917" s="13" t="s">
        <v>70</v>
      </c>
      <c r="G5917" s="14">
        <v>44622</v>
      </c>
      <c r="H5917" s="13" t="s">
        <v>35</v>
      </c>
    </row>
    <row r="5918" spans="1:8" ht="14.4" x14ac:dyDescent="0.3">
      <c r="A5918" s="8">
        <v>1969280</v>
      </c>
      <c r="B5918" s="11">
        <v>44603</v>
      </c>
      <c r="C5918" s="13" t="s">
        <v>1510</v>
      </c>
      <c r="D5918" s="13" t="s">
        <v>7571</v>
      </c>
      <c r="E5918" s="8">
        <v>5210.43</v>
      </c>
      <c r="F5918" s="13" t="s">
        <v>70</v>
      </c>
      <c r="G5918" s="14">
        <v>44608</v>
      </c>
      <c r="H5918" s="13" t="s">
        <v>35</v>
      </c>
    </row>
    <row r="5919" spans="1:8" ht="14.4" x14ac:dyDescent="0.3">
      <c r="A5919" s="8">
        <v>1969281</v>
      </c>
      <c r="B5919" s="11">
        <v>44603</v>
      </c>
      <c r="C5919" s="13" t="s">
        <v>1511</v>
      </c>
      <c r="D5919" s="13" t="s">
        <v>7571</v>
      </c>
      <c r="E5919" s="8">
        <v>25021.67</v>
      </c>
      <c r="F5919" s="13" t="s">
        <v>70</v>
      </c>
      <c r="G5919" s="14">
        <v>44606</v>
      </c>
      <c r="H5919" s="13" t="s">
        <v>35</v>
      </c>
    </row>
    <row r="5920" spans="1:8" ht="14.4" x14ac:dyDescent="0.3">
      <c r="A5920" s="8">
        <v>1969282</v>
      </c>
      <c r="B5920" s="11">
        <v>44603</v>
      </c>
      <c r="C5920" s="13" t="s">
        <v>2489</v>
      </c>
      <c r="D5920" s="13" t="s">
        <v>7571</v>
      </c>
      <c r="E5920" s="8">
        <v>22876</v>
      </c>
      <c r="F5920" s="13" t="s">
        <v>70</v>
      </c>
      <c r="G5920" s="14">
        <v>44607</v>
      </c>
      <c r="H5920" s="13" t="s">
        <v>35</v>
      </c>
    </row>
    <row r="5921" spans="1:8" ht="14.4" x14ac:dyDescent="0.3">
      <c r="A5921" s="8">
        <v>1969283</v>
      </c>
      <c r="B5921" s="11">
        <v>44603</v>
      </c>
      <c r="C5921" s="13" t="s">
        <v>96</v>
      </c>
      <c r="D5921" s="13" t="s">
        <v>7571</v>
      </c>
      <c r="E5921" s="8">
        <v>23508.67</v>
      </c>
      <c r="F5921" s="13" t="s">
        <v>70</v>
      </c>
      <c r="G5921" s="14">
        <v>44623</v>
      </c>
      <c r="H5921" s="13" t="s">
        <v>35</v>
      </c>
    </row>
    <row r="5922" spans="1:8" ht="14.4" x14ac:dyDescent="0.3">
      <c r="A5922" s="8">
        <v>1969284</v>
      </c>
      <c r="B5922" s="11">
        <v>44603</v>
      </c>
      <c r="C5922" s="13" t="s">
        <v>1512</v>
      </c>
      <c r="D5922" s="13" t="s">
        <v>7571</v>
      </c>
      <c r="E5922" s="8">
        <v>21693.9</v>
      </c>
      <c r="F5922" s="13" t="s">
        <v>70</v>
      </c>
      <c r="G5922" s="14">
        <v>44607</v>
      </c>
      <c r="H5922" s="13" t="s">
        <v>35</v>
      </c>
    </row>
    <row r="5923" spans="1:8" ht="14.4" x14ac:dyDescent="0.3">
      <c r="A5923" s="8">
        <v>1969285</v>
      </c>
      <c r="B5923" s="11">
        <v>44603</v>
      </c>
      <c r="C5923" s="13" t="s">
        <v>1513</v>
      </c>
      <c r="D5923" s="13" t="s">
        <v>7571</v>
      </c>
      <c r="E5923" s="8">
        <v>22500.6</v>
      </c>
      <c r="F5923" s="13" t="s">
        <v>70</v>
      </c>
      <c r="G5923" s="14">
        <v>44607</v>
      </c>
      <c r="H5923" s="13" t="s">
        <v>35</v>
      </c>
    </row>
    <row r="5924" spans="1:8" ht="14.4" x14ac:dyDescent="0.3">
      <c r="A5924" s="8">
        <v>1969286</v>
      </c>
      <c r="B5924" s="11">
        <v>44603</v>
      </c>
      <c r="C5924" s="13" t="s">
        <v>17</v>
      </c>
      <c r="D5924" s="13" t="s">
        <v>7571</v>
      </c>
      <c r="E5924" s="8">
        <v>19218.22</v>
      </c>
      <c r="F5924" s="13" t="s">
        <v>70</v>
      </c>
      <c r="G5924" s="14">
        <v>44607</v>
      </c>
      <c r="H5924" s="13" t="s">
        <v>35</v>
      </c>
    </row>
    <row r="5925" spans="1:8" ht="14.4" x14ac:dyDescent="0.3">
      <c r="A5925" s="8">
        <v>1969287</v>
      </c>
      <c r="B5925" s="11">
        <v>44603</v>
      </c>
      <c r="C5925" s="13" t="s">
        <v>178</v>
      </c>
      <c r="D5925" s="13" t="s">
        <v>7572</v>
      </c>
      <c r="E5925" s="8">
        <v>32058.77</v>
      </c>
      <c r="F5925" s="13" t="s">
        <v>70</v>
      </c>
      <c r="G5925" s="14">
        <v>44608</v>
      </c>
      <c r="H5925" s="13" t="s">
        <v>35</v>
      </c>
    </row>
    <row r="5926" spans="1:8" ht="14.4" x14ac:dyDescent="0.3">
      <c r="A5926" s="8">
        <v>1969288</v>
      </c>
      <c r="B5926" s="11">
        <v>44603</v>
      </c>
      <c r="C5926" s="13" t="s">
        <v>217</v>
      </c>
      <c r="D5926" s="13" t="s">
        <v>7573</v>
      </c>
      <c r="E5926" s="8">
        <v>19460</v>
      </c>
      <c r="F5926" s="13" t="s">
        <v>70</v>
      </c>
      <c r="G5926" s="14">
        <v>44607</v>
      </c>
      <c r="H5926" s="13" t="s">
        <v>35</v>
      </c>
    </row>
    <row r="5927" spans="1:8" ht="14.4" x14ac:dyDescent="0.3">
      <c r="A5927" s="8">
        <v>1969289</v>
      </c>
      <c r="B5927" s="11">
        <v>44603</v>
      </c>
      <c r="C5927" s="13" t="s">
        <v>217</v>
      </c>
      <c r="D5927" s="13" t="s">
        <v>7574</v>
      </c>
      <c r="E5927" s="8">
        <v>4983</v>
      </c>
      <c r="F5927" s="13" t="s">
        <v>70</v>
      </c>
      <c r="G5927" s="14">
        <v>44607</v>
      </c>
      <c r="H5927" s="13" t="s">
        <v>35</v>
      </c>
    </row>
    <row r="5928" spans="1:8" ht="14.4" x14ac:dyDescent="0.3">
      <c r="A5928" s="8">
        <v>1969290</v>
      </c>
      <c r="B5928" s="11">
        <v>44603</v>
      </c>
      <c r="C5928" s="13" t="s">
        <v>7575</v>
      </c>
      <c r="D5928" s="13" t="s">
        <v>7576</v>
      </c>
      <c r="E5928" s="8">
        <v>761989.72</v>
      </c>
      <c r="F5928" s="13" t="s">
        <v>70</v>
      </c>
      <c r="G5928" s="14">
        <v>44615</v>
      </c>
      <c r="H5928" s="13" t="s">
        <v>35</v>
      </c>
    </row>
    <row r="5929" spans="1:8" ht="14.4" x14ac:dyDescent="0.3">
      <c r="A5929" s="8">
        <v>1969291</v>
      </c>
      <c r="B5929" s="11">
        <v>44606</v>
      </c>
      <c r="C5929" s="13" t="s">
        <v>50</v>
      </c>
      <c r="D5929" s="13" t="s">
        <v>7577</v>
      </c>
      <c r="E5929" s="8">
        <v>12000</v>
      </c>
      <c r="F5929" s="13" t="s">
        <v>70</v>
      </c>
      <c r="G5929" s="14">
        <v>44624</v>
      </c>
      <c r="H5929" s="13" t="s">
        <v>35</v>
      </c>
    </row>
    <row r="5930" spans="1:8" ht="14.4" x14ac:dyDescent="0.3">
      <c r="A5930" s="8">
        <v>1969292</v>
      </c>
      <c r="B5930" s="11">
        <v>44606</v>
      </c>
      <c r="C5930" s="13" t="s">
        <v>195</v>
      </c>
      <c r="D5930" s="13" t="s">
        <v>7578</v>
      </c>
      <c r="E5930" s="8">
        <v>229000</v>
      </c>
      <c r="F5930" s="13" t="s">
        <v>70</v>
      </c>
      <c r="G5930" s="14">
        <v>44607</v>
      </c>
      <c r="H5930" s="13" t="s">
        <v>35</v>
      </c>
    </row>
    <row r="5931" spans="1:8" ht="14.4" x14ac:dyDescent="0.3">
      <c r="A5931" s="8">
        <v>1969293</v>
      </c>
      <c r="B5931" s="11">
        <v>44606</v>
      </c>
      <c r="C5931" s="13" t="s">
        <v>2650</v>
      </c>
      <c r="D5931" s="13" t="s">
        <v>7388</v>
      </c>
      <c r="E5931" s="8">
        <v>5000</v>
      </c>
      <c r="F5931" s="13" t="s">
        <v>70</v>
      </c>
      <c r="G5931" s="14">
        <v>44609</v>
      </c>
      <c r="H5931" s="13" t="s">
        <v>35</v>
      </c>
    </row>
    <row r="5932" spans="1:8" ht="14.4" x14ac:dyDescent="0.3">
      <c r="A5932" s="8">
        <v>1969294</v>
      </c>
      <c r="B5932" s="11">
        <v>44606</v>
      </c>
      <c r="C5932" s="13" t="s">
        <v>161</v>
      </c>
      <c r="D5932" s="13" t="s">
        <v>7388</v>
      </c>
      <c r="E5932" s="8">
        <v>6000</v>
      </c>
      <c r="F5932" s="13" t="s">
        <v>70</v>
      </c>
      <c r="G5932" s="14">
        <v>44608</v>
      </c>
      <c r="H5932" s="13" t="s">
        <v>35</v>
      </c>
    </row>
    <row r="5933" spans="1:8" ht="14.4" x14ac:dyDescent="0.3">
      <c r="A5933" s="8">
        <v>1969295</v>
      </c>
      <c r="B5933" s="11">
        <v>44606</v>
      </c>
      <c r="C5933" s="13" t="s">
        <v>789</v>
      </c>
      <c r="D5933" s="13" t="s">
        <v>7579</v>
      </c>
      <c r="E5933" s="8">
        <v>6000</v>
      </c>
      <c r="F5933" s="13" t="s">
        <v>70</v>
      </c>
      <c r="G5933" s="14">
        <v>44616</v>
      </c>
      <c r="H5933" s="13" t="s">
        <v>35</v>
      </c>
    </row>
    <row r="5934" spans="1:8" ht="14.4" x14ac:dyDescent="0.3">
      <c r="A5934" s="8">
        <v>1969296</v>
      </c>
      <c r="B5934" s="11">
        <v>44606</v>
      </c>
      <c r="C5934" s="13" t="s">
        <v>217</v>
      </c>
      <c r="D5934" s="13" t="s">
        <v>7580</v>
      </c>
      <c r="E5934" s="8">
        <v>53350</v>
      </c>
      <c r="F5934" s="13" t="s">
        <v>70</v>
      </c>
      <c r="G5934" s="14">
        <v>44607</v>
      </c>
      <c r="H5934" s="13" t="s">
        <v>35</v>
      </c>
    </row>
    <row r="5935" spans="1:8" ht="14.4" x14ac:dyDescent="0.3">
      <c r="A5935" s="8">
        <v>1969297</v>
      </c>
      <c r="B5935" s="11">
        <v>44606</v>
      </c>
      <c r="C5935" s="13" t="s">
        <v>217</v>
      </c>
      <c r="D5935" s="13" t="s">
        <v>7581</v>
      </c>
      <c r="E5935" s="8">
        <v>161210</v>
      </c>
      <c r="F5935" s="13" t="s">
        <v>70</v>
      </c>
      <c r="G5935" s="14">
        <v>44614</v>
      </c>
      <c r="H5935" s="13" t="s">
        <v>35</v>
      </c>
    </row>
    <row r="5936" spans="1:8" ht="14.4" x14ac:dyDescent="0.3">
      <c r="A5936" s="8">
        <v>1969298</v>
      </c>
      <c r="B5936" s="11">
        <v>44606</v>
      </c>
      <c r="C5936" s="13" t="s">
        <v>563</v>
      </c>
      <c r="D5936" s="13" t="s">
        <v>1466</v>
      </c>
      <c r="E5936" s="8">
        <v>5000</v>
      </c>
      <c r="F5936" s="13" t="s">
        <v>70</v>
      </c>
      <c r="G5936" s="14">
        <v>44610</v>
      </c>
      <c r="H5936" s="13" t="s">
        <v>35</v>
      </c>
    </row>
    <row r="5937" spans="1:8" ht="14.4" x14ac:dyDescent="0.3">
      <c r="A5937" s="8">
        <v>1969299</v>
      </c>
      <c r="B5937" s="11">
        <v>44606</v>
      </c>
      <c r="C5937" s="13" t="s">
        <v>60</v>
      </c>
      <c r="D5937" s="13" t="s">
        <v>7582</v>
      </c>
      <c r="E5937" s="8">
        <v>1164040.58</v>
      </c>
      <c r="F5937" s="13" t="s">
        <v>70</v>
      </c>
      <c r="G5937" s="14">
        <v>44607</v>
      </c>
      <c r="H5937" s="13" t="s">
        <v>35</v>
      </c>
    </row>
    <row r="5938" spans="1:8" ht="14.4" x14ac:dyDescent="0.3">
      <c r="A5938" s="8">
        <v>1969300</v>
      </c>
      <c r="B5938" s="11">
        <v>44606</v>
      </c>
      <c r="C5938" s="13" t="s">
        <v>390</v>
      </c>
      <c r="D5938" s="13" t="s">
        <v>1396</v>
      </c>
      <c r="E5938" s="8">
        <v>20000</v>
      </c>
      <c r="F5938" s="13" t="s">
        <v>70</v>
      </c>
      <c r="G5938" s="14">
        <v>44608</v>
      </c>
      <c r="H5938" s="13" t="s">
        <v>35</v>
      </c>
    </row>
    <row r="5939" spans="1:8" ht="14.4" x14ac:dyDescent="0.3">
      <c r="A5939" s="8">
        <v>1969301</v>
      </c>
      <c r="B5939" s="11">
        <v>44606</v>
      </c>
      <c r="C5939" s="13" t="s">
        <v>392</v>
      </c>
      <c r="D5939" s="13" t="s">
        <v>1396</v>
      </c>
      <c r="E5939" s="8">
        <v>10000</v>
      </c>
      <c r="F5939" s="13" t="s">
        <v>70</v>
      </c>
      <c r="G5939" s="14">
        <v>44608</v>
      </c>
      <c r="H5939" s="13" t="s">
        <v>35</v>
      </c>
    </row>
    <row r="5940" spans="1:8" ht="14.4" x14ac:dyDescent="0.3">
      <c r="A5940" s="8">
        <v>1969302</v>
      </c>
      <c r="B5940" s="11">
        <v>44606</v>
      </c>
      <c r="C5940" s="13" t="s">
        <v>393</v>
      </c>
      <c r="D5940" s="13" t="s">
        <v>1396</v>
      </c>
      <c r="E5940" s="8">
        <v>5000</v>
      </c>
      <c r="F5940" s="13" t="s">
        <v>70</v>
      </c>
      <c r="G5940" s="14">
        <v>44608</v>
      </c>
      <c r="H5940" s="13" t="s">
        <v>35</v>
      </c>
    </row>
    <row r="5941" spans="1:8" ht="14.4" x14ac:dyDescent="0.3">
      <c r="A5941" s="8">
        <v>1969303</v>
      </c>
      <c r="B5941" s="11">
        <v>44606</v>
      </c>
      <c r="C5941" s="13" t="s">
        <v>75</v>
      </c>
      <c r="D5941" s="13" t="s">
        <v>1466</v>
      </c>
      <c r="E5941" s="8">
        <v>15000</v>
      </c>
      <c r="F5941" s="13" t="s">
        <v>70</v>
      </c>
      <c r="G5941" s="14">
        <v>44609</v>
      </c>
      <c r="H5941" s="13" t="s">
        <v>35</v>
      </c>
    </row>
    <row r="5942" spans="1:8" ht="14.4" x14ac:dyDescent="0.3">
      <c r="A5942" s="8">
        <v>1969304</v>
      </c>
      <c r="B5942" s="11">
        <v>44606</v>
      </c>
      <c r="C5942" s="13" t="s">
        <v>77</v>
      </c>
      <c r="D5942" s="13" t="s">
        <v>1466</v>
      </c>
      <c r="E5942" s="8">
        <v>10000</v>
      </c>
      <c r="F5942" s="13" t="s">
        <v>70</v>
      </c>
      <c r="G5942" s="14">
        <v>44609</v>
      </c>
      <c r="H5942" s="13" t="s">
        <v>35</v>
      </c>
    </row>
    <row r="5943" spans="1:8" ht="14.4" x14ac:dyDescent="0.3">
      <c r="A5943" s="8">
        <v>1969305</v>
      </c>
      <c r="B5943" s="11">
        <v>44606</v>
      </c>
      <c r="C5943" s="13" t="s">
        <v>78</v>
      </c>
      <c r="D5943" s="13" t="s">
        <v>1466</v>
      </c>
      <c r="E5943" s="8">
        <v>10000</v>
      </c>
      <c r="F5943" s="13" t="s">
        <v>70</v>
      </c>
      <c r="G5943" s="14">
        <v>44609</v>
      </c>
      <c r="H5943" s="13" t="s">
        <v>35</v>
      </c>
    </row>
    <row r="5944" spans="1:8" ht="14.4" x14ac:dyDescent="0.3">
      <c r="A5944" s="8">
        <v>1969307</v>
      </c>
      <c r="B5944" s="11">
        <v>44606</v>
      </c>
      <c r="C5944" s="13" t="s">
        <v>295</v>
      </c>
      <c r="D5944" s="13" t="s">
        <v>1466</v>
      </c>
      <c r="E5944" s="8">
        <v>20000</v>
      </c>
      <c r="F5944" s="13" t="s">
        <v>70</v>
      </c>
      <c r="G5944" s="14">
        <v>44609</v>
      </c>
      <c r="H5944" s="13" t="s">
        <v>35</v>
      </c>
    </row>
    <row r="5945" spans="1:8" ht="14.4" x14ac:dyDescent="0.3">
      <c r="A5945" s="8">
        <v>1969308</v>
      </c>
      <c r="B5945" s="11">
        <v>44606</v>
      </c>
      <c r="C5945" s="13" t="s">
        <v>303</v>
      </c>
      <c r="D5945" s="13" t="s">
        <v>1466</v>
      </c>
      <c r="E5945" s="8">
        <v>6000</v>
      </c>
      <c r="F5945" s="13" t="s">
        <v>70</v>
      </c>
      <c r="G5945" s="14">
        <v>44613</v>
      </c>
      <c r="H5945" s="13" t="s">
        <v>35</v>
      </c>
    </row>
    <row r="5946" spans="1:8" ht="14.4" x14ac:dyDescent="0.3">
      <c r="A5946" s="8">
        <v>1969309</v>
      </c>
      <c r="B5946" s="11">
        <v>44606</v>
      </c>
      <c r="C5946" s="13" t="s">
        <v>304</v>
      </c>
      <c r="D5946" s="13" t="s">
        <v>1466</v>
      </c>
      <c r="E5946" s="8">
        <v>5000</v>
      </c>
      <c r="F5946" s="13" t="s">
        <v>70</v>
      </c>
      <c r="G5946" s="14">
        <v>44609</v>
      </c>
      <c r="H5946" s="13" t="s">
        <v>35</v>
      </c>
    </row>
    <row r="5947" spans="1:8" ht="14.4" x14ac:dyDescent="0.3">
      <c r="A5947" s="8">
        <v>1969310</v>
      </c>
      <c r="B5947" s="11">
        <v>44606</v>
      </c>
      <c r="C5947" s="13" t="s">
        <v>305</v>
      </c>
      <c r="D5947" s="13" t="s">
        <v>1466</v>
      </c>
      <c r="E5947" s="8">
        <v>3000</v>
      </c>
      <c r="F5947" s="13" t="s">
        <v>70</v>
      </c>
      <c r="G5947" s="14">
        <v>44609</v>
      </c>
      <c r="H5947" s="13" t="s">
        <v>35</v>
      </c>
    </row>
    <row r="5948" spans="1:8" ht="14.4" x14ac:dyDescent="0.3">
      <c r="A5948" s="8">
        <v>1969311</v>
      </c>
      <c r="B5948" s="11">
        <v>44606</v>
      </c>
      <c r="C5948" s="13" t="s">
        <v>394</v>
      </c>
      <c r="D5948" s="13" t="s">
        <v>1396</v>
      </c>
      <c r="E5948" s="8">
        <v>3000</v>
      </c>
      <c r="F5948" s="13" t="s">
        <v>70</v>
      </c>
      <c r="G5948" s="14">
        <v>44608</v>
      </c>
      <c r="H5948" s="13" t="s">
        <v>35</v>
      </c>
    </row>
    <row r="5949" spans="1:8" ht="14.4" x14ac:dyDescent="0.3">
      <c r="A5949" s="8">
        <v>1969312</v>
      </c>
      <c r="B5949" s="11">
        <v>44606</v>
      </c>
      <c r="C5949" s="13" t="s">
        <v>7583</v>
      </c>
      <c r="D5949" s="13" t="s">
        <v>7584</v>
      </c>
      <c r="E5949" s="8">
        <v>97414</v>
      </c>
      <c r="F5949" s="13" t="s">
        <v>70</v>
      </c>
      <c r="G5949" s="14">
        <v>44610</v>
      </c>
      <c r="H5949" s="13" t="s">
        <v>35</v>
      </c>
    </row>
    <row r="5950" spans="1:8" ht="14.4" x14ac:dyDescent="0.3">
      <c r="A5950" s="8">
        <v>1969313</v>
      </c>
      <c r="B5950" s="11">
        <v>44606</v>
      </c>
      <c r="C5950" s="13" t="s">
        <v>410</v>
      </c>
      <c r="D5950" s="13" t="s">
        <v>1466</v>
      </c>
      <c r="E5950" s="8">
        <v>20000</v>
      </c>
      <c r="F5950" s="13" t="s">
        <v>70</v>
      </c>
      <c r="G5950" s="14">
        <v>44610</v>
      </c>
      <c r="H5950" s="13" t="s">
        <v>35</v>
      </c>
    </row>
    <row r="5951" spans="1:8" ht="14.4" x14ac:dyDescent="0.3">
      <c r="A5951" s="8">
        <v>1969314</v>
      </c>
      <c r="B5951" s="11">
        <v>44606</v>
      </c>
      <c r="C5951" s="13" t="s">
        <v>397</v>
      </c>
      <c r="D5951" s="13" t="s">
        <v>1466</v>
      </c>
      <c r="E5951" s="8">
        <v>10000</v>
      </c>
      <c r="F5951" s="13" t="s">
        <v>70</v>
      </c>
      <c r="G5951" s="14">
        <v>44610</v>
      </c>
      <c r="H5951" s="13" t="s">
        <v>35</v>
      </c>
    </row>
    <row r="5952" spans="1:8" ht="14.4" x14ac:dyDescent="0.3">
      <c r="A5952" s="8">
        <v>1969315</v>
      </c>
      <c r="B5952" s="11">
        <v>44606</v>
      </c>
      <c r="C5952" s="13" t="s">
        <v>398</v>
      </c>
      <c r="D5952" s="13" t="s">
        <v>1466</v>
      </c>
      <c r="E5952" s="8">
        <v>3000</v>
      </c>
      <c r="F5952" s="13" t="s">
        <v>70</v>
      </c>
      <c r="G5952" s="14">
        <v>44610</v>
      </c>
      <c r="H5952" s="13" t="s">
        <v>35</v>
      </c>
    </row>
    <row r="5953" spans="1:8" ht="14.4" x14ac:dyDescent="0.3">
      <c r="A5953" s="8">
        <v>1969316</v>
      </c>
      <c r="B5953" s="11">
        <v>44606</v>
      </c>
      <c r="C5953" s="13" t="s">
        <v>390</v>
      </c>
      <c r="D5953" s="13" t="s">
        <v>7585</v>
      </c>
      <c r="E5953" s="8">
        <v>20000</v>
      </c>
      <c r="F5953" s="13" t="s">
        <v>70</v>
      </c>
      <c r="G5953" s="14">
        <v>44608</v>
      </c>
      <c r="H5953" s="13" t="s">
        <v>35</v>
      </c>
    </row>
    <row r="5954" spans="1:8" ht="14.4" x14ac:dyDescent="0.3">
      <c r="A5954" s="8">
        <v>1969317</v>
      </c>
      <c r="B5954" s="11">
        <v>44606</v>
      </c>
      <c r="C5954" s="13" t="s">
        <v>387</v>
      </c>
      <c r="D5954" s="13" t="s">
        <v>7585</v>
      </c>
      <c r="E5954" s="8">
        <v>10000</v>
      </c>
      <c r="F5954" s="13" t="s">
        <v>70</v>
      </c>
      <c r="G5954" s="14">
        <v>44608</v>
      </c>
      <c r="H5954" s="13" t="s">
        <v>35</v>
      </c>
    </row>
    <row r="5955" spans="1:8" ht="14.4" x14ac:dyDescent="0.3">
      <c r="A5955" s="8">
        <v>1969318</v>
      </c>
      <c r="B5955" s="11">
        <v>44606</v>
      </c>
      <c r="C5955" s="13" t="s">
        <v>389</v>
      </c>
      <c r="D5955" s="13" t="s">
        <v>7585</v>
      </c>
      <c r="E5955" s="8">
        <v>5000</v>
      </c>
      <c r="F5955" s="13" t="s">
        <v>70</v>
      </c>
      <c r="G5955" s="14">
        <v>44608</v>
      </c>
      <c r="H5955" s="13" t="s">
        <v>35</v>
      </c>
    </row>
    <row r="5956" spans="1:8" ht="14.4" x14ac:dyDescent="0.3">
      <c r="A5956" s="8">
        <v>1969319</v>
      </c>
      <c r="B5956" s="11">
        <v>44606</v>
      </c>
      <c r="C5956" s="13" t="s">
        <v>217</v>
      </c>
      <c r="D5956" s="13" t="s">
        <v>7586</v>
      </c>
      <c r="E5956" s="8">
        <v>8723</v>
      </c>
      <c r="F5956" s="13" t="s">
        <v>70</v>
      </c>
      <c r="G5956" s="14">
        <v>44607</v>
      </c>
      <c r="H5956" s="13" t="s">
        <v>35</v>
      </c>
    </row>
    <row r="5957" spans="1:8" ht="14.4" x14ac:dyDescent="0.3">
      <c r="A5957" s="8">
        <v>1969320</v>
      </c>
      <c r="B5957" s="11">
        <v>44606</v>
      </c>
      <c r="C5957" s="13" t="s">
        <v>2755</v>
      </c>
      <c r="D5957" s="13" t="s">
        <v>1561</v>
      </c>
      <c r="E5957" s="8">
        <v>10000</v>
      </c>
      <c r="F5957" s="13" t="s">
        <v>70</v>
      </c>
      <c r="G5957" s="14">
        <v>44620</v>
      </c>
      <c r="H5957" s="13" t="s">
        <v>35</v>
      </c>
    </row>
    <row r="5958" spans="1:8" ht="14.4" x14ac:dyDescent="0.3">
      <c r="A5958" s="8">
        <v>1969321</v>
      </c>
      <c r="B5958" s="11">
        <v>44606</v>
      </c>
      <c r="C5958" s="13" t="s">
        <v>547</v>
      </c>
      <c r="D5958" s="13" t="s">
        <v>1561</v>
      </c>
      <c r="E5958" s="8">
        <v>3000</v>
      </c>
      <c r="F5958" s="13" t="s">
        <v>70</v>
      </c>
      <c r="G5958" s="14">
        <v>44620</v>
      </c>
      <c r="H5958" s="13" t="s">
        <v>35</v>
      </c>
    </row>
    <row r="5959" spans="1:8" ht="14.4" x14ac:dyDescent="0.3">
      <c r="A5959" s="8">
        <v>1969322</v>
      </c>
      <c r="B5959" s="11">
        <v>44606</v>
      </c>
      <c r="C5959" s="13" t="s">
        <v>548</v>
      </c>
      <c r="D5959" s="13" t="s">
        <v>1561</v>
      </c>
      <c r="E5959" s="8">
        <v>3000</v>
      </c>
      <c r="F5959" s="13" t="s">
        <v>70</v>
      </c>
      <c r="G5959" s="14">
        <v>44620</v>
      </c>
      <c r="H5959" s="13" t="s">
        <v>35</v>
      </c>
    </row>
    <row r="5960" spans="1:8" ht="14.4" x14ac:dyDescent="0.3">
      <c r="A5960" s="8">
        <v>1969323</v>
      </c>
      <c r="B5960" s="11">
        <v>44606</v>
      </c>
      <c r="C5960" s="13" t="s">
        <v>549</v>
      </c>
      <c r="D5960" s="13" t="s">
        <v>546</v>
      </c>
      <c r="E5960" s="8">
        <v>3000</v>
      </c>
      <c r="F5960" s="13" t="s">
        <v>70</v>
      </c>
      <c r="G5960" s="14">
        <v>44620</v>
      </c>
      <c r="H5960" s="13" t="s">
        <v>35</v>
      </c>
    </row>
    <row r="5961" spans="1:8" ht="14.4" x14ac:dyDescent="0.3">
      <c r="A5961" s="8">
        <v>1969324</v>
      </c>
      <c r="B5961" s="11">
        <v>44606</v>
      </c>
      <c r="C5961" s="13" t="s">
        <v>550</v>
      </c>
      <c r="D5961" s="13" t="s">
        <v>1561</v>
      </c>
      <c r="E5961" s="8">
        <v>3000</v>
      </c>
      <c r="F5961" s="13" t="s">
        <v>70</v>
      </c>
      <c r="G5961" s="14">
        <v>44620</v>
      </c>
      <c r="H5961" s="13" t="s">
        <v>35</v>
      </c>
    </row>
    <row r="5962" spans="1:8" ht="14.4" x14ac:dyDescent="0.3">
      <c r="A5962" s="8">
        <v>1969325</v>
      </c>
      <c r="B5962" s="11">
        <v>44606</v>
      </c>
      <c r="C5962" s="13" t="s">
        <v>553</v>
      </c>
      <c r="D5962" s="13" t="s">
        <v>1561</v>
      </c>
      <c r="E5962" s="8">
        <v>3000</v>
      </c>
      <c r="F5962" s="13" t="s">
        <v>70</v>
      </c>
      <c r="G5962" s="14">
        <v>44620</v>
      </c>
      <c r="H5962" s="13" t="s">
        <v>35</v>
      </c>
    </row>
    <row r="5963" spans="1:8" ht="14.4" x14ac:dyDescent="0.3">
      <c r="A5963" s="8">
        <v>1969326</v>
      </c>
      <c r="B5963" s="11">
        <v>44606</v>
      </c>
      <c r="C5963" s="13" t="s">
        <v>1563</v>
      </c>
      <c r="D5963" s="13" t="s">
        <v>1561</v>
      </c>
      <c r="E5963" s="8">
        <v>3000</v>
      </c>
      <c r="F5963" s="13" t="s">
        <v>70</v>
      </c>
      <c r="G5963" s="14">
        <v>44620</v>
      </c>
      <c r="H5963" s="13" t="s">
        <v>35</v>
      </c>
    </row>
    <row r="5964" spans="1:8" ht="14.4" x14ac:dyDescent="0.3">
      <c r="A5964" s="8">
        <v>1969327</v>
      </c>
      <c r="B5964" s="11">
        <v>44606</v>
      </c>
      <c r="C5964" s="13" t="s">
        <v>554</v>
      </c>
      <c r="D5964" s="13" t="s">
        <v>1561</v>
      </c>
      <c r="E5964" s="8">
        <v>3000</v>
      </c>
      <c r="F5964" s="13" t="s">
        <v>70</v>
      </c>
      <c r="G5964" s="14">
        <v>44620</v>
      </c>
      <c r="H5964" s="13" t="s">
        <v>35</v>
      </c>
    </row>
    <row r="5965" spans="1:8" ht="14.4" x14ac:dyDescent="0.3">
      <c r="A5965" s="8">
        <v>1969328</v>
      </c>
      <c r="B5965" s="11">
        <v>44606</v>
      </c>
      <c r="C5965" s="13" t="s">
        <v>555</v>
      </c>
      <c r="D5965" s="13" t="s">
        <v>1561</v>
      </c>
      <c r="E5965" s="8">
        <v>3000</v>
      </c>
      <c r="F5965" s="13" t="s">
        <v>70</v>
      </c>
      <c r="G5965" s="14">
        <v>44620</v>
      </c>
      <c r="H5965" s="13" t="s">
        <v>35</v>
      </c>
    </row>
    <row r="5966" spans="1:8" ht="14.4" x14ac:dyDescent="0.3">
      <c r="A5966" s="8">
        <v>1969329</v>
      </c>
      <c r="B5966" s="11">
        <v>44606</v>
      </c>
      <c r="C5966" s="13" t="s">
        <v>556</v>
      </c>
      <c r="D5966" s="13" t="s">
        <v>1561</v>
      </c>
      <c r="E5966" s="8">
        <v>3000</v>
      </c>
      <c r="F5966" s="13" t="s">
        <v>70</v>
      </c>
      <c r="G5966" s="14">
        <v>44620</v>
      </c>
      <c r="H5966" s="13" t="s">
        <v>35</v>
      </c>
    </row>
    <row r="5967" spans="1:8" ht="14.4" x14ac:dyDescent="0.3">
      <c r="A5967" s="8">
        <v>1969330</v>
      </c>
      <c r="B5967" s="11">
        <v>44606</v>
      </c>
      <c r="C5967" s="13" t="s">
        <v>557</v>
      </c>
      <c r="D5967" s="13" t="s">
        <v>1561</v>
      </c>
      <c r="E5967" s="8">
        <v>3000</v>
      </c>
      <c r="F5967" s="13" t="s">
        <v>70</v>
      </c>
      <c r="G5967" s="14">
        <v>44620</v>
      </c>
      <c r="H5967" s="13" t="s">
        <v>35</v>
      </c>
    </row>
    <row r="5968" spans="1:8" ht="14.4" x14ac:dyDescent="0.3">
      <c r="A5968" s="8">
        <v>1969331</v>
      </c>
      <c r="B5968" s="11">
        <v>44606</v>
      </c>
      <c r="C5968" s="13" t="s">
        <v>558</v>
      </c>
      <c r="D5968" s="13" t="s">
        <v>1561</v>
      </c>
      <c r="E5968" s="8">
        <v>3000</v>
      </c>
      <c r="F5968" s="13" t="s">
        <v>70</v>
      </c>
      <c r="G5968" s="14">
        <v>44620</v>
      </c>
      <c r="H5968" s="13" t="s">
        <v>35</v>
      </c>
    </row>
    <row r="5969" spans="1:8" ht="14.4" x14ac:dyDescent="0.3">
      <c r="A5969" s="8">
        <v>1969332</v>
      </c>
      <c r="B5969" s="11">
        <v>44606</v>
      </c>
      <c r="C5969" s="13" t="s">
        <v>559</v>
      </c>
      <c r="D5969" s="13" t="s">
        <v>1561</v>
      </c>
      <c r="E5969" s="8">
        <v>3000</v>
      </c>
      <c r="F5969" s="13" t="s">
        <v>70</v>
      </c>
      <c r="G5969" s="14">
        <v>44620</v>
      </c>
      <c r="H5969" s="13" t="s">
        <v>35</v>
      </c>
    </row>
    <row r="5970" spans="1:8" ht="14.4" x14ac:dyDescent="0.3">
      <c r="A5970" s="8">
        <v>1969333</v>
      </c>
      <c r="B5970" s="11">
        <v>44606</v>
      </c>
      <c r="C5970" s="13" t="s">
        <v>83</v>
      </c>
      <c r="D5970" s="13" t="s">
        <v>7388</v>
      </c>
      <c r="E5970" s="8">
        <v>10000</v>
      </c>
      <c r="F5970" s="13" t="s">
        <v>70</v>
      </c>
      <c r="G5970" s="14">
        <v>44609</v>
      </c>
      <c r="H5970" s="13" t="s">
        <v>35</v>
      </c>
    </row>
    <row r="5971" spans="1:8" ht="14.4" x14ac:dyDescent="0.3">
      <c r="A5971" s="8">
        <v>1969334</v>
      </c>
      <c r="B5971" s="11">
        <v>44606</v>
      </c>
      <c r="C5971" s="13" t="s">
        <v>7587</v>
      </c>
      <c r="D5971" s="13" t="s">
        <v>7588</v>
      </c>
      <c r="E5971" s="8">
        <v>25000</v>
      </c>
      <c r="F5971" s="13" t="s">
        <v>70</v>
      </c>
      <c r="G5971" s="14">
        <v>44610</v>
      </c>
      <c r="H5971" s="13" t="s">
        <v>35</v>
      </c>
    </row>
    <row r="5972" spans="1:8" ht="14.4" x14ac:dyDescent="0.3">
      <c r="A5972" s="8">
        <v>1969335</v>
      </c>
      <c r="B5972" s="11">
        <v>44606</v>
      </c>
      <c r="C5972" s="13" t="s">
        <v>7589</v>
      </c>
      <c r="D5972" s="13" t="s">
        <v>7590</v>
      </c>
      <c r="E5972" s="8">
        <v>10000</v>
      </c>
      <c r="F5972" s="13" t="s">
        <v>70</v>
      </c>
      <c r="G5972" s="14">
        <v>44608</v>
      </c>
      <c r="H5972" s="13" t="s">
        <v>35</v>
      </c>
    </row>
    <row r="5973" spans="1:8" ht="14.4" x14ac:dyDescent="0.3">
      <c r="A5973" s="8">
        <v>1969336</v>
      </c>
      <c r="B5973" s="11">
        <v>44606</v>
      </c>
      <c r="C5973" s="13" t="s">
        <v>7591</v>
      </c>
      <c r="D5973" s="13" t="s">
        <v>7592</v>
      </c>
      <c r="E5973" s="8">
        <v>40000</v>
      </c>
      <c r="F5973" s="13" t="s">
        <v>70</v>
      </c>
      <c r="G5973" s="14">
        <v>44608</v>
      </c>
      <c r="H5973" s="13" t="s">
        <v>35</v>
      </c>
    </row>
    <row r="5974" spans="1:8" ht="14.4" x14ac:dyDescent="0.3">
      <c r="A5974" s="8">
        <v>1969337</v>
      </c>
      <c r="B5974" s="11">
        <v>44606</v>
      </c>
      <c r="C5974" s="13" t="s">
        <v>7593</v>
      </c>
      <c r="D5974" s="13" t="s">
        <v>7594</v>
      </c>
      <c r="E5974" s="8">
        <v>40000</v>
      </c>
      <c r="F5974" s="13" t="s">
        <v>70</v>
      </c>
      <c r="G5974" s="14">
        <v>44608</v>
      </c>
      <c r="H5974" s="13" t="s">
        <v>35</v>
      </c>
    </row>
    <row r="5975" spans="1:8" ht="14.4" x14ac:dyDescent="0.3">
      <c r="A5975" s="8">
        <v>1969338</v>
      </c>
      <c r="B5975" s="11">
        <v>44606</v>
      </c>
      <c r="C5975" s="13" t="s">
        <v>7595</v>
      </c>
      <c r="D5975" s="13" t="s">
        <v>7596</v>
      </c>
      <c r="E5975" s="8">
        <v>50000</v>
      </c>
      <c r="F5975" s="13" t="s">
        <v>70</v>
      </c>
      <c r="G5975" s="14">
        <v>44608</v>
      </c>
      <c r="H5975" s="13" t="s">
        <v>35</v>
      </c>
    </row>
    <row r="5976" spans="1:8" ht="14.4" x14ac:dyDescent="0.3">
      <c r="A5976" s="8">
        <v>1969339</v>
      </c>
      <c r="B5976" s="11">
        <v>44606</v>
      </c>
      <c r="C5976" s="13" t="s">
        <v>7597</v>
      </c>
      <c r="D5976" s="13" t="s">
        <v>7598</v>
      </c>
      <c r="E5976" s="8">
        <v>43000</v>
      </c>
      <c r="F5976" s="13" t="s">
        <v>70</v>
      </c>
      <c r="G5976" s="14">
        <v>44608</v>
      </c>
      <c r="H5976" s="13" t="s">
        <v>35</v>
      </c>
    </row>
    <row r="5977" spans="1:8" ht="14.4" x14ac:dyDescent="0.3">
      <c r="A5977" s="8">
        <v>1969340</v>
      </c>
      <c r="B5977" s="11">
        <v>44606</v>
      </c>
      <c r="C5977" s="13" t="s">
        <v>7599</v>
      </c>
      <c r="D5977" s="13" t="s">
        <v>7600</v>
      </c>
      <c r="E5977" s="8">
        <v>9000</v>
      </c>
      <c r="F5977" s="13" t="s">
        <v>70</v>
      </c>
      <c r="G5977" s="14">
        <v>44608</v>
      </c>
      <c r="H5977" s="13" t="s">
        <v>35</v>
      </c>
    </row>
    <row r="5978" spans="1:8" ht="14.4" x14ac:dyDescent="0.3">
      <c r="A5978" s="8">
        <v>1969342</v>
      </c>
      <c r="B5978" s="11">
        <v>44606</v>
      </c>
      <c r="C5978" s="13" t="s">
        <v>7601</v>
      </c>
      <c r="D5978" s="13" t="s">
        <v>7602</v>
      </c>
      <c r="E5978" s="8">
        <v>6000</v>
      </c>
      <c r="F5978" s="13" t="s">
        <v>70</v>
      </c>
      <c r="G5978" s="14">
        <v>44608</v>
      </c>
      <c r="H5978" s="13" t="s">
        <v>35</v>
      </c>
    </row>
    <row r="5979" spans="1:8" ht="14.4" x14ac:dyDescent="0.3">
      <c r="A5979" s="8">
        <v>1969343</v>
      </c>
      <c r="B5979" s="11">
        <v>44606</v>
      </c>
      <c r="C5979" s="13" t="s">
        <v>7603</v>
      </c>
      <c r="D5979" s="13" t="s">
        <v>7604</v>
      </c>
      <c r="E5979" s="8">
        <v>30000</v>
      </c>
      <c r="F5979" s="13" t="s">
        <v>70</v>
      </c>
      <c r="G5979" s="14">
        <v>44608</v>
      </c>
      <c r="H5979" s="13" t="s">
        <v>35</v>
      </c>
    </row>
    <row r="5980" spans="1:8" ht="14.4" x14ac:dyDescent="0.3">
      <c r="A5980" s="8">
        <v>1969344</v>
      </c>
      <c r="B5980" s="11">
        <v>44606</v>
      </c>
      <c r="C5980" s="13" t="s">
        <v>7605</v>
      </c>
      <c r="D5980" s="13" t="s">
        <v>7606</v>
      </c>
      <c r="E5980" s="8">
        <v>7000</v>
      </c>
      <c r="F5980" s="13" t="s">
        <v>70</v>
      </c>
      <c r="G5980" s="14">
        <v>44609</v>
      </c>
      <c r="H5980" s="13" t="s">
        <v>35</v>
      </c>
    </row>
    <row r="5981" spans="1:8" ht="14.4" x14ac:dyDescent="0.3">
      <c r="A5981" s="8">
        <v>1969345</v>
      </c>
      <c r="B5981" s="11">
        <v>44606</v>
      </c>
      <c r="C5981" s="13" t="s">
        <v>7607</v>
      </c>
      <c r="D5981" s="13" t="s">
        <v>7608</v>
      </c>
      <c r="E5981" s="8">
        <v>18000</v>
      </c>
      <c r="F5981" s="13" t="s">
        <v>70</v>
      </c>
      <c r="G5981" s="14">
        <v>44609</v>
      </c>
      <c r="H5981" s="13" t="s">
        <v>35</v>
      </c>
    </row>
    <row r="5982" spans="1:8" ht="14.4" x14ac:dyDescent="0.3">
      <c r="A5982" s="8">
        <v>1969346</v>
      </c>
      <c r="B5982" s="11">
        <v>44606</v>
      </c>
      <c r="C5982" s="13" t="s">
        <v>7609</v>
      </c>
      <c r="D5982" s="13" t="s">
        <v>7610</v>
      </c>
      <c r="E5982" s="8">
        <v>43000</v>
      </c>
      <c r="F5982" s="13" t="s">
        <v>70</v>
      </c>
      <c r="G5982" s="14">
        <v>44609</v>
      </c>
      <c r="H5982" s="13" t="s">
        <v>35</v>
      </c>
    </row>
    <row r="5983" spans="1:8" ht="14.4" x14ac:dyDescent="0.3">
      <c r="A5983" s="8">
        <v>1969347</v>
      </c>
      <c r="B5983" s="11">
        <v>44606</v>
      </c>
      <c r="C5983" s="13" t="s">
        <v>7611</v>
      </c>
      <c r="D5983" s="13" t="s">
        <v>7612</v>
      </c>
      <c r="E5983" s="8">
        <v>20000</v>
      </c>
      <c r="F5983" s="13" t="s">
        <v>70</v>
      </c>
      <c r="G5983" s="14">
        <v>44609</v>
      </c>
      <c r="H5983" s="13" t="s">
        <v>35</v>
      </c>
    </row>
    <row r="5984" spans="1:8" ht="14.4" x14ac:dyDescent="0.3">
      <c r="A5984" s="8">
        <v>1969348</v>
      </c>
      <c r="B5984" s="11">
        <v>44606</v>
      </c>
      <c r="C5984" s="13" t="s">
        <v>7613</v>
      </c>
      <c r="D5984" s="13" t="s">
        <v>7614</v>
      </c>
      <c r="E5984" s="8">
        <v>10000</v>
      </c>
      <c r="F5984" s="13" t="s">
        <v>70</v>
      </c>
      <c r="G5984" s="14">
        <v>44609</v>
      </c>
      <c r="H5984" s="13" t="s">
        <v>35</v>
      </c>
    </row>
    <row r="5985" spans="1:8" ht="14.4" x14ac:dyDescent="0.3">
      <c r="A5985" s="8">
        <v>1969349</v>
      </c>
      <c r="B5985" s="11">
        <v>44606</v>
      </c>
      <c r="C5985" s="13" t="s">
        <v>7615</v>
      </c>
      <c r="D5985" s="13" t="s">
        <v>7616</v>
      </c>
      <c r="E5985" s="8">
        <v>10000</v>
      </c>
      <c r="F5985" s="13" t="s">
        <v>70</v>
      </c>
      <c r="G5985" s="14">
        <v>44608</v>
      </c>
      <c r="H5985" s="13" t="s">
        <v>35</v>
      </c>
    </row>
    <row r="5986" spans="1:8" ht="14.4" x14ac:dyDescent="0.3">
      <c r="A5986" s="8">
        <v>1969350</v>
      </c>
      <c r="B5986" s="11">
        <v>44606</v>
      </c>
      <c r="C5986" s="13" t="s">
        <v>7617</v>
      </c>
      <c r="D5986" s="13" t="s">
        <v>7618</v>
      </c>
      <c r="E5986" s="8">
        <v>10000</v>
      </c>
      <c r="F5986" s="13" t="s">
        <v>70</v>
      </c>
      <c r="G5986" s="14">
        <v>44613</v>
      </c>
      <c r="H5986" s="13" t="s">
        <v>35</v>
      </c>
    </row>
    <row r="5987" spans="1:8" ht="14.4" x14ac:dyDescent="0.3">
      <c r="A5987" s="8">
        <v>1969351</v>
      </c>
      <c r="B5987" s="11">
        <v>44606</v>
      </c>
      <c r="C5987" s="13" t="s">
        <v>7619</v>
      </c>
      <c r="D5987" s="13" t="s">
        <v>7620</v>
      </c>
      <c r="E5987" s="8">
        <v>12000</v>
      </c>
      <c r="F5987" s="13" t="s">
        <v>70</v>
      </c>
      <c r="G5987" s="14">
        <v>44609</v>
      </c>
      <c r="H5987" s="13" t="s">
        <v>35</v>
      </c>
    </row>
    <row r="5988" spans="1:8" ht="14.4" x14ac:dyDescent="0.3">
      <c r="A5988" s="8">
        <v>1969352</v>
      </c>
      <c r="B5988" s="11">
        <v>44606</v>
      </c>
      <c r="C5988" s="13" t="s">
        <v>669</v>
      </c>
      <c r="D5988" s="13" t="s">
        <v>7621</v>
      </c>
      <c r="E5988" s="8">
        <v>150000</v>
      </c>
      <c r="F5988" s="13" t="s">
        <v>70</v>
      </c>
      <c r="G5988" s="14">
        <v>44609</v>
      </c>
      <c r="H5988" s="13" t="s">
        <v>35</v>
      </c>
    </row>
    <row r="5989" spans="1:8" ht="14.4" x14ac:dyDescent="0.3">
      <c r="A5989" s="8">
        <v>1969353</v>
      </c>
      <c r="B5989" s="11">
        <v>44606</v>
      </c>
      <c r="C5989" s="13" t="s">
        <v>74</v>
      </c>
      <c r="D5989" s="13" t="s">
        <v>7622</v>
      </c>
      <c r="E5989" s="8">
        <v>18000</v>
      </c>
      <c r="F5989" s="13" t="s">
        <v>70</v>
      </c>
      <c r="G5989" s="14">
        <v>44609</v>
      </c>
      <c r="H5989" s="13" t="s">
        <v>35</v>
      </c>
    </row>
    <row r="5990" spans="1:8" ht="14.4" x14ac:dyDescent="0.3">
      <c r="A5990" s="8">
        <v>1969354</v>
      </c>
      <c r="B5990" s="11">
        <v>44606</v>
      </c>
      <c r="C5990" s="13" t="s">
        <v>506</v>
      </c>
      <c r="D5990" s="13" t="s">
        <v>7621</v>
      </c>
      <c r="E5990" s="8">
        <v>101000</v>
      </c>
      <c r="F5990" s="13" t="s">
        <v>70</v>
      </c>
      <c r="G5990" s="14">
        <v>44609</v>
      </c>
      <c r="H5990" s="13" t="s">
        <v>35</v>
      </c>
    </row>
    <row r="5991" spans="1:8" ht="14.4" x14ac:dyDescent="0.3">
      <c r="A5991" s="8">
        <v>1969355</v>
      </c>
      <c r="B5991" s="11">
        <v>44606</v>
      </c>
      <c r="C5991" s="13" t="s">
        <v>1193</v>
      </c>
      <c r="D5991" s="13" t="s">
        <v>7623</v>
      </c>
      <c r="E5991" s="8">
        <v>20000</v>
      </c>
      <c r="F5991" s="13" t="s">
        <v>70</v>
      </c>
      <c r="G5991" s="14">
        <v>44609</v>
      </c>
      <c r="H5991" s="13" t="s">
        <v>35</v>
      </c>
    </row>
    <row r="5992" spans="1:8" ht="14.4" x14ac:dyDescent="0.3">
      <c r="A5992" s="8">
        <v>1969356</v>
      </c>
      <c r="B5992" s="11">
        <v>44606</v>
      </c>
      <c r="C5992" s="13" t="s">
        <v>7624</v>
      </c>
      <c r="D5992" s="13" t="s">
        <v>7625</v>
      </c>
      <c r="E5992" s="8">
        <v>32700</v>
      </c>
      <c r="F5992" s="13" t="s">
        <v>70</v>
      </c>
      <c r="G5992" s="14">
        <v>44608</v>
      </c>
      <c r="H5992" s="13" t="s">
        <v>35</v>
      </c>
    </row>
    <row r="5993" spans="1:8" ht="14.4" x14ac:dyDescent="0.3">
      <c r="A5993" s="8">
        <v>1969357</v>
      </c>
      <c r="B5993" s="11">
        <v>44606</v>
      </c>
      <c r="C5993" s="13" t="s">
        <v>7626</v>
      </c>
      <c r="D5993" s="13" t="s">
        <v>7627</v>
      </c>
      <c r="E5993" s="8">
        <v>20000</v>
      </c>
      <c r="F5993" s="13" t="s">
        <v>70</v>
      </c>
      <c r="G5993" s="14">
        <v>44608</v>
      </c>
      <c r="H5993" s="13" t="s">
        <v>35</v>
      </c>
    </row>
    <row r="5994" spans="1:8" ht="14.4" x14ac:dyDescent="0.3">
      <c r="A5994" s="8">
        <v>1969358</v>
      </c>
      <c r="B5994" s="11">
        <v>44606</v>
      </c>
      <c r="C5994" s="13" t="s">
        <v>7628</v>
      </c>
      <c r="D5994" s="13" t="s">
        <v>7629</v>
      </c>
      <c r="E5994" s="8">
        <v>50000</v>
      </c>
      <c r="F5994" s="13" t="s">
        <v>70</v>
      </c>
      <c r="G5994" s="14">
        <v>44607</v>
      </c>
      <c r="H5994" s="13" t="s">
        <v>35</v>
      </c>
    </row>
    <row r="5995" spans="1:8" ht="14.4" x14ac:dyDescent="0.3">
      <c r="A5995" s="8">
        <v>1969359</v>
      </c>
      <c r="B5995" s="11">
        <v>44606</v>
      </c>
      <c r="C5995" s="13" t="s">
        <v>7630</v>
      </c>
      <c r="D5995" s="13" t="s">
        <v>7631</v>
      </c>
      <c r="E5995" s="8">
        <v>6000</v>
      </c>
      <c r="F5995" s="13" t="s">
        <v>70</v>
      </c>
      <c r="G5995" s="14">
        <v>44608</v>
      </c>
      <c r="H5995" s="13" t="s">
        <v>35</v>
      </c>
    </row>
    <row r="5996" spans="1:8" ht="14.4" x14ac:dyDescent="0.3">
      <c r="A5996" s="8">
        <v>1969360</v>
      </c>
      <c r="B5996" s="11">
        <v>44606</v>
      </c>
      <c r="C5996" s="13" t="s">
        <v>1540</v>
      </c>
      <c r="D5996" s="13" t="s">
        <v>7632</v>
      </c>
      <c r="E5996" s="8">
        <v>1817229.94</v>
      </c>
      <c r="F5996" s="13" t="s">
        <v>70</v>
      </c>
      <c r="G5996" s="14">
        <v>44613</v>
      </c>
      <c r="H5996" s="13" t="s">
        <v>35</v>
      </c>
    </row>
    <row r="5997" spans="1:8" ht="14.4" x14ac:dyDescent="0.3">
      <c r="A5997" s="8">
        <v>1969361</v>
      </c>
      <c r="B5997" s="11">
        <v>44606</v>
      </c>
      <c r="C5997" s="13" t="s">
        <v>7633</v>
      </c>
      <c r="D5997" s="13" t="s">
        <v>7634</v>
      </c>
      <c r="E5997" s="8">
        <v>63600</v>
      </c>
      <c r="F5997" s="13" t="s">
        <v>70</v>
      </c>
      <c r="G5997" s="14">
        <v>44609</v>
      </c>
      <c r="H5997" s="13" t="s">
        <v>35</v>
      </c>
    </row>
    <row r="5998" spans="1:8" ht="14.4" x14ac:dyDescent="0.3">
      <c r="A5998" s="8">
        <v>1969362</v>
      </c>
      <c r="B5998" s="11">
        <v>44606</v>
      </c>
      <c r="C5998" s="13" t="s">
        <v>7635</v>
      </c>
      <c r="D5998" s="13" t="s">
        <v>7636</v>
      </c>
      <c r="E5998" s="8">
        <v>2450</v>
      </c>
      <c r="F5998" s="13" t="s">
        <v>70</v>
      </c>
      <c r="G5998" s="14">
        <v>44621</v>
      </c>
      <c r="H5998" s="13" t="s">
        <v>35</v>
      </c>
    </row>
    <row r="5999" spans="1:8" ht="14.4" x14ac:dyDescent="0.3">
      <c r="A5999" s="8">
        <v>1969363</v>
      </c>
      <c r="B5999" s="11">
        <v>44606</v>
      </c>
      <c r="C5999" s="13" t="s">
        <v>7637</v>
      </c>
      <c r="D5999" s="13" t="s">
        <v>7638</v>
      </c>
      <c r="E5999" s="8">
        <v>3380.2</v>
      </c>
      <c r="F5999" s="13" t="s">
        <v>70</v>
      </c>
      <c r="G5999" s="14">
        <v>44609</v>
      </c>
      <c r="H5999" s="13" t="s">
        <v>35</v>
      </c>
    </row>
    <row r="6000" spans="1:8" ht="14.4" x14ac:dyDescent="0.3">
      <c r="A6000" s="8">
        <v>1969364</v>
      </c>
      <c r="B6000" s="11">
        <v>44606</v>
      </c>
      <c r="C6000" s="13" t="s">
        <v>202</v>
      </c>
      <c r="D6000" s="13" t="s">
        <v>7638</v>
      </c>
      <c r="E6000" s="8">
        <v>27734.02</v>
      </c>
      <c r="F6000" s="13" t="s">
        <v>70</v>
      </c>
      <c r="G6000" s="14">
        <v>44614</v>
      </c>
      <c r="H6000" s="13" t="s">
        <v>35</v>
      </c>
    </row>
    <row r="6001" spans="1:8" ht="14.4" x14ac:dyDescent="0.3">
      <c r="A6001" s="8">
        <v>1969365</v>
      </c>
      <c r="B6001" s="11">
        <v>44606</v>
      </c>
      <c r="C6001" s="13" t="s">
        <v>201</v>
      </c>
      <c r="D6001" s="13" t="s">
        <v>7639</v>
      </c>
      <c r="E6001" s="8">
        <v>1262.06</v>
      </c>
      <c r="F6001" s="13" t="s">
        <v>70</v>
      </c>
      <c r="G6001" s="14">
        <v>44616</v>
      </c>
      <c r="H6001" s="13" t="s">
        <v>35</v>
      </c>
    </row>
    <row r="6002" spans="1:8" ht="14.4" x14ac:dyDescent="0.3">
      <c r="A6002" s="8">
        <v>1969367</v>
      </c>
      <c r="B6002" s="11">
        <v>44606</v>
      </c>
      <c r="C6002" s="13" t="s">
        <v>1524</v>
      </c>
      <c r="D6002" s="13" t="s">
        <v>7640</v>
      </c>
      <c r="E6002" s="8">
        <v>1415.6</v>
      </c>
      <c r="F6002" s="13" t="s">
        <v>70</v>
      </c>
      <c r="G6002" s="14">
        <v>44621</v>
      </c>
      <c r="H6002" s="13" t="s">
        <v>35</v>
      </c>
    </row>
    <row r="6003" spans="1:8" ht="14.4" x14ac:dyDescent="0.3">
      <c r="A6003" s="8">
        <v>1969368</v>
      </c>
      <c r="B6003" s="11">
        <v>44606</v>
      </c>
      <c r="C6003" s="13" t="s">
        <v>1536</v>
      </c>
      <c r="D6003" s="13" t="s">
        <v>7641</v>
      </c>
      <c r="E6003" s="8">
        <v>20000</v>
      </c>
      <c r="F6003" s="13" t="s">
        <v>70</v>
      </c>
      <c r="G6003" s="14">
        <v>44609</v>
      </c>
      <c r="H6003" s="13" t="s">
        <v>35</v>
      </c>
    </row>
    <row r="6004" spans="1:8" ht="14.4" x14ac:dyDescent="0.3">
      <c r="A6004" s="8">
        <v>1969369</v>
      </c>
      <c r="B6004" s="11">
        <v>44606</v>
      </c>
      <c r="C6004" s="13" t="s">
        <v>2307</v>
      </c>
      <c r="D6004" s="13" t="s">
        <v>7642</v>
      </c>
      <c r="E6004" s="8">
        <v>20000</v>
      </c>
      <c r="F6004" s="13" t="s">
        <v>70</v>
      </c>
      <c r="G6004" s="14">
        <v>44609</v>
      </c>
      <c r="H6004" s="13" t="s">
        <v>35</v>
      </c>
    </row>
    <row r="6005" spans="1:8" ht="14.4" x14ac:dyDescent="0.3">
      <c r="A6005" s="8">
        <v>1969371</v>
      </c>
      <c r="B6005" s="11">
        <v>44606</v>
      </c>
      <c r="C6005" s="13" t="s">
        <v>1531</v>
      </c>
      <c r="D6005" s="13" t="s">
        <v>7643</v>
      </c>
      <c r="E6005" s="8">
        <v>3046.87</v>
      </c>
      <c r="F6005" s="13" t="s">
        <v>70</v>
      </c>
      <c r="G6005" s="14">
        <v>44613</v>
      </c>
      <c r="H6005" s="13" t="s">
        <v>35</v>
      </c>
    </row>
    <row r="6006" spans="1:8" ht="14.4" x14ac:dyDescent="0.3">
      <c r="A6006" s="8">
        <v>1969372</v>
      </c>
      <c r="B6006" s="11">
        <v>44606</v>
      </c>
      <c r="C6006" s="13" t="s">
        <v>3525</v>
      </c>
      <c r="D6006" s="13" t="s">
        <v>7644</v>
      </c>
      <c r="E6006" s="8">
        <v>85360</v>
      </c>
      <c r="F6006" s="13" t="s">
        <v>70</v>
      </c>
      <c r="G6006" s="14">
        <v>44622</v>
      </c>
      <c r="H6006" s="13" t="s">
        <v>35</v>
      </c>
    </row>
    <row r="6007" spans="1:8" ht="14.4" x14ac:dyDescent="0.3">
      <c r="A6007" s="8">
        <v>1969373</v>
      </c>
      <c r="B6007" s="11">
        <v>44606</v>
      </c>
      <c r="C6007" s="13" t="s">
        <v>1726</v>
      </c>
      <c r="D6007" s="13" t="s">
        <v>7645</v>
      </c>
      <c r="E6007" s="8">
        <v>48500</v>
      </c>
      <c r="F6007" s="13" t="s">
        <v>70</v>
      </c>
      <c r="G6007" s="14">
        <v>44608</v>
      </c>
      <c r="H6007" s="13" t="s">
        <v>35</v>
      </c>
    </row>
    <row r="6008" spans="1:8" ht="14.4" x14ac:dyDescent="0.3">
      <c r="A6008" s="8">
        <v>1969374</v>
      </c>
      <c r="B6008" s="11">
        <v>44606</v>
      </c>
      <c r="C6008" s="13" t="s">
        <v>2102</v>
      </c>
      <c r="D6008" s="13" t="s">
        <v>7621</v>
      </c>
      <c r="E6008" s="8">
        <v>55500</v>
      </c>
      <c r="F6008" s="13" t="s">
        <v>70</v>
      </c>
      <c r="G6008" s="14">
        <v>44624</v>
      </c>
      <c r="H6008" s="13" t="s">
        <v>35</v>
      </c>
    </row>
    <row r="6009" spans="1:8" ht="14.4" x14ac:dyDescent="0.3">
      <c r="A6009" s="8">
        <v>1969375</v>
      </c>
      <c r="B6009" s="11">
        <v>44606</v>
      </c>
      <c r="C6009" s="13" t="s">
        <v>265</v>
      </c>
      <c r="D6009" s="13" t="s">
        <v>7646</v>
      </c>
      <c r="E6009" s="8">
        <v>153488.95000000001</v>
      </c>
      <c r="F6009" s="13" t="s">
        <v>70</v>
      </c>
      <c r="G6009" s="14">
        <v>44610</v>
      </c>
      <c r="H6009" s="13" t="s">
        <v>35</v>
      </c>
    </row>
    <row r="6010" spans="1:8" ht="14.4" x14ac:dyDescent="0.3">
      <c r="A6010" s="8">
        <v>1969376</v>
      </c>
      <c r="B6010" s="11">
        <v>44607</v>
      </c>
      <c r="C6010" s="13" t="s">
        <v>159</v>
      </c>
      <c r="D6010" s="13" t="s">
        <v>3004</v>
      </c>
      <c r="E6010" s="8">
        <v>288300</v>
      </c>
      <c r="F6010" s="13" t="s">
        <v>70</v>
      </c>
      <c r="G6010" s="14">
        <v>44607</v>
      </c>
      <c r="H6010" s="13" t="s">
        <v>35</v>
      </c>
    </row>
    <row r="6011" spans="1:8" ht="14.4" x14ac:dyDescent="0.3">
      <c r="A6011" s="8">
        <v>1969378</v>
      </c>
      <c r="B6011" s="11">
        <v>44607</v>
      </c>
      <c r="C6011" s="13" t="s">
        <v>2438</v>
      </c>
      <c r="D6011" s="13" t="s">
        <v>7647</v>
      </c>
      <c r="E6011" s="8">
        <v>11877.68</v>
      </c>
      <c r="F6011" s="13" t="s">
        <v>70</v>
      </c>
      <c r="G6011" s="14">
        <v>44624</v>
      </c>
      <c r="H6011" s="13" t="s">
        <v>35</v>
      </c>
    </row>
    <row r="6012" spans="1:8" ht="14.4" x14ac:dyDescent="0.3">
      <c r="A6012" s="8">
        <v>1969379</v>
      </c>
      <c r="B6012" s="11">
        <v>44607</v>
      </c>
      <c r="C6012" s="13" t="s">
        <v>7648</v>
      </c>
      <c r="D6012" s="13" t="s">
        <v>7649</v>
      </c>
      <c r="E6012" s="8">
        <v>30000</v>
      </c>
      <c r="F6012" s="13" t="s">
        <v>70</v>
      </c>
      <c r="G6012" s="14">
        <v>44613</v>
      </c>
      <c r="H6012" s="13" t="s">
        <v>35</v>
      </c>
    </row>
    <row r="6013" spans="1:8" ht="14.4" x14ac:dyDescent="0.3">
      <c r="A6013" s="8">
        <v>1969380</v>
      </c>
      <c r="B6013" s="11">
        <v>44607</v>
      </c>
      <c r="C6013" s="13" t="s">
        <v>7650</v>
      </c>
      <c r="D6013" s="13" t="s">
        <v>7651</v>
      </c>
      <c r="E6013" s="8">
        <v>17000</v>
      </c>
      <c r="F6013" s="13" t="s">
        <v>70</v>
      </c>
      <c r="G6013" s="14">
        <v>44609</v>
      </c>
      <c r="H6013" s="13" t="s">
        <v>35</v>
      </c>
    </row>
    <row r="6014" spans="1:8" ht="14.4" x14ac:dyDescent="0.3">
      <c r="A6014" s="8">
        <v>1969381</v>
      </c>
      <c r="B6014" s="11">
        <v>44607</v>
      </c>
      <c r="C6014" s="13" t="s">
        <v>7652</v>
      </c>
      <c r="D6014" s="13" t="s">
        <v>7653</v>
      </c>
      <c r="E6014" s="8">
        <v>10000</v>
      </c>
      <c r="F6014" s="13" t="s">
        <v>70</v>
      </c>
      <c r="G6014" s="14">
        <v>44609</v>
      </c>
      <c r="H6014" s="13" t="s">
        <v>35</v>
      </c>
    </row>
    <row r="6015" spans="1:8" ht="14.4" x14ac:dyDescent="0.3">
      <c r="A6015" s="8">
        <v>1969382</v>
      </c>
      <c r="B6015" s="11">
        <v>44607</v>
      </c>
      <c r="C6015" s="13" t="s">
        <v>7654</v>
      </c>
      <c r="D6015" s="13" t="s">
        <v>7655</v>
      </c>
      <c r="E6015" s="8">
        <v>8000</v>
      </c>
      <c r="F6015" s="13" t="s">
        <v>70</v>
      </c>
      <c r="G6015" s="14">
        <v>44613</v>
      </c>
      <c r="H6015" s="13" t="s">
        <v>35</v>
      </c>
    </row>
    <row r="6016" spans="1:8" ht="14.4" x14ac:dyDescent="0.3">
      <c r="A6016" s="8">
        <v>1969383</v>
      </c>
      <c r="B6016" s="11">
        <v>44607</v>
      </c>
      <c r="C6016" s="13" t="s">
        <v>7656</v>
      </c>
      <c r="D6016" s="13" t="s">
        <v>7657</v>
      </c>
      <c r="E6016" s="8">
        <v>9000</v>
      </c>
      <c r="F6016" s="13" t="s">
        <v>70</v>
      </c>
      <c r="G6016" s="14">
        <v>44610</v>
      </c>
      <c r="H6016" s="13" t="s">
        <v>35</v>
      </c>
    </row>
    <row r="6017" spans="1:8" ht="14.4" x14ac:dyDescent="0.3">
      <c r="A6017" s="8">
        <v>1969384</v>
      </c>
      <c r="B6017" s="11">
        <v>44607</v>
      </c>
      <c r="C6017" s="13" t="s">
        <v>7658</v>
      </c>
      <c r="D6017" s="13" t="s">
        <v>7659</v>
      </c>
      <c r="E6017" s="8">
        <v>17000</v>
      </c>
      <c r="F6017" s="13" t="s">
        <v>70</v>
      </c>
      <c r="G6017" s="14">
        <v>44609</v>
      </c>
      <c r="H6017" s="13" t="s">
        <v>35</v>
      </c>
    </row>
    <row r="6018" spans="1:8" ht="14.4" x14ac:dyDescent="0.3">
      <c r="A6018" s="8">
        <v>1969385</v>
      </c>
      <c r="B6018" s="11">
        <v>44607</v>
      </c>
      <c r="C6018" s="13" t="s">
        <v>7660</v>
      </c>
      <c r="D6018" s="13" t="s">
        <v>7661</v>
      </c>
      <c r="E6018" s="8">
        <v>7000</v>
      </c>
      <c r="F6018" s="13" t="s">
        <v>70</v>
      </c>
      <c r="G6018" s="14">
        <v>44680</v>
      </c>
      <c r="H6018" s="13" t="s">
        <v>35</v>
      </c>
    </row>
    <row r="6019" spans="1:8" ht="14.4" x14ac:dyDescent="0.3">
      <c r="A6019" s="8">
        <v>1969386</v>
      </c>
      <c r="B6019" s="11">
        <v>44607</v>
      </c>
      <c r="C6019" s="13" t="s">
        <v>7662</v>
      </c>
      <c r="D6019" s="13" t="s">
        <v>7663</v>
      </c>
      <c r="E6019" s="8">
        <v>9000</v>
      </c>
      <c r="F6019" s="13" t="s">
        <v>70</v>
      </c>
      <c r="G6019" s="14">
        <v>44609</v>
      </c>
      <c r="H6019" s="13" t="s">
        <v>35</v>
      </c>
    </row>
    <row r="6020" spans="1:8" ht="14.4" x14ac:dyDescent="0.3">
      <c r="A6020" s="8">
        <v>1969387</v>
      </c>
      <c r="B6020" s="11">
        <v>44607</v>
      </c>
      <c r="C6020" s="13" t="s">
        <v>7664</v>
      </c>
      <c r="D6020" s="13" t="s">
        <v>7665</v>
      </c>
      <c r="E6020" s="8">
        <v>10000</v>
      </c>
      <c r="F6020" s="13" t="s">
        <v>70</v>
      </c>
      <c r="G6020" s="14">
        <v>44613</v>
      </c>
      <c r="H6020" s="13" t="s">
        <v>35</v>
      </c>
    </row>
    <row r="6021" spans="1:8" ht="14.4" x14ac:dyDescent="0.3">
      <c r="A6021" s="8">
        <v>1969388</v>
      </c>
      <c r="B6021" s="11">
        <v>44607</v>
      </c>
      <c r="C6021" s="13" t="s">
        <v>7666</v>
      </c>
      <c r="D6021" s="13" t="s">
        <v>7667</v>
      </c>
      <c r="E6021" s="8">
        <v>10000</v>
      </c>
      <c r="F6021" s="13" t="s">
        <v>70</v>
      </c>
      <c r="G6021" s="14">
        <v>44609</v>
      </c>
      <c r="H6021" s="13" t="s">
        <v>35</v>
      </c>
    </row>
    <row r="6022" spans="1:8" ht="14.4" x14ac:dyDescent="0.3">
      <c r="A6022" s="8">
        <v>1969389</v>
      </c>
      <c r="B6022" s="11">
        <v>44607</v>
      </c>
      <c r="C6022" s="13" t="s">
        <v>7668</v>
      </c>
      <c r="D6022" s="13" t="s">
        <v>7669</v>
      </c>
      <c r="E6022" s="8">
        <v>6000</v>
      </c>
      <c r="F6022" s="13" t="s">
        <v>70</v>
      </c>
      <c r="G6022" s="14">
        <v>44610</v>
      </c>
      <c r="H6022" s="13" t="s">
        <v>35</v>
      </c>
    </row>
    <row r="6023" spans="1:8" ht="14.4" x14ac:dyDescent="0.3">
      <c r="A6023" s="8">
        <v>1969390</v>
      </c>
      <c r="B6023" s="11">
        <v>44607</v>
      </c>
      <c r="C6023" s="13" t="s">
        <v>7670</v>
      </c>
      <c r="D6023" s="13" t="s">
        <v>7671</v>
      </c>
      <c r="E6023" s="8">
        <v>9000</v>
      </c>
      <c r="F6023" s="13" t="s">
        <v>70</v>
      </c>
      <c r="G6023" s="14">
        <v>44610</v>
      </c>
      <c r="H6023" s="13" t="s">
        <v>35</v>
      </c>
    </row>
    <row r="6024" spans="1:8" ht="14.4" x14ac:dyDescent="0.3">
      <c r="A6024" s="8">
        <v>1969391</v>
      </c>
      <c r="B6024" s="11">
        <v>44607</v>
      </c>
      <c r="C6024" s="13" t="s">
        <v>773</v>
      </c>
      <c r="D6024" s="13" t="s">
        <v>7672</v>
      </c>
      <c r="E6024" s="8">
        <v>20000</v>
      </c>
      <c r="F6024" s="13" t="s">
        <v>70</v>
      </c>
      <c r="G6024" s="14">
        <v>44613</v>
      </c>
      <c r="H6024" s="13" t="s">
        <v>35</v>
      </c>
    </row>
    <row r="6025" spans="1:8" ht="14.4" x14ac:dyDescent="0.3">
      <c r="A6025" s="8">
        <v>1969392</v>
      </c>
      <c r="B6025" s="11">
        <v>44607</v>
      </c>
      <c r="C6025" s="13" t="s">
        <v>282</v>
      </c>
      <c r="D6025" s="13" t="s">
        <v>7673</v>
      </c>
      <c r="E6025" s="8">
        <v>20000</v>
      </c>
      <c r="F6025" s="13" t="s">
        <v>70</v>
      </c>
      <c r="G6025" s="14">
        <v>44609</v>
      </c>
      <c r="H6025" s="13" t="s">
        <v>35</v>
      </c>
    </row>
    <row r="6026" spans="1:8" ht="14.4" x14ac:dyDescent="0.3">
      <c r="A6026" s="8">
        <v>1969393</v>
      </c>
      <c r="B6026" s="11">
        <v>44607</v>
      </c>
      <c r="C6026" s="13" t="s">
        <v>350</v>
      </c>
      <c r="D6026" s="13" t="s">
        <v>7674</v>
      </c>
      <c r="E6026" s="8">
        <v>10000</v>
      </c>
      <c r="F6026" s="13" t="s">
        <v>70</v>
      </c>
      <c r="G6026" s="14">
        <v>44609</v>
      </c>
      <c r="H6026" s="13" t="s">
        <v>35</v>
      </c>
    </row>
    <row r="6027" spans="1:8" ht="14.4" x14ac:dyDescent="0.3">
      <c r="A6027" s="8">
        <v>1969394</v>
      </c>
      <c r="B6027" s="11">
        <v>44607</v>
      </c>
      <c r="C6027" s="13" t="s">
        <v>217</v>
      </c>
      <c r="D6027" s="13" t="s">
        <v>7675</v>
      </c>
      <c r="E6027" s="8">
        <v>43750</v>
      </c>
      <c r="F6027" s="13" t="s">
        <v>70</v>
      </c>
      <c r="G6027" s="14">
        <v>44609</v>
      </c>
      <c r="H6027" s="13" t="s">
        <v>35</v>
      </c>
    </row>
    <row r="6028" spans="1:8" ht="14.4" x14ac:dyDescent="0.3">
      <c r="A6028" s="8">
        <v>1969395</v>
      </c>
      <c r="B6028" s="11">
        <v>44607</v>
      </c>
      <c r="C6028" s="13" t="s">
        <v>1596</v>
      </c>
      <c r="D6028" s="13" t="s">
        <v>7676</v>
      </c>
      <c r="E6028" s="8">
        <v>175106.4</v>
      </c>
      <c r="F6028" s="13" t="s">
        <v>70</v>
      </c>
      <c r="G6028" s="14">
        <v>44616</v>
      </c>
      <c r="H6028" s="13" t="s">
        <v>35</v>
      </c>
    </row>
    <row r="6029" spans="1:8" ht="14.4" x14ac:dyDescent="0.3">
      <c r="A6029" s="8">
        <v>1969396</v>
      </c>
      <c r="B6029" s="11">
        <v>44607</v>
      </c>
      <c r="C6029" s="13" t="s">
        <v>217</v>
      </c>
      <c r="D6029" s="13" t="s">
        <v>7677</v>
      </c>
      <c r="E6029" s="8">
        <v>56130</v>
      </c>
      <c r="F6029" s="13" t="s">
        <v>70</v>
      </c>
      <c r="G6029" s="14">
        <v>44628</v>
      </c>
      <c r="H6029" s="13" t="s">
        <v>35</v>
      </c>
    </row>
    <row r="6030" spans="1:8" ht="14.4" x14ac:dyDescent="0.3">
      <c r="A6030" s="8">
        <v>1969397</v>
      </c>
      <c r="B6030" s="11">
        <v>44607</v>
      </c>
      <c r="C6030" s="13" t="s">
        <v>7678</v>
      </c>
      <c r="D6030" s="13" t="s">
        <v>7511</v>
      </c>
      <c r="E6030" s="8">
        <v>30000</v>
      </c>
      <c r="F6030" s="13" t="s">
        <v>70</v>
      </c>
      <c r="G6030" s="14">
        <v>44620</v>
      </c>
      <c r="H6030" s="13" t="s">
        <v>35</v>
      </c>
    </row>
    <row r="6031" spans="1:8" ht="14.4" x14ac:dyDescent="0.3">
      <c r="A6031" s="8">
        <v>1969398</v>
      </c>
      <c r="B6031" s="11">
        <v>44607</v>
      </c>
      <c r="C6031" s="13" t="s">
        <v>7679</v>
      </c>
      <c r="D6031" s="13" t="s">
        <v>7504</v>
      </c>
      <c r="E6031" s="8">
        <v>60000</v>
      </c>
      <c r="F6031" s="13" t="s">
        <v>70</v>
      </c>
      <c r="G6031" s="14">
        <v>44616</v>
      </c>
      <c r="H6031" s="13" t="s">
        <v>35</v>
      </c>
    </row>
    <row r="6032" spans="1:8" ht="14.4" x14ac:dyDescent="0.3">
      <c r="A6032" s="8">
        <v>1969399</v>
      </c>
      <c r="B6032" s="11">
        <v>44607</v>
      </c>
      <c r="C6032" s="13" t="s">
        <v>7680</v>
      </c>
      <c r="D6032" s="13" t="s">
        <v>7513</v>
      </c>
      <c r="E6032" s="8">
        <v>30000</v>
      </c>
      <c r="F6032" s="13" t="s">
        <v>70</v>
      </c>
      <c r="G6032" s="14">
        <v>44609</v>
      </c>
      <c r="H6032" s="13" t="s">
        <v>35</v>
      </c>
    </row>
    <row r="6033" spans="1:8" ht="14.4" x14ac:dyDescent="0.3">
      <c r="A6033" s="8">
        <v>1969400</v>
      </c>
      <c r="B6033" s="11">
        <v>44607</v>
      </c>
      <c r="C6033" s="13" t="s">
        <v>113</v>
      </c>
      <c r="D6033" s="13" t="s">
        <v>7681</v>
      </c>
      <c r="E6033" s="8">
        <v>20000</v>
      </c>
      <c r="F6033" s="13" t="s">
        <v>70</v>
      </c>
      <c r="G6033" s="14">
        <v>44610</v>
      </c>
      <c r="H6033" s="13" t="s">
        <v>35</v>
      </c>
    </row>
    <row r="6034" spans="1:8" ht="14.4" x14ac:dyDescent="0.3">
      <c r="A6034" s="8">
        <v>1969401</v>
      </c>
      <c r="B6034" s="11">
        <v>44607</v>
      </c>
      <c r="C6034" s="13" t="s">
        <v>114</v>
      </c>
      <c r="D6034" s="13" t="s">
        <v>1466</v>
      </c>
      <c r="E6034" s="8">
        <v>10000</v>
      </c>
      <c r="F6034" s="13" t="s">
        <v>70</v>
      </c>
      <c r="G6034" s="14">
        <v>44610</v>
      </c>
      <c r="H6034" s="13" t="s">
        <v>35</v>
      </c>
    </row>
    <row r="6035" spans="1:8" ht="14.4" x14ac:dyDescent="0.3">
      <c r="A6035" s="8">
        <v>1969402</v>
      </c>
      <c r="B6035" s="11">
        <v>44607</v>
      </c>
      <c r="C6035" s="13" t="s">
        <v>115</v>
      </c>
      <c r="D6035" s="13" t="s">
        <v>1466</v>
      </c>
      <c r="E6035" s="8">
        <v>5000</v>
      </c>
      <c r="F6035" s="13" t="s">
        <v>70</v>
      </c>
      <c r="G6035" s="14">
        <v>44613</v>
      </c>
      <c r="H6035" s="13" t="s">
        <v>35</v>
      </c>
    </row>
    <row r="6036" spans="1:8" ht="14.4" x14ac:dyDescent="0.3">
      <c r="A6036" s="8">
        <v>1969403</v>
      </c>
      <c r="B6036" s="11">
        <v>44607</v>
      </c>
      <c r="C6036" s="13" t="s">
        <v>116</v>
      </c>
      <c r="D6036" s="13" t="s">
        <v>1466</v>
      </c>
      <c r="E6036" s="8">
        <v>5000</v>
      </c>
      <c r="F6036" s="13" t="s">
        <v>70</v>
      </c>
      <c r="G6036" s="14">
        <v>44610</v>
      </c>
      <c r="H6036" s="13" t="s">
        <v>35</v>
      </c>
    </row>
    <row r="6037" spans="1:8" ht="14.4" x14ac:dyDescent="0.3">
      <c r="A6037" s="8">
        <v>1969404</v>
      </c>
      <c r="B6037" s="11">
        <v>44607</v>
      </c>
      <c r="C6037" s="13" t="s">
        <v>117</v>
      </c>
      <c r="D6037" s="13" t="s">
        <v>1466</v>
      </c>
      <c r="E6037" s="8">
        <v>3000</v>
      </c>
      <c r="F6037" s="13" t="s">
        <v>70</v>
      </c>
      <c r="G6037" s="14">
        <v>44614</v>
      </c>
      <c r="H6037" s="13" t="s">
        <v>35</v>
      </c>
    </row>
    <row r="6038" spans="1:8" ht="14.4" x14ac:dyDescent="0.3">
      <c r="A6038" s="8">
        <v>1969405</v>
      </c>
      <c r="B6038" s="11">
        <v>44607</v>
      </c>
      <c r="C6038" s="13" t="s">
        <v>1499</v>
      </c>
      <c r="D6038" s="13" t="s">
        <v>7682</v>
      </c>
      <c r="E6038" s="8">
        <v>20000</v>
      </c>
      <c r="F6038" s="13" t="s">
        <v>70</v>
      </c>
      <c r="G6038" s="14">
        <v>44609</v>
      </c>
      <c r="H6038" s="13" t="s">
        <v>35</v>
      </c>
    </row>
    <row r="6039" spans="1:8" ht="14.4" x14ac:dyDescent="0.3">
      <c r="A6039" s="8">
        <v>1969406</v>
      </c>
      <c r="B6039" s="11">
        <v>44607</v>
      </c>
      <c r="C6039" s="13" t="s">
        <v>606</v>
      </c>
      <c r="D6039" s="13" t="s">
        <v>7682</v>
      </c>
      <c r="E6039" s="8">
        <v>10000</v>
      </c>
      <c r="F6039" s="13" t="s">
        <v>70</v>
      </c>
      <c r="G6039" s="14">
        <v>44609</v>
      </c>
      <c r="H6039" s="13" t="s">
        <v>35</v>
      </c>
    </row>
    <row r="6040" spans="1:8" ht="14.4" x14ac:dyDescent="0.3">
      <c r="A6040" s="8">
        <v>1969407</v>
      </c>
      <c r="B6040" s="11">
        <v>44607</v>
      </c>
      <c r="C6040" s="13" t="s">
        <v>528</v>
      </c>
      <c r="D6040" s="13" t="s">
        <v>7682</v>
      </c>
      <c r="E6040" s="8">
        <v>5000</v>
      </c>
      <c r="F6040" s="13" t="s">
        <v>70</v>
      </c>
      <c r="G6040" s="14">
        <v>44609</v>
      </c>
      <c r="H6040" s="13" t="s">
        <v>35</v>
      </c>
    </row>
    <row r="6041" spans="1:8" ht="14.4" x14ac:dyDescent="0.3">
      <c r="A6041" s="8">
        <v>1969408</v>
      </c>
      <c r="B6041" s="11">
        <v>44607</v>
      </c>
      <c r="C6041" s="13" t="s">
        <v>530</v>
      </c>
      <c r="D6041" s="13" t="s">
        <v>7682</v>
      </c>
      <c r="E6041" s="8">
        <v>3000</v>
      </c>
      <c r="F6041" s="13" t="s">
        <v>70</v>
      </c>
      <c r="G6041" s="14">
        <v>44609</v>
      </c>
      <c r="H6041" s="13" t="s">
        <v>35</v>
      </c>
    </row>
    <row r="6042" spans="1:8" ht="14.4" x14ac:dyDescent="0.3">
      <c r="A6042" s="8">
        <v>1969409</v>
      </c>
      <c r="B6042" s="11">
        <v>44607</v>
      </c>
      <c r="C6042" s="13" t="s">
        <v>82</v>
      </c>
      <c r="D6042" s="13" t="s">
        <v>1466</v>
      </c>
      <c r="E6042" s="8">
        <v>5000</v>
      </c>
      <c r="F6042" s="13" t="s">
        <v>70</v>
      </c>
      <c r="G6042" s="14">
        <v>44609</v>
      </c>
      <c r="H6042" s="13" t="s">
        <v>35</v>
      </c>
    </row>
    <row r="6043" spans="1:8" ht="14.4" x14ac:dyDescent="0.3">
      <c r="A6043" s="8">
        <v>1969410</v>
      </c>
      <c r="B6043" s="11">
        <v>44607</v>
      </c>
      <c r="C6043" s="13" t="s">
        <v>356</v>
      </c>
      <c r="D6043" s="13" t="s">
        <v>1466</v>
      </c>
      <c r="E6043" s="8">
        <v>3000</v>
      </c>
      <c r="F6043" s="13" t="s">
        <v>70</v>
      </c>
      <c r="G6043" s="14">
        <v>44608</v>
      </c>
      <c r="H6043" s="13" t="s">
        <v>35</v>
      </c>
    </row>
    <row r="6044" spans="1:8" ht="14.4" x14ac:dyDescent="0.3">
      <c r="A6044" s="8">
        <v>1969411</v>
      </c>
      <c r="B6044" s="11">
        <v>44607</v>
      </c>
      <c r="C6044" s="13" t="s">
        <v>567</v>
      </c>
      <c r="D6044" s="13" t="s">
        <v>7388</v>
      </c>
      <c r="E6044" s="8">
        <v>6000</v>
      </c>
      <c r="F6044" s="13" t="s">
        <v>70</v>
      </c>
      <c r="G6044" s="14">
        <v>44610</v>
      </c>
      <c r="H6044" s="13" t="s">
        <v>35</v>
      </c>
    </row>
    <row r="6045" spans="1:8" ht="14.4" x14ac:dyDescent="0.3">
      <c r="A6045" s="8">
        <v>1969412</v>
      </c>
      <c r="B6045" s="11">
        <v>44607</v>
      </c>
      <c r="C6045" s="13" t="s">
        <v>562</v>
      </c>
      <c r="D6045" s="13" t="s">
        <v>7388</v>
      </c>
      <c r="E6045" s="8">
        <v>6000</v>
      </c>
      <c r="F6045" s="13" t="s">
        <v>70</v>
      </c>
      <c r="G6045" s="14">
        <v>44610</v>
      </c>
      <c r="H6045" s="13" t="s">
        <v>35</v>
      </c>
    </row>
    <row r="6046" spans="1:8" ht="14.4" x14ac:dyDescent="0.3">
      <c r="A6046" s="8">
        <v>1969413</v>
      </c>
      <c r="B6046" s="11">
        <v>44607</v>
      </c>
      <c r="C6046" s="13" t="s">
        <v>7683</v>
      </c>
      <c r="D6046" s="13" t="s">
        <v>1466</v>
      </c>
      <c r="E6046" s="8">
        <v>10000</v>
      </c>
      <c r="F6046" s="13" t="s">
        <v>70</v>
      </c>
      <c r="G6046" s="14">
        <v>44609</v>
      </c>
      <c r="H6046" s="13" t="s">
        <v>35</v>
      </c>
    </row>
    <row r="6047" spans="1:8" ht="14.4" x14ac:dyDescent="0.3">
      <c r="A6047" s="8">
        <v>1969414</v>
      </c>
      <c r="B6047" s="11">
        <v>44607</v>
      </c>
      <c r="C6047" s="13" t="s">
        <v>532</v>
      </c>
      <c r="D6047" s="13" t="s">
        <v>1466</v>
      </c>
      <c r="E6047" s="8">
        <v>10000</v>
      </c>
      <c r="F6047" s="13" t="s">
        <v>70</v>
      </c>
      <c r="G6047" s="14">
        <v>44609</v>
      </c>
      <c r="H6047" s="13" t="s">
        <v>35</v>
      </c>
    </row>
    <row r="6048" spans="1:8" ht="14.4" x14ac:dyDescent="0.3">
      <c r="A6048" s="8">
        <v>1969415</v>
      </c>
      <c r="B6048" s="11">
        <v>44607</v>
      </c>
      <c r="C6048" s="13" t="s">
        <v>97</v>
      </c>
      <c r="D6048" s="13" t="s">
        <v>1466</v>
      </c>
      <c r="E6048" s="8">
        <v>5000</v>
      </c>
      <c r="F6048" s="13" t="s">
        <v>70</v>
      </c>
      <c r="G6048" s="14">
        <v>44609</v>
      </c>
      <c r="H6048" s="13" t="s">
        <v>35</v>
      </c>
    </row>
    <row r="6049" spans="1:8" ht="14.4" x14ac:dyDescent="0.3">
      <c r="A6049" s="8">
        <v>1969416</v>
      </c>
      <c r="B6049" s="11">
        <v>44607</v>
      </c>
      <c r="C6049" s="13" t="s">
        <v>533</v>
      </c>
      <c r="D6049" s="13" t="s">
        <v>1466</v>
      </c>
      <c r="E6049" s="8">
        <v>3000</v>
      </c>
      <c r="F6049" s="13" t="s">
        <v>70</v>
      </c>
      <c r="G6049" s="14">
        <v>44609</v>
      </c>
      <c r="H6049" s="13" t="s">
        <v>35</v>
      </c>
    </row>
    <row r="6050" spans="1:8" ht="14.4" x14ac:dyDescent="0.3">
      <c r="A6050" s="8">
        <v>1969417</v>
      </c>
      <c r="B6050" s="11">
        <v>44607</v>
      </c>
      <c r="C6050" s="13" t="s">
        <v>1657</v>
      </c>
      <c r="D6050" s="13" t="s">
        <v>7684</v>
      </c>
      <c r="E6050" s="8">
        <v>11499.74</v>
      </c>
      <c r="F6050" s="13" t="s">
        <v>70</v>
      </c>
      <c r="G6050" s="14">
        <v>44609</v>
      </c>
      <c r="H6050" s="13" t="s">
        <v>35</v>
      </c>
    </row>
    <row r="6051" spans="1:8" ht="14.4" x14ac:dyDescent="0.3">
      <c r="A6051" s="8">
        <v>1969418</v>
      </c>
      <c r="B6051" s="11">
        <v>44607</v>
      </c>
      <c r="C6051" s="13" t="s">
        <v>155</v>
      </c>
      <c r="D6051" s="13" t="s">
        <v>7685</v>
      </c>
      <c r="E6051" s="8">
        <v>20000</v>
      </c>
      <c r="F6051" s="13" t="s">
        <v>70</v>
      </c>
      <c r="G6051" s="14">
        <v>44609</v>
      </c>
      <c r="H6051" s="13" t="s">
        <v>35</v>
      </c>
    </row>
    <row r="6052" spans="1:8" ht="14.4" x14ac:dyDescent="0.3">
      <c r="A6052" s="8">
        <v>1969419</v>
      </c>
      <c r="B6052" s="11">
        <v>44607</v>
      </c>
      <c r="C6052" s="13" t="s">
        <v>7686</v>
      </c>
      <c r="D6052" s="13" t="s">
        <v>7687</v>
      </c>
      <c r="E6052" s="8">
        <v>23199.01</v>
      </c>
      <c r="F6052" s="13" t="s">
        <v>70</v>
      </c>
      <c r="G6052" s="14">
        <v>44608</v>
      </c>
      <c r="H6052" s="13" t="s">
        <v>35</v>
      </c>
    </row>
    <row r="6053" spans="1:8" ht="14.4" x14ac:dyDescent="0.3">
      <c r="A6053" s="8">
        <v>1969420</v>
      </c>
      <c r="B6053" s="11">
        <v>44607</v>
      </c>
      <c r="C6053" s="13" t="s">
        <v>7688</v>
      </c>
      <c r="D6053" s="13" t="s">
        <v>7687</v>
      </c>
      <c r="E6053" s="8">
        <v>14453.02</v>
      </c>
      <c r="F6053" s="13" t="s">
        <v>70</v>
      </c>
      <c r="G6053" s="14">
        <v>44608</v>
      </c>
      <c r="H6053" s="13" t="s">
        <v>35</v>
      </c>
    </row>
    <row r="6054" spans="1:8" ht="14.4" x14ac:dyDescent="0.3">
      <c r="A6054" s="8">
        <v>1969421</v>
      </c>
      <c r="B6054" s="11">
        <v>44607</v>
      </c>
      <c r="C6054" s="13" t="s">
        <v>7689</v>
      </c>
      <c r="D6054" s="13" t="s">
        <v>7690</v>
      </c>
      <c r="E6054" s="8">
        <v>453000</v>
      </c>
      <c r="F6054" s="13" t="s">
        <v>70</v>
      </c>
      <c r="G6054" s="14">
        <v>44609</v>
      </c>
      <c r="H6054" s="13" t="s">
        <v>35</v>
      </c>
    </row>
    <row r="6055" spans="1:8" ht="14.4" x14ac:dyDescent="0.3">
      <c r="A6055" s="8">
        <v>1969422</v>
      </c>
      <c r="B6055" s="11">
        <v>44607</v>
      </c>
      <c r="C6055" s="13" t="s">
        <v>884</v>
      </c>
      <c r="D6055" s="13" t="s">
        <v>7691</v>
      </c>
      <c r="E6055" s="8">
        <v>32230</v>
      </c>
      <c r="F6055" s="13" t="s">
        <v>70</v>
      </c>
      <c r="G6055" s="14">
        <v>44607</v>
      </c>
      <c r="H6055" s="13" t="s">
        <v>35</v>
      </c>
    </row>
    <row r="6056" spans="1:8" ht="14.4" x14ac:dyDescent="0.3">
      <c r="A6056" s="8">
        <v>1969423</v>
      </c>
      <c r="B6056" s="11">
        <v>44607</v>
      </c>
      <c r="C6056" s="13" t="s">
        <v>228</v>
      </c>
      <c r="D6056" s="13" t="s">
        <v>7692</v>
      </c>
      <c r="E6056" s="8">
        <v>43757</v>
      </c>
      <c r="F6056" s="13" t="s">
        <v>70</v>
      </c>
      <c r="G6056" s="14">
        <v>44607</v>
      </c>
      <c r="H6056" s="13" t="s">
        <v>35</v>
      </c>
    </row>
    <row r="6057" spans="1:8" ht="14.4" x14ac:dyDescent="0.3">
      <c r="A6057" s="8">
        <v>1969424</v>
      </c>
      <c r="B6057" s="11">
        <v>44607</v>
      </c>
      <c r="C6057" s="13" t="s">
        <v>180</v>
      </c>
      <c r="D6057" s="13" t="s">
        <v>901</v>
      </c>
      <c r="E6057" s="8">
        <v>163633.51999999999</v>
      </c>
      <c r="F6057" s="13" t="s">
        <v>70</v>
      </c>
      <c r="G6057" s="14">
        <v>44608</v>
      </c>
      <c r="H6057" s="13" t="s">
        <v>35</v>
      </c>
    </row>
    <row r="6058" spans="1:8" ht="14.4" x14ac:dyDescent="0.3">
      <c r="A6058" s="8">
        <v>1969425</v>
      </c>
      <c r="B6058" s="11">
        <v>44607</v>
      </c>
      <c r="C6058" s="13" t="s">
        <v>4914</v>
      </c>
      <c r="D6058" s="13" t="s">
        <v>7693</v>
      </c>
      <c r="E6058" s="8">
        <v>1158.96</v>
      </c>
      <c r="F6058" s="13" t="s">
        <v>70</v>
      </c>
      <c r="G6058" s="14">
        <v>44615</v>
      </c>
      <c r="H6058" s="13" t="s">
        <v>35</v>
      </c>
    </row>
    <row r="6059" spans="1:8" ht="14.4" x14ac:dyDescent="0.3">
      <c r="A6059" s="8">
        <v>1969426</v>
      </c>
      <c r="B6059" s="11">
        <v>44607</v>
      </c>
      <c r="C6059" s="13" t="s">
        <v>7694</v>
      </c>
      <c r="D6059" s="13" t="s">
        <v>7695</v>
      </c>
      <c r="E6059" s="8">
        <v>32634.25</v>
      </c>
      <c r="F6059" s="13" t="s">
        <v>70</v>
      </c>
      <c r="G6059" s="14">
        <v>44614</v>
      </c>
      <c r="H6059" s="13" t="s">
        <v>35</v>
      </c>
    </row>
    <row r="6060" spans="1:8" ht="14.4" x14ac:dyDescent="0.3">
      <c r="A6060" s="8">
        <v>1969427</v>
      </c>
      <c r="B6060" s="11">
        <v>44607</v>
      </c>
      <c r="C6060" s="13" t="s">
        <v>4914</v>
      </c>
      <c r="D6060" s="13" t="s">
        <v>7696</v>
      </c>
      <c r="E6060" s="8">
        <v>720</v>
      </c>
      <c r="F6060" s="13" t="s">
        <v>70</v>
      </c>
      <c r="G6060" s="14">
        <v>44615</v>
      </c>
      <c r="H6060" s="13" t="s">
        <v>35</v>
      </c>
    </row>
    <row r="6061" spans="1:8" ht="14.4" x14ac:dyDescent="0.3">
      <c r="A6061" s="8">
        <v>1969428</v>
      </c>
      <c r="B6061" s="11">
        <v>44607</v>
      </c>
      <c r="C6061" s="13" t="s">
        <v>1294</v>
      </c>
      <c r="D6061" s="13" t="s">
        <v>7697</v>
      </c>
      <c r="E6061" s="8">
        <v>774000</v>
      </c>
      <c r="F6061" s="13" t="s">
        <v>70</v>
      </c>
      <c r="G6061" s="14">
        <v>44664</v>
      </c>
      <c r="H6061" s="13" t="s">
        <v>35</v>
      </c>
    </row>
    <row r="6062" spans="1:8" ht="14.4" x14ac:dyDescent="0.3">
      <c r="A6062" s="8">
        <v>1969429</v>
      </c>
      <c r="B6062" s="11">
        <v>44607</v>
      </c>
      <c r="C6062" s="13" t="s">
        <v>7698</v>
      </c>
      <c r="D6062" s="13" t="s">
        <v>7699</v>
      </c>
      <c r="E6062" s="8">
        <v>15000</v>
      </c>
      <c r="F6062" s="13" t="s">
        <v>70</v>
      </c>
      <c r="G6062" s="14">
        <v>44610</v>
      </c>
      <c r="H6062" s="13" t="s">
        <v>35</v>
      </c>
    </row>
    <row r="6063" spans="1:8" ht="14.4" x14ac:dyDescent="0.3">
      <c r="A6063" s="8">
        <v>1969430</v>
      </c>
      <c r="B6063" s="11">
        <v>44608</v>
      </c>
      <c r="C6063" s="13" t="s">
        <v>159</v>
      </c>
      <c r="D6063" s="13" t="s">
        <v>7700</v>
      </c>
      <c r="E6063" s="8">
        <v>195800</v>
      </c>
      <c r="F6063" s="13" t="s">
        <v>70</v>
      </c>
      <c r="G6063" s="14">
        <v>44609</v>
      </c>
      <c r="H6063" s="13" t="s">
        <v>35</v>
      </c>
    </row>
    <row r="6064" spans="1:8" ht="14.4" x14ac:dyDescent="0.3">
      <c r="A6064" s="8">
        <v>1969431</v>
      </c>
      <c r="B6064" s="11">
        <v>44608</v>
      </c>
      <c r="C6064" s="13" t="s">
        <v>1193</v>
      </c>
      <c r="D6064" s="13" t="s">
        <v>7701</v>
      </c>
      <c r="E6064" s="8">
        <v>33000</v>
      </c>
      <c r="F6064" s="13" t="s">
        <v>70</v>
      </c>
      <c r="G6064" s="14">
        <v>44624</v>
      </c>
      <c r="H6064" s="13" t="s">
        <v>35</v>
      </c>
    </row>
    <row r="6065" spans="1:8" ht="14.4" x14ac:dyDescent="0.3">
      <c r="A6065" s="8">
        <v>1969432</v>
      </c>
      <c r="B6065" s="11">
        <v>44608</v>
      </c>
      <c r="C6065" s="13" t="s">
        <v>669</v>
      </c>
      <c r="D6065" s="13" t="s">
        <v>7702</v>
      </c>
      <c r="E6065" s="8">
        <v>109500</v>
      </c>
      <c r="F6065" s="13" t="s">
        <v>70</v>
      </c>
      <c r="G6065" s="14">
        <v>44624</v>
      </c>
      <c r="H6065" s="13" t="s">
        <v>35</v>
      </c>
    </row>
    <row r="6066" spans="1:8" ht="14.4" x14ac:dyDescent="0.3">
      <c r="A6066" s="8">
        <v>1969433</v>
      </c>
      <c r="B6066" s="11">
        <v>44608</v>
      </c>
      <c r="C6066" s="13" t="s">
        <v>506</v>
      </c>
      <c r="D6066" s="13" t="s">
        <v>7702</v>
      </c>
      <c r="E6066" s="8">
        <v>20000</v>
      </c>
      <c r="F6066" s="13" t="s">
        <v>70</v>
      </c>
      <c r="G6066" s="14">
        <v>44624</v>
      </c>
      <c r="H6066" s="13" t="s">
        <v>35</v>
      </c>
    </row>
    <row r="6067" spans="1:8" ht="14.4" x14ac:dyDescent="0.3">
      <c r="A6067" s="8">
        <v>1969434</v>
      </c>
      <c r="B6067" s="11">
        <v>44608</v>
      </c>
      <c r="C6067" s="13" t="s">
        <v>74</v>
      </c>
      <c r="D6067" s="13" t="s">
        <v>1423</v>
      </c>
      <c r="E6067" s="8">
        <v>25800</v>
      </c>
      <c r="F6067" s="13" t="s">
        <v>70</v>
      </c>
      <c r="G6067" s="14">
        <v>44624</v>
      </c>
      <c r="H6067" s="13" t="s">
        <v>35</v>
      </c>
    </row>
    <row r="6068" spans="1:8" ht="14.4" x14ac:dyDescent="0.3">
      <c r="A6068" s="8">
        <v>1969435</v>
      </c>
      <c r="B6068" s="11">
        <v>44608</v>
      </c>
      <c r="C6068" s="13" t="s">
        <v>1810</v>
      </c>
      <c r="D6068" s="13" t="s">
        <v>7703</v>
      </c>
      <c r="E6068" s="8">
        <v>29100</v>
      </c>
      <c r="F6068" s="13" t="s">
        <v>70</v>
      </c>
      <c r="G6068" s="14">
        <v>44613</v>
      </c>
      <c r="H6068" s="13" t="s">
        <v>35</v>
      </c>
    </row>
    <row r="6069" spans="1:8" ht="14.4" x14ac:dyDescent="0.3">
      <c r="A6069" s="8">
        <v>1969436</v>
      </c>
      <c r="B6069" s="11">
        <v>44608</v>
      </c>
      <c r="C6069" s="13" t="s">
        <v>601</v>
      </c>
      <c r="D6069" s="13" t="s">
        <v>7704</v>
      </c>
      <c r="E6069" s="8">
        <v>56250</v>
      </c>
      <c r="F6069" s="13" t="s">
        <v>70</v>
      </c>
      <c r="G6069" s="14">
        <v>44614</v>
      </c>
      <c r="H6069" s="13" t="s">
        <v>35</v>
      </c>
    </row>
    <row r="6070" spans="1:8" ht="14.4" x14ac:dyDescent="0.3">
      <c r="A6070" s="8">
        <v>1969437</v>
      </c>
      <c r="B6070" s="11">
        <v>44608</v>
      </c>
      <c r="C6070" s="13" t="s">
        <v>7350</v>
      </c>
      <c r="D6070" s="13" t="s">
        <v>3522</v>
      </c>
      <c r="E6070" s="8">
        <v>17000</v>
      </c>
      <c r="F6070" s="13" t="s">
        <v>70</v>
      </c>
      <c r="G6070" s="14">
        <v>44610</v>
      </c>
      <c r="H6070" s="13" t="s">
        <v>35</v>
      </c>
    </row>
    <row r="6071" spans="1:8" ht="14.4" x14ac:dyDescent="0.3">
      <c r="A6071" s="8">
        <v>1969438</v>
      </c>
      <c r="B6071" s="11">
        <v>44608</v>
      </c>
      <c r="C6071" s="13" t="s">
        <v>682</v>
      </c>
      <c r="D6071" s="13" t="s">
        <v>7705</v>
      </c>
      <c r="E6071" s="8">
        <v>6000</v>
      </c>
      <c r="F6071" s="13" t="s">
        <v>70</v>
      </c>
      <c r="G6071" s="14">
        <v>44613</v>
      </c>
      <c r="H6071" s="13" t="s">
        <v>35</v>
      </c>
    </row>
    <row r="6072" spans="1:8" ht="14.4" x14ac:dyDescent="0.3">
      <c r="A6072" s="8">
        <v>1969439</v>
      </c>
      <c r="B6072" s="11">
        <v>44608</v>
      </c>
      <c r="C6072" s="13" t="s">
        <v>1653</v>
      </c>
      <c r="D6072" s="13" t="s">
        <v>7706</v>
      </c>
      <c r="E6072" s="8">
        <v>14311.52</v>
      </c>
      <c r="F6072" s="13" t="s">
        <v>70</v>
      </c>
      <c r="G6072" s="14">
        <v>44610</v>
      </c>
      <c r="H6072" s="13" t="s">
        <v>35</v>
      </c>
    </row>
    <row r="6073" spans="1:8" ht="14.4" x14ac:dyDescent="0.3">
      <c r="A6073" s="8">
        <v>1969440</v>
      </c>
      <c r="B6073" s="11">
        <v>44608</v>
      </c>
      <c r="C6073" s="13" t="s">
        <v>3718</v>
      </c>
      <c r="D6073" s="13" t="s">
        <v>7707</v>
      </c>
      <c r="E6073" s="8">
        <v>24299.08</v>
      </c>
      <c r="F6073" s="13" t="s">
        <v>70</v>
      </c>
      <c r="G6073" s="14">
        <v>44609</v>
      </c>
      <c r="H6073" s="13" t="s">
        <v>35</v>
      </c>
    </row>
    <row r="6074" spans="1:8" ht="14.4" x14ac:dyDescent="0.3">
      <c r="A6074" s="8">
        <v>1969441</v>
      </c>
      <c r="B6074" s="11">
        <v>44608</v>
      </c>
      <c r="C6074" s="13" t="s">
        <v>615</v>
      </c>
      <c r="D6074" s="13" t="s">
        <v>7708</v>
      </c>
      <c r="E6074" s="8">
        <v>2364.02</v>
      </c>
      <c r="F6074" s="13" t="s">
        <v>70</v>
      </c>
      <c r="G6074" s="14">
        <v>44613</v>
      </c>
      <c r="H6074" s="13" t="s">
        <v>35</v>
      </c>
    </row>
    <row r="6075" spans="1:8" ht="14.4" x14ac:dyDescent="0.3">
      <c r="A6075" s="8">
        <v>1969442</v>
      </c>
      <c r="B6075" s="11">
        <v>44608</v>
      </c>
      <c r="C6075" s="13" t="s">
        <v>2842</v>
      </c>
      <c r="D6075" s="13" t="s">
        <v>7709</v>
      </c>
      <c r="E6075" s="8">
        <v>10000</v>
      </c>
      <c r="F6075" s="13" t="s">
        <v>70</v>
      </c>
      <c r="G6075" s="14">
        <v>44630</v>
      </c>
      <c r="H6075" s="13" t="s">
        <v>35</v>
      </c>
    </row>
    <row r="6076" spans="1:8" ht="14.4" x14ac:dyDescent="0.3">
      <c r="A6076" s="8">
        <v>1969443</v>
      </c>
      <c r="B6076" s="11">
        <v>44608</v>
      </c>
      <c r="C6076" s="13" t="s">
        <v>44</v>
      </c>
      <c r="D6076" s="13" t="s">
        <v>7710</v>
      </c>
      <c r="E6076" s="8">
        <v>2853.55</v>
      </c>
      <c r="F6076" s="13" t="s">
        <v>70</v>
      </c>
      <c r="G6076" s="14">
        <v>44610</v>
      </c>
      <c r="H6076" s="13" t="s">
        <v>35</v>
      </c>
    </row>
    <row r="6077" spans="1:8" ht="14.4" x14ac:dyDescent="0.3">
      <c r="A6077" s="8">
        <v>1969444</v>
      </c>
      <c r="B6077" s="11">
        <v>44608</v>
      </c>
      <c r="C6077" s="13" t="s">
        <v>7711</v>
      </c>
      <c r="D6077" s="13" t="s">
        <v>7712</v>
      </c>
      <c r="E6077" s="8">
        <v>50000</v>
      </c>
      <c r="F6077" s="13" t="s">
        <v>70</v>
      </c>
      <c r="G6077" s="14">
        <v>44610</v>
      </c>
      <c r="H6077" s="13" t="s">
        <v>35</v>
      </c>
    </row>
    <row r="6078" spans="1:8" ht="14.4" x14ac:dyDescent="0.3">
      <c r="A6078" s="8">
        <v>1969445</v>
      </c>
      <c r="B6078" s="11">
        <v>44608</v>
      </c>
      <c r="C6078" s="13" t="s">
        <v>7713</v>
      </c>
      <c r="D6078" s="13" t="s">
        <v>7714</v>
      </c>
      <c r="E6078" s="8">
        <v>10000</v>
      </c>
      <c r="F6078" s="13" t="s">
        <v>70</v>
      </c>
      <c r="G6078" s="14">
        <v>44622</v>
      </c>
      <c r="H6078" s="13" t="s">
        <v>35</v>
      </c>
    </row>
    <row r="6079" spans="1:8" ht="14.4" x14ac:dyDescent="0.3">
      <c r="A6079" s="8">
        <v>1969446</v>
      </c>
      <c r="B6079" s="11">
        <v>44608</v>
      </c>
      <c r="C6079" s="13" t="s">
        <v>7715</v>
      </c>
      <c r="D6079" s="13" t="s">
        <v>7716</v>
      </c>
      <c r="E6079" s="8">
        <v>13000</v>
      </c>
      <c r="F6079" s="13" t="s">
        <v>70</v>
      </c>
      <c r="G6079" s="14">
        <v>44613</v>
      </c>
      <c r="H6079" s="13" t="s">
        <v>35</v>
      </c>
    </row>
    <row r="6080" spans="1:8" ht="14.4" x14ac:dyDescent="0.3">
      <c r="A6080" s="8">
        <v>1969447</v>
      </c>
      <c r="B6080" s="11">
        <v>44608</v>
      </c>
      <c r="C6080" s="13" t="s">
        <v>7717</v>
      </c>
      <c r="D6080" s="13" t="s">
        <v>7718</v>
      </c>
      <c r="E6080" s="8">
        <v>19000</v>
      </c>
      <c r="F6080" s="13" t="s">
        <v>70</v>
      </c>
      <c r="G6080" s="14">
        <v>44613</v>
      </c>
      <c r="H6080" s="13" t="s">
        <v>35</v>
      </c>
    </row>
    <row r="6081" spans="1:8" ht="14.4" x14ac:dyDescent="0.3">
      <c r="A6081" s="8">
        <v>1969448</v>
      </c>
      <c r="B6081" s="11">
        <v>44608</v>
      </c>
      <c r="C6081" s="13" t="s">
        <v>7719</v>
      </c>
      <c r="D6081" s="13" t="s">
        <v>7720</v>
      </c>
      <c r="E6081" s="8">
        <v>13000</v>
      </c>
      <c r="F6081" s="13" t="s">
        <v>70</v>
      </c>
      <c r="G6081" s="14">
        <v>44613</v>
      </c>
      <c r="H6081" s="13" t="s">
        <v>35</v>
      </c>
    </row>
    <row r="6082" spans="1:8" ht="14.4" x14ac:dyDescent="0.3">
      <c r="A6082" s="8">
        <v>1969449</v>
      </c>
      <c r="B6082" s="11">
        <v>44608</v>
      </c>
      <c r="C6082" s="13" t="s">
        <v>7721</v>
      </c>
      <c r="D6082" s="13" t="s">
        <v>7722</v>
      </c>
      <c r="E6082" s="8">
        <v>50000</v>
      </c>
      <c r="F6082" s="13" t="s">
        <v>70</v>
      </c>
      <c r="G6082" s="14">
        <v>44613</v>
      </c>
      <c r="H6082" s="13" t="s">
        <v>35</v>
      </c>
    </row>
    <row r="6083" spans="1:8" ht="14.4" x14ac:dyDescent="0.3">
      <c r="A6083" s="8">
        <v>1969450</v>
      </c>
      <c r="B6083" s="11">
        <v>44608</v>
      </c>
      <c r="C6083" s="13" t="s">
        <v>3791</v>
      </c>
      <c r="D6083" s="13" t="s">
        <v>7723</v>
      </c>
      <c r="E6083" s="8">
        <v>50000</v>
      </c>
      <c r="F6083" s="13" t="s">
        <v>70</v>
      </c>
      <c r="G6083" s="14">
        <v>44616</v>
      </c>
      <c r="H6083" s="13" t="s">
        <v>35</v>
      </c>
    </row>
    <row r="6084" spans="1:8" ht="14.4" x14ac:dyDescent="0.3">
      <c r="A6084" s="8">
        <v>1969451</v>
      </c>
      <c r="B6084" s="11">
        <v>44608</v>
      </c>
      <c r="C6084" s="13" t="s">
        <v>7724</v>
      </c>
      <c r="D6084" s="13" t="s">
        <v>7725</v>
      </c>
      <c r="E6084" s="8">
        <v>10000</v>
      </c>
      <c r="F6084" s="13" t="s">
        <v>70</v>
      </c>
      <c r="G6084" s="14">
        <v>44613</v>
      </c>
      <c r="H6084" s="13" t="s">
        <v>35</v>
      </c>
    </row>
    <row r="6085" spans="1:8" ht="14.4" x14ac:dyDescent="0.3">
      <c r="A6085" s="8">
        <v>1969452</v>
      </c>
      <c r="B6085" s="11">
        <v>44608</v>
      </c>
      <c r="C6085" s="13" t="s">
        <v>7726</v>
      </c>
      <c r="D6085" s="13" t="s">
        <v>7727</v>
      </c>
      <c r="E6085" s="8">
        <v>27000</v>
      </c>
      <c r="F6085" s="13" t="s">
        <v>70</v>
      </c>
      <c r="G6085" s="14">
        <v>44613</v>
      </c>
      <c r="H6085" s="13" t="s">
        <v>35</v>
      </c>
    </row>
    <row r="6086" spans="1:8" ht="14.4" x14ac:dyDescent="0.3">
      <c r="A6086" s="8">
        <v>1969453</v>
      </c>
      <c r="B6086" s="11">
        <v>44608</v>
      </c>
      <c r="C6086" s="13" t="s">
        <v>7728</v>
      </c>
      <c r="D6086" s="13" t="s">
        <v>7729</v>
      </c>
      <c r="E6086" s="8">
        <v>15000</v>
      </c>
      <c r="F6086" s="13" t="s">
        <v>70</v>
      </c>
      <c r="G6086" s="14">
        <v>44613</v>
      </c>
      <c r="H6086" s="13" t="s">
        <v>35</v>
      </c>
    </row>
    <row r="6087" spans="1:8" ht="14.4" x14ac:dyDescent="0.3">
      <c r="A6087" s="8">
        <v>1969454</v>
      </c>
      <c r="B6087" s="11">
        <v>44608</v>
      </c>
      <c r="C6087" s="13" t="s">
        <v>7730</v>
      </c>
      <c r="D6087" s="13" t="s">
        <v>7731</v>
      </c>
      <c r="E6087" s="8">
        <v>11000</v>
      </c>
      <c r="F6087" s="13" t="s">
        <v>70</v>
      </c>
      <c r="G6087" s="14">
        <v>44613</v>
      </c>
      <c r="H6087" s="13" t="s">
        <v>35</v>
      </c>
    </row>
    <row r="6088" spans="1:8" ht="14.4" x14ac:dyDescent="0.3">
      <c r="A6088" s="8">
        <v>1969455</v>
      </c>
      <c r="B6088" s="11">
        <v>44608</v>
      </c>
      <c r="C6088" s="13" t="s">
        <v>7732</v>
      </c>
      <c r="D6088" s="13" t="s">
        <v>7733</v>
      </c>
      <c r="E6088" s="8">
        <v>18000</v>
      </c>
      <c r="F6088" s="13" t="s">
        <v>70</v>
      </c>
      <c r="G6088" s="14">
        <v>44613</v>
      </c>
      <c r="H6088" s="13" t="s">
        <v>35</v>
      </c>
    </row>
    <row r="6089" spans="1:8" ht="14.4" x14ac:dyDescent="0.3">
      <c r="A6089" s="8">
        <v>1969456</v>
      </c>
      <c r="B6089" s="11">
        <v>44608</v>
      </c>
      <c r="C6089" s="13" t="s">
        <v>7734</v>
      </c>
      <c r="D6089" s="13" t="s">
        <v>7735</v>
      </c>
      <c r="E6089" s="8">
        <v>10000</v>
      </c>
      <c r="F6089" s="13" t="s">
        <v>70</v>
      </c>
      <c r="G6089" s="14">
        <v>44614</v>
      </c>
      <c r="H6089" s="13" t="s">
        <v>35</v>
      </c>
    </row>
    <row r="6090" spans="1:8" ht="14.4" x14ac:dyDescent="0.3">
      <c r="A6090" s="8">
        <v>1969457</v>
      </c>
      <c r="B6090" s="11">
        <v>44608</v>
      </c>
      <c r="C6090" s="13" t="s">
        <v>7736</v>
      </c>
      <c r="D6090" s="13" t="s">
        <v>7737</v>
      </c>
      <c r="E6090" s="8">
        <v>28000</v>
      </c>
      <c r="F6090" s="13" t="s">
        <v>70</v>
      </c>
      <c r="G6090" s="14">
        <v>44613</v>
      </c>
      <c r="H6090" s="13" t="s">
        <v>35</v>
      </c>
    </row>
    <row r="6091" spans="1:8" ht="14.4" x14ac:dyDescent="0.3">
      <c r="A6091" s="8">
        <v>1969458</v>
      </c>
      <c r="B6091" s="11">
        <v>44608</v>
      </c>
      <c r="C6091" s="13" t="s">
        <v>7738</v>
      </c>
      <c r="D6091" s="13" t="s">
        <v>7739</v>
      </c>
      <c r="E6091" s="8">
        <v>12000</v>
      </c>
      <c r="F6091" s="13" t="s">
        <v>70</v>
      </c>
      <c r="G6091" s="14">
        <v>44613</v>
      </c>
      <c r="H6091" s="13" t="s">
        <v>35</v>
      </c>
    </row>
    <row r="6092" spans="1:8" ht="14.4" x14ac:dyDescent="0.3">
      <c r="A6092" s="8">
        <v>1969459</v>
      </c>
      <c r="B6092" s="11">
        <v>44608</v>
      </c>
      <c r="C6092" s="13" t="s">
        <v>7740</v>
      </c>
      <c r="D6092" s="13" t="s">
        <v>7504</v>
      </c>
      <c r="E6092" s="8">
        <v>60000</v>
      </c>
      <c r="F6092" s="13" t="s">
        <v>70</v>
      </c>
      <c r="G6092" s="14">
        <v>44620</v>
      </c>
      <c r="H6092" s="13" t="s">
        <v>35</v>
      </c>
    </row>
    <row r="6093" spans="1:8" ht="14.4" x14ac:dyDescent="0.3">
      <c r="A6093" s="8">
        <v>1969460</v>
      </c>
      <c r="B6093" s="11">
        <v>44608</v>
      </c>
      <c r="C6093" s="13" t="s">
        <v>7741</v>
      </c>
      <c r="D6093" s="13" t="s">
        <v>7742</v>
      </c>
      <c r="E6093" s="8">
        <v>15807.24</v>
      </c>
      <c r="F6093" s="13" t="s">
        <v>70</v>
      </c>
      <c r="G6093" s="14">
        <v>44610</v>
      </c>
      <c r="H6093" s="13" t="s">
        <v>35</v>
      </c>
    </row>
    <row r="6094" spans="1:8" ht="14.4" x14ac:dyDescent="0.3">
      <c r="A6094" s="8">
        <v>1969461</v>
      </c>
      <c r="B6094" s="11">
        <v>44608</v>
      </c>
      <c r="C6094" s="13" t="s">
        <v>26</v>
      </c>
      <c r="D6094" s="13" t="s">
        <v>7743</v>
      </c>
      <c r="E6094" s="8">
        <v>4031.25</v>
      </c>
      <c r="F6094" s="13" t="s">
        <v>70</v>
      </c>
      <c r="G6094" s="14">
        <v>44614</v>
      </c>
      <c r="H6094" s="13" t="s">
        <v>35</v>
      </c>
    </row>
    <row r="6095" spans="1:8" ht="14.4" x14ac:dyDescent="0.3">
      <c r="A6095" s="8">
        <v>1969462</v>
      </c>
      <c r="B6095" s="11">
        <v>44609</v>
      </c>
      <c r="C6095" s="13" t="s">
        <v>217</v>
      </c>
      <c r="D6095" s="13" t="s">
        <v>7744</v>
      </c>
      <c r="E6095" s="8">
        <v>8000000</v>
      </c>
      <c r="F6095" s="13" t="s">
        <v>70</v>
      </c>
      <c r="G6095" s="14">
        <v>44609</v>
      </c>
      <c r="H6095" s="13" t="s">
        <v>35</v>
      </c>
    </row>
    <row r="6096" spans="1:8" ht="14.4" x14ac:dyDescent="0.3">
      <c r="A6096" s="8">
        <v>1969463</v>
      </c>
      <c r="B6096" s="11">
        <v>44609</v>
      </c>
      <c r="C6096" s="13" t="s">
        <v>7745</v>
      </c>
      <c r="D6096" s="13" t="s">
        <v>7746</v>
      </c>
      <c r="E6096" s="8">
        <v>20000</v>
      </c>
      <c r="F6096" s="13" t="s">
        <v>70</v>
      </c>
      <c r="G6096" s="14">
        <v>44613</v>
      </c>
      <c r="H6096" s="13" t="s">
        <v>35</v>
      </c>
    </row>
    <row r="6097" spans="1:8" ht="14.4" x14ac:dyDescent="0.3">
      <c r="A6097" s="8">
        <v>1969464</v>
      </c>
      <c r="B6097" s="11">
        <v>44609</v>
      </c>
      <c r="C6097" s="13" t="s">
        <v>7747</v>
      </c>
      <c r="D6097" s="13" t="s">
        <v>7748</v>
      </c>
      <c r="E6097" s="8">
        <v>10000</v>
      </c>
      <c r="F6097" s="13" t="s">
        <v>70</v>
      </c>
      <c r="G6097" s="14">
        <v>44614</v>
      </c>
      <c r="H6097" s="13" t="s">
        <v>35</v>
      </c>
    </row>
    <row r="6098" spans="1:8" ht="14.4" x14ac:dyDescent="0.3">
      <c r="A6098" s="8">
        <v>1969465</v>
      </c>
      <c r="B6098" s="11">
        <v>44609</v>
      </c>
      <c r="C6098" s="13" t="s">
        <v>7749</v>
      </c>
      <c r="D6098" s="13" t="s">
        <v>7750</v>
      </c>
      <c r="E6098" s="8">
        <v>10000</v>
      </c>
      <c r="F6098" s="13" t="s">
        <v>70</v>
      </c>
      <c r="G6098" s="14">
        <v>44615</v>
      </c>
      <c r="H6098" s="13" t="s">
        <v>35</v>
      </c>
    </row>
    <row r="6099" spans="1:8" ht="14.4" x14ac:dyDescent="0.3">
      <c r="A6099" s="8">
        <v>1969466</v>
      </c>
      <c r="B6099" s="11">
        <v>44609</v>
      </c>
      <c r="C6099" s="13" t="s">
        <v>7751</v>
      </c>
      <c r="D6099" s="13" t="s">
        <v>7752</v>
      </c>
      <c r="E6099" s="8">
        <v>14800</v>
      </c>
      <c r="F6099" s="13" t="s">
        <v>70</v>
      </c>
      <c r="G6099" s="14">
        <v>44613</v>
      </c>
      <c r="H6099" s="13" t="s">
        <v>35</v>
      </c>
    </row>
    <row r="6100" spans="1:8" ht="14.4" x14ac:dyDescent="0.3">
      <c r="A6100" s="8">
        <v>1969467</v>
      </c>
      <c r="B6100" s="11">
        <v>44609</v>
      </c>
      <c r="C6100" s="13" t="s">
        <v>122</v>
      </c>
      <c r="D6100" s="13" t="s">
        <v>7753</v>
      </c>
      <c r="E6100" s="8">
        <v>20000</v>
      </c>
      <c r="F6100" s="13" t="s">
        <v>70</v>
      </c>
      <c r="G6100" s="14">
        <v>44616</v>
      </c>
      <c r="H6100" s="13" t="s">
        <v>35</v>
      </c>
    </row>
    <row r="6101" spans="1:8" ht="14.4" x14ac:dyDescent="0.3">
      <c r="A6101" s="8">
        <v>1969468</v>
      </c>
      <c r="B6101" s="11">
        <v>44609</v>
      </c>
      <c r="C6101" s="13" t="s">
        <v>7754</v>
      </c>
      <c r="D6101" s="13" t="s">
        <v>7755</v>
      </c>
      <c r="E6101" s="8">
        <v>50000</v>
      </c>
      <c r="F6101" s="13" t="s">
        <v>70</v>
      </c>
      <c r="G6101" s="14">
        <v>44614</v>
      </c>
      <c r="H6101" s="13" t="s">
        <v>35</v>
      </c>
    </row>
    <row r="6102" spans="1:8" ht="14.4" x14ac:dyDescent="0.3">
      <c r="A6102" s="8">
        <v>1969469</v>
      </c>
      <c r="B6102" s="11">
        <v>44609</v>
      </c>
      <c r="C6102" s="13" t="s">
        <v>7756</v>
      </c>
      <c r="D6102" s="13" t="s">
        <v>7757</v>
      </c>
      <c r="E6102" s="8">
        <v>50000</v>
      </c>
      <c r="F6102" s="13" t="s">
        <v>70</v>
      </c>
      <c r="G6102" s="14">
        <v>44613</v>
      </c>
      <c r="H6102" s="13" t="s">
        <v>35</v>
      </c>
    </row>
    <row r="6103" spans="1:8" ht="14.4" x14ac:dyDescent="0.3">
      <c r="A6103" s="8">
        <v>1969470</v>
      </c>
      <c r="B6103" s="11">
        <v>44609</v>
      </c>
      <c r="C6103" s="13" t="s">
        <v>7758</v>
      </c>
      <c r="D6103" s="13" t="s">
        <v>7759</v>
      </c>
      <c r="E6103" s="8">
        <v>12000</v>
      </c>
      <c r="F6103" s="13" t="s">
        <v>70</v>
      </c>
      <c r="G6103" s="14">
        <v>44613</v>
      </c>
      <c r="H6103" s="13" t="s">
        <v>35</v>
      </c>
    </row>
    <row r="6104" spans="1:8" ht="14.4" x14ac:dyDescent="0.3">
      <c r="A6104" s="8">
        <v>1969471</v>
      </c>
      <c r="B6104" s="11">
        <v>44609</v>
      </c>
      <c r="C6104" s="13" t="s">
        <v>7760</v>
      </c>
      <c r="D6104" s="13" t="s">
        <v>7761</v>
      </c>
      <c r="E6104" s="8">
        <v>10000</v>
      </c>
      <c r="F6104" s="13" t="s">
        <v>70</v>
      </c>
      <c r="G6104" s="14">
        <v>44613</v>
      </c>
      <c r="H6104" s="13" t="s">
        <v>35</v>
      </c>
    </row>
    <row r="6105" spans="1:8" ht="14.4" x14ac:dyDescent="0.3">
      <c r="A6105" s="8">
        <v>1969472</v>
      </c>
      <c r="B6105" s="11">
        <v>44609</v>
      </c>
      <c r="C6105" s="13" t="s">
        <v>7762</v>
      </c>
      <c r="D6105" s="13" t="s">
        <v>7763</v>
      </c>
      <c r="E6105" s="8">
        <v>10000</v>
      </c>
      <c r="F6105" s="13" t="s">
        <v>70</v>
      </c>
      <c r="G6105" s="14">
        <v>44613</v>
      </c>
      <c r="H6105" s="13" t="s">
        <v>35</v>
      </c>
    </row>
    <row r="6106" spans="1:8" ht="14.4" x14ac:dyDescent="0.3">
      <c r="A6106" s="8">
        <v>1969473</v>
      </c>
      <c r="B6106" s="11">
        <v>44609</v>
      </c>
      <c r="C6106" s="13" t="s">
        <v>7764</v>
      </c>
      <c r="D6106" s="13" t="s">
        <v>7765</v>
      </c>
      <c r="E6106" s="8">
        <v>20000</v>
      </c>
      <c r="F6106" s="13" t="s">
        <v>70</v>
      </c>
      <c r="G6106" s="14">
        <v>44613</v>
      </c>
      <c r="H6106" s="13" t="s">
        <v>35</v>
      </c>
    </row>
    <row r="6107" spans="1:8" ht="14.4" x14ac:dyDescent="0.3">
      <c r="A6107" s="8">
        <v>1969474</v>
      </c>
      <c r="B6107" s="11">
        <v>44609</v>
      </c>
      <c r="C6107" s="13" t="s">
        <v>7766</v>
      </c>
      <c r="D6107" s="13" t="s">
        <v>7767</v>
      </c>
      <c r="E6107" s="8">
        <v>10000</v>
      </c>
      <c r="F6107" s="13" t="s">
        <v>70</v>
      </c>
      <c r="G6107" s="14">
        <v>44613</v>
      </c>
      <c r="H6107" s="13" t="s">
        <v>35</v>
      </c>
    </row>
    <row r="6108" spans="1:8" ht="14.4" x14ac:dyDescent="0.3">
      <c r="A6108" s="8">
        <v>1969475</v>
      </c>
      <c r="B6108" s="11">
        <v>44609</v>
      </c>
      <c r="C6108" s="13" t="s">
        <v>7768</v>
      </c>
      <c r="D6108" s="13" t="s">
        <v>7769</v>
      </c>
      <c r="E6108" s="8">
        <v>20000</v>
      </c>
      <c r="F6108" s="13" t="s">
        <v>70</v>
      </c>
      <c r="G6108" s="14">
        <v>44614</v>
      </c>
      <c r="H6108" s="13" t="s">
        <v>35</v>
      </c>
    </row>
    <row r="6109" spans="1:8" ht="14.4" x14ac:dyDescent="0.3">
      <c r="A6109" s="8">
        <v>1969476</v>
      </c>
      <c r="B6109" s="11">
        <v>44609</v>
      </c>
      <c r="C6109" s="13" t="s">
        <v>7770</v>
      </c>
      <c r="D6109" s="13" t="s">
        <v>7771</v>
      </c>
      <c r="E6109" s="8">
        <v>40000</v>
      </c>
      <c r="F6109" s="13" t="s">
        <v>70</v>
      </c>
      <c r="G6109" s="14">
        <v>44614</v>
      </c>
      <c r="H6109" s="13" t="s">
        <v>35</v>
      </c>
    </row>
    <row r="6110" spans="1:8" ht="14.4" x14ac:dyDescent="0.3">
      <c r="A6110" s="8">
        <v>1969477</v>
      </c>
      <c r="B6110" s="11">
        <v>44609</v>
      </c>
      <c r="C6110" s="13" t="s">
        <v>7772</v>
      </c>
      <c r="D6110" s="13" t="s">
        <v>7773</v>
      </c>
      <c r="E6110" s="8">
        <v>10000</v>
      </c>
      <c r="F6110" s="13" t="s">
        <v>70</v>
      </c>
      <c r="G6110" s="14">
        <v>44614</v>
      </c>
      <c r="H6110" s="13" t="s">
        <v>35</v>
      </c>
    </row>
    <row r="6111" spans="1:8" ht="14.4" x14ac:dyDescent="0.3">
      <c r="A6111" s="8">
        <v>1969478</v>
      </c>
      <c r="B6111" s="11">
        <v>44609</v>
      </c>
      <c r="C6111" s="13" t="s">
        <v>6703</v>
      </c>
      <c r="D6111" s="13" t="s">
        <v>7774</v>
      </c>
      <c r="E6111" s="8">
        <v>2976.33</v>
      </c>
      <c r="F6111" s="13" t="s">
        <v>70</v>
      </c>
      <c r="G6111" s="14">
        <v>44657</v>
      </c>
      <c r="H6111" s="13" t="s">
        <v>35</v>
      </c>
    </row>
    <row r="6112" spans="1:8" ht="14.4" x14ac:dyDescent="0.3">
      <c r="A6112" s="8">
        <v>1969479</v>
      </c>
      <c r="B6112" s="11">
        <v>44609</v>
      </c>
      <c r="C6112" s="13" t="s">
        <v>85</v>
      </c>
      <c r="D6112" s="13" t="s">
        <v>7775</v>
      </c>
      <c r="E6112" s="8">
        <v>11250</v>
      </c>
      <c r="F6112" s="13" t="s">
        <v>70</v>
      </c>
      <c r="G6112" s="14">
        <v>44613</v>
      </c>
      <c r="H6112" s="13" t="s">
        <v>35</v>
      </c>
    </row>
    <row r="6113" spans="1:8" ht="14.4" x14ac:dyDescent="0.3">
      <c r="A6113" s="8">
        <v>1969480</v>
      </c>
      <c r="B6113" s="11">
        <v>44609</v>
      </c>
      <c r="C6113" s="13" t="s">
        <v>189</v>
      </c>
      <c r="D6113" s="13" t="s">
        <v>7776</v>
      </c>
      <c r="E6113" s="8">
        <v>513196.58</v>
      </c>
      <c r="F6113" s="13" t="s">
        <v>70</v>
      </c>
      <c r="G6113" s="14">
        <v>44620</v>
      </c>
      <c r="H6113" s="13" t="s">
        <v>35</v>
      </c>
    </row>
    <row r="6114" spans="1:8" ht="14.4" x14ac:dyDescent="0.3">
      <c r="A6114" s="8">
        <v>1969481</v>
      </c>
      <c r="B6114" s="11">
        <v>44609</v>
      </c>
      <c r="C6114" s="13" t="s">
        <v>189</v>
      </c>
      <c r="D6114" s="13" t="s">
        <v>7777</v>
      </c>
      <c r="E6114" s="8">
        <v>30008.720000000001</v>
      </c>
      <c r="F6114" s="13" t="s">
        <v>70</v>
      </c>
      <c r="G6114" s="14">
        <v>44620</v>
      </c>
      <c r="H6114" s="13" t="s">
        <v>35</v>
      </c>
    </row>
    <row r="6115" spans="1:8" ht="14.4" x14ac:dyDescent="0.3">
      <c r="A6115" s="8">
        <v>1969482</v>
      </c>
      <c r="B6115" s="11">
        <v>44609</v>
      </c>
      <c r="C6115" s="13" t="s">
        <v>189</v>
      </c>
      <c r="D6115" s="13" t="s">
        <v>7778</v>
      </c>
      <c r="E6115" s="8">
        <v>62215.76</v>
      </c>
      <c r="F6115" s="13" t="s">
        <v>70</v>
      </c>
      <c r="G6115" s="14">
        <v>44620</v>
      </c>
      <c r="H6115" s="13" t="s">
        <v>35</v>
      </c>
    </row>
    <row r="6116" spans="1:8" ht="14.4" x14ac:dyDescent="0.3">
      <c r="A6116" s="8">
        <v>1969483</v>
      </c>
      <c r="B6116" s="11">
        <v>44609</v>
      </c>
      <c r="C6116" s="13" t="s">
        <v>217</v>
      </c>
      <c r="D6116" s="13" t="s">
        <v>7779</v>
      </c>
      <c r="E6116" s="8">
        <v>32500</v>
      </c>
      <c r="F6116" s="13" t="s">
        <v>70</v>
      </c>
      <c r="G6116" s="14">
        <v>44613</v>
      </c>
      <c r="H6116" s="13" t="s">
        <v>35</v>
      </c>
    </row>
    <row r="6117" spans="1:8" ht="14.4" x14ac:dyDescent="0.3">
      <c r="A6117" s="8">
        <v>1969484</v>
      </c>
      <c r="B6117" s="11">
        <v>44609</v>
      </c>
      <c r="C6117" s="13" t="s">
        <v>217</v>
      </c>
      <c r="D6117" s="13" t="s">
        <v>7780</v>
      </c>
      <c r="E6117" s="8">
        <v>44019.5</v>
      </c>
      <c r="F6117" s="13" t="s">
        <v>70</v>
      </c>
      <c r="G6117" s="14">
        <v>44613</v>
      </c>
      <c r="H6117" s="13" t="s">
        <v>35</v>
      </c>
    </row>
    <row r="6118" spans="1:8" ht="14.4" x14ac:dyDescent="0.3">
      <c r="A6118" s="8">
        <v>1969485</v>
      </c>
      <c r="B6118" s="11">
        <v>44609</v>
      </c>
      <c r="C6118" s="13" t="s">
        <v>217</v>
      </c>
      <c r="D6118" s="13" t="s">
        <v>7781</v>
      </c>
      <c r="E6118" s="8">
        <v>44660</v>
      </c>
      <c r="F6118" s="13" t="s">
        <v>70</v>
      </c>
      <c r="G6118" s="14">
        <v>44613</v>
      </c>
      <c r="H6118" s="13" t="s">
        <v>35</v>
      </c>
    </row>
    <row r="6119" spans="1:8" ht="14.4" x14ac:dyDescent="0.3">
      <c r="A6119" s="8">
        <v>1969486</v>
      </c>
      <c r="B6119" s="11">
        <v>44609</v>
      </c>
      <c r="C6119" s="13" t="s">
        <v>7782</v>
      </c>
      <c r="D6119" s="13" t="s">
        <v>7783</v>
      </c>
      <c r="E6119" s="8">
        <v>33310.199999999997</v>
      </c>
      <c r="F6119" s="13" t="s">
        <v>70</v>
      </c>
      <c r="G6119" s="14">
        <v>44614</v>
      </c>
      <c r="H6119" s="13" t="s">
        <v>35</v>
      </c>
    </row>
    <row r="6120" spans="1:8" ht="14.4" x14ac:dyDescent="0.3">
      <c r="A6120" s="8">
        <v>1969487</v>
      </c>
      <c r="B6120" s="11">
        <v>44609</v>
      </c>
      <c r="C6120" s="13" t="s">
        <v>395</v>
      </c>
      <c r="D6120" s="13" t="s">
        <v>7784</v>
      </c>
      <c r="E6120" s="8">
        <v>23423</v>
      </c>
      <c r="F6120" s="13" t="s">
        <v>70</v>
      </c>
      <c r="G6120" s="14">
        <v>44613</v>
      </c>
      <c r="H6120" s="13" t="s">
        <v>35</v>
      </c>
    </row>
    <row r="6121" spans="1:8" ht="14.4" x14ac:dyDescent="0.3">
      <c r="A6121" s="8">
        <v>1969488</v>
      </c>
      <c r="B6121" s="11">
        <v>44609</v>
      </c>
      <c r="C6121" s="13" t="s">
        <v>217</v>
      </c>
      <c r="D6121" s="13" t="s">
        <v>7785</v>
      </c>
      <c r="E6121" s="8">
        <v>33091.08</v>
      </c>
      <c r="F6121" s="13" t="s">
        <v>70</v>
      </c>
      <c r="G6121" s="14">
        <v>44613</v>
      </c>
      <c r="H6121" s="13" t="s">
        <v>35</v>
      </c>
    </row>
    <row r="6122" spans="1:8" ht="14.4" x14ac:dyDescent="0.3">
      <c r="A6122" s="8">
        <v>1969489</v>
      </c>
      <c r="B6122" s="11">
        <v>44609</v>
      </c>
      <c r="C6122" s="13" t="s">
        <v>265</v>
      </c>
      <c r="D6122" s="13" t="s">
        <v>7786</v>
      </c>
      <c r="E6122" s="8">
        <v>150507.76999999999</v>
      </c>
      <c r="F6122" s="13" t="s">
        <v>70</v>
      </c>
      <c r="G6122" s="14">
        <v>44613</v>
      </c>
      <c r="H6122" s="13" t="s">
        <v>35</v>
      </c>
    </row>
    <row r="6123" spans="1:8" ht="14.4" x14ac:dyDescent="0.3">
      <c r="A6123" s="8">
        <v>1969490</v>
      </c>
      <c r="B6123" s="11">
        <v>44609</v>
      </c>
      <c r="C6123" s="13" t="s">
        <v>44</v>
      </c>
      <c r="D6123" s="13" t="s">
        <v>7787</v>
      </c>
      <c r="E6123" s="8">
        <v>3673.27</v>
      </c>
      <c r="F6123" s="13" t="s">
        <v>70</v>
      </c>
      <c r="G6123" s="14">
        <v>44614</v>
      </c>
      <c r="H6123" s="13" t="s">
        <v>35</v>
      </c>
    </row>
    <row r="6124" spans="1:8" ht="14.4" x14ac:dyDescent="0.3">
      <c r="A6124" s="8">
        <v>1969491</v>
      </c>
      <c r="B6124" s="11">
        <v>44609</v>
      </c>
      <c r="C6124" s="13" t="s">
        <v>523</v>
      </c>
      <c r="D6124" s="13" t="s">
        <v>7788</v>
      </c>
      <c r="E6124" s="8">
        <v>13602.52</v>
      </c>
      <c r="F6124" s="13" t="s">
        <v>70</v>
      </c>
      <c r="G6124" s="14">
        <v>44616</v>
      </c>
      <c r="H6124" s="13" t="s">
        <v>35</v>
      </c>
    </row>
    <row r="6125" spans="1:8" ht="14.4" x14ac:dyDescent="0.3">
      <c r="A6125" s="8">
        <v>1969492</v>
      </c>
      <c r="B6125" s="11">
        <v>44609</v>
      </c>
      <c r="C6125" s="13" t="s">
        <v>44</v>
      </c>
      <c r="D6125" s="13" t="s">
        <v>7789</v>
      </c>
      <c r="E6125" s="8">
        <v>944.34</v>
      </c>
      <c r="F6125" s="13" t="s">
        <v>70</v>
      </c>
      <c r="G6125" s="14">
        <v>44614</v>
      </c>
      <c r="H6125" s="13" t="s">
        <v>35</v>
      </c>
    </row>
    <row r="6126" spans="1:8" ht="14.4" x14ac:dyDescent="0.3">
      <c r="A6126" s="8">
        <v>1969493</v>
      </c>
      <c r="B6126" s="11">
        <v>44609</v>
      </c>
      <c r="C6126" s="13" t="s">
        <v>1324</v>
      </c>
      <c r="D6126" s="13" t="s">
        <v>7790</v>
      </c>
      <c r="E6126" s="8">
        <v>2000</v>
      </c>
      <c r="F6126" s="13" t="s">
        <v>70</v>
      </c>
      <c r="G6126" s="14">
        <v>44614</v>
      </c>
      <c r="H6126" s="13" t="s">
        <v>35</v>
      </c>
    </row>
    <row r="6127" spans="1:8" ht="14.4" x14ac:dyDescent="0.3">
      <c r="A6127" s="8">
        <v>1969494</v>
      </c>
      <c r="B6127" s="11">
        <v>44609</v>
      </c>
      <c r="C6127" s="13" t="s">
        <v>2428</v>
      </c>
      <c r="D6127" s="13" t="s">
        <v>7791</v>
      </c>
      <c r="E6127" s="8">
        <v>77600</v>
      </c>
      <c r="F6127" s="13" t="s">
        <v>70</v>
      </c>
      <c r="G6127" s="14">
        <v>44620</v>
      </c>
      <c r="H6127" s="13" t="s">
        <v>35</v>
      </c>
    </row>
    <row r="6128" spans="1:8" ht="14.4" x14ac:dyDescent="0.3">
      <c r="A6128" s="8">
        <v>1969495</v>
      </c>
      <c r="B6128" s="11">
        <v>44609</v>
      </c>
      <c r="C6128" s="13" t="s">
        <v>1932</v>
      </c>
      <c r="D6128" s="13" t="s">
        <v>901</v>
      </c>
      <c r="E6128" s="8">
        <v>352407.76</v>
      </c>
      <c r="F6128" s="13" t="s">
        <v>70</v>
      </c>
      <c r="G6128" s="14">
        <v>44609</v>
      </c>
      <c r="H6128" s="13" t="s">
        <v>35</v>
      </c>
    </row>
    <row r="6129" spans="1:8" ht="14.4" x14ac:dyDescent="0.3">
      <c r="A6129" s="8">
        <v>1969496</v>
      </c>
      <c r="B6129" s="11">
        <v>44609</v>
      </c>
      <c r="C6129" s="13" t="s">
        <v>1606</v>
      </c>
      <c r="D6129" s="13" t="s">
        <v>7792</v>
      </c>
      <c r="E6129" s="8">
        <v>20000</v>
      </c>
      <c r="F6129" s="13" t="s">
        <v>70</v>
      </c>
      <c r="G6129" s="14">
        <v>44613</v>
      </c>
      <c r="H6129" s="13" t="s">
        <v>35</v>
      </c>
    </row>
    <row r="6130" spans="1:8" ht="14.4" x14ac:dyDescent="0.3">
      <c r="A6130" s="8">
        <v>1969497</v>
      </c>
      <c r="B6130" s="11">
        <v>44609</v>
      </c>
      <c r="C6130" s="13" t="s">
        <v>158</v>
      </c>
      <c r="D6130" s="13" t="s">
        <v>7793</v>
      </c>
      <c r="E6130" s="8">
        <v>20000</v>
      </c>
      <c r="F6130" s="13" t="s">
        <v>70</v>
      </c>
      <c r="G6130" s="14">
        <v>44613</v>
      </c>
      <c r="H6130" s="13" t="s">
        <v>35</v>
      </c>
    </row>
    <row r="6131" spans="1:8" ht="14.4" x14ac:dyDescent="0.3">
      <c r="A6131" s="8">
        <v>1969498</v>
      </c>
      <c r="B6131" s="11">
        <v>44609</v>
      </c>
      <c r="C6131" s="13" t="s">
        <v>7794</v>
      </c>
      <c r="D6131" s="13" t="s">
        <v>7795</v>
      </c>
      <c r="E6131" s="8">
        <v>11180.94</v>
      </c>
      <c r="F6131" s="13" t="s">
        <v>70</v>
      </c>
      <c r="G6131" s="14">
        <v>44610</v>
      </c>
      <c r="H6131" s="13" t="s">
        <v>35</v>
      </c>
    </row>
    <row r="6132" spans="1:8" ht="14.4" x14ac:dyDescent="0.3">
      <c r="A6132" s="8">
        <v>1969499</v>
      </c>
      <c r="B6132" s="11">
        <v>44609</v>
      </c>
      <c r="C6132" s="13" t="s">
        <v>217</v>
      </c>
      <c r="D6132" s="13" t="s">
        <v>7796</v>
      </c>
      <c r="E6132" s="8">
        <v>12182.82</v>
      </c>
      <c r="F6132" s="13" t="s">
        <v>70</v>
      </c>
      <c r="G6132" s="14">
        <v>44613</v>
      </c>
      <c r="H6132" s="13" t="s">
        <v>35</v>
      </c>
    </row>
    <row r="6133" spans="1:8" ht="14.4" x14ac:dyDescent="0.3">
      <c r="A6133" s="8">
        <v>1969500</v>
      </c>
      <c r="B6133" s="11">
        <v>44609</v>
      </c>
      <c r="C6133" s="13" t="s">
        <v>217</v>
      </c>
      <c r="D6133" s="13" t="s">
        <v>7797</v>
      </c>
      <c r="E6133" s="8">
        <v>8991.07</v>
      </c>
      <c r="F6133" s="13" t="s">
        <v>70</v>
      </c>
      <c r="G6133" s="14">
        <v>44613</v>
      </c>
      <c r="H6133" s="13" t="s">
        <v>35</v>
      </c>
    </row>
    <row r="6134" spans="1:8" ht="14.4" x14ac:dyDescent="0.3">
      <c r="A6134" s="8">
        <v>1969501</v>
      </c>
      <c r="B6134" s="11">
        <v>44609</v>
      </c>
      <c r="C6134" s="13" t="s">
        <v>7798</v>
      </c>
      <c r="D6134" s="13" t="s">
        <v>7799</v>
      </c>
      <c r="E6134" s="8">
        <v>13698</v>
      </c>
      <c r="F6134" s="13" t="s">
        <v>70</v>
      </c>
      <c r="G6134" s="14">
        <v>44613</v>
      </c>
      <c r="H6134" s="13" t="s">
        <v>35</v>
      </c>
    </row>
    <row r="6135" spans="1:8" ht="14.4" x14ac:dyDescent="0.3">
      <c r="A6135" s="8">
        <v>1969502</v>
      </c>
      <c r="B6135" s="11">
        <v>44609</v>
      </c>
      <c r="C6135" s="13" t="s">
        <v>492</v>
      </c>
      <c r="D6135" s="13" t="s">
        <v>7800</v>
      </c>
      <c r="E6135" s="8">
        <v>16962.900000000001</v>
      </c>
      <c r="F6135" s="13" t="s">
        <v>70</v>
      </c>
      <c r="G6135" s="14">
        <v>44614</v>
      </c>
      <c r="H6135" s="13" t="s">
        <v>35</v>
      </c>
    </row>
    <row r="6136" spans="1:8" ht="14.4" x14ac:dyDescent="0.3">
      <c r="A6136" s="8">
        <v>1969503</v>
      </c>
      <c r="B6136" s="11">
        <v>44609</v>
      </c>
      <c r="C6136" s="13" t="s">
        <v>7801</v>
      </c>
      <c r="D6136" s="13" t="s">
        <v>7802</v>
      </c>
      <c r="E6136" s="8">
        <v>6000</v>
      </c>
      <c r="F6136" s="13" t="s">
        <v>70</v>
      </c>
      <c r="G6136" s="14">
        <v>44686</v>
      </c>
      <c r="H6136" s="13" t="s">
        <v>35</v>
      </c>
    </row>
    <row r="6137" spans="1:8" ht="14.4" x14ac:dyDescent="0.3">
      <c r="A6137" s="8">
        <v>1969504</v>
      </c>
      <c r="B6137" s="11">
        <v>44609</v>
      </c>
      <c r="C6137" s="13" t="s">
        <v>893</v>
      </c>
      <c r="D6137" s="13" t="s">
        <v>7803</v>
      </c>
      <c r="E6137" s="8">
        <v>287580</v>
      </c>
      <c r="F6137" s="13" t="s">
        <v>70</v>
      </c>
      <c r="G6137" s="14">
        <v>44624</v>
      </c>
      <c r="H6137" s="13" t="s">
        <v>35</v>
      </c>
    </row>
    <row r="6138" spans="1:8" ht="14.4" x14ac:dyDescent="0.3">
      <c r="A6138" s="8">
        <v>1969505</v>
      </c>
      <c r="B6138" s="11">
        <v>44609</v>
      </c>
      <c r="C6138" s="13" t="s">
        <v>300</v>
      </c>
      <c r="D6138" s="13" t="s">
        <v>1466</v>
      </c>
      <c r="E6138" s="8">
        <v>6000</v>
      </c>
      <c r="F6138" s="13" t="s">
        <v>70</v>
      </c>
      <c r="G6138" s="14">
        <v>44620</v>
      </c>
      <c r="H6138" s="13" t="s">
        <v>35</v>
      </c>
    </row>
    <row r="6139" spans="1:8" ht="14.4" x14ac:dyDescent="0.3">
      <c r="A6139" s="8">
        <v>1969506</v>
      </c>
      <c r="B6139" s="11">
        <v>44609</v>
      </c>
      <c r="C6139" s="13" t="s">
        <v>158</v>
      </c>
      <c r="D6139" s="13" t="s">
        <v>7804</v>
      </c>
      <c r="E6139" s="8">
        <v>48150</v>
      </c>
      <c r="F6139" s="13" t="s">
        <v>70</v>
      </c>
      <c r="G6139" s="14">
        <v>44613</v>
      </c>
      <c r="H6139" s="13" t="s">
        <v>35</v>
      </c>
    </row>
    <row r="6140" spans="1:8" ht="14.4" x14ac:dyDescent="0.3">
      <c r="A6140" s="8">
        <v>1969507</v>
      </c>
      <c r="B6140" s="11">
        <v>44609</v>
      </c>
      <c r="C6140" s="13" t="s">
        <v>159</v>
      </c>
      <c r="D6140" s="13" t="s">
        <v>7805</v>
      </c>
      <c r="E6140" s="8">
        <v>333300</v>
      </c>
      <c r="F6140" s="13" t="s">
        <v>70</v>
      </c>
      <c r="G6140" s="14">
        <v>44610</v>
      </c>
      <c r="H6140" s="13" t="s">
        <v>35</v>
      </c>
    </row>
    <row r="6141" spans="1:8" ht="14.4" x14ac:dyDescent="0.3">
      <c r="A6141" s="8">
        <v>1969509</v>
      </c>
      <c r="B6141" s="11">
        <v>44609</v>
      </c>
      <c r="C6141" s="13" t="s">
        <v>844</v>
      </c>
      <c r="D6141" s="13" t="s">
        <v>7806</v>
      </c>
      <c r="E6141" s="8">
        <v>2000</v>
      </c>
      <c r="F6141" s="13" t="s">
        <v>70</v>
      </c>
      <c r="G6141" s="14">
        <v>44643</v>
      </c>
      <c r="H6141" s="13" t="s">
        <v>35</v>
      </c>
    </row>
    <row r="6142" spans="1:8" ht="14.4" x14ac:dyDescent="0.3">
      <c r="A6142" s="8">
        <v>1969510</v>
      </c>
      <c r="B6142" s="11">
        <v>44609</v>
      </c>
      <c r="C6142" s="13" t="s">
        <v>836</v>
      </c>
      <c r="D6142" s="13" t="s">
        <v>7806</v>
      </c>
      <c r="E6142" s="8">
        <v>2000</v>
      </c>
      <c r="F6142" s="13" t="s">
        <v>70</v>
      </c>
      <c r="G6142" s="14">
        <v>44643</v>
      </c>
      <c r="H6142" s="13" t="s">
        <v>35</v>
      </c>
    </row>
    <row r="6143" spans="1:8" ht="14.4" x14ac:dyDescent="0.3">
      <c r="A6143" s="8">
        <v>1969511</v>
      </c>
      <c r="B6143" s="11">
        <v>44609</v>
      </c>
      <c r="C6143" s="13" t="s">
        <v>846</v>
      </c>
      <c r="D6143" s="13" t="s">
        <v>7806</v>
      </c>
      <c r="E6143" s="8">
        <v>2000</v>
      </c>
      <c r="F6143" s="13" t="s">
        <v>70</v>
      </c>
      <c r="G6143" s="14">
        <v>44643</v>
      </c>
      <c r="H6143" s="13" t="s">
        <v>35</v>
      </c>
    </row>
    <row r="6144" spans="1:8" ht="14.4" x14ac:dyDescent="0.3">
      <c r="A6144" s="8">
        <v>1969512</v>
      </c>
      <c r="B6144" s="11">
        <v>44609</v>
      </c>
      <c r="C6144" s="13" t="s">
        <v>847</v>
      </c>
      <c r="D6144" s="13" t="s">
        <v>7806</v>
      </c>
      <c r="E6144" s="8">
        <v>2000</v>
      </c>
      <c r="F6144" s="13" t="s">
        <v>70</v>
      </c>
      <c r="G6144" s="14">
        <v>44643</v>
      </c>
      <c r="H6144" s="13" t="s">
        <v>35</v>
      </c>
    </row>
    <row r="6145" spans="1:8" ht="14.4" x14ac:dyDescent="0.3">
      <c r="A6145" s="8">
        <v>1969513</v>
      </c>
      <c r="B6145" s="11">
        <v>44609</v>
      </c>
      <c r="C6145" s="13" t="s">
        <v>848</v>
      </c>
      <c r="D6145" s="13" t="s">
        <v>7806</v>
      </c>
      <c r="E6145" s="8">
        <v>2000</v>
      </c>
      <c r="F6145" s="13" t="s">
        <v>70</v>
      </c>
      <c r="G6145" s="14">
        <v>44643</v>
      </c>
      <c r="H6145" s="13" t="s">
        <v>35</v>
      </c>
    </row>
    <row r="6146" spans="1:8" ht="14.4" x14ac:dyDescent="0.3">
      <c r="A6146" s="8">
        <v>1969514</v>
      </c>
      <c r="B6146" s="11">
        <v>44609</v>
      </c>
      <c r="C6146" s="13" t="s">
        <v>849</v>
      </c>
      <c r="D6146" s="13" t="s">
        <v>7806</v>
      </c>
      <c r="E6146" s="8">
        <v>2000</v>
      </c>
      <c r="F6146" s="13" t="s">
        <v>70</v>
      </c>
      <c r="G6146" s="14">
        <v>44643</v>
      </c>
      <c r="H6146" s="13" t="s">
        <v>35</v>
      </c>
    </row>
    <row r="6147" spans="1:8" ht="14.4" x14ac:dyDescent="0.3">
      <c r="A6147" s="8">
        <v>1969515</v>
      </c>
      <c r="B6147" s="11">
        <v>44609</v>
      </c>
      <c r="C6147" s="13" t="s">
        <v>850</v>
      </c>
      <c r="D6147" s="13" t="s">
        <v>7806</v>
      </c>
      <c r="E6147" s="8">
        <v>2000</v>
      </c>
      <c r="F6147" s="13" t="s">
        <v>70</v>
      </c>
      <c r="G6147" s="14">
        <v>44643</v>
      </c>
      <c r="H6147" s="13" t="s">
        <v>35</v>
      </c>
    </row>
    <row r="6148" spans="1:8" ht="14.4" x14ac:dyDescent="0.3">
      <c r="A6148" s="8">
        <v>1969516</v>
      </c>
      <c r="B6148" s="11">
        <v>44609</v>
      </c>
      <c r="C6148" s="13" t="s">
        <v>851</v>
      </c>
      <c r="D6148" s="13" t="s">
        <v>7806</v>
      </c>
      <c r="E6148" s="8">
        <v>2000</v>
      </c>
      <c r="F6148" s="13" t="s">
        <v>70</v>
      </c>
      <c r="G6148" s="14">
        <v>44643</v>
      </c>
      <c r="H6148" s="13" t="s">
        <v>35</v>
      </c>
    </row>
    <row r="6149" spans="1:8" ht="14.4" x14ac:dyDescent="0.3">
      <c r="A6149" s="8">
        <v>1969517</v>
      </c>
      <c r="B6149" s="11">
        <v>44609</v>
      </c>
      <c r="C6149" s="13" t="s">
        <v>2791</v>
      </c>
      <c r="D6149" s="13" t="s">
        <v>7806</v>
      </c>
      <c r="E6149" s="8">
        <v>2000</v>
      </c>
      <c r="F6149" s="13" t="s">
        <v>70</v>
      </c>
      <c r="G6149" s="14">
        <v>44643</v>
      </c>
      <c r="H6149" s="13" t="s">
        <v>35</v>
      </c>
    </row>
    <row r="6150" spans="1:8" ht="14.4" x14ac:dyDescent="0.3">
      <c r="A6150" s="8">
        <v>1969518</v>
      </c>
      <c r="B6150" s="11">
        <v>44609</v>
      </c>
      <c r="C6150" s="13" t="s">
        <v>2792</v>
      </c>
      <c r="D6150" s="13" t="s">
        <v>7806</v>
      </c>
      <c r="E6150" s="8">
        <v>2000</v>
      </c>
      <c r="F6150" s="13" t="s">
        <v>70</v>
      </c>
      <c r="G6150" s="14">
        <v>44643</v>
      </c>
      <c r="H6150" s="13" t="s">
        <v>35</v>
      </c>
    </row>
    <row r="6151" spans="1:8" ht="14.4" x14ac:dyDescent="0.3">
      <c r="A6151" s="8">
        <v>1969519</v>
      </c>
      <c r="B6151" s="11">
        <v>44609</v>
      </c>
      <c r="C6151" s="13" t="s">
        <v>854</v>
      </c>
      <c r="D6151" s="13" t="s">
        <v>7806</v>
      </c>
      <c r="E6151" s="8">
        <v>2000</v>
      </c>
      <c r="F6151" s="13" t="s">
        <v>70</v>
      </c>
      <c r="G6151" s="14">
        <v>44642</v>
      </c>
      <c r="H6151" s="13" t="s">
        <v>35</v>
      </c>
    </row>
    <row r="6152" spans="1:8" ht="14.4" x14ac:dyDescent="0.3">
      <c r="A6152" s="8">
        <v>1969520</v>
      </c>
      <c r="B6152" s="11">
        <v>44609</v>
      </c>
      <c r="C6152" s="13" t="s">
        <v>3538</v>
      </c>
      <c r="D6152" s="13" t="s">
        <v>7807</v>
      </c>
      <c r="E6152" s="8">
        <v>14125.42</v>
      </c>
      <c r="F6152" s="13" t="s">
        <v>70</v>
      </c>
      <c r="G6152" s="14">
        <v>44610</v>
      </c>
      <c r="H6152" s="13" t="s">
        <v>35</v>
      </c>
    </row>
    <row r="6153" spans="1:8" ht="14.4" x14ac:dyDescent="0.3">
      <c r="A6153" s="8">
        <v>1969521</v>
      </c>
      <c r="B6153" s="11">
        <v>44610</v>
      </c>
      <c r="C6153" s="13" t="s">
        <v>1637</v>
      </c>
      <c r="D6153" s="13" t="s">
        <v>7808</v>
      </c>
      <c r="E6153" s="8">
        <v>38150</v>
      </c>
      <c r="F6153" s="13" t="s">
        <v>70</v>
      </c>
      <c r="G6153" s="14">
        <v>44610</v>
      </c>
      <c r="H6153" s="13" t="s">
        <v>35</v>
      </c>
    </row>
    <row r="6154" spans="1:8" ht="14.4" x14ac:dyDescent="0.3">
      <c r="A6154" s="8">
        <v>1969522</v>
      </c>
      <c r="B6154" s="11">
        <v>44610</v>
      </c>
      <c r="C6154" s="13" t="s">
        <v>7809</v>
      </c>
      <c r="D6154" s="13" t="s">
        <v>7810</v>
      </c>
      <c r="E6154" s="8">
        <v>10000</v>
      </c>
      <c r="F6154" s="13" t="s">
        <v>70</v>
      </c>
      <c r="G6154" s="14">
        <v>44620</v>
      </c>
      <c r="H6154" s="13" t="s">
        <v>35</v>
      </c>
    </row>
    <row r="6155" spans="1:8" ht="14.4" x14ac:dyDescent="0.3">
      <c r="A6155" s="8">
        <v>1969523</v>
      </c>
      <c r="B6155" s="11">
        <v>44610</v>
      </c>
      <c r="C6155" s="13" t="s">
        <v>7811</v>
      </c>
      <c r="D6155" s="13" t="s">
        <v>7812</v>
      </c>
      <c r="E6155" s="8">
        <v>20000</v>
      </c>
      <c r="F6155" s="13" t="s">
        <v>70</v>
      </c>
      <c r="G6155" s="14">
        <v>44615</v>
      </c>
      <c r="H6155" s="13" t="s">
        <v>35</v>
      </c>
    </row>
    <row r="6156" spans="1:8" ht="14.4" x14ac:dyDescent="0.3">
      <c r="A6156" s="8">
        <v>1969524</v>
      </c>
      <c r="B6156" s="11">
        <v>44610</v>
      </c>
      <c r="C6156" s="13" t="s">
        <v>7813</v>
      </c>
      <c r="D6156" s="13" t="s">
        <v>7814</v>
      </c>
      <c r="E6156" s="8">
        <v>10000</v>
      </c>
      <c r="F6156" s="13" t="s">
        <v>70</v>
      </c>
      <c r="G6156" s="14">
        <v>44620</v>
      </c>
      <c r="H6156" s="13" t="s">
        <v>35</v>
      </c>
    </row>
    <row r="6157" spans="1:8" ht="14.4" x14ac:dyDescent="0.3">
      <c r="A6157" s="8">
        <v>1969525</v>
      </c>
      <c r="B6157" s="11">
        <v>44610</v>
      </c>
      <c r="C6157" s="13" t="s">
        <v>1276</v>
      </c>
      <c r="D6157" s="13" t="s">
        <v>7815</v>
      </c>
      <c r="E6157" s="8">
        <v>20000</v>
      </c>
      <c r="F6157" s="13" t="s">
        <v>70</v>
      </c>
      <c r="G6157" s="14">
        <v>44614</v>
      </c>
      <c r="H6157" s="13" t="s">
        <v>35</v>
      </c>
    </row>
    <row r="6158" spans="1:8" ht="14.4" x14ac:dyDescent="0.3">
      <c r="A6158" s="8">
        <v>1969526</v>
      </c>
      <c r="B6158" s="11">
        <v>44610</v>
      </c>
      <c r="C6158" s="13" t="s">
        <v>7816</v>
      </c>
      <c r="D6158" s="13" t="s">
        <v>7817</v>
      </c>
      <c r="E6158" s="8">
        <v>6000</v>
      </c>
      <c r="F6158" s="13" t="s">
        <v>70</v>
      </c>
      <c r="G6158" s="14">
        <v>44620</v>
      </c>
      <c r="H6158" s="13" t="s">
        <v>35</v>
      </c>
    </row>
    <row r="6159" spans="1:8" ht="14.4" x14ac:dyDescent="0.3">
      <c r="A6159" s="8">
        <v>1969527</v>
      </c>
      <c r="B6159" s="11">
        <v>44610</v>
      </c>
      <c r="C6159" s="13" t="s">
        <v>7818</v>
      </c>
      <c r="D6159" s="13" t="s">
        <v>7819</v>
      </c>
      <c r="E6159" s="8">
        <v>40000</v>
      </c>
      <c r="F6159" s="13" t="s">
        <v>70</v>
      </c>
      <c r="G6159" s="14">
        <v>44616</v>
      </c>
      <c r="H6159" s="13" t="s">
        <v>35</v>
      </c>
    </row>
    <row r="6160" spans="1:8" ht="14.4" x14ac:dyDescent="0.3">
      <c r="A6160" s="8">
        <v>1969528</v>
      </c>
      <c r="B6160" s="11">
        <v>44610</v>
      </c>
      <c r="C6160" s="13" t="s">
        <v>7820</v>
      </c>
      <c r="D6160" s="13" t="s">
        <v>7821</v>
      </c>
      <c r="E6160" s="8">
        <v>10000</v>
      </c>
      <c r="F6160" s="13" t="s">
        <v>70</v>
      </c>
      <c r="G6160" s="14">
        <v>44616</v>
      </c>
      <c r="H6160" s="13" t="s">
        <v>35</v>
      </c>
    </row>
    <row r="6161" spans="1:8" ht="14.4" x14ac:dyDescent="0.3">
      <c r="A6161" s="8">
        <v>1969529</v>
      </c>
      <c r="B6161" s="11">
        <v>44610</v>
      </c>
      <c r="C6161" s="13" t="s">
        <v>7822</v>
      </c>
      <c r="D6161" s="13" t="s">
        <v>7823</v>
      </c>
      <c r="E6161" s="8">
        <v>14000</v>
      </c>
      <c r="F6161" s="13" t="s">
        <v>70</v>
      </c>
      <c r="G6161" s="14">
        <v>44620</v>
      </c>
      <c r="H6161" s="13" t="s">
        <v>35</v>
      </c>
    </row>
    <row r="6162" spans="1:8" ht="14.4" x14ac:dyDescent="0.3">
      <c r="A6162" s="8">
        <v>1969530</v>
      </c>
      <c r="B6162" s="11">
        <v>44610</v>
      </c>
      <c r="C6162" s="13" t="s">
        <v>7824</v>
      </c>
      <c r="D6162" s="13" t="s">
        <v>7825</v>
      </c>
      <c r="E6162" s="8">
        <v>30000</v>
      </c>
      <c r="F6162" s="13" t="s">
        <v>70</v>
      </c>
      <c r="G6162" s="14">
        <v>44620</v>
      </c>
      <c r="H6162" s="13" t="s">
        <v>35</v>
      </c>
    </row>
    <row r="6163" spans="1:8" ht="14.4" x14ac:dyDescent="0.3">
      <c r="A6163" s="8">
        <v>1969531</v>
      </c>
      <c r="B6163" s="11">
        <v>44610</v>
      </c>
      <c r="C6163" s="13" t="s">
        <v>7826</v>
      </c>
      <c r="D6163" s="13" t="s">
        <v>7827</v>
      </c>
      <c r="E6163" s="8">
        <v>20000</v>
      </c>
      <c r="F6163" s="13" t="s">
        <v>70</v>
      </c>
      <c r="G6163" s="14">
        <v>44620</v>
      </c>
      <c r="H6163" s="13" t="s">
        <v>35</v>
      </c>
    </row>
    <row r="6164" spans="1:8" ht="14.4" x14ac:dyDescent="0.3">
      <c r="A6164" s="8">
        <v>1969532</v>
      </c>
      <c r="B6164" s="11">
        <v>44610</v>
      </c>
      <c r="C6164" s="13" t="s">
        <v>7828</v>
      </c>
      <c r="D6164" s="13" t="s">
        <v>7829</v>
      </c>
      <c r="E6164" s="8">
        <v>50000</v>
      </c>
      <c r="F6164" s="13" t="s">
        <v>70</v>
      </c>
      <c r="G6164" s="14">
        <v>44616</v>
      </c>
      <c r="H6164" s="13" t="s">
        <v>35</v>
      </c>
    </row>
    <row r="6165" spans="1:8" ht="14.4" x14ac:dyDescent="0.3">
      <c r="A6165" s="8">
        <v>1969533</v>
      </c>
      <c r="B6165" s="11">
        <v>44610</v>
      </c>
      <c r="C6165" s="13" t="s">
        <v>7830</v>
      </c>
      <c r="D6165" s="13" t="s">
        <v>7831</v>
      </c>
      <c r="E6165" s="8">
        <v>50000</v>
      </c>
      <c r="F6165" s="13" t="s">
        <v>70</v>
      </c>
      <c r="G6165" s="14">
        <v>44624</v>
      </c>
      <c r="H6165" s="13" t="s">
        <v>35</v>
      </c>
    </row>
    <row r="6166" spans="1:8" ht="14.4" x14ac:dyDescent="0.3">
      <c r="A6166" s="8">
        <v>1969534</v>
      </c>
      <c r="B6166" s="11">
        <v>44610</v>
      </c>
      <c r="C6166" s="13" t="s">
        <v>7832</v>
      </c>
      <c r="D6166" s="13" t="s">
        <v>7833</v>
      </c>
      <c r="E6166" s="8">
        <v>7000</v>
      </c>
      <c r="F6166" s="13" t="s">
        <v>70</v>
      </c>
      <c r="G6166" s="14">
        <v>44614</v>
      </c>
      <c r="H6166" s="13" t="s">
        <v>35</v>
      </c>
    </row>
    <row r="6167" spans="1:8" ht="14.4" x14ac:dyDescent="0.3">
      <c r="A6167" s="8">
        <v>1969535</v>
      </c>
      <c r="B6167" s="11">
        <v>44610</v>
      </c>
      <c r="C6167" s="13" t="s">
        <v>7834</v>
      </c>
      <c r="D6167" s="13" t="s">
        <v>7835</v>
      </c>
      <c r="E6167" s="8">
        <v>6000</v>
      </c>
      <c r="F6167" s="13" t="s">
        <v>70</v>
      </c>
      <c r="G6167" s="14">
        <v>44620</v>
      </c>
      <c r="H6167" s="13" t="s">
        <v>35</v>
      </c>
    </row>
    <row r="6168" spans="1:8" ht="14.4" x14ac:dyDescent="0.3">
      <c r="A6168" s="8">
        <v>1969536</v>
      </c>
      <c r="B6168" s="11">
        <v>44610</v>
      </c>
      <c r="C6168" s="13" t="s">
        <v>7836</v>
      </c>
      <c r="D6168" s="13" t="s">
        <v>7837</v>
      </c>
      <c r="E6168" s="8">
        <v>6000</v>
      </c>
      <c r="F6168" s="13" t="s">
        <v>70</v>
      </c>
      <c r="G6168" s="14">
        <v>44620</v>
      </c>
      <c r="H6168" s="13" t="s">
        <v>35</v>
      </c>
    </row>
    <row r="6169" spans="1:8" ht="14.4" x14ac:dyDescent="0.3">
      <c r="A6169" s="8">
        <v>1969537</v>
      </c>
      <c r="B6169" s="11">
        <v>44610</v>
      </c>
      <c r="C6169" s="13" t="s">
        <v>7838</v>
      </c>
      <c r="D6169" s="13" t="s">
        <v>7839</v>
      </c>
      <c r="E6169" s="8">
        <v>12000</v>
      </c>
      <c r="F6169" s="13" t="s">
        <v>70</v>
      </c>
      <c r="G6169" s="14">
        <v>44620</v>
      </c>
      <c r="H6169" s="13" t="s">
        <v>35</v>
      </c>
    </row>
    <row r="6170" spans="1:8" ht="14.4" x14ac:dyDescent="0.3">
      <c r="A6170" s="8">
        <v>1969539</v>
      </c>
      <c r="B6170" s="11">
        <v>44610</v>
      </c>
      <c r="C6170" s="13" t="s">
        <v>7840</v>
      </c>
      <c r="D6170" s="13" t="s">
        <v>7841</v>
      </c>
      <c r="E6170" s="8">
        <v>50000</v>
      </c>
      <c r="F6170" s="13" t="s">
        <v>70</v>
      </c>
      <c r="G6170" s="14">
        <v>44614</v>
      </c>
      <c r="H6170" s="13" t="s">
        <v>35</v>
      </c>
    </row>
    <row r="6171" spans="1:8" ht="14.4" x14ac:dyDescent="0.3">
      <c r="A6171" s="8">
        <v>1969540</v>
      </c>
      <c r="B6171" s="11">
        <v>44610</v>
      </c>
      <c r="C6171" s="13" t="s">
        <v>7842</v>
      </c>
      <c r="D6171" s="13" t="s">
        <v>7843</v>
      </c>
      <c r="E6171" s="8">
        <v>12000</v>
      </c>
      <c r="F6171" s="13" t="s">
        <v>70</v>
      </c>
      <c r="G6171" s="14">
        <v>44615</v>
      </c>
      <c r="H6171" s="13" t="s">
        <v>35</v>
      </c>
    </row>
    <row r="6172" spans="1:8" ht="14.4" x14ac:dyDescent="0.3">
      <c r="A6172" s="8">
        <v>1969541</v>
      </c>
      <c r="B6172" s="11">
        <v>44610</v>
      </c>
      <c r="C6172" s="13" t="s">
        <v>7844</v>
      </c>
      <c r="D6172" s="13" t="s">
        <v>7845</v>
      </c>
      <c r="E6172" s="8">
        <v>14000</v>
      </c>
      <c r="F6172" s="13" t="s">
        <v>70</v>
      </c>
      <c r="G6172" s="14">
        <v>44615</v>
      </c>
      <c r="H6172" s="13" t="s">
        <v>35</v>
      </c>
    </row>
    <row r="6173" spans="1:8" ht="14.4" x14ac:dyDescent="0.3">
      <c r="A6173" s="8">
        <v>1969542</v>
      </c>
      <c r="B6173" s="11">
        <v>44610</v>
      </c>
      <c r="C6173" s="13" t="s">
        <v>7846</v>
      </c>
      <c r="D6173" s="13" t="s">
        <v>7847</v>
      </c>
      <c r="E6173" s="8">
        <v>40000</v>
      </c>
      <c r="F6173" s="13" t="s">
        <v>70</v>
      </c>
      <c r="G6173" s="14">
        <v>44620</v>
      </c>
      <c r="H6173" s="13" t="s">
        <v>35</v>
      </c>
    </row>
    <row r="6174" spans="1:8" ht="14.4" x14ac:dyDescent="0.3">
      <c r="A6174" s="8">
        <v>1969543</v>
      </c>
      <c r="B6174" s="11">
        <v>44610</v>
      </c>
      <c r="C6174" s="13" t="s">
        <v>7848</v>
      </c>
      <c r="D6174" s="13" t="s">
        <v>7849</v>
      </c>
      <c r="E6174" s="8">
        <v>25000</v>
      </c>
      <c r="F6174" s="13" t="s">
        <v>70</v>
      </c>
      <c r="G6174" s="14">
        <v>44616</v>
      </c>
      <c r="H6174" s="13" t="s">
        <v>35</v>
      </c>
    </row>
    <row r="6175" spans="1:8" ht="14.4" x14ac:dyDescent="0.3">
      <c r="A6175" s="8">
        <v>1969544</v>
      </c>
      <c r="B6175" s="11">
        <v>44610</v>
      </c>
      <c r="C6175" s="13" t="s">
        <v>7850</v>
      </c>
      <c r="D6175" s="13" t="s">
        <v>7851</v>
      </c>
      <c r="E6175" s="8">
        <v>15000</v>
      </c>
      <c r="F6175" s="13" t="s">
        <v>70</v>
      </c>
      <c r="G6175" s="14">
        <v>44616</v>
      </c>
      <c r="H6175" s="13" t="s">
        <v>35</v>
      </c>
    </row>
    <row r="6176" spans="1:8" ht="14.4" x14ac:dyDescent="0.3">
      <c r="A6176" s="8">
        <v>1969545</v>
      </c>
      <c r="B6176" s="11">
        <v>44610</v>
      </c>
      <c r="C6176" s="13" t="s">
        <v>7852</v>
      </c>
      <c r="D6176" s="13" t="s">
        <v>7853</v>
      </c>
      <c r="E6176" s="8">
        <v>10000</v>
      </c>
      <c r="F6176" s="13" t="s">
        <v>70</v>
      </c>
      <c r="G6176" s="14">
        <v>44615</v>
      </c>
      <c r="H6176" s="13" t="s">
        <v>35</v>
      </c>
    </row>
    <row r="6177" spans="1:8" ht="14.4" x14ac:dyDescent="0.3">
      <c r="A6177" s="8">
        <v>1969546</v>
      </c>
      <c r="B6177" s="11">
        <v>44610</v>
      </c>
      <c r="C6177" s="13" t="s">
        <v>7854</v>
      </c>
      <c r="D6177" s="13" t="s">
        <v>7855</v>
      </c>
      <c r="E6177" s="8">
        <v>25000</v>
      </c>
      <c r="F6177" s="13" t="s">
        <v>70</v>
      </c>
      <c r="G6177" s="14">
        <v>44615</v>
      </c>
      <c r="H6177" s="13" t="s">
        <v>35</v>
      </c>
    </row>
    <row r="6178" spans="1:8" ht="14.4" x14ac:dyDescent="0.3">
      <c r="A6178" s="8">
        <v>1969547</v>
      </c>
      <c r="B6178" s="11">
        <v>44610</v>
      </c>
      <c r="C6178" s="13" t="s">
        <v>7856</v>
      </c>
      <c r="D6178" s="13" t="s">
        <v>7857</v>
      </c>
      <c r="E6178" s="8">
        <v>10000</v>
      </c>
      <c r="F6178" s="13" t="s">
        <v>70</v>
      </c>
      <c r="G6178" s="14">
        <v>44631</v>
      </c>
      <c r="H6178" s="13" t="s">
        <v>35</v>
      </c>
    </row>
    <row r="6179" spans="1:8" ht="14.4" x14ac:dyDescent="0.3">
      <c r="A6179" s="8">
        <v>1969548</v>
      </c>
      <c r="B6179" s="11">
        <v>44610</v>
      </c>
      <c r="C6179" s="13" t="s">
        <v>7858</v>
      </c>
      <c r="D6179" s="13" t="s">
        <v>7859</v>
      </c>
      <c r="E6179" s="8">
        <v>8000</v>
      </c>
      <c r="F6179" s="13" t="s">
        <v>70</v>
      </c>
      <c r="G6179" s="14">
        <v>44615</v>
      </c>
      <c r="H6179" s="13" t="s">
        <v>35</v>
      </c>
    </row>
    <row r="6180" spans="1:8" ht="14.4" x14ac:dyDescent="0.3">
      <c r="A6180" s="8">
        <v>1969549</v>
      </c>
      <c r="B6180" s="11">
        <v>44610</v>
      </c>
      <c r="C6180" s="13" t="s">
        <v>7860</v>
      </c>
      <c r="D6180" s="13" t="s">
        <v>7861</v>
      </c>
      <c r="E6180" s="8">
        <v>15000</v>
      </c>
      <c r="F6180" s="13" t="s">
        <v>70</v>
      </c>
      <c r="G6180" s="14">
        <v>44616</v>
      </c>
      <c r="H6180" s="13" t="s">
        <v>35</v>
      </c>
    </row>
    <row r="6181" spans="1:8" ht="14.4" x14ac:dyDescent="0.3">
      <c r="A6181" s="8">
        <v>1969550</v>
      </c>
      <c r="B6181" s="11">
        <v>44610</v>
      </c>
      <c r="C6181" s="13" t="s">
        <v>7862</v>
      </c>
      <c r="D6181" s="13" t="s">
        <v>7863</v>
      </c>
      <c r="E6181" s="8">
        <v>30000</v>
      </c>
      <c r="F6181" s="13" t="s">
        <v>70</v>
      </c>
      <c r="G6181" s="14">
        <v>44615</v>
      </c>
      <c r="H6181" s="13" t="s">
        <v>35</v>
      </c>
    </row>
    <row r="6182" spans="1:8" ht="14.4" x14ac:dyDescent="0.3">
      <c r="A6182" s="8">
        <v>1969551</v>
      </c>
      <c r="B6182" s="11">
        <v>44610</v>
      </c>
      <c r="C6182" s="13" t="s">
        <v>6823</v>
      </c>
      <c r="D6182" s="13" t="s">
        <v>7864</v>
      </c>
      <c r="E6182" s="8">
        <v>50000</v>
      </c>
      <c r="F6182" s="13" t="s">
        <v>70</v>
      </c>
      <c r="G6182" s="14">
        <v>44616</v>
      </c>
      <c r="H6182" s="13" t="s">
        <v>35</v>
      </c>
    </row>
    <row r="6183" spans="1:8" ht="14.4" x14ac:dyDescent="0.3">
      <c r="A6183" s="8">
        <v>1969552</v>
      </c>
      <c r="B6183" s="11">
        <v>44610</v>
      </c>
      <c r="C6183" s="13" t="s">
        <v>7865</v>
      </c>
      <c r="D6183" s="13" t="s">
        <v>7866</v>
      </c>
      <c r="E6183" s="8">
        <v>20000</v>
      </c>
      <c r="F6183" s="13" t="s">
        <v>70</v>
      </c>
      <c r="G6183" s="14">
        <v>44615</v>
      </c>
      <c r="H6183" s="13" t="s">
        <v>35</v>
      </c>
    </row>
    <row r="6184" spans="1:8" ht="14.4" x14ac:dyDescent="0.3">
      <c r="A6184" s="8">
        <v>1969553</v>
      </c>
      <c r="B6184" s="11">
        <v>44610</v>
      </c>
      <c r="C6184" s="13" t="s">
        <v>7867</v>
      </c>
      <c r="D6184" s="13" t="s">
        <v>7868</v>
      </c>
      <c r="E6184" s="8">
        <v>12000</v>
      </c>
      <c r="F6184" s="13" t="s">
        <v>70</v>
      </c>
      <c r="G6184" s="14">
        <v>44630</v>
      </c>
      <c r="H6184" s="13" t="s">
        <v>35</v>
      </c>
    </row>
    <row r="6185" spans="1:8" ht="14.4" x14ac:dyDescent="0.3">
      <c r="A6185" s="8">
        <v>1969554</v>
      </c>
      <c r="B6185" s="11">
        <v>44610</v>
      </c>
      <c r="C6185" s="13" t="s">
        <v>7869</v>
      </c>
      <c r="D6185" s="13" t="s">
        <v>7870</v>
      </c>
      <c r="E6185" s="8">
        <v>10500</v>
      </c>
      <c r="F6185" s="13" t="s">
        <v>70</v>
      </c>
      <c r="G6185" s="14">
        <v>44615</v>
      </c>
      <c r="H6185" s="13" t="s">
        <v>35</v>
      </c>
    </row>
    <row r="6186" spans="1:8" ht="14.4" x14ac:dyDescent="0.3">
      <c r="A6186" s="8">
        <v>1969555</v>
      </c>
      <c r="B6186" s="11">
        <v>44610</v>
      </c>
      <c r="C6186" s="13" t="s">
        <v>6825</v>
      </c>
      <c r="D6186" s="13" t="s">
        <v>7871</v>
      </c>
      <c r="E6186" s="8">
        <v>40000</v>
      </c>
      <c r="F6186" s="13" t="s">
        <v>70</v>
      </c>
      <c r="G6186" s="14">
        <v>44615</v>
      </c>
      <c r="H6186" s="13" t="s">
        <v>35</v>
      </c>
    </row>
    <row r="6187" spans="1:8" ht="14.4" x14ac:dyDescent="0.3">
      <c r="A6187" s="8">
        <v>1969556</v>
      </c>
      <c r="B6187" s="11">
        <v>44610</v>
      </c>
      <c r="C6187" s="13" t="s">
        <v>7872</v>
      </c>
      <c r="D6187" s="13" t="s">
        <v>7873</v>
      </c>
      <c r="E6187" s="8">
        <v>10000</v>
      </c>
      <c r="F6187" s="13" t="s">
        <v>70</v>
      </c>
      <c r="G6187" s="14">
        <v>44615</v>
      </c>
      <c r="H6187" s="13" t="s">
        <v>35</v>
      </c>
    </row>
    <row r="6188" spans="1:8" ht="14.4" x14ac:dyDescent="0.3">
      <c r="A6188" s="8">
        <v>1969557</v>
      </c>
      <c r="B6188" s="11">
        <v>44610</v>
      </c>
      <c r="C6188" s="13" t="s">
        <v>7874</v>
      </c>
      <c r="D6188" s="13" t="s">
        <v>7875</v>
      </c>
      <c r="E6188" s="8">
        <v>20000</v>
      </c>
      <c r="F6188" s="13" t="s">
        <v>70</v>
      </c>
      <c r="G6188" s="14">
        <v>44615</v>
      </c>
      <c r="H6188" s="13" t="s">
        <v>35</v>
      </c>
    </row>
    <row r="6189" spans="1:8" ht="14.4" x14ac:dyDescent="0.3">
      <c r="A6189" s="8">
        <v>1969558</v>
      </c>
      <c r="B6189" s="11">
        <v>44610</v>
      </c>
      <c r="C6189" s="13" t="s">
        <v>7876</v>
      </c>
      <c r="D6189" s="13" t="s">
        <v>7877</v>
      </c>
      <c r="E6189" s="8">
        <v>2300</v>
      </c>
      <c r="F6189" s="13" t="s">
        <v>70</v>
      </c>
      <c r="G6189" s="14">
        <v>44614</v>
      </c>
      <c r="H6189" s="13" t="s">
        <v>35</v>
      </c>
    </row>
    <row r="6190" spans="1:8" ht="14.4" x14ac:dyDescent="0.3">
      <c r="A6190" s="8">
        <v>1969559</v>
      </c>
      <c r="B6190" s="11">
        <v>44610</v>
      </c>
      <c r="C6190" s="13" t="s">
        <v>7878</v>
      </c>
      <c r="D6190" s="13" t="s">
        <v>7879</v>
      </c>
      <c r="E6190" s="8">
        <v>20000</v>
      </c>
      <c r="F6190" s="13" t="s">
        <v>70</v>
      </c>
      <c r="G6190" s="14">
        <v>44615</v>
      </c>
      <c r="H6190" s="13" t="s">
        <v>35</v>
      </c>
    </row>
    <row r="6191" spans="1:8" ht="14.4" x14ac:dyDescent="0.3">
      <c r="A6191" s="8">
        <v>1969560</v>
      </c>
      <c r="B6191" s="11">
        <v>44610</v>
      </c>
      <c r="C6191" s="13" t="s">
        <v>7880</v>
      </c>
      <c r="D6191" s="13" t="s">
        <v>7881</v>
      </c>
      <c r="E6191" s="8">
        <v>10000</v>
      </c>
      <c r="F6191" s="13" t="s">
        <v>70</v>
      </c>
      <c r="G6191" s="14">
        <v>44615</v>
      </c>
      <c r="H6191" s="13" t="s">
        <v>35</v>
      </c>
    </row>
    <row r="6192" spans="1:8" ht="14.4" x14ac:dyDescent="0.3">
      <c r="A6192" s="8">
        <v>1969561</v>
      </c>
      <c r="B6192" s="11">
        <v>44610</v>
      </c>
      <c r="C6192" s="13" t="s">
        <v>7882</v>
      </c>
      <c r="D6192" s="13" t="s">
        <v>7883</v>
      </c>
      <c r="E6192" s="8">
        <v>50000</v>
      </c>
      <c r="F6192" s="13" t="s">
        <v>70</v>
      </c>
      <c r="G6192" s="14">
        <v>44614</v>
      </c>
      <c r="H6192" s="13" t="s">
        <v>35</v>
      </c>
    </row>
    <row r="6193" spans="1:8" ht="14.4" x14ac:dyDescent="0.3">
      <c r="A6193" s="8">
        <v>1969562</v>
      </c>
      <c r="B6193" s="11">
        <v>44610</v>
      </c>
      <c r="C6193" s="13" t="s">
        <v>7884</v>
      </c>
      <c r="D6193" s="13" t="s">
        <v>7885</v>
      </c>
      <c r="E6193" s="8">
        <v>7000</v>
      </c>
      <c r="F6193" s="13" t="s">
        <v>70</v>
      </c>
      <c r="G6193" s="14">
        <v>44614</v>
      </c>
      <c r="H6193" s="13" t="s">
        <v>35</v>
      </c>
    </row>
    <row r="6194" spans="1:8" ht="14.4" x14ac:dyDescent="0.3">
      <c r="A6194" s="8">
        <v>1969563</v>
      </c>
      <c r="B6194" s="11">
        <v>44610</v>
      </c>
      <c r="C6194" s="13" t="s">
        <v>7886</v>
      </c>
      <c r="D6194" s="13" t="s">
        <v>7887</v>
      </c>
      <c r="E6194" s="8">
        <v>39000</v>
      </c>
      <c r="F6194" s="13" t="s">
        <v>70</v>
      </c>
      <c r="G6194" s="14">
        <v>44614</v>
      </c>
      <c r="H6194" s="13" t="s">
        <v>35</v>
      </c>
    </row>
    <row r="6195" spans="1:8" ht="14.4" x14ac:dyDescent="0.3">
      <c r="A6195" s="8">
        <v>1969564</v>
      </c>
      <c r="B6195" s="11">
        <v>44610</v>
      </c>
      <c r="C6195" s="13" t="s">
        <v>7888</v>
      </c>
      <c r="D6195" s="13" t="s">
        <v>7889</v>
      </c>
      <c r="E6195" s="8">
        <v>20000</v>
      </c>
      <c r="F6195" s="13" t="s">
        <v>70</v>
      </c>
      <c r="G6195" s="14">
        <v>44615</v>
      </c>
      <c r="H6195" s="13" t="s">
        <v>35</v>
      </c>
    </row>
    <row r="6196" spans="1:8" ht="14.4" x14ac:dyDescent="0.3">
      <c r="A6196" s="8">
        <v>1969565</v>
      </c>
      <c r="B6196" s="11">
        <v>44610</v>
      </c>
      <c r="C6196" s="13" t="s">
        <v>7890</v>
      </c>
      <c r="D6196" s="13" t="s">
        <v>7891</v>
      </c>
      <c r="E6196" s="8">
        <v>10000</v>
      </c>
      <c r="F6196" s="13" t="s">
        <v>70</v>
      </c>
      <c r="G6196" s="14">
        <v>44615</v>
      </c>
      <c r="H6196" s="13" t="s">
        <v>35</v>
      </c>
    </row>
    <row r="6197" spans="1:8" ht="14.4" x14ac:dyDescent="0.3">
      <c r="A6197" s="8">
        <v>1969566</v>
      </c>
      <c r="B6197" s="11">
        <v>44610</v>
      </c>
      <c r="C6197" s="13" t="s">
        <v>7892</v>
      </c>
      <c r="D6197" s="13" t="s">
        <v>7893</v>
      </c>
      <c r="E6197" s="8">
        <v>50000</v>
      </c>
      <c r="F6197" s="13" t="s">
        <v>70</v>
      </c>
      <c r="G6197" s="14">
        <v>44629</v>
      </c>
      <c r="H6197" s="13" t="s">
        <v>35</v>
      </c>
    </row>
    <row r="6198" spans="1:8" ht="14.4" x14ac:dyDescent="0.3">
      <c r="A6198" s="8">
        <v>1969567</v>
      </c>
      <c r="B6198" s="11">
        <v>44610</v>
      </c>
      <c r="C6198" s="13" t="s">
        <v>7894</v>
      </c>
      <c r="D6198" s="13" t="s">
        <v>7895</v>
      </c>
      <c r="E6198" s="8">
        <v>30000</v>
      </c>
      <c r="F6198" s="13" t="s">
        <v>70</v>
      </c>
      <c r="G6198" s="14">
        <v>44615</v>
      </c>
      <c r="H6198" s="13" t="s">
        <v>35</v>
      </c>
    </row>
    <row r="6199" spans="1:8" ht="14.4" x14ac:dyDescent="0.3">
      <c r="A6199" s="8">
        <v>1969568</v>
      </c>
      <c r="B6199" s="11">
        <v>44610</v>
      </c>
      <c r="C6199" s="13" t="s">
        <v>7896</v>
      </c>
      <c r="D6199" s="13" t="s">
        <v>7897</v>
      </c>
      <c r="E6199" s="8">
        <v>10000</v>
      </c>
      <c r="F6199" s="13" t="s">
        <v>70</v>
      </c>
      <c r="G6199" s="14">
        <v>44614</v>
      </c>
      <c r="H6199" s="13" t="s">
        <v>35</v>
      </c>
    </row>
    <row r="6200" spans="1:8" ht="14.4" x14ac:dyDescent="0.3">
      <c r="A6200" s="8">
        <v>1969569</v>
      </c>
      <c r="B6200" s="11">
        <v>44610</v>
      </c>
      <c r="C6200" s="13" t="s">
        <v>7898</v>
      </c>
      <c r="D6200" s="13" t="s">
        <v>7899</v>
      </c>
      <c r="E6200" s="8">
        <v>15000</v>
      </c>
      <c r="F6200" s="13" t="s">
        <v>70</v>
      </c>
      <c r="G6200" s="14">
        <v>44614</v>
      </c>
      <c r="H6200" s="13" t="s">
        <v>35</v>
      </c>
    </row>
    <row r="6201" spans="1:8" ht="14.4" x14ac:dyDescent="0.3">
      <c r="A6201" s="8">
        <v>1969570</v>
      </c>
      <c r="B6201" s="11">
        <v>44610</v>
      </c>
      <c r="C6201" s="13" t="s">
        <v>7900</v>
      </c>
      <c r="D6201" s="13" t="s">
        <v>7901</v>
      </c>
      <c r="E6201" s="8">
        <v>10000</v>
      </c>
      <c r="F6201" s="13" t="s">
        <v>70</v>
      </c>
      <c r="G6201" s="14">
        <v>44614</v>
      </c>
      <c r="H6201" s="13" t="s">
        <v>35</v>
      </c>
    </row>
    <row r="6202" spans="1:8" ht="14.4" x14ac:dyDescent="0.3">
      <c r="A6202" s="8">
        <v>1969571</v>
      </c>
      <c r="B6202" s="11">
        <v>44610</v>
      </c>
      <c r="C6202" s="13" t="s">
        <v>7902</v>
      </c>
      <c r="D6202" s="13" t="s">
        <v>7795</v>
      </c>
      <c r="E6202" s="8">
        <v>29239.42</v>
      </c>
      <c r="F6202" s="13" t="s">
        <v>70</v>
      </c>
      <c r="G6202" s="14">
        <v>44610</v>
      </c>
      <c r="H6202" s="13" t="s">
        <v>35</v>
      </c>
    </row>
    <row r="6203" spans="1:8" ht="14.4" x14ac:dyDescent="0.3">
      <c r="A6203" s="8">
        <v>1969572</v>
      </c>
      <c r="B6203" s="11">
        <v>44610</v>
      </c>
      <c r="C6203" s="13" t="s">
        <v>7903</v>
      </c>
      <c r="D6203" s="13" t="s">
        <v>7807</v>
      </c>
      <c r="E6203" s="8">
        <v>24299.08</v>
      </c>
      <c r="F6203" s="13" t="s">
        <v>70</v>
      </c>
      <c r="G6203" s="14">
        <v>44610</v>
      </c>
      <c r="H6203" s="13" t="s">
        <v>35</v>
      </c>
    </row>
    <row r="6204" spans="1:8" ht="14.4" x14ac:dyDescent="0.3">
      <c r="A6204" s="8">
        <v>1969573</v>
      </c>
      <c r="B6204" s="11">
        <v>44610</v>
      </c>
      <c r="C6204" s="13" t="s">
        <v>7904</v>
      </c>
      <c r="D6204" s="13" t="s">
        <v>7795</v>
      </c>
      <c r="E6204" s="8">
        <v>14453.02</v>
      </c>
      <c r="F6204" s="13" t="s">
        <v>70</v>
      </c>
      <c r="G6204" s="14">
        <v>44613</v>
      </c>
      <c r="H6204" s="13" t="s">
        <v>35</v>
      </c>
    </row>
    <row r="6205" spans="1:8" ht="14.4" x14ac:dyDescent="0.3">
      <c r="A6205" s="8">
        <v>1969574</v>
      </c>
      <c r="B6205" s="11">
        <v>44610</v>
      </c>
      <c r="C6205" s="13" t="s">
        <v>7905</v>
      </c>
      <c r="D6205" s="13" t="s">
        <v>7795</v>
      </c>
      <c r="E6205" s="8">
        <v>16886.09</v>
      </c>
      <c r="F6205" s="13" t="s">
        <v>70</v>
      </c>
      <c r="G6205" s="14">
        <v>44613</v>
      </c>
      <c r="H6205" s="13" t="s">
        <v>35</v>
      </c>
    </row>
    <row r="6206" spans="1:8" ht="14.4" x14ac:dyDescent="0.3">
      <c r="A6206" s="8">
        <v>1969576</v>
      </c>
      <c r="B6206" s="11">
        <v>44610</v>
      </c>
      <c r="C6206" s="13" t="s">
        <v>7906</v>
      </c>
      <c r="D6206" s="13" t="s">
        <v>7907</v>
      </c>
      <c r="E6206" s="8">
        <v>16030.41</v>
      </c>
      <c r="F6206" s="13" t="s">
        <v>70</v>
      </c>
      <c r="G6206" s="14">
        <v>44613</v>
      </c>
      <c r="H6206" s="13" t="s">
        <v>35</v>
      </c>
    </row>
    <row r="6207" spans="1:8" ht="14.4" x14ac:dyDescent="0.3">
      <c r="A6207" s="8">
        <v>1969577</v>
      </c>
      <c r="B6207" s="11">
        <v>44610</v>
      </c>
      <c r="C6207" s="13" t="s">
        <v>7908</v>
      </c>
      <c r="D6207" s="13" t="s">
        <v>7909</v>
      </c>
      <c r="E6207" s="8">
        <v>35000</v>
      </c>
      <c r="F6207" s="13" t="s">
        <v>70</v>
      </c>
      <c r="G6207" s="14">
        <v>44616</v>
      </c>
      <c r="H6207" s="13" t="s">
        <v>35</v>
      </c>
    </row>
    <row r="6208" spans="1:8" ht="14.4" x14ac:dyDescent="0.3">
      <c r="A6208" s="8">
        <v>1969578</v>
      </c>
      <c r="B6208" s="11">
        <v>44610</v>
      </c>
      <c r="C6208" s="13" t="s">
        <v>7910</v>
      </c>
      <c r="D6208" s="13" t="s">
        <v>7911</v>
      </c>
      <c r="E6208" s="8">
        <v>20000</v>
      </c>
      <c r="F6208" s="13" t="s">
        <v>70</v>
      </c>
      <c r="G6208" s="14">
        <v>44616</v>
      </c>
      <c r="H6208" s="13" t="s">
        <v>35</v>
      </c>
    </row>
    <row r="6209" spans="1:8" ht="14.4" x14ac:dyDescent="0.3">
      <c r="A6209" s="8">
        <v>1969579</v>
      </c>
      <c r="B6209" s="11">
        <v>44610</v>
      </c>
      <c r="C6209" s="13" t="s">
        <v>7912</v>
      </c>
      <c r="D6209" s="13" t="s">
        <v>7913</v>
      </c>
      <c r="E6209" s="8">
        <v>10000</v>
      </c>
      <c r="F6209" s="13" t="s">
        <v>70</v>
      </c>
      <c r="G6209" s="14">
        <v>44616</v>
      </c>
      <c r="H6209" s="13" t="s">
        <v>35</v>
      </c>
    </row>
    <row r="6210" spans="1:8" ht="14.4" x14ac:dyDescent="0.3">
      <c r="A6210" s="8">
        <v>1969580</v>
      </c>
      <c r="B6210" s="11">
        <v>44610</v>
      </c>
      <c r="C6210" s="13" t="s">
        <v>7914</v>
      </c>
      <c r="D6210" s="13" t="s">
        <v>7915</v>
      </c>
      <c r="E6210" s="8">
        <v>22000</v>
      </c>
      <c r="F6210" s="13" t="s">
        <v>70</v>
      </c>
      <c r="G6210" s="14">
        <v>44615</v>
      </c>
      <c r="H6210" s="13" t="s">
        <v>35</v>
      </c>
    </row>
    <row r="6211" spans="1:8" ht="14.4" x14ac:dyDescent="0.3">
      <c r="A6211" s="8">
        <v>1969581</v>
      </c>
      <c r="B6211" s="11">
        <v>44610</v>
      </c>
      <c r="C6211" s="13" t="s">
        <v>7916</v>
      </c>
      <c r="D6211" s="13" t="s">
        <v>7917</v>
      </c>
      <c r="E6211" s="8">
        <v>23000</v>
      </c>
      <c r="F6211" s="13" t="s">
        <v>70</v>
      </c>
      <c r="G6211" s="14">
        <v>44615</v>
      </c>
      <c r="H6211" s="13" t="s">
        <v>35</v>
      </c>
    </row>
    <row r="6212" spans="1:8" ht="14.4" x14ac:dyDescent="0.3">
      <c r="A6212" s="8">
        <v>1969582</v>
      </c>
      <c r="B6212" s="11">
        <v>44610</v>
      </c>
      <c r="C6212" s="13" t="s">
        <v>669</v>
      </c>
      <c r="D6212" s="13" t="s">
        <v>7918</v>
      </c>
      <c r="E6212" s="8">
        <v>30000</v>
      </c>
      <c r="F6212" s="13" t="s">
        <v>70</v>
      </c>
      <c r="G6212" s="14">
        <v>44624</v>
      </c>
      <c r="H6212" s="13" t="s">
        <v>35</v>
      </c>
    </row>
    <row r="6213" spans="1:8" ht="14.4" x14ac:dyDescent="0.3">
      <c r="A6213" s="8">
        <v>1969583</v>
      </c>
      <c r="B6213" s="11">
        <v>44610</v>
      </c>
      <c r="C6213" s="13" t="s">
        <v>7919</v>
      </c>
      <c r="D6213" s="13" t="s">
        <v>7920</v>
      </c>
      <c r="E6213" s="8">
        <v>36000</v>
      </c>
      <c r="F6213" s="13" t="s">
        <v>70</v>
      </c>
      <c r="G6213" s="14">
        <v>44614</v>
      </c>
      <c r="H6213" s="13" t="s">
        <v>35</v>
      </c>
    </row>
    <row r="6214" spans="1:8" ht="14.4" x14ac:dyDescent="0.3">
      <c r="A6214" s="8">
        <v>1969584</v>
      </c>
      <c r="B6214" s="11">
        <v>44610</v>
      </c>
      <c r="C6214" s="13" t="s">
        <v>7921</v>
      </c>
      <c r="D6214" s="13" t="s">
        <v>7922</v>
      </c>
      <c r="E6214" s="8">
        <v>20000</v>
      </c>
      <c r="F6214" s="13" t="s">
        <v>70</v>
      </c>
      <c r="G6214" s="14">
        <v>44615</v>
      </c>
      <c r="H6214" s="13" t="s">
        <v>35</v>
      </c>
    </row>
    <row r="6215" spans="1:8" ht="14.4" x14ac:dyDescent="0.3">
      <c r="A6215" s="8">
        <v>1969585</v>
      </c>
      <c r="B6215" s="11">
        <v>44610</v>
      </c>
      <c r="C6215" s="13" t="s">
        <v>7923</v>
      </c>
      <c r="D6215" s="13" t="s">
        <v>7924</v>
      </c>
      <c r="E6215" s="8">
        <v>26000</v>
      </c>
      <c r="F6215" s="13" t="s">
        <v>70</v>
      </c>
      <c r="G6215" s="14">
        <v>44615</v>
      </c>
      <c r="H6215" s="13" t="s">
        <v>35</v>
      </c>
    </row>
    <row r="6216" spans="1:8" ht="14.4" x14ac:dyDescent="0.3">
      <c r="A6216" s="8">
        <v>1969586</v>
      </c>
      <c r="B6216" s="11">
        <v>44610</v>
      </c>
      <c r="C6216" s="13" t="s">
        <v>7925</v>
      </c>
      <c r="D6216" s="13" t="s">
        <v>7926</v>
      </c>
      <c r="E6216" s="8">
        <v>25000</v>
      </c>
      <c r="F6216" s="13" t="s">
        <v>70</v>
      </c>
      <c r="G6216" s="14">
        <v>44614</v>
      </c>
      <c r="H6216" s="13" t="s">
        <v>35</v>
      </c>
    </row>
    <row r="6217" spans="1:8" ht="14.4" x14ac:dyDescent="0.3">
      <c r="A6217" s="8">
        <v>1969587</v>
      </c>
      <c r="B6217" s="11">
        <v>44610</v>
      </c>
      <c r="C6217" s="13" t="s">
        <v>7927</v>
      </c>
      <c r="D6217" s="13" t="s">
        <v>7928</v>
      </c>
      <c r="E6217" s="8">
        <v>50000</v>
      </c>
      <c r="F6217" s="13" t="s">
        <v>70</v>
      </c>
      <c r="G6217" s="14">
        <v>44615</v>
      </c>
      <c r="H6217" s="13" t="s">
        <v>35</v>
      </c>
    </row>
    <row r="6218" spans="1:8" ht="14.4" x14ac:dyDescent="0.3">
      <c r="A6218" s="8">
        <v>1969588</v>
      </c>
      <c r="B6218" s="11">
        <v>44610</v>
      </c>
      <c r="C6218" s="13" t="s">
        <v>7929</v>
      </c>
      <c r="D6218" s="13" t="s">
        <v>7930</v>
      </c>
      <c r="E6218" s="8">
        <v>6000</v>
      </c>
      <c r="F6218" s="13" t="s">
        <v>70</v>
      </c>
      <c r="G6218" s="14">
        <v>44614</v>
      </c>
      <c r="H6218" s="13" t="s">
        <v>35</v>
      </c>
    </row>
    <row r="6219" spans="1:8" ht="14.4" x14ac:dyDescent="0.3">
      <c r="A6219" s="8">
        <v>1969589</v>
      </c>
      <c r="B6219" s="11">
        <v>44610</v>
      </c>
      <c r="C6219" s="13" t="s">
        <v>7931</v>
      </c>
      <c r="D6219" s="13" t="s">
        <v>7932</v>
      </c>
      <c r="E6219" s="8">
        <v>10000</v>
      </c>
      <c r="F6219" s="13" t="s">
        <v>70</v>
      </c>
      <c r="G6219" s="14">
        <v>44615</v>
      </c>
      <c r="H6219" s="13" t="s">
        <v>35</v>
      </c>
    </row>
    <row r="6220" spans="1:8" ht="14.4" x14ac:dyDescent="0.3">
      <c r="A6220" s="8">
        <v>1969590</v>
      </c>
      <c r="B6220" s="11">
        <v>44610</v>
      </c>
      <c r="C6220" s="13" t="s">
        <v>7933</v>
      </c>
      <c r="D6220" s="13" t="s">
        <v>7934</v>
      </c>
      <c r="E6220" s="8">
        <v>10000</v>
      </c>
      <c r="F6220" s="13" t="s">
        <v>70</v>
      </c>
      <c r="G6220" s="14">
        <v>44614</v>
      </c>
      <c r="H6220" s="13" t="s">
        <v>35</v>
      </c>
    </row>
    <row r="6221" spans="1:8" ht="14.4" x14ac:dyDescent="0.3">
      <c r="A6221" s="8">
        <v>1969591</v>
      </c>
      <c r="B6221" s="11">
        <v>44610</v>
      </c>
      <c r="C6221" s="13" t="s">
        <v>7935</v>
      </c>
      <c r="D6221" s="13" t="s">
        <v>7936</v>
      </c>
      <c r="E6221" s="8">
        <v>6000</v>
      </c>
      <c r="F6221" s="13" t="s">
        <v>70</v>
      </c>
      <c r="G6221" s="14">
        <v>44615</v>
      </c>
      <c r="H6221" s="13" t="s">
        <v>35</v>
      </c>
    </row>
    <row r="6222" spans="1:8" ht="14.4" x14ac:dyDescent="0.3">
      <c r="A6222" s="8">
        <v>1969592</v>
      </c>
      <c r="B6222" s="11">
        <v>44610</v>
      </c>
      <c r="C6222" s="13" t="s">
        <v>180</v>
      </c>
      <c r="D6222" s="13" t="s">
        <v>7937</v>
      </c>
      <c r="E6222" s="8">
        <v>303570.31</v>
      </c>
      <c r="F6222" s="13" t="s">
        <v>70</v>
      </c>
      <c r="G6222" s="14">
        <v>44610</v>
      </c>
      <c r="H6222" s="13" t="s">
        <v>35</v>
      </c>
    </row>
    <row r="6223" spans="1:8" ht="14.4" x14ac:dyDescent="0.3">
      <c r="A6223" s="8">
        <v>1969593</v>
      </c>
      <c r="B6223" s="11">
        <v>44610</v>
      </c>
      <c r="C6223" s="13" t="s">
        <v>7938</v>
      </c>
      <c r="D6223" s="13" t="s">
        <v>7939</v>
      </c>
      <c r="E6223" s="8">
        <v>33127.699999999997</v>
      </c>
      <c r="F6223" s="13" t="s">
        <v>70</v>
      </c>
      <c r="G6223" s="14">
        <v>44610</v>
      </c>
      <c r="H6223" s="13" t="s">
        <v>35</v>
      </c>
    </row>
    <row r="6224" spans="1:8" ht="14.4" x14ac:dyDescent="0.3">
      <c r="A6224" s="8">
        <v>1969596</v>
      </c>
      <c r="B6224" s="11">
        <v>44620</v>
      </c>
      <c r="C6224" s="13" t="s">
        <v>884</v>
      </c>
      <c r="D6224" s="13" t="s">
        <v>7940</v>
      </c>
      <c r="E6224" s="8">
        <v>24000</v>
      </c>
      <c r="F6224" s="13" t="s">
        <v>70</v>
      </c>
      <c r="G6224" s="14">
        <v>44620</v>
      </c>
      <c r="H6224" s="13" t="s">
        <v>35</v>
      </c>
    </row>
    <row r="6225" spans="1:8" ht="14.4" x14ac:dyDescent="0.3">
      <c r="A6225" s="8">
        <v>1969597</v>
      </c>
      <c r="B6225" s="11">
        <v>44620</v>
      </c>
      <c r="C6225" s="13" t="s">
        <v>884</v>
      </c>
      <c r="D6225" s="13" t="s">
        <v>7941</v>
      </c>
      <c r="E6225" s="8">
        <v>26550</v>
      </c>
      <c r="F6225" s="13" t="s">
        <v>70</v>
      </c>
      <c r="G6225" s="14">
        <v>44620</v>
      </c>
      <c r="H6225" s="13" t="s">
        <v>35</v>
      </c>
    </row>
    <row r="6226" spans="1:8" ht="14.4" x14ac:dyDescent="0.3">
      <c r="A6226" s="8">
        <v>1969598</v>
      </c>
      <c r="B6226" s="11">
        <v>44620</v>
      </c>
      <c r="C6226" s="13" t="s">
        <v>50</v>
      </c>
      <c r="D6226" s="13" t="s">
        <v>7942</v>
      </c>
      <c r="E6226" s="8">
        <v>12000</v>
      </c>
      <c r="F6226" s="13" t="s">
        <v>70</v>
      </c>
      <c r="G6226" s="14">
        <v>44624</v>
      </c>
      <c r="H6226" s="13" t="s">
        <v>35</v>
      </c>
    </row>
    <row r="6227" spans="1:8" ht="14.4" x14ac:dyDescent="0.3">
      <c r="A6227" s="8">
        <v>1969599</v>
      </c>
      <c r="B6227" s="11">
        <v>44620</v>
      </c>
      <c r="C6227" s="13" t="s">
        <v>6774</v>
      </c>
      <c r="D6227" s="13" t="s">
        <v>7943</v>
      </c>
      <c r="E6227" s="8">
        <v>10000</v>
      </c>
      <c r="F6227" s="13" t="s">
        <v>70</v>
      </c>
      <c r="G6227" s="14">
        <v>44622</v>
      </c>
      <c r="H6227" s="13" t="s">
        <v>35</v>
      </c>
    </row>
    <row r="6228" spans="1:8" ht="14.4" x14ac:dyDescent="0.3">
      <c r="A6228" s="8">
        <v>1969600</v>
      </c>
      <c r="B6228" s="11">
        <v>44620</v>
      </c>
      <c r="C6228" s="13" t="s">
        <v>176</v>
      </c>
      <c r="D6228" s="13" t="s">
        <v>7944</v>
      </c>
      <c r="E6228" s="8">
        <v>154000</v>
      </c>
      <c r="F6228" s="13" t="s">
        <v>70</v>
      </c>
      <c r="G6228" s="14">
        <v>44624</v>
      </c>
      <c r="H6228" s="13" t="s">
        <v>35</v>
      </c>
    </row>
    <row r="6229" spans="1:8" ht="14.4" x14ac:dyDescent="0.3">
      <c r="A6229" s="8">
        <v>1969601</v>
      </c>
      <c r="B6229" s="11">
        <v>44620</v>
      </c>
      <c r="C6229" s="13" t="s">
        <v>7945</v>
      </c>
      <c r="D6229" s="13" t="s">
        <v>7946</v>
      </c>
      <c r="E6229" s="8">
        <v>30000</v>
      </c>
      <c r="F6229" s="13" t="s">
        <v>70</v>
      </c>
      <c r="G6229" s="14">
        <v>44622</v>
      </c>
      <c r="H6229" s="13" t="s">
        <v>35</v>
      </c>
    </row>
    <row r="6230" spans="1:8" ht="14.4" x14ac:dyDescent="0.3">
      <c r="A6230" s="8">
        <v>1969602</v>
      </c>
      <c r="B6230" s="11">
        <v>44620</v>
      </c>
      <c r="C6230" s="13" t="s">
        <v>7947</v>
      </c>
      <c r="D6230" s="13" t="s">
        <v>7948</v>
      </c>
      <c r="E6230" s="8">
        <v>25000</v>
      </c>
      <c r="F6230" s="13" t="s">
        <v>70</v>
      </c>
      <c r="G6230" s="14">
        <v>44623</v>
      </c>
      <c r="H6230" s="13" t="s">
        <v>35</v>
      </c>
    </row>
    <row r="6231" spans="1:8" ht="14.4" x14ac:dyDescent="0.3">
      <c r="A6231" s="8">
        <v>1969603</v>
      </c>
      <c r="B6231" s="11">
        <v>44620</v>
      </c>
      <c r="C6231" s="13" t="s">
        <v>7949</v>
      </c>
      <c r="D6231" s="13" t="s">
        <v>7950</v>
      </c>
      <c r="E6231" s="8">
        <v>13000</v>
      </c>
      <c r="F6231" s="13" t="s">
        <v>70</v>
      </c>
      <c r="G6231" s="14">
        <v>44622</v>
      </c>
      <c r="H6231" s="13" t="s">
        <v>35</v>
      </c>
    </row>
    <row r="6232" spans="1:8" ht="14.4" x14ac:dyDescent="0.3">
      <c r="A6232" s="8">
        <v>1969604</v>
      </c>
      <c r="B6232" s="11">
        <v>44620</v>
      </c>
      <c r="C6232" s="13" t="s">
        <v>7951</v>
      </c>
      <c r="D6232" s="13" t="s">
        <v>7952</v>
      </c>
      <c r="E6232" s="8">
        <v>20000</v>
      </c>
      <c r="F6232" s="13" t="s">
        <v>70</v>
      </c>
      <c r="G6232" s="14">
        <v>44623</v>
      </c>
      <c r="H6232" s="13" t="s">
        <v>35</v>
      </c>
    </row>
    <row r="6233" spans="1:8" ht="14.4" x14ac:dyDescent="0.3">
      <c r="A6233" s="8">
        <v>1969605</v>
      </c>
      <c r="B6233" s="11">
        <v>44620</v>
      </c>
      <c r="C6233" s="13" t="s">
        <v>7953</v>
      </c>
      <c r="D6233" s="13" t="s">
        <v>7954</v>
      </c>
      <c r="E6233" s="8">
        <v>23000</v>
      </c>
      <c r="F6233" s="13" t="s">
        <v>70</v>
      </c>
      <c r="G6233" s="14">
        <v>44623</v>
      </c>
      <c r="H6233" s="13" t="s">
        <v>35</v>
      </c>
    </row>
    <row r="6234" spans="1:8" ht="14.4" x14ac:dyDescent="0.3">
      <c r="A6234" s="8">
        <v>1969606</v>
      </c>
      <c r="B6234" s="11">
        <v>44620</v>
      </c>
      <c r="C6234" s="13" t="s">
        <v>7955</v>
      </c>
      <c r="D6234" s="13" t="s">
        <v>7956</v>
      </c>
      <c r="E6234" s="8">
        <v>8000</v>
      </c>
      <c r="F6234" s="13" t="s">
        <v>70</v>
      </c>
      <c r="G6234" s="14">
        <v>44622</v>
      </c>
      <c r="H6234" s="13" t="s">
        <v>35</v>
      </c>
    </row>
    <row r="6235" spans="1:8" ht="14.4" x14ac:dyDescent="0.3">
      <c r="A6235" s="8">
        <v>1969607</v>
      </c>
      <c r="B6235" s="11">
        <v>44620</v>
      </c>
      <c r="C6235" s="13" t="s">
        <v>7957</v>
      </c>
      <c r="D6235" s="13" t="s">
        <v>7958</v>
      </c>
      <c r="E6235" s="8">
        <v>30000</v>
      </c>
      <c r="F6235" s="13" t="s">
        <v>70</v>
      </c>
      <c r="G6235" s="14">
        <v>44623</v>
      </c>
      <c r="H6235" s="13" t="s">
        <v>35</v>
      </c>
    </row>
    <row r="6236" spans="1:8" ht="14.4" x14ac:dyDescent="0.3">
      <c r="A6236" s="8">
        <v>1969608</v>
      </c>
      <c r="B6236" s="11">
        <v>44620</v>
      </c>
      <c r="C6236" s="13" t="s">
        <v>7959</v>
      </c>
      <c r="D6236" s="13" t="s">
        <v>7960</v>
      </c>
      <c r="E6236" s="8">
        <v>72000</v>
      </c>
      <c r="F6236" s="13" t="s">
        <v>70</v>
      </c>
      <c r="G6236" s="14">
        <v>44634</v>
      </c>
      <c r="H6236" s="13" t="s">
        <v>35</v>
      </c>
    </row>
    <row r="6237" spans="1:8" ht="14.4" x14ac:dyDescent="0.3">
      <c r="A6237" s="8">
        <v>1969609</v>
      </c>
      <c r="B6237" s="11">
        <v>44620</v>
      </c>
      <c r="C6237" s="13" t="s">
        <v>4767</v>
      </c>
      <c r="D6237" s="13" t="s">
        <v>7961</v>
      </c>
      <c r="E6237" s="8">
        <v>11285</v>
      </c>
      <c r="F6237" s="13" t="s">
        <v>70</v>
      </c>
      <c r="G6237" s="14">
        <v>44636</v>
      </c>
      <c r="H6237" s="13" t="s">
        <v>35</v>
      </c>
    </row>
    <row r="6238" spans="1:8" ht="14.4" x14ac:dyDescent="0.3">
      <c r="A6238" s="8">
        <v>1969610</v>
      </c>
      <c r="B6238" s="11">
        <v>44620</v>
      </c>
      <c r="C6238" s="13" t="s">
        <v>277</v>
      </c>
      <c r="D6238" s="13" t="s">
        <v>7962</v>
      </c>
      <c r="E6238" s="8">
        <v>85040.12</v>
      </c>
      <c r="F6238" s="13" t="s">
        <v>70</v>
      </c>
      <c r="G6238" s="14">
        <v>44621</v>
      </c>
      <c r="H6238" s="13" t="s">
        <v>35</v>
      </c>
    </row>
    <row r="6239" spans="1:8" ht="14.4" x14ac:dyDescent="0.3">
      <c r="A6239" s="8">
        <v>1969612</v>
      </c>
      <c r="B6239" s="11">
        <v>44620</v>
      </c>
      <c r="C6239" s="13" t="s">
        <v>7963</v>
      </c>
      <c r="D6239" s="13" t="s">
        <v>7964</v>
      </c>
      <c r="E6239" s="8">
        <v>120528.04</v>
      </c>
      <c r="F6239" s="13" t="s">
        <v>70</v>
      </c>
      <c r="G6239" s="14">
        <v>44624</v>
      </c>
      <c r="H6239" s="13" t="s">
        <v>35</v>
      </c>
    </row>
    <row r="6240" spans="1:8" ht="14.4" x14ac:dyDescent="0.3">
      <c r="A6240" s="8">
        <v>1969613</v>
      </c>
      <c r="B6240" s="11">
        <v>44620</v>
      </c>
      <c r="C6240" s="13" t="s">
        <v>7965</v>
      </c>
      <c r="D6240" s="13" t="s">
        <v>7966</v>
      </c>
      <c r="E6240" s="8">
        <v>135658.28</v>
      </c>
      <c r="F6240" s="13" t="s">
        <v>70</v>
      </c>
      <c r="G6240" s="14">
        <v>44623</v>
      </c>
      <c r="H6240" s="13" t="s">
        <v>35</v>
      </c>
    </row>
    <row r="6241" spans="1:8" ht="14.4" x14ac:dyDescent="0.3">
      <c r="A6241" s="8">
        <v>1969614</v>
      </c>
      <c r="B6241" s="11">
        <v>44620</v>
      </c>
      <c r="C6241" s="13" t="s">
        <v>7967</v>
      </c>
      <c r="D6241" s="13" t="s">
        <v>3291</v>
      </c>
      <c r="E6241" s="8">
        <v>22273.8</v>
      </c>
      <c r="F6241" s="13" t="s">
        <v>70</v>
      </c>
      <c r="G6241" s="14">
        <v>44621</v>
      </c>
      <c r="H6241" s="13" t="s">
        <v>35</v>
      </c>
    </row>
    <row r="6242" spans="1:8" ht="14.4" x14ac:dyDescent="0.3">
      <c r="A6242" s="8">
        <v>1969615</v>
      </c>
      <c r="B6242" s="11">
        <v>44621</v>
      </c>
      <c r="C6242" s="13" t="s">
        <v>159</v>
      </c>
      <c r="D6242" s="13" t="s">
        <v>7968</v>
      </c>
      <c r="E6242" s="8">
        <v>304500</v>
      </c>
      <c r="F6242" s="13" t="s">
        <v>70</v>
      </c>
      <c r="G6242" s="14">
        <v>44621</v>
      </c>
      <c r="H6242" s="13" t="s">
        <v>35</v>
      </c>
    </row>
    <row r="6243" spans="1:8" ht="14.4" x14ac:dyDescent="0.3">
      <c r="A6243" s="8">
        <v>1969616</v>
      </c>
      <c r="B6243" s="11">
        <v>44621</v>
      </c>
      <c r="C6243" s="13" t="s">
        <v>7969</v>
      </c>
      <c r="D6243" s="13" t="s">
        <v>7970</v>
      </c>
      <c r="E6243" s="8">
        <v>16000</v>
      </c>
      <c r="F6243" s="13" t="s">
        <v>70</v>
      </c>
      <c r="G6243" s="14">
        <v>44623</v>
      </c>
      <c r="H6243" s="13" t="s">
        <v>35</v>
      </c>
    </row>
    <row r="6244" spans="1:8" ht="14.4" x14ac:dyDescent="0.3">
      <c r="A6244" s="8">
        <v>1969617</v>
      </c>
      <c r="B6244" s="11">
        <v>44621</v>
      </c>
      <c r="C6244" s="13" t="s">
        <v>7971</v>
      </c>
      <c r="D6244" s="13" t="s">
        <v>7972</v>
      </c>
      <c r="E6244" s="8">
        <v>50000</v>
      </c>
      <c r="F6244" s="13" t="s">
        <v>70</v>
      </c>
      <c r="G6244" s="14">
        <v>44623</v>
      </c>
      <c r="H6244" s="13" t="s">
        <v>35</v>
      </c>
    </row>
    <row r="6245" spans="1:8" ht="14.4" x14ac:dyDescent="0.3">
      <c r="A6245" s="8">
        <v>1969618</v>
      </c>
      <c r="B6245" s="11">
        <v>44621</v>
      </c>
      <c r="C6245" s="13" t="s">
        <v>7973</v>
      </c>
      <c r="D6245" s="13" t="s">
        <v>7974</v>
      </c>
      <c r="E6245" s="8">
        <v>10000</v>
      </c>
      <c r="F6245" s="13" t="s">
        <v>70</v>
      </c>
      <c r="G6245" s="14">
        <v>44623</v>
      </c>
      <c r="H6245" s="13" t="s">
        <v>35</v>
      </c>
    </row>
    <row r="6246" spans="1:8" ht="14.4" x14ac:dyDescent="0.3">
      <c r="A6246" s="8">
        <v>1969619</v>
      </c>
      <c r="B6246" s="11">
        <v>44621</v>
      </c>
      <c r="C6246" s="13" t="s">
        <v>7975</v>
      </c>
      <c r="D6246" s="13" t="s">
        <v>7976</v>
      </c>
      <c r="E6246" s="8">
        <v>14000</v>
      </c>
      <c r="F6246" s="13" t="s">
        <v>70</v>
      </c>
      <c r="G6246" s="14">
        <v>44624</v>
      </c>
      <c r="H6246" s="13" t="s">
        <v>35</v>
      </c>
    </row>
    <row r="6247" spans="1:8" ht="14.4" x14ac:dyDescent="0.3">
      <c r="A6247" s="8">
        <v>1969620</v>
      </c>
      <c r="B6247" s="11">
        <v>44621</v>
      </c>
      <c r="C6247" s="13" t="s">
        <v>7977</v>
      </c>
      <c r="D6247" s="13" t="s">
        <v>7978</v>
      </c>
      <c r="E6247" s="8">
        <v>14000</v>
      </c>
      <c r="F6247" s="13" t="s">
        <v>70</v>
      </c>
      <c r="G6247" s="14">
        <v>44623</v>
      </c>
      <c r="H6247" s="13" t="s">
        <v>35</v>
      </c>
    </row>
    <row r="6248" spans="1:8" ht="14.4" x14ac:dyDescent="0.3">
      <c r="A6248" s="8">
        <v>1969621</v>
      </c>
      <c r="B6248" s="11">
        <v>44621</v>
      </c>
      <c r="C6248" s="13" t="s">
        <v>7979</v>
      </c>
      <c r="D6248" s="13" t="s">
        <v>7980</v>
      </c>
      <c r="E6248" s="8">
        <v>8000</v>
      </c>
      <c r="F6248" s="13" t="s">
        <v>70</v>
      </c>
      <c r="G6248" s="14">
        <v>44623</v>
      </c>
      <c r="H6248" s="13" t="s">
        <v>35</v>
      </c>
    </row>
    <row r="6249" spans="1:8" ht="14.4" x14ac:dyDescent="0.3">
      <c r="A6249" s="8">
        <v>1969622</v>
      </c>
      <c r="B6249" s="11">
        <v>44621</v>
      </c>
      <c r="C6249" s="13" t="s">
        <v>7981</v>
      </c>
      <c r="D6249" s="13" t="s">
        <v>7982</v>
      </c>
      <c r="E6249" s="8">
        <v>21435.45</v>
      </c>
      <c r="F6249" s="13" t="s">
        <v>70</v>
      </c>
      <c r="G6249" s="14">
        <v>44621</v>
      </c>
      <c r="H6249" s="13" t="s">
        <v>35</v>
      </c>
    </row>
    <row r="6250" spans="1:8" ht="14.4" x14ac:dyDescent="0.3">
      <c r="A6250" s="8">
        <v>1969623</v>
      </c>
      <c r="B6250" s="11">
        <v>44621</v>
      </c>
      <c r="C6250" s="13" t="s">
        <v>7983</v>
      </c>
      <c r="D6250" s="13" t="s">
        <v>7984</v>
      </c>
      <c r="E6250" s="8">
        <v>10000</v>
      </c>
      <c r="F6250" s="13" t="s">
        <v>70</v>
      </c>
      <c r="G6250" s="14">
        <v>44624</v>
      </c>
      <c r="H6250" s="13" t="s">
        <v>35</v>
      </c>
    </row>
    <row r="6251" spans="1:8" ht="14.4" x14ac:dyDescent="0.3">
      <c r="A6251" s="8">
        <v>1969624</v>
      </c>
      <c r="B6251" s="11">
        <v>44621</v>
      </c>
      <c r="C6251" s="13" t="s">
        <v>7985</v>
      </c>
      <c r="D6251" s="13" t="s">
        <v>7986</v>
      </c>
      <c r="E6251" s="8">
        <v>20000</v>
      </c>
      <c r="F6251" s="13" t="s">
        <v>70</v>
      </c>
      <c r="G6251" s="14">
        <v>44624</v>
      </c>
      <c r="H6251" s="13" t="s">
        <v>35</v>
      </c>
    </row>
    <row r="6252" spans="1:8" ht="14.4" x14ac:dyDescent="0.3">
      <c r="A6252" s="8">
        <v>1969625</v>
      </c>
      <c r="B6252" s="11">
        <v>44621</v>
      </c>
      <c r="C6252" s="13" t="s">
        <v>7987</v>
      </c>
      <c r="D6252" s="13" t="s">
        <v>7988</v>
      </c>
      <c r="E6252" s="8">
        <v>7000</v>
      </c>
      <c r="F6252" s="13" t="s">
        <v>70</v>
      </c>
      <c r="G6252" s="14">
        <v>44624</v>
      </c>
      <c r="H6252" s="13" t="s">
        <v>35</v>
      </c>
    </row>
    <row r="6253" spans="1:8" ht="14.4" x14ac:dyDescent="0.3">
      <c r="A6253" s="8">
        <v>1969626</v>
      </c>
      <c r="B6253" s="11">
        <v>44621</v>
      </c>
      <c r="C6253" s="13" t="s">
        <v>7989</v>
      </c>
      <c r="D6253" s="13" t="s">
        <v>7990</v>
      </c>
      <c r="E6253" s="8">
        <v>40000</v>
      </c>
      <c r="F6253" s="13" t="s">
        <v>70</v>
      </c>
      <c r="G6253" s="14">
        <v>44623</v>
      </c>
      <c r="H6253" s="13" t="s">
        <v>35</v>
      </c>
    </row>
    <row r="6254" spans="1:8" ht="14.4" x14ac:dyDescent="0.3">
      <c r="A6254" s="8">
        <v>1969627</v>
      </c>
      <c r="B6254" s="11">
        <v>44621</v>
      </c>
      <c r="C6254" s="13" t="s">
        <v>7991</v>
      </c>
      <c r="D6254" s="13" t="s">
        <v>7992</v>
      </c>
      <c r="E6254" s="8">
        <v>15000</v>
      </c>
      <c r="F6254" s="13" t="s">
        <v>70</v>
      </c>
      <c r="G6254" s="14">
        <v>44622</v>
      </c>
      <c r="H6254" s="13" t="s">
        <v>35</v>
      </c>
    </row>
    <row r="6255" spans="1:8" ht="14.4" x14ac:dyDescent="0.3">
      <c r="A6255" s="8">
        <v>1969628</v>
      </c>
      <c r="B6255" s="11">
        <v>44621</v>
      </c>
      <c r="C6255" s="13" t="s">
        <v>7993</v>
      </c>
      <c r="D6255" s="13" t="s">
        <v>7994</v>
      </c>
      <c r="E6255" s="8">
        <v>11000</v>
      </c>
      <c r="F6255" s="13" t="s">
        <v>70</v>
      </c>
      <c r="G6255" s="14">
        <v>44623</v>
      </c>
      <c r="H6255" s="13" t="s">
        <v>35</v>
      </c>
    </row>
    <row r="6256" spans="1:8" ht="14.4" x14ac:dyDescent="0.3">
      <c r="A6256" s="8">
        <v>1969629</v>
      </c>
      <c r="B6256" s="11">
        <v>44621</v>
      </c>
      <c r="C6256" s="13" t="s">
        <v>7995</v>
      </c>
      <c r="D6256" s="13" t="s">
        <v>7996</v>
      </c>
      <c r="E6256" s="8">
        <v>11000</v>
      </c>
      <c r="F6256" s="13" t="s">
        <v>70</v>
      </c>
      <c r="G6256" s="14">
        <v>44623</v>
      </c>
      <c r="H6256" s="13" t="s">
        <v>35</v>
      </c>
    </row>
    <row r="6257" spans="1:8" ht="14.4" x14ac:dyDescent="0.3">
      <c r="A6257" s="8">
        <v>1969630</v>
      </c>
      <c r="B6257" s="11">
        <v>44621</v>
      </c>
      <c r="C6257" s="13" t="s">
        <v>7997</v>
      </c>
      <c r="D6257" s="13" t="s">
        <v>7998</v>
      </c>
      <c r="E6257" s="8">
        <v>10000</v>
      </c>
      <c r="F6257" s="13" t="s">
        <v>70</v>
      </c>
      <c r="G6257" s="14">
        <v>44624</v>
      </c>
      <c r="H6257" s="13" t="s">
        <v>35</v>
      </c>
    </row>
    <row r="6258" spans="1:8" ht="14.4" x14ac:dyDescent="0.3">
      <c r="A6258" s="8">
        <v>1969631</v>
      </c>
      <c r="B6258" s="11">
        <v>44621</v>
      </c>
      <c r="C6258" s="13" t="s">
        <v>7999</v>
      </c>
      <c r="D6258" s="13" t="s">
        <v>8000</v>
      </c>
      <c r="E6258" s="8">
        <v>10000</v>
      </c>
      <c r="F6258" s="13" t="s">
        <v>70</v>
      </c>
      <c r="G6258" s="14">
        <v>44623</v>
      </c>
      <c r="H6258" s="13" t="s">
        <v>35</v>
      </c>
    </row>
    <row r="6259" spans="1:8" ht="14.4" x14ac:dyDescent="0.3">
      <c r="A6259" s="8">
        <v>1969632</v>
      </c>
      <c r="B6259" s="11">
        <v>44621</v>
      </c>
      <c r="C6259" s="13" t="s">
        <v>176</v>
      </c>
      <c r="D6259" s="13" t="s">
        <v>8001</v>
      </c>
      <c r="E6259" s="8">
        <v>154000</v>
      </c>
      <c r="F6259" s="13" t="s">
        <v>70</v>
      </c>
      <c r="G6259" s="14">
        <v>44624</v>
      </c>
      <c r="H6259" s="13" t="s">
        <v>35</v>
      </c>
    </row>
    <row r="6260" spans="1:8" ht="14.4" x14ac:dyDescent="0.3">
      <c r="A6260" s="8">
        <v>1969633</v>
      </c>
      <c r="B6260" s="11">
        <v>44621</v>
      </c>
      <c r="C6260" s="13" t="s">
        <v>74</v>
      </c>
      <c r="D6260" s="13" t="s">
        <v>8002</v>
      </c>
      <c r="E6260" s="8">
        <v>8000</v>
      </c>
      <c r="F6260" s="13" t="s">
        <v>70</v>
      </c>
      <c r="G6260" s="14">
        <v>44624</v>
      </c>
      <c r="H6260" s="13" t="s">
        <v>35</v>
      </c>
    </row>
    <row r="6261" spans="1:8" ht="14.4" x14ac:dyDescent="0.3">
      <c r="A6261" s="8">
        <v>1969634</v>
      </c>
      <c r="B6261" s="11">
        <v>44621</v>
      </c>
      <c r="C6261" s="13" t="s">
        <v>1193</v>
      </c>
      <c r="D6261" s="13" t="s">
        <v>8003</v>
      </c>
      <c r="E6261" s="8">
        <v>27000</v>
      </c>
      <c r="F6261" s="13" t="s">
        <v>70</v>
      </c>
      <c r="G6261" s="14">
        <v>44624</v>
      </c>
      <c r="H6261" s="13" t="s">
        <v>35</v>
      </c>
    </row>
    <row r="6262" spans="1:8" ht="14.4" x14ac:dyDescent="0.3">
      <c r="A6262" s="8">
        <v>1969635</v>
      </c>
      <c r="B6262" s="11">
        <v>44621</v>
      </c>
      <c r="C6262" s="13" t="s">
        <v>506</v>
      </c>
      <c r="D6262" s="13" t="s">
        <v>8004</v>
      </c>
      <c r="E6262" s="8">
        <v>35000</v>
      </c>
      <c r="F6262" s="13" t="s">
        <v>70</v>
      </c>
      <c r="G6262" s="14">
        <v>44624</v>
      </c>
      <c r="H6262" s="13" t="s">
        <v>35</v>
      </c>
    </row>
    <row r="6263" spans="1:8" ht="14.4" x14ac:dyDescent="0.3">
      <c r="A6263" s="8">
        <v>1969636</v>
      </c>
      <c r="B6263" s="11">
        <v>44621</v>
      </c>
      <c r="C6263" s="13" t="s">
        <v>1380</v>
      </c>
      <c r="D6263" s="13" t="s">
        <v>8005</v>
      </c>
      <c r="E6263" s="8">
        <v>2282.09</v>
      </c>
      <c r="F6263" s="13" t="s">
        <v>70</v>
      </c>
      <c r="G6263" s="14">
        <v>44627</v>
      </c>
      <c r="H6263" s="13" t="s">
        <v>35</v>
      </c>
    </row>
    <row r="6264" spans="1:8" ht="14.4" x14ac:dyDescent="0.3">
      <c r="A6264" s="8">
        <v>1969637</v>
      </c>
      <c r="B6264" s="11">
        <v>44621</v>
      </c>
      <c r="C6264" s="13" t="s">
        <v>8006</v>
      </c>
      <c r="D6264" s="13" t="s">
        <v>8007</v>
      </c>
      <c r="E6264" s="8">
        <v>147625.01999999999</v>
      </c>
      <c r="F6264" s="13" t="s">
        <v>70</v>
      </c>
      <c r="G6264" s="14">
        <v>44629</v>
      </c>
      <c r="H6264" s="13" t="s">
        <v>35</v>
      </c>
    </row>
    <row r="6265" spans="1:8" ht="14.4" x14ac:dyDescent="0.3">
      <c r="A6265" s="8">
        <v>1969638</v>
      </c>
      <c r="B6265" s="11">
        <v>44621</v>
      </c>
      <c r="C6265" s="13" t="s">
        <v>44</v>
      </c>
      <c r="D6265" s="13" t="s">
        <v>8008</v>
      </c>
      <c r="E6265" s="8">
        <v>12075</v>
      </c>
      <c r="F6265" s="13" t="s">
        <v>70</v>
      </c>
      <c r="G6265" s="14">
        <v>44624</v>
      </c>
      <c r="H6265" s="13" t="s">
        <v>35</v>
      </c>
    </row>
    <row r="6266" spans="1:8" ht="14.4" x14ac:dyDescent="0.3">
      <c r="A6266" s="8">
        <v>1969639</v>
      </c>
      <c r="B6266" s="11">
        <v>44621</v>
      </c>
      <c r="C6266" s="13" t="s">
        <v>44</v>
      </c>
      <c r="D6266" s="13" t="s">
        <v>8009</v>
      </c>
      <c r="E6266" s="8">
        <v>12075</v>
      </c>
      <c r="F6266" s="13" t="s">
        <v>70</v>
      </c>
      <c r="G6266" s="14">
        <v>44624</v>
      </c>
      <c r="H6266" s="13" t="s">
        <v>35</v>
      </c>
    </row>
    <row r="6267" spans="1:8" ht="14.4" x14ac:dyDescent="0.3">
      <c r="A6267" s="8">
        <v>1969640</v>
      </c>
      <c r="B6267" s="11">
        <v>44621</v>
      </c>
      <c r="C6267" s="13" t="s">
        <v>44</v>
      </c>
      <c r="D6267" s="13" t="s">
        <v>8010</v>
      </c>
      <c r="E6267" s="8">
        <v>12075</v>
      </c>
      <c r="F6267" s="13" t="s">
        <v>70</v>
      </c>
      <c r="G6267" s="14">
        <v>44624</v>
      </c>
      <c r="H6267" s="13" t="s">
        <v>35</v>
      </c>
    </row>
    <row r="6268" spans="1:8" ht="14.4" x14ac:dyDescent="0.3">
      <c r="A6268" s="8">
        <v>1969641</v>
      </c>
      <c r="B6268" s="11">
        <v>44621</v>
      </c>
      <c r="C6268" s="13" t="s">
        <v>265</v>
      </c>
      <c r="D6268" s="13" t="s">
        <v>8011</v>
      </c>
      <c r="E6268" s="8">
        <v>13820</v>
      </c>
      <c r="F6268" s="13" t="s">
        <v>70</v>
      </c>
      <c r="G6268" s="14">
        <v>44623</v>
      </c>
      <c r="H6268" s="13" t="s">
        <v>35</v>
      </c>
    </row>
    <row r="6269" spans="1:8" ht="14.4" x14ac:dyDescent="0.3">
      <c r="A6269" s="8">
        <v>1969642</v>
      </c>
      <c r="B6269" s="11">
        <v>44621</v>
      </c>
      <c r="C6269" s="13" t="s">
        <v>265</v>
      </c>
      <c r="D6269" s="13" t="s">
        <v>8012</v>
      </c>
      <c r="E6269" s="8">
        <v>161904.68</v>
      </c>
      <c r="F6269" s="13" t="s">
        <v>70</v>
      </c>
      <c r="G6269" s="14">
        <v>44623</v>
      </c>
      <c r="H6269" s="13" t="s">
        <v>35</v>
      </c>
    </row>
    <row r="6270" spans="1:8" ht="14.4" x14ac:dyDescent="0.3">
      <c r="A6270" s="8">
        <v>1969643</v>
      </c>
      <c r="B6270" s="11">
        <v>44621</v>
      </c>
      <c r="C6270" s="13" t="s">
        <v>153</v>
      </c>
      <c r="D6270" s="13" t="s">
        <v>8013</v>
      </c>
      <c r="E6270" s="8">
        <v>84761.5</v>
      </c>
      <c r="F6270" s="13" t="s">
        <v>70</v>
      </c>
      <c r="G6270" s="14">
        <v>44623</v>
      </c>
      <c r="H6270" s="13" t="s">
        <v>35</v>
      </c>
    </row>
    <row r="6271" spans="1:8" ht="14.4" x14ac:dyDescent="0.3">
      <c r="A6271" s="8">
        <v>1969644</v>
      </c>
      <c r="B6271" s="11">
        <v>44621</v>
      </c>
      <c r="C6271" s="13" t="s">
        <v>2336</v>
      </c>
      <c r="D6271" s="13" t="s">
        <v>8014</v>
      </c>
      <c r="E6271" s="8">
        <v>15000</v>
      </c>
      <c r="F6271" s="13" t="s">
        <v>70</v>
      </c>
      <c r="G6271" s="14">
        <v>44623</v>
      </c>
      <c r="H6271" s="13" t="s">
        <v>35</v>
      </c>
    </row>
    <row r="6272" spans="1:8" ht="14.4" x14ac:dyDescent="0.3">
      <c r="A6272" s="8">
        <v>1969645</v>
      </c>
      <c r="B6272" s="11">
        <v>44621</v>
      </c>
      <c r="C6272" s="13" t="s">
        <v>129</v>
      </c>
      <c r="D6272" s="13" t="s">
        <v>8015</v>
      </c>
      <c r="E6272" s="8">
        <v>2343.75</v>
      </c>
      <c r="F6272" s="13" t="s">
        <v>70</v>
      </c>
      <c r="G6272" s="14">
        <v>44628</v>
      </c>
      <c r="H6272" s="13" t="s">
        <v>35</v>
      </c>
    </row>
    <row r="6273" spans="1:8" ht="14.4" x14ac:dyDescent="0.3">
      <c r="A6273" s="8">
        <v>1969646</v>
      </c>
      <c r="B6273" s="11">
        <v>44621</v>
      </c>
      <c r="C6273" s="13" t="s">
        <v>502</v>
      </c>
      <c r="D6273" s="13" t="s">
        <v>8016</v>
      </c>
      <c r="E6273" s="8">
        <v>20000</v>
      </c>
      <c r="F6273" s="13" t="s">
        <v>70</v>
      </c>
      <c r="G6273" s="14">
        <v>44627</v>
      </c>
      <c r="H6273" s="13" t="s">
        <v>35</v>
      </c>
    </row>
    <row r="6274" spans="1:8" ht="14.4" x14ac:dyDescent="0.3">
      <c r="A6274" s="8">
        <v>1969647</v>
      </c>
      <c r="B6274" s="11">
        <v>44621</v>
      </c>
      <c r="C6274" s="13" t="s">
        <v>217</v>
      </c>
      <c r="D6274" s="13" t="s">
        <v>8017</v>
      </c>
      <c r="E6274" s="8">
        <v>48009.32</v>
      </c>
      <c r="F6274" s="13" t="s">
        <v>70</v>
      </c>
      <c r="G6274" s="14">
        <v>44628</v>
      </c>
      <c r="H6274" s="13" t="s">
        <v>35</v>
      </c>
    </row>
    <row r="6275" spans="1:8" ht="14.4" x14ac:dyDescent="0.3">
      <c r="A6275" s="8">
        <v>1969648</v>
      </c>
      <c r="B6275" s="11">
        <v>44621</v>
      </c>
      <c r="C6275" s="13" t="s">
        <v>129</v>
      </c>
      <c r="D6275" s="13" t="s">
        <v>8018</v>
      </c>
      <c r="E6275" s="8">
        <v>2343.75</v>
      </c>
      <c r="F6275" s="13" t="s">
        <v>70</v>
      </c>
      <c r="G6275" s="14">
        <v>44628</v>
      </c>
      <c r="H6275" s="13" t="s">
        <v>35</v>
      </c>
    </row>
    <row r="6276" spans="1:8" ht="14.4" x14ac:dyDescent="0.3">
      <c r="A6276" s="8">
        <v>1969649</v>
      </c>
      <c r="B6276" s="11">
        <v>44621</v>
      </c>
      <c r="C6276" s="13" t="s">
        <v>129</v>
      </c>
      <c r="D6276" s="13" t="s">
        <v>8019</v>
      </c>
      <c r="E6276" s="8">
        <v>2343.75</v>
      </c>
      <c r="F6276" s="13" t="s">
        <v>70</v>
      </c>
      <c r="G6276" s="14">
        <v>44628</v>
      </c>
      <c r="H6276" s="13" t="s">
        <v>35</v>
      </c>
    </row>
    <row r="6277" spans="1:8" ht="14.4" x14ac:dyDescent="0.3">
      <c r="A6277" s="8">
        <v>1969650</v>
      </c>
      <c r="B6277" s="11">
        <v>44621</v>
      </c>
      <c r="C6277" s="13" t="s">
        <v>748</v>
      </c>
      <c r="D6277" s="13" t="s">
        <v>8020</v>
      </c>
      <c r="E6277" s="8">
        <v>129097.61</v>
      </c>
      <c r="F6277" s="13" t="s">
        <v>70</v>
      </c>
      <c r="G6277" s="14">
        <v>44624</v>
      </c>
      <c r="H6277" s="13" t="s">
        <v>35</v>
      </c>
    </row>
    <row r="6278" spans="1:8" ht="14.4" x14ac:dyDescent="0.3">
      <c r="A6278" s="8">
        <v>1969651</v>
      </c>
      <c r="B6278" s="11">
        <v>44621</v>
      </c>
      <c r="C6278" s="13" t="s">
        <v>893</v>
      </c>
      <c r="D6278" s="13" t="s">
        <v>1404</v>
      </c>
      <c r="E6278" s="8">
        <v>179600</v>
      </c>
      <c r="F6278" s="13" t="s">
        <v>70</v>
      </c>
      <c r="G6278" s="14">
        <v>44624</v>
      </c>
      <c r="H6278" s="13" t="s">
        <v>35</v>
      </c>
    </row>
    <row r="6279" spans="1:8" ht="14.4" x14ac:dyDescent="0.3">
      <c r="A6279" s="8">
        <v>1969652</v>
      </c>
      <c r="B6279" s="11">
        <v>44621</v>
      </c>
      <c r="C6279" s="13" t="s">
        <v>492</v>
      </c>
      <c r="D6279" s="13" t="s">
        <v>8021</v>
      </c>
      <c r="E6279" s="8">
        <v>30664.55</v>
      </c>
      <c r="F6279" s="13" t="s">
        <v>70</v>
      </c>
      <c r="G6279" s="14">
        <v>44628</v>
      </c>
      <c r="H6279" s="13" t="s">
        <v>35</v>
      </c>
    </row>
    <row r="6280" spans="1:8" ht="14.4" x14ac:dyDescent="0.3">
      <c r="A6280" s="8">
        <v>1969653</v>
      </c>
      <c r="B6280" s="11">
        <v>44621</v>
      </c>
      <c r="C6280" s="13" t="s">
        <v>500</v>
      </c>
      <c r="D6280" s="13" t="s">
        <v>8022</v>
      </c>
      <c r="E6280" s="8">
        <v>247069.2</v>
      </c>
      <c r="F6280" s="13" t="s">
        <v>70</v>
      </c>
      <c r="G6280" s="14">
        <v>44623</v>
      </c>
      <c r="H6280" s="13" t="s">
        <v>35</v>
      </c>
    </row>
    <row r="6281" spans="1:8" ht="14.4" x14ac:dyDescent="0.3">
      <c r="A6281" s="8">
        <v>1969654</v>
      </c>
      <c r="B6281" s="11">
        <v>44621</v>
      </c>
      <c r="C6281" s="13" t="s">
        <v>8023</v>
      </c>
      <c r="D6281" s="13" t="s">
        <v>8024</v>
      </c>
      <c r="E6281" s="8">
        <v>12939.02</v>
      </c>
      <c r="F6281" s="13" t="s">
        <v>70</v>
      </c>
      <c r="G6281" s="14">
        <v>44622</v>
      </c>
      <c r="H6281" s="13" t="s">
        <v>35</v>
      </c>
    </row>
    <row r="6282" spans="1:8" ht="14.4" x14ac:dyDescent="0.3">
      <c r="A6282" s="8">
        <v>1969655</v>
      </c>
      <c r="B6282" s="11">
        <v>44621</v>
      </c>
      <c r="C6282" s="13" t="s">
        <v>8025</v>
      </c>
      <c r="D6282" s="13" t="s">
        <v>8026</v>
      </c>
      <c r="E6282" s="8">
        <v>9403.91</v>
      </c>
      <c r="F6282" s="13" t="s">
        <v>70</v>
      </c>
      <c r="G6282" s="14">
        <v>44622</v>
      </c>
      <c r="H6282" s="13" t="s">
        <v>35</v>
      </c>
    </row>
    <row r="6283" spans="1:8" ht="14.4" x14ac:dyDescent="0.3">
      <c r="A6283" s="8">
        <v>1969656</v>
      </c>
      <c r="B6283" s="11">
        <v>44621</v>
      </c>
      <c r="C6283" s="13" t="s">
        <v>2684</v>
      </c>
      <c r="D6283" s="13" t="s">
        <v>8027</v>
      </c>
      <c r="E6283" s="8">
        <v>87300</v>
      </c>
      <c r="F6283" s="13" t="s">
        <v>70</v>
      </c>
      <c r="G6283" s="14">
        <v>44624</v>
      </c>
      <c r="H6283" s="13" t="s">
        <v>35</v>
      </c>
    </row>
    <row r="6284" spans="1:8" ht="14.4" x14ac:dyDescent="0.3">
      <c r="A6284" s="8">
        <v>1969657</v>
      </c>
      <c r="B6284" s="11">
        <v>44621</v>
      </c>
      <c r="C6284" s="13" t="s">
        <v>8028</v>
      </c>
      <c r="D6284" s="13" t="s">
        <v>8029</v>
      </c>
      <c r="E6284" s="8">
        <v>40725.53</v>
      </c>
      <c r="F6284" s="13" t="s">
        <v>70</v>
      </c>
      <c r="G6284" s="14">
        <v>44627</v>
      </c>
      <c r="H6284" s="13" t="s">
        <v>35</v>
      </c>
    </row>
    <row r="6285" spans="1:8" ht="14.4" x14ac:dyDescent="0.3">
      <c r="A6285" s="8">
        <v>1969658</v>
      </c>
      <c r="B6285" s="11">
        <v>44621</v>
      </c>
      <c r="C6285" s="13" t="s">
        <v>8030</v>
      </c>
      <c r="D6285" s="13" t="s">
        <v>8031</v>
      </c>
      <c r="E6285" s="8">
        <v>2000</v>
      </c>
      <c r="F6285" s="13" t="s">
        <v>70</v>
      </c>
      <c r="G6285" s="14">
        <v>44627</v>
      </c>
      <c r="H6285" s="13" t="s">
        <v>35</v>
      </c>
    </row>
    <row r="6286" spans="1:8" ht="14.4" x14ac:dyDescent="0.3">
      <c r="A6286" s="8">
        <v>1969659</v>
      </c>
      <c r="B6286" s="11">
        <v>44621</v>
      </c>
      <c r="C6286" s="13" t="s">
        <v>8032</v>
      </c>
      <c r="D6286" s="13" t="s">
        <v>8033</v>
      </c>
      <c r="E6286" s="8">
        <v>33314.699999999997</v>
      </c>
      <c r="F6286" s="13" t="s">
        <v>70</v>
      </c>
      <c r="G6286" s="14">
        <v>44623</v>
      </c>
      <c r="H6286" s="13" t="s">
        <v>35</v>
      </c>
    </row>
    <row r="6287" spans="1:8" ht="14.4" x14ac:dyDescent="0.3">
      <c r="A6287" s="8">
        <v>1969660</v>
      </c>
      <c r="B6287" s="11">
        <v>44621</v>
      </c>
      <c r="C6287" s="13" t="s">
        <v>1784</v>
      </c>
      <c r="D6287" s="13" t="s">
        <v>2402</v>
      </c>
      <c r="E6287" s="8">
        <v>35030</v>
      </c>
      <c r="F6287" s="13" t="s">
        <v>70</v>
      </c>
      <c r="G6287" s="14">
        <v>44623</v>
      </c>
      <c r="H6287" s="13" t="s">
        <v>35</v>
      </c>
    </row>
    <row r="6288" spans="1:8" ht="14.4" x14ac:dyDescent="0.3">
      <c r="A6288" s="8">
        <v>1969661</v>
      </c>
      <c r="B6288" s="11">
        <v>44622</v>
      </c>
      <c r="C6288" s="13" t="s">
        <v>1569</v>
      </c>
      <c r="D6288" s="13" t="s">
        <v>8034</v>
      </c>
      <c r="E6288" s="8">
        <v>17000</v>
      </c>
      <c r="F6288" s="13" t="s">
        <v>70</v>
      </c>
      <c r="G6288" s="14">
        <v>44627</v>
      </c>
      <c r="H6288" s="13" t="s">
        <v>35</v>
      </c>
    </row>
    <row r="6289" spans="1:8" ht="14.4" x14ac:dyDescent="0.3">
      <c r="A6289" s="8">
        <v>1969662</v>
      </c>
      <c r="B6289" s="11">
        <v>44622</v>
      </c>
      <c r="C6289" s="13" t="s">
        <v>1286</v>
      </c>
      <c r="D6289" s="13" t="s">
        <v>8035</v>
      </c>
      <c r="E6289" s="8">
        <v>136356.70000000001</v>
      </c>
      <c r="F6289" s="13" t="s">
        <v>70</v>
      </c>
      <c r="G6289" s="14">
        <v>44631</v>
      </c>
      <c r="H6289" s="13" t="s">
        <v>35</v>
      </c>
    </row>
    <row r="6290" spans="1:8" ht="14.4" x14ac:dyDescent="0.3">
      <c r="A6290" s="8">
        <v>1969663</v>
      </c>
      <c r="B6290" s="11">
        <v>44622</v>
      </c>
      <c r="C6290" s="13" t="s">
        <v>1726</v>
      </c>
      <c r="D6290" s="13" t="s">
        <v>8036</v>
      </c>
      <c r="E6290" s="8">
        <v>65960</v>
      </c>
      <c r="F6290" s="13" t="s">
        <v>70</v>
      </c>
      <c r="G6290" s="14">
        <v>44636</v>
      </c>
      <c r="H6290" s="13" t="s">
        <v>35</v>
      </c>
    </row>
    <row r="6291" spans="1:8" ht="14.4" x14ac:dyDescent="0.3">
      <c r="A6291" s="8">
        <v>1969664</v>
      </c>
      <c r="B6291" s="11">
        <v>44622</v>
      </c>
      <c r="C6291" s="13" t="s">
        <v>1728</v>
      </c>
      <c r="D6291" s="13" t="s">
        <v>1343</v>
      </c>
      <c r="E6291" s="8">
        <v>258720</v>
      </c>
      <c r="F6291" s="13" t="s">
        <v>70</v>
      </c>
      <c r="G6291" s="14">
        <v>44624</v>
      </c>
      <c r="H6291" s="13" t="s">
        <v>35</v>
      </c>
    </row>
    <row r="6292" spans="1:8" ht="14.4" x14ac:dyDescent="0.3">
      <c r="A6292" s="8">
        <v>1969665</v>
      </c>
      <c r="B6292" s="11">
        <v>44622</v>
      </c>
      <c r="C6292" s="13" t="s">
        <v>1497</v>
      </c>
      <c r="D6292" s="13" t="s">
        <v>8037</v>
      </c>
      <c r="E6292" s="8">
        <v>11720.8</v>
      </c>
      <c r="F6292" s="13" t="s">
        <v>70</v>
      </c>
      <c r="G6292" s="14">
        <v>44649</v>
      </c>
      <c r="H6292" s="13" t="s">
        <v>35</v>
      </c>
    </row>
    <row r="6293" spans="1:8" ht="14.4" x14ac:dyDescent="0.3">
      <c r="A6293" s="8">
        <v>1969666</v>
      </c>
      <c r="B6293" s="11">
        <v>44622</v>
      </c>
      <c r="C6293" s="13" t="s">
        <v>37</v>
      </c>
      <c r="D6293" s="13" t="s">
        <v>1498</v>
      </c>
      <c r="E6293" s="8">
        <v>11983.68</v>
      </c>
      <c r="F6293" s="13" t="s">
        <v>70</v>
      </c>
      <c r="G6293" s="14">
        <v>44635</v>
      </c>
      <c r="H6293" s="13" t="s">
        <v>35</v>
      </c>
    </row>
    <row r="6294" spans="1:8" ht="14.4" x14ac:dyDescent="0.3">
      <c r="A6294" s="8">
        <v>1969667</v>
      </c>
      <c r="B6294" s="11">
        <v>44622</v>
      </c>
      <c r="C6294" s="13" t="s">
        <v>64</v>
      </c>
      <c r="D6294" s="13" t="s">
        <v>8038</v>
      </c>
      <c r="E6294" s="8">
        <v>116277</v>
      </c>
      <c r="F6294" s="13" t="s">
        <v>70</v>
      </c>
      <c r="G6294" s="14">
        <v>44630</v>
      </c>
      <c r="H6294" s="13" t="s">
        <v>35</v>
      </c>
    </row>
    <row r="6295" spans="1:8" ht="14.4" x14ac:dyDescent="0.3">
      <c r="A6295" s="8">
        <v>1969668</v>
      </c>
      <c r="B6295" s="11">
        <v>44622</v>
      </c>
      <c r="C6295" s="13" t="s">
        <v>4181</v>
      </c>
      <c r="D6295" s="13" t="s">
        <v>8039</v>
      </c>
      <c r="E6295" s="8">
        <v>4448.22</v>
      </c>
      <c r="F6295" s="13" t="s">
        <v>70</v>
      </c>
      <c r="G6295" s="14">
        <v>44628</v>
      </c>
      <c r="H6295" s="13" t="s">
        <v>35</v>
      </c>
    </row>
    <row r="6296" spans="1:8" ht="14.4" x14ac:dyDescent="0.3">
      <c r="A6296" s="8">
        <v>1969669</v>
      </c>
      <c r="B6296" s="11">
        <v>44622</v>
      </c>
      <c r="C6296" s="13" t="s">
        <v>1344</v>
      </c>
      <c r="D6296" s="13" t="s">
        <v>8040</v>
      </c>
      <c r="E6296" s="8">
        <v>46560</v>
      </c>
      <c r="F6296" s="13" t="s">
        <v>70</v>
      </c>
      <c r="G6296" s="14">
        <v>44623</v>
      </c>
      <c r="H6296" s="13" t="s">
        <v>35</v>
      </c>
    </row>
    <row r="6297" spans="1:8" ht="14.4" x14ac:dyDescent="0.3">
      <c r="A6297" s="8">
        <v>1969670</v>
      </c>
      <c r="B6297" s="11">
        <v>44622</v>
      </c>
      <c r="C6297" s="13" t="s">
        <v>202</v>
      </c>
      <c r="D6297" s="13" t="s">
        <v>7105</v>
      </c>
      <c r="E6297" s="8">
        <v>36847.78</v>
      </c>
      <c r="F6297" s="13" t="s">
        <v>70</v>
      </c>
      <c r="G6297" s="14">
        <v>44637</v>
      </c>
      <c r="H6297" s="13" t="s">
        <v>35</v>
      </c>
    </row>
    <row r="6298" spans="1:8" ht="14.4" x14ac:dyDescent="0.3">
      <c r="A6298" s="8">
        <v>1969671</v>
      </c>
      <c r="B6298" s="11">
        <v>44622</v>
      </c>
      <c r="C6298" s="13" t="s">
        <v>55</v>
      </c>
      <c r="D6298" s="13" t="s">
        <v>8041</v>
      </c>
      <c r="E6298" s="8">
        <v>1981508.61</v>
      </c>
      <c r="F6298" s="13" t="s">
        <v>70</v>
      </c>
      <c r="G6298" s="14">
        <v>44623</v>
      </c>
      <c r="H6298" s="13" t="s">
        <v>35</v>
      </c>
    </row>
    <row r="6299" spans="1:8" ht="14.4" x14ac:dyDescent="0.3">
      <c r="A6299" s="8">
        <v>1969673</v>
      </c>
      <c r="B6299" s="11">
        <v>44622</v>
      </c>
      <c r="C6299" s="13" t="s">
        <v>1424</v>
      </c>
      <c r="D6299" s="13" t="s">
        <v>1625</v>
      </c>
      <c r="E6299" s="8">
        <v>69231.240000000005</v>
      </c>
      <c r="F6299" s="13" t="s">
        <v>70</v>
      </c>
      <c r="G6299" s="14">
        <v>44642</v>
      </c>
      <c r="H6299" s="13" t="s">
        <v>35</v>
      </c>
    </row>
    <row r="6300" spans="1:8" ht="14.4" x14ac:dyDescent="0.3">
      <c r="A6300" s="8">
        <v>1969674</v>
      </c>
      <c r="B6300" s="11">
        <v>44622</v>
      </c>
      <c r="C6300" s="13" t="s">
        <v>8042</v>
      </c>
      <c r="D6300" s="13" t="s">
        <v>8043</v>
      </c>
      <c r="E6300" s="8">
        <v>484218</v>
      </c>
      <c r="F6300" s="13" t="s">
        <v>70</v>
      </c>
      <c r="G6300" s="14">
        <v>44623</v>
      </c>
      <c r="H6300" s="13" t="s">
        <v>35</v>
      </c>
    </row>
    <row r="6301" spans="1:8" ht="14.4" x14ac:dyDescent="0.3">
      <c r="A6301" s="8">
        <v>1969676</v>
      </c>
      <c r="B6301" s="11">
        <v>44622</v>
      </c>
      <c r="C6301" s="13" t="s">
        <v>1524</v>
      </c>
      <c r="D6301" s="13" t="s">
        <v>8044</v>
      </c>
      <c r="E6301" s="8">
        <v>906547.14</v>
      </c>
      <c r="F6301" s="13" t="s">
        <v>70</v>
      </c>
      <c r="G6301" s="14">
        <v>44638</v>
      </c>
      <c r="H6301" s="13" t="s">
        <v>35</v>
      </c>
    </row>
    <row r="6302" spans="1:8" ht="14.4" x14ac:dyDescent="0.3">
      <c r="A6302" s="8">
        <v>1969677</v>
      </c>
      <c r="B6302" s="11">
        <v>44622</v>
      </c>
      <c r="C6302" s="13" t="s">
        <v>1596</v>
      </c>
      <c r="D6302" s="13" t="s">
        <v>8045</v>
      </c>
      <c r="E6302" s="8">
        <v>107971.5</v>
      </c>
      <c r="F6302" s="13" t="s">
        <v>70</v>
      </c>
      <c r="G6302" s="14">
        <v>44623</v>
      </c>
      <c r="H6302" s="13" t="s">
        <v>35</v>
      </c>
    </row>
    <row r="6303" spans="1:8" ht="14.4" x14ac:dyDescent="0.3">
      <c r="A6303" s="8">
        <v>1969678</v>
      </c>
      <c r="B6303" s="11">
        <v>44622</v>
      </c>
      <c r="C6303" s="13" t="s">
        <v>1596</v>
      </c>
      <c r="D6303" s="13" t="s">
        <v>8046</v>
      </c>
      <c r="E6303" s="8">
        <v>465500</v>
      </c>
      <c r="F6303" s="13" t="s">
        <v>70</v>
      </c>
      <c r="G6303" s="14">
        <v>44623</v>
      </c>
      <c r="H6303" s="13" t="s">
        <v>35</v>
      </c>
    </row>
    <row r="6304" spans="1:8" ht="14.4" x14ac:dyDescent="0.3">
      <c r="A6304" s="8">
        <v>1969679</v>
      </c>
      <c r="B6304" s="11">
        <v>44622</v>
      </c>
      <c r="C6304" s="13" t="s">
        <v>1581</v>
      </c>
      <c r="D6304" s="13" t="s">
        <v>8047</v>
      </c>
      <c r="E6304" s="8">
        <v>16657.150000000001</v>
      </c>
      <c r="F6304" s="13" t="s">
        <v>70</v>
      </c>
      <c r="G6304" s="14">
        <v>44627</v>
      </c>
      <c r="H6304" s="13" t="s">
        <v>35</v>
      </c>
    </row>
    <row r="6305" spans="1:8" ht="14.4" x14ac:dyDescent="0.3">
      <c r="A6305" s="8">
        <v>1969680</v>
      </c>
      <c r="B6305" s="11">
        <v>44622</v>
      </c>
      <c r="C6305" s="13" t="s">
        <v>6484</v>
      </c>
      <c r="D6305" s="13" t="s">
        <v>8048</v>
      </c>
      <c r="E6305" s="8">
        <v>77600</v>
      </c>
      <c r="F6305" s="13" t="s">
        <v>70</v>
      </c>
      <c r="G6305" s="14">
        <v>44623</v>
      </c>
      <c r="H6305" s="13" t="s">
        <v>35</v>
      </c>
    </row>
    <row r="6306" spans="1:8" ht="14.4" x14ac:dyDescent="0.3">
      <c r="A6306" s="8">
        <v>1969681</v>
      </c>
      <c r="B6306" s="11">
        <v>44622</v>
      </c>
      <c r="C6306" s="13" t="s">
        <v>265</v>
      </c>
      <c r="D6306" s="13" t="s">
        <v>8049</v>
      </c>
      <c r="E6306" s="8">
        <v>73460</v>
      </c>
      <c r="F6306" s="13" t="s">
        <v>70</v>
      </c>
      <c r="G6306" s="14">
        <v>44627</v>
      </c>
      <c r="H6306" s="13" t="s">
        <v>35</v>
      </c>
    </row>
    <row r="6307" spans="1:8" ht="14.4" x14ac:dyDescent="0.3">
      <c r="A6307" s="8">
        <v>1969682</v>
      </c>
      <c r="B6307" s="11">
        <v>44622</v>
      </c>
      <c r="C6307" s="13" t="s">
        <v>184</v>
      </c>
      <c r="D6307" s="13" t="s">
        <v>8050</v>
      </c>
      <c r="E6307" s="8">
        <v>155000</v>
      </c>
      <c r="F6307" s="13" t="s">
        <v>70</v>
      </c>
      <c r="G6307" s="14">
        <v>44623</v>
      </c>
      <c r="H6307" s="13" t="s">
        <v>35</v>
      </c>
    </row>
    <row r="6308" spans="1:8" ht="14.4" x14ac:dyDescent="0.3">
      <c r="A6308" s="8">
        <v>1969683</v>
      </c>
      <c r="B6308" s="11">
        <v>44622</v>
      </c>
      <c r="C6308" s="13" t="s">
        <v>1653</v>
      </c>
      <c r="D6308" s="13" t="s">
        <v>8051</v>
      </c>
      <c r="E6308" s="8">
        <v>15765.17</v>
      </c>
      <c r="F6308" s="13" t="s">
        <v>70</v>
      </c>
      <c r="G6308" s="14">
        <v>44623</v>
      </c>
      <c r="H6308" s="13" t="s">
        <v>35</v>
      </c>
    </row>
    <row r="6309" spans="1:8" ht="14.4" x14ac:dyDescent="0.3">
      <c r="A6309" s="8">
        <v>1969684</v>
      </c>
      <c r="B6309" s="11">
        <v>44622</v>
      </c>
      <c r="C6309" s="13" t="s">
        <v>7905</v>
      </c>
      <c r="D6309" s="13" t="s">
        <v>8052</v>
      </c>
      <c r="E6309" s="8">
        <v>17608.3</v>
      </c>
      <c r="F6309" s="13" t="s">
        <v>70</v>
      </c>
      <c r="G6309" s="14">
        <v>44623</v>
      </c>
      <c r="H6309" s="13" t="s">
        <v>35</v>
      </c>
    </row>
    <row r="6310" spans="1:8" ht="14.4" x14ac:dyDescent="0.3">
      <c r="A6310" s="8">
        <v>1969685</v>
      </c>
      <c r="B6310" s="11">
        <v>44622</v>
      </c>
      <c r="C6310" s="13" t="s">
        <v>7904</v>
      </c>
      <c r="D6310" s="13" t="s">
        <v>8053</v>
      </c>
      <c r="E6310" s="8">
        <v>15083.81</v>
      </c>
      <c r="F6310" s="13" t="s">
        <v>70</v>
      </c>
      <c r="G6310" s="14">
        <v>44623</v>
      </c>
      <c r="H6310" s="13" t="s">
        <v>35</v>
      </c>
    </row>
    <row r="6311" spans="1:8" ht="14.4" x14ac:dyDescent="0.3">
      <c r="A6311" s="8">
        <v>1969686</v>
      </c>
      <c r="B6311" s="11">
        <v>44622</v>
      </c>
      <c r="C6311" s="13" t="s">
        <v>3538</v>
      </c>
      <c r="D6311" s="13" t="s">
        <v>8054</v>
      </c>
      <c r="E6311" s="8">
        <v>14991.14</v>
      </c>
      <c r="F6311" s="13" t="s">
        <v>70</v>
      </c>
      <c r="G6311" s="14">
        <v>44623</v>
      </c>
      <c r="H6311" s="13" t="s">
        <v>35</v>
      </c>
    </row>
    <row r="6312" spans="1:8" ht="14.4" x14ac:dyDescent="0.3">
      <c r="A6312" s="8">
        <v>1969687</v>
      </c>
      <c r="B6312" s="11">
        <v>44622</v>
      </c>
      <c r="C6312" s="13" t="s">
        <v>44</v>
      </c>
      <c r="D6312" s="13" t="s">
        <v>8055</v>
      </c>
      <c r="E6312" s="8">
        <v>9096.3700000000008</v>
      </c>
      <c r="F6312" s="13" t="s">
        <v>70</v>
      </c>
      <c r="G6312" s="14">
        <v>44624</v>
      </c>
      <c r="H6312" s="13" t="s">
        <v>35</v>
      </c>
    </row>
    <row r="6313" spans="1:8" ht="14.4" x14ac:dyDescent="0.3">
      <c r="A6313" s="8">
        <v>1969688</v>
      </c>
      <c r="B6313" s="11">
        <v>44622</v>
      </c>
      <c r="C6313" s="13" t="s">
        <v>3434</v>
      </c>
      <c r="D6313" s="13" t="s">
        <v>8056</v>
      </c>
      <c r="E6313" s="8">
        <v>150</v>
      </c>
      <c r="F6313" s="13" t="s">
        <v>70</v>
      </c>
      <c r="G6313" s="14">
        <v>44635</v>
      </c>
      <c r="H6313" s="13" t="s">
        <v>35</v>
      </c>
    </row>
    <row r="6314" spans="1:8" ht="14.4" x14ac:dyDescent="0.3">
      <c r="A6314" s="8">
        <v>1969689</v>
      </c>
      <c r="B6314" s="11">
        <v>44622</v>
      </c>
      <c r="C6314" s="13" t="s">
        <v>3434</v>
      </c>
      <c r="D6314" s="13" t="s">
        <v>8057</v>
      </c>
      <c r="E6314" s="8">
        <v>150</v>
      </c>
      <c r="F6314" s="13" t="s">
        <v>70</v>
      </c>
      <c r="G6314" s="14">
        <v>44635</v>
      </c>
      <c r="H6314" s="13" t="s">
        <v>35</v>
      </c>
    </row>
    <row r="6315" spans="1:8" ht="14.4" x14ac:dyDescent="0.3">
      <c r="A6315" s="8">
        <v>1969690</v>
      </c>
      <c r="B6315" s="11">
        <v>44622</v>
      </c>
      <c r="C6315" s="13" t="s">
        <v>188</v>
      </c>
      <c r="D6315" s="13" t="s">
        <v>5850</v>
      </c>
      <c r="E6315" s="8">
        <v>1331.58</v>
      </c>
      <c r="F6315" s="13" t="s">
        <v>70</v>
      </c>
      <c r="G6315" s="14">
        <v>44623</v>
      </c>
      <c r="H6315" s="13" t="s">
        <v>35</v>
      </c>
    </row>
    <row r="6316" spans="1:8" ht="14.4" x14ac:dyDescent="0.3">
      <c r="A6316" s="8">
        <v>1969691</v>
      </c>
      <c r="B6316" s="11">
        <v>44622</v>
      </c>
      <c r="C6316" s="13" t="s">
        <v>1668</v>
      </c>
      <c r="D6316" s="13" t="s">
        <v>8058</v>
      </c>
      <c r="E6316" s="8">
        <v>20000</v>
      </c>
      <c r="F6316" s="13" t="s">
        <v>70</v>
      </c>
      <c r="G6316" s="14">
        <v>44624</v>
      </c>
      <c r="H6316" s="13" t="s">
        <v>35</v>
      </c>
    </row>
    <row r="6317" spans="1:8" ht="14.4" x14ac:dyDescent="0.3">
      <c r="A6317" s="8">
        <v>1969692</v>
      </c>
      <c r="B6317" s="11">
        <v>44622</v>
      </c>
      <c r="C6317" s="13" t="s">
        <v>159</v>
      </c>
      <c r="D6317" s="13" t="s">
        <v>8059</v>
      </c>
      <c r="E6317" s="8">
        <v>333700</v>
      </c>
      <c r="F6317" s="13" t="s">
        <v>70</v>
      </c>
      <c r="G6317" s="14">
        <v>44623</v>
      </c>
      <c r="H6317" s="13" t="s">
        <v>35</v>
      </c>
    </row>
    <row r="6318" spans="1:8" ht="14.4" x14ac:dyDescent="0.3">
      <c r="A6318" s="8">
        <v>1969693</v>
      </c>
      <c r="B6318" s="11">
        <v>44623</v>
      </c>
      <c r="C6318" s="13" t="s">
        <v>180</v>
      </c>
      <c r="D6318" s="13" t="s">
        <v>901</v>
      </c>
      <c r="E6318" s="8">
        <v>131313.31</v>
      </c>
      <c r="F6318" s="13" t="s">
        <v>70</v>
      </c>
      <c r="G6318" s="14">
        <v>44623</v>
      </c>
      <c r="H6318" s="13" t="s">
        <v>35</v>
      </c>
    </row>
    <row r="6319" spans="1:8" ht="14.4" x14ac:dyDescent="0.3">
      <c r="A6319" s="8">
        <v>1969694</v>
      </c>
      <c r="B6319" s="11">
        <v>44623</v>
      </c>
      <c r="C6319" s="13" t="s">
        <v>395</v>
      </c>
      <c r="D6319" s="13" t="s">
        <v>8060</v>
      </c>
      <c r="E6319" s="8">
        <v>24278</v>
      </c>
      <c r="F6319" s="13" t="s">
        <v>70</v>
      </c>
      <c r="G6319" s="14">
        <v>44624</v>
      </c>
      <c r="H6319" s="13" t="s">
        <v>35</v>
      </c>
    </row>
    <row r="6320" spans="1:8" ht="14.4" x14ac:dyDescent="0.3">
      <c r="A6320" s="8">
        <v>1969695</v>
      </c>
      <c r="B6320" s="11">
        <v>44623</v>
      </c>
      <c r="C6320" s="13" t="s">
        <v>1569</v>
      </c>
      <c r="D6320" s="13" t="s">
        <v>8061</v>
      </c>
      <c r="E6320" s="8">
        <v>49782.15</v>
      </c>
      <c r="F6320" s="13" t="s">
        <v>70</v>
      </c>
      <c r="G6320" s="14">
        <v>44628</v>
      </c>
      <c r="H6320" s="13" t="s">
        <v>35</v>
      </c>
    </row>
    <row r="6321" spans="1:8" ht="14.4" x14ac:dyDescent="0.3">
      <c r="A6321" s="8">
        <v>1969696</v>
      </c>
      <c r="B6321" s="11">
        <v>44623</v>
      </c>
      <c r="C6321" s="13" t="s">
        <v>8062</v>
      </c>
      <c r="D6321" s="13" t="s">
        <v>8063</v>
      </c>
      <c r="E6321" s="8">
        <v>6000</v>
      </c>
      <c r="F6321" s="13" t="s">
        <v>70</v>
      </c>
      <c r="G6321" s="14">
        <v>44628</v>
      </c>
      <c r="H6321" s="13" t="s">
        <v>35</v>
      </c>
    </row>
    <row r="6322" spans="1:8" ht="14.4" x14ac:dyDescent="0.3">
      <c r="A6322" s="8">
        <v>1969697</v>
      </c>
      <c r="B6322" s="11">
        <v>44623</v>
      </c>
      <c r="C6322" s="13" t="s">
        <v>44</v>
      </c>
      <c r="D6322" s="13" t="s">
        <v>8064</v>
      </c>
      <c r="E6322" s="8">
        <v>12075</v>
      </c>
      <c r="F6322" s="13" t="s">
        <v>70</v>
      </c>
      <c r="G6322" s="14">
        <v>44628</v>
      </c>
      <c r="H6322" s="13" t="s">
        <v>35</v>
      </c>
    </row>
    <row r="6323" spans="1:8" ht="14.4" x14ac:dyDescent="0.3">
      <c r="A6323" s="8">
        <v>1969698</v>
      </c>
      <c r="B6323" s="11">
        <v>44623</v>
      </c>
      <c r="C6323" s="13" t="s">
        <v>44</v>
      </c>
      <c r="D6323" s="13" t="s">
        <v>8065</v>
      </c>
      <c r="E6323" s="8">
        <v>12075</v>
      </c>
      <c r="F6323" s="13" t="s">
        <v>70</v>
      </c>
      <c r="G6323" s="14">
        <v>44628</v>
      </c>
      <c r="H6323" s="13" t="s">
        <v>35</v>
      </c>
    </row>
    <row r="6324" spans="1:8" ht="14.4" x14ac:dyDescent="0.3">
      <c r="A6324" s="8">
        <v>1969699</v>
      </c>
      <c r="B6324" s="11">
        <v>44623</v>
      </c>
      <c r="C6324" s="13" t="s">
        <v>44</v>
      </c>
      <c r="D6324" s="13" t="s">
        <v>8066</v>
      </c>
      <c r="E6324" s="8">
        <v>12075</v>
      </c>
      <c r="F6324" s="13" t="s">
        <v>70</v>
      </c>
      <c r="G6324" s="14">
        <v>44628</v>
      </c>
      <c r="H6324" s="13" t="s">
        <v>35</v>
      </c>
    </row>
    <row r="6325" spans="1:8" ht="14.4" x14ac:dyDescent="0.3">
      <c r="A6325" s="8">
        <v>1969700</v>
      </c>
      <c r="B6325" s="11">
        <v>44623</v>
      </c>
      <c r="C6325" s="13" t="s">
        <v>748</v>
      </c>
      <c r="D6325" s="13" t="s">
        <v>1320</v>
      </c>
      <c r="E6325" s="8">
        <v>3972.18</v>
      </c>
      <c r="F6325" s="13" t="s">
        <v>70</v>
      </c>
      <c r="G6325" s="14">
        <v>44624</v>
      </c>
      <c r="H6325" s="13" t="s">
        <v>35</v>
      </c>
    </row>
    <row r="6326" spans="1:8" ht="14.4" x14ac:dyDescent="0.3">
      <c r="A6326" s="8">
        <v>1969701</v>
      </c>
      <c r="B6326" s="11">
        <v>44623</v>
      </c>
      <c r="C6326" s="13" t="s">
        <v>748</v>
      </c>
      <c r="D6326" s="13" t="s">
        <v>1320</v>
      </c>
      <c r="E6326" s="8">
        <v>4124.07</v>
      </c>
      <c r="F6326" s="13" t="s">
        <v>70</v>
      </c>
      <c r="G6326" s="14">
        <v>44624</v>
      </c>
      <c r="H6326" s="13" t="s">
        <v>35</v>
      </c>
    </row>
    <row r="6327" spans="1:8" ht="14.4" x14ac:dyDescent="0.3">
      <c r="A6327" s="8">
        <v>1969702</v>
      </c>
      <c r="B6327" s="11">
        <v>44623</v>
      </c>
      <c r="C6327" s="13" t="s">
        <v>6388</v>
      </c>
      <c r="D6327" s="13" t="s">
        <v>8067</v>
      </c>
      <c r="E6327" s="8">
        <v>20000</v>
      </c>
      <c r="F6327" s="13" t="s">
        <v>70</v>
      </c>
      <c r="G6327" s="14">
        <v>44631</v>
      </c>
      <c r="H6327" s="13" t="s">
        <v>35</v>
      </c>
    </row>
    <row r="6328" spans="1:8" ht="14.4" x14ac:dyDescent="0.3">
      <c r="A6328" s="8">
        <v>1969703</v>
      </c>
      <c r="B6328" s="11">
        <v>44623</v>
      </c>
      <c r="C6328" s="13" t="s">
        <v>6388</v>
      </c>
      <c r="D6328" s="13" t="s">
        <v>8068</v>
      </c>
      <c r="E6328" s="8">
        <v>40000</v>
      </c>
      <c r="F6328" s="13" t="s">
        <v>70</v>
      </c>
      <c r="G6328" s="14">
        <v>44631</v>
      </c>
      <c r="H6328" s="13" t="s">
        <v>35</v>
      </c>
    </row>
    <row r="6329" spans="1:8" ht="14.4" x14ac:dyDescent="0.3">
      <c r="A6329" s="8">
        <v>1969704</v>
      </c>
      <c r="B6329" s="11">
        <v>44623</v>
      </c>
      <c r="C6329" s="13" t="s">
        <v>6388</v>
      </c>
      <c r="D6329" s="13" t="s">
        <v>8069</v>
      </c>
      <c r="E6329" s="8">
        <v>40000</v>
      </c>
      <c r="F6329" s="13" t="s">
        <v>70</v>
      </c>
      <c r="G6329" s="14">
        <v>44631</v>
      </c>
      <c r="H6329" s="13" t="s">
        <v>35</v>
      </c>
    </row>
    <row r="6330" spans="1:8" ht="14.4" x14ac:dyDescent="0.3">
      <c r="A6330" s="8">
        <v>1969705</v>
      </c>
      <c r="B6330" s="11">
        <v>44623</v>
      </c>
      <c r="C6330" s="13" t="s">
        <v>2480</v>
      </c>
      <c r="D6330" s="13" t="s">
        <v>8070</v>
      </c>
      <c r="E6330" s="8">
        <v>89000</v>
      </c>
      <c r="F6330" s="13" t="s">
        <v>70</v>
      </c>
      <c r="G6330" s="14">
        <v>44627</v>
      </c>
      <c r="H6330" s="13" t="s">
        <v>35</v>
      </c>
    </row>
    <row r="6331" spans="1:8" ht="14.4" x14ac:dyDescent="0.3">
      <c r="A6331" s="8">
        <v>1969706</v>
      </c>
      <c r="B6331" s="11">
        <v>44623</v>
      </c>
      <c r="C6331" s="13" t="s">
        <v>85</v>
      </c>
      <c r="D6331" s="13" t="s">
        <v>8071</v>
      </c>
      <c r="E6331" s="8">
        <v>1500</v>
      </c>
      <c r="F6331" s="13" t="s">
        <v>70</v>
      </c>
      <c r="G6331" s="14">
        <v>44624</v>
      </c>
      <c r="H6331" s="13" t="s">
        <v>35</v>
      </c>
    </row>
    <row r="6332" spans="1:8" ht="14.4" x14ac:dyDescent="0.3">
      <c r="A6332" s="8">
        <v>1969707</v>
      </c>
      <c r="B6332" s="11">
        <v>44623</v>
      </c>
      <c r="C6332" s="13" t="s">
        <v>265</v>
      </c>
      <c r="D6332" s="13" t="s">
        <v>8072</v>
      </c>
      <c r="E6332" s="8">
        <v>63850</v>
      </c>
      <c r="F6332" s="13" t="s">
        <v>70</v>
      </c>
      <c r="G6332" s="14">
        <v>44627</v>
      </c>
      <c r="H6332" s="13" t="s">
        <v>35</v>
      </c>
    </row>
    <row r="6333" spans="1:8" ht="14.4" x14ac:dyDescent="0.3">
      <c r="A6333" s="8">
        <v>1969708</v>
      </c>
      <c r="B6333" s="11">
        <v>44623</v>
      </c>
      <c r="C6333" s="13" t="s">
        <v>6388</v>
      </c>
      <c r="D6333" s="13" t="s">
        <v>8073</v>
      </c>
      <c r="E6333" s="8">
        <v>250000</v>
      </c>
      <c r="F6333" s="13" t="s">
        <v>70</v>
      </c>
      <c r="G6333" s="14">
        <v>44631</v>
      </c>
      <c r="H6333" s="13" t="s">
        <v>35</v>
      </c>
    </row>
    <row r="6334" spans="1:8" ht="14.4" x14ac:dyDescent="0.3">
      <c r="A6334" s="8">
        <v>1969709</v>
      </c>
      <c r="B6334" s="11">
        <v>44623</v>
      </c>
      <c r="C6334" s="13" t="s">
        <v>152</v>
      </c>
      <c r="D6334" s="13" t="s">
        <v>8074</v>
      </c>
      <c r="E6334" s="8">
        <v>8000</v>
      </c>
      <c r="F6334" s="13" t="s">
        <v>70</v>
      </c>
      <c r="G6334" s="14">
        <v>44630</v>
      </c>
      <c r="H6334" s="13" t="s">
        <v>35</v>
      </c>
    </row>
    <row r="6335" spans="1:8" ht="14.4" x14ac:dyDescent="0.3">
      <c r="A6335" s="8">
        <v>1969710</v>
      </c>
      <c r="B6335" s="11">
        <v>44623</v>
      </c>
      <c r="C6335" s="13" t="s">
        <v>893</v>
      </c>
      <c r="D6335" s="13" t="s">
        <v>8075</v>
      </c>
      <c r="E6335" s="8">
        <v>201500</v>
      </c>
      <c r="F6335" s="13" t="s">
        <v>70</v>
      </c>
      <c r="G6335" s="14">
        <v>44645</v>
      </c>
      <c r="H6335" s="13" t="s">
        <v>35</v>
      </c>
    </row>
    <row r="6336" spans="1:8" ht="14.4" x14ac:dyDescent="0.3">
      <c r="A6336" s="8">
        <v>1969711</v>
      </c>
      <c r="B6336" s="11">
        <v>44623</v>
      </c>
      <c r="C6336" s="13" t="s">
        <v>2906</v>
      </c>
      <c r="D6336" s="13" t="s">
        <v>8001</v>
      </c>
      <c r="E6336" s="8">
        <v>55000</v>
      </c>
      <c r="F6336" s="13" t="s">
        <v>70</v>
      </c>
      <c r="G6336" s="14">
        <v>44645</v>
      </c>
      <c r="H6336" s="13" t="s">
        <v>35</v>
      </c>
    </row>
    <row r="6337" spans="1:8" ht="14.4" x14ac:dyDescent="0.3">
      <c r="A6337" s="8">
        <v>1969712</v>
      </c>
      <c r="B6337" s="11">
        <v>44623</v>
      </c>
      <c r="C6337" s="13" t="s">
        <v>180</v>
      </c>
      <c r="D6337" s="13" t="s">
        <v>901</v>
      </c>
      <c r="E6337" s="8">
        <v>109145.08</v>
      </c>
      <c r="F6337" s="13" t="s">
        <v>70</v>
      </c>
      <c r="G6337" s="14">
        <v>44624</v>
      </c>
      <c r="H6337" s="13" t="s">
        <v>35</v>
      </c>
    </row>
    <row r="6338" spans="1:8" ht="14.4" x14ac:dyDescent="0.3">
      <c r="A6338" s="8">
        <v>1969713</v>
      </c>
      <c r="B6338" s="11">
        <v>44623</v>
      </c>
      <c r="C6338" s="13" t="s">
        <v>8076</v>
      </c>
      <c r="D6338" s="13" t="s">
        <v>8077</v>
      </c>
      <c r="E6338" s="8">
        <v>19500</v>
      </c>
      <c r="F6338" s="13" t="s">
        <v>70</v>
      </c>
      <c r="G6338" s="14">
        <v>44635</v>
      </c>
      <c r="H6338" s="13" t="s">
        <v>35</v>
      </c>
    </row>
    <row r="6339" spans="1:8" ht="14.4" x14ac:dyDescent="0.3">
      <c r="A6339" s="8">
        <v>1969714</v>
      </c>
      <c r="B6339" s="11">
        <v>44623</v>
      </c>
      <c r="C6339" s="13" t="s">
        <v>8078</v>
      </c>
      <c r="D6339" s="13" t="s">
        <v>8079</v>
      </c>
      <c r="E6339" s="8">
        <v>20000</v>
      </c>
      <c r="F6339" s="13" t="s">
        <v>70</v>
      </c>
      <c r="G6339" s="14">
        <v>44630</v>
      </c>
      <c r="H6339" s="13" t="s">
        <v>35</v>
      </c>
    </row>
    <row r="6340" spans="1:8" ht="14.4" x14ac:dyDescent="0.3">
      <c r="A6340" s="8">
        <v>1969715</v>
      </c>
      <c r="B6340" s="11">
        <v>44623</v>
      </c>
      <c r="C6340" s="13" t="s">
        <v>8080</v>
      </c>
      <c r="D6340" s="13" t="s">
        <v>8081</v>
      </c>
      <c r="E6340" s="8">
        <v>10000</v>
      </c>
      <c r="F6340" s="13" t="s">
        <v>70</v>
      </c>
      <c r="G6340" s="14">
        <v>44627</v>
      </c>
      <c r="H6340" s="13" t="s">
        <v>35</v>
      </c>
    </row>
    <row r="6341" spans="1:8" ht="14.4" x14ac:dyDescent="0.3">
      <c r="A6341" s="8">
        <v>1969716</v>
      </c>
      <c r="B6341" s="11">
        <v>44623</v>
      </c>
      <c r="C6341" s="13" t="s">
        <v>8082</v>
      </c>
      <c r="D6341" s="13" t="s">
        <v>8083</v>
      </c>
      <c r="E6341" s="8">
        <v>13000</v>
      </c>
      <c r="F6341" s="13" t="s">
        <v>70</v>
      </c>
      <c r="G6341" s="14">
        <v>44627</v>
      </c>
      <c r="H6341" s="13" t="s">
        <v>35</v>
      </c>
    </row>
    <row r="6342" spans="1:8" ht="14.4" x14ac:dyDescent="0.3">
      <c r="A6342" s="8">
        <v>1969717</v>
      </c>
      <c r="B6342" s="11">
        <v>44623</v>
      </c>
      <c r="C6342" s="13" t="s">
        <v>8084</v>
      </c>
      <c r="D6342" s="13" t="s">
        <v>8085</v>
      </c>
      <c r="E6342" s="8">
        <v>6000</v>
      </c>
      <c r="F6342" s="13" t="s">
        <v>70</v>
      </c>
      <c r="G6342" s="14">
        <v>44627</v>
      </c>
      <c r="H6342" s="13" t="s">
        <v>35</v>
      </c>
    </row>
    <row r="6343" spans="1:8" ht="14.4" x14ac:dyDescent="0.3">
      <c r="A6343" s="8">
        <v>1969718</v>
      </c>
      <c r="B6343" s="11">
        <v>44623</v>
      </c>
      <c r="C6343" s="13" t="s">
        <v>8086</v>
      </c>
      <c r="D6343" s="13" t="s">
        <v>8087</v>
      </c>
      <c r="E6343" s="8">
        <v>9000</v>
      </c>
      <c r="F6343" s="13" t="s">
        <v>70</v>
      </c>
      <c r="G6343" s="14">
        <v>44627</v>
      </c>
      <c r="H6343" s="13" t="s">
        <v>35</v>
      </c>
    </row>
    <row r="6344" spans="1:8" ht="14.4" x14ac:dyDescent="0.3">
      <c r="A6344" s="8">
        <v>1969719</v>
      </c>
      <c r="B6344" s="11">
        <v>44623</v>
      </c>
      <c r="C6344" s="13" t="s">
        <v>3059</v>
      </c>
      <c r="D6344" s="13" t="s">
        <v>8088</v>
      </c>
      <c r="E6344" s="8">
        <v>7440</v>
      </c>
      <c r="F6344" s="13" t="s">
        <v>70</v>
      </c>
      <c r="G6344" s="14">
        <v>44630</v>
      </c>
      <c r="H6344" s="13" t="s">
        <v>35</v>
      </c>
    </row>
    <row r="6345" spans="1:8" ht="14.4" x14ac:dyDescent="0.3">
      <c r="A6345" s="8">
        <v>1969720</v>
      </c>
      <c r="B6345" s="11">
        <v>44624</v>
      </c>
      <c r="C6345" s="13" t="s">
        <v>8089</v>
      </c>
      <c r="D6345" s="13" t="s">
        <v>8090</v>
      </c>
      <c r="E6345" s="8">
        <v>23679.87</v>
      </c>
      <c r="F6345" s="13" t="s">
        <v>70</v>
      </c>
      <c r="G6345" s="14">
        <v>44624</v>
      </c>
      <c r="H6345" s="13" t="s">
        <v>35</v>
      </c>
    </row>
    <row r="6346" spans="1:8" ht="14.4" x14ac:dyDescent="0.3">
      <c r="A6346" s="8">
        <v>1969721</v>
      </c>
      <c r="B6346" s="11">
        <v>44624</v>
      </c>
      <c r="C6346" s="13" t="s">
        <v>1569</v>
      </c>
      <c r="D6346" s="13" t="s">
        <v>8091</v>
      </c>
      <c r="E6346" s="8">
        <v>2332096</v>
      </c>
      <c r="F6346" s="13" t="s">
        <v>70</v>
      </c>
      <c r="G6346" s="14">
        <v>44629</v>
      </c>
      <c r="H6346" s="13" t="s">
        <v>35</v>
      </c>
    </row>
    <row r="6347" spans="1:8" ht="14.4" x14ac:dyDescent="0.3">
      <c r="A6347" s="8">
        <v>1969722</v>
      </c>
      <c r="B6347" s="11">
        <v>44624</v>
      </c>
      <c r="C6347" s="13" t="s">
        <v>1718</v>
      </c>
      <c r="D6347" s="13" t="s">
        <v>8092</v>
      </c>
      <c r="E6347" s="8">
        <v>65625</v>
      </c>
      <c r="F6347" s="13" t="s">
        <v>70</v>
      </c>
      <c r="G6347" s="14">
        <v>44627</v>
      </c>
      <c r="H6347" s="13" t="s">
        <v>35</v>
      </c>
    </row>
    <row r="6348" spans="1:8" ht="14.4" x14ac:dyDescent="0.3">
      <c r="A6348" s="8">
        <v>1969723</v>
      </c>
      <c r="B6348" s="11">
        <v>44624</v>
      </c>
      <c r="C6348" s="13" t="s">
        <v>259</v>
      </c>
      <c r="D6348" s="13" t="s">
        <v>8093</v>
      </c>
      <c r="E6348" s="8">
        <v>24133.93</v>
      </c>
      <c r="F6348" s="13" t="s">
        <v>70</v>
      </c>
      <c r="G6348" s="14">
        <v>44648</v>
      </c>
      <c r="H6348" s="13" t="s">
        <v>35</v>
      </c>
    </row>
    <row r="6349" spans="1:8" ht="14.4" x14ac:dyDescent="0.3">
      <c r="A6349" s="8">
        <v>1969724</v>
      </c>
      <c r="B6349" s="11">
        <v>44624</v>
      </c>
      <c r="C6349" s="13" t="s">
        <v>254</v>
      </c>
      <c r="D6349" s="13" t="s">
        <v>8094</v>
      </c>
      <c r="E6349" s="8">
        <v>11025.89</v>
      </c>
      <c r="F6349" s="13" t="s">
        <v>70</v>
      </c>
      <c r="G6349" s="14">
        <v>44628</v>
      </c>
      <c r="H6349" s="13" t="s">
        <v>35</v>
      </c>
    </row>
    <row r="6350" spans="1:8" ht="14.4" x14ac:dyDescent="0.3">
      <c r="A6350" s="8">
        <v>1969725</v>
      </c>
      <c r="B6350" s="11">
        <v>44624</v>
      </c>
      <c r="C6350" s="13" t="s">
        <v>1645</v>
      </c>
      <c r="D6350" s="13" t="s">
        <v>8095</v>
      </c>
      <c r="E6350" s="8">
        <v>29564.94</v>
      </c>
      <c r="F6350" s="13" t="s">
        <v>70</v>
      </c>
      <c r="G6350" s="14">
        <v>44627</v>
      </c>
      <c r="H6350" s="13" t="s">
        <v>35</v>
      </c>
    </row>
    <row r="6351" spans="1:8" ht="14.4" x14ac:dyDescent="0.3">
      <c r="A6351" s="8">
        <v>1969726</v>
      </c>
      <c r="B6351" s="11">
        <v>44624</v>
      </c>
      <c r="C6351" s="13" t="s">
        <v>188</v>
      </c>
      <c r="D6351" s="13" t="s">
        <v>1749</v>
      </c>
      <c r="E6351" s="8">
        <v>17318.16</v>
      </c>
      <c r="F6351" s="13" t="s">
        <v>70</v>
      </c>
      <c r="G6351" s="14">
        <v>44627</v>
      </c>
      <c r="H6351" s="13" t="s">
        <v>35</v>
      </c>
    </row>
    <row r="6352" spans="1:8" ht="14.4" x14ac:dyDescent="0.3">
      <c r="A6352" s="8">
        <v>1969727</v>
      </c>
      <c r="B6352" s="11">
        <v>44624</v>
      </c>
      <c r="C6352" s="13" t="s">
        <v>186</v>
      </c>
      <c r="D6352" s="13" t="s">
        <v>8095</v>
      </c>
      <c r="E6352" s="8">
        <v>1800995.79</v>
      </c>
      <c r="F6352" s="13" t="s">
        <v>70</v>
      </c>
      <c r="G6352" s="14">
        <v>44627</v>
      </c>
      <c r="H6352" s="13" t="s">
        <v>35</v>
      </c>
    </row>
    <row r="6353" spans="1:8" ht="14.4" x14ac:dyDescent="0.3">
      <c r="A6353" s="8">
        <v>1969728</v>
      </c>
      <c r="B6353" s="11">
        <v>44624</v>
      </c>
      <c r="C6353" s="13" t="s">
        <v>188</v>
      </c>
      <c r="D6353" s="13" t="s">
        <v>8096</v>
      </c>
      <c r="E6353" s="8">
        <v>34959.86</v>
      </c>
      <c r="F6353" s="13" t="s">
        <v>70</v>
      </c>
      <c r="G6353" s="14">
        <v>44627</v>
      </c>
      <c r="H6353" s="13" t="s">
        <v>35</v>
      </c>
    </row>
    <row r="6354" spans="1:8" ht="14.4" x14ac:dyDescent="0.3">
      <c r="A6354" s="8">
        <v>1969729</v>
      </c>
      <c r="B6354" s="11">
        <v>44624</v>
      </c>
      <c r="C6354" s="13" t="s">
        <v>189</v>
      </c>
      <c r="D6354" s="13" t="s">
        <v>8097</v>
      </c>
      <c r="E6354" s="8">
        <v>8385812.1100000003</v>
      </c>
      <c r="F6354" s="13" t="s">
        <v>70</v>
      </c>
      <c r="G6354" s="14">
        <v>44627</v>
      </c>
      <c r="H6354" s="13" t="s">
        <v>35</v>
      </c>
    </row>
    <row r="6355" spans="1:8" ht="14.4" x14ac:dyDescent="0.3">
      <c r="A6355" s="8">
        <v>1969730</v>
      </c>
      <c r="B6355" s="11">
        <v>44624</v>
      </c>
      <c r="C6355" s="13" t="s">
        <v>71</v>
      </c>
      <c r="D6355" s="13" t="s">
        <v>8098</v>
      </c>
      <c r="E6355" s="8">
        <v>53175.13</v>
      </c>
      <c r="F6355" s="13" t="s">
        <v>70</v>
      </c>
      <c r="G6355" s="14">
        <v>44628</v>
      </c>
      <c r="H6355" s="13" t="s">
        <v>35</v>
      </c>
    </row>
    <row r="6356" spans="1:8" ht="14.4" x14ac:dyDescent="0.3">
      <c r="A6356" s="8">
        <v>1969731</v>
      </c>
      <c r="B6356" s="11">
        <v>44624</v>
      </c>
      <c r="C6356" s="13" t="s">
        <v>884</v>
      </c>
      <c r="D6356" s="13" t="s">
        <v>8099</v>
      </c>
      <c r="E6356" s="8">
        <v>114000</v>
      </c>
      <c r="F6356" s="13" t="s">
        <v>70</v>
      </c>
      <c r="G6356" s="14">
        <v>44624</v>
      </c>
      <c r="H6356" s="13" t="s">
        <v>35</v>
      </c>
    </row>
    <row r="6357" spans="1:8" ht="14.4" x14ac:dyDescent="0.3">
      <c r="A6357" s="8">
        <v>1969732</v>
      </c>
      <c r="B6357" s="11">
        <v>44624</v>
      </c>
      <c r="C6357" s="13" t="s">
        <v>7902</v>
      </c>
      <c r="D6357" s="13" t="s">
        <v>8100</v>
      </c>
      <c r="E6357" s="8">
        <v>31265.99</v>
      </c>
      <c r="F6357" s="13" t="s">
        <v>70</v>
      </c>
      <c r="G6357" s="14">
        <v>44624</v>
      </c>
      <c r="H6357" s="13" t="s">
        <v>35</v>
      </c>
    </row>
    <row r="6358" spans="1:8" ht="14.4" x14ac:dyDescent="0.3">
      <c r="A6358" s="8">
        <v>1969733</v>
      </c>
      <c r="B6358" s="11">
        <v>44624</v>
      </c>
      <c r="C6358" s="13" t="s">
        <v>7903</v>
      </c>
      <c r="D6358" s="13" t="s">
        <v>8101</v>
      </c>
      <c r="E6358" s="8">
        <v>25893.22</v>
      </c>
      <c r="F6358" s="13" t="s">
        <v>70</v>
      </c>
      <c r="G6358" s="14">
        <v>44624</v>
      </c>
      <c r="H6358" s="13" t="s">
        <v>35</v>
      </c>
    </row>
    <row r="6359" spans="1:8" ht="14.4" x14ac:dyDescent="0.3">
      <c r="A6359" s="8">
        <v>1969734</v>
      </c>
      <c r="B6359" s="11">
        <v>44624</v>
      </c>
      <c r="C6359" s="13" t="s">
        <v>1296</v>
      </c>
      <c r="D6359" s="13" t="s">
        <v>8102</v>
      </c>
      <c r="E6359" s="8">
        <v>29480.19</v>
      </c>
      <c r="F6359" s="13" t="s">
        <v>70</v>
      </c>
      <c r="G6359" s="14">
        <v>44627</v>
      </c>
      <c r="H6359" s="13" t="s">
        <v>35</v>
      </c>
    </row>
    <row r="6360" spans="1:8" ht="14.4" x14ac:dyDescent="0.3">
      <c r="A6360" s="8">
        <v>1969735</v>
      </c>
      <c r="B6360" s="11">
        <v>44624</v>
      </c>
      <c r="C6360" s="13" t="s">
        <v>180</v>
      </c>
      <c r="D6360" s="13" t="s">
        <v>901</v>
      </c>
      <c r="E6360" s="8">
        <v>478068.11</v>
      </c>
      <c r="F6360" s="13" t="s">
        <v>70</v>
      </c>
      <c r="G6360" s="14">
        <v>44624</v>
      </c>
      <c r="H6360" s="13" t="s">
        <v>35</v>
      </c>
    </row>
    <row r="6361" spans="1:8" ht="14.4" x14ac:dyDescent="0.3">
      <c r="A6361" s="8">
        <v>1969736</v>
      </c>
      <c r="B6361" s="11">
        <v>44624</v>
      </c>
      <c r="C6361" s="13" t="s">
        <v>197</v>
      </c>
      <c r="D6361" s="13" t="s">
        <v>8103</v>
      </c>
      <c r="E6361" s="8">
        <v>424763.55</v>
      </c>
      <c r="F6361" s="13" t="s">
        <v>70</v>
      </c>
      <c r="G6361" s="14">
        <v>44634</v>
      </c>
      <c r="H6361" s="13" t="s">
        <v>35</v>
      </c>
    </row>
    <row r="6362" spans="1:8" ht="14.4" x14ac:dyDescent="0.3">
      <c r="A6362" s="8">
        <v>1969737</v>
      </c>
      <c r="B6362" s="11">
        <v>44624</v>
      </c>
      <c r="C6362" s="13" t="s">
        <v>197</v>
      </c>
      <c r="D6362" s="13" t="s">
        <v>8095</v>
      </c>
      <c r="E6362" s="8">
        <v>1788634.04</v>
      </c>
      <c r="F6362" s="13" t="s">
        <v>70</v>
      </c>
      <c r="G6362" s="14">
        <v>44634</v>
      </c>
      <c r="H6362" s="13" t="s">
        <v>35</v>
      </c>
    </row>
    <row r="6363" spans="1:8" ht="14.4" x14ac:dyDescent="0.3">
      <c r="A6363" s="8">
        <v>1969738</v>
      </c>
      <c r="B6363" s="11">
        <v>44624</v>
      </c>
      <c r="C6363" s="13" t="s">
        <v>259</v>
      </c>
      <c r="D6363" s="13" t="s">
        <v>8104</v>
      </c>
      <c r="E6363" s="8">
        <v>36910.720000000001</v>
      </c>
      <c r="F6363" s="13" t="s">
        <v>70</v>
      </c>
      <c r="G6363" s="14">
        <v>44648</v>
      </c>
      <c r="H6363" s="13" t="s">
        <v>35</v>
      </c>
    </row>
    <row r="6364" spans="1:8" ht="14.4" x14ac:dyDescent="0.3">
      <c r="A6364" s="8">
        <v>1969739</v>
      </c>
      <c r="B6364" s="11">
        <v>44624</v>
      </c>
      <c r="C6364" s="13" t="s">
        <v>1924</v>
      </c>
      <c r="D6364" s="13" t="s">
        <v>8105</v>
      </c>
      <c r="E6364" s="8">
        <v>4039200</v>
      </c>
      <c r="F6364" s="13" t="s">
        <v>70</v>
      </c>
      <c r="G6364" s="14">
        <v>44670</v>
      </c>
      <c r="H6364" s="13" t="s">
        <v>35</v>
      </c>
    </row>
    <row r="6365" spans="1:8" ht="14.4" x14ac:dyDescent="0.3">
      <c r="A6365" s="8">
        <v>1969740</v>
      </c>
      <c r="B6365" s="11">
        <v>44624</v>
      </c>
      <c r="C6365" s="13" t="s">
        <v>4156</v>
      </c>
      <c r="D6365" s="13" t="s">
        <v>8106</v>
      </c>
      <c r="E6365" s="8">
        <v>1018500</v>
      </c>
      <c r="F6365" s="13" t="s">
        <v>70</v>
      </c>
      <c r="G6365" s="14">
        <v>44642</v>
      </c>
      <c r="H6365" s="13" t="s">
        <v>35</v>
      </c>
    </row>
    <row r="6366" spans="1:8" ht="14.4" x14ac:dyDescent="0.3">
      <c r="A6366" s="8">
        <v>1969741</v>
      </c>
      <c r="B6366" s="11">
        <v>44624</v>
      </c>
      <c r="C6366" s="13" t="s">
        <v>8107</v>
      </c>
      <c r="D6366" s="13" t="s">
        <v>8108</v>
      </c>
      <c r="E6366" s="8">
        <v>39524.43</v>
      </c>
      <c r="F6366" s="13" t="s">
        <v>70</v>
      </c>
      <c r="G6366" s="14">
        <v>44629</v>
      </c>
      <c r="H6366" s="13" t="s">
        <v>35</v>
      </c>
    </row>
    <row r="6367" spans="1:8" ht="14.4" x14ac:dyDescent="0.3">
      <c r="A6367" s="8">
        <v>1969742</v>
      </c>
      <c r="B6367" s="11">
        <v>44624</v>
      </c>
      <c r="C6367" s="13" t="s">
        <v>3835</v>
      </c>
      <c r="D6367" s="13" t="s">
        <v>8109</v>
      </c>
      <c r="E6367" s="8">
        <v>17004.919999999998</v>
      </c>
      <c r="F6367" s="13" t="s">
        <v>70</v>
      </c>
      <c r="G6367" s="14">
        <v>44627</v>
      </c>
      <c r="H6367" s="13" t="s">
        <v>35</v>
      </c>
    </row>
    <row r="6368" spans="1:8" ht="14.4" x14ac:dyDescent="0.3">
      <c r="A6368" s="8">
        <v>1969743</v>
      </c>
      <c r="B6368" s="11">
        <v>44624</v>
      </c>
      <c r="C6368" s="13" t="s">
        <v>1280</v>
      </c>
      <c r="D6368" s="13" t="s">
        <v>8110</v>
      </c>
      <c r="E6368" s="8">
        <v>17919.61</v>
      </c>
      <c r="F6368" s="13" t="s">
        <v>70</v>
      </c>
      <c r="G6368" s="14">
        <v>44627</v>
      </c>
      <c r="H6368" s="13" t="s">
        <v>35</v>
      </c>
    </row>
    <row r="6369" spans="1:8" ht="14.4" x14ac:dyDescent="0.3">
      <c r="A6369" s="8">
        <v>1969744</v>
      </c>
      <c r="B6369" s="11">
        <v>44624</v>
      </c>
      <c r="C6369" s="13" t="s">
        <v>1285</v>
      </c>
      <c r="D6369" s="13" t="s">
        <v>8110</v>
      </c>
      <c r="E6369" s="8">
        <v>14137.48</v>
      </c>
      <c r="F6369" s="13" t="s">
        <v>70</v>
      </c>
      <c r="G6369" s="14">
        <v>44627</v>
      </c>
      <c r="H6369" s="13" t="s">
        <v>35</v>
      </c>
    </row>
    <row r="6370" spans="1:8" ht="14.4" x14ac:dyDescent="0.3">
      <c r="A6370" s="8">
        <v>1969745</v>
      </c>
      <c r="B6370" s="11">
        <v>44624</v>
      </c>
      <c r="C6370" s="13" t="s">
        <v>1283</v>
      </c>
      <c r="D6370" s="13" t="s">
        <v>8110</v>
      </c>
      <c r="E6370" s="8">
        <v>16901.63</v>
      </c>
      <c r="F6370" s="13" t="s">
        <v>70</v>
      </c>
      <c r="G6370" s="14">
        <v>44627</v>
      </c>
      <c r="H6370" s="13" t="s">
        <v>35</v>
      </c>
    </row>
    <row r="6371" spans="1:8" ht="14.4" x14ac:dyDescent="0.3">
      <c r="A6371" s="8">
        <v>1969746</v>
      </c>
      <c r="B6371" s="11">
        <v>44624</v>
      </c>
      <c r="C6371" s="13" t="s">
        <v>178</v>
      </c>
      <c r="D6371" s="13" t="s">
        <v>8111</v>
      </c>
      <c r="E6371" s="8">
        <v>1468.27</v>
      </c>
      <c r="F6371" s="13" t="s">
        <v>70</v>
      </c>
      <c r="G6371" s="14">
        <v>44630</v>
      </c>
      <c r="H6371" s="13" t="s">
        <v>35</v>
      </c>
    </row>
    <row r="6372" spans="1:8" ht="14.4" x14ac:dyDescent="0.3">
      <c r="A6372" s="8">
        <v>1969747</v>
      </c>
      <c r="B6372" s="11">
        <v>44624</v>
      </c>
      <c r="C6372" s="13" t="s">
        <v>1310</v>
      </c>
      <c r="D6372" s="13" t="s">
        <v>8112</v>
      </c>
      <c r="E6372" s="8">
        <v>96737.85</v>
      </c>
      <c r="F6372" s="13" t="s">
        <v>70</v>
      </c>
      <c r="G6372" s="14">
        <v>44628</v>
      </c>
      <c r="H6372" s="13" t="s">
        <v>35</v>
      </c>
    </row>
    <row r="6373" spans="1:8" ht="14.4" x14ac:dyDescent="0.3">
      <c r="A6373" s="8">
        <v>1969748</v>
      </c>
      <c r="B6373" s="11">
        <v>44624</v>
      </c>
      <c r="C6373" s="13" t="s">
        <v>8113</v>
      </c>
      <c r="D6373" s="13" t="s">
        <v>8110</v>
      </c>
      <c r="E6373" s="8">
        <v>17919.61</v>
      </c>
      <c r="F6373" s="13" t="s">
        <v>70</v>
      </c>
      <c r="G6373" s="14">
        <v>44627</v>
      </c>
      <c r="H6373" s="13" t="s">
        <v>35</v>
      </c>
    </row>
    <row r="6374" spans="1:8" ht="14.4" x14ac:dyDescent="0.3">
      <c r="A6374" s="8">
        <v>1969749</v>
      </c>
      <c r="B6374" s="11">
        <v>44624</v>
      </c>
      <c r="C6374" s="13" t="s">
        <v>1653</v>
      </c>
      <c r="D6374" s="13" t="s">
        <v>8114</v>
      </c>
      <c r="E6374" s="8">
        <v>90041.41</v>
      </c>
      <c r="F6374" s="13" t="s">
        <v>70</v>
      </c>
      <c r="G6374" s="14">
        <v>44628</v>
      </c>
      <c r="H6374" s="13" t="s">
        <v>35</v>
      </c>
    </row>
    <row r="6375" spans="1:8" ht="14.4" x14ac:dyDescent="0.3">
      <c r="A6375" s="8">
        <v>1969750</v>
      </c>
      <c r="B6375" s="11">
        <v>44624</v>
      </c>
      <c r="C6375" s="13" t="s">
        <v>8115</v>
      </c>
      <c r="D6375" s="13" t="s">
        <v>8116</v>
      </c>
      <c r="E6375" s="8">
        <v>7800</v>
      </c>
      <c r="F6375" s="13" t="s">
        <v>70</v>
      </c>
      <c r="G6375" s="14">
        <v>44627</v>
      </c>
      <c r="H6375" s="13" t="s">
        <v>35</v>
      </c>
    </row>
    <row r="6376" spans="1:8" ht="14.4" x14ac:dyDescent="0.3">
      <c r="A6376" s="8">
        <v>1969751</v>
      </c>
      <c r="B6376" s="11">
        <v>44624</v>
      </c>
      <c r="C6376" s="13" t="s">
        <v>8117</v>
      </c>
      <c r="D6376" s="13" t="s">
        <v>8118</v>
      </c>
      <c r="E6376" s="8">
        <v>65485.15</v>
      </c>
      <c r="F6376" s="13" t="s">
        <v>70</v>
      </c>
      <c r="G6376" s="14">
        <v>44627</v>
      </c>
      <c r="H6376" s="13" t="s">
        <v>35</v>
      </c>
    </row>
    <row r="6377" spans="1:8" ht="14.4" x14ac:dyDescent="0.3">
      <c r="A6377" s="8">
        <v>1969752</v>
      </c>
      <c r="B6377" s="11">
        <v>44624</v>
      </c>
      <c r="C6377" s="13" t="s">
        <v>8119</v>
      </c>
      <c r="D6377" s="13" t="s">
        <v>8120</v>
      </c>
      <c r="E6377" s="8">
        <v>12132.99</v>
      </c>
      <c r="F6377" s="13" t="s">
        <v>70</v>
      </c>
      <c r="G6377" s="14">
        <v>44628</v>
      </c>
      <c r="H6377" s="13" t="s">
        <v>35</v>
      </c>
    </row>
    <row r="6378" spans="1:8" ht="14.4" x14ac:dyDescent="0.3">
      <c r="A6378" s="8">
        <v>1969753</v>
      </c>
      <c r="B6378" s="11">
        <v>44627</v>
      </c>
      <c r="C6378" s="13" t="s">
        <v>159</v>
      </c>
      <c r="D6378" s="13" t="s">
        <v>8121</v>
      </c>
      <c r="E6378" s="8">
        <v>323400</v>
      </c>
      <c r="F6378" s="13" t="s">
        <v>70</v>
      </c>
      <c r="G6378" s="14">
        <v>44627</v>
      </c>
      <c r="H6378" s="13" t="s">
        <v>35</v>
      </c>
    </row>
    <row r="6379" spans="1:8" ht="14.4" x14ac:dyDescent="0.3">
      <c r="A6379" s="8">
        <v>1969754</v>
      </c>
      <c r="B6379" s="11">
        <v>44627</v>
      </c>
      <c r="C6379" s="13" t="s">
        <v>8122</v>
      </c>
      <c r="D6379" s="13" t="s">
        <v>8123</v>
      </c>
      <c r="E6379" s="8">
        <v>10000</v>
      </c>
      <c r="F6379" s="13" t="s">
        <v>70</v>
      </c>
      <c r="G6379" s="14">
        <v>44631</v>
      </c>
      <c r="H6379" s="13" t="s">
        <v>35</v>
      </c>
    </row>
    <row r="6380" spans="1:8" ht="14.4" x14ac:dyDescent="0.3">
      <c r="A6380" s="8">
        <v>1969755</v>
      </c>
      <c r="B6380" s="11">
        <v>44627</v>
      </c>
      <c r="C6380" s="13" t="s">
        <v>8124</v>
      </c>
      <c r="D6380" s="13" t="s">
        <v>8125</v>
      </c>
      <c r="E6380" s="8">
        <v>25000</v>
      </c>
      <c r="F6380" s="13" t="s">
        <v>70</v>
      </c>
      <c r="G6380" s="14">
        <v>44630</v>
      </c>
      <c r="H6380" s="13" t="s">
        <v>35</v>
      </c>
    </row>
    <row r="6381" spans="1:8" ht="14.4" x14ac:dyDescent="0.3">
      <c r="A6381" s="8">
        <v>1969756</v>
      </c>
      <c r="B6381" s="11">
        <v>44627</v>
      </c>
      <c r="C6381" s="13" t="s">
        <v>8126</v>
      </c>
      <c r="D6381" s="13" t="s">
        <v>8127</v>
      </c>
      <c r="E6381" s="8">
        <v>13000</v>
      </c>
      <c r="F6381" s="13" t="s">
        <v>70</v>
      </c>
      <c r="G6381" s="14">
        <v>44630</v>
      </c>
      <c r="H6381" s="13" t="s">
        <v>35</v>
      </c>
    </row>
    <row r="6382" spans="1:8" ht="14.4" x14ac:dyDescent="0.3">
      <c r="A6382" s="8">
        <v>1969757</v>
      </c>
      <c r="B6382" s="11">
        <v>44627</v>
      </c>
      <c r="C6382" s="13" t="s">
        <v>8128</v>
      </c>
      <c r="D6382" s="13" t="s">
        <v>8129</v>
      </c>
      <c r="E6382" s="8">
        <v>9000</v>
      </c>
      <c r="F6382" s="13" t="s">
        <v>70</v>
      </c>
      <c r="G6382" s="14">
        <v>44636</v>
      </c>
      <c r="H6382" s="13" t="s">
        <v>35</v>
      </c>
    </row>
    <row r="6383" spans="1:8" ht="14.4" x14ac:dyDescent="0.3">
      <c r="A6383" s="8">
        <v>1969758</v>
      </c>
      <c r="B6383" s="11">
        <v>44627</v>
      </c>
      <c r="C6383" s="13" t="s">
        <v>8130</v>
      </c>
      <c r="D6383" s="13" t="s">
        <v>8131</v>
      </c>
      <c r="E6383" s="8">
        <v>14000</v>
      </c>
      <c r="F6383" s="13" t="s">
        <v>70</v>
      </c>
      <c r="G6383" s="14">
        <v>44631</v>
      </c>
      <c r="H6383" s="13" t="s">
        <v>35</v>
      </c>
    </row>
    <row r="6384" spans="1:8" ht="14.4" x14ac:dyDescent="0.3">
      <c r="A6384" s="8">
        <v>1969759</v>
      </c>
      <c r="B6384" s="11">
        <v>44627</v>
      </c>
      <c r="C6384" s="13" t="s">
        <v>8132</v>
      </c>
      <c r="D6384" s="13" t="s">
        <v>8133</v>
      </c>
      <c r="E6384" s="8">
        <v>12000</v>
      </c>
      <c r="F6384" s="13" t="s">
        <v>70</v>
      </c>
      <c r="G6384" s="14">
        <v>44629</v>
      </c>
      <c r="H6384" s="13" t="s">
        <v>35</v>
      </c>
    </row>
    <row r="6385" spans="1:8" ht="14.4" x14ac:dyDescent="0.3">
      <c r="A6385" s="8">
        <v>1969760</v>
      </c>
      <c r="B6385" s="11">
        <v>44627</v>
      </c>
      <c r="C6385" s="13" t="s">
        <v>8134</v>
      </c>
      <c r="D6385" s="13" t="s">
        <v>8135</v>
      </c>
      <c r="E6385" s="8">
        <v>9000</v>
      </c>
      <c r="F6385" s="13" t="s">
        <v>70</v>
      </c>
      <c r="G6385" s="14">
        <v>44630</v>
      </c>
      <c r="H6385" s="13" t="s">
        <v>35</v>
      </c>
    </row>
    <row r="6386" spans="1:8" ht="14.4" x14ac:dyDescent="0.3">
      <c r="A6386" s="8">
        <v>1969761</v>
      </c>
      <c r="B6386" s="11">
        <v>44627</v>
      </c>
      <c r="C6386" s="13" t="s">
        <v>8136</v>
      </c>
      <c r="D6386" s="13" t="s">
        <v>8137</v>
      </c>
      <c r="E6386" s="8">
        <v>10000</v>
      </c>
      <c r="F6386" s="13" t="s">
        <v>70</v>
      </c>
      <c r="G6386" s="14">
        <v>44628</v>
      </c>
      <c r="H6386" s="13" t="s">
        <v>35</v>
      </c>
    </row>
    <row r="6387" spans="1:8" ht="14.4" x14ac:dyDescent="0.3">
      <c r="A6387" s="8">
        <v>1969762</v>
      </c>
      <c r="B6387" s="11">
        <v>44627</v>
      </c>
      <c r="C6387" s="13" t="s">
        <v>8138</v>
      </c>
      <c r="D6387" s="13" t="s">
        <v>8139</v>
      </c>
      <c r="E6387" s="8">
        <v>15000</v>
      </c>
      <c r="F6387" s="13" t="s">
        <v>70</v>
      </c>
      <c r="G6387" s="14">
        <v>44630</v>
      </c>
      <c r="H6387" s="13" t="s">
        <v>35</v>
      </c>
    </row>
    <row r="6388" spans="1:8" ht="14.4" x14ac:dyDescent="0.3">
      <c r="A6388" s="8">
        <v>1969763</v>
      </c>
      <c r="B6388" s="11">
        <v>44627</v>
      </c>
      <c r="C6388" s="13" t="s">
        <v>8140</v>
      </c>
      <c r="D6388" s="13" t="s">
        <v>8141</v>
      </c>
      <c r="E6388" s="8">
        <v>50000</v>
      </c>
      <c r="F6388" s="13" t="s">
        <v>70</v>
      </c>
      <c r="G6388" s="14">
        <v>44631</v>
      </c>
      <c r="H6388" s="13" t="s">
        <v>35</v>
      </c>
    </row>
    <row r="6389" spans="1:8" ht="14.4" x14ac:dyDescent="0.3">
      <c r="A6389" s="8">
        <v>1969764</v>
      </c>
      <c r="B6389" s="11">
        <v>44627</v>
      </c>
      <c r="C6389" s="13" t="s">
        <v>8142</v>
      </c>
      <c r="D6389" s="13" t="s">
        <v>8143</v>
      </c>
      <c r="E6389" s="8">
        <v>23400</v>
      </c>
      <c r="F6389" s="13" t="s">
        <v>70</v>
      </c>
      <c r="G6389" s="14">
        <v>44631</v>
      </c>
      <c r="H6389" s="13" t="s">
        <v>35</v>
      </c>
    </row>
    <row r="6390" spans="1:8" ht="14.4" x14ac:dyDescent="0.3">
      <c r="A6390" s="8">
        <v>1969765</v>
      </c>
      <c r="B6390" s="11">
        <v>44627</v>
      </c>
      <c r="C6390" s="13" t="s">
        <v>8144</v>
      </c>
      <c r="D6390" s="13" t="s">
        <v>8145</v>
      </c>
      <c r="E6390" s="8">
        <v>22500</v>
      </c>
      <c r="F6390" s="13" t="s">
        <v>70</v>
      </c>
      <c r="G6390" s="14">
        <v>44630</v>
      </c>
      <c r="H6390" s="13" t="s">
        <v>35</v>
      </c>
    </row>
    <row r="6391" spans="1:8" ht="14.4" x14ac:dyDescent="0.3">
      <c r="A6391" s="8">
        <v>1969766</v>
      </c>
      <c r="B6391" s="11">
        <v>44627</v>
      </c>
      <c r="C6391" s="13" t="s">
        <v>265</v>
      </c>
      <c r="D6391" s="13" t="s">
        <v>8146</v>
      </c>
      <c r="E6391" s="8">
        <v>156757.99</v>
      </c>
      <c r="F6391" s="13" t="s">
        <v>70</v>
      </c>
      <c r="G6391" s="14">
        <v>44629</v>
      </c>
      <c r="H6391" s="13" t="s">
        <v>35</v>
      </c>
    </row>
    <row r="6392" spans="1:8" ht="14.4" x14ac:dyDescent="0.3">
      <c r="A6392" s="8">
        <v>1969767</v>
      </c>
      <c r="B6392" s="11">
        <v>44627</v>
      </c>
      <c r="C6392" s="13" t="s">
        <v>44</v>
      </c>
      <c r="D6392" s="13" t="s">
        <v>8147</v>
      </c>
      <c r="E6392" s="8">
        <v>2530.3000000000002</v>
      </c>
      <c r="F6392" s="13" t="s">
        <v>70</v>
      </c>
      <c r="G6392" s="14">
        <v>44630</v>
      </c>
      <c r="H6392" s="13" t="s">
        <v>35</v>
      </c>
    </row>
    <row r="6393" spans="1:8" ht="14.4" x14ac:dyDescent="0.3">
      <c r="A6393" s="8">
        <v>1969768</v>
      </c>
      <c r="B6393" s="11">
        <v>44627</v>
      </c>
      <c r="C6393" s="13" t="s">
        <v>44</v>
      </c>
      <c r="D6393" s="13" t="s">
        <v>8148</v>
      </c>
      <c r="E6393" s="8">
        <v>11302.52</v>
      </c>
      <c r="F6393" s="13" t="s">
        <v>70</v>
      </c>
      <c r="G6393" s="14">
        <v>44630</v>
      </c>
      <c r="H6393" s="13" t="s">
        <v>35</v>
      </c>
    </row>
    <row r="6394" spans="1:8" ht="14.4" x14ac:dyDescent="0.3">
      <c r="A6394" s="8">
        <v>1969769</v>
      </c>
      <c r="B6394" s="11">
        <v>44627</v>
      </c>
      <c r="C6394" s="13" t="s">
        <v>44</v>
      </c>
      <c r="D6394" s="13" t="s">
        <v>8149</v>
      </c>
      <c r="E6394" s="8">
        <v>2061.56</v>
      </c>
      <c r="F6394" s="13" t="s">
        <v>70</v>
      </c>
      <c r="G6394" s="14">
        <v>44630</v>
      </c>
      <c r="H6394" s="13" t="s">
        <v>35</v>
      </c>
    </row>
    <row r="6395" spans="1:8" ht="14.4" x14ac:dyDescent="0.3">
      <c r="A6395" s="8">
        <v>1969770</v>
      </c>
      <c r="B6395" s="11">
        <v>44627</v>
      </c>
      <c r="C6395" s="13" t="s">
        <v>180</v>
      </c>
      <c r="D6395" s="13" t="s">
        <v>901</v>
      </c>
      <c r="E6395" s="8">
        <v>451676.57</v>
      </c>
      <c r="F6395" s="13" t="s">
        <v>70</v>
      </c>
      <c r="G6395" s="14">
        <v>44627</v>
      </c>
      <c r="H6395" s="13" t="s">
        <v>35</v>
      </c>
    </row>
    <row r="6396" spans="1:8" ht="14.4" x14ac:dyDescent="0.3">
      <c r="A6396" s="8">
        <v>1969771</v>
      </c>
      <c r="B6396" s="11">
        <v>44627</v>
      </c>
      <c r="C6396" s="13" t="s">
        <v>259</v>
      </c>
      <c r="D6396" s="13" t="s">
        <v>1779</v>
      </c>
      <c r="E6396" s="8">
        <v>119394.65</v>
      </c>
      <c r="F6396" s="13" t="s">
        <v>70</v>
      </c>
      <c r="G6396" s="14">
        <v>44648</v>
      </c>
      <c r="H6396" s="13" t="s">
        <v>35</v>
      </c>
    </row>
    <row r="6397" spans="1:8" ht="14.4" x14ac:dyDescent="0.3">
      <c r="A6397" s="8">
        <v>1969772</v>
      </c>
      <c r="B6397" s="11">
        <v>44627</v>
      </c>
      <c r="C6397" s="13" t="s">
        <v>259</v>
      </c>
      <c r="D6397" s="13" t="s">
        <v>8150</v>
      </c>
      <c r="E6397" s="8">
        <v>57777.65</v>
      </c>
      <c r="F6397" s="13" t="s">
        <v>70</v>
      </c>
      <c r="G6397" s="14">
        <v>44648</v>
      </c>
      <c r="H6397" s="13" t="s">
        <v>35</v>
      </c>
    </row>
    <row r="6398" spans="1:8" ht="14.4" x14ac:dyDescent="0.3">
      <c r="A6398" s="8">
        <v>1969773</v>
      </c>
      <c r="B6398" s="11">
        <v>44627</v>
      </c>
      <c r="C6398" s="13" t="s">
        <v>259</v>
      </c>
      <c r="D6398" s="13" t="s">
        <v>1724</v>
      </c>
      <c r="E6398" s="8">
        <v>49677.54</v>
      </c>
      <c r="F6398" s="13" t="s">
        <v>70</v>
      </c>
      <c r="G6398" s="14">
        <v>44648</v>
      </c>
      <c r="H6398" s="13" t="s">
        <v>35</v>
      </c>
    </row>
    <row r="6399" spans="1:8" ht="14.4" x14ac:dyDescent="0.3">
      <c r="A6399" s="8">
        <v>1969774</v>
      </c>
      <c r="B6399" s="11">
        <v>44627</v>
      </c>
      <c r="C6399" s="13" t="s">
        <v>14</v>
      </c>
      <c r="D6399" s="13" t="s">
        <v>8151</v>
      </c>
      <c r="E6399" s="8">
        <v>842000</v>
      </c>
      <c r="F6399" s="13" t="s">
        <v>70</v>
      </c>
      <c r="G6399" s="14">
        <v>44650</v>
      </c>
      <c r="H6399" s="13" t="s">
        <v>35</v>
      </c>
    </row>
    <row r="6400" spans="1:8" ht="14.4" x14ac:dyDescent="0.3">
      <c r="A6400" s="8">
        <v>1969775</v>
      </c>
      <c r="B6400" s="11">
        <v>44627</v>
      </c>
      <c r="C6400" s="13" t="s">
        <v>8152</v>
      </c>
      <c r="D6400" s="13" t="s">
        <v>8153</v>
      </c>
      <c r="E6400" s="8">
        <v>19610.64</v>
      </c>
      <c r="F6400" s="13" t="s">
        <v>70</v>
      </c>
      <c r="G6400" s="14">
        <v>44628</v>
      </c>
      <c r="H6400" s="13" t="s">
        <v>35</v>
      </c>
    </row>
    <row r="6401" spans="1:8" ht="14.4" x14ac:dyDescent="0.3">
      <c r="A6401" s="8">
        <v>1969776</v>
      </c>
      <c r="B6401" s="11">
        <v>44627</v>
      </c>
      <c r="C6401" s="13" t="s">
        <v>8154</v>
      </c>
      <c r="D6401" s="13" t="s">
        <v>8155</v>
      </c>
      <c r="E6401" s="8">
        <v>30787.65</v>
      </c>
      <c r="F6401" s="13" t="s">
        <v>70</v>
      </c>
      <c r="G6401" s="14">
        <v>44628</v>
      </c>
      <c r="H6401" s="13" t="s">
        <v>35</v>
      </c>
    </row>
    <row r="6402" spans="1:8" ht="14.4" x14ac:dyDescent="0.3">
      <c r="A6402" s="8">
        <v>1969777</v>
      </c>
      <c r="B6402" s="11">
        <v>44627</v>
      </c>
      <c r="C6402" s="13" t="s">
        <v>8156</v>
      </c>
      <c r="D6402" s="13" t="s">
        <v>8157</v>
      </c>
      <c r="E6402" s="8">
        <v>211554.93</v>
      </c>
      <c r="F6402" s="13" t="s">
        <v>70</v>
      </c>
      <c r="G6402" s="14">
        <v>44628</v>
      </c>
      <c r="H6402" s="13" t="s">
        <v>35</v>
      </c>
    </row>
    <row r="6403" spans="1:8" ht="14.4" x14ac:dyDescent="0.3">
      <c r="A6403" s="8">
        <v>1969778</v>
      </c>
      <c r="B6403" s="11">
        <v>44627</v>
      </c>
      <c r="C6403" s="13" t="s">
        <v>235</v>
      </c>
      <c r="D6403" s="13" t="s">
        <v>8158</v>
      </c>
      <c r="E6403" s="8">
        <v>417610</v>
      </c>
      <c r="F6403" s="13" t="s">
        <v>70</v>
      </c>
      <c r="G6403" s="14">
        <v>44628</v>
      </c>
      <c r="H6403" s="13" t="s">
        <v>35</v>
      </c>
    </row>
    <row r="6404" spans="1:8" ht="14.4" x14ac:dyDescent="0.3">
      <c r="A6404" s="8">
        <v>1969779</v>
      </c>
      <c r="B6404" s="11">
        <v>44627</v>
      </c>
      <c r="C6404" s="13" t="s">
        <v>74</v>
      </c>
      <c r="D6404" s="13" t="s">
        <v>8159</v>
      </c>
      <c r="E6404" s="8">
        <v>62000</v>
      </c>
      <c r="F6404" s="13" t="s">
        <v>70</v>
      </c>
      <c r="G6404" s="14">
        <v>44645</v>
      </c>
      <c r="H6404" s="13" t="s">
        <v>35</v>
      </c>
    </row>
    <row r="6405" spans="1:8" ht="14.4" x14ac:dyDescent="0.3">
      <c r="A6405" s="8">
        <v>1969780</v>
      </c>
      <c r="B6405" s="11">
        <v>44627</v>
      </c>
      <c r="C6405" s="13" t="s">
        <v>8160</v>
      </c>
      <c r="D6405" s="13" t="s">
        <v>8161</v>
      </c>
      <c r="E6405" s="8">
        <v>72500</v>
      </c>
      <c r="F6405" s="13" t="s">
        <v>70</v>
      </c>
      <c r="G6405" s="14">
        <v>44645</v>
      </c>
      <c r="H6405" s="13" t="s">
        <v>35</v>
      </c>
    </row>
    <row r="6406" spans="1:8" ht="14.4" x14ac:dyDescent="0.3">
      <c r="A6406" s="8">
        <v>1969781</v>
      </c>
      <c r="B6406" s="11">
        <v>44627</v>
      </c>
      <c r="C6406" s="13" t="s">
        <v>8162</v>
      </c>
      <c r="D6406" s="13" t="s">
        <v>8159</v>
      </c>
      <c r="E6406" s="8">
        <v>20000</v>
      </c>
      <c r="F6406" s="13" t="s">
        <v>70</v>
      </c>
      <c r="G6406" s="14">
        <v>44645</v>
      </c>
      <c r="H6406" s="13" t="s">
        <v>35</v>
      </c>
    </row>
    <row r="6407" spans="1:8" ht="14.4" x14ac:dyDescent="0.3">
      <c r="A6407" s="8">
        <v>1969782</v>
      </c>
      <c r="B6407" s="11">
        <v>44627</v>
      </c>
      <c r="C6407" s="13" t="s">
        <v>8163</v>
      </c>
      <c r="D6407" s="13" t="s">
        <v>8164</v>
      </c>
      <c r="E6407" s="8">
        <v>14000</v>
      </c>
      <c r="F6407" s="13" t="s">
        <v>70</v>
      </c>
      <c r="G6407" s="14">
        <v>44630</v>
      </c>
      <c r="H6407" s="13" t="s">
        <v>35</v>
      </c>
    </row>
    <row r="6408" spans="1:8" ht="14.4" x14ac:dyDescent="0.3">
      <c r="A6408" s="8">
        <v>1969783</v>
      </c>
      <c r="B6408" s="11">
        <v>44627</v>
      </c>
      <c r="C6408" s="13" t="s">
        <v>8165</v>
      </c>
      <c r="D6408" s="13" t="s">
        <v>8166</v>
      </c>
      <c r="E6408" s="8">
        <v>38000</v>
      </c>
      <c r="F6408" s="13" t="s">
        <v>70</v>
      </c>
      <c r="G6408" s="14">
        <v>44629</v>
      </c>
      <c r="H6408" s="13" t="s">
        <v>35</v>
      </c>
    </row>
    <row r="6409" spans="1:8" ht="14.4" x14ac:dyDescent="0.3">
      <c r="A6409" s="8">
        <v>1969784</v>
      </c>
      <c r="B6409" s="11">
        <v>44627</v>
      </c>
      <c r="C6409" s="13" t="s">
        <v>8167</v>
      </c>
      <c r="D6409" s="13" t="s">
        <v>8168</v>
      </c>
      <c r="E6409" s="8">
        <v>13500</v>
      </c>
      <c r="F6409" s="13" t="s">
        <v>70</v>
      </c>
      <c r="G6409" s="14">
        <v>44629</v>
      </c>
      <c r="H6409" s="13" t="s">
        <v>35</v>
      </c>
    </row>
    <row r="6410" spans="1:8" ht="14.4" x14ac:dyDescent="0.3">
      <c r="A6410" s="8">
        <v>1969785</v>
      </c>
      <c r="B6410" s="11">
        <v>44627</v>
      </c>
      <c r="C6410" s="13" t="s">
        <v>8169</v>
      </c>
      <c r="D6410" s="13" t="s">
        <v>8170</v>
      </c>
      <c r="E6410" s="8">
        <v>12000</v>
      </c>
      <c r="F6410" s="13" t="s">
        <v>70</v>
      </c>
      <c r="G6410" s="14">
        <v>44629</v>
      </c>
      <c r="H6410" s="13" t="s">
        <v>35</v>
      </c>
    </row>
    <row r="6411" spans="1:8" ht="14.4" x14ac:dyDescent="0.3">
      <c r="A6411" s="8">
        <v>1969786</v>
      </c>
      <c r="B6411" s="11">
        <v>44627</v>
      </c>
      <c r="C6411" s="13" t="s">
        <v>8171</v>
      </c>
      <c r="D6411" s="13" t="s">
        <v>8172</v>
      </c>
      <c r="E6411" s="8">
        <v>11000</v>
      </c>
      <c r="F6411" s="13" t="s">
        <v>70</v>
      </c>
      <c r="G6411" s="14">
        <v>44630</v>
      </c>
      <c r="H6411" s="13" t="s">
        <v>35</v>
      </c>
    </row>
    <row r="6412" spans="1:8" ht="14.4" x14ac:dyDescent="0.3">
      <c r="A6412" s="8">
        <v>1969787</v>
      </c>
      <c r="B6412" s="11">
        <v>44627</v>
      </c>
      <c r="C6412" s="13" t="s">
        <v>8173</v>
      </c>
      <c r="D6412" s="13" t="s">
        <v>8174</v>
      </c>
      <c r="E6412" s="8">
        <v>14000</v>
      </c>
      <c r="F6412" s="13" t="s">
        <v>70</v>
      </c>
      <c r="G6412" s="14">
        <v>44630</v>
      </c>
      <c r="H6412" s="13" t="s">
        <v>35</v>
      </c>
    </row>
    <row r="6413" spans="1:8" ht="14.4" x14ac:dyDescent="0.3">
      <c r="A6413" s="8">
        <v>1969788</v>
      </c>
      <c r="B6413" s="11">
        <v>44627</v>
      </c>
      <c r="C6413" s="13" t="s">
        <v>8175</v>
      </c>
      <c r="D6413" s="13" t="s">
        <v>8176</v>
      </c>
      <c r="E6413" s="8">
        <v>6000</v>
      </c>
      <c r="F6413" s="13" t="s">
        <v>70</v>
      </c>
      <c r="G6413" s="14">
        <v>44634</v>
      </c>
      <c r="H6413" s="13" t="s">
        <v>35</v>
      </c>
    </row>
    <row r="6414" spans="1:8" ht="14.4" x14ac:dyDescent="0.3">
      <c r="A6414" s="8">
        <v>1969789</v>
      </c>
      <c r="B6414" s="11">
        <v>44627</v>
      </c>
      <c r="C6414" s="13" t="s">
        <v>8177</v>
      </c>
      <c r="D6414" s="13" t="s">
        <v>8178</v>
      </c>
      <c r="E6414" s="8">
        <v>5192.29</v>
      </c>
      <c r="F6414" s="13" t="s">
        <v>70</v>
      </c>
      <c r="G6414" s="14">
        <v>44629</v>
      </c>
      <c r="H6414" s="13" t="s">
        <v>35</v>
      </c>
    </row>
    <row r="6415" spans="1:8" ht="14.4" x14ac:dyDescent="0.3">
      <c r="A6415" s="8">
        <v>1969790</v>
      </c>
      <c r="B6415" s="11">
        <v>44627</v>
      </c>
      <c r="C6415" s="13" t="s">
        <v>8179</v>
      </c>
      <c r="D6415" s="13" t="s">
        <v>8180</v>
      </c>
      <c r="E6415" s="8">
        <v>12555.48</v>
      </c>
      <c r="F6415" s="13" t="s">
        <v>70</v>
      </c>
      <c r="G6415" s="14">
        <v>44628</v>
      </c>
      <c r="H6415" s="13" t="s">
        <v>35</v>
      </c>
    </row>
    <row r="6416" spans="1:8" ht="14.4" x14ac:dyDescent="0.3">
      <c r="A6416" s="8">
        <v>1969791</v>
      </c>
      <c r="B6416" s="11">
        <v>44627</v>
      </c>
      <c r="C6416" s="13" t="s">
        <v>8181</v>
      </c>
      <c r="D6416" s="13" t="s">
        <v>8182</v>
      </c>
      <c r="E6416" s="8">
        <v>52360.66</v>
      </c>
      <c r="F6416" s="13" t="s">
        <v>70</v>
      </c>
      <c r="G6416" s="14">
        <v>44628</v>
      </c>
      <c r="H6416" s="13" t="s">
        <v>35</v>
      </c>
    </row>
    <row r="6417" spans="1:8" ht="14.4" x14ac:dyDescent="0.3">
      <c r="A6417" s="8">
        <v>1969792</v>
      </c>
      <c r="B6417" s="11">
        <v>44627</v>
      </c>
      <c r="C6417" s="13" t="s">
        <v>8183</v>
      </c>
      <c r="D6417" s="13" t="s">
        <v>8184</v>
      </c>
      <c r="E6417" s="8">
        <v>39141.53</v>
      </c>
      <c r="F6417" s="13" t="s">
        <v>70</v>
      </c>
      <c r="G6417" s="14">
        <v>44629</v>
      </c>
      <c r="H6417" s="13" t="s">
        <v>35</v>
      </c>
    </row>
    <row r="6418" spans="1:8" ht="14.4" x14ac:dyDescent="0.3">
      <c r="A6418" s="8">
        <v>1969793</v>
      </c>
      <c r="B6418" s="11">
        <v>44627</v>
      </c>
      <c r="C6418" s="13" t="s">
        <v>8185</v>
      </c>
      <c r="D6418" s="13" t="s">
        <v>8186</v>
      </c>
      <c r="E6418" s="8">
        <v>47182.06</v>
      </c>
      <c r="F6418" s="13" t="s">
        <v>70</v>
      </c>
      <c r="G6418" s="14">
        <v>44629</v>
      </c>
      <c r="H6418" s="13" t="s">
        <v>35</v>
      </c>
    </row>
    <row r="6419" spans="1:8" ht="14.4" x14ac:dyDescent="0.3">
      <c r="A6419" s="8">
        <v>1969794</v>
      </c>
      <c r="B6419" s="11">
        <v>44627</v>
      </c>
      <c r="C6419" s="13" t="s">
        <v>3718</v>
      </c>
      <c r="D6419" s="13" t="s">
        <v>8187</v>
      </c>
      <c r="E6419" s="8">
        <v>25893.22</v>
      </c>
      <c r="F6419" s="13" t="s">
        <v>70</v>
      </c>
      <c r="G6419" s="14">
        <v>44628</v>
      </c>
      <c r="H6419" s="13" t="s">
        <v>35</v>
      </c>
    </row>
    <row r="6420" spans="1:8" ht="14.4" x14ac:dyDescent="0.3">
      <c r="A6420" s="8">
        <v>1969795</v>
      </c>
      <c r="B6420" s="11">
        <v>44627</v>
      </c>
      <c r="C6420" s="13" t="s">
        <v>8188</v>
      </c>
      <c r="D6420" s="13" t="s">
        <v>8189</v>
      </c>
      <c r="E6420" s="8">
        <v>28268.16</v>
      </c>
      <c r="F6420" s="13" t="s">
        <v>70</v>
      </c>
      <c r="G6420" s="14">
        <v>44628</v>
      </c>
      <c r="H6420" s="13" t="s">
        <v>35</v>
      </c>
    </row>
    <row r="6421" spans="1:8" ht="14.4" x14ac:dyDescent="0.3">
      <c r="A6421" s="8">
        <v>1969796</v>
      </c>
      <c r="B6421" s="11">
        <v>44627</v>
      </c>
      <c r="C6421" s="13" t="s">
        <v>8190</v>
      </c>
      <c r="D6421" s="13" t="s">
        <v>8180</v>
      </c>
      <c r="E6421" s="8">
        <v>5118.3100000000004</v>
      </c>
      <c r="F6421" s="13" t="s">
        <v>70</v>
      </c>
      <c r="G6421" s="14">
        <v>44628</v>
      </c>
      <c r="H6421" s="13" t="s">
        <v>35</v>
      </c>
    </row>
    <row r="6422" spans="1:8" ht="14.4" x14ac:dyDescent="0.3">
      <c r="A6422" s="8">
        <v>1969797</v>
      </c>
      <c r="B6422" s="11">
        <v>44628</v>
      </c>
      <c r="C6422" s="13" t="s">
        <v>8191</v>
      </c>
      <c r="D6422" s="13" t="s">
        <v>8192</v>
      </c>
      <c r="E6422" s="8">
        <v>10000</v>
      </c>
      <c r="F6422" s="13" t="s">
        <v>70</v>
      </c>
      <c r="G6422" s="14">
        <v>44629</v>
      </c>
      <c r="H6422" s="13" t="s">
        <v>35</v>
      </c>
    </row>
    <row r="6423" spans="1:8" ht="14.4" x14ac:dyDescent="0.3">
      <c r="A6423" s="8">
        <v>1969798</v>
      </c>
      <c r="B6423" s="11">
        <v>44628</v>
      </c>
      <c r="C6423" s="13" t="s">
        <v>8193</v>
      </c>
      <c r="D6423" s="13" t="s">
        <v>8194</v>
      </c>
      <c r="E6423" s="8">
        <v>36000</v>
      </c>
      <c r="F6423" s="13" t="s">
        <v>70</v>
      </c>
      <c r="G6423" s="14">
        <v>44631</v>
      </c>
      <c r="H6423" s="13" t="s">
        <v>35</v>
      </c>
    </row>
    <row r="6424" spans="1:8" ht="14.4" x14ac:dyDescent="0.3">
      <c r="A6424" s="8">
        <v>1969799</v>
      </c>
      <c r="B6424" s="11">
        <v>44628</v>
      </c>
      <c r="C6424" s="13" t="s">
        <v>8195</v>
      </c>
      <c r="D6424" s="13" t="s">
        <v>8196</v>
      </c>
      <c r="E6424" s="8">
        <v>23000</v>
      </c>
      <c r="F6424" s="13" t="s">
        <v>70</v>
      </c>
      <c r="G6424" s="14">
        <v>44631</v>
      </c>
      <c r="H6424" s="13" t="s">
        <v>35</v>
      </c>
    </row>
    <row r="6425" spans="1:8" ht="14.4" x14ac:dyDescent="0.3">
      <c r="A6425" s="8">
        <v>1969800</v>
      </c>
      <c r="B6425" s="11">
        <v>44628</v>
      </c>
      <c r="C6425" s="13" t="s">
        <v>8197</v>
      </c>
      <c r="D6425" s="13" t="s">
        <v>8198</v>
      </c>
      <c r="E6425" s="8">
        <v>15000</v>
      </c>
      <c r="F6425" s="13" t="s">
        <v>70</v>
      </c>
      <c r="G6425" s="14">
        <v>44631</v>
      </c>
      <c r="H6425" s="13" t="s">
        <v>35</v>
      </c>
    </row>
    <row r="6426" spans="1:8" ht="14.4" x14ac:dyDescent="0.3">
      <c r="A6426" s="8">
        <v>1969801</v>
      </c>
      <c r="B6426" s="11">
        <v>44628</v>
      </c>
      <c r="C6426" s="13" t="s">
        <v>275</v>
      </c>
      <c r="D6426" s="13" t="s">
        <v>1089</v>
      </c>
      <c r="E6426" s="8">
        <v>213167.3</v>
      </c>
      <c r="F6426" s="13" t="s">
        <v>70</v>
      </c>
      <c r="G6426" s="14">
        <v>44629</v>
      </c>
      <c r="H6426" s="13" t="s">
        <v>35</v>
      </c>
    </row>
    <row r="6427" spans="1:8" ht="14.4" x14ac:dyDescent="0.3">
      <c r="A6427" s="8">
        <v>1969802</v>
      </c>
      <c r="B6427" s="11">
        <v>44628</v>
      </c>
      <c r="C6427" s="13" t="s">
        <v>8199</v>
      </c>
      <c r="D6427" s="13" t="s">
        <v>8200</v>
      </c>
      <c r="E6427" s="8">
        <v>10000</v>
      </c>
      <c r="F6427" s="13" t="s">
        <v>70</v>
      </c>
      <c r="G6427" s="14">
        <v>44631</v>
      </c>
      <c r="H6427" s="13" t="s">
        <v>35</v>
      </c>
    </row>
    <row r="6428" spans="1:8" ht="14.4" x14ac:dyDescent="0.3">
      <c r="A6428" s="8">
        <v>1969803</v>
      </c>
      <c r="B6428" s="11">
        <v>44628</v>
      </c>
      <c r="C6428" s="13" t="s">
        <v>1272</v>
      </c>
      <c r="D6428" s="13" t="s">
        <v>8201</v>
      </c>
      <c r="E6428" s="8">
        <v>15000</v>
      </c>
      <c r="F6428" s="13" t="s">
        <v>70</v>
      </c>
      <c r="G6428" s="14">
        <v>44630</v>
      </c>
      <c r="H6428" s="13" t="s">
        <v>35</v>
      </c>
    </row>
    <row r="6429" spans="1:8" ht="14.4" x14ac:dyDescent="0.3">
      <c r="A6429" s="8">
        <v>1969804</v>
      </c>
      <c r="B6429" s="11">
        <v>44628</v>
      </c>
      <c r="C6429" s="13" t="s">
        <v>8202</v>
      </c>
      <c r="D6429" s="13" t="s">
        <v>8203</v>
      </c>
      <c r="E6429" s="8">
        <v>19000</v>
      </c>
      <c r="F6429" s="13" t="s">
        <v>70</v>
      </c>
      <c r="G6429" s="14">
        <v>44630</v>
      </c>
      <c r="H6429" s="13" t="s">
        <v>35</v>
      </c>
    </row>
    <row r="6430" spans="1:8" ht="14.4" x14ac:dyDescent="0.3">
      <c r="A6430" s="8">
        <v>1969805</v>
      </c>
      <c r="B6430" s="11">
        <v>44628</v>
      </c>
      <c r="C6430" s="13" t="s">
        <v>8204</v>
      </c>
      <c r="D6430" s="13" t="s">
        <v>8205</v>
      </c>
      <c r="E6430" s="8">
        <v>27900</v>
      </c>
      <c r="F6430" s="13" t="s">
        <v>70</v>
      </c>
      <c r="G6430" s="14">
        <v>44630</v>
      </c>
      <c r="H6430" s="13" t="s">
        <v>35</v>
      </c>
    </row>
    <row r="6431" spans="1:8" ht="14.4" x14ac:dyDescent="0.3">
      <c r="A6431" s="8">
        <v>1969806</v>
      </c>
      <c r="B6431" s="11">
        <v>44628</v>
      </c>
      <c r="C6431" s="13" t="s">
        <v>8206</v>
      </c>
      <c r="D6431" s="13" t="s">
        <v>8207</v>
      </c>
      <c r="E6431" s="8">
        <v>22000</v>
      </c>
      <c r="F6431" s="13" t="s">
        <v>70</v>
      </c>
      <c r="G6431" s="14">
        <v>44634</v>
      </c>
      <c r="H6431" s="13" t="s">
        <v>35</v>
      </c>
    </row>
    <row r="6432" spans="1:8" ht="14.4" x14ac:dyDescent="0.3">
      <c r="A6432" s="8">
        <v>1969807</v>
      </c>
      <c r="B6432" s="11">
        <v>44628</v>
      </c>
      <c r="C6432" s="13" t="s">
        <v>8208</v>
      </c>
      <c r="D6432" s="13" t="s">
        <v>8209</v>
      </c>
      <c r="E6432" s="8">
        <v>22000</v>
      </c>
      <c r="F6432" s="13" t="s">
        <v>70</v>
      </c>
      <c r="G6432" s="14">
        <v>44631</v>
      </c>
      <c r="H6432" s="13" t="s">
        <v>35</v>
      </c>
    </row>
    <row r="6433" spans="1:8" ht="14.4" x14ac:dyDescent="0.3">
      <c r="A6433" s="8">
        <v>1969808</v>
      </c>
      <c r="B6433" s="11">
        <v>44628</v>
      </c>
      <c r="C6433" s="13" t="s">
        <v>8210</v>
      </c>
      <c r="D6433" s="13" t="s">
        <v>8211</v>
      </c>
      <c r="E6433" s="8">
        <v>35000</v>
      </c>
      <c r="F6433" s="13" t="s">
        <v>70</v>
      </c>
      <c r="G6433" s="14">
        <v>44630</v>
      </c>
      <c r="H6433" s="13" t="s">
        <v>35</v>
      </c>
    </row>
    <row r="6434" spans="1:8" ht="14.4" x14ac:dyDescent="0.3">
      <c r="A6434" s="8">
        <v>1969809</v>
      </c>
      <c r="B6434" s="11">
        <v>44628</v>
      </c>
      <c r="C6434" s="13" t="s">
        <v>8212</v>
      </c>
      <c r="D6434" s="13" t="s">
        <v>8213</v>
      </c>
      <c r="E6434" s="8">
        <v>8000</v>
      </c>
      <c r="F6434" s="13" t="s">
        <v>70</v>
      </c>
      <c r="G6434" s="14">
        <v>44630</v>
      </c>
      <c r="H6434" s="13" t="s">
        <v>35</v>
      </c>
    </row>
    <row r="6435" spans="1:8" ht="14.4" x14ac:dyDescent="0.3">
      <c r="A6435" s="8">
        <v>1969810</v>
      </c>
      <c r="B6435" s="11">
        <v>44628</v>
      </c>
      <c r="C6435" s="13" t="s">
        <v>3570</v>
      </c>
      <c r="D6435" s="13" t="s">
        <v>8214</v>
      </c>
      <c r="E6435" s="8">
        <v>14000</v>
      </c>
      <c r="F6435" s="13" t="s">
        <v>70</v>
      </c>
      <c r="G6435" s="14">
        <v>44634</v>
      </c>
      <c r="H6435" s="13" t="s">
        <v>35</v>
      </c>
    </row>
    <row r="6436" spans="1:8" ht="14.4" x14ac:dyDescent="0.3">
      <c r="A6436" s="8">
        <v>1969811</v>
      </c>
      <c r="B6436" s="11">
        <v>44628</v>
      </c>
      <c r="C6436" s="13" t="s">
        <v>8215</v>
      </c>
      <c r="D6436" s="13" t="s">
        <v>8216</v>
      </c>
      <c r="E6436" s="8">
        <v>10000</v>
      </c>
      <c r="F6436" s="13" t="s">
        <v>70</v>
      </c>
      <c r="G6436" s="14">
        <v>44631</v>
      </c>
      <c r="H6436" s="13" t="s">
        <v>35</v>
      </c>
    </row>
    <row r="6437" spans="1:8" ht="14.4" x14ac:dyDescent="0.3">
      <c r="A6437" s="8">
        <v>1969812</v>
      </c>
      <c r="B6437" s="11">
        <v>44628</v>
      </c>
      <c r="C6437" s="13" t="s">
        <v>8217</v>
      </c>
      <c r="D6437" s="13" t="s">
        <v>8218</v>
      </c>
      <c r="E6437" s="8">
        <v>9000</v>
      </c>
      <c r="F6437" s="13" t="s">
        <v>70</v>
      </c>
      <c r="G6437" s="14">
        <v>44631</v>
      </c>
      <c r="H6437" s="13" t="s">
        <v>35</v>
      </c>
    </row>
    <row r="6438" spans="1:8" ht="14.4" x14ac:dyDescent="0.3">
      <c r="A6438" s="8">
        <v>1969813</v>
      </c>
      <c r="B6438" s="11">
        <v>44628</v>
      </c>
      <c r="C6438" s="13" t="s">
        <v>8219</v>
      </c>
      <c r="D6438" s="13" t="s">
        <v>8220</v>
      </c>
      <c r="E6438" s="8">
        <v>50000</v>
      </c>
      <c r="F6438" s="13" t="s">
        <v>70</v>
      </c>
      <c r="G6438" s="14">
        <v>44631</v>
      </c>
      <c r="H6438" s="13" t="s">
        <v>35</v>
      </c>
    </row>
    <row r="6439" spans="1:8" ht="14.4" x14ac:dyDescent="0.3">
      <c r="A6439" s="8">
        <v>1969814</v>
      </c>
      <c r="B6439" s="11">
        <v>44628</v>
      </c>
      <c r="C6439" s="13" t="s">
        <v>8221</v>
      </c>
      <c r="D6439" s="13" t="s">
        <v>8222</v>
      </c>
      <c r="E6439" s="8">
        <v>10000</v>
      </c>
      <c r="F6439" s="13" t="s">
        <v>70</v>
      </c>
      <c r="G6439" s="14">
        <v>44630</v>
      </c>
      <c r="H6439" s="13" t="s">
        <v>35</v>
      </c>
    </row>
    <row r="6440" spans="1:8" ht="14.4" x14ac:dyDescent="0.3">
      <c r="A6440" s="8">
        <v>1969815</v>
      </c>
      <c r="B6440" s="11">
        <v>44628</v>
      </c>
      <c r="C6440" s="13" t="s">
        <v>8223</v>
      </c>
      <c r="D6440" s="13" t="s">
        <v>8224</v>
      </c>
      <c r="E6440" s="8">
        <v>15000</v>
      </c>
      <c r="F6440" s="13" t="s">
        <v>70</v>
      </c>
      <c r="G6440" s="14">
        <v>44630</v>
      </c>
      <c r="H6440" s="13" t="s">
        <v>35</v>
      </c>
    </row>
    <row r="6441" spans="1:8" ht="14.4" x14ac:dyDescent="0.3">
      <c r="A6441" s="8">
        <v>1969816</v>
      </c>
      <c r="B6441" s="11">
        <v>44628</v>
      </c>
      <c r="C6441" s="13" t="s">
        <v>265</v>
      </c>
      <c r="D6441" s="13" t="s">
        <v>8225</v>
      </c>
      <c r="E6441" s="8">
        <v>45330</v>
      </c>
      <c r="F6441" s="13" t="s">
        <v>70</v>
      </c>
      <c r="G6441" s="14">
        <v>44631</v>
      </c>
      <c r="H6441" s="13" t="s">
        <v>35</v>
      </c>
    </row>
    <row r="6442" spans="1:8" ht="14.4" x14ac:dyDescent="0.3">
      <c r="A6442" s="8">
        <v>1969817</v>
      </c>
      <c r="B6442" s="11">
        <v>44628</v>
      </c>
      <c r="C6442" s="13" t="s">
        <v>8226</v>
      </c>
      <c r="D6442" s="13" t="s">
        <v>8227</v>
      </c>
      <c r="E6442" s="8">
        <v>6000</v>
      </c>
      <c r="F6442" s="13" t="s">
        <v>70</v>
      </c>
      <c r="G6442" s="14">
        <v>44629</v>
      </c>
      <c r="H6442" s="13" t="s">
        <v>35</v>
      </c>
    </row>
    <row r="6443" spans="1:8" ht="14.4" x14ac:dyDescent="0.3">
      <c r="A6443" s="8">
        <v>1969818</v>
      </c>
      <c r="B6443" s="11">
        <v>44628</v>
      </c>
      <c r="C6443" s="13" t="s">
        <v>1569</v>
      </c>
      <c r="D6443" s="13" t="s">
        <v>8228</v>
      </c>
      <c r="E6443" s="8">
        <v>30894.25</v>
      </c>
      <c r="F6443" s="13" t="s">
        <v>70</v>
      </c>
      <c r="G6443" s="14">
        <v>44648</v>
      </c>
      <c r="H6443" s="13" t="s">
        <v>35</v>
      </c>
    </row>
    <row r="6444" spans="1:8" ht="14.4" x14ac:dyDescent="0.3">
      <c r="A6444" s="8">
        <v>1969819</v>
      </c>
      <c r="B6444" s="11">
        <v>44628</v>
      </c>
      <c r="C6444" s="13" t="s">
        <v>186</v>
      </c>
      <c r="D6444" s="13" t="s">
        <v>8229</v>
      </c>
      <c r="E6444" s="8">
        <v>432</v>
      </c>
      <c r="F6444" s="13" t="s">
        <v>70</v>
      </c>
      <c r="G6444" s="14">
        <v>44630</v>
      </c>
      <c r="H6444" s="13" t="s">
        <v>35</v>
      </c>
    </row>
    <row r="6445" spans="1:8" ht="14.4" x14ac:dyDescent="0.3">
      <c r="A6445" s="8">
        <v>1969820</v>
      </c>
      <c r="B6445" s="11">
        <v>44628</v>
      </c>
      <c r="C6445" s="13" t="s">
        <v>186</v>
      </c>
      <c r="D6445" s="13" t="s">
        <v>8230</v>
      </c>
      <c r="E6445" s="8">
        <v>432</v>
      </c>
      <c r="F6445" s="13" t="s">
        <v>70</v>
      </c>
      <c r="G6445" s="14">
        <v>44630</v>
      </c>
      <c r="H6445" s="13" t="s">
        <v>35</v>
      </c>
    </row>
    <row r="6446" spans="1:8" ht="14.4" x14ac:dyDescent="0.3">
      <c r="A6446" s="8">
        <v>1969821</v>
      </c>
      <c r="B6446" s="11">
        <v>44628</v>
      </c>
      <c r="C6446" s="13" t="s">
        <v>186</v>
      </c>
      <c r="D6446" s="13" t="s">
        <v>8231</v>
      </c>
      <c r="E6446" s="8">
        <v>432</v>
      </c>
      <c r="F6446" s="13" t="s">
        <v>70</v>
      </c>
      <c r="G6446" s="14">
        <v>44630</v>
      </c>
      <c r="H6446" s="13" t="s">
        <v>35</v>
      </c>
    </row>
    <row r="6447" spans="1:8" ht="14.4" x14ac:dyDescent="0.3">
      <c r="A6447" s="8">
        <v>1969822</v>
      </c>
      <c r="B6447" s="11">
        <v>44628</v>
      </c>
      <c r="C6447" s="13" t="s">
        <v>1584</v>
      </c>
      <c r="D6447" s="13" t="s">
        <v>8232</v>
      </c>
      <c r="E6447" s="8">
        <v>4383.8500000000004</v>
      </c>
      <c r="F6447" s="13" t="s">
        <v>70</v>
      </c>
      <c r="G6447" s="14">
        <v>44630</v>
      </c>
      <c r="H6447" s="13" t="s">
        <v>35</v>
      </c>
    </row>
    <row r="6448" spans="1:8" ht="14.4" x14ac:dyDescent="0.3">
      <c r="A6448" s="8">
        <v>1969823</v>
      </c>
      <c r="B6448" s="11">
        <v>44628</v>
      </c>
      <c r="C6448" s="13" t="s">
        <v>162</v>
      </c>
      <c r="D6448" s="13" t="s">
        <v>8233</v>
      </c>
      <c r="E6448" s="8">
        <v>3154.68</v>
      </c>
      <c r="F6448" s="13" t="s">
        <v>70</v>
      </c>
      <c r="G6448" s="14">
        <v>44641</v>
      </c>
      <c r="H6448" s="13" t="s">
        <v>35</v>
      </c>
    </row>
    <row r="6449" spans="1:8" ht="14.4" x14ac:dyDescent="0.3">
      <c r="A6449" s="8">
        <v>1969824</v>
      </c>
      <c r="B6449" s="11">
        <v>44628</v>
      </c>
      <c r="C6449" s="13" t="s">
        <v>162</v>
      </c>
      <c r="D6449" s="13" t="s">
        <v>8234</v>
      </c>
      <c r="E6449" s="8">
        <v>84.94</v>
      </c>
      <c r="F6449" s="13" t="s">
        <v>70</v>
      </c>
      <c r="G6449" s="14">
        <v>44641</v>
      </c>
      <c r="H6449" s="13" t="s">
        <v>35</v>
      </c>
    </row>
    <row r="6450" spans="1:8" ht="14.4" x14ac:dyDescent="0.3">
      <c r="A6450" s="8">
        <v>1969825</v>
      </c>
      <c r="B6450" s="11">
        <v>44628</v>
      </c>
      <c r="C6450" s="13" t="s">
        <v>162</v>
      </c>
      <c r="D6450" s="13" t="s">
        <v>8235</v>
      </c>
      <c r="E6450" s="8">
        <v>1283.01</v>
      </c>
      <c r="F6450" s="13" t="s">
        <v>70</v>
      </c>
      <c r="G6450" s="14">
        <v>44641</v>
      </c>
      <c r="H6450" s="13" t="s">
        <v>35</v>
      </c>
    </row>
    <row r="6451" spans="1:8" ht="14.4" x14ac:dyDescent="0.3">
      <c r="A6451" s="8">
        <v>1969826</v>
      </c>
      <c r="B6451" s="11">
        <v>44628</v>
      </c>
      <c r="C6451" s="13" t="s">
        <v>162</v>
      </c>
      <c r="D6451" s="13" t="s">
        <v>8236</v>
      </c>
      <c r="E6451" s="8">
        <v>56021.1</v>
      </c>
      <c r="F6451" s="13" t="s">
        <v>70</v>
      </c>
      <c r="G6451" s="14">
        <v>44641</v>
      </c>
      <c r="H6451" s="13" t="s">
        <v>35</v>
      </c>
    </row>
    <row r="6452" spans="1:8" ht="14.4" x14ac:dyDescent="0.3">
      <c r="A6452" s="8">
        <v>1969827</v>
      </c>
      <c r="B6452" s="11">
        <v>44628</v>
      </c>
      <c r="C6452" s="13" t="s">
        <v>43</v>
      </c>
      <c r="D6452" s="13" t="s">
        <v>8237</v>
      </c>
      <c r="E6452" s="8">
        <v>254876.26</v>
      </c>
      <c r="F6452" s="13" t="s">
        <v>70</v>
      </c>
      <c r="G6452" s="14">
        <v>44643</v>
      </c>
      <c r="H6452" s="13" t="s">
        <v>35</v>
      </c>
    </row>
    <row r="6453" spans="1:8" ht="14.4" x14ac:dyDescent="0.3">
      <c r="A6453" s="8">
        <v>1969828</v>
      </c>
      <c r="B6453" s="11">
        <v>44628</v>
      </c>
      <c r="C6453" s="13" t="s">
        <v>43</v>
      </c>
      <c r="D6453" s="13" t="s">
        <v>8238</v>
      </c>
      <c r="E6453" s="8">
        <v>139300</v>
      </c>
      <c r="F6453" s="13" t="s">
        <v>70</v>
      </c>
      <c r="G6453" s="14">
        <v>44643</v>
      </c>
      <c r="H6453" s="13" t="s">
        <v>35</v>
      </c>
    </row>
    <row r="6454" spans="1:8" ht="14.4" x14ac:dyDescent="0.3">
      <c r="A6454" s="8">
        <v>1969829</v>
      </c>
      <c r="B6454" s="11">
        <v>44628</v>
      </c>
      <c r="C6454" s="13" t="s">
        <v>162</v>
      </c>
      <c r="D6454" s="13" t="s">
        <v>8239</v>
      </c>
      <c r="E6454" s="8">
        <v>323648</v>
      </c>
      <c r="F6454" s="13" t="s">
        <v>70</v>
      </c>
      <c r="G6454" s="14">
        <v>44641</v>
      </c>
      <c r="H6454" s="13" t="s">
        <v>35</v>
      </c>
    </row>
    <row r="6455" spans="1:8" ht="14.4" x14ac:dyDescent="0.3">
      <c r="A6455" s="8">
        <v>1969830</v>
      </c>
      <c r="B6455" s="11">
        <v>44628</v>
      </c>
      <c r="C6455" s="13" t="s">
        <v>162</v>
      </c>
      <c r="D6455" s="13" t="s">
        <v>8240</v>
      </c>
      <c r="E6455" s="8">
        <v>13257.3</v>
      </c>
      <c r="F6455" s="13" t="s">
        <v>70</v>
      </c>
      <c r="G6455" s="14">
        <v>44641</v>
      </c>
      <c r="H6455" s="13" t="s">
        <v>35</v>
      </c>
    </row>
    <row r="6456" spans="1:8" ht="14.4" x14ac:dyDescent="0.3">
      <c r="A6456" s="8">
        <v>1969831</v>
      </c>
      <c r="B6456" s="11">
        <v>44628</v>
      </c>
      <c r="C6456" s="13" t="s">
        <v>162</v>
      </c>
      <c r="D6456" s="13" t="s">
        <v>8235</v>
      </c>
      <c r="E6456" s="8">
        <v>3782.42</v>
      </c>
      <c r="F6456" s="13" t="s">
        <v>70</v>
      </c>
      <c r="G6456" s="14">
        <v>44641</v>
      </c>
      <c r="H6456" s="13" t="s">
        <v>35</v>
      </c>
    </row>
    <row r="6457" spans="1:8" ht="14.4" x14ac:dyDescent="0.3">
      <c r="A6457" s="8">
        <v>1969832</v>
      </c>
      <c r="B6457" s="11">
        <v>44628</v>
      </c>
      <c r="C6457" s="13" t="s">
        <v>162</v>
      </c>
      <c r="D6457" s="13" t="s">
        <v>8241</v>
      </c>
      <c r="E6457" s="8">
        <v>25647.09</v>
      </c>
      <c r="F6457" s="13" t="s">
        <v>70</v>
      </c>
      <c r="G6457" s="14">
        <v>44636</v>
      </c>
      <c r="H6457" s="13" t="s">
        <v>35</v>
      </c>
    </row>
    <row r="6458" spans="1:8" ht="14.4" x14ac:dyDescent="0.3">
      <c r="A6458" s="8">
        <v>1969833</v>
      </c>
      <c r="B6458" s="11">
        <v>44628</v>
      </c>
      <c r="C6458" s="13" t="s">
        <v>162</v>
      </c>
      <c r="D6458" s="13" t="s">
        <v>8242</v>
      </c>
      <c r="E6458" s="8">
        <v>2427.27</v>
      </c>
      <c r="F6458" s="13" t="s">
        <v>70</v>
      </c>
      <c r="G6458" s="14">
        <v>44636</v>
      </c>
      <c r="H6458" s="13" t="s">
        <v>35</v>
      </c>
    </row>
    <row r="6459" spans="1:8" ht="14.4" x14ac:dyDescent="0.3">
      <c r="A6459" s="8">
        <v>1969834</v>
      </c>
      <c r="B6459" s="11">
        <v>44628</v>
      </c>
      <c r="C6459" s="13" t="s">
        <v>162</v>
      </c>
      <c r="D6459" s="13" t="s">
        <v>8243</v>
      </c>
      <c r="E6459" s="8">
        <v>492445.54</v>
      </c>
      <c r="F6459" s="13" t="s">
        <v>70</v>
      </c>
      <c r="G6459" s="14">
        <v>44641</v>
      </c>
      <c r="H6459" s="13" t="s">
        <v>35</v>
      </c>
    </row>
    <row r="6460" spans="1:8" ht="14.4" x14ac:dyDescent="0.3">
      <c r="A6460" s="8">
        <v>1969835</v>
      </c>
      <c r="B6460" s="11">
        <v>44628</v>
      </c>
      <c r="C6460" s="13" t="s">
        <v>180</v>
      </c>
      <c r="D6460" s="13" t="s">
        <v>8244</v>
      </c>
      <c r="E6460" s="8">
        <v>176718.99</v>
      </c>
      <c r="F6460" s="13" t="s">
        <v>70</v>
      </c>
      <c r="G6460" s="14">
        <v>44628</v>
      </c>
      <c r="H6460" s="13" t="s">
        <v>35</v>
      </c>
    </row>
    <row r="6461" spans="1:8" ht="14.4" x14ac:dyDescent="0.3">
      <c r="A6461" s="8">
        <v>1969836</v>
      </c>
      <c r="B6461" s="11">
        <v>44628</v>
      </c>
      <c r="C6461" s="13" t="s">
        <v>8245</v>
      </c>
      <c r="D6461" s="13" t="s">
        <v>8246</v>
      </c>
      <c r="E6461" s="8">
        <v>33182.19</v>
      </c>
      <c r="F6461" s="13" t="s">
        <v>70</v>
      </c>
      <c r="G6461" s="14">
        <v>44629</v>
      </c>
      <c r="H6461" s="13" t="s">
        <v>35</v>
      </c>
    </row>
    <row r="6462" spans="1:8" ht="14.4" x14ac:dyDescent="0.3">
      <c r="A6462" s="8">
        <v>1969837</v>
      </c>
      <c r="B6462" s="11">
        <v>44628</v>
      </c>
      <c r="C6462" s="13" t="s">
        <v>8247</v>
      </c>
      <c r="D6462" s="13" t="s">
        <v>8248</v>
      </c>
      <c r="E6462" s="8">
        <v>23854.77</v>
      </c>
      <c r="F6462" s="13" t="s">
        <v>70</v>
      </c>
      <c r="G6462" s="14">
        <v>44629</v>
      </c>
      <c r="H6462" s="13" t="s">
        <v>35</v>
      </c>
    </row>
    <row r="6463" spans="1:8" ht="14.4" x14ac:dyDescent="0.3">
      <c r="A6463" s="8">
        <v>1969838</v>
      </c>
      <c r="B6463" s="11">
        <v>44628</v>
      </c>
      <c r="C6463" s="13" t="s">
        <v>8249</v>
      </c>
      <c r="D6463" s="13" t="s">
        <v>8250</v>
      </c>
      <c r="E6463" s="8">
        <v>37219.11</v>
      </c>
      <c r="F6463" s="13" t="s">
        <v>70</v>
      </c>
      <c r="G6463" s="14">
        <v>44629</v>
      </c>
      <c r="H6463" s="13" t="s">
        <v>35</v>
      </c>
    </row>
    <row r="6464" spans="1:8" ht="14.4" x14ac:dyDescent="0.3">
      <c r="A6464" s="8">
        <v>1969839</v>
      </c>
      <c r="B6464" s="11">
        <v>44628</v>
      </c>
      <c r="C6464" s="13" t="s">
        <v>8251</v>
      </c>
      <c r="D6464" s="13" t="s">
        <v>8252</v>
      </c>
      <c r="E6464" s="8">
        <v>12310.32</v>
      </c>
      <c r="F6464" s="13" t="s">
        <v>70</v>
      </c>
      <c r="G6464" s="14">
        <v>44630</v>
      </c>
      <c r="H6464" s="13" t="s">
        <v>35</v>
      </c>
    </row>
    <row r="6465" spans="1:8" ht="14.4" x14ac:dyDescent="0.3">
      <c r="A6465" s="8">
        <v>1969841</v>
      </c>
      <c r="B6465" s="11">
        <v>44628</v>
      </c>
      <c r="C6465" s="13" t="s">
        <v>8253</v>
      </c>
      <c r="D6465" s="13" t="s">
        <v>8254</v>
      </c>
      <c r="E6465" s="8">
        <v>67885.240000000005</v>
      </c>
      <c r="F6465" s="13" t="s">
        <v>70</v>
      </c>
      <c r="G6465" s="14">
        <v>44630</v>
      </c>
      <c r="H6465" s="13" t="s">
        <v>35</v>
      </c>
    </row>
    <row r="6466" spans="1:8" ht="14.4" x14ac:dyDescent="0.3">
      <c r="A6466" s="8">
        <v>1969842</v>
      </c>
      <c r="B6466" s="11">
        <v>44628</v>
      </c>
      <c r="C6466" s="13" t="s">
        <v>8255</v>
      </c>
      <c r="D6466" s="13" t="s">
        <v>8256</v>
      </c>
      <c r="E6466" s="8">
        <v>6672.17</v>
      </c>
      <c r="F6466" s="13" t="s">
        <v>70</v>
      </c>
      <c r="G6466" s="14">
        <v>44629</v>
      </c>
      <c r="H6466" s="13" t="s">
        <v>35</v>
      </c>
    </row>
    <row r="6467" spans="1:8" ht="14.4" x14ac:dyDescent="0.3">
      <c r="A6467" s="8">
        <v>1969843</v>
      </c>
      <c r="B6467" s="11">
        <v>44628</v>
      </c>
      <c r="C6467" s="13" t="s">
        <v>184</v>
      </c>
      <c r="D6467" s="13" t="s">
        <v>5862</v>
      </c>
      <c r="E6467" s="8">
        <v>178658.61</v>
      </c>
      <c r="F6467" s="13" t="s">
        <v>70</v>
      </c>
      <c r="G6467" s="14">
        <v>44629</v>
      </c>
      <c r="H6467" s="13" t="s">
        <v>35</v>
      </c>
    </row>
    <row r="6468" spans="1:8" ht="14.4" x14ac:dyDescent="0.3">
      <c r="A6468" s="8">
        <v>1969844</v>
      </c>
      <c r="B6468" s="11">
        <v>44628</v>
      </c>
      <c r="C6468" s="13" t="s">
        <v>184</v>
      </c>
      <c r="D6468" s="13" t="s">
        <v>5862</v>
      </c>
      <c r="E6468" s="8">
        <v>291979.40999999997</v>
      </c>
      <c r="F6468" s="13" t="s">
        <v>70</v>
      </c>
      <c r="G6468" s="14">
        <v>44629</v>
      </c>
      <c r="H6468" s="13" t="s">
        <v>35</v>
      </c>
    </row>
    <row r="6469" spans="1:8" ht="14.4" x14ac:dyDescent="0.3">
      <c r="A6469" s="8">
        <v>1969845</v>
      </c>
      <c r="B6469" s="11">
        <v>44628</v>
      </c>
      <c r="C6469" s="13" t="s">
        <v>8257</v>
      </c>
      <c r="D6469" s="13" t="s">
        <v>8258</v>
      </c>
      <c r="E6469" s="8">
        <v>2598.3200000000002</v>
      </c>
      <c r="F6469" s="13" t="s">
        <v>70</v>
      </c>
      <c r="G6469" s="14">
        <v>44630</v>
      </c>
      <c r="H6469" s="13" t="s">
        <v>35</v>
      </c>
    </row>
    <row r="6470" spans="1:8" ht="14.4" x14ac:dyDescent="0.3">
      <c r="A6470" s="8">
        <v>1969846</v>
      </c>
      <c r="B6470" s="11">
        <v>44628</v>
      </c>
      <c r="C6470" s="13" t="s">
        <v>8259</v>
      </c>
      <c r="D6470" s="13" t="s">
        <v>8260</v>
      </c>
      <c r="E6470" s="8">
        <v>6808.85</v>
      </c>
      <c r="F6470" s="13" t="s">
        <v>70</v>
      </c>
      <c r="G6470" s="14">
        <v>44629</v>
      </c>
      <c r="H6470" s="13" t="s">
        <v>35</v>
      </c>
    </row>
    <row r="6471" spans="1:8" ht="14.4" x14ac:dyDescent="0.3">
      <c r="A6471" s="8">
        <v>1969847</v>
      </c>
      <c r="B6471" s="11">
        <v>44628</v>
      </c>
      <c r="C6471" s="13" t="s">
        <v>8261</v>
      </c>
      <c r="D6471" s="13" t="s">
        <v>8262</v>
      </c>
      <c r="E6471" s="8">
        <v>27839.09</v>
      </c>
      <c r="F6471" s="13" t="s">
        <v>70</v>
      </c>
      <c r="G6471" s="14">
        <v>44630</v>
      </c>
      <c r="H6471" s="13" t="s">
        <v>35</v>
      </c>
    </row>
    <row r="6472" spans="1:8" ht="14.4" x14ac:dyDescent="0.3">
      <c r="A6472" s="8">
        <v>1969848</v>
      </c>
      <c r="B6472" s="11">
        <v>44628</v>
      </c>
      <c r="C6472" s="13" t="s">
        <v>8263</v>
      </c>
      <c r="D6472" s="13" t="s">
        <v>8264</v>
      </c>
      <c r="E6472" s="8">
        <v>36709.440000000002</v>
      </c>
      <c r="F6472" s="13" t="s">
        <v>70</v>
      </c>
      <c r="G6472" s="14">
        <v>44629</v>
      </c>
      <c r="H6472" s="13" t="s">
        <v>35</v>
      </c>
    </row>
    <row r="6473" spans="1:8" ht="14.4" x14ac:dyDescent="0.3">
      <c r="A6473" s="8">
        <v>1969849</v>
      </c>
      <c r="B6473" s="11">
        <v>44628</v>
      </c>
      <c r="C6473" s="13" t="s">
        <v>8265</v>
      </c>
      <c r="D6473" s="13" t="s">
        <v>8266</v>
      </c>
      <c r="E6473" s="8">
        <v>32592.29</v>
      </c>
      <c r="F6473" s="13" t="s">
        <v>70</v>
      </c>
      <c r="G6473" s="14">
        <v>44629</v>
      </c>
      <c r="H6473" s="13" t="s">
        <v>35</v>
      </c>
    </row>
    <row r="6474" spans="1:8" ht="14.4" x14ac:dyDescent="0.3">
      <c r="A6474" s="8">
        <v>1969850</v>
      </c>
      <c r="B6474" s="11">
        <v>44628</v>
      </c>
      <c r="C6474" s="13" t="s">
        <v>8267</v>
      </c>
      <c r="D6474" s="13" t="s">
        <v>8268</v>
      </c>
      <c r="E6474" s="8">
        <v>27598.44</v>
      </c>
      <c r="F6474" s="13" t="s">
        <v>70</v>
      </c>
      <c r="G6474" s="14">
        <v>44630</v>
      </c>
      <c r="H6474" s="13" t="s">
        <v>35</v>
      </c>
    </row>
    <row r="6475" spans="1:8" ht="14.4" x14ac:dyDescent="0.3">
      <c r="A6475" s="8">
        <v>1969851</v>
      </c>
      <c r="B6475" s="11">
        <v>44628</v>
      </c>
      <c r="C6475" s="13" t="s">
        <v>365</v>
      </c>
      <c r="D6475" s="13" t="s">
        <v>8269</v>
      </c>
      <c r="E6475" s="8">
        <v>86625.1</v>
      </c>
      <c r="F6475" s="13" t="s">
        <v>70</v>
      </c>
      <c r="G6475" s="14">
        <v>44634</v>
      </c>
      <c r="H6475" s="13" t="s">
        <v>35</v>
      </c>
    </row>
    <row r="6476" spans="1:8" ht="14.4" x14ac:dyDescent="0.3">
      <c r="A6476" s="8">
        <v>1969852</v>
      </c>
      <c r="B6476" s="11">
        <v>44628</v>
      </c>
      <c r="C6476" s="13" t="s">
        <v>8270</v>
      </c>
      <c r="D6476" s="13" t="s">
        <v>8271</v>
      </c>
      <c r="E6476" s="8">
        <v>32328.99</v>
      </c>
      <c r="F6476" s="13" t="s">
        <v>70</v>
      </c>
      <c r="G6476" s="14">
        <v>44628</v>
      </c>
      <c r="H6476" s="13" t="s">
        <v>35</v>
      </c>
    </row>
    <row r="6477" spans="1:8" ht="14.4" x14ac:dyDescent="0.3">
      <c r="A6477" s="8">
        <v>1969853</v>
      </c>
      <c r="B6477" s="11">
        <v>44628</v>
      </c>
      <c r="C6477" s="13" t="s">
        <v>1784</v>
      </c>
      <c r="D6477" s="13" t="s">
        <v>8272</v>
      </c>
      <c r="E6477" s="8">
        <v>22500</v>
      </c>
      <c r="F6477" s="13" t="s">
        <v>70</v>
      </c>
      <c r="G6477" s="14">
        <v>44630</v>
      </c>
      <c r="H6477" s="13" t="s">
        <v>35</v>
      </c>
    </row>
    <row r="6478" spans="1:8" ht="14.4" x14ac:dyDescent="0.3">
      <c r="A6478" s="8">
        <v>1969854</v>
      </c>
      <c r="B6478" s="11">
        <v>44628</v>
      </c>
      <c r="C6478" s="13" t="s">
        <v>1286</v>
      </c>
      <c r="D6478" s="13" t="s">
        <v>8273</v>
      </c>
      <c r="E6478" s="8">
        <v>9537.99</v>
      </c>
      <c r="F6478" s="13" t="s">
        <v>70</v>
      </c>
      <c r="G6478" s="14">
        <v>44631</v>
      </c>
      <c r="H6478" s="13" t="s">
        <v>35</v>
      </c>
    </row>
    <row r="6479" spans="1:8" ht="14.4" x14ac:dyDescent="0.3">
      <c r="A6479" s="8">
        <v>1969855</v>
      </c>
      <c r="B6479" s="11">
        <v>44628</v>
      </c>
      <c r="C6479" s="13" t="s">
        <v>1286</v>
      </c>
      <c r="D6479" s="13" t="s">
        <v>8274</v>
      </c>
      <c r="E6479" s="8">
        <v>78089.009999999995</v>
      </c>
      <c r="F6479" s="13" t="s">
        <v>70</v>
      </c>
      <c r="G6479" s="14">
        <v>44631</v>
      </c>
      <c r="H6479" s="13" t="s">
        <v>35</v>
      </c>
    </row>
    <row r="6480" spans="1:8" ht="14.4" x14ac:dyDescent="0.3">
      <c r="A6480" s="8">
        <v>1969856</v>
      </c>
      <c r="B6480" s="11">
        <v>44628</v>
      </c>
      <c r="C6480" s="13" t="s">
        <v>1286</v>
      </c>
      <c r="D6480" s="13" t="s">
        <v>8275</v>
      </c>
      <c r="E6480" s="8">
        <v>141872.18</v>
      </c>
      <c r="F6480" s="13" t="s">
        <v>70</v>
      </c>
      <c r="G6480" s="14">
        <v>44631</v>
      </c>
      <c r="H6480" s="13" t="s">
        <v>35</v>
      </c>
    </row>
    <row r="6481" spans="1:8" ht="14.4" x14ac:dyDescent="0.3">
      <c r="A6481" s="8">
        <v>1969857</v>
      </c>
      <c r="B6481" s="11">
        <v>44628</v>
      </c>
      <c r="C6481" s="13" t="s">
        <v>159</v>
      </c>
      <c r="D6481" s="13" t="s">
        <v>8276</v>
      </c>
      <c r="E6481" s="8">
        <v>352800</v>
      </c>
      <c r="F6481" s="13" t="s">
        <v>70</v>
      </c>
      <c r="G6481" s="14">
        <v>44629</v>
      </c>
      <c r="H6481" s="13" t="s">
        <v>35</v>
      </c>
    </row>
    <row r="6482" spans="1:8" ht="14.4" x14ac:dyDescent="0.3">
      <c r="A6482" s="8">
        <v>1969858</v>
      </c>
      <c r="B6482" s="11">
        <v>44629</v>
      </c>
      <c r="C6482" s="13" t="s">
        <v>158</v>
      </c>
      <c r="D6482" s="13" t="s">
        <v>8277</v>
      </c>
      <c r="E6482" s="8">
        <v>17900</v>
      </c>
      <c r="F6482" s="13" t="s">
        <v>70</v>
      </c>
      <c r="G6482" s="14">
        <v>44630</v>
      </c>
      <c r="H6482" s="13" t="s">
        <v>35</v>
      </c>
    </row>
    <row r="6483" spans="1:8" ht="14.4" x14ac:dyDescent="0.3">
      <c r="A6483" s="8">
        <v>1969859</v>
      </c>
      <c r="B6483" s="11">
        <v>44629</v>
      </c>
      <c r="C6483" s="13" t="s">
        <v>180</v>
      </c>
      <c r="D6483" s="13" t="s">
        <v>901</v>
      </c>
      <c r="E6483" s="8">
        <v>420675.91</v>
      </c>
      <c r="F6483" s="13" t="s">
        <v>70</v>
      </c>
      <c r="G6483" s="14">
        <v>44629</v>
      </c>
      <c r="H6483" s="13" t="s">
        <v>35</v>
      </c>
    </row>
    <row r="6484" spans="1:8" ht="14.4" x14ac:dyDescent="0.3">
      <c r="A6484" s="8">
        <v>1969860</v>
      </c>
      <c r="B6484" s="11">
        <v>44629</v>
      </c>
      <c r="C6484" s="13" t="s">
        <v>176</v>
      </c>
      <c r="D6484" s="13" t="s">
        <v>8278</v>
      </c>
      <c r="E6484" s="8">
        <v>99000</v>
      </c>
      <c r="F6484" s="13" t="s">
        <v>70</v>
      </c>
      <c r="G6484" s="14">
        <v>44645</v>
      </c>
      <c r="H6484" s="13" t="s">
        <v>35</v>
      </c>
    </row>
    <row r="6485" spans="1:8" ht="14.4" x14ac:dyDescent="0.3">
      <c r="A6485" s="8">
        <v>1969861</v>
      </c>
      <c r="B6485" s="11">
        <v>44629</v>
      </c>
      <c r="C6485" s="13" t="s">
        <v>8279</v>
      </c>
      <c r="D6485" s="13" t="s">
        <v>8280</v>
      </c>
      <c r="E6485" s="8">
        <v>30000</v>
      </c>
      <c r="F6485" s="13" t="s">
        <v>70</v>
      </c>
      <c r="G6485" s="14">
        <v>44634</v>
      </c>
      <c r="H6485" s="13" t="s">
        <v>35</v>
      </c>
    </row>
    <row r="6486" spans="1:8" ht="14.4" x14ac:dyDescent="0.3">
      <c r="A6486" s="8">
        <v>1969862</v>
      </c>
      <c r="B6486" s="11">
        <v>44629</v>
      </c>
      <c r="C6486" s="13" t="s">
        <v>158</v>
      </c>
      <c r="D6486" s="13" t="s">
        <v>8281</v>
      </c>
      <c r="E6486" s="8">
        <v>302400</v>
      </c>
      <c r="F6486" s="13" t="s">
        <v>70</v>
      </c>
      <c r="G6486" s="14">
        <v>44630</v>
      </c>
      <c r="H6486" s="13" t="s">
        <v>35</v>
      </c>
    </row>
    <row r="6487" spans="1:8" ht="14.4" x14ac:dyDescent="0.3">
      <c r="A6487" s="8">
        <v>1969863</v>
      </c>
      <c r="B6487" s="11">
        <v>44629</v>
      </c>
      <c r="C6487" s="13" t="s">
        <v>615</v>
      </c>
      <c r="D6487" s="13" t="s">
        <v>8282</v>
      </c>
      <c r="E6487" s="8">
        <v>1235.26</v>
      </c>
      <c r="F6487" s="13" t="s">
        <v>70</v>
      </c>
      <c r="G6487" s="14">
        <v>44631</v>
      </c>
      <c r="H6487" s="13" t="s">
        <v>35</v>
      </c>
    </row>
    <row r="6488" spans="1:8" ht="14.4" x14ac:dyDescent="0.3">
      <c r="A6488" s="8">
        <v>1969864</v>
      </c>
      <c r="B6488" s="11">
        <v>44629</v>
      </c>
      <c r="C6488" s="13" t="s">
        <v>162</v>
      </c>
      <c r="D6488" s="13" t="s">
        <v>8283</v>
      </c>
      <c r="E6488" s="8">
        <v>26631.97</v>
      </c>
      <c r="F6488" s="13" t="s">
        <v>70</v>
      </c>
      <c r="G6488" s="14">
        <v>44641</v>
      </c>
      <c r="H6488" s="13" t="s">
        <v>35</v>
      </c>
    </row>
    <row r="6489" spans="1:8" ht="14.4" x14ac:dyDescent="0.3">
      <c r="A6489" s="8">
        <v>1969865</v>
      </c>
      <c r="B6489" s="11">
        <v>44629</v>
      </c>
      <c r="C6489" s="13" t="s">
        <v>162</v>
      </c>
      <c r="D6489" s="13" t="s">
        <v>8284</v>
      </c>
      <c r="E6489" s="8">
        <v>754972.12</v>
      </c>
      <c r="F6489" s="13" t="s">
        <v>70</v>
      </c>
      <c r="G6489" s="14">
        <v>44641</v>
      </c>
      <c r="H6489" s="13" t="s">
        <v>35</v>
      </c>
    </row>
    <row r="6490" spans="1:8" ht="14.4" x14ac:dyDescent="0.3">
      <c r="A6490" s="8">
        <v>1969866</v>
      </c>
      <c r="B6490" s="11">
        <v>44629</v>
      </c>
      <c r="C6490" s="13" t="s">
        <v>162</v>
      </c>
      <c r="D6490" s="13" t="s">
        <v>8285</v>
      </c>
      <c r="E6490" s="8">
        <v>4013.35</v>
      </c>
      <c r="F6490" s="13" t="s">
        <v>70</v>
      </c>
      <c r="G6490" s="14">
        <v>44641</v>
      </c>
      <c r="H6490" s="13" t="s">
        <v>35</v>
      </c>
    </row>
    <row r="6491" spans="1:8" ht="14.4" x14ac:dyDescent="0.3">
      <c r="A6491" s="8">
        <v>1969867</v>
      </c>
      <c r="B6491" s="11">
        <v>44629</v>
      </c>
      <c r="C6491" s="13" t="s">
        <v>162</v>
      </c>
      <c r="D6491" s="13" t="s">
        <v>8286</v>
      </c>
      <c r="E6491" s="8">
        <v>1018.19</v>
      </c>
      <c r="F6491" s="13" t="s">
        <v>70</v>
      </c>
      <c r="G6491" s="14">
        <v>44641</v>
      </c>
      <c r="H6491" s="13" t="s">
        <v>35</v>
      </c>
    </row>
    <row r="6492" spans="1:8" ht="14.4" x14ac:dyDescent="0.3">
      <c r="A6492" s="8">
        <v>1969868</v>
      </c>
      <c r="B6492" s="11">
        <v>44629</v>
      </c>
      <c r="C6492" s="13" t="s">
        <v>8287</v>
      </c>
      <c r="D6492" s="13" t="s">
        <v>8288</v>
      </c>
      <c r="E6492" s="8">
        <v>2074.85</v>
      </c>
      <c r="F6492" s="13" t="s">
        <v>70</v>
      </c>
      <c r="G6492" s="14">
        <v>44635</v>
      </c>
      <c r="H6492" s="13" t="s">
        <v>35</v>
      </c>
    </row>
    <row r="6493" spans="1:8" ht="14.4" x14ac:dyDescent="0.3">
      <c r="A6493" s="8">
        <v>1969869</v>
      </c>
      <c r="B6493" s="11">
        <v>44629</v>
      </c>
      <c r="C6493" s="13" t="s">
        <v>7794</v>
      </c>
      <c r="D6493" s="13" t="s">
        <v>8289</v>
      </c>
      <c r="E6493" s="8">
        <v>11903.7</v>
      </c>
      <c r="F6493" s="13" t="s">
        <v>70</v>
      </c>
      <c r="G6493" s="14">
        <v>44630</v>
      </c>
      <c r="H6493" s="13" t="s">
        <v>35</v>
      </c>
    </row>
    <row r="6494" spans="1:8" ht="14.4" x14ac:dyDescent="0.3">
      <c r="A6494" s="8">
        <v>1969870</v>
      </c>
      <c r="B6494" s="11">
        <v>44629</v>
      </c>
      <c r="C6494" s="13" t="s">
        <v>7694</v>
      </c>
      <c r="D6494" s="13" t="s">
        <v>8290</v>
      </c>
      <c r="E6494" s="8">
        <v>40858.11</v>
      </c>
      <c r="F6494" s="13" t="s">
        <v>70</v>
      </c>
      <c r="G6494" s="14">
        <v>44638</v>
      </c>
      <c r="H6494" s="13" t="s">
        <v>35</v>
      </c>
    </row>
    <row r="6495" spans="1:8" ht="14.4" x14ac:dyDescent="0.3">
      <c r="A6495" s="8">
        <v>1969871</v>
      </c>
      <c r="B6495" s="11">
        <v>44629</v>
      </c>
      <c r="C6495" s="13" t="s">
        <v>8291</v>
      </c>
      <c r="D6495" s="13" t="s">
        <v>8292</v>
      </c>
      <c r="E6495" s="8">
        <v>9118.57</v>
      </c>
      <c r="F6495" s="13" t="s">
        <v>70</v>
      </c>
      <c r="G6495" s="14">
        <v>44635</v>
      </c>
      <c r="H6495" s="13" t="s">
        <v>35</v>
      </c>
    </row>
    <row r="6496" spans="1:8" ht="14.4" x14ac:dyDescent="0.3">
      <c r="A6496" s="8">
        <v>1969872</v>
      </c>
      <c r="B6496" s="11">
        <v>44629</v>
      </c>
      <c r="C6496" s="13" t="s">
        <v>188</v>
      </c>
      <c r="D6496" s="13" t="s">
        <v>8293</v>
      </c>
      <c r="E6496" s="8">
        <v>15000</v>
      </c>
      <c r="F6496" s="13" t="s">
        <v>70</v>
      </c>
      <c r="G6496" s="14">
        <v>44630</v>
      </c>
      <c r="H6496" s="13" t="s">
        <v>35</v>
      </c>
    </row>
    <row r="6497" spans="1:8" ht="14.4" x14ac:dyDescent="0.3">
      <c r="A6497" s="8">
        <v>1969873</v>
      </c>
      <c r="B6497" s="11">
        <v>44629</v>
      </c>
      <c r="C6497" s="13" t="s">
        <v>188</v>
      </c>
      <c r="D6497" s="13" t="s">
        <v>7354</v>
      </c>
      <c r="E6497" s="8">
        <v>41250</v>
      </c>
      <c r="F6497" s="13" t="s">
        <v>70</v>
      </c>
      <c r="G6497" s="14">
        <v>44630</v>
      </c>
      <c r="H6497" s="13" t="s">
        <v>35</v>
      </c>
    </row>
    <row r="6498" spans="1:8" ht="14.4" x14ac:dyDescent="0.3">
      <c r="A6498" s="8">
        <v>1969874</v>
      </c>
      <c r="B6498" s="11">
        <v>44629</v>
      </c>
      <c r="C6498" s="13" t="s">
        <v>8294</v>
      </c>
      <c r="D6498" s="13" t="s">
        <v>8295</v>
      </c>
      <c r="E6498" s="8">
        <v>20000</v>
      </c>
      <c r="F6498" s="13" t="s">
        <v>70</v>
      </c>
      <c r="G6498" s="14">
        <v>44634</v>
      </c>
      <c r="H6498" s="13" t="s">
        <v>35</v>
      </c>
    </row>
    <row r="6499" spans="1:8" ht="14.4" x14ac:dyDescent="0.3">
      <c r="A6499" s="8">
        <v>1969875</v>
      </c>
      <c r="B6499" s="11">
        <v>44629</v>
      </c>
      <c r="C6499" s="13" t="s">
        <v>8296</v>
      </c>
      <c r="D6499" s="13" t="s">
        <v>8297</v>
      </c>
      <c r="E6499" s="8">
        <v>10000</v>
      </c>
      <c r="F6499" s="13" t="s">
        <v>70</v>
      </c>
      <c r="G6499" s="14">
        <v>44635</v>
      </c>
      <c r="H6499" s="13" t="s">
        <v>35</v>
      </c>
    </row>
    <row r="6500" spans="1:8" ht="14.4" x14ac:dyDescent="0.3">
      <c r="A6500" s="8">
        <v>1969876</v>
      </c>
      <c r="B6500" s="11">
        <v>44629</v>
      </c>
      <c r="C6500" s="13" t="s">
        <v>50</v>
      </c>
      <c r="D6500" s="13" t="s">
        <v>8298</v>
      </c>
      <c r="E6500" s="8">
        <v>12000</v>
      </c>
      <c r="F6500" s="13" t="s">
        <v>70</v>
      </c>
      <c r="G6500" s="14">
        <v>44694</v>
      </c>
      <c r="H6500" s="13" t="s">
        <v>35</v>
      </c>
    </row>
    <row r="6501" spans="1:8" ht="14.4" x14ac:dyDescent="0.3">
      <c r="A6501" s="8">
        <v>1969877</v>
      </c>
      <c r="B6501" s="11">
        <v>44629</v>
      </c>
      <c r="C6501" s="13" t="s">
        <v>8299</v>
      </c>
      <c r="D6501" s="13" t="s">
        <v>8300</v>
      </c>
      <c r="E6501" s="8">
        <v>28000</v>
      </c>
      <c r="F6501" s="13" t="s">
        <v>70</v>
      </c>
      <c r="G6501" s="14">
        <v>44635</v>
      </c>
      <c r="H6501" s="13" t="s">
        <v>35</v>
      </c>
    </row>
    <row r="6502" spans="1:8" ht="14.4" x14ac:dyDescent="0.3">
      <c r="A6502" s="8">
        <v>1969878</v>
      </c>
      <c r="B6502" s="11">
        <v>44629</v>
      </c>
      <c r="C6502" s="13" t="s">
        <v>8301</v>
      </c>
      <c r="D6502" s="13" t="s">
        <v>8302</v>
      </c>
      <c r="E6502" s="8">
        <v>10000</v>
      </c>
      <c r="F6502" s="13" t="s">
        <v>70</v>
      </c>
      <c r="G6502" s="14">
        <v>44634</v>
      </c>
      <c r="H6502" s="13" t="s">
        <v>35</v>
      </c>
    </row>
    <row r="6503" spans="1:8" ht="14.4" x14ac:dyDescent="0.3">
      <c r="A6503" s="8">
        <v>1969879</v>
      </c>
      <c r="B6503" s="11">
        <v>44629</v>
      </c>
      <c r="C6503" s="13" t="s">
        <v>8303</v>
      </c>
      <c r="D6503" s="13" t="s">
        <v>8304</v>
      </c>
      <c r="E6503" s="8">
        <v>9000</v>
      </c>
      <c r="F6503" s="13" t="s">
        <v>70</v>
      </c>
      <c r="G6503" s="14">
        <v>44636</v>
      </c>
      <c r="H6503" s="13" t="s">
        <v>35</v>
      </c>
    </row>
    <row r="6504" spans="1:8" ht="14.4" x14ac:dyDescent="0.3">
      <c r="A6504" s="8">
        <v>1969880</v>
      </c>
      <c r="B6504" s="11">
        <v>44629</v>
      </c>
      <c r="C6504" s="13" t="s">
        <v>8305</v>
      </c>
      <c r="D6504" s="13" t="s">
        <v>8306</v>
      </c>
      <c r="E6504" s="8">
        <v>30000</v>
      </c>
      <c r="F6504" s="13" t="s">
        <v>70</v>
      </c>
      <c r="G6504" s="14">
        <v>44634</v>
      </c>
      <c r="H6504" s="13" t="s">
        <v>35</v>
      </c>
    </row>
    <row r="6505" spans="1:8" ht="14.4" x14ac:dyDescent="0.3">
      <c r="A6505" s="8">
        <v>1969881</v>
      </c>
      <c r="B6505" s="11">
        <v>44629</v>
      </c>
      <c r="C6505" s="13" t="s">
        <v>8307</v>
      </c>
      <c r="D6505" s="13" t="s">
        <v>8308</v>
      </c>
      <c r="E6505" s="8">
        <v>50000</v>
      </c>
      <c r="F6505" s="13" t="s">
        <v>70</v>
      </c>
      <c r="G6505" s="14">
        <v>44634</v>
      </c>
      <c r="H6505" s="13" t="s">
        <v>35</v>
      </c>
    </row>
    <row r="6506" spans="1:8" ht="14.4" x14ac:dyDescent="0.3">
      <c r="A6506" s="8">
        <v>1969882</v>
      </c>
      <c r="B6506" s="11">
        <v>44629</v>
      </c>
      <c r="C6506" s="13" t="s">
        <v>8309</v>
      </c>
      <c r="D6506" s="13" t="s">
        <v>8310</v>
      </c>
      <c r="E6506" s="8">
        <v>30000</v>
      </c>
      <c r="F6506" s="13" t="s">
        <v>70</v>
      </c>
      <c r="G6506" s="14">
        <v>44631</v>
      </c>
      <c r="H6506" s="13" t="s">
        <v>35</v>
      </c>
    </row>
    <row r="6507" spans="1:8" ht="14.4" x14ac:dyDescent="0.3">
      <c r="A6507" s="8">
        <v>1969883</v>
      </c>
      <c r="B6507" s="11">
        <v>44629</v>
      </c>
      <c r="C6507" s="13" t="s">
        <v>8311</v>
      </c>
      <c r="D6507" s="13" t="s">
        <v>8312</v>
      </c>
      <c r="E6507" s="8">
        <v>8000</v>
      </c>
      <c r="F6507" s="13" t="s">
        <v>70</v>
      </c>
      <c r="G6507" s="14">
        <v>44634</v>
      </c>
      <c r="H6507" s="13" t="s">
        <v>35</v>
      </c>
    </row>
    <row r="6508" spans="1:8" ht="14.4" x14ac:dyDescent="0.3">
      <c r="A6508" s="8">
        <v>1969884</v>
      </c>
      <c r="B6508" s="11">
        <v>44629</v>
      </c>
      <c r="C6508" s="13" t="s">
        <v>8313</v>
      </c>
      <c r="D6508" s="13" t="s">
        <v>8314</v>
      </c>
      <c r="E6508" s="8">
        <v>50000</v>
      </c>
      <c r="F6508" s="13" t="s">
        <v>70</v>
      </c>
      <c r="G6508" s="14">
        <v>44635</v>
      </c>
      <c r="H6508" s="13" t="s">
        <v>35</v>
      </c>
    </row>
    <row r="6509" spans="1:8" ht="14.4" x14ac:dyDescent="0.3">
      <c r="A6509" s="8">
        <v>1969885</v>
      </c>
      <c r="B6509" s="11">
        <v>44629</v>
      </c>
      <c r="C6509" s="13" t="s">
        <v>8315</v>
      </c>
      <c r="D6509" s="13" t="s">
        <v>8316</v>
      </c>
      <c r="E6509" s="8">
        <v>10000</v>
      </c>
      <c r="F6509" s="13" t="s">
        <v>70</v>
      </c>
      <c r="G6509" s="14">
        <v>44635</v>
      </c>
      <c r="H6509" s="13" t="s">
        <v>35</v>
      </c>
    </row>
    <row r="6510" spans="1:8" ht="14.4" x14ac:dyDescent="0.3">
      <c r="A6510" s="8">
        <v>1969886</v>
      </c>
      <c r="B6510" s="11">
        <v>44629</v>
      </c>
      <c r="C6510" s="13" t="s">
        <v>8317</v>
      </c>
      <c r="D6510" s="13" t="s">
        <v>8318</v>
      </c>
      <c r="E6510" s="8">
        <v>11000</v>
      </c>
      <c r="F6510" s="13" t="s">
        <v>70</v>
      </c>
      <c r="G6510" s="14">
        <v>44634</v>
      </c>
      <c r="H6510" s="13" t="s">
        <v>35</v>
      </c>
    </row>
    <row r="6511" spans="1:8" ht="14.4" x14ac:dyDescent="0.3">
      <c r="A6511" s="8">
        <v>1969887</v>
      </c>
      <c r="B6511" s="11">
        <v>44629</v>
      </c>
      <c r="C6511" s="13" t="s">
        <v>8319</v>
      </c>
      <c r="D6511" s="13" t="s">
        <v>8320</v>
      </c>
      <c r="E6511" s="8">
        <v>50000</v>
      </c>
      <c r="F6511" s="13" t="s">
        <v>70</v>
      </c>
      <c r="G6511" s="14">
        <v>44634</v>
      </c>
      <c r="H6511" s="13" t="s">
        <v>35</v>
      </c>
    </row>
    <row r="6512" spans="1:8" ht="14.4" x14ac:dyDescent="0.3">
      <c r="A6512" s="8">
        <v>1969888</v>
      </c>
      <c r="B6512" s="11">
        <v>44629</v>
      </c>
      <c r="C6512" s="13" t="s">
        <v>8321</v>
      </c>
      <c r="D6512" s="13" t="s">
        <v>8322</v>
      </c>
      <c r="E6512" s="8">
        <v>12000</v>
      </c>
      <c r="F6512" s="13" t="s">
        <v>70</v>
      </c>
      <c r="G6512" s="14">
        <v>44634</v>
      </c>
      <c r="H6512" s="13" t="s">
        <v>35</v>
      </c>
    </row>
    <row r="6513" spans="1:8" ht="14.4" x14ac:dyDescent="0.3">
      <c r="A6513" s="8">
        <v>1969889</v>
      </c>
      <c r="B6513" s="11">
        <v>44629</v>
      </c>
      <c r="C6513" s="13" t="s">
        <v>8323</v>
      </c>
      <c r="D6513" s="13" t="s">
        <v>8324</v>
      </c>
      <c r="E6513" s="8">
        <v>10000</v>
      </c>
      <c r="F6513" s="13" t="s">
        <v>70</v>
      </c>
      <c r="G6513" s="14">
        <v>44634</v>
      </c>
      <c r="H6513" s="13" t="s">
        <v>35</v>
      </c>
    </row>
    <row r="6514" spans="1:8" ht="14.4" x14ac:dyDescent="0.3">
      <c r="A6514" s="8">
        <v>1969890</v>
      </c>
      <c r="B6514" s="11">
        <v>44629</v>
      </c>
      <c r="C6514" s="13" t="s">
        <v>1286</v>
      </c>
      <c r="D6514" s="13" t="s">
        <v>8325</v>
      </c>
      <c r="E6514" s="8">
        <v>45034.1</v>
      </c>
      <c r="F6514" s="13" t="s">
        <v>70</v>
      </c>
      <c r="G6514" s="14">
        <v>44631</v>
      </c>
      <c r="H6514" s="13" t="s">
        <v>35</v>
      </c>
    </row>
    <row r="6515" spans="1:8" ht="14.4" x14ac:dyDescent="0.3">
      <c r="A6515" s="8">
        <v>1969891</v>
      </c>
      <c r="B6515" s="11">
        <v>44629</v>
      </c>
      <c r="C6515" s="13" t="s">
        <v>1286</v>
      </c>
      <c r="D6515" s="13" t="s">
        <v>8326</v>
      </c>
      <c r="E6515" s="8">
        <v>52699.66</v>
      </c>
      <c r="F6515" s="13" t="s">
        <v>70</v>
      </c>
      <c r="G6515" s="14">
        <v>44631</v>
      </c>
      <c r="H6515" s="13" t="s">
        <v>35</v>
      </c>
    </row>
    <row r="6516" spans="1:8" ht="14.4" x14ac:dyDescent="0.3">
      <c r="A6516" s="8">
        <v>1969892</v>
      </c>
      <c r="B6516" s="11">
        <v>44629</v>
      </c>
      <c r="C6516" s="13" t="s">
        <v>1286</v>
      </c>
      <c r="D6516" s="13" t="s">
        <v>8327</v>
      </c>
      <c r="E6516" s="8">
        <v>42398.36</v>
      </c>
      <c r="F6516" s="13" t="s">
        <v>70</v>
      </c>
      <c r="G6516" s="14">
        <v>44631</v>
      </c>
      <c r="H6516" s="13" t="s">
        <v>35</v>
      </c>
    </row>
    <row r="6517" spans="1:8" ht="14.4" x14ac:dyDescent="0.3">
      <c r="A6517" s="8">
        <v>1969893</v>
      </c>
      <c r="B6517" s="11">
        <v>44629</v>
      </c>
      <c r="C6517" s="13" t="s">
        <v>1286</v>
      </c>
      <c r="D6517" s="13" t="s">
        <v>8328</v>
      </c>
      <c r="E6517" s="8">
        <v>8852.49</v>
      </c>
      <c r="F6517" s="13" t="s">
        <v>70</v>
      </c>
      <c r="G6517" s="14">
        <v>44631</v>
      </c>
      <c r="H6517" s="13" t="s">
        <v>35</v>
      </c>
    </row>
    <row r="6518" spans="1:8" ht="14.4" x14ac:dyDescent="0.3">
      <c r="A6518" s="8">
        <v>1969894</v>
      </c>
      <c r="B6518" s="11">
        <v>44629</v>
      </c>
      <c r="C6518" s="13" t="s">
        <v>1286</v>
      </c>
      <c r="D6518" s="13" t="s">
        <v>8329</v>
      </c>
      <c r="E6518" s="8">
        <v>14197.77</v>
      </c>
      <c r="F6518" s="13" t="s">
        <v>70</v>
      </c>
      <c r="G6518" s="14">
        <v>44631</v>
      </c>
      <c r="H6518" s="13" t="s">
        <v>35</v>
      </c>
    </row>
    <row r="6519" spans="1:8" ht="14.4" x14ac:dyDescent="0.3">
      <c r="A6519" s="8">
        <v>1969895</v>
      </c>
      <c r="B6519" s="11">
        <v>44629</v>
      </c>
      <c r="C6519" s="13" t="s">
        <v>1286</v>
      </c>
      <c r="D6519" s="13" t="s">
        <v>8330</v>
      </c>
      <c r="E6519" s="8">
        <v>9876.4599999999991</v>
      </c>
      <c r="F6519" s="13" t="s">
        <v>70</v>
      </c>
      <c r="G6519" s="14">
        <v>44631</v>
      </c>
      <c r="H6519" s="13" t="s">
        <v>35</v>
      </c>
    </row>
    <row r="6520" spans="1:8" ht="14.4" x14ac:dyDescent="0.3">
      <c r="A6520" s="8">
        <v>1969896</v>
      </c>
      <c r="B6520" s="11">
        <v>44629</v>
      </c>
      <c r="C6520" s="13" t="s">
        <v>1286</v>
      </c>
      <c r="D6520" s="13" t="s">
        <v>8331</v>
      </c>
      <c r="E6520" s="8">
        <v>3256.52</v>
      </c>
      <c r="F6520" s="13" t="s">
        <v>70</v>
      </c>
      <c r="G6520" s="14">
        <v>44631</v>
      </c>
      <c r="H6520" s="13" t="s">
        <v>35</v>
      </c>
    </row>
    <row r="6521" spans="1:8" ht="14.4" x14ac:dyDescent="0.3">
      <c r="A6521" s="8">
        <v>1969897</v>
      </c>
      <c r="B6521" s="11">
        <v>44629</v>
      </c>
      <c r="C6521" s="13" t="s">
        <v>1286</v>
      </c>
      <c r="D6521" s="13" t="s">
        <v>8332</v>
      </c>
      <c r="E6521" s="8">
        <v>1510.18</v>
      </c>
      <c r="F6521" s="13" t="s">
        <v>70</v>
      </c>
      <c r="G6521" s="14">
        <v>44631</v>
      </c>
      <c r="H6521" s="13" t="s">
        <v>35</v>
      </c>
    </row>
    <row r="6522" spans="1:8" ht="14.4" x14ac:dyDescent="0.3">
      <c r="A6522" s="8">
        <v>1969898</v>
      </c>
      <c r="B6522" s="11">
        <v>44629</v>
      </c>
      <c r="C6522" s="13" t="s">
        <v>1286</v>
      </c>
      <c r="D6522" s="13" t="s">
        <v>8333</v>
      </c>
      <c r="E6522" s="8">
        <v>3724.03</v>
      </c>
      <c r="F6522" s="13" t="s">
        <v>70</v>
      </c>
      <c r="G6522" s="14">
        <v>44631</v>
      </c>
      <c r="H6522" s="13" t="s">
        <v>35</v>
      </c>
    </row>
    <row r="6523" spans="1:8" ht="14.4" x14ac:dyDescent="0.3">
      <c r="A6523" s="8">
        <v>1969899</v>
      </c>
      <c r="B6523" s="11">
        <v>44629</v>
      </c>
      <c r="C6523" s="13" t="s">
        <v>1286</v>
      </c>
      <c r="D6523" s="13" t="s">
        <v>8334</v>
      </c>
      <c r="E6523" s="8">
        <v>216438.99</v>
      </c>
      <c r="F6523" s="13" t="s">
        <v>70</v>
      </c>
      <c r="G6523" s="14">
        <v>44631</v>
      </c>
      <c r="H6523" s="13" t="s">
        <v>35</v>
      </c>
    </row>
    <row r="6524" spans="1:8" ht="14.4" x14ac:dyDescent="0.3">
      <c r="A6524" s="8">
        <v>1969900</v>
      </c>
      <c r="B6524" s="11">
        <v>44629</v>
      </c>
      <c r="C6524" s="13" t="s">
        <v>1286</v>
      </c>
      <c r="D6524" s="13" t="s">
        <v>8335</v>
      </c>
      <c r="E6524" s="8">
        <v>172140.28</v>
      </c>
      <c r="F6524" s="13" t="s">
        <v>70</v>
      </c>
      <c r="G6524" s="14">
        <v>44631</v>
      </c>
      <c r="H6524" s="13" t="s">
        <v>35</v>
      </c>
    </row>
    <row r="6525" spans="1:8" ht="14.4" x14ac:dyDescent="0.3">
      <c r="A6525" s="8">
        <v>1969901</v>
      </c>
      <c r="B6525" s="11">
        <v>44629</v>
      </c>
      <c r="C6525" s="13" t="s">
        <v>1286</v>
      </c>
      <c r="D6525" s="13" t="s">
        <v>8336</v>
      </c>
      <c r="E6525" s="8">
        <v>5257.59</v>
      </c>
      <c r="F6525" s="13" t="s">
        <v>70</v>
      </c>
      <c r="G6525" s="14">
        <v>44631</v>
      </c>
      <c r="H6525" s="13" t="s">
        <v>35</v>
      </c>
    </row>
    <row r="6526" spans="1:8" ht="14.4" x14ac:dyDescent="0.3">
      <c r="A6526" s="8">
        <v>1969902</v>
      </c>
      <c r="B6526" s="11">
        <v>44629</v>
      </c>
      <c r="C6526" s="13" t="s">
        <v>1286</v>
      </c>
      <c r="D6526" s="13" t="s">
        <v>8337</v>
      </c>
      <c r="E6526" s="8">
        <v>5518.95</v>
      </c>
      <c r="F6526" s="13" t="s">
        <v>70</v>
      </c>
      <c r="G6526" s="14">
        <v>44631</v>
      </c>
      <c r="H6526" s="13" t="s">
        <v>35</v>
      </c>
    </row>
    <row r="6527" spans="1:8" ht="14.4" x14ac:dyDescent="0.3">
      <c r="A6527" s="8">
        <v>1969903</v>
      </c>
      <c r="B6527" s="11">
        <v>44629</v>
      </c>
      <c r="C6527" s="13" t="s">
        <v>1286</v>
      </c>
      <c r="D6527" s="13" t="s">
        <v>8338</v>
      </c>
      <c r="E6527" s="8">
        <v>2757.46</v>
      </c>
      <c r="F6527" s="13" t="s">
        <v>70</v>
      </c>
      <c r="G6527" s="14">
        <v>44631</v>
      </c>
      <c r="H6527" s="13" t="s">
        <v>35</v>
      </c>
    </row>
    <row r="6528" spans="1:8" ht="14.4" x14ac:dyDescent="0.3">
      <c r="A6528" s="8">
        <v>1969904</v>
      </c>
      <c r="B6528" s="11">
        <v>44629</v>
      </c>
      <c r="C6528" s="13" t="s">
        <v>1286</v>
      </c>
      <c r="D6528" s="13" t="s">
        <v>8339</v>
      </c>
      <c r="E6528" s="8">
        <v>28300.11</v>
      </c>
      <c r="F6528" s="13" t="s">
        <v>70</v>
      </c>
      <c r="G6528" s="14">
        <v>44631</v>
      </c>
      <c r="H6528" s="13" t="s">
        <v>35</v>
      </c>
    </row>
    <row r="6529" spans="1:8" ht="14.4" x14ac:dyDescent="0.3">
      <c r="A6529" s="8">
        <v>1969905</v>
      </c>
      <c r="B6529" s="11">
        <v>44629</v>
      </c>
      <c r="C6529" s="13" t="s">
        <v>1286</v>
      </c>
      <c r="D6529" s="13" t="s">
        <v>8340</v>
      </c>
      <c r="E6529" s="8">
        <v>27641.919999999998</v>
      </c>
      <c r="F6529" s="13" t="s">
        <v>70</v>
      </c>
      <c r="G6529" s="14">
        <v>44631</v>
      </c>
      <c r="H6529" s="13" t="s">
        <v>35</v>
      </c>
    </row>
    <row r="6530" spans="1:8" ht="14.4" x14ac:dyDescent="0.3">
      <c r="A6530" s="8">
        <v>1969906</v>
      </c>
      <c r="B6530" s="11">
        <v>44629</v>
      </c>
      <c r="C6530" s="13" t="s">
        <v>1286</v>
      </c>
      <c r="D6530" s="13" t="s">
        <v>8341</v>
      </c>
      <c r="E6530" s="8">
        <v>269671.08</v>
      </c>
      <c r="F6530" s="13" t="s">
        <v>70</v>
      </c>
      <c r="G6530" s="14">
        <v>44631</v>
      </c>
      <c r="H6530" s="13" t="s">
        <v>35</v>
      </c>
    </row>
    <row r="6531" spans="1:8" ht="14.4" x14ac:dyDescent="0.3">
      <c r="A6531" s="8">
        <v>1969907</v>
      </c>
      <c r="B6531" s="11">
        <v>44629</v>
      </c>
      <c r="C6531" s="13" t="s">
        <v>1286</v>
      </c>
      <c r="D6531" s="13" t="s">
        <v>8342</v>
      </c>
      <c r="E6531" s="8">
        <v>212519.45</v>
      </c>
      <c r="F6531" s="13" t="s">
        <v>70</v>
      </c>
      <c r="G6531" s="14">
        <v>44631</v>
      </c>
      <c r="H6531" s="13" t="s">
        <v>35</v>
      </c>
    </row>
    <row r="6532" spans="1:8" ht="14.4" x14ac:dyDescent="0.3">
      <c r="A6532" s="8">
        <v>1969908</v>
      </c>
      <c r="B6532" s="11">
        <v>44629</v>
      </c>
      <c r="C6532" s="13" t="s">
        <v>1286</v>
      </c>
      <c r="D6532" s="13" t="s">
        <v>8343</v>
      </c>
      <c r="E6532" s="8">
        <v>8704.1200000000008</v>
      </c>
      <c r="F6532" s="13" t="s">
        <v>70</v>
      </c>
      <c r="G6532" s="14">
        <v>44631</v>
      </c>
      <c r="H6532" s="13" t="s">
        <v>35</v>
      </c>
    </row>
    <row r="6533" spans="1:8" ht="14.4" x14ac:dyDescent="0.3">
      <c r="A6533" s="8">
        <v>1969909</v>
      </c>
      <c r="B6533" s="11">
        <v>44629</v>
      </c>
      <c r="C6533" s="13" t="s">
        <v>1286</v>
      </c>
      <c r="D6533" s="13" t="s">
        <v>8344</v>
      </c>
      <c r="E6533" s="8">
        <v>9526.16</v>
      </c>
      <c r="F6533" s="13" t="s">
        <v>70</v>
      </c>
      <c r="G6533" s="14">
        <v>44631</v>
      </c>
      <c r="H6533" s="13" t="s">
        <v>35</v>
      </c>
    </row>
    <row r="6534" spans="1:8" ht="14.4" x14ac:dyDescent="0.3">
      <c r="A6534" s="8">
        <v>1969910</v>
      </c>
      <c r="B6534" s="11">
        <v>44629</v>
      </c>
      <c r="C6534" s="13" t="s">
        <v>1286</v>
      </c>
      <c r="D6534" s="13" t="s">
        <v>8345</v>
      </c>
      <c r="E6534" s="8">
        <v>31998.71</v>
      </c>
      <c r="F6534" s="13" t="s">
        <v>70</v>
      </c>
      <c r="G6534" s="14">
        <v>44631</v>
      </c>
      <c r="H6534" s="13" t="s">
        <v>35</v>
      </c>
    </row>
    <row r="6535" spans="1:8" ht="14.4" x14ac:dyDescent="0.3">
      <c r="A6535" s="8">
        <v>1969911</v>
      </c>
      <c r="B6535" s="11">
        <v>44630</v>
      </c>
      <c r="C6535" s="13" t="s">
        <v>159</v>
      </c>
      <c r="D6535" s="13" t="s">
        <v>8346</v>
      </c>
      <c r="E6535" s="8">
        <v>368200</v>
      </c>
      <c r="F6535" s="13" t="s">
        <v>70</v>
      </c>
      <c r="G6535" s="14">
        <v>44631</v>
      </c>
      <c r="H6535" s="13" t="s">
        <v>35</v>
      </c>
    </row>
    <row r="6536" spans="1:8" ht="14.4" x14ac:dyDescent="0.3">
      <c r="A6536" s="8">
        <v>1969912</v>
      </c>
      <c r="B6536" s="11">
        <v>44630</v>
      </c>
      <c r="C6536" s="13" t="s">
        <v>8347</v>
      </c>
      <c r="D6536" s="13" t="s">
        <v>8348</v>
      </c>
      <c r="E6536" s="8">
        <v>53050.6</v>
      </c>
      <c r="F6536" s="13" t="s">
        <v>70</v>
      </c>
      <c r="G6536" s="14">
        <v>44630</v>
      </c>
      <c r="H6536" s="13" t="s">
        <v>35</v>
      </c>
    </row>
    <row r="6537" spans="1:8" ht="14.4" x14ac:dyDescent="0.3">
      <c r="A6537" s="8">
        <v>1969913</v>
      </c>
      <c r="B6537" s="11">
        <v>44630</v>
      </c>
      <c r="C6537" s="13" t="s">
        <v>71</v>
      </c>
      <c r="D6537" s="13" t="s">
        <v>8349</v>
      </c>
      <c r="E6537" s="8">
        <v>10264.540000000001</v>
      </c>
      <c r="F6537" s="13" t="s">
        <v>70</v>
      </c>
      <c r="G6537" s="14">
        <v>44635</v>
      </c>
      <c r="H6537" s="13" t="s">
        <v>35</v>
      </c>
    </row>
    <row r="6538" spans="1:8" ht="14.4" x14ac:dyDescent="0.3">
      <c r="A6538" s="8">
        <v>1969914</v>
      </c>
      <c r="B6538" s="11">
        <v>44630</v>
      </c>
      <c r="C6538" s="13" t="s">
        <v>71</v>
      </c>
      <c r="D6538" s="13" t="s">
        <v>8350</v>
      </c>
      <c r="E6538" s="8">
        <v>133962.53</v>
      </c>
      <c r="F6538" s="13" t="s">
        <v>70</v>
      </c>
      <c r="G6538" s="14">
        <v>44635</v>
      </c>
      <c r="H6538" s="13" t="s">
        <v>35</v>
      </c>
    </row>
    <row r="6539" spans="1:8" ht="14.4" x14ac:dyDescent="0.3">
      <c r="A6539" s="8">
        <v>1969915</v>
      </c>
      <c r="B6539" s="11">
        <v>44630</v>
      </c>
      <c r="C6539" s="13" t="s">
        <v>71</v>
      </c>
      <c r="D6539" s="13" t="s">
        <v>8351</v>
      </c>
      <c r="E6539" s="8">
        <v>29479.23</v>
      </c>
      <c r="F6539" s="13" t="s">
        <v>70</v>
      </c>
      <c r="G6539" s="14">
        <v>44635</v>
      </c>
      <c r="H6539" s="13" t="s">
        <v>35</v>
      </c>
    </row>
    <row r="6540" spans="1:8" ht="14.4" x14ac:dyDescent="0.3">
      <c r="A6540" s="8">
        <v>1969916</v>
      </c>
      <c r="B6540" s="11">
        <v>44630</v>
      </c>
      <c r="C6540" s="13" t="s">
        <v>180</v>
      </c>
      <c r="D6540" s="13" t="s">
        <v>901</v>
      </c>
      <c r="E6540" s="8">
        <v>298197.76000000001</v>
      </c>
      <c r="F6540" s="13" t="s">
        <v>70</v>
      </c>
      <c r="G6540" s="14">
        <v>44630</v>
      </c>
      <c r="H6540" s="13" t="s">
        <v>35</v>
      </c>
    </row>
    <row r="6541" spans="1:8" ht="14.4" x14ac:dyDescent="0.3">
      <c r="A6541" s="8">
        <v>1969917</v>
      </c>
      <c r="B6541" s="11">
        <v>44631</v>
      </c>
      <c r="C6541" s="13" t="s">
        <v>8352</v>
      </c>
      <c r="D6541" s="13" t="s">
        <v>8353</v>
      </c>
      <c r="E6541" s="8">
        <v>23864.78</v>
      </c>
      <c r="F6541" s="13" t="s">
        <v>70</v>
      </c>
      <c r="G6541" s="14">
        <v>44631</v>
      </c>
      <c r="H6541" s="13" t="s">
        <v>35</v>
      </c>
    </row>
    <row r="6542" spans="1:8" ht="14.4" x14ac:dyDescent="0.3">
      <c r="A6542" s="8">
        <v>1969918</v>
      </c>
      <c r="B6542" s="11">
        <v>44631</v>
      </c>
      <c r="C6542" s="13" t="s">
        <v>8354</v>
      </c>
      <c r="D6542" s="13" t="s">
        <v>8355</v>
      </c>
      <c r="E6542" s="8">
        <v>9618.06</v>
      </c>
      <c r="F6542" s="13" t="s">
        <v>70</v>
      </c>
      <c r="G6542" s="14">
        <v>44631</v>
      </c>
      <c r="H6542" s="13" t="s">
        <v>35</v>
      </c>
    </row>
    <row r="6543" spans="1:8" ht="14.4" x14ac:dyDescent="0.3">
      <c r="A6543" s="8">
        <v>1969919</v>
      </c>
      <c r="B6543" s="11">
        <v>44631</v>
      </c>
      <c r="C6543" s="13" t="s">
        <v>44</v>
      </c>
      <c r="D6543" s="13" t="s">
        <v>8356</v>
      </c>
      <c r="E6543" s="8">
        <v>1047.04</v>
      </c>
      <c r="F6543" s="13" t="s">
        <v>70</v>
      </c>
      <c r="G6543" s="14">
        <v>44634</v>
      </c>
      <c r="H6543" s="13" t="s">
        <v>35</v>
      </c>
    </row>
    <row r="6544" spans="1:8" ht="14.4" x14ac:dyDescent="0.3">
      <c r="A6544" s="8">
        <v>1969920</v>
      </c>
      <c r="B6544" s="11">
        <v>44631</v>
      </c>
      <c r="C6544" s="13" t="s">
        <v>180</v>
      </c>
      <c r="D6544" s="13" t="s">
        <v>181</v>
      </c>
      <c r="E6544" s="8">
        <v>361491.83</v>
      </c>
      <c r="F6544" s="13" t="s">
        <v>70</v>
      </c>
      <c r="G6544" s="14">
        <v>44631</v>
      </c>
      <c r="H6544" s="13" t="s">
        <v>35</v>
      </c>
    </row>
    <row r="6545" spans="1:8" ht="14.4" x14ac:dyDescent="0.3">
      <c r="A6545" s="8">
        <v>1969921</v>
      </c>
      <c r="B6545" s="11">
        <v>44631</v>
      </c>
      <c r="C6545" s="13" t="s">
        <v>773</v>
      </c>
      <c r="D6545" s="13" t="s">
        <v>8357</v>
      </c>
      <c r="E6545" s="8">
        <v>17905.02</v>
      </c>
      <c r="F6545" s="13" t="s">
        <v>70</v>
      </c>
      <c r="G6545" s="14">
        <v>44631</v>
      </c>
      <c r="H6545" s="13" t="s">
        <v>35</v>
      </c>
    </row>
    <row r="6546" spans="1:8" ht="14.4" x14ac:dyDescent="0.3">
      <c r="A6546" s="8">
        <v>1969922</v>
      </c>
      <c r="B6546" s="11">
        <v>44631</v>
      </c>
      <c r="C6546" s="13" t="s">
        <v>8358</v>
      </c>
      <c r="D6546" s="13" t="s">
        <v>8359</v>
      </c>
      <c r="E6546" s="8">
        <v>18903.21</v>
      </c>
      <c r="F6546" s="13" t="s">
        <v>70</v>
      </c>
      <c r="G6546" s="14">
        <v>44634</v>
      </c>
      <c r="H6546" s="13" t="s">
        <v>35</v>
      </c>
    </row>
    <row r="6547" spans="1:8" ht="14.4" x14ac:dyDescent="0.3">
      <c r="A6547" s="8">
        <v>1969923</v>
      </c>
      <c r="B6547" s="11">
        <v>44634</v>
      </c>
      <c r="C6547" s="13" t="s">
        <v>162</v>
      </c>
      <c r="D6547" s="13" t="s">
        <v>8360</v>
      </c>
      <c r="E6547" s="8">
        <v>519358.94</v>
      </c>
      <c r="F6547" s="13" t="s">
        <v>70</v>
      </c>
      <c r="G6547" s="14">
        <v>44642</v>
      </c>
      <c r="H6547" s="13" t="s">
        <v>35</v>
      </c>
    </row>
    <row r="6548" spans="1:8" ht="14.4" x14ac:dyDescent="0.3">
      <c r="A6548" s="8">
        <v>1969924</v>
      </c>
      <c r="B6548" s="11">
        <v>44634</v>
      </c>
      <c r="C6548" s="13" t="s">
        <v>8361</v>
      </c>
      <c r="D6548" s="13" t="s">
        <v>8362</v>
      </c>
      <c r="E6548" s="8">
        <v>14214.16</v>
      </c>
      <c r="F6548" s="13" t="s">
        <v>70</v>
      </c>
      <c r="G6548" s="14">
        <v>44642</v>
      </c>
      <c r="H6548" s="13" t="s">
        <v>35</v>
      </c>
    </row>
    <row r="6549" spans="1:8" ht="14.4" x14ac:dyDescent="0.3">
      <c r="A6549" s="8">
        <v>1969925</v>
      </c>
      <c r="B6549" s="11">
        <v>44634</v>
      </c>
      <c r="C6549" s="13" t="s">
        <v>8363</v>
      </c>
      <c r="D6549" s="13" t="s">
        <v>8364</v>
      </c>
      <c r="E6549" s="8">
        <v>15391.43</v>
      </c>
      <c r="F6549" s="13" t="s">
        <v>70</v>
      </c>
      <c r="G6549" s="14">
        <v>44636</v>
      </c>
      <c r="H6549" s="13" t="s">
        <v>35</v>
      </c>
    </row>
    <row r="6550" spans="1:8" ht="14.4" x14ac:dyDescent="0.3">
      <c r="A6550" s="8">
        <v>1969926</v>
      </c>
      <c r="B6550" s="11">
        <v>44634</v>
      </c>
      <c r="C6550" s="13" t="s">
        <v>8365</v>
      </c>
      <c r="D6550" s="13" t="s">
        <v>8366</v>
      </c>
      <c r="E6550" s="8">
        <v>139302.81</v>
      </c>
      <c r="F6550" s="13" t="s">
        <v>70</v>
      </c>
      <c r="G6550" s="14">
        <v>44635</v>
      </c>
      <c r="H6550" s="13" t="s">
        <v>35</v>
      </c>
    </row>
    <row r="6551" spans="1:8" ht="14.4" x14ac:dyDescent="0.3">
      <c r="A6551" s="8">
        <v>1969927</v>
      </c>
      <c r="B6551" s="11">
        <v>44634</v>
      </c>
      <c r="C6551" s="13" t="s">
        <v>8354</v>
      </c>
      <c r="D6551" s="13" t="s">
        <v>8367</v>
      </c>
      <c r="E6551" s="8">
        <v>11056.5</v>
      </c>
      <c r="F6551" s="13" t="s">
        <v>70</v>
      </c>
      <c r="G6551" s="14">
        <v>44635</v>
      </c>
      <c r="H6551" s="13" t="s">
        <v>35</v>
      </c>
    </row>
    <row r="6552" spans="1:8" ht="14.4" x14ac:dyDescent="0.3">
      <c r="A6552" s="8">
        <v>1969928</v>
      </c>
      <c r="B6552" s="11">
        <v>44634</v>
      </c>
      <c r="C6552" s="13" t="s">
        <v>8354</v>
      </c>
      <c r="D6552" s="13" t="s">
        <v>8368</v>
      </c>
      <c r="E6552" s="8">
        <v>9979.2000000000007</v>
      </c>
      <c r="F6552" s="13" t="s">
        <v>70</v>
      </c>
      <c r="G6552" s="14">
        <v>44635</v>
      </c>
      <c r="H6552" s="13" t="s">
        <v>35</v>
      </c>
    </row>
    <row r="6553" spans="1:8" ht="14.4" x14ac:dyDescent="0.3">
      <c r="A6553" s="8">
        <v>1969929</v>
      </c>
      <c r="B6553" s="11">
        <v>44634</v>
      </c>
      <c r="C6553" s="13" t="s">
        <v>44</v>
      </c>
      <c r="D6553" s="13" t="s">
        <v>8369</v>
      </c>
      <c r="E6553" s="8">
        <v>3795.73</v>
      </c>
      <c r="F6553" s="13" t="s">
        <v>70</v>
      </c>
      <c r="G6553" s="14">
        <v>44636</v>
      </c>
      <c r="H6553" s="13" t="s">
        <v>35</v>
      </c>
    </row>
    <row r="6554" spans="1:8" ht="14.4" x14ac:dyDescent="0.3">
      <c r="A6554" s="8">
        <v>1969930</v>
      </c>
      <c r="B6554" s="11">
        <v>44634</v>
      </c>
      <c r="C6554" s="13" t="s">
        <v>1401</v>
      </c>
      <c r="D6554" s="13" t="s">
        <v>8370</v>
      </c>
      <c r="E6554" s="8">
        <v>18667.91</v>
      </c>
      <c r="F6554" s="13" t="s">
        <v>70</v>
      </c>
      <c r="G6554" s="14">
        <v>44635</v>
      </c>
      <c r="H6554" s="13" t="s">
        <v>35</v>
      </c>
    </row>
    <row r="6555" spans="1:8" ht="14.4" x14ac:dyDescent="0.3">
      <c r="A6555" s="8">
        <v>1969931</v>
      </c>
      <c r="B6555" s="11">
        <v>44634</v>
      </c>
      <c r="C6555" s="13" t="s">
        <v>8371</v>
      </c>
      <c r="D6555" s="13" t="s">
        <v>8372</v>
      </c>
      <c r="E6555" s="8">
        <v>9530.11</v>
      </c>
      <c r="F6555" s="13" t="s">
        <v>70</v>
      </c>
      <c r="G6555" s="14">
        <v>44637</v>
      </c>
      <c r="H6555" s="13" t="s">
        <v>35</v>
      </c>
    </row>
    <row r="6556" spans="1:8" ht="14.4" x14ac:dyDescent="0.3">
      <c r="A6556" s="8">
        <v>1969932</v>
      </c>
      <c r="B6556" s="11">
        <v>44634</v>
      </c>
      <c r="C6556" s="13" t="s">
        <v>2480</v>
      </c>
      <c r="D6556" s="13" t="s">
        <v>8373</v>
      </c>
      <c r="E6556" s="8">
        <v>89000</v>
      </c>
      <c r="F6556" s="13" t="s">
        <v>70</v>
      </c>
      <c r="G6556" s="14">
        <v>44636</v>
      </c>
      <c r="H6556" s="13" t="s">
        <v>35</v>
      </c>
    </row>
    <row r="6557" spans="1:8" ht="14.4" x14ac:dyDescent="0.3">
      <c r="A6557" s="8">
        <v>1969933</v>
      </c>
      <c r="B6557" s="11">
        <v>44634</v>
      </c>
      <c r="C6557" s="13" t="s">
        <v>232</v>
      </c>
      <c r="D6557" s="13" t="s">
        <v>8374</v>
      </c>
      <c r="E6557" s="8">
        <v>6000</v>
      </c>
      <c r="F6557" s="13" t="s">
        <v>70</v>
      </c>
      <c r="G6557" s="14">
        <v>44634</v>
      </c>
      <c r="H6557" s="13" t="s">
        <v>35</v>
      </c>
    </row>
    <row r="6558" spans="1:8" ht="14.4" x14ac:dyDescent="0.3">
      <c r="A6558" s="8">
        <v>1969934</v>
      </c>
      <c r="B6558" s="11">
        <v>44634</v>
      </c>
      <c r="C6558" s="13" t="s">
        <v>44</v>
      </c>
      <c r="D6558" s="13" t="s">
        <v>8375</v>
      </c>
      <c r="E6558" s="8">
        <v>2979.55</v>
      </c>
      <c r="F6558" s="13" t="s">
        <v>70</v>
      </c>
      <c r="G6558" s="14">
        <v>44636</v>
      </c>
      <c r="H6558" s="13" t="s">
        <v>35</v>
      </c>
    </row>
    <row r="6559" spans="1:8" ht="14.4" x14ac:dyDescent="0.3">
      <c r="A6559" s="8">
        <v>1969935</v>
      </c>
      <c r="B6559" s="11">
        <v>44634</v>
      </c>
      <c r="C6559" s="13" t="s">
        <v>1507</v>
      </c>
      <c r="D6559" s="13" t="s">
        <v>8376</v>
      </c>
      <c r="E6559" s="8">
        <v>11620.4</v>
      </c>
      <c r="F6559" s="13" t="s">
        <v>70</v>
      </c>
      <c r="G6559" s="14">
        <v>44637</v>
      </c>
      <c r="H6559" s="13" t="s">
        <v>35</v>
      </c>
    </row>
    <row r="6560" spans="1:8" ht="14.4" x14ac:dyDescent="0.3">
      <c r="A6560" s="8">
        <v>1969936</v>
      </c>
      <c r="B6560" s="11">
        <v>44634</v>
      </c>
      <c r="C6560" s="13" t="s">
        <v>1509</v>
      </c>
      <c r="D6560" s="13" t="s">
        <v>8376</v>
      </c>
      <c r="E6560" s="8">
        <v>22519.5</v>
      </c>
      <c r="F6560" s="13" t="s">
        <v>70</v>
      </c>
      <c r="G6560" s="14">
        <v>44635</v>
      </c>
      <c r="H6560" s="13" t="s">
        <v>35</v>
      </c>
    </row>
    <row r="6561" spans="1:8" ht="14.4" x14ac:dyDescent="0.3">
      <c r="A6561" s="8">
        <v>1969937</v>
      </c>
      <c r="B6561" s="11">
        <v>44634</v>
      </c>
      <c r="C6561" s="13" t="s">
        <v>17</v>
      </c>
      <c r="D6561" s="13" t="s">
        <v>8376</v>
      </c>
      <c r="E6561" s="8">
        <v>21479.19</v>
      </c>
      <c r="F6561" s="13" t="s">
        <v>70</v>
      </c>
      <c r="G6561" s="14">
        <v>44635</v>
      </c>
      <c r="H6561" s="13" t="s">
        <v>35</v>
      </c>
    </row>
    <row r="6562" spans="1:8" ht="14.4" x14ac:dyDescent="0.3">
      <c r="A6562" s="8">
        <v>1969938</v>
      </c>
      <c r="B6562" s="11">
        <v>44634</v>
      </c>
      <c r="C6562" s="13" t="s">
        <v>8377</v>
      </c>
      <c r="D6562" s="13" t="s">
        <v>8376</v>
      </c>
      <c r="E6562" s="8">
        <v>26022.67</v>
      </c>
      <c r="F6562" s="13" t="s">
        <v>70</v>
      </c>
      <c r="G6562" s="14">
        <v>44641</v>
      </c>
      <c r="H6562" s="13" t="s">
        <v>35</v>
      </c>
    </row>
    <row r="6563" spans="1:8" ht="14.4" x14ac:dyDescent="0.3">
      <c r="A6563" s="8">
        <v>1969939</v>
      </c>
      <c r="B6563" s="11">
        <v>44634</v>
      </c>
      <c r="C6563" s="13" t="s">
        <v>96</v>
      </c>
      <c r="D6563" s="13" t="s">
        <v>8376</v>
      </c>
      <c r="E6563" s="8">
        <v>19982.37</v>
      </c>
      <c r="F6563" s="13" t="s">
        <v>70</v>
      </c>
      <c r="G6563" s="14">
        <v>44638</v>
      </c>
      <c r="H6563" s="13" t="s">
        <v>35</v>
      </c>
    </row>
    <row r="6564" spans="1:8" ht="14.4" x14ac:dyDescent="0.3">
      <c r="A6564" s="8">
        <v>1969940</v>
      </c>
      <c r="B6564" s="11">
        <v>44634</v>
      </c>
      <c r="C6564" s="13" t="s">
        <v>1512</v>
      </c>
      <c r="D6564" s="13" t="s">
        <v>8376</v>
      </c>
      <c r="E6564" s="8">
        <v>18078.25</v>
      </c>
      <c r="F6564" s="13" t="s">
        <v>70</v>
      </c>
      <c r="G6564" s="14">
        <v>44636</v>
      </c>
      <c r="H6564" s="13" t="s">
        <v>35</v>
      </c>
    </row>
    <row r="6565" spans="1:8" ht="14.4" x14ac:dyDescent="0.3">
      <c r="A6565" s="8">
        <v>1969941</v>
      </c>
      <c r="B6565" s="11">
        <v>44634</v>
      </c>
      <c r="C6565" s="13" t="s">
        <v>1513</v>
      </c>
      <c r="D6565" s="13" t="s">
        <v>8376</v>
      </c>
      <c r="E6565" s="8">
        <v>20326.939999999999</v>
      </c>
      <c r="F6565" s="13" t="s">
        <v>70</v>
      </c>
      <c r="G6565" s="14">
        <v>44634</v>
      </c>
      <c r="H6565" s="13" t="s">
        <v>35</v>
      </c>
    </row>
    <row r="6566" spans="1:8" ht="14.4" x14ac:dyDescent="0.3">
      <c r="A6566" s="8">
        <v>1969942</v>
      </c>
      <c r="B6566" s="11">
        <v>44634</v>
      </c>
      <c r="C6566" s="13" t="s">
        <v>1514</v>
      </c>
      <c r="D6566" s="13" t="s">
        <v>8376</v>
      </c>
      <c r="E6566" s="8">
        <v>26022.67</v>
      </c>
      <c r="F6566" s="13" t="s">
        <v>70</v>
      </c>
      <c r="G6566" s="14">
        <v>44634</v>
      </c>
      <c r="H6566" s="13" t="s">
        <v>35</v>
      </c>
    </row>
    <row r="6567" spans="1:8" ht="14.4" x14ac:dyDescent="0.3">
      <c r="A6567" s="8">
        <v>1969943</v>
      </c>
      <c r="B6567" s="11">
        <v>44634</v>
      </c>
      <c r="C6567" s="13" t="s">
        <v>392</v>
      </c>
      <c r="D6567" s="13" t="s">
        <v>8378</v>
      </c>
      <c r="E6567" s="8">
        <v>10000</v>
      </c>
      <c r="F6567" s="13" t="s">
        <v>70</v>
      </c>
      <c r="G6567" s="14">
        <v>44636</v>
      </c>
      <c r="H6567" s="13" t="s">
        <v>35</v>
      </c>
    </row>
    <row r="6568" spans="1:8" ht="14.4" x14ac:dyDescent="0.3">
      <c r="A6568" s="8">
        <v>1969944</v>
      </c>
      <c r="B6568" s="11">
        <v>44634</v>
      </c>
      <c r="C6568" s="13" t="s">
        <v>393</v>
      </c>
      <c r="D6568" s="13" t="s">
        <v>8379</v>
      </c>
      <c r="E6568" s="8">
        <v>5000</v>
      </c>
      <c r="F6568" s="13" t="s">
        <v>70</v>
      </c>
      <c r="G6568" s="14">
        <v>44636</v>
      </c>
      <c r="H6568" s="13" t="s">
        <v>35</v>
      </c>
    </row>
    <row r="6569" spans="1:8" ht="14.4" x14ac:dyDescent="0.3">
      <c r="A6569" s="8">
        <v>1969945</v>
      </c>
      <c r="B6569" s="11">
        <v>44634</v>
      </c>
      <c r="C6569" s="13" t="s">
        <v>394</v>
      </c>
      <c r="D6569" s="13" t="s">
        <v>8379</v>
      </c>
      <c r="E6569" s="8">
        <v>3000</v>
      </c>
      <c r="F6569" s="13" t="s">
        <v>70</v>
      </c>
      <c r="G6569" s="14">
        <v>44636</v>
      </c>
      <c r="H6569" s="13" t="s">
        <v>35</v>
      </c>
    </row>
    <row r="6570" spans="1:8" ht="14.4" x14ac:dyDescent="0.3">
      <c r="A6570" s="8">
        <v>1969946</v>
      </c>
      <c r="B6570" s="11">
        <v>44634</v>
      </c>
      <c r="C6570" s="13" t="s">
        <v>295</v>
      </c>
      <c r="D6570" s="13" t="s">
        <v>8380</v>
      </c>
      <c r="E6570" s="8">
        <v>20000</v>
      </c>
      <c r="F6570" s="13" t="s">
        <v>70</v>
      </c>
      <c r="G6570" s="14">
        <v>44638</v>
      </c>
      <c r="H6570" s="13" t="s">
        <v>35</v>
      </c>
    </row>
    <row r="6571" spans="1:8" ht="14.4" x14ac:dyDescent="0.3">
      <c r="A6571" s="8">
        <v>1969947</v>
      </c>
      <c r="B6571" s="11">
        <v>44634</v>
      </c>
      <c r="C6571" s="13" t="s">
        <v>2401</v>
      </c>
      <c r="D6571" s="13" t="s">
        <v>8380</v>
      </c>
      <c r="E6571" s="8">
        <v>6000</v>
      </c>
      <c r="F6571" s="13" t="s">
        <v>70</v>
      </c>
      <c r="G6571" s="14">
        <v>44636</v>
      </c>
      <c r="H6571" s="13" t="s">
        <v>35</v>
      </c>
    </row>
    <row r="6572" spans="1:8" ht="14.4" x14ac:dyDescent="0.3">
      <c r="A6572" s="8">
        <v>1969948</v>
      </c>
      <c r="B6572" s="11">
        <v>44634</v>
      </c>
      <c r="C6572" s="13" t="s">
        <v>298</v>
      </c>
      <c r="D6572" s="13" t="s">
        <v>8380</v>
      </c>
      <c r="E6572" s="8">
        <v>5000</v>
      </c>
      <c r="F6572" s="13" t="s">
        <v>70</v>
      </c>
      <c r="G6572" s="14">
        <v>44636</v>
      </c>
      <c r="H6572" s="13" t="s">
        <v>35</v>
      </c>
    </row>
    <row r="6573" spans="1:8" ht="14.4" x14ac:dyDescent="0.3">
      <c r="A6573" s="8">
        <v>1969949</v>
      </c>
      <c r="B6573" s="11">
        <v>44634</v>
      </c>
      <c r="C6573" s="13" t="s">
        <v>299</v>
      </c>
      <c r="D6573" s="13" t="s">
        <v>8380</v>
      </c>
      <c r="E6573" s="8">
        <v>3000</v>
      </c>
      <c r="F6573" s="13" t="s">
        <v>70</v>
      </c>
      <c r="G6573" s="14">
        <v>44636</v>
      </c>
      <c r="H6573" s="13" t="s">
        <v>35</v>
      </c>
    </row>
    <row r="6574" spans="1:8" ht="14.4" x14ac:dyDescent="0.3">
      <c r="A6574" s="8">
        <v>1969950</v>
      </c>
      <c r="B6574" s="11">
        <v>44634</v>
      </c>
      <c r="C6574" s="13" t="s">
        <v>334</v>
      </c>
      <c r="D6574" s="13" t="s">
        <v>8381</v>
      </c>
      <c r="E6574" s="8">
        <v>10000</v>
      </c>
      <c r="F6574" s="13" t="s">
        <v>70</v>
      </c>
      <c r="G6574" s="14">
        <v>44636</v>
      </c>
      <c r="H6574" s="13" t="s">
        <v>35</v>
      </c>
    </row>
    <row r="6575" spans="1:8" ht="14.4" x14ac:dyDescent="0.3">
      <c r="A6575" s="8">
        <v>1969951</v>
      </c>
      <c r="B6575" s="11">
        <v>44634</v>
      </c>
      <c r="C6575" s="13" t="s">
        <v>8382</v>
      </c>
      <c r="D6575" s="13" t="s">
        <v>8381</v>
      </c>
      <c r="E6575" s="8">
        <v>20000</v>
      </c>
      <c r="F6575" s="13" t="s">
        <v>70</v>
      </c>
      <c r="G6575" s="14">
        <v>44636</v>
      </c>
      <c r="H6575" s="13" t="s">
        <v>35</v>
      </c>
    </row>
    <row r="6576" spans="1:8" ht="14.4" x14ac:dyDescent="0.3">
      <c r="A6576" s="8">
        <v>1969952</v>
      </c>
      <c r="B6576" s="11">
        <v>44634</v>
      </c>
      <c r="C6576" s="13" t="s">
        <v>338</v>
      </c>
      <c r="D6576" s="13" t="s">
        <v>8381</v>
      </c>
      <c r="E6576" s="8">
        <v>6000</v>
      </c>
      <c r="F6576" s="13" t="s">
        <v>70</v>
      </c>
      <c r="G6576" s="14">
        <v>44636</v>
      </c>
      <c r="H6576" s="13" t="s">
        <v>35</v>
      </c>
    </row>
    <row r="6577" spans="1:8" ht="14.4" x14ac:dyDescent="0.3">
      <c r="A6577" s="8">
        <v>1969953</v>
      </c>
      <c r="B6577" s="11">
        <v>44634</v>
      </c>
      <c r="C6577" s="13" t="s">
        <v>563</v>
      </c>
      <c r="D6577" s="13" t="s">
        <v>8383</v>
      </c>
      <c r="E6577" s="8">
        <v>5000</v>
      </c>
      <c r="F6577" s="13" t="s">
        <v>70</v>
      </c>
      <c r="G6577" s="14">
        <v>44638</v>
      </c>
      <c r="H6577" s="13" t="s">
        <v>35</v>
      </c>
    </row>
    <row r="6578" spans="1:8" ht="14.4" x14ac:dyDescent="0.3">
      <c r="A6578" s="8">
        <v>1969954</v>
      </c>
      <c r="B6578" s="11">
        <v>44634</v>
      </c>
      <c r="C6578" s="13" t="s">
        <v>300</v>
      </c>
      <c r="D6578" s="13" t="s">
        <v>8384</v>
      </c>
      <c r="E6578" s="8">
        <v>6000</v>
      </c>
      <c r="F6578" s="13" t="s">
        <v>70</v>
      </c>
      <c r="G6578" s="14">
        <v>44641</v>
      </c>
      <c r="H6578" s="13" t="s">
        <v>35</v>
      </c>
    </row>
    <row r="6579" spans="1:8" ht="14.4" x14ac:dyDescent="0.3">
      <c r="A6579" s="8">
        <v>1969955</v>
      </c>
      <c r="B6579" s="11">
        <v>44634</v>
      </c>
      <c r="C6579" s="13" t="s">
        <v>567</v>
      </c>
      <c r="D6579" s="13" t="s">
        <v>8385</v>
      </c>
      <c r="E6579" s="8">
        <v>6000</v>
      </c>
      <c r="F6579" s="13" t="s">
        <v>70</v>
      </c>
      <c r="G6579" s="14">
        <v>44644</v>
      </c>
      <c r="H6579" s="13" t="s">
        <v>35</v>
      </c>
    </row>
    <row r="6580" spans="1:8" ht="14.4" x14ac:dyDescent="0.3">
      <c r="A6580" s="8">
        <v>1969956</v>
      </c>
      <c r="B6580" s="11">
        <v>44634</v>
      </c>
      <c r="C6580" s="13" t="s">
        <v>344</v>
      </c>
      <c r="D6580" s="13" t="s">
        <v>8381</v>
      </c>
      <c r="E6580" s="8">
        <v>3000</v>
      </c>
      <c r="F6580" s="13" t="s">
        <v>70</v>
      </c>
      <c r="G6580" s="14">
        <v>44636</v>
      </c>
      <c r="H6580" s="13" t="s">
        <v>35</v>
      </c>
    </row>
    <row r="6581" spans="1:8" ht="14.4" x14ac:dyDescent="0.3">
      <c r="A6581" s="8">
        <v>1969957</v>
      </c>
      <c r="B6581" s="11">
        <v>44634</v>
      </c>
      <c r="C6581" s="13" t="s">
        <v>390</v>
      </c>
      <c r="D6581" s="13" t="s">
        <v>8386</v>
      </c>
      <c r="E6581" s="8">
        <v>20000</v>
      </c>
      <c r="F6581" s="13" t="s">
        <v>70</v>
      </c>
      <c r="G6581" s="14">
        <v>44636</v>
      </c>
      <c r="H6581" s="13" t="s">
        <v>35</v>
      </c>
    </row>
    <row r="6582" spans="1:8" ht="14.4" x14ac:dyDescent="0.3">
      <c r="A6582" s="8">
        <v>1969958</v>
      </c>
      <c r="B6582" s="11">
        <v>44634</v>
      </c>
      <c r="C6582" s="13" t="s">
        <v>387</v>
      </c>
      <c r="D6582" s="13" t="s">
        <v>8386</v>
      </c>
      <c r="E6582" s="8">
        <v>10000</v>
      </c>
      <c r="F6582" s="13" t="s">
        <v>70</v>
      </c>
      <c r="G6582" s="14">
        <v>44636</v>
      </c>
      <c r="H6582" s="13" t="s">
        <v>35</v>
      </c>
    </row>
    <row r="6583" spans="1:8" ht="14.4" x14ac:dyDescent="0.3">
      <c r="A6583" s="8">
        <v>1969959</v>
      </c>
      <c r="B6583" s="11">
        <v>44634</v>
      </c>
      <c r="C6583" s="13" t="s">
        <v>389</v>
      </c>
      <c r="D6583" s="13" t="s">
        <v>8386</v>
      </c>
      <c r="E6583" s="8">
        <v>5000</v>
      </c>
      <c r="F6583" s="13" t="s">
        <v>70</v>
      </c>
      <c r="G6583" s="14">
        <v>44636</v>
      </c>
      <c r="H6583" s="13" t="s">
        <v>35</v>
      </c>
    </row>
    <row r="6584" spans="1:8" ht="14.4" x14ac:dyDescent="0.3">
      <c r="A6584" s="8">
        <v>1969960</v>
      </c>
      <c r="B6584" s="11">
        <v>44634</v>
      </c>
      <c r="C6584" s="13" t="s">
        <v>340</v>
      </c>
      <c r="D6584" s="13" t="s">
        <v>8381</v>
      </c>
      <c r="E6584" s="8">
        <v>5000</v>
      </c>
      <c r="F6584" s="13" t="s">
        <v>70</v>
      </c>
      <c r="G6584" s="14">
        <v>44636</v>
      </c>
      <c r="H6584" s="13" t="s">
        <v>35</v>
      </c>
    </row>
    <row r="6585" spans="1:8" ht="14.4" x14ac:dyDescent="0.3">
      <c r="A6585" s="8">
        <v>1969961</v>
      </c>
      <c r="B6585" s="11">
        <v>44634</v>
      </c>
      <c r="C6585" s="13" t="s">
        <v>81</v>
      </c>
      <c r="D6585" s="13" t="s">
        <v>8383</v>
      </c>
      <c r="E6585" s="8">
        <v>3000</v>
      </c>
      <c r="F6585" s="13" t="s">
        <v>70</v>
      </c>
      <c r="G6585" s="14">
        <v>44638</v>
      </c>
      <c r="H6585" s="13" t="s">
        <v>35</v>
      </c>
    </row>
    <row r="6586" spans="1:8" ht="14.4" x14ac:dyDescent="0.3">
      <c r="A6586" s="8">
        <v>1969962</v>
      </c>
      <c r="B6586" s="11">
        <v>44634</v>
      </c>
      <c r="C6586" s="13" t="s">
        <v>342</v>
      </c>
      <c r="D6586" s="13" t="s">
        <v>8381</v>
      </c>
      <c r="E6586" s="8">
        <v>3000</v>
      </c>
      <c r="F6586" s="13" t="s">
        <v>70</v>
      </c>
      <c r="G6586" s="14">
        <v>44636</v>
      </c>
      <c r="H6586" s="13" t="s">
        <v>35</v>
      </c>
    </row>
    <row r="6587" spans="1:8" ht="14.4" x14ac:dyDescent="0.3">
      <c r="A6587" s="8">
        <v>1969963</v>
      </c>
      <c r="B6587" s="11">
        <v>44634</v>
      </c>
      <c r="C6587" s="13" t="s">
        <v>339</v>
      </c>
      <c r="D6587" s="13" t="s">
        <v>8381</v>
      </c>
      <c r="E6587" s="8">
        <v>5000</v>
      </c>
      <c r="F6587" s="13" t="s">
        <v>70</v>
      </c>
      <c r="G6587" s="14">
        <v>44636</v>
      </c>
      <c r="H6587" s="13" t="s">
        <v>35</v>
      </c>
    </row>
    <row r="6588" spans="1:8" ht="14.4" x14ac:dyDescent="0.3">
      <c r="A6588" s="8">
        <v>1969964</v>
      </c>
      <c r="B6588" s="11">
        <v>44634</v>
      </c>
      <c r="C6588" s="13" t="s">
        <v>390</v>
      </c>
      <c r="D6588" s="13" t="s">
        <v>8379</v>
      </c>
      <c r="E6588" s="8">
        <v>20000</v>
      </c>
      <c r="F6588" s="13" t="s">
        <v>70</v>
      </c>
      <c r="G6588" s="14">
        <v>44636</v>
      </c>
      <c r="H6588" s="13" t="s">
        <v>35</v>
      </c>
    </row>
    <row r="6589" spans="1:8" ht="14.4" x14ac:dyDescent="0.3">
      <c r="A6589" s="8">
        <v>1969965</v>
      </c>
      <c r="B6589" s="11">
        <v>44634</v>
      </c>
      <c r="C6589" s="13" t="s">
        <v>872</v>
      </c>
      <c r="D6589" s="13" t="s">
        <v>8383</v>
      </c>
      <c r="E6589" s="8">
        <v>10000</v>
      </c>
      <c r="F6589" s="13" t="s">
        <v>70</v>
      </c>
      <c r="G6589" s="14">
        <v>44742</v>
      </c>
      <c r="H6589" s="13" t="s">
        <v>35</v>
      </c>
    </row>
    <row r="6590" spans="1:8" ht="14.4" x14ac:dyDescent="0.3">
      <c r="A6590" s="8">
        <v>1969966</v>
      </c>
      <c r="B6590" s="11">
        <v>44634</v>
      </c>
      <c r="C6590" s="13" t="s">
        <v>2365</v>
      </c>
      <c r="D6590" s="13" t="s">
        <v>8381</v>
      </c>
      <c r="E6590" s="8">
        <v>5000</v>
      </c>
      <c r="F6590" s="13" t="s">
        <v>70</v>
      </c>
      <c r="G6590" s="14">
        <v>44636</v>
      </c>
      <c r="H6590" s="13" t="s">
        <v>35</v>
      </c>
    </row>
    <row r="6591" spans="1:8" ht="14.4" x14ac:dyDescent="0.3">
      <c r="A6591" s="8">
        <v>1969967</v>
      </c>
      <c r="B6591" s="11">
        <v>44634</v>
      </c>
      <c r="C6591" s="13" t="s">
        <v>79</v>
      </c>
      <c r="D6591" s="13" t="s">
        <v>8383</v>
      </c>
      <c r="E6591" s="8">
        <v>20000</v>
      </c>
      <c r="F6591" s="13" t="s">
        <v>70</v>
      </c>
      <c r="G6591" s="14">
        <v>44638</v>
      </c>
      <c r="H6591" s="13" t="s">
        <v>35</v>
      </c>
    </row>
    <row r="6592" spans="1:8" ht="14.4" x14ac:dyDescent="0.3">
      <c r="A6592" s="8">
        <v>1969968</v>
      </c>
      <c r="B6592" s="11">
        <v>44634</v>
      </c>
      <c r="C6592" s="13" t="s">
        <v>265</v>
      </c>
      <c r="D6592" s="13" t="s">
        <v>8387</v>
      </c>
      <c r="E6592" s="8">
        <v>40464</v>
      </c>
      <c r="F6592" s="13" t="s">
        <v>70</v>
      </c>
      <c r="G6592" s="14">
        <v>44636</v>
      </c>
      <c r="H6592" s="13" t="s">
        <v>35</v>
      </c>
    </row>
    <row r="6593" spans="1:8" ht="14.4" x14ac:dyDescent="0.3">
      <c r="A6593" s="8">
        <v>1969969</v>
      </c>
      <c r="B6593" s="11">
        <v>44634</v>
      </c>
      <c r="C6593" s="13" t="s">
        <v>265</v>
      </c>
      <c r="D6593" s="13" t="s">
        <v>8388</v>
      </c>
      <c r="E6593" s="8">
        <v>158615.70000000001</v>
      </c>
      <c r="F6593" s="13" t="s">
        <v>70</v>
      </c>
      <c r="G6593" s="14">
        <v>44636</v>
      </c>
      <c r="H6593" s="13" t="s">
        <v>35</v>
      </c>
    </row>
    <row r="6594" spans="1:8" ht="14.4" x14ac:dyDescent="0.3">
      <c r="A6594" s="8">
        <v>1969970</v>
      </c>
      <c r="B6594" s="11">
        <v>44634</v>
      </c>
      <c r="C6594" s="13" t="s">
        <v>1286</v>
      </c>
      <c r="D6594" s="13" t="s">
        <v>8389</v>
      </c>
      <c r="E6594" s="8">
        <v>15861.69</v>
      </c>
      <c r="F6594" s="13" t="s">
        <v>70</v>
      </c>
      <c r="G6594" s="14">
        <v>44638</v>
      </c>
      <c r="H6594" s="13" t="s">
        <v>35</v>
      </c>
    </row>
    <row r="6595" spans="1:8" ht="14.4" x14ac:dyDescent="0.3">
      <c r="A6595" s="8">
        <v>1969971</v>
      </c>
      <c r="B6595" s="11">
        <v>44634</v>
      </c>
      <c r="C6595" s="13" t="s">
        <v>1286</v>
      </c>
      <c r="D6595" s="13" t="s">
        <v>8390</v>
      </c>
      <c r="E6595" s="8">
        <v>2016.4</v>
      </c>
      <c r="F6595" s="13" t="s">
        <v>70</v>
      </c>
      <c r="G6595" s="14">
        <v>44638</v>
      </c>
      <c r="H6595" s="13" t="s">
        <v>35</v>
      </c>
    </row>
    <row r="6596" spans="1:8" ht="14.4" x14ac:dyDescent="0.3">
      <c r="A6596" s="8">
        <v>1969972</v>
      </c>
      <c r="B6596" s="11">
        <v>44634</v>
      </c>
      <c r="C6596" s="13" t="s">
        <v>1286</v>
      </c>
      <c r="D6596" s="13" t="s">
        <v>8391</v>
      </c>
      <c r="E6596" s="8">
        <v>9566.64</v>
      </c>
      <c r="F6596" s="13" t="s">
        <v>70</v>
      </c>
      <c r="G6596" s="14">
        <v>44638</v>
      </c>
      <c r="H6596" s="13" t="s">
        <v>35</v>
      </c>
    </row>
    <row r="6597" spans="1:8" ht="14.4" x14ac:dyDescent="0.3">
      <c r="A6597" s="8">
        <v>1969973</v>
      </c>
      <c r="B6597" s="11">
        <v>44634</v>
      </c>
      <c r="C6597" s="13" t="s">
        <v>1286</v>
      </c>
      <c r="D6597" s="13" t="s">
        <v>8391</v>
      </c>
      <c r="E6597" s="8">
        <v>3984.31</v>
      </c>
      <c r="F6597" s="13" t="s">
        <v>70</v>
      </c>
      <c r="G6597" s="14">
        <v>44638</v>
      </c>
      <c r="H6597" s="13" t="s">
        <v>35</v>
      </c>
    </row>
    <row r="6598" spans="1:8" ht="14.4" x14ac:dyDescent="0.3">
      <c r="A6598" s="8">
        <v>1969974</v>
      </c>
      <c r="B6598" s="11">
        <v>44634</v>
      </c>
      <c r="C6598" s="13" t="s">
        <v>1286</v>
      </c>
      <c r="D6598" s="13" t="s">
        <v>8391</v>
      </c>
      <c r="E6598" s="8">
        <v>5614.03</v>
      </c>
      <c r="F6598" s="13" t="s">
        <v>70</v>
      </c>
      <c r="G6598" s="14">
        <v>44638</v>
      </c>
      <c r="H6598" s="13" t="s">
        <v>35</v>
      </c>
    </row>
    <row r="6599" spans="1:8" ht="14.4" x14ac:dyDescent="0.3">
      <c r="A6599" s="8">
        <v>1969975</v>
      </c>
      <c r="B6599" s="11">
        <v>44634</v>
      </c>
      <c r="C6599" s="13" t="s">
        <v>1286</v>
      </c>
      <c r="D6599" s="13" t="s">
        <v>8392</v>
      </c>
      <c r="E6599" s="8">
        <v>144227.67000000001</v>
      </c>
      <c r="F6599" s="13" t="s">
        <v>70</v>
      </c>
      <c r="G6599" s="14">
        <v>44638</v>
      </c>
      <c r="H6599" s="13" t="s">
        <v>35</v>
      </c>
    </row>
    <row r="6600" spans="1:8" ht="14.4" x14ac:dyDescent="0.3">
      <c r="A6600" s="8">
        <v>1969976</v>
      </c>
      <c r="B6600" s="11">
        <v>44634</v>
      </c>
      <c r="C6600" s="13" t="s">
        <v>361</v>
      </c>
      <c r="D6600" s="13" t="s">
        <v>8393</v>
      </c>
      <c r="E6600" s="8">
        <v>37605.9</v>
      </c>
      <c r="F6600" s="13" t="s">
        <v>70</v>
      </c>
      <c r="G6600" s="14">
        <v>44636</v>
      </c>
      <c r="H6600" s="13" t="s">
        <v>35</v>
      </c>
    </row>
    <row r="6601" spans="1:8" ht="14.4" x14ac:dyDescent="0.3">
      <c r="A6601" s="8">
        <v>1969977</v>
      </c>
      <c r="B6601" s="11">
        <v>44634</v>
      </c>
      <c r="C6601" s="13" t="s">
        <v>528</v>
      </c>
      <c r="D6601" s="13" t="s">
        <v>8394</v>
      </c>
      <c r="E6601" s="8">
        <v>5000</v>
      </c>
      <c r="F6601" s="13" t="s">
        <v>70</v>
      </c>
      <c r="G6601" s="14">
        <v>44647</v>
      </c>
      <c r="H6601" s="13" t="s">
        <v>35</v>
      </c>
    </row>
    <row r="6602" spans="1:8" ht="14.4" x14ac:dyDescent="0.3">
      <c r="A6602" s="8">
        <v>1969978</v>
      </c>
      <c r="B6602" s="11">
        <v>44634</v>
      </c>
      <c r="C6602" s="13" t="s">
        <v>361</v>
      </c>
      <c r="D6602" s="13" t="s">
        <v>8395</v>
      </c>
      <c r="E6602" s="8">
        <v>15442.48</v>
      </c>
      <c r="F6602" s="13" t="s">
        <v>70</v>
      </c>
      <c r="G6602" s="14">
        <v>44636</v>
      </c>
      <c r="H6602" s="13" t="s">
        <v>35</v>
      </c>
    </row>
    <row r="6603" spans="1:8" ht="14.4" x14ac:dyDescent="0.3">
      <c r="A6603" s="8">
        <v>1969979</v>
      </c>
      <c r="B6603" s="11">
        <v>44634</v>
      </c>
      <c r="C6603" s="13" t="s">
        <v>606</v>
      </c>
      <c r="D6603" s="13" t="s">
        <v>8394</v>
      </c>
      <c r="E6603" s="8">
        <v>10000</v>
      </c>
      <c r="F6603" s="13" t="s">
        <v>70</v>
      </c>
      <c r="G6603" s="14">
        <v>44637</v>
      </c>
      <c r="H6603" s="13" t="s">
        <v>35</v>
      </c>
    </row>
    <row r="6604" spans="1:8" ht="14.4" x14ac:dyDescent="0.3">
      <c r="A6604" s="8">
        <v>1969980</v>
      </c>
      <c r="B6604" s="11">
        <v>44634</v>
      </c>
      <c r="C6604" s="13" t="s">
        <v>361</v>
      </c>
      <c r="D6604" s="13" t="s">
        <v>8396</v>
      </c>
      <c r="E6604" s="8">
        <v>24926.54</v>
      </c>
      <c r="F6604" s="13" t="s">
        <v>70</v>
      </c>
      <c r="G6604" s="14">
        <v>44636</v>
      </c>
      <c r="H6604" s="13" t="s">
        <v>35</v>
      </c>
    </row>
    <row r="6605" spans="1:8" ht="14.4" x14ac:dyDescent="0.3">
      <c r="A6605" s="8">
        <v>1969981</v>
      </c>
      <c r="B6605" s="11">
        <v>44634</v>
      </c>
      <c r="C6605" s="13" t="s">
        <v>671</v>
      </c>
      <c r="D6605" s="13" t="s">
        <v>8394</v>
      </c>
      <c r="E6605" s="8">
        <v>20000</v>
      </c>
      <c r="F6605" s="13" t="s">
        <v>70</v>
      </c>
      <c r="G6605" s="14">
        <v>44637</v>
      </c>
      <c r="H6605" s="13" t="s">
        <v>35</v>
      </c>
    </row>
    <row r="6606" spans="1:8" ht="14.4" x14ac:dyDescent="0.3">
      <c r="A6606" s="8">
        <v>1969982</v>
      </c>
      <c r="B6606" s="11">
        <v>44634</v>
      </c>
      <c r="C6606" s="13" t="s">
        <v>530</v>
      </c>
      <c r="D6606" s="13" t="s">
        <v>8394</v>
      </c>
      <c r="E6606" s="8">
        <v>3000</v>
      </c>
      <c r="F6606" s="13" t="s">
        <v>70</v>
      </c>
      <c r="G6606" s="14">
        <v>44637</v>
      </c>
      <c r="H6606" s="13" t="s">
        <v>35</v>
      </c>
    </row>
    <row r="6607" spans="1:8" ht="14.4" x14ac:dyDescent="0.3">
      <c r="A6607" s="8">
        <v>1969983</v>
      </c>
      <c r="B6607" s="11">
        <v>44634</v>
      </c>
      <c r="C6607" s="13" t="s">
        <v>98</v>
      </c>
      <c r="D6607" s="13" t="s">
        <v>8397</v>
      </c>
      <c r="E6607" s="8">
        <v>3000</v>
      </c>
      <c r="F6607" s="13" t="s">
        <v>70</v>
      </c>
      <c r="G6607" s="14">
        <v>44642</v>
      </c>
      <c r="H6607" s="13" t="s">
        <v>35</v>
      </c>
    </row>
    <row r="6608" spans="1:8" ht="14.4" x14ac:dyDescent="0.3">
      <c r="A6608" s="8">
        <v>1969984</v>
      </c>
      <c r="B6608" s="11">
        <v>44634</v>
      </c>
      <c r="C6608" s="13" t="s">
        <v>565</v>
      </c>
      <c r="D6608" s="13" t="s">
        <v>8383</v>
      </c>
      <c r="E6608" s="8">
        <v>6000</v>
      </c>
      <c r="F6608" s="13" t="s">
        <v>70</v>
      </c>
      <c r="G6608" s="14">
        <v>44641</v>
      </c>
      <c r="H6608" s="13" t="s">
        <v>35</v>
      </c>
    </row>
    <row r="6609" spans="1:8" ht="14.4" x14ac:dyDescent="0.3">
      <c r="A6609" s="8">
        <v>1969985</v>
      </c>
      <c r="B6609" s="11">
        <v>44634</v>
      </c>
      <c r="C6609" s="13" t="s">
        <v>4110</v>
      </c>
      <c r="D6609" s="13" t="s">
        <v>8383</v>
      </c>
      <c r="E6609" s="8">
        <v>6000</v>
      </c>
      <c r="F6609" s="13" t="s">
        <v>70</v>
      </c>
      <c r="G6609" s="14">
        <v>44648</v>
      </c>
      <c r="H6609" s="13" t="s">
        <v>35</v>
      </c>
    </row>
    <row r="6610" spans="1:8" ht="14.4" x14ac:dyDescent="0.3">
      <c r="A6610" s="8">
        <v>1969986</v>
      </c>
      <c r="B6610" s="11">
        <v>44634</v>
      </c>
      <c r="C6610" s="13" t="s">
        <v>562</v>
      </c>
      <c r="D6610" s="13" t="s">
        <v>8383</v>
      </c>
      <c r="E6610" s="8">
        <v>6000</v>
      </c>
      <c r="F6610" s="13" t="s">
        <v>70</v>
      </c>
      <c r="G6610" s="14">
        <v>44641</v>
      </c>
      <c r="H6610" s="13" t="s">
        <v>35</v>
      </c>
    </row>
    <row r="6611" spans="1:8" ht="14.4" x14ac:dyDescent="0.3">
      <c r="A6611" s="8">
        <v>1969987</v>
      </c>
      <c r="B6611" s="11">
        <v>44634</v>
      </c>
      <c r="C6611" s="13" t="s">
        <v>789</v>
      </c>
      <c r="D6611" s="13" t="s">
        <v>8383</v>
      </c>
      <c r="E6611" s="8">
        <v>6000</v>
      </c>
      <c r="F6611" s="13" t="s">
        <v>70</v>
      </c>
      <c r="G6611" s="14">
        <v>44649</v>
      </c>
      <c r="H6611" s="13" t="s">
        <v>35</v>
      </c>
    </row>
    <row r="6612" spans="1:8" ht="14.4" x14ac:dyDescent="0.3">
      <c r="A6612" s="8">
        <v>1969988</v>
      </c>
      <c r="B6612" s="11">
        <v>44634</v>
      </c>
      <c r="C6612" s="13" t="s">
        <v>8398</v>
      </c>
      <c r="D6612" s="13" t="s">
        <v>8399</v>
      </c>
      <c r="E6612" s="8">
        <v>6000</v>
      </c>
      <c r="F6612" s="13" t="s">
        <v>70</v>
      </c>
      <c r="G6612" s="14">
        <v>44637</v>
      </c>
      <c r="H6612" s="13" t="s">
        <v>35</v>
      </c>
    </row>
    <row r="6613" spans="1:8" ht="14.4" x14ac:dyDescent="0.3">
      <c r="A6613" s="8">
        <v>1969989</v>
      </c>
      <c r="B6613" s="11">
        <v>44634</v>
      </c>
      <c r="C6613" s="13" t="s">
        <v>8400</v>
      </c>
      <c r="D6613" s="13" t="s">
        <v>8401</v>
      </c>
      <c r="E6613" s="8">
        <v>6000</v>
      </c>
      <c r="F6613" s="13" t="s">
        <v>70</v>
      </c>
      <c r="G6613" s="14">
        <v>44642</v>
      </c>
      <c r="H6613" s="13" t="s">
        <v>35</v>
      </c>
    </row>
    <row r="6614" spans="1:8" ht="14.4" x14ac:dyDescent="0.3">
      <c r="A6614" s="8">
        <v>1969990</v>
      </c>
      <c r="B6614" s="11">
        <v>44634</v>
      </c>
      <c r="C6614" s="13" t="s">
        <v>326</v>
      </c>
      <c r="D6614" s="13" t="s">
        <v>8397</v>
      </c>
      <c r="E6614" s="8">
        <v>3000</v>
      </c>
      <c r="F6614" s="13" t="s">
        <v>70</v>
      </c>
      <c r="G6614" s="14">
        <v>44678</v>
      </c>
      <c r="H6614" s="13" t="s">
        <v>35</v>
      </c>
    </row>
    <row r="6615" spans="1:8" ht="14.4" x14ac:dyDescent="0.3">
      <c r="A6615" s="8">
        <v>1969991</v>
      </c>
      <c r="B6615" s="11">
        <v>44634</v>
      </c>
      <c r="C6615" s="13" t="s">
        <v>92</v>
      </c>
      <c r="D6615" s="13" t="s">
        <v>8397</v>
      </c>
      <c r="E6615" s="8">
        <v>3000</v>
      </c>
      <c r="F6615" s="13" t="s">
        <v>70</v>
      </c>
      <c r="G6615" s="14">
        <v>44641</v>
      </c>
      <c r="H6615" s="13" t="s">
        <v>35</v>
      </c>
    </row>
    <row r="6616" spans="1:8" ht="14.4" x14ac:dyDescent="0.3">
      <c r="A6616" s="8">
        <v>1969992</v>
      </c>
      <c r="B6616" s="11">
        <v>44634</v>
      </c>
      <c r="C6616" s="13" t="s">
        <v>91</v>
      </c>
      <c r="D6616" s="13" t="s">
        <v>8397</v>
      </c>
      <c r="E6616" s="8">
        <v>3000</v>
      </c>
      <c r="F6616" s="13" t="s">
        <v>70</v>
      </c>
      <c r="G6616" s="14">
        <v>44641</v>
      </c>
      <c r="H6616" s="13" t="s">
        <v>35</v>
      </c>
    </row>
    <row r="6617" spans="1:8" ht="14.4" x14ac:dyDescent="0.3">
      <c r="A6617" s="8">
        <v>1969993</v>
      </c>
      <c r="B6617" s="11">
        <v>44634</v>
      </c>
      <c r="C6617" s="13" t="s">
        <v>329</v>
      </c>
      <c r="D6617" s="13" t="s">
        <v>8397</v>
      </c>
      <c r="E6617" s="8">
        <v>3000</v>
      </c>
      <c r="F6617" s="13" t="s">
        <v>70</v>
      </c>
      <c r="G6617" s="14">
        <v>44641</v>
      </c>
      <c r="H6617" s="13" t="s">
        <v>35</v>
      </c>
    </row>
    <row r="6618" spans="1:8" ht="14.4" x14ac:dyDescent="0.3">
      <c r="A6618" s="8">
        <v>1969994</v>
      </c>
      <c r="B6618" s="11">
        <v>44634</v>
      </c>
      <c r="C6618" s="13" t="s">
        <v>88</v>
      </c>
      <c r="D6618" s="13" t="s">
        <v>8397</v>
      </c>
      <c r="E6618" s="8">
        <v>3000</v>
      </c>
      <c r="F6618" s="13" t="s">
        <v>70</v>
      </c>
      <c r="G6618" s="14">
        <v>44641</v>
      </c>
      <c r="H6618" s="13" t="s">
        <v>35</v>
      </c>
    </row>
    <row r="6619" spans="1:8" ht="14.4" x14ac:dyDescent="0.3">
      <c r="A6619" s="8">
        <v>1969995</v>
      </c>
      <c r="B6619" s="11">
        <v>44634</v>
      </c>
      <c r="C6619" s="13" t="s">
        <v>90</v>
      </c>
      <c r="D6619" s="13" t="s">
        <v>8397</v>
      </c>
      <c r="E6619" s="8">
        <v>3000</v>
      </c>
      <c r="F6619" s="13" t="s">
        <v>70</v>
      </c>
      <c r="G6619" s="14">
        <v>44641</v>
      </c>
      <c r="H6619" s="13" t="s">
        <v>35</v>
      </c>
    </row>
    <row r="6620" spans="1:8" ht="14.4" x14ac:dyDescent="0.3">
      <c r="A6620" s="8">
        <v>1969996</v>
      </c>
      <c r="B6620" s="11">
        <v>44634</v>
      </c>
      <c r="C6620" s="13" t="s">
        <v>87</v>
      </c>
      <c r="D6620" s="13" t="s">
        <v>8397</v>
      </c>
      <c r="E6620" s="8">
        <v>3000</v>
      </c>
      <c r="F6620" s="13" t="s">
        <v>70</v>
      </c>
      <c r="G6620" s="14">
        <v>44641</v>
      </c>
      <c r="H6620" s="13" t="s">
        <v>35</v>
      </c>
    </row>
    <row r="6621" spans="1:8" ht="14.4" x14ac:dyDescent="0.3">
      <c r="A6621" s="8">
        <v>1969997</v>
      </c>
      <c r="B6621" s="11">
        <v>44634</v>
      </c>
      <c r="C6621" s="13" t="s">
        <v>1286</v>
      </c>
      <c r="D6621" s="13" t="s">
        <v>8402</v>
      </c>
      <c r="E6621" s="8">
        <v>184283.32</v>
      </c>
      <c r="F6621" s="13" t="s">
        <v>70</v>
      </c>
      <c r="G6621" s="14">
        <v>44638</v>
      </c>
      <c r="H6621" s="13" t="s">
        <v>35</v>
      </c>
    </row>
    <row r="6622" spans="1:8" ht="14.4" x14ac:dyDescent="0.3">
      <c r="A6622" s="8">
        <v>1969998</v>
      </c>
      <c r="B6622" s="11">
        <v>44634</v>
      </c>
      <c r="C6622" s="13" t="s">
        <v>2798</v>
      </c>
      <c r="D6622" s="13" t="s">
        <v>8403</v>
      </c>
      <c r="E6622" s="8">
        <v>395352.54</v>
      </c>
      <c r="F6622" s="13" t="s">
        <v>70</v>
      </c>
      <c r="G6622" s="14">
        <v>44636</v>
      </c>
      <c r="H6622" s="13" t="s">
        <v>35</v>
      </c>
    </row>
    <row r="6623" spans="1:8" ht="14.4" x14ac:dyDescent="0.3">
      <c r="A6623" s="8">
        <v>1969999</v>
      </c>
      <c r="B6623" s="11">
        <v>44634</v>
      </c>
      <c r="C6623" s="13" t="s">
        <v>8404</v>
      </c>
      <c r="D6623" s="13"/>
      <c r="E6623" s="8">
        <v>20000</v>
      </c>
      <c r="F6623" s="13" t="s">
        <v>70</v>
      </c>
      <c r="G6623" s="14">
        <v>44636</v>
      </c>
      <c r="H6623" s="13" t="s">
        <v>35</v>
      </c>
    </row>
    <row r="6624" spans="1:8" ht="14.4" x14ac:dyDescent="0.3">
      <c r="A6624" s="8">
        <v>1970000</v>
      </c>
      <c r="B6624" s="11">
        <v>44635</v>
      </c>
      <c r="C6624" s="13" t="s">
        <v>159</v>
      </c>
      <c r="D6624" s="13" t="s">
        <v>8346</v>
      </c>
      <c r="E6624" s="8">
        <v>352900</v>
      </c>
      <c r="F6624" s="13" t="s">
        <v>70</v>
      </c>
      <c r="G6624" s="14">
        <v>44635</v>
      </c>
      <c r="H6624" s="13" t="s">
        <v>35</v>
      </c>
    </row>
    <row r="6625" spans="1:8" ht="14.4" x14ac:dyDescent="0.3">
      <c r="A6625" s="8">
        <v>2040201</v>
      </c>
      <c r="B6625" s="11">
        <v>44635</v>
      </c>
      <c r="C6625" s="13" t="s">
        <v>8405</v>
      </c>
      <c r="D6625" s="13" t="s">
        <v>2246</v>
      </c>
      <c r="E6625" s="8">
        <v>12259.74</v>
      </c>
      <c r="F6625" s="13" t="s">
        <v>70</v>
      </c>
      <c r="G6625" s="14">
        <v>44637</v>
      </c>
      <c r="H6625" s="13" t="s">
        <v>35</v>
      </c>
    </row>
    <row r="6626" spans="1:8" ht="14.4" x14ac:dyDescent="0.3">
      <c r="A6626" s="8">
        <v>2040202</v>
      </c>
      <c r="B6626" s="11">
        <v>44635</v>
      </c>
      <c r="C6626" s="13" t="s">
        <v>180</v>
      </c>
      <c r="D6626" s="13" t="s">
        <v>901</v>
      </c>
      <c r="E6626" s="8">
        <v>207098.25</v>
      </c>
      <c r="F6626" s="13" t="s">
        <v>70</v>
      </c>
      <c r="G6626" s="14">
        <v>44635</v>
      </c>
      <c r="H6626" s="13" t="s">
        <v>35</v>
      </c>
    </row>
    <row r="6627" spans="1:8" ht="14.4" x14ac:dyDescent="0.3">
      <c r="A6627" s="8">
        <v>2040203</v>
      </c>
      <c r="B6627" s="11">
        <v>44635</v>
      </c>
      <c r="C6627" s="13" t="s">
        <v>8406</v>
      </c>
      <c r="D6627" s="13" t="s">
        <v>8407</v>
      </c>
      <c r="E6627" s="8">
        <v>1296</v>
      </c>
      <c r="F6627" s="13" t="s">
        <v>70</v>
      </c>
      <c r="G6627" s="14">
        <v>44642</v>
      </c>
      <c r="H6627" s="13" t="s">
        <v>35</v>
      </c>
    </row>
    <row r="6628" spans="1:8" ht="14.4" x14ac:dyDescent="0.3">
      <c r="A6628" s="8">
        <v>2040204</v>
      </c>
      <c r="B6628" s="11">
        <v>44635</v>
      </c>
      <c r="C6628" s="13" t="s">
        <v>395</v>
      </c>
      <c r="D6628" s="13" t="s">
        <v>8408</v>
      </c>
      <c r="E6628" s="8">
        <v>30292</v>
      </c>
      <c r="F6628" s="13" t="s">
        <v>70</v>
      </c>
      <c r="G6628" s="14">
        <v>44638</v>
      </c>
      <c r="H6628" s="13" t="s">
        <v>35</v>
      </c>
    </row>
    <row r="6629" spans="1:8" ht="14.4" x14ac:dyDescent="0.3">
      <c r="A6629" s="8">
        <v>2040205</v>
      </c>
      <c r="B6629" s="11">
        <v>44635</v>
      </c>
      <c r="C6629" s="13" t="s">
        <v>4011</v>
      </c>
      <c r="D6629" s="13" t="s">
        <v>8409</v>
      </c>
      <c r="E6629" s="8">
        <v>161212.29999999999</v>
      </c>
      <c r="F6629" s="13" t="s">
        <v>70</v>
      </c>
      <c r="G6629" s="14">
        <v>44637</v>
      </c>
      <c r="H6629" s="13" t="s">
        <v>35</v>
      </c>
    </row>
    <row r="6630" spans="1:8" ht="14.4" x14ac:dyDescent="0.3">
      <c r="A6630" s="8">
        <v>2040206</v>
      </c>
      <c r="B6630" s="11">
        <v>44635</v>
      </c>
      <c r="C6630" s="13" t="s">
        <v>26</v>
      </c>
      <c r="D6630" s="13" t="s">
        <v>8410</v>
      </c>
      <c r="E6630" s="8">
        <v>71741.25</v>
      </c>
      <c r="F6630" s="13" t="s">
        <v>70</v>
      </c>
      <c r="G6630" s="14">
        <v>44644</v>
      </c>
      <c r="H6630" s="13" t="s">
        <v>35</v>
      </c>
    </row>
    <row r="6631" spans="1:8" ht="14.4" x14ac:dyDescent="0.3">
      <c r="A6631" s="8">
        <v>2040207</v>
      </c>
      <c r="B6631" s="11">
        <v>44635</v>
      </c>
      <c r="C6631" s="13" t="s">
        <v>44</v>
      </c>
      <c r="D6631" s="13" t="s">
        <v>8411</v>
      </c>
      <c r="E6631" s="8">
        <v>123900</v>
      </c>
      <c r="F6631" s="13" t="s">
        <v>70</v>
      </c>
      <c r="G6631" s="14">
        <v>44637</v>
      </c>
      <c r="H6631" s="13" t="s">
        <v>35</v>
      </c>
    </row>
    <row r="6632" spans="1:8" ht="14.4" x14ac:dyDescent="0.3">
      <c r="A6632" s="8">
        <v>2040208</v>
      </c>
      <c r="B6632" s="11">
        <v>44635</v>
      </c>
      <c r="C6632" s="13" t="s">
        <v>279</v>
      </c>
      <c r="D6632" s="13" t="s">
        <v>8412</v>
      </c>
      <c r="E6632" s="8">
        <v>16074.5</v>
      </c>
      <c r="F6632" s="13" t="s">
        <v>70</v>
      </c>
      <c r="G6632" s="14">
        <v>44637</v>
      </c>
      <c r="H6632" s="13" t="s">
        <v>35</v>
      </c>
    </row>
    <row r="6633" spans="1:8" ht="14.4" x14ac:dyDescent="0.3">
      <c r="A6633" s="8">
        <v>2040209</v>
      </c>
      <c r="B6633" s="11">
        <v>44635</v>
      </c>
      <c r="C6633" s="13" t="s">
        <v>8413</v>
      </c>
      <c r="D6633" s="13" t="s">
        <v>8414</v>
      </c>
      <c r="E6633" s="8">
        <v>109368.37</v>
      </c>
      <c r="F6633" s="13" t="s">
        <v>70</v>
      </c>
      <c r="G6633" s="14">
        <v>44638</v>
      </c>
      <c r="H6633" s="13" t="s">
        <v>35</v>
      </c>
    </row>
    <row r="6634" spans="1:8" ht="14.4" x14ac:dyDescent="0.3">
      <c r="A6634" s="8">
        <v>2040210</v>
      </c>
      <c r="B6634" s="11">
        <v>44635</v>
      </c>
      <c r="C6634" s="13" t="s">
        <v>8415</v>
      </c>
      <c r="D6634" s="13" t="s">
        <v>8416</v>
      </c>
      <c r="E6634" s="8">
        <v>33553.83</v>
      </c>
      <c r="F6634" s="13" t="s">
        <v>70</v>
      </c>
      <c r="G6634" s="14">
        <v>44637</v>
      </c>
      <c r="H6634" s="13" t="s">
        <v>35</v>
      </c>
    </row>
    <row r="6635" spans="1:8" ht="14.4" x14ac:dyDescent="0.3">
      <c r="A6635" s="8">
        <v>2040211</v>
      </c>
      <c r="B6635" s="11">
        <v>44635</v>
      </c>
      <c r="C6635" s="13" t="s">
        <v>8417</v>
      </c>
      <c r="D6635" s="13" t="s">
        <v>8418</v>
      </c>
      <c r="E6635" s="8">
        <v>60197.34</v>
      </c>
      <c r="F6635" s="13" t="s">
        <v>70</v>
      </c>
      <c r="G6635" s="14">
        <v>44641</v>
      </c>
      <c r="H6635" s="13" t="s">
        <v>35</v>
      </c>
    </row>
    <row r="6636" spans="1:8" ht="14.4" x14ac:dyDescent="0.3">
      <c r="A6636" s="8">
        <v>2040212</v>
      </c>
      <c r="B6636" s="11">
        <v>44635</v>
      </c>
      <c r="C6636" s="13" t="s">
        <v>8419</v>
      </c>
      <c r="D6636" s="13" t="s">
        <v>8420</v>
      </c>
      <c r="E6636" s="8">
        <v>38352.839999999997</v>
      </c>
      <c r="F6636" s="13" t="s">
        <v>70</v>
      </c>
      <c r="G6636" s="14">
        <v>44638</v>
      </c>
      <c r="H6636" s="13" t="s">
        <v>35</v>
      </c>
    </row>
    <row r="6637" spans="1:8" ht="14.4" x14ac:dyDescent="0.3">
      <c r="A6637" s="8">
        <v>2040213</v>
      </c>
      <c r="B6637" s="11">
        <v>44635</v>
      </c>
      <c r="C6637" s="13" t="s">
        <v>44</v>
      </c>
      <c r="D6637" s="13" t="s">
        <v>8421</v>
      </c>
      <c r="E6637" s="8">
        <v>63000</v>
      </c>
      <c r="F6637" s="13" t="s">
        <v>70</v>
      </c>
      <c r="G6637" s="14">
        <v>44637</v>
      </c>
      <c r="H6637" s="13" t="s">
        <v>35</v>
      </c>
    </row>
    <row r="6638" spans="1:8" ht="14.4" x14ac:dyDescent="0.3">
      <c r="A6638" s="8">
        <v>2040214</v>
      </c>
      <c r="B6638" s="11">
        <v>44635</v>
      </c>
      <c r="C6638" s="13" t="s">
        <v>398</v>
      </c>
      <c r="D6638" s="13" t="s">
        <v>8383</v>
      </c>
      <c r="E6638" s="8">
        <v>3000</v>
      </c>
      <c r="F6638" s="13" t="s">
        <v>70</v>
      </c>
      <c r="G6638" s="14">
        <v>44638</v>
      </c>
      <c r="H6638" s="13" t="s">
        <v>35</v>
      </c>
    </row>
    <row r="6639" spans="1:8" ht="14.4" x14ac:dyDescent="0.3">
      <c r="A6639" s="8">
        <v>2040215</v>
      </c>
      <c r="B6639" s="11">
        <v>44635</v>
      </c>
      <c r="C6639" s="13" t="s">
        <v>8422</v>
      </c>
      <c r="D6639" s="13" t="s">
        <v>8423</v>
      </c>
      <c r="E6639" s="8">
        <v>14062.5</v>
      </c>
      <c r="F6639" s="13" t="s">
        <v>70</v>
      </c>
      <c r="G6639" s="14">
        <v>44644</v>
      </c>
      <c r="H6639" s="13" t="s">
        <v>35</v>
      </c>
    </row>
    <row r="6640" spans="1:8" ht="14.4" x14ac:dyDescent="0.3">
      <c r="A6640" s="8">
        <v>2040216</v>
      </c>
      <c r="B6640" s="11">
        <v>44635</v>
      </c>
      <c r="C6640" s="13" t="s">
        <v>8422</v>
      </c>
      <c r="D6640" s="13" t="s">
        <v>8424</v>
      </c>
      <c r="E6640" s="8">
        <v>75000</v>
      </c>
      <c r="F6640" s="13" t="s">
        <v>70</v>
      </c>
      <c r="G6640" s="14">
        <v>44644</v>
      </c>
      <c r="H6640" s="13" t="s">
        <v>35</v>
      </c>
    </row>
    <row r="6641" spans="1:8" ht="14.4" x14ac:dyDescent="0.3">
      <c r="A6641" s="8">
        <v>2040217</v>
      </c>
      <c r="B6641" s="11">
        <v>44635</v>
      </c>
      <c r="C6641" s="13" t="s">
        <v>8425</v>
      </c>
      <c r="D6641" s="13" t="s">
        <v>8383</v>
      </c>
      <c r="E6641" s="8">
        <v>20000</v>
      </c>
      <c r="F6641" s="13" t="s">
        <v>70</v>
      </c>
      <c r="G6641" s="14">
        <v>44638</v>
      </c>
      <c r="H6641" s="13" t="s">
        <v>35</v>
      </c>
    </row>
    <row r="6642" spans="1:8" ht="14.4" x14ac:dyDescent="0.3">
      <c r="A6642" s="8">
        <v>2040218</v>
      </c>
      <c r="B6642" s="11">
        <v>44635</v>
      </c>
      <c r="C6642" s="13" t="s">
        <v>397</v>
      </c>
      <c r="D6642" s="13" t="s">
        <v>8383</v>
      </c>
      <c r="E6642" s="8">
        <v>10000</v>
      </c>
      <c r="F6642" s="13" t="s">
        <v>70</v>
      </c>
      <c r="G6642" s="14">
        <v>44638</v>
      </c>
      <c r="H6642" s="13" t="s">
        <v>35</v>
      </c>
    </row>
    <row r="6643" spans="1:8" ht="14.4" x14ac:dyDescent="0.3">
      <c r="A6643" s="8">
        <v>2040219</v>
      </c>
      <c r="B6643" s="11">
        <v>44635</v>
      </c>
      <c r="C6643" s="13" t="s">
        <v>8426</v>
      </c>
      <c r="D6643" s="13" t="s">
        <v>8427</v>
      </c>
      <c r="E6643" s="8">
        <v>10000</v>
      </c>
      <c r="F6643" s="13" t="s">
        <v>70</v>
      </c>
      <c r="G6643" s="14">
        <v>44638</v>
      </c>
      <c r="H6643" s="13" t="s">
        <v>35</v>
      </c>
    </row>
    <row r="6644" spans="1:8" ht="14.4" x14ac:dyDescent="0.3">
      <c r="A6644" s="8">
        <v>2040220</v>
      </c>
      <c r="B6644" s="11">
        <v>44635</v>
      </c>
      <c r="C6644" s="13" t="s">
        <v>8428</v>
      </c>
      <c r="D6644" s="13" t="s">
        <v>8429</v>
      </c>
      <c r="E6644" s="8">
        <v>12000</v>
      </c>
      <c r="F6644" s="13" t="s">
        <v>70</v>
      </c>
      <c r="G6644" s="14">
        <v>44638</v>
      </c>
      <c r="H6644" s="13" t="s">
        <v>35</v>
      </c>
    </row>
    <row r="6645" spans="1:8" ht="14.4" x14ac:dyDescent="0.3">
      <c r="A6645" s="8">
        <v>2040221</v>
      </c>
      <c r="B6645" s="11">
        <v>44635</v>
      </c>
      <c r="C6645" s="13" t="s">
        <v>8430</v>
      </c>
      <c r="D6645" s="13" t="s">
        <v>8431</v>
      </c>
      <c r="E6645" s="8">
        <v>30000</v>
      </c>
      <c r="F6645" s="13" t="s">
        <v>70</v>
      </c>
      <c r="G6645" s="14">
        <v>44636</v>
      </c>
      <c r="H6645" s="13" t="s">
        <v>35</v>
      </c>
    </row>
    <row r="6646" spans="1:8" ht="14.4" x14ac:dyDescent="0.3">
      <c r="A6646" s="8">
        <v>2040223</v>
      </c>
      <c r="B6646" s="11">
        <v>44635</v>
      </c>
      <c r="C6646" s="13" t="s">
        <v>8432</v>
      </c>
      <c r="D6646" s="13" t="s">
        <v>8433</v>
      </c>
      <c r="E6646" s="8">
        <v>7000</v>
      </c>
      <c r="F6646" s="13" t="s">
        <v>70</v>
      </c>
      <c r="G6646" s="14">
        <v>44642</v>
      </c>
      <c r="H6646" s="13" t="s">
        <v>35</v>
      </c>
    </row>
    <row r="6647" spans="1:8" ht="14.4" x14ac:dyDescent="0.3">
      <c r="A6647" s="8">
        <v>2040224</v>
      </c>
      <c r="B6647" s="11">
        <v>44635</v>
      </c>
      <c r="C6647" s="13" t="s">
        <v>8434</v>
      </c>
      <c r="D6647" s="13" t="s">
        <v>8435</v>
      </c>
      <c r="E6647" s="8">
        <v>15000</v>
      </c>
      <c r="F6647" s="13" t="s">
        <v>70</v>
      </c>
      <c r="G6647" s="14">
        <v>44638</v>
      </c>
      <c r="H6647" s="13" t="s">
        <v>35</v>
      </c>
    </row>
    <row r="6648" spans="1:8" ht="14.4" x14ac:dyDescent="0.3">
      <c r="A6648" s="8">
        <v>2040225</v>
      </c>
      <c r="B6648" s="11">
        <v>44635</v>
      </c>
      <c r="C6648" s="13" t="s">
        <v>8436</v>
      </c>
      <c r="D6648" s="13" t="s">
        <v>8437</v>
      </c>
      <c r="E6648" s="8">
        <v>10000</v>
      </c>
      <c r="F6648" s="13" t="s">
        <v>70</v>
      </c>
      <c r="G6648" s="14">
        <v>44641</v>
      </c>
      <c r="H6648" s="13" t="s">
        <v>35</v>
      </c>
    </row>
    <row r="6649" spans="1:8" ht="14.4" x14ac:dyDescent="0.3">
      <c r="A6649" s="8">
        <v>2040226</v>
      </c>
      <c r="B6649" s="11">
        <v>44635</v>
      </c>
      <c r="C6649" s="13" t="s">
        <v>8438</v>
      </c>
      <c r="D6649" s="13" t="s">
        <v>8439</v>
      </c>
      <c r="E6649" s="8">
        <v>50000</v>
      </c>
      <c r="F6649" s="13" t="s">
        <v>70</v>
      </c>
      <c r="G6649" s="14">
        <v>44638</v>
      </c>
      <c r="H6649" s="13" t="s">
        <v>35</v>
      </c>
    </row>
    <row r="6650" spans="1:8" ht="14.4" x14ac:dyDescent="0.3">
      <c r="A6650" s="8">
        <v>2040227</v>
      </c>
      <c r="B6650" s="11">
        <v>44635</v>
      </c>
      <c r="C6650" s="13" t="s">
        <v>8440</v>
      </c>
      <c r="D6650" s="13" t="s">
        <v>8441</v>
      </c>
      <c r="E6650" s="8">
        <v>50000</v>
      </c>
      <c r="F6650" s="13" t="s">
        <v>70</v>
      </c>
      <c r="G6650" s="14">
        <v>44638</v>
      </c>
      <c r="H6650" s="13" t="s">
        <v>35</v>
      </c>
    </row>
    <row r="6651" spans="1:8" ht="14.4" x14ac:dyDescent="0.3">
      <c r="A6651" s="8">
        <v>2040228</v>
      </c>
      <c r="B6651" s="11">
        <v>44635</v>
      </c>
      <c r="C6651" s="13" t="s">
        <v>8442</v>
      </c>
      <c r="D6651" s="13" t="s">
        <v>8443</v>
      </c>
      <c r="E6651" s="8">
        <v>20000</v>
      </c>
      <c r="F6651" s="13" t="s">
        <v>70</v>
      </c>
      <c r="G6651" s="14">
        <v>44641</v>
      </c>
      <c r="H6651" s="13" t="s">
        <v>35</v>
      </c>
    </row>
    <row r="6652" spans="1:8" ht="14.4" x14ac:dyDescent="0.3">
      <c r="A6652" s="8">
        <v>2040229</v>
      </c>
      <c r="B6652" s="11">
        <v>44635</v>
      </c>
      <c r="C6652" s="13" t="s">
        <v>8444</v>
      </c>
      <c r="D6652" s="13" t="s">
        <v>8445</v>
      </c>
      <c r="E6652" s="8">
        <v>10000</v>
      </c>
      <c r="F6652" s="13" t="s">
        <v>70</v>
      </c>
      <c r="G6652" s="14">
        <v>44636</v>
      </c>
      <c r="H6652" s="13" t="s">
        <v>35</v>
      </c>
    </row>
    <row r="6653" spans="1:8" ht="14.4" x14ac:dyDescent="0.3">
      <c r="A6653" s="8">
        <v>2040230</v>
      </c>
      <c r="B6653" s="11">
        <v>44635</v>
      </c>
      <c r="C6653" s="13" t="s">
        <v>4972</v>
      </c>
      <c r="D6653" s="13" t="s">
        <v>8383</v>
      </c>
      <c r="E6653" s="8">
        <v>20000</v>
      </c>
      <c r="F6653" s="13" t="s">
        <v>70</v>
      </c>
      <c r="G6653" s="14">
        <v>44636</v>
      </c>
      <c r="H6653" s="13" t="s">
        <v>35</v>
      </c>
    </row>
    <row r="6654" spans="1:8" ht="14.4" x14ac:dyDescent="0.3">
      <c r="A6654" s="8">
        <v>2040231</v>
      </c>
      <c r="B6654" s="11">
        <v>44635</v>
      </c>
      <c r="C6654" s="13" t="s">
        <v>8446</v>
      </c>
      <c r="D6654" s="13" t="s">
        <v>8383</v>
      </c>
      <c r="E6654" s="8">
        <v>5000</v>
      </c>
      <c r="F6654" s="13" t="s">
        <v>70</v>
      </c>
      <c r="G6654" s="14">
        <v>44637</v>
      </c>
      <c r="H6654" s="13" t="s">
        <v>35</v>
      </c>
    </row>
    <row r="6655" spans="1:8" ht="14.4" x14ac:dyDescent="0.3">
      <c r="A6655" s="8">
        <v>2040232</v>
      </c>
      <c r="B6655" s="11">
        <v>44635</v>
      </c>
      <c r="C6655" s="13" t="s">
        <v>356</v>
      </c>
      <c r="D6655" s="13" t="s">
        <v>8383</v>
      </c>
      <c r="E6655" s="8">
        <v>3000</v>
      </c>
      <c r="F6655" s="13" t="s">
        <v>70</v>
      </c>
      <c r="G6655" s="14">
        <v>44636</v>
      </c>
      <c r="H6655" s="13" t="s">
        <v>35</v>
      </c>
    </row>
    <row r="6656" spans="1:8" ht="14.4" x14ac:dyDescent="0.3">
      <c r="A6656" s="8">
        <v>2040233</v>
      </c>
      <c r="B6656" s="11">
        <v>44635</v>
      </c>
      <c r="C6656" s="13" t="s">
        <v>8447</v>
      </c>
      <c r="D6656" s="13" t="s">
        <v>8448</v>
      </c>
      <c r="E6656" s="8">
        <v>5632.41</v>
      </c>
      <c r="F6656" s="13" t="s">
        <v>70</v>
      </c>
      <c r="G6656" s="14">
        <v>44638</v>
      </c>
      <c r="H6656" s="13" t="s">
        <v>35</v>
      </c>
    </row>
    <row r="6657" spans="1:8" ht="14.4" x14ac:dyDescent="0.3">
      <c r="A6657" s="8">
        <v>2040234</v>
      </c>
      <c r="B6657" s="11">
        <v>44635</v>
      </c>
      <c r="C6657" s="13" t="s">
        <v>8449</v>
      </c>
      <c r="D6657" s="13" t="s">
        <v>8450</v>
      </c>
      <c r="E6657" s="8">
        <v>15000</v>
      </c>
      <c r="F6657" s="13" t="s">
        <v>70</v>
      </c>
      <c r="G6657" s="14">
        <v>44636</v>
      </c>
      <c r="H6657" s="13" t="s">
        <v>35</v>
      </c>
    </row>
    <row r="6658" spans="1:8" ht="14.4" x14ac:dyDescent="0.3">
      <c r="A6658" s="8">
        <v>2040235</v>
      </c>
      <c r="B6658" s="11">
        <v>44635</v>
      </c>
      <c r="C6658" s="13" t="s">
        <v>5046</v>
      </c>
      <c r="D6658" s="13" t="s">
        <v>8451</v>
      </c>
      <c r="E6658" s="8">
        <v>5187</v>
      </c>
      <c r="F6658" s="13" t="s">
        <v>70</v>
      </c>
      <c r="G6658" s="14">
        <v>44642</v>
      </c>
      <c r="H6658" s="13" t="s">
        <v>35</v>
      </c>
    </row>
    <row r="6659" spans="1:8" ht="14.4" x14ac:dyDescent="0.3">
      <c r="A6659" s="8">
        <v>2040236</v>
      </c>
      <c r="B6659" s="11">
        <v>44635</v>
      </c>
      <c r="C6659" s="13" t="s">
        <v>1569</v>
      </c>
      <c r="D6659" s="13" t="s">
        <v>8452</v>
      </c>
      <c r="E6659" s="8">
        <v>38812</v>
      </c>
      <c r="F6659" s="13" t="s">
        <v>70</v>
      </c>
      <c r="G6659" s="14">
        <v>44658</v>
      </c>
      <c r="H6659" s="13" t="s">
        <v>35</v>
      </c>
    </row>
    <row r="6660" spans="1:8" ht="14.4" x14ac:dyDescent="0.3">
      <c r="A6660" s="8">
        <v>2040237</v>
      </c>
      <c r="B6660" s="11">
        <v>44635</v>
      </c>
      <c r="C6660" s="13" t="s">
        <v>279</v>
      </c>
      <c r="D6660" s="13" t="s">
        <v>8453</v>
      </c>
      <c r="E6660" s="8">
        <v>16292.51</v>
      </c>
      <c r="F6660" s="13" t="s">
        <v>70</v>
      </c>
      <c r="G6660" s="14">
        <v>44637</v>
      </c>
      <c r="H6660" s="13" t="s">
        <v>35</v>
      </c>
    </row>
    <row r="6661" spans="1:8" ht="14.4" x14ac:dyDescent="0.3">
      <c r="A6661" s="8">
        <v>2040238</v>
      </c>
      <c r="B6661" s="11">
        <v>44635</v>
      </c>
      <c r="C6661" s="13" t="s">
        <v>265</v>
      </c>
      <c r="D6661" s="13" t="s">
        <v>8454</v>
      </c>
      <c r="E6661" s="8">
        <v>26140.77</v>
      </c>
      <c r="F6661" s="13" t="s">
        <v>70</v>
      </c>
      <c r="G6661" s="14">
        <v>44637</v>
      </c>
      <c r="H6661" s="13" t="s">
        <v>35</v>
      </c>
    </row>
    <row r="6662" spans="1:8" ht="14.4" x14ac:dyDescent="0.3">
      <c r="A6662" s="8">
        <v>2040239</v>
      </c>
      <c r="B6662" s="11">
        <v>44635</v>
      </c>
      <c r="C6662" s="13" t="s">
        <v>8455</v>
      </c>
      <c r="D6662" s="13" t="s">
        <v>8456</v>
      </c>
      <c r="E6662" s="8">
        <v>26000</v>
      </c>
      <c r="F6662" s="13" t="s">
        <v>70</v>
      </c>
      <c r="G6662" s="14">
        <v>44638</v>
      </c>
      <c r="H6662" s="13" t="s">
        <v>35</v>
      </c>
    </row>
    <row r="6663" spans="1:8" ht="14.4" x14ac:dyDescent="0.3">
      <c r="A6663" s="8">
        <v>2040240</v>
      </c>
      <c r="B6663" s="11">
        <v>44635</v>
      </c>
      <c r="C6663" s="13" t="s">
        <v>8457</v>
      </c>
      <c r="D6663" s="13" t="s">
        <v>8458</v>
      </c>
      <c r="E6663" s="8">
        <v>6900</v>
      </c>
      <c r="F6663" s="13" t="s">
        <v>70</v>
      </c>
      <c r="G6663" s="14">
        <v>44638</v>
      </c>
      <c r="H6663" s="13" t="s">
        <v>35</v>
      </c>
    </row>
    <row r="6664" spans="1:8" ht="14.4" x14ac:dyDescent="0.3">
      <c r="A6664" s="8">
        <v>2040241</v>
      </c>
      <c r="B6664" s="11">
        <v>44635</v>
      </c>
      <c r="C6664" s="13" t="s">
        <v>8459</v>
      </c>
      <c r="D6664" s="13" t="s">
        <v>8460</v>
      </c>
      <c r="E6664" s="8">
        <v>8000</v>
      </c>
      <c r="F6664" s="13" t="s">
        <v>70</v>
      </c>
      <c r="G6664" s="14">
        <v>44638</v>
      </c>
      <c r="H6664" s="13" t="s">
        <v>35</v>
      </c>
    </row>
    <row r="6665" spans="1:8" ht="14.4" x14ac:dyDescent="0.3">
      <c r="A6665" s="8">
        <v>2040242</v>
      </c>
      <c r="B6665" s="11">
        <v>44635</v>
      </c>
      <c r="C6665" s="13" t="s">
        <v>8461</v>
      </c>
      <c r="D6665" s="13" t="s">
        <v>8462</v>
      </c>
      <c r="E6665" s="8">
        <v>8000</v>
      </c>
      <c r="F6665" s="13" t="s">
        <v>70</v>
      </c>
      <c r="G6665" s="14">
        <v>44637</v>
      </c>
      <c r="H6665" s="13" t="s">
        <v>35</v>
      </c>
    </row>
    <row r="6666" spans="1:8" ht="14.4" x14ac:dyDescent="0.3">
      <c r="A6666" s="8">
        <v>2040243</v>
      </c>
      <c r="B6666" s="11">
        <v>44635</v>
      </c>
      <c r="C6666" s="13" t="s">
        <v>8463</v>
      </c>
      <c r="D6666" s="13" t="s">
        <v>8464</v>
      </c>
      <c r="E6666" s="8">
        <v>15000</v>
      </c>
      <c r="F6666" s="13" t="s">
        <v>70</v>
      </c>
      <c r="G6666" s="14">
        <v>44641</v>
      </c>
      <c r="H6666" s="13" t="s">
        <v>35</v>
      </c>
    </row>
    <row r="6667" spans="1:8" ht="14.4" x14ac:dyDescent="0.3">
      <c r="A6667" s="8">
        <v>2040244</v>
      </c>
      <c r="B6667" s="11">
        <v>44635</v>
      </c>
      <c r="C6667" s="13" t="s">
        <v>8465</v>
      </c>
      <c r="D6667" s="13" t="s">
        <v>8466</v>
      </c>
      <c r="E6667" s="8">
        <v>15000</v>
      </c>
      <c r="F6667" s="13" t="s">
        <v>70</v>
      </c>
      <c r="G6667" s="14">
        <v>44638</v>
      </c>
      <c r="H6667" s="13" t="s">
        <v>35</v>
      </c>
    </row>
    <row r="6668" spans="1:8" ht="14.4" x14ac:dyDescent="0.3">
      <c r="A6668" s="8">
        <v>2040245</v>
      </c>
      <c r="B6668" s="11">
        <v>44635</v>
      </c>
      <c r="C6668" s="13" t="s">
        <v>8467</v>
      </c>
      <c r="D6668" s="13" t="s">
        <v>8468</v>
      </c>
      <c r="E6668" s="8">
        <v>13000</v>
      </c>
      <c r="F6668" s="13" t="s">
        <v>70</v>
      </c>
      <c r="G6668" s="14">
        <v>44637</v>
      </c>
      <c r="H6668" s="13" t="s">
        <v>35</v>
      </c>
    </row>
    <row r="6669" spans="1:8" ht="14.4" x14ac:dyDescent="0.3">
      <c r="A6669" s="8">
        <v>2040246</v>
      </c>
      <c r="B6669" s="11">
        <v>44635</v>
      </c>
      <c r="C6669" s="13" t="s">
        <v>8469</v>
      </c>
      <c r="D6669" s="13" t="s">
        <v>8470</v>
      </c>
      <c r="E6669" s="8">
        <v>14000</v>
      </c>
      <c r="F6669" s="13" t="s">
        <v>70</v>
      </c>
      <c r="G6669" s="14">
        <v>44637</v>
      </c>
      <c r="H6669" s="13" t="s">
        <v>35</v>
      </c>
    </row>
    <row r="6670" spans="1:8" ht="14.4" x14ac:dyDescent="0.3">
      <c r="A6670" s="8">
        <v>2040247</v>
      </c>
      <c r="B6670" s="11">
        <v>44635</v>
      </c>
      <c r="C6670" s="13" t="s">
        <v>8471</v>
      </c>
      <c r="D6670" s="13" t="s">
        <v>8472</v>
      </c>
      <c r="E6670" s="8">
        <v>50000</v>
      </c>
      <c r="F6670" s="13" t="s">
        <v>70</v>
      </c>
      <c r="G6670" s="14">
        <v>44638</v>
      </c>
      <c r="H6670" s="13" t="s">
        <v>35</v>
      </c>
    </row>
    <row r="6671" spans="1:8" ht="14.4" x14ac:dyDescent="0.3">
      <c r="A6671" s="8">
        <v>2040248</v>
      </c>
      <c r="B6671" s="11">
        <v>44635</v>
      </c>
      <c r="C6671" s="13" t="s">
        <v>8473</v>
      </c>
      <c r="D6671" s="13" t="s">
        <v>8474</v>
      </c>
      <c r="E6671" s="8">
        <v>11000</v>
      </c>
      <c r="F6671" s="13" t="s">
        <v>70</v>
      </c>
      <c r="G6671" s="14">
        <v>44638</v>
      </c>
      <c r="H6671" s="13" t="s">
        <v>35</v>
      </c>
    </row>
    <row r="6672" spans="1:8" ht="14.4" x14ac:dyDescent="0.3">
      <c r="A6672" s="8">
        <v>2040249</v>
      </c>
      <c r="B6672" s="11">
        <v>44635</v>
      </c>
      <c r="C6672" s="13" t="s">
        <v>3055</v>
      </c>
      <c r="D6672" s="13" t="s">
        <v>8475</v>
      </c>
      <c r="E6672" s="8">
        <v>17000</v>
      </c>
      <c r="F6672" s="13" t="s">
        <v>70</v>
      </c>
      <c r="G6672" s="14">
        <v>44637</v>
      </c>
      <c r="H6672" s="13" t="s">
        <v>35</v>
      </c>
    </row>
    <row r="6673" spans="1:8" ht="14.4" x14ac:dyDescent="0.3">
      <c r="A6673" s="8">
        <v>2040250</v>
      </c>
      <c r="B6673" s="11">
        <v>44635</v>
      </c>
      <c r="C6673" s="13" t="s">
        <v>8476</v>
      </c>
      <c r="D6673" s="13" t="s">
        <v>8477</v>
      </c>
      <c r="E6673" s="8">
        <v>40000</v>
      </c>
      <c r="F6673" s="13" t="s">
        <v>70</v>
      </c>
      <c r="G6673" s="14">
        <v>44638</v>
      </c>
      <c r="H6673" s="13" t="s">
        <v>35</v>
      </c>
    </row>
    <row r="6674" spans="1:8" ht="14.4" x14ac:dyDescent="0.3">
      <c r="A6674" s="8">
        <v>2040251</v>
      </c>
      <c r="B6674" s="11">
        <v>44635</v>
      </c>
      <c r="C6674" s="13" t="s">
        <v>8478</v>
      </c>
      <c r="D6674" s="13" t="s">
        <v>8479</v>
      </c>
      <c r="E6674" s="8">
        <v>50000</v>
      </c>
      <c r="F6674" s="13" t="s">
        <v>70</v>
      </c>
      <c r="G6674" s="14">
        <v>44638</v>
      </c>
      <c r="H6674" s="13" t="s">
        <v>35</v>
      </c>
    </row>
    <row r="6675" spans="1:8" ht="14.4" x14ac:dyDescent="0.3">
      <c r="A6675" s="8">
        <v>2040252</v>
      </c>
      <c r="B6675" s="11">
        <v>44635</v>
      </c>
      <c r="C6675" s="13" t="s">
        <v>8480</v>
      </c>
      <c r="D6675" s="13" t="s">
        <v>8481</v>
      </c>
      <c r="E6675" s="8">
        <v>6000</v>
      </c>
      <c r="F6675" s="13" t="s">
        <v>70</v>
      </c>
      <c r="G6675" s="14">
        <v>44638</v>
      </c>
      <c r="H6675" s="13" t="s">
        <v>35</v>
      </c>
    </row>
    <row r="6676" spans="1:8" ht="14.4" x14ac:dyDescent="0.3">
      <c r="A6676" s="8">
        <v>2040253</v>
      </c>
      <c r="B6676" s="11">
        <v>44635</v>
      </c>
      <c r="C6676" s="13" t="s">
        <v>8482</v>
      </c>
      <c r="D6676" s="13" t="s">
        <v>8483</v>
      </c>
      <c r="E6676" s="8">
        <v>30000</v>
      </c>
      <c r="F6676" s="13" t="s">
        <v>70</v>
      </c>
      <c r="G6676" s="14">
        <v>44638</v>
      </c>
      <c r="H6676" s="13" t="s">
        <v>35</v>
      </c>
    </row>
    <row r="6677" spans="1:8" ht="14.4" x14ac:dyDescent="0.3">
      <c r="A6677" s="8">
        <v>2040254</v>
      </c>
      <c r="B6677" s="11">
        <v>44635</v>
      </c>
      <c r="C6677" s="13" t="s">
        <v>8484</v>
      </c>
      <c r="D6677" s="13" t="s">
        <v>8485</v>
      </c>
      <c r="E6677" s="8">
        <v>11000</v>
      </c>
      <c r="F6677" s="13" t="s">
        <v>70</v>
      </c>
      <c r="G6677" s="14">
        <v>44638</v>
      </c>
      <c r="H6677" s="13" t="s">
        <v>35</v>
      </c>
    </row>
    <row r="6678" spans="1:8" ht="14.4" x14ac:dyDescent="0.3">
      <c r="A6678" s="8">
        <v>2040255</v>
      </c>
      <c r="B6678" s="11">
        <v>44635</v>
      </c>
      <c r="C6678" s="13" t="s">
        <v>8486</v>
      </c>
      <c r="D6678" s="13" t="s">
        <v>8487</v>
      </c>
      <c r="E6678" s="8">
        <v>20000</v>
      </c>
      <c r="F6678" s="13" t="s">
        <v>70</v>
      </c>
      <c r="G6678" s="14">
        <v>44637</v>
      </c>
      <c r="H6678" s="13" t="s">
        <v>35</v>
      </c>
    </row>
    <row r="6679" spans="1:8" ht="14.4" x14ac:dyDescent="0.3">
      <c r="A6679" s="8">
        <v>2040256</v>
      </c>
      <c r="B6679" s="11">
        <v>44635</v>
      </c>
      <c r="C6679" s="13" t="s">
        <v>8488</v>
      </c>
      <c r="D6679" s="13" t="s">
        <v>8489</v>
      </c>
      <c r="E6679" s="8">
        <v>13000</v>
      </c>
      <c r="F6679" s="13" t="s">
        <v>70</v>
      </c>
      <c r="G6679" s="14">
        <v>44638</v>
      </c>
      <c r="H6679" s="13" t="s">
        <v>35</v>
      </c>
    </row>
    <row r="6680" spans="1:8" ht="14.4" x14ac:dyDescent="0.3">
      <c r="A6680" s="8">
        <v>2040257</v>
      </c>
      <c r="B6680" s="11">
        <v>44635</v>
      </c>
      <c r="C6680" s="13" t="s">
        <v>8490</v>
      </c>
      <c r="D6680" s="13" t="s">
        <v>8491</v>
      </c>
      <c r="E6680" s="8">
        <v>7000</v>
      </c>
      <c r="F6680" s="13" t="s">
        <v>70</v>
      </c>
      <c r="G6680" s="14">
        <v>44638</v>
      </c>
      <c r="H6680" s="13" t="s">
        <v>35</v>
      </c>
    </row>
    <row r="6681" spans="1:8" ht="14.4" x14ac:dyDescent="0.3">
      <c r="A6681" s="8">
        <v>2040258</v>
      </c>
      <c r="B6681" s="11">
        <v>44635</v>
      </c>
      <c r="C6681" s="13" t="s">
        <v>8492</v>
      </c>
      <c r="D6681" s="13" t="s">
        <v>8493</v>
      </c>
      <c r="E6681" s="8">
        <v>13000</v>
      </c>
      <c r="F6681" s="13" t="s">
        <v>70</v>
      </c>
      <c r="G6681" s="14">
        <v>44637</v>
      </c>
      <c r="H6681" s="13" t="s">
        <v>35</v>
      </c>
    </row>
    <row r="6682" spans="1:8" ht="14.4" x14ac:dyDescent="0.3">
      <c r="A6682" s="8">
        <v>2040259</v>
      </c>
      <c r="B6682" s="11">
        <v>44635</v>
      </c>
      <c r="C6682" s="13" t="s">
        <v>8494</v>
      </c>
      <c r="D6682" s="13" t="s">
        <v>8495</v>
      </c>
      <c r="E6682" s="8">
        <v>8000</v>
      </c>
      <c r="F6682" s="13" t="s">
        <v>70</v>
      </c>
      <c r="G6682" s="14">
        <v>44638</v>
      </c>
      <c r="H6682" s="13" t="s">
        <v>35</v>
      </c>
    </row>
    <row r="6683" spans="1:8" ht="14.4" x14ac:dyDescent="0.3">
      <c r="A6683" s="8">
        <v>2040260</v>
      </c>
      <c r="B6683" s="11">
        <v>44635</v>
      </c>
      <c r="C6683" s="13" t="s">
        <v>8496</v>
      </c>
      <c r="D6683" s="13" t="s">
        <v>8497</v>
      </c>
      <c r="E6683" s="8">
        <v>24000</v>
      </c>
      <c r="F6683" s="13" t="s">
        <v>70</v>
      </c>
      <c r="G6683" s="14">
        <v>44638</v>
      </c>
      <c r="H6683" s="13" t="s">
        <v>35</v>
      </c>
    </row>
    <row r="6684" spans="1:8" ht="14.4" x14ac:dyDescent="0.3">
      <c r="A6684" s="8">
        <v>2040261</v>
      </c>
      <c r="B6684" s="11">
        <v>44635</v>
      </c>
      <c r="C6684" s="13" t="s">
        <v>8498</v>
      </c>
      <c r="D6684" s="13" t="s">
        <v>8499</v>
      </c>
      <c r="E6684" s="8">
        <v>20000</v>
      </c>
      <c r="F6684" s="13" t="s">
        <v>70</v>
      </c>
      <c r="G6684" s="14">
        <v>44637</v>
      </c>
      <c r="H6684" s="13" t="s">
        <v>35</v>
      </c>
    </row>
    <row r="6685" spans="1:8" ht="14.4" x14ac:dyDescent="0.3">
      <c r="A6685" s="8">
        <v>2040262</v>
      </c>
      <c r="B6685" s="11">
        <v>44635</v>
      </c>
      <c r="C6685" s="13" t="s">
        <v>8500</v>
      </c>
      <c r="D6685" s="13" t="s">
        <v>8501</v>
      </c>
      <c r="E6685" s="8">
        <v>8000</v>
      </c>
      <c r="F6685" s="13" t="s">
        <v>70</v>
      </c>
      <c r="G6685" s="14">
        <v>44638</v>
      </c>
      <c r="H6685" s="13" t="s">
        <v>35</v>
      </c>
    </row>
    <row r="6686" spans="1:8" ht="14.4" x14ac:dyDescent="0.3">
      <c r="A6686" s="8">
        <v>2040263</v>
      </c>
      <c r="B6686" s="11">
        <v>44635</v>
      </c>
      <c r="C6686" s="13" t="s">
        <v>8502</v>
      </c>
      <c r="D6686" s="13" t="s">
        <v>8503</v>
      </c>
      <c r="E6686" s="8">
        <v>30000</v>
      </c>
      <c r="F6686" s="13" t="s">
        <v>70</v>
      </c>
      <c r="G6686" s="14">
        <v>44638</v>
      </c>
      <c r="H6686" s="13" t="s">
        <v>35</v>
      </c>
    </row>
    <row r="6687" spans="1:8" ht="14.4" x14ac:dyDescent="0.3">
      <c r="A6687" s="8">
        <v>2040264</v>
      </c>
      <c r="B6687" s="11">
        <v>44635</v>
      </c>
      <c r="C6687" s="13" t="s">
        <v>8504</v>
      </c>
      <c r="D6687" s="13" t="s">
        <v>8505</v>
      </c>
      <c r="E6687" s="8">
        <v>20000</v>
      </c>
      <c r="F6687" s="13" t="s">
        <v>70</v>
      </c>
      <c r="G6687" s="14">
        <v>44641</v>
      </c>
      <c r="H6687" s="13" t="s">
        <v>35</v>
      </c>
    </row>
    <row r="6688" spans="1:8" ht="14.4" x14ac:dyDescent="0.3">
      <c r="A6688" s="8">
        <v>2040265</v>
      </c>
      <c r="B6688" s="11">
        <v>44635</v>
      </c>
      <c r="C6688" s="13" t="s">
        <v>8506</v>
      </c>
      <c r="D6688" s="13" t="s">
        <v>8507</v>
      </c>
      <c r="E6688" s="8">
        <v>50000</v>
      </c>
      <c r="F6688" s="13" t="s">
        <v>70</v>
      </c>
      <c r="G6688" s="14">
        <v>44638</v>
      </c>
      <c r="H6688" s="13" t="s">
        <v>35</v>
      </c>
    </row>
    <row r="6689" spans="1:8" ht="14.4" x14ac:dyDescent="0.3">
      <c r="A6689" s="8">
        <v>2040266</v>
      </c>
      <c r="B6689" s="11">
        <v>44635</v>
      </c>
      <c r="C6689" s="13" t="s">
        <v>8508</v>
      </c>
      <c r="D6689" s="13" t="s">
        <v>8509</v>
      </c>
      <c r="E6689" s="8">
        <v>40000</v>
      </c>
      <c r="F6689" s="13" t="s">
        <v>70</v>
      </c>
      <c r="G6689" s="14">
        <v>44638</v>
      </c>
      <c r="H6689" s="13" t="s">
        <v>35</v>
      </c>
    </row>
    <row r="6690" spans="1:8" ht="14.4" x14ac:dyDescent="0.3">
      <c r="A6690" s="8">
        <v>2040267</v>
      </c>
      <c r="B6690" s="11">
        <v>44635</v>
      </c>
      <c r="C6690" s="13" t="s">
        <v>8510</v>
      </c>
      <c r="D6690" s="13" t="s">
        <v>8511</v>
      </c>
      <c r="E6690" s="8">
        <v>10000</v>
      </c>
      <c r="F6690" s="13" t="s">
        <v>70</v>
      </c>
      <c r="G6690" s="14">
        <v>44637</v>
      </c>
      <c r="H6690" s="13" t="s">
        <v>35</v>
      </c>
    </row>
    <row r="6691" spans="1:8" ht="14.4" x14ac:dyDescent="0.3">
      <c r="A6691" s="8">
        <v>2040268</v>
      </c>
      <c r="B6691" s="11">
        <v>44635</v>
      </c>
      <c r="C6691" s="13" t="s">
        <v>8512</v>
      </c>
      <c r="D6691" s="13" t="s">
        <v>8513</v>
      </c>
      <c r="E6691" s="8">
        <v>10000</v>
      </c>
      <c r="F6691" s="13" t="s">
        <v>70</v>
      </c>
      <c r="G6691" s="14">
        <v>44638</v>
      </c>
      <c r="H6691" s="13" t="s">
        <v>35</v>
      </c>
    </row>
    <row r="6692" spans="1:8" ht="14.4" x14ac:dyDescent="0.3">
      <c r="A6692" s="8">
        <v>2040269</v>
      </c>
      <c r="B6692" s="11">
        <v>44635</v>
      </c>
      <c r="C6692" s="13" t="s">
        <v>8514</v>
      </c>
      <c r="D6692" s="13" t="s">
        <v>8515</v>
      </c>
      <c r="E6692" s="8">
        <v>9000</v>
      </c>
      <c r="F6692" s="13" t="s">
        <v>70</v>
      </c>
      <c r="G6692" s="14">
        <v>44638</v>
      </c>
      <c r="H6692" s="13" t="s">
        <v>35</v>
      </c>
    </row>
    <row r="6693" spans="1:8" ht="14.4" x14ac:dyDescent="0.3">
      <c r="A6693" s="8">
        <v>2040270</v>
      </c>
      <c r="B6693" s="11">
        <v>44635</v>
      </c>
      <c r="C6693" s="13" t="s">
        <v>8516</v>
      </c>
      <c r="D6693" s="13" t="s">
        <v>8517</v>
      </c>
      <c r="E6693" s="8">
        <v>9000</v>
      </c>
      <c r="F6693" s="13" t="s">
        <v>70</v>
      </c>
      <c r="G6693" s="14">
        <v>44638</v>
      </c>
      <c r="H6693" s="13" t="s">
        <v>35</v>
      </c>
    </row>
    <row r="6694" spans="1:8" ht="14.4" x14ac:dyDescent="0.3">
      <c r="A6694" s="8">
        <v>2040271</v>
      </c>
      <c r="B6694" s="11">
        <v>44635</v>
      </c>
      <c r="C6694" s="13" t="s">
        <v>8518</v>
      </c>
      <c r="D6694" s="13" t="s">
        <v>8519</v>
      </c>
      <c r="E6694" s="8">
        <v>15000</v>
      </c>
      <c r="F6694" s="13" t="s">
        <v>70</v>
      </c>
      <c r="G6694" s="14">
        <v>44643</v>
      </c>
      <c r="H6694" s="13" t="s">
        <v>35</v>
      </c>
    </row>
    <row r="6695" spans="1:8" ht="14.4" x14ac:dyDescent="0.3">
      <c r="A6695" s="8">
        <v>2040272</v>
      </c>
      <c r="B6695" s="11">
        <v>44635</v>
      </c>
      <c r="C6695" s="13" t="s">
        <v>8520</v>
      </c>
      <c r="D6695" s="13" t="s">
        <v>8521</v>
      </c>
      <c r="E6695" s="8">
        <v>17000</v>
      </c>
      <c r="F6695" s="13" t="s">
        <v>70</v>
      </c>
      <c r="G6695" s="14">
        <v>44637</v>
      </c>
      <c r="H6695" s="13" t="s">
        <v>35</v>
      </c>
    </row>
    <row r="6696" spans="1:8" ht="14.4" x14ac:dyDescent="0.3">
      <c r="A6696" s="8">
        <v>2040273</v>
      </c>
      <c r="B6696" s="11">
        <v>44635</v>
      </c>
      <c r="C6696" s="13" t="s">
        <v>8522</v>
      </c>
      <c r="D6696" s="13" t="s">
        <v>8523</v>
      </c>
      <c r="E6696" s="8">
        <v>22000</v>
      </c>
      <c r="F6696" s="13" t="s">
        <v>70</v>
      </c>
      <c r="G6696" s="14">
        <v>44637</v>
      </c>
      <c r="H6696" s="13" t="s">
        <v>35</v>
      </c>
    </row>
    <row r="6697" spans="1:8" ht="14.4" x14ac:dyDescent="0.3">
      <c r="A6697" s="8">
        <v>2040274</v>
      </c>
      <c r="B6697" s="11">
        <v>44635</v>
      </c>
      <c r="C6697" s="13" t="s">
        <v>8524</v>
      </c>
      <c r="D6697" s="13" t="s">
        <v>8525</v>
      </c>
      <c r="E6697" s="8">
        <v>10000</v>
      </c>
      <c r="F6697" s="13" t="s">
        <v>70</v>
      </c>
      <c r="G6697" s="14">
        <v>44641</v>
      </c>
      <c r="H6697" s="13" t="s">
        <v>35</v>
      </c>
    </row>
    <row r="6698" spans="1:8" ht="14.4" x14ac:dyDescent="0.3">
      <c r="A6698" s="8">
        <v>2040275</v>
      </c>
      <c r="B6698" s="11">
        <v>44635</v>
      </c>
      <c r="C6698" s="13" t="s">
        <v>8526</v>
      </c>
      <c r="D6698" s="13" t="s">
        <v>8527</v>
      </c>
      <c r="E6698" s="8">
        <v>10000</v>
      </c>
      <c r="F6698" s="13" t="s">
        <v>70</v>
      </c>
      <c r="G6698" s="14">
        <v>44638</v>
      </c>
      <c r="H6698" s="13" t="s">
        <v>35</v>
      </c>
    </row>
    <row r="6699" spans="1:8" ht="14.4" x14ac:dyDescent="0.3">
      <c r="A6699" s="8">
        <v>2040276</v>
      </c>
      <c r="B6699" s="11">
        <v>44635</v>
      </c>
      <c r="C6699" s="13" t="s">
        <v>176</v>
      </c>
      <c r="D6699" s="13" t="s">
        <v>8528</v>
      </c>
      <c r="E6699" s="8">
        <v>10000</v>
      </c>
      <c r="F6699" s="13" t="s">
        <v>70</v>
      </c>
      <c r="G6699" s="14">
        <v>44645</v>
      </c>
      <c r="H6699" s="13" t="s">
        <v>35</v>
      </c>
    </row>
    <row r="6700" spans="1:8" ht="14.4" x14ac:dyDescent="0.3">
      <c r="A6700" s="8">
        <v>2040277</v>
      </c>
      <c r="B6700" s="11">
        <v>44635</v>
      </c>
      <c r="C6700" s="13" t="s">
        <v>8529</v>
      </c>
      <c r="D6700" s="13" t="s">
        <v>8530</v>
      </c>
      <c r="E6700" s="8">
        <v>14000</v>
      </c>
      <c r="F6700" s="13" t="s">
        <v>70</v>
      </c>
      <c r="G6700" s="14">
        <v>44698</v>
      </c>
      <c r="H6700" s="13" t="s">
        <v>35</v>
      </c>
    </row>
    <row r="6701" spans="1:8" ht="14.4" x14ac:dyDescent="0.3">
      <c r="A6701" s="8">
        <v>2040278</v>
      </c>
      <c r="B6701" s="11">
        <v>44635</v>
      </c>
      <c r="C6701" s="13" t="s">
        <v>8531</v>
      </c>
      <c r="D6701" s="13" t="s">
        <v>8532</v>
      </c>
      <c r="E6701" s="8">
        <v>45000</v>
      </c>
      <c r="F6701" s="13" t="s">
        <v>70</v>
      </c>
      <c r="G6701" s="14">
        <v>44641</v>
      </c>
      <c r="H6701" s="13" t="s">
        <v>35</v>
      </c>
    </row>
    <row r="6702" spans="1:8" ht="14.4" x14ac:dyDescent="0.3">
      <c r="A6702" s="8">
        <v>2040279</v>
      </c>
      <c r="B6702" s="11">
        <v>44635</v>
      </c>
      <c r="C6702" s="13" t="s">
        <v>8533</v>
      </c>
      <c r="D6702" s="13" t="s">
        <v>8534</v>
      </c>
      <c r="E6702" s="8">
        <v>12000</v>
      </c>
      <c r="F6702" s="13" t="s">
        <v>70</v>
      </c>
      <c r="G6702" s="14">
        <v>44638</v>
      </c>
      <c r="H6702" s="13" t="s">
        <v>35</v>
      </c>
    </row>
    <row r="6703" spans="1:8" ht="14.4" x14ac:dyDescent="0.3">
      <c r="A6703" s="8">
        <v>2040280</v>
      </c>
      <c r="B6703" s="11">
        <v>44635</v>
      </c>
      <c r="C6703" s="13" t="s">
        <v>8535</v>
      </c>
      <c r="D6703" s="13" t="s">
        <v>8536</v>
      </c>
      <c r="E6703" s="8">
        <v>20000</v>
      </c>
      <c r="F6703" s="13" t="s">
        <v>70</v>
      </c>
      <c r="G6703" s="14">
        <v>44683</v>
      </c>
      <c r="H6703" s="13" t="s">
        <v>35</v>
      </c>
    </row>
    <row r="6704" spans="1:8" ht="14.4" x14ac:dyDescent="0.3">
      <c r="A6704" s="8">
        <v>2040281</v>
      </c>
      <c r="B6704" s="11">
        <v>44635</v>
      </c>
      <c r="C6704" s="13" t="s">
        <v>2831</v>
      </c>
      <c r="D6704" s="13" t="s">
        <v>8537</v>
      </c>
      <c r="E6704" s="8">
        <v>20000</v>
      </c>
      <c r="F6704" s="13" t="s">
        <v>70</v>
      </c>
      <c r="G6704" s="14">
        <v>44636</v>
      </c>
      <c r="H6704" s="13" t="s">
        <v>35</v>
      </c>
    </row>
    <row r="6705" spans="1:8" ht="14.4" x14ac:dyDescent="0.3">
      <c r="A6705" s="8">
        <v>2040282</v>
      </c>
      <c r="B6705" s="11">
        <v>44635</v>
      </c>
      <c r="C6705" s="13" t="s">
        <v>8538</v>
      </c>
      <c r="D6705" s="13" t="s">
        <v>8539</v>
      </c>
      <c r="E6705" s="8">
        <v>50000</v>
      </c>
      <c r="F6705" s="13" t="s">
        <v>70</v>
      </c>
      <c r="G6705" s="14">
        <v>44638</v>
      </c>
      <c r="H6705" s="13" t="s">
        <v>35</v>
      </c>
    </row>
    <row r="6706" spans="1:8" ht="14.4" x14ac:dyDescent="0.3">
      <c r="A6706" s="8">
        <v>2040283</v>
      </c>
      <c r="B6706" s="11">
        <v>44635</v>
      </c>
      <c r="C6706" s="13" t="s">
        <v>8540</v>
      </c>
      <c r="D6706" s="13" t="s">
        <v>8541</v>
      </c>
      <c r="E6706" s="8">
        <v>10000</v>
      </c>
      <c r="F6706" s="13" t="s">
        <v>70</v>
      </c>
      <c r="G6706" s="14">
        <v>44638</v>
      </c>
      <c r="H6706" s="13" t="s">
        <v>35</v>
      </c>
    </row>
    <row r="6707" spans="1:8" ht="14.4" x14ac:dyDescent="0.3">
      <c r="A6707" s="8">
        <v>2040284</v>
      </c>
      <c r="B6707" s="11">
        <v>44635</v>
      </c>
      <c r="C6707" s="13" t="s">
        <v>8542</v>
      </c>
      <c r="D6707" s="13" t="s">
        <v>8543</v>
      </c>
      <c r="E6707" s="8">
        <v>22000</v>
      </c>
      <c r="F6707" s="13" t="s">
        <v>70</v>
      </c>
      <c r="G6707" s="14">
        <v>44637</v>
      </c>
      <c r="H6707" s="13" t="s">
        <v>35</v>
      </c>
    </row>
    <row r="6708" spans="1:8" ht="14.4" x14ac:dyDescent="0.3">
      <c r="A6708" s="8">
        <v>2040285</v>
      </c>
      <c r="B6708" s="11">
        <v>44635</v>
      </c>
      <c r="C6708" s="13" t="s">
        <v>8544</v>
      </c>
      <c r="D6708" s="13" t="s">
        <v>8545</v>
      </c>
      <c r="E6708" s="8">
        <v>23000</v>
      </c>
      <c r="F6708" s="13" t="s">
        <v>70</v>
      </c>
      <c r="G6708" s="14">
        <v>44638</v>
      </c>
      <c r="H6708" s="13" t="s">
        <v>35</v>
      </c>
    </row>
    <row r="6709" spans="1:8" ht="14.4" x14ac:dyDescent="0.3">
      <c r="A6709" s="8">
        <v>2040286</v>
      </c>
      <c r="B6709" s="11">
        <v>44635</v>
      </c>
      <c r="C6709" s="13" t="s">
        <v>8546</v>
      </c>
      <c r="D6709" s="13" t="s">
        <v>8547</v>
      </c>
      <c r="E6709" s="8">
        <v>13000</v>
      </c>
      <c r="F6709" s="13" t="s">
        <v>70</v>
      </c>
      <c r="G6709" s="14">
        <v>44638</v>
      </c>
      <c r="H6709" s="13" t="s">
        <v>35</v>
      </c>
    </row>
    <row r="6710" spans="1:8" ht="14.4" x14ac:dyDescent="0.3">
      <c r="A6710" s="8">
        <v>2040287</v>
      </c>
      <c r="B6710" s="11">
        <v>44635</v>
      </c>
      <c r="C6710" s="13" t="s">
        <v>8548</v>
      </c>
      <c r="D6710" s="13" t="s">
        <v>8549</v>
      </c>
      <c r="E6710" s="8">
        <v>11000</v>
      </c>
      <c r="F6710" s="13" t="s">
        <v>70</v>
      </c>
      <c r="G6710" s="14">
        <v>44638</v>
      </c>
      <c r="H6710" s="13" t="s">
        <v>35</v>
      </c>
    </row>
    <row r="6711" spans="1:8" ht="14.4" x14ac:dyDescent="0.3">
      <c r="A6711" s="8">
        <v>2040288</v>
      </c>
      <c r="B6711" s="11">
        <v>44635</v>
      </c>
      <c r="C6711" s="13" t="s">
        <v>8550</v>
      </c>
      <c r="D6711" s="13" t="s">
        <v>8551</v>
      </c>
      <c r="E6711" s="8">
        <v>20000</v>
      </c>
      <c r="F6711" s="13" t="s">
        <v>70</v>
      </c>
      <c r="G6711" s="14">
        <v>44636</v>
      </c>
      <c r="H6711" s="13" t="s">
        <v>35</v>
      </c>
    </row>
    <row r="6712" spans="1:8" ht="14.4" x14ac:dyDescent="0.3">
      <c r="A6712" s="8">
        <v>2040289</v>
      </c>
      <c r="B6712" s="11">
        <v>44635</v>
      </c>
      <c r="C6712" s="13" t="s">
        <v>8552</v>
      </c>
      <c r="D6712" s="13" t="s">
        <v>8553</v>
      </c>
      <c r="E6712" s="8">
        <v>39000</v>
      </c>
      <c r="F6712" s="13" t="s">
        <v>70</v>
      </c>
      <c r="G6712" s="14">
        <v>44638</v>
      </c>
      <c r="H6712" s="13" t="s">
        <v>35</v>
      </c>
    </row>
    <row r="6713" spans="1:8" ht="14.4" x14ac:dyDescent="0.3">
      <c r="A6713" s="8">
        <v>2040290</v>
      </c>
      <c r="B6713" s="11">
        <v>44635</v>
      </c>
      <c r="C6713" s="13" t="s">
        <v>8554</v>
      </c>
      <c r="D6713" s="13" t="s">
        <v>8555</v>
      </c>
      <c r="E6713" s="8">
        <v>8000</v>
      </c>
      <c r="F6713" s="13" t="s">
        <v>70</v>
      </c>
      <c r="G6713" s="14">
        <v>44642</v>
      </c>
      <c r="H6713" s="13" t="s">
        <v>35</v>
      </c>
    </row>
    <row r="6714" spans="1:8" ht="14.4" x14ac:dyDescent="0.3">
      <c r="A6714" s="8">
        <v>2040291</v>
      </c>
      <c r="B6714" s="11">
        <v>44635</v>
      </c>
      <c r="C6714" s="13" t="s">
        <v>8556</v>
      </c>
      <c r="D6714" s="13" t="s">
        <v>8557</v>
      </c>
      <c r="E6714" s="8">
        <v>10000</v>
      </c>
      <c r="F6714" s="13" t="s">
        <v>70</v>
      </c>
      <c r="G6714" s="14">
        <v>44638</v>
      </c>
      <c r="H6714" s="13" t="s">
        <v>35</v>
      </c>
    </row>
    <row r="6715" spans="1:8" ht="14.4" x14ac:dyDescent="0.3">
      <c r="A6715" s="8">
        <v>2040292</v>
      </c>
      <c r="B6715" s="11">
        <v>44635</v>
      </c>
      <c r="C6715" s="13" t="s">
        <v>8558</v>
      </c>
      <c r="D6715" s="13" t="s">
        <v>150</v>
      </c>
      <c r="E6715" s="8">
        <v>6000</v>
      </c>
      <c r="F6715" s="13" t="s">
        <v>70</v>
      </c>
      <c r="G6715" s="14">
        <v>44638</v>
      </c>
      <c r="H6715" s="13" t="s">
        <v>35</v>
      </c>
    </row>
    <row r="6716" spans="1:8" ht="14.4" x14ac:dyDescent="0.3">
      <c r="A6716" s="8">
        <v>2040293</v>
      </c>
      <c r="B6716" s="11">
        <v>44635</v>
      </c>
      <c r="C6716" s="13" t="s">
        <v>8559</v>
      </c>
      <c r="D6716" s="13" t="s">
        <v>47</v>
      </c>
      <c r="E6716" s="8">
        <v>8000</v>
      </c>
      <c r="F6716" s="13" t="s">
        <v>70</v>
      </c>
      <c r="G6716" s="14">
        <v>44638</v>
      </c>
      <c r="H6716" s="13" t="s">
        <v>35</v>
      </c>
    </row>
    <row r="6717" spans="1:8" ht="14.4" x14ac:dyDescent="0.3">
      <c r="A6717" s="8">
        <v>2040294</v>
      </c>
      <c r="B6717" s="11">
        <v>44635</v>
      </c>
      <c r="C6717" s="13" t="s">
        <v>8560</v>
      </c>
      <c r="D6717" s="13" t="s">
        <v>8561</v>
      </c>
      <c r="E6717" s="8">
        <v>24000</v>
      </c>
      <c r="F6717" s="13" t="s">
        <v>70</v>
      </c>
      <c r="G6717" s="14">
        <v>44637</v>
      </c>
      <c r="H6717" s="13" t="s">
        <v>35</v>
      </c>
    </row>
    <row r="6718" spans="1:8" ht="14.4" x14ac:dyDescent="0.3">
      <c r="A6718" s="8">
        <v>2040295</v>
      </c>
      <c r="B6718" s="11">
        <v>44635</v>
      </c>
      <c r="C6718" s="13" t="s">
        <v>8562</v>
      </c>
      <c r="D6718" s="13" t="s">
        <v>100</v>
      </c>
      <c r="E6718" s="8">
        <v>8000</v>
      </c>
      <c r="F6718" s="13" t="s">
        <v>70</v>
      </c>
      <c r="G6718" s="14">
        <v>44641</v>
      </c>
      <c r="H6718" s="13" t="s">
        <v>35</v>
      </c>
    </row>
    <row r="6719" spans="1:8" ht="14.4" x14ac:dyDescent="0.3">
      <c r="A6719" s="8">
        <v>2040296</v>
      </c>
      <c r="B6719" s="11">
        <v>44635</v>
      </c>
      <c r="C6719" s="13" t="s">
        <v>8563</v>
      </c>
      <c r="D6719" s="13" t="s">
        <v>8564</v>
      </c>
      <c r="E6719" s="8">
        <v>10000</v>
      </c>
      <c r="F6719" s="13" t="s">
        <v>70</v>
      </c>
      <c r="G6719" s="14">
        <v>44638</v>
      </c>
      <c r="H6719" s="13" t="s">
        <v>35</v>
      </c>
    </row>
    <row r="6720" spans="1:8" ht="14.4" x14ac:dyDescent="0.3">
      <c r="A6720" s="8">
        <v>2040297</v>
      </c>
      <c r="B6720" s="11">
        <v>44635</v>
      </c>
      <c r="C6720" s="13" t="s">
        <v>8565</v>
      </c>
      <c r="D6720" s="13" t="s">
        <v>8566</v>
      </c>
      <c r="E6720" s="8">
        <v>12000</v>
      </c>
      <c r="F6720" s="13" t="s">
        <v>70</v>
      </c>
      <c r="G6720" s="14">
        <v>44641</v>
      </c>
      <c r="H6720" s="13" t="s">
        <v>35</v>
      </c>
    </row>
    <row r="6721" spans="1:8" ht="14.4" x14ac:dyDescent="0.3">
      <c r="A6721" s="8">
        <v>2040298</v>
      </c>
      <c r="B6721" s="11">
        <v>44635</v>
      </c>
      <c r="C6721" s="13" t="s">
        <v>8567</v>
      </c>
      <c r="D6721" s="13" t="s">
        <v>8568</v>
      </c>
      <c r="E6721" s="8">
        <v>18000</v>
      </c>
      <c r="F6721" s="13" t="s">
        <v>70</v>
      </c>
      <c r="G6721" s="14">
        <v>44638</v>
      </c>
      <c r="H6721" s="13" t="s">
        <v>35</v>
      </c>
    </row>
    <row r="6722" spans="1:8" ht="14.4" x14ac:dyDescent="0.3">
      <c r="A6722" s="8">
        <v>2040299</v>
      </c>
      <c r="B6722" s="11">
        <v>44636</v>
      </c>
      <c r="C6722" s="13" t="s">
        <v>893</v>
      </c>
      <c r="D6722" s="13" t="s">
        <v>8569</v>
      </c>
      <c r="E6722" s="8">
        <v>147000</v>
      </c>
      <c r="F6722" s="13" t="s">
        <v>70</v>
      </c>
      <c r="G6722" s="14">
        <v>44645</v>
      </c>
      <c r="H6722" s="13" t="s">
        <v>35</v>
      </c>
    </row>
    <row r="6723" spans="1:8" ht="14.4" x14ac:dyDescent="0.3">
      <c r="A6723" s="8">
        <v>2040300</v>
      </c>
      <c r="B6723" s="11">
        <v>44636</v>
      </c>
      <c r="C6723" s="13" t="s">
        <v>189</v>
      </c>
      <c r="D6723" s="13" t="s">
        <v>8570</v>
      </c>
      <c r="E6723" s="8">
        <v>2311038.15</v>
      </c>
      <c r="F6723" s="13" t="s">
        <v>70</v>
      </c>
      <c r="G6723" s="14">
        <v>44643</v>
      </c>
      <c r="H6723" s="13" t="s">
        <v>35</v>
      </c>
    </row>
    <row r="6724" spans="1:8" ht="14.4" x14ac:dyDescent="0.3">
      <c r="A6724" s="8">
        <v>2040301</v>
      </c>
      <c r="B6724" s="11">
        <v>44636</v>
      </c>
      <c r="C6724" s="13" t="s">
        <v>189</v>
      </c>
      <c r="D6724" s="13" t="s">
        <v>8571</v>
      </c>
      <c r="E6724" s="8">
        <v>123566.41</v>
      </c>
      <c r="F6724" s="13" t="s">
        <v>70</v>
      </c>
      <c r="G6724" s="14">
        <v>44643</v>
      </c>
      <c r="H6724" s="13" t="s">
        <v>35</v>
      </c>
    </row>
    <row r="6725" spans="1:8" ht="14.4" x14ac:dyDescent="0.3">
      <c r="A6725" s="8">
        <v>2040302</v>
      </c>
      <c r="B6725" s="11">
        <v>44636</v>
      </c>
      <c r="C6725" s="13" t="s">
        <v>118</v>
      </c>
      <c r="D6725" s="13" t="s">
        <v>8383</v>
      </c>
      <c r="E6725" s="8">
        <v>15000</v>
      </c>
      <c r="F6725" s="13" t="s">
        <v>70</v>
      </c>
      <c r="G6725" s="14">
        <v>44643</v>
      </c>
      <c r="H6725" s="13" t="s">
        <v>35</v>
      </c>
    </row>
    <row r="6726" spans="1:8" ht="14.4" x14ac:dyDescent="0.3">
      <c r="A6726" s="8">
        <v>2040303</v>
      </c>
      <c r="B6726" s="11">
        <v>44636</v>
      </c>
      <c r="C6726" s="13" t="s">
        <v>1552</v>
      </c>
      <c r="D6726" s="13" t="s">
        <v>8572</v>
      </c>
      <c r="E6726" s="8">
        <v>15000</v>
      </c>
      <c r="F6726" s="13" t="s">
        <v>70</v>
      </c>
      <c r="G6726" s="14">
        <v>44644</v>
      </c>
      <c r="H6726" s="13" t="s">
        <v>35</v>
      </c>
    </row>
    <row r="6727" spans="1:8" ht="14.4" x14ac:dyDescent="0.3">
      <c r="A6727" s="8">
        <v>2040304</v>
      </c>
      <c r="B6727" s="11">
        <v>44636</v>
      </c>
      <c r="C6727" s="13" t="s">
        <v>121</v>
      </c>
      <c r="D6727" s="13" t="s">
        <v>8383</v>
      </c>
      <c r="E6727" s="8">
        <v>15000</v>
      </c>
      <c r="F6727" s="13" t="s">
        <v>70</v>
      </c>
      <c r="G6727" s="14">
        <v>44641</v>
      </c>
      <c r="H6727" s="13" t="s">
        <v>35</v>
      </c>
    </row>
    <row r="6728" spans="1:8" ht="14.4" x14ac:dyDescent="0.3">
      <c r="A6728" s="8">
        <v>2040305</v>
      </c>
      <c r="B6728" s="11">
        <v>44636</v>
      </c>
      <c r="C6728" s="13" t="s">
        <v>399</v>
      </c>
      <c r="D6728" s="13" t="s">
        <v>8383</v>
      </c>
      <c r="E6728" s="8">
        <v>15000</v>
      </c>
      <c r="F6728" s="13" t="s">
        <v>70</v>
      </c>
      <c r="G6728" s="14">
        <v>44641</v>
      </c>
      <c r="H6728" s="13" t="s">
        <v>35</v>
      </c>
    </row>
    <row r="6729" spans="1:8" ht="14.4" x14ac:dyDescent="0.3">
      <c r="A6729" s="8">
        <v>2040306</v>
      </c>
      <c r="B6729" s="11">
        <v>44636</v>
      </c>
      <c r="C6729" s="13" t="s">
        <v>120</v>
      </c>
      <c r="D6729" s="13" t="s">
        <v>8383</v>
      </c>
      <c r="E6729" s="8">
        <v>15000</v>
      </c>
      <c r="F6729" s="13" t="s">
        <v>70</v>
      </c>
      <c r="G6729" s="14">
        <v>44648</v>
      </c>
      <c r="H6729" s="13" t="s">
        <v>35</v>
      </c>
    </row>
    <row r="6730" spans="1:8" ht="14.4" x14ac:dyDescent="0.3">
      <c r="A6730" s="8">
        <v>2040307</v>
      </c>
      <c r="B6730" s="11">
        <v>44636</v>
      </c>
      <c r="C6730" s="13" t="s">
        <v>400</v>
      </c>
      <c r="D6730" s="13" t="s">
        <v>8573</v>
      </c>
      <c r="E6730" s="8">
        <v>15000</v>
      </c>
      <c r="F6730" s="13" t="s">
        <v>70</v>
      </c>
      <c r="G6730" s="14">
        <v>44644</v>
      </c>
      <c r="H6730" s="13" t="s">
        <v>35</v>
      </c>
    </row>
    <row r="6731" spans="1:8" ht="14.4" x14ac:dyDescent="0.3">
      <c r="A6731" s="8">
        <v>2040308</v>
      </c>
      <c r="B6731" s="11">
        <v>44636</v>
      </c>
      <c r="C6731" s="13" t="s">
        <v>8574</v>
      </c>
      <c r="D6731" s="13" t="s">
        <v>8383</v>
      </c>
      <c r="E6731" s="8">
        <v>15000</v>
      </c>
      <c r="F6731" s="13" t="s">
        <v>70</v>
      </c>
      <c r="G6731" s="14">
        <v>44638</v>
      </c>
      <c r="H6731" s="13" t="s">
        <v>35</v>
      </c>
    </row>
    <row r="6732" spans="1:8" ht="14.4" x14ac:dyDescent="0.3">
      <c r="A6732" s="8">
        <v>2040309</v>
      </c>
      <c r="B6732" s="11">
        <v>44636</v>
      </c>
      <c r="C6732" s="13" t="s">
        <v>402</v>
      </c>
      <c r="D6732" s="13" t="s">
        <v>8383</v>
      </c>
      <c r="E6732" s="8">
        <v>15000</v>
      </c>
      <c r="F6732" s="13" t="s">
        <v>70</v>
      </c>
      <c r="G6732" s="14">
        <v>44638</v>
      </c>
      <c r="H6732" s="13" t="s">
        <v>35</v>
      </c>
    </row>
    <row r="6733" spans="1:8" ht="14.4" x14ac:dyDescent="0.3">
      <c r="A6733" s="8">
        <v>2040310</v>
      </c>
      <c r="B6733" s="11">
        <v>44636</v>
      </c>
      <c r="C6733" s="13" t="s">
        <v>330</v>
      </c>
      <c r="D6733" s="13" t="s">
        <v>8383</v>
      </c>
      <c r="E6733" s="8">
        <v>20000</v>
      </c>
      <c r="F6733" s="13" t="s">
        <v>70</v>
      </c>
      <c r="G6733" s="14">
        <v>44637</v>
      </c>
      <c r="H6733" s="13" t="s">
        <v>35</v>
      </c>
    </row>
    <row r="6734" spans="1:8" ht="14.4" x14ac:dyDescent="0.3">
      <c r="A6734" s="8">
        <v>2040311</v>
      </c>
      <c r="B6734" s="11">
        <v>44636</v>
      </c>
      <c r="C6734" s="13" t="s">
        <v>331</v>
      </c>
      <c r="D6734" s="13" t="s">
        <v>8383</v>
      </c>
      <c r="E6734" s="8">
        <v>10000</v>
      </c>
      <c r="F6734" s="13" t="s">
        <v>70</v>
      </c>
      <c r="G6734" s="14">
        <v>44637</v>
      </c>
      <c r="H6734" s="13" t="s">
        <v>35</v>
      </c>
    </row>
    <row r="6735" spans="1:8" ht="14.4" x14ac:dyDescent="0.3">
      <c r="A6735" s="8">
        <v>2040312</v>
      </c>
      <c r="B6735" s="11">
        <v>44636</v>
      </c>
      <c r="C6735" s="13" t="s">
        <v>332</v>
      </c>
      <c r="D6735" s="13" t="s">
        <v>8383</v>
      </c>
      <c r="E6735" s="8">
        <v>5000</v>
      </c>
      <c r="F6735" s="13" t="s">
        <v>70</v>
      </c>
      <c r="G6735" s="14">
        <v>44637</v>
      </c>
      <c r="H6735" s="13" t="s">
        <v>35</v>
      </c>
    </row>
    <row r="6736" spans="1:8" ht="14.4" x14ac:dyDescent="0.3">
      <c r="A6736" s="8">
        <v>2040313</v>
      </c>
      <c r="B6736" s="11">
        <v>44636</v>
      </c>
      <c r="C6736" s="13" t="s">
        <v>333</v>
      </c>
      <c r="D6736" s="13" t="s">
        <v>8383</v>
      </c>
      <c r="E6736" s="8">
        <v>3000</v>
      </c>
      <c r="F6736" s="13" t="s">
        <v>70</v>
      </c>
      <c r="G6736" s="14">
        <v>44637</v>
      </c>
      <c r="H6736" s="13" t="s">
        <v>35</v>
      </c>
    </row>
    <row r="6737" spans="1:8" ht="14.4" x14ac:dyDescent="0.3">
      <c r="A6737" s="8">
        <v>2040314</v>
      </c>
      <c r="B6737" s="11">
        <v>44636</v>
      </c>
      <c r="C6737" s="13" t="s">
        <v>345</v>
      </c>
      <c r="D6737" s="13" t="s">
        <v>8381</v>
      </c>
      <c r="E6737" s="8">
        <v>10000</v>
      </c>
      <c r="F6737" s="13" t="s">
        <v>70</v>
      </c>
      <c r="G6737" s="14">
        <v>44638</v>
      </c>
      <c r="H6737" s="13" t="s">
        <v>35</v>
      </c>
    </row>
    <row r="6738" spans="1:8" ht="14.4" x14ac:dyDescent="0.3">
      <c r="A6738" s="8">
        <v>2040315</v>
      </c>
      <c r="B6738" s="11">
        <v>44636</v>
      </c>
      <c r="C6738" s="13" t="s">
        <v>347</v>
      </c>
      <c r="D6738" s="13" t="s">
        <v>8381</v>
      </c>
      <c r="E6738" s="8">
        <v>3000</v>
      </c>
      <c r="F6738" s="13" t="s">
        <v>70</v>
      </c>
      <c r="G6738" s="14">
        <v>44638</v>
      </c>
      <c r="H6738" s="13" t="s">
        <v>35</v>
      </c>
    </row>
    <row r="6739" spans="1:8" ht="14.4" x14ac:dyDescent="0.3">
      <c r="A6739" s="8">
        <v>2040316</v>
      </c>
      <c r="B6739" s="11">
        <v>44636</v>
      </c>
      <c r="C6739" s="13" t="s">
        <v>346</v>
      </c>
      <c r="D6739" s="13" t="s">
        <v>8381</v>
      </c>
      <c r="E6739" s="8">
        <v>5000</v>
      </c>
      <c r="F6739" s="13" t="s">
        <v>70</v>
      </c>
      <c r="G6739" s="14">
        <v>44638</v>
      </c>
      <c r="H6739" s="13" t="s">
        <v>35</v>
      </c>
    </row>
    <row r="6740" spans="1:8" ht="14.4" x14ac:dyDescent="0.3">
      <c r="A6740" s="8">
        <v>2040317</v>
      </c>
      <c r="B6740" s="11">
        <v>44636</v>
      </c>
      <c r="C6740" s="13" t="s">
        <v>311</v>
      </c>
      <c r="D6740" s="13" t="s">
        <v>8575</v>
      </c>
      <c r="E6740" s="8">
        <v>10000</v>
      </c>
      <c r="F6740" s="13" t="s">
        <v>70</v>
      </c>
      <c r="G6740" s="14">
        <v>44638</v>
      </c>
      <c r="H6740" s="13" t="s">
        <v>35</v>
      </c>
    </row>
    <row r="6741" spans="1:8" ht="14.4" x14ac:dyDescent="0.3">
      <c r="A6741" s="8">
        <v>2040318</v>
      </c>
      <c r="B6741" s="11">
        <v>44636</v>
      </c>
      <c r="C6741" s="13" t="s">
        <v>312</v>
      </c>
      <c r="D6741" s="13" t="s">
        <v>8575</v>
      </c>
      <c r="E6741" s="8">
        <v>10000</v>
      </c>
      <c r="F6741" s="13" t="s">
        <v>70</v>
      </c>
      <c r="G6741" s="14">
        <v>44638</v>
      </c>
      <c r="H6741" s="13" t="s">
        <v>35</v>
      </c>
    </row>
    <row r="6742" spans="1:8" ht="14.4" x14ac:dyDescent="0.3">
      <c r="A6742" s="8">
        <v>2040319</v>
      </c>
      <c r="B6742" s="11">
        <v>44636</v>
      </c>
      <c r="C6742" s="13" t="s">
        <v>337</v>
      </c>
      <c r="D6742" s="13" t="s">
        <v>8575</v>
      </c>
      <c r="E6742" s="8">
        <v>10000</v>
      </c>
      <c r="F6742" s="13" t="s">
        <v>70</v>
      </c>
      <c r="G6742" s="14">
        <v>44638</v>
      </c>
      <c r="H6742" s="13" t="s">
        <v>35</v>
      </c>
    </row>
    <row r="6743" spans="1:8" ht="14.4" x14ac:dyDescent="0.3">
      <c r="A6743" s="8">
        <v>2040320</v>
      </c>
      <c r="B6743" s="11">
        <v>44636</v>
      </c>
      <c r="C6743" s="13" t="s">
        <v>313</v>
      </c>
      <c r="D6743" s="13" t="s">
        <v>8575</v>
      </c>
      <c r="E6743" s="8">
        <v>10000</v>
      </c>
      <c r="F6743" s="13" t="s">
        <v>70</v>
      </c>
      <c r="G6743" s="14">
        <v>44638</v>
      </c>
      <c r="H6743" s="13" t="s">
        <v>35</v>
      </c>
    </row>
    <row r="6744" spans="1:8" ht="14.4" x14ac:dyDescent="0.3">
      <c r="A6744" s="8">
        <v>2040321</v>
      </c>
      <c r="B6744" s="11">
        <v>44636</v>
      </c>
      <c r="C6744" s="13" t="s">
        <v>315</v>
      </c>
      <c r="D6744" s="13" t="s">
        <v>8575</v>
      </c>
      <c r="E6744" s="8">
        <v>10000</v>
      </c>
      <c r="F6744" s="13" t="s">
        <v>70</v>
      </c>
      <c r="G6744" s="14">
        <v>44638</v>
      </c>
      <c r="H6744" s="13" t="s">
        <v>35</v>
      </c>
    </row>
    <row r="6745" spans="1:8" ht="14.4" x14ac:dyDescent="0.3">
      <c r="A6745" s="8">
        <v>2040322</v>
      </c>
      <c r="B6745" s="11">
        <v>44636</v>
      </c>
      <c r="C6745" s="13" t="s">
        <v>314</v>
      </c>
      <c r="D6745" s="13" t="s">
        <v>8575</v>
      </c>
      <c r="E6745" s="8">
        <v>10000</v>
      </c>
      <c r="F6745" s="13" t="s">
        <v>70</v>
      </c>
      <c r="G6745" s="14">
        <v>44638</v>
      </c>
      <c r="H6745" s="13" t="s">
        <v>35</v>
      </c>
    </row>
    <row r="6746" spans="1:8" ht="14.4" x14ac:dyDescent="0.3">
      <c r="A6746" s="8">
        <v>2040323</v>
      </c>
      <c r="B6746" s="11">
        <v>44636</v>
      </c>
      <c r="C6746" s="13" t="s">
        <v>3641</v>
      </c>
      <c r="D6746" s="13" t="s">
        <v>8575</v>
      </c>
      <c r="E6746" s="8">
        <v>12000</v>
      </c>
      <c r="F6746" s="13" t="s">
        <v>70</v>
      </c>
      <c r="G6746" s="14">
        <v>44638</v>
      </c>
      <c r="H6746" s="13" t="s">
        <v>35</v>
      </c>
    </row>
    <row r="6747" spans="1:8" ht="14.4" x14ac:dyDescent="0.3">
      <c r="A6747" s="8">
        <v>2040324</v>
      </c>
      <c r="B6747" s="11">
        <v>44636</v>
      </c>
      <c r="C6747" s="13" t="s">
        <v>316</v>
      </c>
      <c r="D6747" s="13" t="s">
        <v>8575</v>
      </c>
      <c r="E6747" s="8">
        <v>10000</v>
      </c>
      <c r="F6747" s="13" t="s">
        <v>70</v>
      </c>
      <c r="G6747" s="14">
        <v>44638</v>
      </c>
      <c r="H6747" s="13" t="s">
        <v>35</v>
      </c>
    </row>
    <row r="6748" spans="1:8" ht="14.4" x14ac:dyDescent="0.3">
      <c r="A6748" s="8">
        <v>2040325</v>
      </c>
      <c r="B6748" s="11">
        <v>44636</v>
      </c>
      <c r="C6748" s="13" t="s">
        <v>321</v>
      </c>
      <c r="D6748" s="13" t="s">
        <v>8576</v>
      </c>
      <c r="E6748" s="8">
        <v>12000</v>
      </c>
      <c r="F6748" s="13" t="s">
        <v>70</v>
      </c>
      <c r="G6748" s="14">
        <v>44638</v>
      </c>
      <c r="H6748" s="13" t="s">
        <v>35</v>
      </c>
    </row>
    <row r="6749" spans="1:8" ht="14.4" x14ac:dyDescent="0.3">
      <c r="A6749" s="8">
        <v>2040326</v>
      </c>
      <c r="B6749" s="11">
        <v>44636</v>
      </c>
      <c r="C6749" s="13" t="s">
        <v>319</v>
      </c>
      <c r="D6749" s="13" t="s">
        <v>8575</v>
      </c>
      <c r="E6749" s="8">
        <v>10000</v>
      </c>
      <c r="F6749" s="13" t="s">
        <v>70</v>
      </c>
      <c r="G6749" s="14">
        <v>44638</v>
      </c>
      <c r="H6749" s="13" t="s">
        <v>35</v>
      </c>
    </row>
    <row r="6750" spans="1:8" ht="14.4" x14ac:dyDescent="0.3">
      <c r="A6750" s="8">
        <v>2040327</v>
      </c>
      <c r="B6750" s="11">
        <v>44636</v>
      </c>
      <c r="C6750" s="13" t="s">
        <v>318</v>
      </c>
      <c r="D6750" s="13" t="s">
        <v>8575</v>
      </c>
      <c r="E6750" s="8">
        <v>10000</v>
      </c>
      <c r="F6750" s="13" t="s">
        <v>70</v>
      </c>
      <c r="G6750" s="14">
        <v>44638</v>
      </c>
      <c r="H6750" s="13" t="s">
        <v>35</v>
      </c>
    </row>
    <row r="6751" spans="1:8" ht="14.4" x14ac:dyDescent="0.3">
      <c r="A6751" s="8">
        <v>2040329</v>
      </c>
      <c r="B6751" s="11">
        <v>44636</v>
      </c>
      <c r="C6751" s="13" t="s">
        <v>324</v>
      </c>
      <c r="D6751" s="13" t="s">
        <v>8575</v>
      </c>
      <c r="E6751" s="8">
        <v>12000</v>
      </c>
      <c r="F6751" s="13" t="s">
        <v>70</v>
      </c>
      <c r="G6751" s="14">
        <v>44638</v>
      </c>
      <c r="H6751" s="13" t="s">
        <v>35</v>
      </c>
    </row>
    <row r="6752" spans="1:8" ht="14.4" x14ac:dyDescent="0.3">
      <c r="A6752" s="8">
        <v>2040330</v>
      </c>
      <c r="B6752" s="11">
        <v>44636</v>
      </c>
      <c r="C6752" s="13" t="s">
        <v>320</v>
      </c>
      <c r="D6752" s="13" t="s">
        <v>8575</v>
      </c>
      <c r="E6752" s="8">
        <v>10000</v>
      </c>
      <c r="F6752" s="13" t="s">
        <v>70</v>
      </c>
      <c r="G6752" s="14">
        <v>44638</v>
      </c>
      <c r="H6752" s="13" t="s">
        <v>35</v>
      </c>
    </row>
    <row r="6753" spans="1:8" ht="14.4" x14ac:dyDescent="0.3">
      <c r="A6753" s="8">
        <v>2040331</v>
      </c>
      <c r="B6753" s="11">
        <v>44636</v>
      </c>
      <c r="C6753" s="13" t="s">
        <v>531</v>
      </c>
      <c r="D6753" s="13" t="s">
        <v>8383</v>
      </c>
      <c r="E6753" s="8">
        <v>10000</v>
      </c>
      <c r="F6753" s="13" t="s">
        <v>70</v>
      </c>
      <c r="G6753" s="14">
        <v>44637</v>
      </c>
      <c r="H6753" s="13" t="s">
        <v>35</v>
      </c>
    </row>
    <row r="6754" spans="1:8" ht="14.4" x14ac:dyDescent="0.3">
      <c r="A6754" s="8">
        <v>2040332</v>
      </c>
      <c r="B6754" s="11">
        <v>44636</v>
      </c>
      <c r="C6754" s="13" t="s">
        <v>532</v>
      </c>
      <c r="D6754" s="13" t="s">
        <v>8383</v>
      </c>
      <c r="E6754" s="8">
        <v>10000</v>
      </c>
      <c r="F6754" s="13" t="s">
        <v>70</v>
      </c>
      <c r="G6754" s="14">
        <v>44638</v>
      </c>
      <c r="H6754" s="13" t="s">
        <v>35</v>
      </c>
    </row>
    <row r="6755" spans="1:8" ht="14.4" x14ac:dyDescent="0.3">
      <c r="A6755" s="8">
        <v>2040333</v>
      </c>
      <c r="B6755" s="11">
        <v>44636</v>
      </c>
      <c r="C6755" s="13" t="s">
        <v>97</v>
      </c>
      <c r="D6755" s="13" t="s">
        <v>8383</v>
      </c>
      <c r="E6755" s="8">
        <v>5000</v>
      </c>
      <c r="F6755" s="13" t="s">
        <v>70</v>
      </c>
      <c r="G6755" s="14">
        <v>44638</v>
      </c>
      <c r="H6755" s="13" t="s">
        <v>35</v>
      </c>
    </row>
    <row r="6756" spans="1:8" ht="14.4" x14ac:dyDescent="0.3">
      <c r="A6756" s="8">
        <v>2040334</v>
      </c>
      <c r="B6756" s="11">
        <v>44636</v>
      </c>
      <c r="C6756" s="13" t="s">
        <v>533</v>
      </c>
      <c r="D6756" s="13" t="s">
        <v>8383</v>
      </c>
      <c r="E6756" s="8">
        <v>3000</v>
      </c>
      <c r="F6756" s="13" t="s">
        <v>70</v>
      </c>
      <c r="G6756" s="14">
        <v>44638</v>
      </c>
      <c r="H6756" s="13" t="s">
        <v>35</v>
      </c>
    </row>
    <row r="6757" spans="1:8" ht="14.4" x14ac:dyDescent="0.3">
      <c r="A6757" s="8">
        <v>2040335</v>
      </c>
      <c r="B6757" s="11">
        <v>44636</v>
      </c>
      <c r="C6757" s="13" t="s">
        <v>317</v>
      </c>
      <c r="D6757" s="13" t="s">
        <v>8575</v>
      </c>
      <c r="E6757" s="8">
        <v>10000</v>
      </c>
      <c r="F6757" s="13" t="s">
        <v>70</v>
      </c>
      <c r="G6757" s="14">
        <v>44638</v>
      </c>
      <c r="H6757" s="13" t="s">
        <v>35</v>
      </c>
    </row>
    <row r="6758" spans="1:8" ht="14.4" x14ac:dyDescent="0.3">
      <c r="A6758" s="8">
        <v>2040336</v>
      </c>
      <c r="B6758" s="11">
        <v>44636</v>
      </c>
      <c r="C6758" s="13" t="s">
        <v>748</v>
      </c>
      <c r="D6758" s="13" t="s">
        <v>8577</v>
      </c>
      <c r="E6758" s="8">
        <v>936.56</v>
      </c>
      <c r="F6758" s="13" t="s">
        <v>70</v>
      </c>
      <c r="G6758" s="14">
        <v>44641</v>
      </c>
      <c r="H6758" s="13" t="s">
        <v>35</v>
      </c>
    </row>
    <row r="6759" spans="1:8" ht="14.4" x14ac:dyDescent="0.3">
      <c r="A6759" s="8">
        <v>2040337</v>
      </c>
      <c r="B6759" s="11">
        <v>44636</v>
      </c>
      <c r="C6759" s="13" t="s">
        <v>8578</v>
      </c>
      <c r="D6759" s="13" t="s">
        <v>8383</v>
      </c>
      <c r="E6759" s="8">
        <v>10000</v>
      </c>
      <c r="F6759" s="13" t="s">
        <v>70</v>
      </c>
      <c r="G6759" s="14">
        <v>44638</v>
      </c>
      <c r="H6759" s="13" t="s">
        <v>35</v>
      </c>
    </row>
    <row r="6760" spans="1:8" ht="14.4" x14ac:dyDescent="0.3">
      <c r="A6760" s="8">
        <v>2040338</v>
      </c>
      <c r="B6760" s="11">
        <v>44636</v>
      </c>
      <c r="C6760" s="13" t="s">
        <v>2198</v>
      </c>
      <c r="D6760" s="13" t="s">
        <v>8383</v>
      </c>
      <c r="E6760" s="8">
        <v>10000</v>
      </c>
      <c r="F6760" s="13" t="s">
        <v>70</v>
      </c>
      <c r="G6760" s="14">
        <v>44638</v>
      </c>
      <c r="H6760" s="13" t="s">
        <v>35</v>
      </c>
    </row>
    <row r="6761" spans="1:8" ht="14.4" x14ac:dyDescent="0.3">
      <c r="A6761" s="8">
        <v>2040339</v>
      </c>
      <c r="B6761" s="11">
        <v>44636</v>
      </c>
      <c r="C6761" s="13" t="s">
        <v>2199</v>
      </c>
      <c r="D6761" s="13" t="s">
        <v>8579</v>
      </c>
      <c r="E6761" s="8">
        <v>10000</v>
      </c>
      <c r="F6761" s="13" t="s">
        <v>70</v>
      </c>
      <c r="G6761" s="14">
        <v>44638</v>
      </c>
      <c r="H6761" s="13" t="s">
        <v>35</v>
      </c>
    </row>
    <row r="6762" spans="1:8" ht="14.4" x14ac:dyDescent="0.3">
      <c r="A6762" s="8">
        <v>2040340</v>
      </c>
      <c r="B6762" s="11">
        <v>44636</v>
      </c>
      <c r="C6762" s="13" t="s">
        <v>2193</v>
      </c>
      <c r="D6762" s="13" t="s">
        <v>8383</v>
      </c>
      <c r="E6762" s="8">
        <v>20000</v>
      </c>
      <c r="F6762" s="13" t="s">
        <v>70</v>
      </c>
      <c r="G6762" s="14">
        <v>44638</v>
      </c>
      <c r="H6762" s="13" t="s">
        <v>35</v>
      </c>
    </row>
    <row r="6763" spans="1:8" ht="14.4" x14ac:dyDescent="0.3">
      <c r="A6763" s="8">
        <v>2040341</v>
      </c>
      <c r="B6763" s="11">
        <v>44636</v>
      </c>
      <c r="C6763" s="13" t="s">
        <v>2194</v>
      </c>
      <c r="D6763" s="13" t="s">
        <v>8383</v>
      </c>
      <c r="E6763" s="8">
        <v>6000</v>
      </c>
      <c r="F6763" s="13" t="s">
        <v>70</v>
      </c>
      <c r="G6763" s="14">
        <v>44638</v>
      </c>
      <c r="H6763" s="13" t="s">
        <v>35</v>
      </c>
    </row>
    <row r="6764" spans="1:8" ht="14.4" x14ac:dyDescent="0.3">
      <c r="A6764" s="8">
        <v>2040342</v>
      </c>
      <c r="B6764" s="11">
        <v>44636</v>
      </c>
      <c r="C6764" s="13" t="s">
        <v>304</v>
      </c>
      <c r="D6764" s="13" t="s">
        <v>8383</v>
      </c>
      <c r="E6764" s="8">
        <v>5000</v>
      </c>
      <c r="F6764" s="13" t="s">
        <v>70</v>
      </c>
      <c r="G6764" s="14">
        <v>44638</v>
      </c>
      <c r="H6764" s="13" t="s">
        <v>35</v>
      </c>
    </row>
    <row r="6765" spans="1:8" ht="14.4" x14ac:dyDescent="0.3">
      <c r="A6765" s="8">
        <v>2040343</v>
      </c>
      <c r="B6765" s="11">
        <v>44636</v>
      </c>
      <c r="C6765" s="13" t="s">
        <v>2195</v>
      </c>
      <c r="D6765" s="13" t="s">
        <v>8383</v>
      </c>
      <c r="E6765" s="8">
        <v>3000</v>
      </c>
      <c r="F6765" s="13" t="s">
        <v>70</v>
      </c>
      <c r="G6765" s="14">
        <v>44638</v>
      </c>
      <c r="H6765" s="13" t="s">
        <v>35</v>
      </c>
    </row>
    <row r="6766" spans="1:8" ht="14.4" x14ac:dyDescent="0.3">
      <c r="A6766" s="8">
        <v>2040344</v>
      </c>
      <c r="B6766" s="11">
        <v>44636</v>
      </c>
      <c r="C6766" s="13" t="s">
        <v>2179</v>
      </c>
      <c r="D6766" s="13" t="s">
        <v>8580</v>
      </c>
      <c r="E6766" s="8">
        <v>6000</v>
      </c>
      <c r="F6766" s="13" t="s">
        <v>70</v>
      </c>
      <c r="G6766" s="14">
        <v>44638</v>
      </c>
      <c r="H6766" s="13" t="s">
        <v>35</v>
      </c>
    </row>
    <row r="6767" spans="1:8" ht="14.4" x14ac:dyDescent="0.3">
      <c r="A6767" s="8">
        <v>2040345</v>
      </c>
      <c r="B6767" s="11">
        <v>44636</v>
      </c>
      <c r="C6767" s="13" t="s">
        <v>275</v>
      </c>
      <c r="D6767" s="13" t="s">
        <v>1089</v>
      </c>
      <c r="E6767" s="8">
        <v>296292.95</v>
      </c>
      <c r="F6767" s="13" t="s">
        <v>70</v>
      </c>
      <c r="G6767" s="14">
        <v>44636</v>
      </c>
      <c r="H6767" s="13" t="s">
        <v>35</v>
      </c>
    </row>
    <row r="6768" spans="1:8" ht="14.4" x14ac:dyDescent="0.3">
      <c r="A6768" s="8">
        <v>2040346</v>
      </c>
      <c r="B6768" s="11">
        <v>44636</v>
      </c>
      <c r="C6768" s="13" t="s">
        <v>8581</v>
      </c>
      <c r="D6768" s="13" t="s">
        <v>8582</v>
      </c>
      <c r="E6768" s="8">
        <v>12600000</v>
      </c>
      <c r="F6768" s="13" t="s">
        <v>70</v>
      </c>
      <c r="G6768" s="14">
        <v>44636</v>
      </c>
      <c r="H6768" s="13" t="s">
        <v>35</v>
      </c>
    </row>
    <row r="6769" spans="1:8" ht="14.4" x14ac:dyDescent="0.3">
      <c r="A6769" s="8">
        <v>2040347</v>
      </c>
      <c r="B6769" s="11">
        <v>44636</v>
      </c>
      <c r="C6769" s="13" t="s">
        <v>7392</v>
      </c>
      <c r="D6769" s="13" t="s">
        <v>8583</v>
      </c>
      <c r="E6769" s="8">
        <v>4500</v>
      </c>
      <c r="F6769" s="13" t="s">
        <v>70</v>
      </c>
      <c r="G6769" s="14">
        <v>44638</v>
      </c>
      <c r="H6769" s="13" t="s">
        <v>35</v>
      </c>
    </row>
    <row r="6770" spans="1:8" ht="14.4" x14ac:dyDescent="0.3">
      <c r="A6770" s="8">
        <v>2040348</v>
      </c>
      <c r="B6770" s="11">
        <v>44636</v>
      </c>
      <c r="C6770" s="13" t="s">
        <v>2184</v>
      </c>
      <c r="D6770" s="13" t="s">
        <v>8580</v>
      </c>
      <c r="E6770" s="8">
        <v>4500</v>
      </c>
      <c r="F6770" s="13" t="s">
        <v>70</v>
      </c>
      <c r="G6770" s="14">
        <v>44638</v>
      </c>
      <c r="H6770" s="13" t="s">
        <v>35</v>
      </c>
    </row>
    <row r="6771" spans="1:8" ht="14.4" x14ac:dyDescent="0.3">
      <c r="A6771" s="8">
        <v>2040349</v>
      </c>
      <c r="B6771" s="11">
        <v>44636</v>
      </c>
      <c r="C6771" s="13" t="s">
        <v>2183</v>
      </c>
      <c r="D6771" s="13" t="s">
        <v>8580</v>
      </c>
      <c r="E6771" s="8">
        <v>4500</v>
      </c>
      <c r="F6771" s="13" t="s">
        <v>70</v>
      </c>
      <c r="G6771" s="14">
        <v>44638</v>
      </c>
      <c r="H6771" s="13" t="s">
        <v>35</v>
      </c>
    </row>
    <row r="6772" spans="1:8" ht="14.4" x14ac:dyDescent="0.3">
      <c r="A6772" s="8">
        <v>2040350</v>
      </c>
      <c r="B6772" s="11">
        <v>44636</v>
      </c>
      <c r="C6772" s="13" t="s">
        <v>2203</v>
      </c>
      <c r="D6772" s="13" t="s">
        <v>8580</v>
      </c>
      <c r="E6772" s="8">
        <v>4500</v>
      </c>
      <c r="F6772" s="13" t="s">
        <v>70</v>
      </c>
      <c r="G6772" s="14">
        <v>44638</v>
      </c>
      <c r="H6772" s="13" t="s">
        <v>35</v>
      </c>
    </row>
    <row r="6773" spans="1:8" ht="14.4" x14ac:dyDescent="0.3">
      <c r="A6773" s="8">
        <v>2040351</v>
      </c>
      <c r="B6773" s="11">
        <v>44636</v>
      </c>
      <c r="C6773" s="13" t="s">
        <v>113</v>
      </c>
      <c r="D6773" s="13" t="s">
        <v>8383</v>
      </c>
      <c r="E6773" s="8">
        <v>20000</v>
      </c>
      <c r="F6773" s="13" t="s">
        <v>70</v>
      </c>
      <c r="G6773" s="14">
        <v>44638</v>
      </c>
      <c r="H6773" s="13" t="s">
        <v>35</v>
      </c>
    </row>
    <row r="6774" spans="1:8" ht="14.4" x14ac:dyDescent="0.3">
      <c r="A6774" s="8">
        <v>2040352</v>
      </c>
      <c r="B6774" s="11">
        <v>44636</v>
      </c>
      <c r="C6774" s="13" t="s">
        <v>8584</v>
      </c>
      <c r="D6774" s="13" t="s">
        <v>8383</v>
      </c>
      <c r="E6774" s="8">
        <v>10000</v>
      </c>
      <c r="F6774" s="13" t="s">
        <v>70</v>
      </c>
      <c r="G6774" s="14">
        <v>44638</v>
      </c>
      <c r="H6774" s="13" t="s">
        <v>35</v>
      </c>
    </row>
    <row r="6775" spans="1:8" ht="14.4" x14ac:dyDescent="0.3">
      <c r="A6775" s="8">
        <v>2040353</v>
      </c>
      <c r="B6775" s="11">
        <v>44636</v>
      </c>
      <c r="C6775" s="13" t="s">
        <v>8585</v>
      </c>
      <c r="D6775" s="13" t="s">
        <v>8383</v>
      </c>
      <c r="E6775" s="8">
        <v>5000</v>
      </c>
      <c r="F6775" s="13" t="s">
        <v>70</v>
      </c>
      <c r="G6775" s="14">
        <v>44638</v>
      </c>
      <c r="H6775" s="13" t="s">
        <v>35</v>
      </c>
    </row>
    <row r="6776" spans="1:8" ht="14.4" x14ac:dyDescent="0.3">
      <c r="A6776" s="8">
        <v>2040354</v>
      </c>
      <c r="B6776" s="11">
        <v>44636</v>
      </c>
      <c r="C6776" s="13" t="s">
        <v>8586</v>
      </c>
      <c r="D6776" s="13" t="s">
        <v>8383</v>
      </c>
      <c r="E6776" s="8">
        <v>5000</v>
      </c>
      <c r="F6776" s="13" t="s">
        <v>70</v>
      </c>
      <c r="G6776" s="14">
        <v>44638</v>
      </c>
      <c r="H6776" s="13" t="s">
        <v>35</v>
      </c>
    </row>
    <row r="6777" spans="1:8" ht="14.4" x14ac:dyDescent="0.3">
      <c r="A6777" s="8">
        <v>2040355</v>
      </c>
      <c r="B6777" s="11">
        <v>44636</v>
      </c>
      <c r="C6777" s="13" t="s">
        <v>8587</v>
      </c>
      <c r="D6777" s="13" t="s">
        <v>8383</v>
      </c>
      <c r="E6777" s="8">
        <v>3000</v>
      </c>
      <c r="F6777" s="13" t="s">
        <v>70</v>
      </c>
      <c r="G6777" s="14">
        <v>44638</v>
      </c>
      <c r="H6777" s="13" t="s">
        <v>35</v>
      </c>
    </row>
    <row r="6778" spans="1:8" ht="14.4" x14ac:dyDescent="0.3">
      <c r="A6778" s="8">
        <v>2040356</v>
      </c>
      <c r="B6778" s="11">
        <v>44636</v>
      </c>
      <c r="C6778" s="13" t="s">
        <v>8588</v>
      </c>
      <c r="D6778" s="13" t="s">
        <v>8575</v>
      </c>
      <c r="E6778" s="8">
        <v>15000</v>
      </c>
      <c r="F6778" s="13" t="s">
        <v>70</v>
      </c>
      <c r="G6778" s="14">
        <v>44638</v>
      </c>
      <c r="H6778" s="13" t="s">
        <v>35</v>
      </c>
    </row>
    <row r="6779" spans="1:8" ht="14.4" x14ac:dyDescent="0.3">
      <c r="A6779" s="8">
        <v>2040357</v>
      </c>
      <c r="B6779" s="11">
        <v>44636</v>
      </c>
      <c r="C6779" s="13" t="s">
        <v>7424</v>
      </c>
      <c r="D6779" s="13" t="s">
        <v>8575</v>
      </c>
      <c r="E6779" s="8">
        <v>10000</v>
      </c>
      <c r="F6779" s="13" t="s">
        <v>70</v>
      </c>
      <c r="G6779" s="14">
        <v>44638</v>
      </c>
      <c r="H6779" s="13" t="s">
        <v>35</v>
      </c>
    </row>
    <row r="6780" spans="1:8" ht="14.4" x14ac:dyDescent="0.3">
      <c r="A6780" s="8">
        <v>2040358</v>
      </c>
      <c r="B6780" s="11">
        <v>44636</v>
      </c>
      <c r="C6780" s="13" t="s">
        <v>8589</v>
      </c>
      <c r="D6780" s="13" t="s">
        <v>8575</v>
      </c>
      <c r="E6780" s="8">
        <v>10000</v>
      </c>
      <c r="F6780" s="13" t="s">
        <v>70</v>
      </c>
      <c r="G6780" s="14">
        <v>44638</v>
      </c>
      <c r="H6780" s="13" t="s">
        <v>35</v>
      </c>
    </row>
    <row r="6781" spans="1:8" ht="14.4" x14ac:dyDescent="0.3">
      <c r="A6781" s="8">
        <v>2040359</v>
      </c>
      <c r="B6781" s="11">
        <v>44636</v>
      </c>
      <c r="C6781" s="13" t="s">
        <v>8590</v>
      </c>
      <c r="D6781" s="13" t="s">
        <v>8575</v>
      </c>
      <c r="E6781" s="8">
        <v>10000</v>
      </c>
      <c r="F6781" s="13" t="s">
        <v>70</v>
      </c>
      <c r="G6781" s="14">
        <v>44638</v>
      </c>
      <c r="H6781" s="13" t="s">
        <v>35</v>
      </c>
    </row>
    <row r="6782" spans="1:8" ht="14.4" x14ac:dyDescent="0.3">
      <c r="A6782" s="8">
        <v>2040360</v>
      </c>
      <c r="B6782" s="11">
        <v>44636</v>
      </c>
      <c r="C6782" s="13" t="s">
        <v>8591</v>
      </c>
      <c r="D6782" s="13" t="s">
        <v>8383</v>
      </c>
      <c r="E6782" s="8">
        <v>15000</v>
      </c>
      <c r="F6782" s="13" t="s">
        <v>70</v>
      </c>
      <c r="G6782" s="14">
        <v>44638</v>
      </c>
      <c r="H6782" s="13" t="s">
        <v>35</v>
      </c>
    </row>
    <row r="6783" spans="1:8" ht="14.4" x14ac:dyDescent="0.3">
      <c r="A6783" s="8">
        <v>2040361</v>
      </c>
      <c r="B6783" s="11">
        <v>44636</v>
      </c>
      <c r="C6783" s="13" t="s">
        <v>840</v>
      </c>
      <c r="D6783" s="13" t="s">
        <v>8383</v>
      </c>
      <c r="E6783" s="8">
        <v>10000</v>
      </c>
      <c r="F6783" s="13" t="s">
        <v>70</v>
      </c>
      <c r="G6783" s="14">
        <v>44638</v>
      </c>
      <c r="H6783" s="13" t="s">
        <v>35</v>
      </c>
    </row>
    <row r="6784" spans="1:8" ht="14.4" x14ac:dyDescent="0.3">
      <c r="A6784" s="8">
        <v>2040362</v>
      </c>
      <c r="B6784" s="11">
        <v>44636</v>
      </c>
      <c r="C6784" s="13" t="s">
        <v>841</v>
      </c>
      <c r="D6784" s="13" t="s">
        <v>8383</v>
      </c>
      <c r="E6784" s="8">
        <v>10000</v>
      </c>
      <c r="F6784" s="13" t="s">
        <v>70</v>
      </c>
      <c r="G6784" s="14">
        <v>44638</v>
      </c>
      <c r="H6784" s="13" t="s">
        <v>35</v>
      </c>
    </row>
    <row r="6785" spans="1:8" ht="14.4" x14ac:dyDescent="0.3">
      <c r="A6785" s="8">
        <v>2040363</v>
      </c>
      <c r="B6785" s="11">
        <v>44636</v>
      </c>
      <c r="C6785" s="13" t="s">
        <v>839</v>
      </c>
      <c r="D6785" s="13" t="s">
        <v>8383</v>
      </c>
      <c r="E6785" s="8">
        <v>10000</v>
      </c>
      <c r="F6785" s="13" t="s">
        <v>70</v>
      </c>
      <c r="G6785" s="14">
        <v>44638</v>
      </c>
      <c r="H6785" s="13" t="s">
        <v>35</v>
      </c>
    </row>
    <row r="6786" spans="1:8" ht="14.4" x14ac:dyDescent="0.3">
      <c r="A6786" s="8">
        <v>2040364</v>
      </c>
      <c r="B6786" s="11">
        <v>44636</v>
      </c>
      <c r="C6786" s="13" t="s">
        <v>838</v>
      </c>
      <c r="D6786" s="13" t="s">
        <v>8592</v>
      </c>
      <c r="E6786" s="8">
        <v>10000</v>
      </c>
      <c r="F6786" s="13" t="s">
        <v>70</v>
      </c>
      <c r="G6786" s="14">
        <v>44638</v>
      </c>
      <c r="H6786" s="13" t="s">
        <v>35</v>
      </c>
    </row>
    <row r="6787" spans="1:8" ht="14.4" x14ac:dyDescent="0.3">
      <c r="A6787" s="8">
        <v>2040365</v>
      </c>
      <c r="B6787" s="11">
        <v>44636</v>
      </c>
      <c r="C6787" s="13" t="s">
        <v>831</v>
      </c>
      <c r="D6787" s="13" t="s">
        <v>8593</v>
      </c>
      <c r="E6787" s="8">
        <v>10000</v>
      </c>
      <c r="F6787" s="13" t="s">
        <v>70</v>
      </c>
      <c r="G6787" s="14">
        <v>44638</v>
      </c>
      <c r="H6787" s="13" t="s">
        <v>35</v>
      </c>
    </row>
    <row r="6788" spans="1:8" ht="14.4" x14ac:dyDescent="0.3">
      <c r="A6788" s="8">
        <v>2040366</v>
      </c>
      <c r="B6788" s="11">
        <v>44636</v>
      </c>
      <c r="C6788" s="13" t="s">
        <v>834</v>
      </c>
      <c r="D6788" s="13" t="s">
        <v>8593</v>
      </c>
      <c r="E6788" s="8">
        <v>10000</v>
      </c>
      <c r="F6788" s="13" t="s">
        <v>70</v>
      </c>
      <c r="G6788" s="14">
        <v>44638</v>
      </c>
      <c r="H6788" s="13" t="s">
        <v>35</v>
      </c>
    </row>
    <row r="6789" spans="1:8" ht="14.4" x14ac:dyDescent="0.3">
      <c r="A6789" s="8">
        <v>2040367</v>
      </c>
      <c r="B6789" s="11">
        <v>44636</v>
      </c>
      <c r="C6789" s="13" t="s">
        <v>833</v>
      </c>
      <c r="D6789" s="13" t="s">
        <v>8593</v>
      </c>
      <c r="E6789" s="8">
        <v>10000</v>
      </c>
      <c r="F6789" s="13" t="s">
        <v>70</v>
      </c>
      <c r="G6789" s="14">
        <v>44638</v>
      </c>
      <c r="H6789" s="13" t="s">
        <v>35</v>
      </c>
    </row>
    <row r="6790" spans="1:8" ht="14.4" x14ac:dyDescent="0.3">
      <c r="A6790" s="8">
        <v>2040368</v>
      </c>
      <c r="B6790" s="11">
        <v>44636</v>
      </c>
      <c r="C6790" s="13" t="s">
        <v>534</v>
      </c>
      <c r="D6790" s="13" t="s">
        <v>8379</v>
      </c>
      <c r="E6790" s="8">
        <v>20000</v>
      </c>
      <c r="F6790" s="13" t="s">
        <v>70</v>
      </c>
      <c r="G6790" s="14">
        <v>44638</v>
      </c>
      <c r="H6790" s="13" t="s">
        <v>35</v>
      </c>
    </row>
    <row r="6791" spans="1:8" ht="14.4" x14ac:dyDescent="0.3">
      <c r="A6791" s="8">
        <v>2040369</v>
      </c>
      <c r="B6791" s="11">
        <v>44636</v>
      </c>
      <c r="C6791" s="13" t="s">
        <v>535</v>
      </c>
      <c r="D6791" s="13" t="s">
        <v>8379</v>
      </c>
      <c r="E6791" s="8">
        <v>10000</v>
      </c>
      <c r="F6791" s="13" t="s">
        <v>70</v>
      </c>
      <c r="G6791" s="14">
        <v>44638</v>
      </c>
      <c r="H6791" s="13" t="s">
        <v>35</v>
      </c>
    </row>
    <row r="6792" spans="1:8" ht="14.4" x14ac:dyDescent="0.3">
      <c r="A6792" s="8">
        <v>2040370</v>
      </c>
      <c r="B6792" s="11">
        <v>44636</v>
      </c>
      <c r="C6792" s="13" t="s">
        <v>536</v>
      </c>
      <c r="D6792" s="13" t="s">
        <v>8379</v>
      </c>
      <c r="E6792" s="8">
        <v>5000</v>
      </c>
      <c r="F6792" s="13" t="s">
        <v>70</v>
      </c>
      <c r="G6792" s="14">
        <v>44638</v>
      </c>
      <c r="H6792" s="13" t="s">
        <v>35</v>
      </c>
    </row>
    <row r="6793" spans="1:8" ht="14.4" x14ac:dyDescent="0.3">
      <c r="A6793" s="8">
        <v>2040371</v>
      </c>
      <c r="B6793" s="11">
        <v>44636</v>
      </c>
      <c r="C6793" s="13" t="s">
        <v>526</v>
      </c>
      <c r="D6793" s="13" t="s">
        <v>8379</v>
      </c>
      <c r="E6793" s="8">
        <v>3000</v>
      </c>
      <c r="F6793" s="13" t="s">
        <v>70</v>
      </c>
      <c r="G6793" s="14">
        <v>44638</v>
      </c>
      <c r="H6793" s="13" t="s">
        <v>35</v>
      </c>
    </row>
    <row r="6794" spans="1:8" ht="14.4" x14ac:dyDescent="0.3">
      <c r="A6794" s="8">
        <v>2040372</v>
      </c>
      <c r="B6794" s="11">
        <v>44636</v>
      </c>
      <c r="C6794" s="13" t="s">
        <v>75</v>
      </c>
      <c r="D6794" s="13" t="s">
        <v>8383</v>
      </c>
      <c r="E6794" s="8">
        <v>15000</v>
      </c>
      <c r="F6794" s="13" t="s">
        <v>70</v>
      </c>
      <c r="G6794" s="14">
        <v>44638</v>
      </c>
      <c r="H6794" s="13" t="s">
        <v>35</v>
      </c>
    </row>
    <row r="6795" spans="1:8" ht="14.4" x14ac:dyDescent="0.3">
      <c r="A6795" s="8">
        <v>2040373</v>
      </c>
      <c r="B6795" s="11">
        <v>44636</v>
      </c>
      <c r="C6795" s="13" t="s">
        <v>77</v>
      </c>
      <c r="D6795" s="13" t="s">
        <v>8383</v>
      </c>
      <c r="E6795" s="8">
        <v>10000</v>
      </c>
      <c r="F6795" s="13" t="s">
        <v>70</v>
      </c>
      <c r="G6795" s="14">
        <v>44638</v>
      </c>
      <c r="H6795" s="13" t="s">
        <v>35</v>
      </c>
    </row>
    <row r="6796" spans="1:8" ht="14.4" x14ac:dyDescent="0.3">
      <c r="A6796" s="8">
        <v>2040374</v>
      </c>
      <c r="B6796" s="11">
        <v>44636</v>
      </c>
      <c r="C6796" s="13" t="s">
        <v>44</v>
      </c>
      <c r="D6796" s="13" t="s">
        <v>8594</v>
      </c>
      <c r="E6796" s="8">
        <v>20227.52</v>
      </c>
      <c r="F6796" s="13" t="s">
        <v>70</v>
      </c>
      <c r="G6796" s="14">
        <v>44642</v>
      </c>
      <c r="H6796" s="13" t="s">
        <v>35</v>
      </c>
    </row>
    <row r="6797" spans="1:8" ht="14.4" x14ac:dyDescent="0.3">
      <c r="A6797" s="8">
        <v>2040375</v>
      </c>
      <c r="B6797" s="11">
        <v>44636</v>
      </c>
      <c r="C6797" s="13" t="s">
        <v>44</v>
      </c>
      <c r="D6797" s="13" t="s">
        <v>8595</v>
      </c>
      <c r="E6797" s="8">
        <v>10077.049999999999</v>
      </c>
      <c r="F6797" s="13" t="s">
        <v>70</v>
      </c>
      <c r="G6797" s="14">
        <v>44642</v>
      </c>
      <c r="H6797" s="13" t="s">
        <v>35</v>
      </c>
    </row>
    <row r="6798" spans="1:8" ht="14.4" x14ac:dyDescent="0.3">
      <c r="A6798" s="8">
        <v>2040376</v>
      </c>
      <c r="B6798" s="11">
        <v>44636</v>
      </c>
      <c r="C6798" s="13" t="s">
        <v>175</v>
      </c>
      <c r="D6798" s="13" t="s">
        <v>8596</v>
      </c>
      <c r="E6798" s="8">
        <v>46935</v>
      </c>
      <c r="F6798" s="13" t="s">
        <v>70</v>
      </c>
      <c r="G6798" s="14">
        <v>44686</v>
      </c>
      <c r="H6798" s="13" t="s">
        <v>35</v>
      </c>
    </row>
    <row r="6799" spans="1:8" ht="14.4" x14ac:dyDescent="0.3">
      <c r="A6799" s="8">
        <v>2040377</v>
      </c>
      <c r="B6799" s="11">
        <v>44636</v>
      </c>
      <c r="C6799" s="13" t="s">
        <v>8597</v>
      </c>
      <c r="D6799" s="13" t="s">
        <v>8598</v>
      </c>
      <c r="E6799" s="8">
        <v>32886</v>
      </c>
      <c r="F6799" s="13" t="s">
        <v>70</v>
      </c>
      <c r="G6799" s="14">
        <v>44648</v>
      </c>
      <c r="H6799" s="13" t="s">
        <v>35</v>
      </c>
    </row>
    <row r="6800" spans="1:8" ht="14.4" x14ac:dyDescent="0.3">
      <c r="A6800" s="8">
        <v>2040378</v>
      </c>
      <c r="B6800" s="11">
        <v>44636</v>
      </c>
      <c r="C6800" s="13" t="s">
        <v>8599</v>
      </c>
      <c r="D6800" s="13" t="s">
        <v>8600</v>
      </c>
      <c r="E6800" s="8">
        <v>11214</v>
      </c>
      <c r="F6800" s="13" t="s">
        <v>70</v>
      </c>
      <c r="G6800" s="14">
        <v>44645</v>
      </c>
      <c r="H6800" s="13" t="s">
        <v>35</v>
      </c>
    </row>
    <row r="6801" spans="1:8" ht="14.4" x14ac:dyDescent="0.3">
      <c r="A6801" s="8">
        <v>2040379</v>
      </c>
      <c r="B6801" s="11">
        <v>44636</v>
      </c>
      <c r="C6801" s="13" t="s">
        <v>153</v>
      </c>
      <c r="D6801" s="13" t="s">
        <v>8601</v>
      </c>
      <c r="E6801" s="8">
        <v>45330</v>
      </c>
      <c r="F6801" s="13" t="s">
        <v>70</v>
      </c>
      <c r="G6801" s="14">
        <v>44637</v>
      </c>
      <c r="H6801" s="13" t="s">
        <v>35</v>
      </c>
    </row>
    <row r="6802" spans="1:8" ht="14.4" x14ac:dyDescent="0.3">
      <c r="A6802" s="8">
        <v>2040380</v>
      </c>
      <c r="B6802" s="11">
        <v>44636</v>
      </c>
      <c r="C6802" s="13" t="s">
        <v>8602</v>
      </c>
      <c r="D6802" s="13" t="s">
        <v>8603</v>
      </c>
      <c r="E6802" s="8">
        <v>50000</v>
      </c>
      <c r="F6802" s="13" t="s">
        <v>70</v>
      </c>
      <c r="G6802" s="14">
        <v>44637</v>
      </c>
      <c r="H6802" s="13" t="s">
        <v>35</v>
      </c>
    </row>
    <row r="6803" spans="1:8" ht="14.4" x14ac:dyDescent="0.3">
      <c r="A6803" s="8">
        <v>2040381</v>
      </c>
      <c r="B6803" s="11">
        <v>44636</v>
      </c>
      <c r="C6803" s="13" t="s">
        <v>158</v>
      </c>
      <c r="D6803" s="13" t="s">
        <v>8604</v>
      </c>
      <c r="E6803" s="8">
        <v>20000</v>
      </c>
      <c r="F6803" s="13" t="s">
        <v>70</v>
      </c>
      <c r="G6803" s="14">
        <v>44641</v>
      </c>
      <c r="H6803" s="13" t="s">
        <v>35</v>
      </c>
    </row>
    <row r="6804" spans="1:8" ht="14.4" x14ac:dyDescent="0.3">
      <c r="A6804" s="8">
        <v>2040382</v>
      </c>
      <c r="B6804" s="11">
        <v>44636</v>
      </c>
      <c r="C6804" s="13" t="s">
        <v>2307</v>
      </c>
      <c r="D6804" s="13" t="s">
        <v>8605</v>
      </c>
      <c r="E6804" s="8">
        <v>20000</v>
      </c>
      <c r="F6804" s="13" t="s">
        <v>70</v>
      </c>
      <c r="G6804" s="14">
        <v>44641</v>
      </c>
      <c r="H6804" s="13" t="s">
        <v>35</v>
      </c>
    </row>
    <row r="6805" spans="1:8" ht="14.4" x14ac:dyDescent="0.3">
      <c r="A6805" s="8">
        <v>2040383</v>
      </c>
      <c r="B6805" s="11">
        <v>44636</v>
      </c>
      <c r="C6805" s="13" t="s">
        <v>282</v>
      </c>
      <c r="D6805" s="13" t="s">
        <v>8606</v>
      </c>
      <c r="E6805" s="8">
        <v>20000</v>
      </c>
      <c r="F6805" s="13" t="s">
        <v>70</v>
      </c>
      <c r="G6805" s="14">
        <v>44641</v>
      </c>
      <c r="H6805" s="13" t="s">
        <v>35</v>
      </c>
    </row>
    <row r="6806" spans="1:8" ht="14.4" x14ac:dyDescent="0.3">
      <c r="A6806" s="8">
        <v>2040384</v>
      </c>
      <c r="B6806" s="11">
        <v>44636</v>
      </c>
      <c r="C6806" s="13" t="s">
        <v>876</v>
      </c>
      <c r="D6806" s="13" t="s">
        <v>8607</v>
      </c>
      <c r="E6806" s="8">
        <v>20000</v>
      </c>
      <c r="F6806" s="13" t="s">
        <v>70</v>
      </c>
      <c r="G6806" s="14">
        <v>44641</v>
      </c>
      <c r="H6806" s="13" t="s">
        <v>35</v>
      </c>
    </row>
    <row r="6807" spans="1:8" ht="14.4" x14ac:dyDescent="0.3">
      <c r="A6807" s="8">
        <v>2040385</v>
      </c>
      <c r="B6807" s="11">
        <v>44636</v>
      </c>
      <c r="C6807" s="13" t="s">
        <v>677</v>
      </c>
      <c r="D6807" s="13" t="s">
        <v>8608</v>
      </c>
      <c r="E6807" s="8">
        <v>20000</v>
      </c>
      <c r="F6807" s="13" t="s">
        <v>70</v>
      </c>
      <c r="G6807" s="14">
        <v>44641</v>
      </c>
      <c r="H6807" s="13" t="s">
        <v>35</v>
      </c>
    </row>
    <row r="6808" spans="1:8" ht="14.4" x14ac:dyDescent="0.3">
      <c r="A6808" s="8">
        <v>2040386</v>
      </c>
      <c r="B6808" s="11">
        <v>44636</v>
      </c>
      <c r="C6808" s="13" t="s">
        <v>3108</v>
      </c>
      <c r="D6808" s="13" t="s">
        <v>8609</v>
      </c>
      <c r="E6808" s="8">
        <v>20000</v>
      </c>
      <c r="F6808" s="13" t="s">
        <v>70</v>
      </c>
      <c r="G6808" s="14">
        <v>44638</v>
      </c>
      <c r="H6808" s="13" t="s">
        <v>35</v>
      </c>
    </row>
    <row r="6809" spans="1:8" ht="14.4" x14ac:dyDescent="0.3">
      <c r="A6809" s="8">
        <v>2040387</v>
      </c>
      <c r="B6809" s="11">
        <v>44636</v>
      </c>
      <c r="C6809" s="13" t="s">
        <v>773</v>
      </c>
      <c r="D6809" s="13" t="s">
        <v>8610</v>
      </c>
      <c r="E6809" s="8">
        <v>20000</v>
      </c>
      <c r="F6809" s="13" t="s">
        <v>70</v>
      </c>
      <c r="G6809" s="14">
        <v>44641</v>
      </c>
      <c r="H6809" s="13" t="s">
        <v>35</v>
      </c>
    </row>
    <row r="6810" spans="1:8" ht="14.4" x14ac:dyDescent="0.3">
      <c r="A6810" s="8">
        <v>2040388</v>
      </c>
      <c r="B6810" s="11">
        <v>44636</v>
      </c>
      <c r="C6810" s="13" t="s">
        <v>8611</v>
      </c>
      <c r="D6810" s="13" t="s">
        <v>1313</v>
      </c>
      <c r="E6810" s="8">
        <v>30000</v>
      </c>
      <c r="F6810" s="13" t="s">
        <v>70</v>
      </c>
      <c r="G6810" s="14">
        <v>44641</v>
      </c>
      <c r="H6810" s="13" t="s">
        <v>35</v>
      </c>
    </row>
    <row r="6811" spans="1:8" ht="14.4" x14ac:dyDescent="0.3">
      <c r="A6811" s="8">
        <v>2040389</v>
      </c>
      <c r="B6811" s="11">
        <v>44636</v>
      </c>
      <c r="C6811" s="13" t="s">
        <v>44</v>
      </c>
      <c r="D6811" s="13" t="s">
        <v>8612</v>
      </c>
      <c r="E6811" s="8">
        <v>12890.62</v>
      </c>
      <c r="F6811" s="13" t="s">
        <v>70</v>
      </c>
      <c r="G6811" s="14">
        <v>44642</v>
      </c>
      <c r="H6811" s="13" t="s">
        <v>35</v>
      </c>
    </row>
    <row r="6812" spans="1:8" ht="14.4" x14ac:dyDescent="0.3">
      <c r="A6812" s="8">
        <v>2040390</v>
      </c>
      <c r="B6812" s="11">
        <v>44636</v>
      </c>
      <c r="C6812" s="13" t="s">
        <v>695</v>
      </c>
      <c r="D6812" s="13" t="s">
        <v>8613</v>
      </c>
      <c r="E6812" s="8">
        <v>734.5</v>
      </c>
      <c r="F6812" s="13" t="s">
        <v>70</v>
      </c>
      <c r="G6812" s="14">
        <v>44648</v>
      </c>
      <c r="H6812" s="13" t="s">
        <v>35</v>
      </c>
    </row>
    <row r="6813" spans="1:8" ht="14.4" x14ac:dyDescent="0.3">
      <c r="A6813" s="8">
        <v>2040391</v>
      </c>
      <c r="B6813" s="11">
        <v>44636</v>
      </c>
      <c r="C6813" s="13" t="s">
        <v>8614</v>
      </c>
      <c r="D6813" s="13" t="s">
        <v>8615</v>
      </c>
      <c r="E6813" s="8">
        <v>14000</v>
      </c>
      <c r="F6813" s="13" t="s">
        <v>70</v>
      </c>
      <c r="G6813" s="14">
        <v>44641</v>
      </c>
      <c r="H6813" s="13" t="s">
        <v>35</v>
      </c>
    </row>
    <row r="6814" spans="1:8" ht="14.4" x14ac:dyDescent="0.3">
      <c r="A6814" s="8">
        <v>2040392</v>
      </c>
      <c r="B6814" s="11">
        <v>44636</v>
      </c>
      <c r="C6814" s="13" t="s">
        <v>8616</v>
      </c>
      <c r="D6814" s="13" t="s">
        <v>8617</v>
      </c>
      <c r="E6814" s="8">
        <v>7700</v>
      </c>
      <c r="F6814" s="13" t="s">
        <v>70</v>
      </c>
      <c r="G6814" s="14">
        <v>44638</v>
      </c>
      <c r="H6814" s="13" t="s">
        <v>35</v>
      </c>
    </row>
    <row r="6815" spans="1:8" ht="14.4" x14ac:dyDescent="0.3">
      <c r="A6815" s="8">
        <v>2040393</v>
      </c>
      <c r="B6815" s="11">
        <v>44636</v>
      </c>
      <c r="C6815" s="13" t="s">
        <v>99</v>
      </c>
      <c r="D6815" s="13" t="s">
        <v>8618</v>
      </c>
      <c r="E6815" s="8">
        <v>6500</v>
      </c>
      <c r="F6815" s="13" t="s">
        <v>70</v>
      </c>
      <c r="G6815" s="14">
        <v>44643</v>
      </c>
      <c r="H6815" s="13" t="s">
        <v>35</v>
      </c>
    </row>
    <row r="6816" spans="1:8" ht="14.4" x14ac:dyDescent="0.3">
      <c r="A6816" s="8">
        <v>2040394</v>
      </c>
      <c r="B6816" s="11">
        <v>44636</v>
      </c>
      <c r="C6816" s="13" t="s">
        <v>2770</v>
      </c>
      <c r="D6816" s="13" t="s">
        <v>8619</v>
      </c>
      <c r="E6816" s="8">
        <v>14000</v>
      </c>
      <c r="F6816" s="13" t="s">
        <v>70</v>
      </c>
      <c r="G6816" s="14">
        <v>44638</v>
      </c>
      <c r="H6816" s="13" t="s">
        <v>35</v>
      </c>
    </row>
    <row r="6817" spans="1:8" ht="14.4" x14ac:dyDescent="0.3">
      <c r="A6817" s="8">
        <v>2040395</v>
      </c>
      <c r="B6817" s="11">
        <v>44636</v>
      </c>
      <c r="C6817" s="13" t="s">
        <v>152</v>
      </c>
      <c r="D6817" s="13" t="s">
        <v>8620</v>
      </c>
      <c r="E6817" s="8">
        <v>9000</v>
      </c>
      <c r="F6817" s="13" t="s">
        <v>70</v>
      </c>
      <c r="G6817" s="14">
        <v>44643</v>
      </c>
      <c r="H6817" s="13" t="s">
        <v>35</v>
      </c>
    </row>
    <row r="6818" spans="1:8" ht="14.4" x14ac:dyDescent="0.3">
      <c r="A6818" s="8">
        <v>2040396</v>
      </c>
      <c r="B6818" s="11">
        <v>44636</v>
      </c>
      <c r="C6818" s="13" t="s">
        <v>990</v>
      </c>
      <c r="D6818" s="13" t="s">
        <v>8621</v>
      </c>
      <c r="E6818" s="8">
        <v>3046.87</v>
      </c>
      <c r="F6818" s="13" t="s">
        <v>70</v>
      </c>
      <c r="G6818" s="14">
        <v>44641</v>
      </c>
      <c r="H6818" s="13" t="s">
        <v>35</v>
      </c>
    </row>
    <row r="6819" spans="1:8" ht="14.4" x14ac:dyDescent="0.3">
      <c r="A6819" s="8">
        <v>2040399</v>
      </c>
      <c r="B6819" s="11">
        <v>44637</v>
      </c>
      <c r="C6819" s="13" t="s">
        <v>159</v>
      </c>
      <c r="D6819" s="13" t="s">
        <v>2314</v>
      </c>
      <c r="E6819" s="8">
        <v>318100</v>
      </c>
      <c r="F6819" s="13" t="s">
        <v>70</v>
      </c>
      <c r="G6819" s="14">
        <v>44637</v>
      </c>
      <c r="H6819" s="13" t="s">
        <v>35</v>
      </c>
    </row>
    <row r="6820" spans="1:8" ht="14.4" x14ac:dyDescent="0.3">
      <c r="A6820" s="8">
        <v>2040400</v>
      </c>
      <c r="B6820" s="11">
        <v>44637</v>
      </c>
      <c r="C6820" s="13" t="s">
        <v>162</v>
      </c>
      <c r="D6820" s="13" t="s">
        <v>8622</v>
      </c>
      <c r="E6820" s="8">
        <v>84.94</v>
      </c>
      <c r="F6820" s="13" t="s">
        <v>70</v>
      </c>
      <c r="G6820" s="14">
        <v>44648</v>
      </c>
      <c r="H6820" s="13" t="s">
        <v>35</v>
      </c>
    </row>
    <row r="6821" spans="1:8" ht="14.4" x14ac:dyDescent="0.3">
      <c r="A6821" s="8">
        <v>2040401</v>
      </c>
      <c r="B6821" s="11">
        <v>44637</v>
      </c>
      <c r="C6821" s="13" t="s">
        <v>4011</v>
      </c>
      <c r="D6821" s="13" t="s">
        <v>8623</v>
      </c>
      <c r="E6821" s="8">
        <v>24900.02</v>
      </c>
      <c r="F6821" s="13" t="s">
        <v>70</v>
      </c>
      <c r="G6821" s="14">
        <v>44642</v>
      </c>
      <c r="H6821" s="13" t="s">
        <v>35</v>
      </c>
    </row>
    <row r="6822" spans="1:8" ht="14.4" x14ac:dyDescent="0.3">
      <c r="A6822" s="8">
        <v>2040402</v>
      </c>
      <c r="B6822" s="11">
        <v>44637</v>
      </c>
      <c r="C6822" s="13" t="s">
        <v>8624</v>
      </c>
      <c r="D6822" s="13" t="s">
        <v>8625</v>
      </c>
      <c r="E6822" s="8">
        <v>8943.01</v>
      </c>
      <c r="F6822" s="13" t="s">
        <v>70</v>
      </c>
      <c r="G6822" s="14">
        <v>44644</v>
      </c>
      <c r="H6822" s="13" t="s">
        <v>35</v>
      </c>
    </row>
    <row r="6823" spans="1:8" ht="14.4" x14ac:dyDescent="0.3">
      <c r="A6823" s="8">
        <v>2040403</v>
      </c>
      <c r="B6823" s="11">
        <v>44637</v>
      </c>
      <c r="C6823" s="13" t="s">
        <v>697</v>
      </c>
      <c r="D6823" s="13" t="s">
        <v>8626</v>
      </c>
      <c r="E6823" s="8">
        <v>3550.2</v>
      </c>
      <c r="F6823" s="13" t="s">
        <v>70</v>
      </c>
      <c r="G6823" s="14">
        <v>44648</v>
      </c>
      <c r="H6823" s="13" t="s">
        <v>35</v>
      </c>
    </row>
    <row r="6824" spans="1:8" ht="14.4" x14ac:dyDescent="0.3">
      <c r="A6824" s="8">
        <v>2040404</v>
      </c>
      <c r="B6824" s="11">
        <v>44637</v>
      </c>
      <c r="C6824" s="13" t="s">
        <v>124</v>
      </c>
      <c r="D6824" s="13" t="s">
        <v>8627</v>
      </c>
      <c r="E6824" s="8">
        <v>627.1</v>
      </c>
      <c r="F6824" s="13" t="s">
        <v>70</v>
      </c>
      <c r="G6824" s="14">
        <v>44648</v>
      </c>
      <c r="H6824" s="13" t="s">
        <v>35</v>
      </c>
    </row>
    <row r="6825" spans="1:8" ht="14.4" x14ac:dyDescent="0.3">
      <c r="A6825" s="8">
        <v>2040405</v>
      </c>
      <c r="B6825" s="11">
        <v>44637</v>
      </c>
      <c r="C6825" s="13" t="s">
        <v>1286</v>
      </c>
      <c r="D6825" s="13" t="s">
        <v>8628</v>
      </c>
      <c r="E6825" s="8">
        <v>71645.97</v>
      </c>
      <c r="F6825" s="13" t="s">
        <v>70</v>
      </c>
      <c r="G6825" s="14">
        <v>44638</v>
      </c>
      <c r="H6825" s="13" t="s">
        <v>35</v>
      </c>
    </row>
    <row r="6826" spans="1:8" ht="14.4" x14ac:dyDescent="0.3">
      <c r="A6826" s="8">
        <v>2040406</v>
      </c>
      <c r="B6826" s="11">
        <v>44637</v>
      </c>
      <c r="C6826" s="13" t="s">
        <v>1286</v>
      </c>
      <c r="D6826" s="13" t="s">
        <v>8629</v>
      </c>
      <c r="E6826" s="8">
        <v>193121.34</v>
      </c>
      <c r="F6826" s="13" t="s">
        <v>70</v>
      </c>
      <c r="G6826" s="14">
        <v>44638</v>
      </c>
      <c r="H6826" s="13" t="s">
        <v>35</v>
      </c>
    </row>
    <row r="6827" spans="1:8" ht="14.4" x14ac:dyDescent="0.3">
      <c r="A6827" s="8">
        <v>2040408</v>
      </c>
      <c r="B6827" s="11">
        <v>44637</v>
      </c>
      <c r="C6827" s="13" t="s">
        <v>44</v>
      </c>
      <c r="D6827" s="13" t="s">
        <v>8630</v>
      </c>
      <c r="E6827" s="8">
        <v>447.02</v>
      </c>
      <c r="F6827" s="13" t="s">
        <v>70</v>
      </c>
      <c r="G6827" s="14">
        <v>44642</v>
      </c>
      <c r="H6827" s="13" t="s">
        <v>35</v>
      </c>
    </row>
    <row r="6828" spans="1:8" ht="14.4" x14ac:dyDescent="0.3">
      <c r="A6828" s="8">
        <v>2040409</v>
      </c>
      <c r="B6828" s="11">
        <v>44637</v>
      </c>
      <c r="C6828" s="13" t="s">
        <v>44</v>
      </c>
      <c r="D6828" s="13" t="s">
        <v>8631</v>
      </c>
      <c r="E6828" s="8">
        <v>1431.79</v>
      </c>
      <c r="F6828" s="13" t="s">
        <v>70</v>
      </c>
      <c r="G6828" s="14">
        <v>44642</v>
      </c>
      <c r="H6828" s="13" t="s">
        <v>35</v>
      </c>
    </row>
    <row r="6829" spans="1:8" ht="14.4" x14ac:dyDescent="0.3">
      <c r="A6829" s="8">
        <v>2040410</v>
      </c>
      <c r="B6829" s="11">
        <v>44637</v>
      </c>
      <c r="C6829" s="13" t="s">
        <v>405</v>
      </c>
      <c r="D6829" s="13" t="s">
        <v>8632</v>
      </c>
      <c r="E6829" s="8">
        <v>19182.98</v>
      </c>
      <c r="F6829" s="13" t="s">
        <v>70</v>
      </c>
      <c r="G6829" s="14">
        <v>44643</v>
      </c>
      <c r="H6829" s="13" t="s">
        <v>35</v>
      </c>
    </row>
    <row r="6830" spans="1:8" ht="14.4" x14ac:dyDescent="0.3">
      <c r="A6830" s="8">
        <v>2040411</v>
      </c>
      <c r="B6830" s="11">
        <v>44637</v>
      </c>
      <c r="C6830" s="13" t="s">
        <v>405</v>
      </c>
      <c r="D6830" s="13" t="s">
        <v>8633</v>
      </c>
      <c r="E6830" s="8">
        <v>21037.39</v>
      </c>
      <c r="F6830" s="13" t="s">
        <v>70</v>
      </c>
      <c r="G6830" s="14">
        <v>44643</v>
      </c>
      <c r="H6830" s="13" t="s">
        <v>35</v>
      </c>
    </row>
    <row r="6831" spans="1:8" ht="14.4" x14ac:dyDescent="0.3">
      <c r="A6831" s="8">
        <v>2040412</v>
      </c>
      <c r="B6831" s="11">
        <v>44637</v>
      </c>
      <c r="C6831" s="13" t="s">
        <v>405</v>
      </c>
      <c r="D6831" s="13" t="s">
        <v>8634</v>
      </c>
      <c r="E6831" s="8">
        <v>21233.31</v>
      </c>
      <c r="F6831" s="13" t="s">
        <v>70</v>
      </c>
      <c r="G6831" s="14">
        <v>44643</v>
      </c>
      <c r="H6831" s="13" t="s">
        <v>35</v>
      </c>
    </row>
    <row r="6832" spans="1:8" ht="14.4" x14ac:dyDescent="0.3">
      <c r="A6832" s="8">
        <v>2040413</v>
      </c>
      <c r="B6832" s="11">
        <v>44637</v>
      </c>
      <c r="C6832" s="13" t="s">
        <v>405</v>
      </c>
      <c r="D6832" s="13" t="s">
        <v>8635</v>
      </c>
      <c r="E6832" s="8">
        <v>11370.68</v>
      </c>
      <c r="F6832" s="13" t="s">
        <v>70</v>
      </c>
      <c r="G6832" s="14">
        <v>44643</v>
      </c>
      <c r="H6832" s="13" t="s">
        <v>35</v>
      </c>
    </row>
    <row r="6833" spans="1:8" ht="14.4" x14ac:dyDescent="0.3">
      <c r="A6833" s="8">
        <v>2040414</v>
      </c>
      <c r="B6833" s="11">
        <v>44637</v>
      </c>
      <c r="C6833" s="13" t="s">
        <v>405</v>
      </c>
      <c r="D6833" s="13" t="s">
        <v>8636</v>
      </c>
      <c r="E6833" s="8">
        <v>13893.85</v>
      </c>
      <c r="F6833" s="13" t="s">
        <v>70</v>
      </c>
      <c r="G6833" s="14">
        <v>44643</v>
      </c>
      <c r="H6833" s="13" t="s">
        <v>35</v>
      </c>
    </row>
    <row r="6834" spans="1:8" ht="14.4" x14ac:dyDescent="0.3">
      <c r="A6834" s="8">
        <v>2040415</v>
      </c>
      <c r="B6834" s="11">
        <v>44637</v>
      </c>
      <c r="C6834" s="13" t="s">
        <v>405</v>
      </c>
      <c r="D6834" s="13" t="s">
        <v>8637</v>
      </c>
      <c r="E6834" s="8">
        <v>20804.86</v>
      </c>
      <c r="F6834" s="13" t="s">
        <v>70</v>
      </c>
      <c r="G6834" s="14">
        <v>44643</v>
      </c>
      <c r="H6834" s="13" t="s">
        <v>35</v>
      </c>
    </row>
    <row r="6835" spans="1:8" ht="14.4" x14ac:dyDescent="0.3">
      <c r="A6835" s="8">
        <v>2040416</v>
      </c>
      <c r="B6835" s="11">
        <v>44637</v>
      </c>
      <c r="C6835" s="13" t="s">
        <v>405</v>
      </c>
      <c r="D6835" s="13" t="s">
        <v>8638</v>
      </c>
      <c r="E6835" s="8">
        <v>12636.99</v>
      </c>
      <c r="F6835" s="13" t="s">
        <v>70</v>
      </c>
      <c r="G6835" s="14">
        <v>44643</v>
      </c>
      <c r="H6835" s="13" t="s">
        <v>35</v>
      </c>
    </row>
    <row r="6836" spans="1:8" ht="14.4" x14ac:dyDescent="0.3">
      <c r="A6836" s="8">
        <v>2040417</v>
      </c>
      <c r="B6836" s="11">
        <v>44637</v>
      </c>
      <c r="C6836" s="13" t="s">
        <v>405</v>
      </c>
      <c r="D6836" s="13" t="s">
        <v>8639</v>
      </c>
      <c r="E6836" s="8">
        <v>12841.99</v>
      </c>
      <c r="F6836" s="13" t="s">
        <v>70</v>
      </c>
      <c r="G6836" s="14">
        <v>44643</v>
      </c>
      <c r="H6836" s="13" t="s">
        <v>35</v>
      </c>
    </row>
    <row r="6837" spans="1:8" ht="14.4" x14ac:dyDescent="0.3">
      <c r="A6837" s="8">
        <v>2040418</v>
      </c>
      <c r="B6837" s="11">
        <v>44637</v>
      </c>
      <c r="C6837" s="13" t="s">
        <v>405</v>
      </c>
      <c r="D6837" s="13" t="s">
        <v>8640</v>
      </c>
      <c r="E6837" s="8">
        <v>5796.37</v>
      </c>
      <c r="F6837" s="13" t="s">
        <v>70</v>
      </c>
      <c r="G6837" s="14">
        <v>44643</v>
      </c>
      <c r="H6837" s="13" t="s">
        <v>35</v>
      </c>
    </row>
    <row r="6838" spans="1:8" ht="14.4" x14ac:dyDescent="0.3">
      <c r="A6838" s="8">
        <v>2040419</v>
      </c>
      <c r="B6838" s="11">
        <v>44637</v>
      </c>
      <c r="C6838" s="13" t="s">
        <v>405</v>
      </c>
      <c r="D6838" s="13" t="s">
        <v>8641</v>
      </c>
      <c r="E6838" s="8">
        <v>17660.400000000001</v>
      </c>
      <c r="F6838" s="13" t="s">
        <v>70</v>
      </c>
      <c r="G6838" s="14">
        <v>44643</v>
      </c>
      <c r="H6838" s="13" t="s">
        <v>35</v>
      </c>
    </row>
    <row r="6839" spans="1:8" ht="14.4" x14ac:dyDescent="0.3">
      <c r="A6839" s="8">
        <v>2040420</v>
      </c>
      <c r="B6839" s="11">
        <v>44637</v>
      </c>
      <c r="C6839" s="13" t="s">
        <v>405</v>
      </c>
      <c r="D6839" s="13" t="s">
        <v>8642</v>
      </c>
      <c r="E6839" s="8">
        <v>43504.85</v>
      </c>
      <c r="F6839" s="13" t="s">
        <v>70</v>
      </c>
      <c r="G6839" s="14">
        <v>44643</v>
      </c>
      <c r="H6839" s="13" t="s">
        <v>35</v>
      </c>
    </row>
    <row r="6840" spans="1:8" ht="14.4" x14ac:dyDescent="0.3">
      <c r="A6840" s="8">
        <v>2040421</v>
      </c>
      <c r="B6840" s="11">
        <v>44637</v>
      </c>
      <c r="C6840" s="13" t="s">
        <v>405</v>
      </c>
      <c r="D6840" s="13" t="s">
        <v>8643</v>
      </c>
      <c r="E6840" s="8">
        <v>12742.99</v>
      </c>
      <c r="F6840" s="13" t="s">
        <v>70</v>
      </c>
      <c r="G6840" s="14">
        <v>44643</v>
      </c>
      <c r="H6840" s="13" t="s">
        <v>35</v>
      </c>
    </row>
    <row r="6841" spans="1:8" ht="14.4" x14ac:dyDescent="0.3">
      <c r="A6841" s="8">
        <v>2040422</v>
      </c>
      <c r="B6841" s="11">
        <v>44637</v>
      </c>
      <c r="C6841" s="13" t="s">
        <v>405</v>
      </c>
      <c r="D6841" s="13" t="s">
        <v>8644</v>
      </c>
      <c r="E6841" s="8">
        <v>40434.870000000003</v>
      </c>
      <c r="F6841" s="13" t="s">
        <v>70</v>
      </c>
      <c r="G6841" s="14">
        <v>44643</v>
      </c>
      <c r="H6841" s="13" t="s">
        <v>35</v>
      </c>
    </row>
    <row r="6842" spans="1:8" ht="14.4" x14ac:dyDescent="0.3">
      <c r="A6842" s="8">
        <v>2040423</v>
      </c>
      <c r="B6842" s="11">
        <v>44637</v>
      </c>
      <c r="C6842" s="13" t="s">
        <v>405</v>
      </c>
      <c r="D6842" s="13" t="s">
        <v>8645</v>
      </c>
      <c r="E6842" s="8">
        <v>14993.68</v>
      </c>
      <c r="F6842" s="13" t="s">
        <v>70</v>
      </c>
      <c r="G6842" s="14">
        <v>44643</v>
      </c>
      <c r="H6842" s="13" t="s">
        <v>35</v>
      </c>
    </row>
    <row r="6843" spans="1:8" ht="14.4" x14ac:dyDescent="0.3">
      <c r="A6843" s="8">
        <v>2040424</v>
      </c>
      <c r="B6843" s="11">
        <v>44637</v>
      </c>
      <c r="C6843" s="13" t="s">
        <v>405</v>
      </c>
      <c r="D6843" s="13" t="s">
        <v>8646</v>
      </c>
      <c r="E6843" s="8">
        <v>32169.34</v>
      </c>
      <c r="F6843" s="13" t="s">
        <v>70</v>
      </c>
      <c r="G6843" s="14">
        <v>44643</v>
      </c>
      <c r="H6843" s="13" t="s">
        <v>35</v>
      </c>
    </row>
    <row r="6844" spans="1:8" ht="14.4" x14ac:dyDescent="0.3">
      <c r="A6844" s="8">
        <v>2040425</v>
      </c>
      <c r="B6844" s="11">
        <v>44637</v>
      </c>
      <c r="C6844" s="13" t="s">
        <v>673</v>
      </c>
      <c r="D6844" s="13" t="s">
        <v>674</v>
      </c>
      <c r="E6844" s="8">
        <v>87300</v>
      </c>
      <c r="F6844" s="13" t="s">
        <v>70</v>
      </c>
      <c r="G6844" s="14">
        <v>44641</v>
      </c>
      <c r="H6844" s="13" t="s">
        <v>35</v>
      </c>
    </row>
    <row r="6845" spans="1:8" ht="14.4" x14ac:dyDescent="0.3">
      <c r="A6845" s="8">
        <v>2040426</v>
      </c>
      <c r="B6845" s="11">
        <v>44637</v>
      </c>
      <c r="C6845" s="13" t="s">
        <v>52</v>
      </c>
      <c r="D6845" s="13" t="s">
        <v>8647</v>
      </c>
      <c r="E6845" s="8">
        <v>105290.18</v>
      </c>
      <c r="F6845" s="13" t="s">
        <v>70</v>
      </c>
      <c r="G6845" s="14">
        <v>44638</v>
      </c>
      <c r="H6845" s="13" t="s">
        <v>35</v>
      </c>
    </row>
    <row r="6846" spans="1:8" ht="14.4" x14ac:dyDescent="0.3">
      <c r="A6846" s="8">
        <v>2040427</v>
      </c>
      <c r="B6846" s="11">
        <v>44637</v>
      </c>
      <c r="C6846" s="13" t="s">
        <v>52</v>
      </c>
      <c r="D6846" s="13" t="s">
        <v>8648</v>
      </c>
      <c r="E6846" s="8">
        <v>105290.18</v>
      </c>
      <c r="F6846" s="13" t="s">
        <v>70</v>
      </c>
      <c r="G6846" s="14">
        <v>44638</v>
      </c>
      <c r="H6846" s="13" t="s">
        <v>35</v>
      </c>
    </row>
    <row r="6847" spans="1:8" ht="14.4" x14ac:dyDescent="0.3">
      <c r="A6847" s="8">
        <v>2040428</v>
      </c>
      <c r="B6847" s="11">
        <v>44637</v>
      </c>
      <c r="C6847" s="13" t="s">
        <v>376</v>
      </c>
      <c r="D6847" s="13" t="s">
        <v>8649</v>
      </c>
      <c r="E6847" s="8">
        <v>39396</v>
      </c>
      <c r="F6847" s="13" t="s">
        <v>70</v>
      </c>
      <c r="G6847" s="14">
        <v>44644</v>
      </c>
      <c r="H6847" s="13" t="s">
        <v>35</v>
      </c>
    </row>
    <row r="6848" spans="1:8" ht="14.4" x14ac:dyDescent="0.3">
      <c r="A6848" s="8">
        <v>2040429</v>
      </c>
      <c r="B6848" s="11">
        <v>44637</v>
      </c>
      <c r="C6848" s="13" t="s">
        <v>53</v>
      </c>
      <c r="D6848" s="13" t="s">
        <v>8650</v>
      </c>
      <c r="E6848" s="8">
        <v>208710.6</v>
      </c>
      <c r="F6848" s="13" t="s">
        <v>70</v>
      </c>
      <c r="G6848" s="14">
        <v>44648</v>
      </c>
      <c r="H6848" s="13" t="s">
        <v>35</v>
      </c>
    </row>
    <row r="6849" spans="1:8" ht="14.4" x14ac:dyDescent="0.3">
      <c r="A6849" s="8">
        <v>2040430</v>
      </c>
      <c r="B6849" s="11">
        <v>44637</v>
      </c>
      <c r="C6849" s="13" t="s">
        <v>124</v>
      </c>
      <c r="D6849" s="13" t="s">
        <v>8651</v>
      </c>
      <c r="E6849" s="8">
        <v>9025.2999999999993</v>
      </c>
      <c r="F6849" s="13" t="s">
        <v>70</v>
      </c>
      <c r="G6849" s="14">
        <v>44648</v>
      </c>
      <c r="H6849" s="13" t="s">
        <v>35</v>
      </c>
    </row>
    <row r="6850" spans="1:8" ht="14.4" x14ac:dyDescent="0.3">
      <c r="A6850" s="8">
        <v>2040431</v>
      </c>
      <c r="B6850" s="11">
        <v>44637</v>
      </c>
      <c r="C6850" s="13" t="s">
        <v>8652</v>
      </c>
      <c r="D6850" s="13" t="s">
        <v>8653</v>
      </c>
      <c r="E6850" s="8">
        <v>2093550</v>
      </c>
      <c r="F6850" s="13" t="s">
        <v>70</v>
      </c>
      <c r="G6850" s="14">
        <v>44644</v>
      </c>
      <c r="H6850" s="13" t="s">
        <v>35</v>
      </c>
    </row>
    <row r="6851" spans="1:8" ht="14.4" x14ac:dyDescent="0.3">
      <c r="A6851" s="8">
        <v>2040432</v>
      </c>
      <c r="B6851" s="11">
        <v>44637</v>
      </c>
      <c r="C6851" s="13" t="s">
        <v>8365</v>
      </c>
      <c r="D6851" s="13" t="s">
        <v>8654</v>
      </c>
      <c r="E6851" s="8">
        <v>5507.79</v>
      </c>
      <c r="F6851" s="13" t="s">
        <v>70</v>
      </c>
      <c r="G6851" s="14">
        <v>44651</v>
      </c>
      <c r="H6851" s="13" t="s">
        <v>35</v>
      </c>
    </row>
    <row r="6852" spans="1:8" ht="14.4" x14ac:dyDescent="0.3">
      <c r="A6852" s="8">
        <v>2040433</v>
      </c>
      <c r="B6852" s="11">
        <v>44637</v>
      </c>
      <c r="C6852" s="13" t="s">
        <v>405</v>
      </c>
      <c r="D6852" s="13" t="s">
        <v>8655</v>
      </c>
      <c r="E6852" s="8">
        <v>13787.85</v>
      </c>
      <c r="F6852" s="13" t="s">
        <v>70</v>
      </c>
      <c r="G6852" s="14">
        <v>44643</v>
      </c>
      <c r="H6852" s="13" t="s">
        <v>35</v>
      </c>
    </row>
    <row r="6853" spans="1:8" ht="14.4" x14ac:dyDescent="0.3">
      <c r="A6853" s="8">
        <v>2040434</v>
      </c>
      <c r="B6853" s="11">
        <v>44637</v>
      </c>
      <c r="C6853" s="13" t="s">
        <v>405</v>
      </c>
      <c r="D6853" s="13" t="s">
        <v>8656</v>
      </c>
      <c r="E6853" s="8">
        <v>12915.52</v>
      </c>
      <c r="F6853" s="13" t="s">
        <v>70</v>
      </c>
      <c r="G6853" s="14">
        <v>44643</v>
      </c>
      <c r="H6853" s="13" t="s">
        <v>35</v>
      </c>
    </row>
    <row r="6854" spans="1:8" ht="14.4" x14ac:dyDescent="0.3">
      <c r="A6854" s="8">
        <v>2040435</v>
      </c>
      <c r="B6854" s="11">
        <v>44637</v>
      </c>
      <c r="C6854" s="13" t="s">
        <v>8657</v>
      </c>
      <c r="D6854" s="13" t="s">
        <v>1595</v>
      </c>
      <c r="E6854" s="8">
        <v>32676.82</v>
      </c>
      <c r="F6854" s="13" t="s">
        <v>70</v>
      </c>
      <c r="G6854" s="14">
        <v>44638</v>
      </c>
      <c r="H6854" s="13" t="s">
        <v>35</v>
      </c>
    </row>
    <row r="6855" spans="1:8" ht="14.4" x14ac:dyDescent="0.3">
      <c r="A6855" s="8">
        <v>2040436</v>
      </c>
      <c r="B6855" s="11">
        <v>44637</v>
      </c>
      <c r="C6855" s="13" t="s">
        <v>884</v>
      </c>
      <c r="D6855" s="13" t="s">
        <v>8658</v>
      </c>
      <c r="E6855" s="8">
        <v>39300</v>
      </c>
      <c r="F6855" s="13" t="s">
        <v>70</v>
      </c>
      <c r="G6855" s="14">
        <v>44638</v>
      </c>
      <c r="H6855" s="13" t="s">
        <v>35</v>
      </c>
    </row>
    <row r="6856" spans="1:8" ht="14.4" x14ac:dyDescent="0.3">
      <c r="A6856" s="8">
        <v>2040437</v>
      </c>
      <c r="B6856" s="11">
        <v>44637</v>
      </c>
      <c r="C6856" s="13" t="s">
        <v>195</v>
      </c>
      <c r="D6856" s="13" t="s">
        <v>8659</v>
      </c>
      <c r="E6856" s="8">
        <v>10710</v>
      </c>
      <c r="F6856" s="13" t="s">
        <v>70</v>
      </c>
      <c r="G6856" s="14">
        <v>44652</v>
      </c>
      <c r="H6856" s="13" t="s">
        <v>35</v>
      </c>
    </row>
    <row r="6857" spans="1:8" ht="14.4" x14ac:dyDescent="0.3">
      <c r="A6857" s="8">
        <v>2040438</v>
      </c>
      <c r="B6857" s="11">
        <v>44637</v>
      </c>
      <c r="C6857" s="13" t="s">
        <v>44</v>
      </c>
      <c r="D6857" s="13" t="s">
        <v>8660</v>
      </c>
      <c r="E6857" s="8">
        <v>2853.55</v>
      </c>
      <c r="F6857" s="13" t="s">
        <v>70</v>
      </c>
      <c r="G6857" s="14">
        <v>44642</v>
      </c>
      <c r="H6857" s="13" t="s">
        <v>35</v>
      </c>
    </row>
    <row r="6858" spans="1:8" ht="14.4" x14ac:dyDescent="0.3">
      <c r="A6858" s="8">
        <v>2040439</v>
      </c>
      <c r="B6858" s="11">
        <v>44637</v>
      </c>
      <c r="C6858" s="13" t="s">
        <v>26</v>
      </c>
      <c r="D6858" s="13" t="s">
        <v>8661</v>
      </c>
      <c r="E6858" s="8">
        <v>4031.25</v>
      </c>
      <c r="F6858" s="13" t="s">
        <v>70</v>
      </c>
      <c r="G6858" s="14">
        <v>44644</v>
      </c>
      <c r="H6858" s="13" t="s">
        <v>35</v>
      </c>
    </row>
    <row r="6859" spans="1:8" ht="14.4" x14ac:dyDescent="0.3">
      <c r="A6859" s="8">
        <v>2040440</v>
      </c>
      <c r="B6859" s="11">
        <v>44637</v>
      </c>
      <c r="C6859" s="13" t="s">
        <v>523</v>
      </c>
      <c r="D6859" s="13" t="s">
        <v>8662</v>
      </c>
      <c r="E6859" s="8">
        <v>17698.3</v>
      </c>
      <c r="F6859" s="13" t="s">
        <v>70</v>
      </c>
      <c r="G6859" s="14">
        <v>44643</v>
      </c>
      <c r="H6859" s="13" t="s">
        <v>35</v>
      </c>
    </row>
    <row r="6860" spans="1:8" ht="14.4" x14ac:dyDescent="0.3">
      <c r="A6860" s="8">
        <v>2040441</v>
      </c>
      <c r="B6860" s="11">
        <v>44637</v>
      </c>
      <c r="C6860" s="13" t="s">
        <v>1286</v>
      </c>
      <c r="D6860" s="13" t="s">
        <v>8663</v>
      </c>
      <c r="E6860" s="8">
        <v>75136.179999999993</v>
      </c>
      <c r="F6860" s="13" t="s">
        <v>70</v>
      </c>
      <c r="G6860" s="14">
        <v>44638</v>
      </c>
      <c r="H6860" s="13" t="s">
        <v>35</v>
      </c>
    </row>
    <row r="6861" spans="1:8" ht="14.4" x14ac:dyDescent="0.3">
      <c r="A6861" s="8">
        <v>2040442</v>
      </c>
      <c r="B6861" s="11">
        <v>44637</v>
      </c>
      <c r="C6861" s="13" t="s">
        <v>4011</v>
      </c>
      <c r="D6861" s="13" t="s">
        <v>8664</v>
      </c>
      <c r="E6861" s="8">
        <v>52030</v>
      </c>
      <c r="F6861" s="13" t="s">
        <v>70</v>
      </c>
      <c r="G6861" s="14">
        <v>44642</v>
      </c>
      <c r="H6861" s="13" t="s">
        <v>35</v>
      </c>
    </row>
    <row r="6862" spans="1:8" ht="14.4" x14ac:dyDescent="0.3">
      <c r="A6862" s="8">
        <v>2040443</v>
      </c>
      <c r="B6862" s="11">
        <v>44637</v>
      </c>
      <c r="C6862" s="13" t="s">
        <v>44</v>
      </c>
      <c r="D6862" s="13" t="s">
        <v>8665</v>
      </c>
      <c r="E6862" s="8">
        <v>5978.36</v>
      </c>
      <c r="F6862" s="13" t="s">
        <v>70</v>
      </c>
      <c r="G6862" s="14">
        <v>44642</v>
      </c>
      <c r="H6862" s="13" t="s">
        <v>35</v>
      </c>
    </row>
    <row r="6863" spans="1:8" ht="14.4" x14ac:dyDescent="0.3">
      <c r="A6863" s="8">
        <v>2040444</v>
      </c>
      <c r="B6863" s="11">
        <v>44637</v>
      </c>
      <c r="C6863" s="13" t="s">
        <v>8666</v>
      </c>
      <c r="D6863" s="13" t="s">
        <v>8667</v>
      </c>
      <c r="E6863" s="8">
        <v>19528.8</v>
      </c>
      <c r="F6863" s="13" t="s">
        <v>70</v>
      </c>
      <c r="G6863" s="14">
        <v>44643</v>
      </c>
      <c r="H6863" s="13" t="s">
        <v>35</v>
      </c>
    </row>
    <row r="6864" spans="1:8" ht="14.4" x14ac:dyDescent="0.3">
      <c r="A6864" s="8">
        <v>2040445</v>
      </c>
      <c r="B6864" s="11">
        <v>44638</v>
      </c>
      <c r="C6864" s="13" t="s">
        <v>669</v>
      </c>
      <c r="D6864" s="13" t="s">
        <v>8668</v>
      </c>
      <c r="E6864" s="8">
        <v>90000</v>
      </c>
      <c r="F6864" s="13" t="s">
        <v>70</v>
      </c>
      <c r="G6864" s="14">
        <v>44645</v>
      </c>
      <c r="H6864" s="13" t="s">
        <v>35</v>
      </c>
    </row>
    <row r="6865" spans="1:8" ht="14.4" x14ac:dyDescent="0.3">
      <c r="A6865" s="8">
        <v>2040446</v>
      </c>
      <c r="B6865" s="11">
        <v>44638</v>
      </c>
      <c r="C6865" s="13" t="s">
        <v>506</v>
      </c>
      <c r="D6865" s="13" t="s">
        <v>8669</v>
      </c>
      <c r="E6865" s="8">
        <v>48000</v>
      </c>
      <c r="F6865" s="13" t="s">
        <v>70</v>
      </c>
      <c r="G6865" s="14">
        <v>44645</v>
      </c>
      <c r="H6865" s="13" t="s">
        <v>35</v>
      </c>
    </row>
    <row r="6866" spans="1:8" ht="14.4" x14ac:dyDescent="0.3">
      <c r="A6866" s="8">
        <v>2040447</v>
      </c>
      <c r="B6866" s="11">
        <v>44638</v>
      </c>
      <c r="C6866" s="13" t="s">
        <v>1193</v>
      </c>
      <c r="D6866" s="13" t="s">
        <v>8670</v>
      </c>
      <c r="E6866" s="8">
        <v>42500</v>
      </c>
      <c r="F6866" s="13" t="s">
        <v>70</v>
      </c>
      <c r="G6866" s="14">
        <v>44645</v>
      </c>
      <c r="H6866" s="13" t="s">
        <v>35</v>
      </c>
    </row>
    <row r="6867" spans="1:8" ht="14.4" x14ac:dyDescent="0.3">
      <c r="A6867" s="8">
        <v>2040448</v>
      </c>
      <c r="B6867" s="11">
        <v>44638</v>
      </c>
      <c r="C6867" s="13" t="s">
        <v>180</v>
      </c>
      <c r="D6867" s="13" t="s">
        <v>901</v>
      </c>
      <c r="E6867" s="8">
        <v>20203.66</v>
      </c>
      <c r="F6867" s="13" t="s">
        <v>70</v>
      </c>
      <c r="G6867" s="14">
        <v>44638</v>
      </c>
      <c r="H6867" s="13" t="s">
        <v>35</v>
      </c>
    </row>
    <row r="6868" spans="1:8" ht="14.4" x14ac:dyDescent="0.3">
      <c r="A6868" s="8">
        <v>2040449</v>
      </c>
      <c r="B6868" s="11">
        <v>44638</v>
      </c>
      <c r="C6868" s="13" t="s">
        <v>180</v>
      </c>
      <c r="D6868" s="13" t="s">
        <v>901</v>
      </c>
      <c r="E6868" s="8">
        <v>742405.06</v>
      </c>
      <c r="F6868" s="13" t="s">
        <v>70</v>
      </c>
      <c r="G6868" s="14">
        <v>44638</v>
      </c>
      <c r="H6868" s="13" t="s">
        <v>35</v>
      </c>
    </row>
    <row r="6869" spans="1:8" ht="14.4" x14ac:dyDescent="0.3">
      <c r="A6869" s="8">
        <v>2040450</v>
      </c>
      <c r="B6869" s="11">
        <v>44638</v>
      </c>
      <c r="C6869" s="13" t="s">
        <v>405</v>
      </c>
      <c r="D6869" s="13" t="s">
        <v>8671</v>
      </c>
      <c r="E6869" s="8">
        <v>15717.27</v>
      </c>
      <c r="F6869" s="13" t="s">
        <v>70</v>
      </c>
      <c r="G6869" s="14">
        <v>44643</v>
      </c>
      <c r="H6869" s="13" t="s">
        <v>35</v>
      </c>
    </row>
    <row r="6870" spans="1:8" ht="14.4" x14ac:dyDescent="0.3">
      <c r="A6870" s="8">
        <v>2040451</v>
      </c>
      <c r="B6870" s="11">
        <v>44638</v>
      </c>
      <c r="C6870" s="13" t="s">
        <v>405</v>
      </c>
      <c r="D6870" s="13" t="s">
        <v>8672</v>
      </c>
      <c r="E6870" s="8">
        <v>31176.06</v>
      </c>
      <c r="F6870" s="13" t="s">
        <v>70</v>
      </c>
      <c r="G6870" s="14">
        <v>44643</v>
      </c>
      <c r="H6870" s="13" t="s">
        <v>35</v>
      </c>
    </row>
    <row r="6871" spans="1:8" ht="14.4" x14ac:dyDescent="0.3">
      <c r="A6871" s="8">
        <v>2040453</v>
      </c>
      <c r="B6871" s="11">
        <v>44638</v>
      </c>
      <c r="C6871" s="13" t="s">
        <v>8673</v>
      </c>
      <c r="D6871" s="13"/>
      <c r="E6871" s="8">
        <v>5000</v>
      </c>
      <c r="F6871" s="13" t="s">
        <v>70</v>
      </c>
      <c r="G6871" s="14">
        <v>44643</v>
      </c>
      <c r="H6871" s="13" t="s">
        <v>35</v>
      </c>
    </row>
    <row r="6872" spans="1:8" ht="14.4" x14ac:dyDescent="0.3">
      <c r="A6872" s="8">
        <v>2040454</v>
      </c>
      <c r="B6872" s="11">
        <v>44638</v>
      </c>
      <c r="C6872" s="13" t="s">
        <v>180</v>
      </c>
      <c r="D6872" s="13" t="s">
        <v>901</v>
      </c>
      <c r="E6872" s="8">
        <v>227393.8</v>
      </c>
      <c r="F6872" s="13" t="s">
        <v>70</v>
      </c>
      <c r="G6872" s="14">
        <v>44638</v>
      </c>
      <c r="H6872" s="13" t="s">
        <v>35</v>
      </c>
    </row>
    <row r="6873" spans="1:8" ht="14.4" x14ac:dyDescent="0.3">
      <c r="A6873" s="8">
        <v>2040455</v>
      </c>
      <c r="B6873" s="11">
        <v>44638</v>
      </c>
      <c r="C6873" s="13" t="s">
        <v>405</v>
      </c>
      <c r="D6873" s="13" t="s">
        <v>8674</v>
      </c>
      <c r="E6873" s="8">
        <v>32063.34</v>
      </c>
      <c r="F6873" s="13" t="s">
        <v>70</v>
      </c>
      <c r="G6873" s="14">
        <v>44643</v>
      </c>
      <c r="H6873" s="13" t="s">
        <v>35</v>
      </c>
    </row>
    <row r="6874" spans="1:8" ht="14.4" x14ac:dyDescent="0.3">
      <c r="A6874" s="8">
        <v>2040456</v>
      </c>
      <c r="B6874" s="11">
        <v>44638</v>
      </c>
      <c r="C6874" s="13" t="s">
        <v>8675</v>
      </c>
      <c r="D6874" s="13" t="s">
        <v>8676</v>
      </c>
      <c r="E6874" s="8">
        <v>10000</v>
      </c>
      <c r="F6874" s="13" t="s">
        <v>70</v>
      </c>
      <c r="G6874" s="14">
        <v>44701</v>
      </c>
      <c r="H6874" s="13" t="s">
        <v>35</v>
      </c>
    </row>
    <row r="6875" spans="1:8" ht="14.4" x14ac:dyDescent="0.3">
      <c r="A6875" s="8">
        <v>2040457</v>
      </c>
      <c r="B6875" s="11">
        <v>44638</v>
      </c>
      <c r="C6875" s="13" t="s">
        <v>8677</v>
      </c>
      <c r="D6875" s="13" t="s">
        <v>8678</v>
      </c>
      <c r="E6875" s="8">
        <v>18000</v>
      </c>
      <c r="F6875" s="13" t="s">
        <v>70</v>
      </c>
      <c r="G6875" s="14">
        <v>44643</v>
      </c>
      <c r="H6875" s="13" t="s">
        <v>35</v>
      </c>
    </row>
    <row r="6876" spans="1:8" ht="14.4" x14ac:dyDescent="0.3">
      <c r="A6876" s="8">
        <v>2040458</v>
      </c>
      <c r="B6876" s="11">
        <v>44638</v>
      </c>
      <c r="C6876" s="13" t="s">
        <v>8679</v>
      </c>
      <c r="D6876" s="13" t="s">
        <v>8680</v>
      </c>
      <c r="E6876" s="8">
        <v>8000</v>
      </c>
      <c r="F6876" s="13" t="s">
        <v>70</v>
      </c>
      <c r="G6876" s="14">
        <v>44644</v>
      </c>
      <c r="H6876" s="13" t="s">
        <v>35</v>
      </c>
    </row>
    <row r="6877" spans="1:8" ht="14.4" x14ac:dyDescent="0.3">
      <c r="A6877" s="8">
        <v>2040459</v>
      </c>
      <c r="B6877" s="11">
        <v>44638</v>
      </c>
      <c r="C6877" s="13" t="s">
        <v>8681</v>
      </c>
      <c r="D6877" s="13" t="s">
        <v>8682</v>
      </c>
      <c r="E6877" s="8">
        <v>20000</v>
      </c>
      <c r="F6877" s="13" t="s">
        <v>70</v>
      </c>
      <c r="G6877" s="14">
        <v>44641</v>
      </c>
      <c r="H6877" s="13" t="s">
        <v>35</v>
      </c>
    </row>
    <row r="6878" spans="1:8" ht="14.4" x14ac:dyDescent="0.3">
      <c r="A6878" s="8">
        <v>2040460</v>
      </c>
      <c r="B6878" s="11">
        <v>44638</v>
      </c>
      <c r="C6878" s="13" t="s">
        <v>8683</v>
      </c>
      <c r="D6878" s="13" t="s">
        <v>8684</v>
      </c>
      <c r="E6878" s="8">
        <v>15000</v>
      </c>
      <c r="F6878" s="13" t="s">
        <v>70</v>
      </c>
      <c r="G6878" s="14">
        <v>44642</v>
      </c>
      <c r="H6878" s="13" t="s">
        <v>35</v>
      </c>
    </row>
    <row r="6879" spans="1:8" ht="14.4" x14ac:dyDescent="0.3">
      <c r="A6879" s="8">
        <v>2040461</v>
      </c>
      <c r="B6879" s="11">
        <v>44638</v>
      </c>
      <c r="C6879" s="13" t="s">
        <v>8685</v>
      </c>
      <c r="D6879" s="13" t="s">
        <v>8686</v>
      </c>
      <c r="E6879" s="8">
        <v>50000</v>
      </c>
      <c r="F6879" s="13" t="s">
        <v>70</v>
      </c>
      <c r="G6879" s="14">
        <v>44644</v>
      </c>
      <c r="H6879" s="13" t="s">
        <v>35</v>
      </c>
    </row>
    <row r="6880" spans="1:8" ht="14.4" x14ac:dyDescent="0.3">
      <c r="A6880" s="8">
        <v>2040462</v>
      </c>
      <c r="B6880" s="11">
        <v>44638</v>
      </c>
      <c r="C6880" s="13" t="s">
        <v>8687</v>
      </c>
      <c r="D6880" s="13" t="s">
        <v>8688</v>
      </c>
      <c r="E6880" s="8">
        <v>25000</v>
      </c>
      <c r="F6880" s="13" t="s">
        <v>70</v>
      </c>
      <c r="G6880" s="14">
        <v>44644</v>
      </c>
      <c r="H6880" s="13" t="s">
        <v>35</v>
      </c>
    </row>
    <row r="6881" spans="1:8" ht="14.4" x14ac:dyDescent="0.3">
      <c r="A6881" s="8">
        <v>2040463</v>
      </c>
      <c r="B6881" s="11">
        <v>44638</v>
      </c>
      <c r="C6881" s="13" t="s">
        <v>159</v>
      </c>
      <c r="D6881" s="13" t="s">
        <v>8689</v>
      </c>
      <c r="E6881" s="8">
        <v>369400</v>
      </c>
      <c r="F6881" s="13" t="s">
        <v>70</v>
      </c>
      <c r="G6881" s="14">
        <v>44641</v>
      </c>
      <c r="H6881" s="13" t="s">
        <v>35</v>
      </c>
    </row>
    <row r="6882" spans="1:8" ht="14.4" x14ac:dyDescent="0.3">
      <c r="A6882" s="8">
        <v>2040464</v>
      </c>
      <c r="B6882" s="11">
        <v>44638</v>
      </c>
      <c r="C6882" s="13" t="s">
        <v>44</v>
      </c>
      <c r="D6882" s="13" t="s">
        <v>8665</v>
      </c>
      <c r="E6882" s="8">
        <v>5886.48</v>
      </c>
      <c r="F6882" s="13" t="s">
        <v>70</v>
      </c>
      <c r="G6882" s="14">
        <v>44644</v>
      </c>
      <c r="H6882" s="13" t="s">
        <v>35</v>
      </c>
    </row>
    <row r="6883" spans="1:8" ht="14.4" x14ac:dyDescent="0.3">
      <c r="A6883" s="8">
        <v>2040465</v>
      </c>
      <c r="B6883" s="11">
        <v>44638</v>
      </c>
      <c r="C6883" s="13" t="s">
        <v>265</v>
      </c>
      <c r="D6883" s="13" t="s">
        <v>8690</v>
      </c>
      <c r="E6883" s="8">
        <v>52335</v>
      </c>
      <c r="F6883" s="13" t="s">
        <v>70</v>
      </c>
      <c r="G6883" s="14">
        <v>44642</v>
      </c>
      <c r="H6883" s="13" t="s">
        <v>35</v>
      </c>
    </row>
    <row r="6884" spans="1:8" ht="14.4" x14ac:dyDescent="0.3">
      <c r="A6884" s="8">
        <v>2040466</v>
      </c>
      <c r="B6884" s="11">
        <v>44638</v>
      </c>
      <c r="C6884" s="13" t="s">
        <v>405</v>
      </c>
      <c r="D6884" s="13" t="s">
        <v>8691</v>
      </c>
      <c r="E6884" s="8">
        <v>12424.99</v>
      </c>
      <c r="F6884" s="13" t="s">
        <v>70</v>
      </c>
      <c r="G6884" s="14">
        <v>44643</v>
      </c>
      <c r="H6884" s="13" t="s">
        <v>35</v>
      </c>
    </row>
    <row r="6885" spans="1:8" ht="14.4" x14ac:dyDescent="0.3">
      <c r="A6885" s="8">
        <v>2040467</v>
      </c>
      <c r="B6885" s="11">
        <v>44638</v>
      </c>
      <c r="C6885" s="13" t="s">
        <v>374</v>
      </c>
      <c r="D6885" s="13" t="s">
        <v>8692</v>
      </c>
      <c r="E6885" s="8">
        <v>349615</v>
      </c>
      <c r="F6885" s="13" t="s">
        <v>70</v>
      </c>
      <c r="G6885" s="14">
        <v>44644</v>
      </c>
      <c r="H6885" s="13" t="s">
        <v>35</v>
      </c>
    </row>
    <row r="6886" spans="1:8" ht="14.4" x14ac:dyDescent="0.3">
      <c r="A6886" s="8">
        <v>2040468</v>
      </c>
      <c r="B6886" s="11">
        <v>44638</v>
      </c>
      <c r="C6886" s="13" t="s">
        <v>374</v>
      </c>
      <c r="D6886" s="13" t="s">
        <v>8693</v>
      </c>
      <c r="E6886" s="8">
        <v>724955</v>
      </c>
      <c r="F6886" s="13" t="s">
        <v>70</v>
      </c>
      <c r="G6886" s="14">
        <v>44644</v>
      </c>
      <c r="H6886" s="13" t="s">
        <v>35</v>
      </c>
    </row>
    <row r="6887" spans="1:8" ht="14.4" x14ac:dyDescent="0.3">
      <c r="A6887" s="8">
        <v>2040469</v>
      </c>
      <c r="B6887" s="11">
        <v>44638</v>
      </c>
      <c r="C6887" s="13" t="s">
        <v>53</v>
      </c>
      <c r="D6887" s="13" t="s">
        <v>8694</v>
      </c>
      <c r="E6887" s="8">
        <v>462525.7</v>
      </c>
      <c r="F6887" s="13" t="s">
        <v>70</v>
      </c>
      <c r="G6887" s="14">
        <v>44648</v>
      </c>
      <c r="H6887" s="13" t="s">
        <v>35</v>
      </c>
    </row>
    <row r="6888" spans="1:8" ht="14.4" x14ac:dyDescent="0.3">
      <c r="A6888" s="8">
        <v>2040470</v>
      </c>
      <c r="B6888" s="11">
        <v>44638</v>
      </c>
      <c r="C6888" s="13" t="s">
        <v>8695</v>
      </c>
      <c r="D6888" s="13" t="s">
        <v>8696</v>
      </c>
      <c r="E6888" s="8">
        <v>78792</v>
      </c>
      <c r="F6888" s="13" t="s">
        <v>70</v>
      </c>
      <c r="G6888" s="14">
        <v>44644</v>
      </c>
      <c r="H6888" s="13" t="s">
        <v>35</v>
      </c>
    </row>
    <row r="6889" spans="1:8" ht="14.4" x14ac:dyDescent="0.3">
      <c r="A6889" s="8">
        <v>2040471</v>
      </c>
      <c r="B6889" s="11">
        <v>44638</v>
      </c>
      <c r="C6889" s="13" t="s">
        <v>1547</v>
      </c>
      <c r="D6889" s="13" t="s">
        <v>8697</v>
      </c>
      <c r="E6889" s="8">
        <v>250383.26</v>
      </c>
      <c r="F6889" s="13" t="s">
        <v>70</v>
      </c>
      <c r="G6889" s="14">
        <v>44642</v>
      </c>
      <c r="H6889" s="13" t="s">
        <v>35</v>
      </c>
    </row>
    <row r="6890" spans="1:8" ht="14.4" x14ac:dyDescent="0.3">
      <c r="A6890" s="8">
        <v>2040472</v>
      </c>
      <c r="B6890" s="11">
        <v>44638</v>
      </c>
      <c r="C6890" s="13" t="s">
        <v>502</v>
      </c>
      <c r="D6890" s="13" t="s">
        <v>8698</v>
      </c>
      <c r="E6890" s="8">
        <v>20000</v>
      </c>
      <c r="F6890" s="13" t="s">
        <v>70</v>
      </c>
      <c r="G6890" s="14">
        <v>44642</v>
      </c>
      <c r="H6890" s="13" t="s">
        <v>35</v>
      </c>
    </row>
    <row r="6891" spans="1:8" ht="14.4" x14ac:dyDescent="0.3">
      <c r="A6891" s="8">
        <v>2040473</v>
      </c>
      <c r="B6891" s="11">
        <v>44638</v>
      </c>
      <c r="C6891" s="13" t="s">
        <v>155</v>
      </c>
      <c r="D6891" s="13" t="s">
        <v>8699</v>
      </c>
      <c r="E6891" s="8">
        <v>20000</v>
      </c>
      <c r="F6891" s="13" t="s">
        <v>70</v>
      </c>
      <c r="G6891" s="14">
        <v>44643</v>
      </c>
      <c r="H6891" s="13" t="s">
        <v>35</v>
      </c>
    </row>
    <row r="6892" spans="1:8" ht="14.4" x14ac:dyDescent="0.3">
      <c r="A6892" s="8">
        <v>2040474</v>
      </c>
      <c r="B6892" s="11">
        <v>44638</v>
      </c>
      <c r="C6892" s="13" t="s">
        <v>1784</v>
      </c>
      <c r="D6892" s="13" t="s">
        <v>8700</v>
      </c>
      <c r="E6892" s="8">
        <v>46960</v>
      </c>
      <c r="F6892" s="13" t="s">
        <v>70</v>
      </c>
      <c r="G6892" s="14">
        <v>44648</v>
      </c>
      <c r="H6892" s="13" t="s">
        <v>35</v>
      </c>
    </row>
    <row r="6893" spans="1:8" ht="14.4" x14ac:dyDescent="0.3">
      <c r="A6893" s="8">
        <v>2040475</v>
      </c>
      <c r="B6893" s="11">
        <v>44638</v>
      </c>
      <c r="C6893" s="13" t="s">
        <v>1424</v>
      </c>
      <c r="D6893" s="13" t="s">
        <v>1625</v>
      </c>
      <c r="E6893" s="8">
        <v>29220.98</v>
      </c>
      <c r="F6893" s="13" t="s">
        <v>70</v>
      </c>
      <c r="G6893" s="14">
        <v>44642</v>
      </c>
      <c r="H6893" s="13" t="s">
        <v>35</v>
      </c>
    </row>
    <row r="6894" spans="1:8" ht="14.4" x14ac:dyDescent="0.3">
      <c r="A6894" s="8">
        <v>2040476</v>
      </c>
      <c r="B6894" s="11">
        <v>44638</v>
      </c>
      <c r="C6894" s="13" t="s">
        <v>1784</v>
      </c>
      <c r="D6894" s="13" t="s">
        <v>8701</v>
      </c>
      <c r="E6894" s="8">
        <v>13000</v>
      </c>
      <c r="F6894" s="13" t="s">
        <v>70</v>
      </c>
      <c r="G6894" s="14">
        <v>44648</v>
      </c>
      <c r="H6894" s="13" t="s">
        <v>35</v>
      </c>
    </row>
    <row r="6895" spans="1:8" ht="14.4" x14ac:dyDescent="0.3">
      <c r="A6895" s="8">
        <v>2040477</v>
      </c>
      <c r="B6895" s="11">
        <v>44638</v>
      </c>
      <c r="C6895" s="13" t="s">
        <v>604</v>
      </c>
      <c r="D6895" s="13" t="s">
        <v>8702</v>
      </c>
      <c r="E6895" s="8">
        <v>71780</v>
      </c>
      <c r="F6895" s="13" t="s">
        <v>70</v>
      </c>
      <c r="G6895" s="14">
        <v>44687</v>
      </c>
      <c r="H6895" s="13" t="s">
        <v>35</v>
      </c>
    </row>
    <row r="6896" spans="1:8" ht="14.4" x14ac:dyDescent="0.3">
      <c r="A6896" s="8">
        <v>2040479</v>
      </c>
      <c r="B6896" s="11">
        <v>44638</v>
      </c>
      <c r="C6896" s="13" t="s">
        <v>8703</v>
      </c>
      <c r="D6896" s="13" t="s">
        <v>8704</v>
      </c>
      <c r="E6896" s="8">
        <v>240</v>
      </c>
      <c r="F6896" s="13" t="s">
        <v>70</v>
      </c>
      <c r="G6896" s="14">
        <v>44706</v>
      </c>
      <c r="H6896" s="13" t="s">
        <v>35</v>
      </c>
    </row>
    <row r="6897" spans="1:8" ht="14.4" x14ac:dyDescent="0.3">
      <c r="A6897" s="8">
        <v>2040480</v>
      </c>
      <c r="B6897" s="11">
        <v>44638</v>
      </c>
      <c r="C6897" s="13" t="s">
        <v>8705</v>
      </c>
      <c r="D6897" s="13" t="s">
        <v>8706</v>
      </c>
      <c r="E6897" s="8">
        <v>1444</v>
      </c>
      <c r="F6897" s="13" t="s">
        <v>70</v>
      </c>
      <c r="G6897" s="14">
        <v>44686</v>
      </c>
      <c r="H6897" s="13" t="s">
        <v>35</v>
      </c>
    </row>
    <row r="6898" spans="1:8" ht="14.4" x14ac:dyDescent="0.3">
      <c r="A6898" s="8">
        <v>2040481</v>
      </c>
      <c r="B6898" s="11">
        <v>44638</v>
      </c>
      <c r="C6898" s="13" t="s">
        <v>191</v>
      </c>
      <c r="D6898" s="13" t="s">
        <v>34</v>
      </c>
      <c r="E6898" s="8">
        <v>12400</v>
      </c>
      <c r="F6898" s="13" t="s">
        <v>70</v>
      </c>
      <c r="G6898" s="14">
        <v>44651</v>
      </c>
      <c r="H6898" s="13" t="s">
        <v>35</v>
      </c>
    </row>
    <row r="6899" spans="1:8" ht="14.4" x14ac:dyDescent="0.3">
      <c r="A6899" s="8">
        <v>2040482</v>
      </c>
      <c r="B6899" s="11">
        <v>44638</v>
      </c>
      <c r="C6899" s="13" t="s">
        <v>55</v>
      </c>
      <c r="D6899" s="13" t="s">
        <v>34</v>
      </c>
      <c r="E6899" s="8">
        <v>44588.98</v>
      </c>
      <c r="F6899" s="13" t="s">
        <v>70</v>
      </c>
      <c r="G6899" s="14">
        <v>44680</v>
      </c>
      <c r="H6899" s="13" t="s">
        <v>35</v>
      </c>
    </row>
    <row r="6900" spans="1:8" ht="14.4" x14ac:dyDescent="0.3">
      <c r="A6900" s="8">
        <v>2040483</v>
      </c>
      <c r="B6900" s="11">
        <v>44638</v>
      </c>
      <c r="C6900" s="13" t="s">
        <v>4466</v>
      </c>
      <c r="D6900" s="13" t="s">
        <v>8707</v>
      </c>
      <c r="E6900" s="8">
        <v>925</v>
      </c>
      <c r="F6900" s="13" t="s">
        <v>70</v>
      </c>
      <c r="G6900" s="14">
        <v>44649</v>
      </c>
      <c r="H6900" s="13" t="s">
        <v>35</v>
      </c>
    </row>
    <row r="6901" spans="1:8" ht="14.4" x14ac:dyDescent="0.3">
      <c r="A6901" s="8">
        <v>2040484</v>
      </c>
      <c r="B6901" s="11">
        <v>44641</v>
      </c>
      <c r="C6901" s="13" t="s">
        <v>8708</v>
      </c>
      <c r="D6901" s="13" t="s">
        <v>8654</v>
      </c>
      <c r="E6901" s="8">
        <v>13548.09</v>
      </c>
      <c r="F6901" s="13" t="s">
        <v>70</v>
      </c>
      <c r="G6901" s="14">
        <v>44642</v>
      </c>
      <c r="H6901" s="13" t="s">
        <v>35</v>
      </c>
    </row>
    <row r="6902" spans="1:8" ht="14.4" x14ac:dyDescent="0.3">
      <c r="A6902" s="8">
        <v>2040485</v>
      </c>
      <c r="B6902" s="11">
        <v>44641</v>
      </c>
      <c r="C6902" s="13" t="s">
        <v>8709</v>
      </c>
      <c r="D6902" s="13" t="s">
        <v>8654</v>
      </c>
      <c r="E6902" s="8">
        <v>10689.79</v>
      </c>
      <c r="F6902" s="13" t="s">
        <v>70</v>
      </c>
      <c r="G6902" s="14">
        <v>44642</v>
      </c>
      <c r="H6902" s="13" t="s">
        <v>35</v>
      </c>
    </row>
    <row r="6903" spans="1:8" ht="14.4" x14ac:dyDescent="0.3">
      <c r="A6903" s="8">
        <v>2040486</v>
      </c>
      <c r="B6903" s="11">
        <v>44641</v>
      </c>
      <c r="C6903" s="13" t="s">
        <v>1569</v>
      </c>
      <c r="D6903" s="13" t="s">
        <v>8710</v>
      </c>
      <c r="E6903" s="8">
        <v>47716.2</v>
      </c>
      <c r="F6903" s="13" t="s">
        <v>70</v>
      </c>
      <c r="G6903" s="14">
        <v>44658</v>
      </c>
      <c r="H6903" s="13" t="s">
        <v>35</v>
      </c>
    </row>
    <row r="6904" spans="1:8" ht="14.4" x14ac:dyDescent="0.3">
      <c r="A6904" s="8">
        <v>2040487</v>
      </c>
      <c r="B6904" s="11">
        <v>44641</v>
      </c>
      <c r="C6904" s="13" t="s">
        <v>8711</v>
      </c>
      <c r="D6904" s="13" t="s">
        <v>8712</v>
      </c>
      <c r="E6904" s="8">
        <v>4500</v>
      </c>
      <c r="F6904" s="13" t="s">
        <v>70</v>
      </c>
      <c r="G6904" s="14">
        <v>44707</v>
      </c>
      <c r="H6904" s="13" t="s">
        <v>35</v>
      </c>
    </row>
    <row r="6905" spans="1:8" ht="14.4" x14ac:dyDescent="0.3">
      <c r="A6905" s="8">
        <v>2040488</v>
      </c>
      <c r="B6905" s="11">
        <v>44641</v>
      </c>
      <c r="C6905" s="13" t="s">
        <v>265</v>
      </c>
      <c r="D6905" s="13" t="s">
        <v>8713</v>
      </c>
      <c r="E6905" s="8">
        <v>158941.45000000001</v>
      </c>
      <c r="F6905" s="13" t="s">
        <v>70</v>
      </c>
      <c r="G6905" s="14">
        <v>44644</v>
      </c>
      <c r="H6905" s="13" t="s">
        <v>35</v>
      </c>
    </row>
    <row r="6906" spans="1:8" ht="14.4" x14ac:dyDescent="0.3">
      <c r="A6906" s="8">
        <v>2040489</v>
      </c>
      <c r="B6906" s="11">
        <v>44641</v>
      </c>
      <c r="C6906" s="13" t="s">
        <v>8714</v>
      </c>
      <c r="D6906" s="13" t="s">
        <v>8715</v>
      </c>
      <c r="E6906" s="8">
        <v>10000</v>
      </c>
      <c r="F6906" s="13" t="s">
        <v>70</v>
      </c>
      <c r="G6906" s="14">
        <v>44642</v>
      </c>
      <c r="H6906" s="13" t="s">
        <v>35</v>
      </c>
    </row>
    <row r="6907" spans="1:8" ht="14.4" x14ac:dyDescent="0.3">
      <c r="A6907" s="8">
        <v>2040490</v>
      </c>
      <c r="B6907" s="11">
        <v>44641</v>
      </c>
      <c r="C6907" s="13" t="s">
        <v>8716</v>
      </c>
      <c r="D6907" s="13" t="s">
        <v>8717</v>
      </c>
      <c r="E6907" s="8">
        <v>30000</v>
      </c>
      <c r="F6907" s="13" t="s">
        <v>70</v>
      </c>
      <c r="G6907" s="14">
        <v>44642</v>
      </c>
      <c r="H6907" s="13" t="s">
        <v>35</v>
      </c>
    </row>
    <row r="6908" spans="1:8" ht="14.4" x14ac:dyDescent="0.3">
      <c r="A6908" s="8">
        <v>2040491</v>
      </c>
      <c r="B6908" s="11">
        <v>44641</v>
      </c>
      <c r="C6908" s="13" t="s">
        <v>8718</v>
      </c>
      <c r="D6908" s="13" t="s">
        <v>8719</v>
      </c>
      <c r="E6908" s="8">
        <v>10000</v>
      </c>
      <c r="F6908" s="13" t="s">
        <v>70</v>
      </c>
      <c r="G6908" s="14">
        <v>44644</v>
      </c>
      <c r="H6908" s="13" t="s">
        <v>35</v>
      </c>
    </row>
    <row r="6909" spans="1:8" ht="14.4" x14ac:dyDescent="0.3">
      <c r="A6909" s="8">
        <v>2040492</v>
      </c>
      <c r="B6909" s="11">
        <v>44641</v>
      </c>
      <c r="C6909" s="13" t="s">
        <v>8720</v>
      </c>
      <c r="D6909" s="13" t="s">
        <v>8721</v>
      </c>
      <c r="E6909" s="8">
        <v>40000</v>
      </c>
      <c r="F6909" s="13" t="s">
        <v>70</v>
      </c>
      <c r="G6909" s="14">
        <v>44643</v>
      </c>
      <c r="H6909" s="13" t="s">
        <v>35</v>
      </c>
    </row>
    <row r="6910" spans="1:8" ht="14.4" x14ac:dyDescent="0.3">
      <c r="A6910" s="8">
        <v>2040493</v>
      </c>
      <c r="B6910" s="11">
        <v>44641</v>
      </c>
      <c r="C6910" s="13" t="s">
        <v>3476</v>
      </c>
      <c r="D6910" s="13" t="s">
        <v>8722</v>
      </c>
      <c r="E6910" s="8">
        <v>19000</v>
      </c>
      <c r="F6910" s="13" t="s">
        <v>70</v>
      </c>
      <c r="G6910" s="14">
        <v>44644</v>
      </c>
      <c r="H6910" s="13" t="s">
        <v>35</v>
      </c>
    </row>
    <row r="6911" spans="1:8" ht="14.4" x14ac:dyDescent="0.3">
      <c r="A6911" s="8">
        <v>2040494</v>
      </c>
      <c r="B6911" s="11">
        <v>44641</v>
      </c>
      <c r="C6911" s="13" t="s">
        <v>8723</v>
      </c>
      <c r="D6911" s="13" t="s">
        <v>8724</v>
      </c>
      <c r="E6911" s="8">
        <v>10000</v>
      </c>
      <c r="F6911" s="13" t="s">
        <v>70</v>
      </c>
      <c r="G6911" s="14">
        <v>44643</v>
      </c>
      <c r="H6911" s="13" t="s">
        <v>35</v>
      </c>
    </row>
    <row r="6912" spans="1:8" ht="14.4" x14ac:dyDescent="0.3">
      <c r="A6912" s="8">
        <v>2040495</v>
      </c>
      <c r="B6912" s="11">
        <v>44641</v>
      </c>
      <c r="C6912" s="13" t="s">
        <v>8725</v>
      </c>
      <c r="D6912" s="13" t="s">
        <v>8726</v>
      </c>
      <c r="E6912" s="8">
        <v>50000</v>
      </c>
      <c r="F6912" s="13" t="s">
        <v>70</v>
      </c>
      <c r="G6912" s="14">
        <v>44643</v>
      </c>
      <c r="H6912" s="13" t="s">
        <v>35</v>
      </c>
    </row>
    <row r="6913" spans="1:8" ht="14.4" x14ac:dyDescent="0.3">
      <c r="A6913" s="8">
        <v>2040496</v>
      </c>
      <c r="B6913" s="11">
        <v>44641</v>
      </c>
      <c r="C6913" s="13" t="s">
        <v>8727</v>
      </c>
      <c r="D6913" s="13" t="s">
        <v>8728</v>
      </c>
      <c r="E6913" s="8">
        <v>10000</v>
      </c>
      <c r="F6913" s="13" t="s">
        <v>70</v>
      </c>
      <c r="G6913" s="14">
        <v>44643</v>
      </c>
      <c r="H6913" s="13" t="s">
        <v>35</v>
      </c>
    </row>
    <row r="6914" spans="1:8" ht="14.4" x14ac:dyDescent="0.3">
      <c r="A6914" s="8">
        <v>2040497</v>
      </c>
      <c r="B6914" s="11">
        <v>44641</v>
      </c>
      <c r="C6914" s="13" t="s">
        <v>3420</v>
      </c>
      <c r="D6914" s="13" t="s">
        <v>8729</v>
      </c>
      <c r="E6914" s="8">
        <v>14000</v>
      </c>
      <c r="F6914" s="13" t="s">
        <v>70</v>
      </c>
      <c r="G6914" s="14">
        <v>44643</v>
      </c>
      <c r="H6914" s="13" t="s">
        <v>35</v>
      </c>
    </row>
    <row r="6915" spans="1:8" ht="14.4" x14ac:dyDescent="0.3">
      <c r="A6915" s="8">
        <v>2040498</v>
      </c>
      <c r="B6915" s="11">
        <v>44641</v>
      </c>
      <c r="C6915" s="13" t="s">
        <v>8730</v>
      </c>
      <c r="D6915" s="13" t="s">
        <v>8731</v>
      </c>
      <c r="E6915" s="8">
        <v>7400</v>
      </c>
      <c r="F6915" s="13" t="s">
        <v>70</v>
      </c>
      <c r="G6915" s="14">
        <v>44643</v>
      </c>
      <c r="H6915" s="13" t="s">
        <v>35</v>
      </c>
    </row>
    <row r="6916" spans="1:8" ht="14.4" x14ac:dyDescent="0.3">
      <c r="A6916" s="8">
        <v>2040499</v>
      </c>
      <c r="B6916" s="11">
        <v>44641</v>
      </c>
      <c r="C6916" s="13" t="s">
        <v>8732</v>
      </c>
      <c r="D6916" s="13" t="s">
        <v>8733</v>
      </c>
      <c r="E6916" s="8">
        <v>29000</v>
      </c>
      <c r="F6916" s="13" t="s">
        <v>70</v>
      </c>
      <c r="G6916" s="14">
        <v>44643</v>
      </c>
      <c r="H6916" s="13" t="s">
        <v>35</v>
      </c>
    </row>
    <row r="6917" spans="1:8" ht="14.4" x14ac:dyDescent="0.3">
      <c r="A6917" s="8">
        <v>2040500</v>
      </c>
      <c r="B6917" s="11">
        <v>44641</v>
      </c>
      <c r="C6917" s="13" t="s">
        <v>8734</v>
      </c>
      <c r="D6917" s="13" t="s">
        <v>8735</v>
      </c>
      <c r="E6917" s="8">
        <v>32500</v>
      </c>
      <c r="F6917" s="13" t="s">
        <v>70</v>
      </c>
      <c r="G6917" s="14">
        <v>44644</v>
      </c>
      <c r="H6917" s="13" t="s">
        <v>35</v>
      </c>
    </row>
    <row r="6918" spans="1:8" ht="14.4" x14ac:dyDescent="0.3">
      <c r="A6918" s="8">
        <v>2040508</v>
      </c>
      <c r="B6918" s="11">
        <v>44641</v>
      </c>
      <c r="C6918" s="13" t="s">
        <v>496</v>
      </c>
      <c r="D6918" s="13" t="s">
        <v>8736</v>
      </c>
      <c r="E6918" s="8">
        <v>30000</v>
      </c>
      <c r="F6918" s="13" t="s">
        <v>70</v>
      </c>
      <c r="G6918" s="14">
        <v>44643</v>
      </c>
      <c r="H6918" s="13" t="s">
        <v>35</v>
      </c>
    </row>
    <row r="6919" spans="1:8" ht="14.4" x14ac:dyDescent="0.3">
      <c r="A6919" s="8">
        <v>2040509</v>
      </c>
      <c r="B6919" s="11">
        <v>44641</v>
      </c>
      <c r="C6919" s="13" t="s">
        <v>8737</v>
      </c>
      <c r="D6919" s="13" t="s">
        <v>8738</v>
      </c>
      <c r="E6919" s="8">
        <v>8000</v>
      </c>
      <c r="F6919" s="13" t="s">
        <v>70</v>
      </c>
      <c r="G6919" s="14">
        <v>44643</v>
      </c>
      <c r="H6919" s="13" t="s">
        <v>35</v>
      </c>
    </row>
    <row r="6920" spans="1:8" ht="14.4" x14ac:dyDescent="0.3">
      <c r="A6920" s="8">
        <v>2040510</v>
      </c>
      <c r="B6920" s="11">
        <v>44641</v>
      </c>
      <c r="C6920" s="13" t="s">
        <v>8739</v>
      </c>
      <c r="D6920" s="13" t="s">
        <v>8740</v>
      </c>
      <c r="E6920" s="8">
        <v>13000</v>
      </c>
      <c r="F6920" s="13" t="s">
        <v>70</v>
      </c>
      <c r="G6920" s="14">
        <v>44643</v>
      </c>
      <c r="H6920" s="13" t="s">
        <v>35</v>
      </c>
    </row>
    <row r="6921" spans="1:8" ht="14.4" x14ac:dyDescent="0.3">
      <c r="A6921" s="8">
        <v>2040511</v>
      </c>
      <c r="B6921" s="11">
        <v>44641</v>
      </c>
      <c r="C6921" s="13" t="s">
        <v>8741</v>
      </c>
      <c r="D6921" s="13" t="s">
        <v>8742</v>
      </c>
      <c r="E6921" s="8">
        <v>30000</v>
      </c>
      <c r="F6921" s="13" t="s">
        <v>70</v>
      </c>
      <c r="G6921" s="14">
        <v>44643</v>
      </c>
      <c r="H6921" s="13" t="s">
        <v>35</v>
      </c>
    </row>
    <row r="6922" spans="1:8" ht="14.4" x14ac:dyDescent="0.3">
      <c r="A6922" s="8">
        <v>2040512</v>
      </c>
      <c r="B6922" s="11">
        <v>44641</v>
      </c>
      <c r="C6922" s="13" t="s">
        <v>8743</v>
      </c>
      <c r="D6922" s="13" t="s">
        <v>8744</v>
      </c>
      <c r="E6922" s="8">
        <v>10000</v>
      </c>
      <c r="F6922" s="13" t="s">
        <v>70</v>
      </c>
      <c r="G6922" s="14">
        <v>44644</v>
      </c>
      <c r="H6922" s="13" t="s">
        <v>35</v>
      </c>
    </row>
    <row r="6923" spans="1:8" ht="14.4" x14ac:dyDescent="0.3">
      <c r="A6923" s="8">
        <v>2040513</v>
      </c>
      <c r="B6923" s="11">
        <v>44641</v>
      </c>
      <c r="C6923" s="13" t="s">
        <v>259</v>
      </c>
      <c r="D6923" s="13" t="s">
        <v>8745</v>
      </c>
      <c r="E6923" s="8">
        <v>62815.63</v>
      </c>
      <c r="F6923" s="13" t="s">
        <v>70</v>
      </c>
      <c r="G6923" s="14">
        <v>44648</v>
      </c>
      <c r="H6923" s="13" t="s">
        <v>35</v>
      </c>
    </row>
    <row r="6924" spans="1:8" ht="14.4" x14ac:dyDescent="0.3">
      <c r="A6924" s="8">
        <v>2040516</v>
      </c>
      <c r="B6924" s="11">
        <v>44641</v>
      </c>
      <c r="C6924" s="13" t="s">
        <v>2072</v>
      </c>
      <c r="D6924" s="13" t="s">
        <v>8746</v>
      </c>
      <c r="E6924" s="8">
        <v>13787.85</v>
      </c>
      <c r="F6924" s="13" t="s">
        <v>70</v>
      </c>
      <c r="G6924" s="14">
        <v>44643</v>
      </c>
      <c r="H6924" s="13" t="s">
        <v>35</v>
      </c>
    </row>
    <row r="6925" spans="1:8" ht="14.4" x14ac:dyDescent="0.3">
      <c r="A6925" s="8">
        <v>2040517</v>
      </c>
      <c r="B6925" s="11">
        <v>44641</v>
      </c>
      <c r="C6925" s="13" t="s">
        <v>2072</v>
      </c>
      <c r="D6925" s="13" t="s">
        <v>8747</v>
      </c>
      <c r="E6925" s="8">
        <v>22758.15</v>
      </c>
      <c r="F6925" s="13" t="s">
        <v>70</v>
      </c>
      <c r="G6925" s="14">
        <v>44643</v>
      </c>
      <c r="H6925" s="13" t="s">
        <v>35</v>
      </c>
    </row>
    <row r="6926" spans="1:8" ht="14.4" x14ac:dyDescent="0.3">
      <c r="A6926" s="8">
        <v>2040518</v>
      </c>
      <c r="B6926" s="11">
        <v>44641</v>
      </c>
      <c r="C6926" s="13" t="s">
        <v>2072</v>
      </c>
      <c r="D6926" s="13" t="s">
        <v>8748</v>
      </c>
      <c r="E6926" s="8">
        <v>31025.53</v>
      </c>
      <c r="F6926" s="13" t="s">
        <v>70</v>
      </c>
      <c r="G6926" s="14">
        <v>44643</v>
      </c>
      <c r="H6926" s="13" t="s">
        <v>35</v>
      </c>
    </row>
    <row r="6927" spans="1:8" ht="14.4" x14ac:dyDescent="0.3">
      <c r="A6927" s="8">
        <v>2040519</v>
      </c>
      <c r="B6927" s="11">
        <v>44641</v>
      </c>
      <c r="C6927" s="13" t="s">
        <v>11</v>
      </c>
      <c r="D6927" s="13" t="s">
        <v>8749</v>
      </c>
      <c r="E6927" s="8">
        <v>71318.399999999994</v>
      </c>
      <c r="F6927" s="13" t="s">
        <v>70</v>
      </c>
      <c r="G6927" s="14">
        <v>44649</v>
      </c>
      <c r="H6927" s="13" t="s">
        <v>35</v>
      </c>
    </row>
    <row r="6928" spans="1:8" ht="14.4" x14ac:dyDescent="0.3">
      <c r="A6928" s="8">
        <v>2040520</v>
      </c>
      <c r="B6928" s="11">
        <v>44641</v>
      </c>
      <c r="C6928" s="13" t="s">
        <v>361</v>
      </c>
      <c r="D6928" s="13" t="s">
        <v>8750</v>
      </c>
      <c r="E6928" s="8">
        <v>7733.25</v>
      </c>
      <c r="F6928" s="13" t="s">
        <v>70</v>
      </c>
      <c r="G6928" s="14">
        <v>44642</v>
      </c>
      <c r="H6928" s="13" t="s">
        <v>35</v>
      </c>
    </row>
    <row r="6929" spans="1:8" ht="14.4" x14ac:dyDescent="0.3">
      <c r="A6929" s="8">
        <v>2040521</v>
      </c>
      <c r="B6929" s="11">
        <v>44641</v>
      </c>
      <c r="C6929" s="13" t="s">
        <v>361</v>
      </c>
      <c r="D6929" s="13" t="s">
        <v>8751</v>
      </c>
      <c r="E6929" s="8">
        <v>39443.58</v>
      </c>
      <c r="F6929" s="13" t="s">
        <v>70</v>
      </c>
      <c r="G6929" s="14">
        <v>44644</v>
      </c>
      <c r="H6929" s="13" t="s">
        <v>35</v>
      </c>
    </row>
    <row r="6930" spans="1:8" ht="14.4" x14ac:dyDescent="0.3">
      <c r="A6930" s="8">
        <v>2040522</v>
      </c>
      <c r="B6930" s="11">
        <v>44641</v>
      </c>
      <c r="C6930" s="13" t="s">
        <v>259</v>
      </c>
      <c r="D6930" s="13" t="s">
        <v>8752</v>
      </c>
      <c r="E6930" s="8">
        <v>8044.65</v>
      </c>
      <c r="F6930" s="13" t="s">
        <v>70</v>
      </c>
      <c r="G6930" s="14">
        <v>44648</v>
      </c>
      <c r="H6930" s="13" t="s">
        <v>35</v>
      </c>
    </row>
    <row r="6931" spans="1:8" ht="14.4" x14ac:dyDescent="0.3">
      <c r="A6931" s="8">
        <v>2040523</v>
      </c>
      <c r="B6931" s="11">
        <v>44641</v>
      </c>
      <c r="C6931" s="13" t="s">
        <v>2842</v>
      </c>
      <c r="D6931" s="13" t="s">
        <v>8753</v>
      </c>
      <c r="E6931" s="8">
        <v>57308.97</v>
      </c>
      <c r="F6931" s="13" t="s">
        <v>70</v>
      </c>
      <c r="G6931" s="14">
        <v>44659</v>
      </c>
      <c r="H6931" s="13" t="s">
        <v>35</v>
      </c>
    </row>
    <row r="6932" spans="1:8" ht="14.4" x14ac:dyDescent="0.3">
      <c r="A6932" s="8">
        <v>2040524</v>
      </c>
      <c r="B6932" s="11">
        <v>44641</v>
      </c>
      <c r="C6932" s="13" t="s">
        <v>1581</v>
      </c>
      <c r="D6932" s="13" t="s">
        <v>8754</v>
      </c>
      <c r="E6932" s="8">
        <v>18928.57</v>
      </c>
      <c r="F6932" s="13" t="s">
        <v>70</v>
      </c>
      <c r="G6932" s="14">
        <v>44673</v>
      </c>
      <c r="H6932" s="13" t="s">
        <v>35</v>
      </c>
    </row>
    <row r="6933" spans="1:8" ht="14.4" x14ac:dyDescent="0.3">
      <c r="A6933" s="8">
        <v>2040526</v>
      </c>
      <c r="B6933" s="11">
        <v>44641</v>
      </c>
      <c r="C6933" s="13" t="s">
        <v>4189</v>
      </c>
      <c r="D6933" s="13" t="s">
        <v>4190</v>
      </c>
      <c r="E6933" s="8">
        <v>38465</v>
      </c>
      <c r="F6933" s="13" t="s">
        <v>70</v>
      </c>
      <c r="G6933" s="14">
        <v>44649</v>
      </c>
      <c r="H6933" s="13" t="s">
        <v>35</v>
      </c>
    </row>
    <row r="6934" spans="1:8" ht="14.4" x14ac:dyDescent="0.3">
      <c r="A6934" s="8">
        <v>2040527</v>
      </c>
      <c r="B6934" s="11">
        <v>44641</v>
      </c>
      <c r="C6934" s="13" t="s">
        <v>504</v>
      </c>
      <c r="D6934" s="13" t="s">
        <v>8755</v>
      </c>
      <c r="E6934" s="8">
        <v>707211.73</v>
      </c>
      <c r="F6934" s="13" t="s">
        <v>70</v>
      </c>
      <c r="G6934" s="14">
        <v>44643</v>
      </c>
      <c r="H6934" s="13" t="s">
        <v>35</v>
      </c>
    </row>
    <row r="6935" spans="1:8" ht="14.4" x14ac:dyDescent="0.3">
      <c r="A6935" s="8">
        <v>2040528</v>
      </c>
      <c r="B6935" s="11">
        <v>44641</v>
      </c>
      <c r="C6935" s="13" t="s">
        <v>1584</v>
      </c>
      <c r="D6935" s="13" t="s">
        <v>8756</v>
      </c>
      <c r="E6935" s="8">
        <v>11357.15</v>
      </c>
      <c r="F6935" s="13" t="s">
        <v>70</v>
      </c>
      <c r="G6935" s="14">
        <v>44645</v>
      </c>
      <c r="H6935" s="13" t="s">
        <v>35</v>
      </c>
    </row>
    <row r="6936" spans="1:8" ht="14.4" x14ac:dyDescent="0.3">
      <c r="A6936" s="8">
        <v>2040529</v>
      </c>
      <c r="B6936" s="11">
        <v>44642</v>
      </c>
      <c r="C6936" s="13" t="s">
        <v>44</v>
      </c>
      <c r="D6936" s="13" t="s">
        <v>8757</v>
      </c>
      <c r="E6936" s="8">
        <v>7101.68</v>
      </c>
      <c r="F6936" s="13" t="s">
        <v>70</v>
      </c>
      <c r="G6936" s="14">
        <v>44644</v>
      </c>
      <c r="H6936" s="13" t="s">
        <v>35</v>
      </c>
    </row>
    <row r="6937" spans="1:8" ht="14.4" x14ac:dyDescent="0.3">
      <c r="A6937" s="8">
        <v>2040530</v>
      </c>
      <c r="B6937" s="11">
        <v>44642</v>
      </c>
      <c r="C6937" s="13" t="s">
        <v>8758</v>
      </c>
      <c r="D6937" s="13" t="s">
        <v>8759</v>
      </c>
      <c r="E6937" s="8">
        <v>15000</v>
      </c>
      <c r="F6937" s="13" t="s">
        <v>70</v>
      </c>
      <c r="G6937" s="14">
        <v>44645</v>
      </c>
      <c r="H6937" s="13" t="s">
        <v>35</v>
      </c>
    </row>
    <row r="6938" spans="1:8" ht="14.4" x14ac:dyDescent="0.3">
      <c r="A6938" s="8">
        <v>2040531</v>
      </c>
      <c r="B6938" s="11">
        <v>44642</v>
      </c>
      <c r="C6938" s="13" t="s">
        <v>8760</v>
      </c>
      <c r="D6938" s="13" t="s">
        <v>8761</v>
      </c>
      <c r="E6938" s="8">
        <v>12000</v>
      </c>
      <c r="F6938" s="13" t="s">
        <v>70</v>
      </c>
      <c r="G6938" s="14">
        <v>44645</v>
      </c>
      <c r="H6938" s="13" t="s">
        <v>35</v>
      </c>
    </row>
    <row r="6939" spans="1:8" ht="14.4" x14ac:dyDescent="0.3">
      <c r="A6939" s="8">
        <v>2040532</v>
      </c>
      <c r="B6939" s="11">
        <v>44642</v>
      </c>
      <c r="C6939" s="13" t="s">
        <v>8762</v>
      </c>
      <c r="D6939" s="13" t="s">
        <v>8763</v>
      </c>
      <c r="E6939" s="8">
        <v>15000</v>
      </c>
      <c r="F6939" s="13" t="s">
        <v>70</v>
      </c>
      <c r="G6939" s="14">
        <v>44644</v>
      </c>
      <c r="H6939" s="13" t="s">
        <v>35</v>
      </c>
    </row>
    <row r="6940" spans="1:8" ht="14.4" x14ac:dyDescent="0.3">
      <c r="A6940" s="8">
        <v>2040533</v>
      </c>
      <c r="B6940" s="11">
        <v>44642</v>
      </c>
      <c r="C6940" s="13" t="s">
        <v>8764</v>
      </c>
      <c r="D6940" s="13" t="s">
        <v>8765</v>
      </c>
      <c r="E6940" s="8">
        <v>27000</v>
      </c>
      <c r="F6940" s="13" t="s">
        <v>70</v>
      </c>
      <c r="G6940" s="14">
        <v>44645</v>
      </c>
      <c r="H6940" s="13" t="s">
        <v>35</v>
      </c>
    </row>
    <row r="6941" spans="1:8" ht="14.4" x14ac:dyDescent="0.3">
      <c r="A6941" s="8">
        <v>2040534</v>
      </c>
      <c r="B6941" s="11">
        <v>44642</v>
      </c>
      <c r="C6941" s="13" t="s">
        <v>8766</v>
      </c>
      <c r="D6941" s="13" t="s">
        <v>8767</v>
      </c>
      <c r="E6941" s="8">
        <v>12000</v>
      </c>
      <c r="F6941" s="13" t="s">
        <v>70</v>
      </c>
      <c r="G6941" s="14">
        <v>44645</v>
      </c>
      <c r="H6941" s="13" t="s">
        <v>35</v>
      </c>
    </row>
    <row r="6942" spans="1:8" ht="14.4" x14ac:dyDescent="0.3">
      <c r="A6942" s="8">
        <v>2040535</v>
      </c>
      <c r="B6942" s="11">
        <v>44642</v>
      </c>
      <c r="C6942" s="13" t="s">
        <v>8768</v>
      </c>
      <c r="D6942" s="13" t="s">
        <v>8769</v>
      </c>
      <c r="E6942" s="8">
        <v>30000</v>
      </c>
      <c r="F6942" s="13" t="s">
        <v>70</v>
      </c>
      <c r="G6942" s="14">
        <v>44645</v>
      </c>
      <c r="H6942" s="13" t="s">
        <v>35</v>
      </c>
    </row>
    <row r="6943" spans="1:8" ht="14.4" x14ac:dyDescent="0.3">
      <c r="A6943" s="8">
        <v>2040536</v>
      </c>
      <c r="B6943" s="11">
        <v>44642</v>
      </c>
      <c r="C6943" s="13" t="s">
        <v>8770</v>
      </c>
      <c r="D6943" s="13" t="s">
        <v>8771</v>
      </c>
      <c r="E6943" s="8">
        <v>10000</v>
      </c>
      <c r="F6943" s="13" t="s">
        <v>70</v>
      </c>
      <c r="G6943" s="14">
        <v>44645</v>
      </c>
      <c r="H6943" s="13" t="s">
        <v>35</v>
      </c>
    </row>
    <row r="6944" spans="1:8" ht="14.4" x14ac:dyDescent="0.3">
      <c r="A6944" s="8">
        <v>2040537</v>
      </c>
      <c r="B6944" s="11">
        <v>44642</v>
      </c>
      <c r="C6944" s="13" t="s">
        <v>3784</v>
      </c>
      <c r="D6944" s="13" t="s">
        <v>8772</v>
      </c>
      <c r="E6944" s="8">
        <v>14000</v>
      </c>
      <c r="F6944" s="13" t="s">
        <v>70</v>
      </c>
      <c r="G6944" s="14">
        <v>44680</v>
      </c>
      <c r="H6944" s="13" t="s">
        <v>35</v>
      </c>
    </row>
    <row r="6945" spans="1:8" ht="14.4" x14ac:dyDescent="0.3">
      <c r="A6945" s="8">
        <v>2040538</v>
      </c>
      <c r="B6945" s="11">
        <v>44642</v>
      </c>
      <c r="C6945" s="13" t="s">
        <v>50</v>
      </c>
      <c r="D6945" s="13" t="s">
        <v>8773</v>
      </c>
      <c r="E6945" s="8">
        <v>24000</v>
      </c>
      <c r="F6945" s="13" t="s">
        <v>70</v>
      </c>
      <c r="G6945" s="14">
        <v>44694</v>
      </c>
      <c r="H6945" s="13" t="s">
        <v>35</v>
      </c>
    </row>
    <row r="6946" spans="1:8" ht="14.4" x14ac:dyDescent="0.3">
      <c r="A6946" s="8">
        <v>2040539</v>
      </c>
      <c r="B6946" s="11">
        <v>44642</v>
      </c>
      <c r="C6946" s="13" t="s">
        <v>8774</v>
      </c>
      <c r="D6946" s="13" t="s">
        <v>8775</v>
      </c>
      <c r="E6946" s="8">
        <v>10000</v>
      </c>
      <c r="F6946" s="13" t="s">
        <v>70</v>
      </c>
      <c r="G6946" s="14">
        <v>44645</v>
      </c>
      <c r="H6946" s="13" t="s">
        <v>35</v>
      </c>
    </row>
    <row r="6947" spans="1:8" ht="14.4" x14ac:dyDescent="0.3">
      <c r="A6947" s="8">
        <v>2040540</v>
      </c>
      <c r="B6947" s="11">
        <v>44642</v>
      </c>
      <c r="C6947" s="13" t="s">
        <v>8776</v>
      </c>
      <c r="D6947" s="13" t="s">
        <v>8777</v>
      </c>
      <c r="E6947" s="8">
        <v>50000</v>
      </c>
      <c r="F6947" s="13" t="s">
        <v>70</v>
      </c>
      <c r="G6947" s="14">
        <v>44698</v>
      </c>
      <c r="H6947" s="13" t="s">
        <v>35</v>
      </c>
    </row>
    <row r="6948" spans="1:8" ht="14.4" x14ac:dyDescent="0.3">
      <c r="A6948" s="8">
        <v>2040541</v>
      </c>
      <c r="B6948" s="11">
        <v>44642</v>
      </c>
      <c r="C6948" s="13" t="s">
        <v>8778</v>
      </c>
      <c r="D6948" s="13" t="s">
        <v>8779</v>
      </c>
      <c r="E6948" s="8">
        <v>7000</v>
      </c>
      <c r="F6948" s="13" t="s">
        <v>70</v>
      </c>
      <c r="G6948" s="14">
        <v>44645</v>
      </c>
      <c r="H6948" s="13" t="s">
        <v>35</v>
      </c>
    </row>
    <row r="6949" spans="1:8" ht="14.4" x14ac:dyDescent="0.3">
      <c r="A6949" s="8">
        <v>2040542</v>
      </c>
      <c r="B6949" s="11">
        <v>44642</v>
      </c>
      <c r="C6949" s="13" t="s">
        <v>8780</v>
      </c>
      <c r="D6949" s="13" t="s">
        <v>8781</v>
      </c>
      <c r="E6949" s="8">
        <v>50000</v>
      </c>
      <c r="F6949" s="13" t="s">
        <v>70</v>
      </c>
      <c r="G6949" s="14">
        <v>44644</v>
      </c>
      <c r="H6949" s="13" t="s">
        <v>35</v>
      </c>
    </row>
    <row r="6950" spans="1:8" ht="14.4" x14ac:dyDescent="0.3">
      <c r="A6950" s="8">
        <v>2040543</v>
      </c>
      <c r="B6950" s="11">
        <v>44642</v>
      </c>
      <c r="C6950" s="13" t="s">
        <v>8782</v>
      </c>
      <c r="D6950" s="13" t="s">
        <v>8783</v>
      </c>
      <c r="E6950" s="8">
        <v>32000</v>
      </c>
      <c r="F6950" s="13" t="s">
        <v>70</v>
      </c>
      <c r="G6950" s="14">
        <v>44645</v>
      </c>
      <c r="H6950" s="13" t="s">
        <v>35</v>
      </c>
    </row>
    <row r="6951" spans="1:8" ht="14.4" x14ac:dyDescent="0.3">
      <c r="A6951" s="8">
        <v>2040544</v>
      </c>
      <c r="B6951" s="11">
        <v>44642</v>
      </c>
      <c r="C6951" s="13" t="s">
        <v>8784</v>
      </c>
      <c r="D6951" s="13" t="s">
        <v>8785</v>
      </c>
      <c r="E6951" s="8">
        <v>10000</v>
      </c>
      <c r="F6951" s="13" t="s">
        <v>70</v>
      </c>
      <c r="G6951" s="14">
        <v>44644</v>
      </c>
      <c r="H6951" s="13" t="s">
        <v>35</v>
      </c>
    </row>
    <row r="6952" spans="1:8" ht="14.4" x14ac:dyDescent="0.3">
      <c r="A6952" s="8">
        <v>2040545</v>
      </c>
      <c r="B6952" s="11">
        <v>44642</v>
      </c>
      <c r="C6952" s="13" t="s">
        <v>8786</v>
      </c>
      <c r="D6952" s="13" t="s">
        <v>8787</v>
      </c>
      <c r="E6952" s="8">
        <v>40000</v>
      </c>
      <c r="F6952" s="13" t="s">
        <v>70</v>
      </c>
      <c r="G6952" s="14">
        <v>44645</v>
      </c>
      <c r="H6952" s="13" t="s">
        <v>35</v>
      </c>
    </row>
    <row r="6953" spans="1:8" ht="14.4" x14ac:dyDescent="0.3">
      <c r="A6953" s="8">
        <v>2040546</v>
      </c>
      <c r="B6953" s="11">
        <v>44642</v>
      </c>
      <c r="C6953" s="13" t="s">
        <v>8788</v>
      </c>
      <c r="D6953" s="13" t="s">
        <v>8789</v>
      </c>
      <c r="E6953" s="8">
        <v>10000</v>
      </c>
      <c r="F6953" s="13" t="s">
        <v>70</v>
      </c>
      <c r="G6953" s="14">
        <v>44644</v>
      </c>
      <c r="H6953" s="13" t="s">
        <v>35</v>
      </c>
    </row>
    <row r="6954" spans="1:8" ht="14.4" x14ac:dyDescent="0.3">
      <c r="A6954" s="8">
        <v>2040547</v>
      </c>
      <c r="B6954" s="11">
        <v>44642</v>
      </c>
      <c r="C6954" s="13" t="s">
        <v>8790</v>
      </c>
      <c r="D6954" s="13" t="s">
        <v>8791</v>
      </c>
      <c r="E6954" s="8">
        <v>40000</v>
      </c>
      <c r="F6954" s="13" t="s">
        <v>70</v>
      </c>
      <c r="G6954" s="14">
        <v>44644</v>
      </c>
      <c r="H6954" s="13" t="s">
        <v>35</v>
      </c>
    </row>
    <row r="6955" spans="1:8" ht="14.4" x14ac:dyDescent="0.3">
      <c r="A6955" s="8">
        <v>2040548</v>
      </c>
      <c r="B6955" s="11">
        <v>44642</v>
      </c>
      <c r="C6955" s="13" t="s">
        <v>8792</v>
      </c>
      <c r="D6955" s="13" t="s">
        <v>8793</v>
      </c>
      <c r="E6955" s="8">
        <v>50000</v>
      </c>
      <c r="F6955" s="13" t="s">
        <v>70</v>
      </c>
      <c r="G6955" s="14">
        <v>44680</v>
      </c>
      <c r="H6955" s="13" t="s">
        <v>35</v>
      </c>
    </row>
    <row r="6956" spans="1:8" ht="14.4" x14ac:dyDescent="0.3">
      <c r="A6956" s="8">
        <v>2040549</v>
      </c>
      <c r="B6956" s="11">
        <v>44642</v>
      </c>
      <c r="C6956" s="13" t="s">
        <v>2890</v>
      </c>
      <c r="D6956" s="13" t="s">
        <v>8794</v>
      </c>
      <c r="E6956" s="8">
        <v>8500</v>
      </c>
      <c r="F6956" s="13" t="s">
        <v>70</v>
      </c>
      <c r="G6956" s="14">
        <v>44685</v>
      </c>
      <c r="H6956" s="13" t="s">
        <v>35</v>
      </c>
    </row>
    <row r="6957" spans="1:8" ht="14.4" x14ac:dyDescent="0.3">
      <c r="A6957" s="8">
        <v>2040550</v>
      </c>
      <c r="B6957" s="11">
        <v>44642</v>
      </c>
      <c r="C6957" s="13" t="s">
        <v>68</v>
      </c>
      <c r="D6957" s="13" t="s">
        <v>8795</v>
      </c>
      <c r="E6957" s="8">
        <v>11000</v>
      </c>
      <c r="F6957" s="13" t="s">
        <v>70</v>
      </c>
      <c r="G6957" s="14">
        <v>44694</v>
      </c>
      <c r="H6957" s="13" t="s">
        <v>35</v>
      </c>
    </row>
    <row r="6958" spans="1:8" ht="14.4" x14ac:dyDescent="0.3">
      <c r="A6958" s="8">
        <v>2040551</v>
      </c>
      <c r="B6958" s="11">
        <v>44642</v>
      </c>
      <c r="C6958" s="13" t="s">
        <v>74</v>
      </c>
      <c r="D6958" s="13" t="s">
        <v>8796</v>
      </c>
      <c r="E6958" s="8">
        <v>18000</v>
      </c>
      <c r="F6958" s="13" t="s">
        <v>70</v>
      </c>
      <c r="G6958" s="14">
        <v>44645</v>
      </c>
      <c r="H6958" s="13" t="s">
        <v>35</v>
      </c>
    </row>
    <row r="6959" spans="1:8" ht="14.4" x14ac:dyDescent="0.3">
      <c r="A6959" s="8">
        <v>2040552</v>
      </c>
      <c r="B6959" s="11">
        <v>44642</v>
      </c>
      <c r="C6959" s="13" t="s">
        <v>176</v>
      </c>
      <c r="D6959" s="13" t="s">
        <v>8669</v>
      </c>
      <c r="E6959" s="8">
        <v>103500</v>
      </c>
      <c r="F6959" s="13" t="s">
        <v>70</v>
      </c>
      <c r="G6959" s="14">
        <v>44645</v>
      </c>
      <c r="H6959" s="13" t="s">
        <v>35</v>
      </c>
    </row>
    <row r="6960" spans="1:8" ht="14.4" x14ac:dyDescent="0.3">
      <c r="A6960" s="8">
        <v>2040553</v>
      </c>
      <c r="B6960" s="11">
        <v>44642</v>
      </c>
      <c r="C6960" s="13" t="s">
        <v>2684</v>
      </c>
      <c r="D6960" s="13" t="s">
        <v>8797</v>
      </c>
      <c r="E6960" s="8">
        <v>15000</v>
      </c>
      <c r="F6960" s="13" t="s">
        <v>70</v>
      </c>
      <c r="G6960" s="14">
        <v>44692</v>
      </c>
      <c r="H6960" s="13" t="s">
        <v>35</v>
      </c>
    </row>
    <row r="6961" spans="1:8" ht="14.4" x14ac:dyDescent="0.3">
      <c r="A6961" s="8">
        <v>2040554</v>
      </c>
      <c r="B6961" s="11">
        <v>44642</v>
      </c>
      <c r="C6961" s="13" t="s">
        <v>8798</v>
      </c>
      <c r="D6961" s="13" t="s">
        <v>8799</v>
      </c>
      <c r="E6961" s="8">
        <v>14000</v>
      </c>
      <c r="F6961" s="13" t="s">
        <v>70</v>
      </c>
      <c r="G6961" s="14">
        <v>44645</v>
      </c>
      <c r="H6961" s="13" t="s">
        <v>35</v>
      </c>
    </row>
    <row r="6962" spans="1:8" ht="14.4" x14ac:dyDescent="0.3">
      <c r="A6962" s="8">
        <v>2040555</v>
      </c>
      <c r="B6962" s="11">
        <v>44642</v>
      </c>
      <c r="C6962" s="13" t="s">
        <v>8800</v>
      </c>
      <c r="D6962" s="13" t="s">
        <v>8801</v>
      </c>
      <c r="E6962" s="8">
        <v>6000</v>
      </c>
      <c r="F6962" s="13" t="s">
        <v>70</v>
      </c>
      <c r="G6962" s="14">
        <v>44699</v>
      </c>
      <c r="H6962" s="13" t="s">
        <v>35</v>
      </c>
    </row>
    <row r="6963" spans="1:8" ht="14.4" x14ac:dyDescent="0.3">
      <c r="A6963" s="8">
        <v>2040556</v>
      </c>
      <c r="B6963" s="11">
        <v>44642</v>
      </c>
      <c r="C6963" s="13" t="s">
        <v>1569</v>
      </c>
      <c r="D6963" s="13" t="s">
        <v>8802</v>
      </c>
      <c r="E6963" s="8">
        <v>26525</v>
      </c>
      <c r="F6963" s="13" t="s">
        <v>70</v>
      </c>
      <c r="G6963" s="14">
        <v>44658</v>
      </c>
      <c r="H6963" s="13" t="s">
        <v>35</v>
      </c>
    </row>
    <row r="6964" spans="1:8" ht="14.4" x14ac:dyDescent="0.3">
      <c r="A6964" s="8">
        <v>2040557</v>
      </c>
      <c r="B6964" s="11">
        <v>44642</v>
      </c>
      <c r="C6964" s="13" t="s">
        <v>2650</v>
      </c>
      <c r="D6964" s="13" t="s">
        <v>8803</v>
      </c>
      <c r="E6964" s="8">
        <v>5000</v>
      </c>
      <c r="F6964" s="13" t="s">
        <v>70</v>
      </c>
      <c r="G6964" s="14">
        <v>44644</v>
      </c>
      <c r="H6964" s="13" t="s">
        <v>35</v>
      </c>
    </row>
    <row r="6965" spans="1:8" ht="14.4" x14ac:dyDescent="0.3">
      <c r="A6965" s="8">
        <v>2040558</v>
      </c>
      <c r="B6965" s="11">
        <v>44642</v>
      </c>
      <c r="C6965" s="13" t="s">
        <v>8804</v>
      </c>
      <c r="D6965" s="13" t="s">
        <v>8579</v>
      </c>
      <c r="E6965" s="8">
        <v>9790</v>
      </c>
      <c r="F6965" s="13" t="s">
        <v>70</v>
      </c>
      <c r="G6965" s="14">
        <v>44645</v>
      </c>
      <c r="H6965" s="13" t="s">
        <v>35</v>
      </c>
    </row>
    <row r="6966" spans="1:8" ht="14.4" x14ac:dyDescent="0.3">
      <c r="A6966" s="8">
        <v>2040559</v>
      </c>
      <c r="B6966" s="11">
        <v>44642</v>
      </c>
      <c r="C6966" s="13" t="s">
        <v>161</v>
      </c>
      <c r="D6966" s="13" t="s">
        <v>8805</v>
      </c>
      <c r="E6966" s="8">
        <v>6000</v>
      </c>
      <c r="F6966" s="13" t="s">
        <v>70</v>
      </c>
      <c r="G6966" s="14">
        <v>44649</v>
      </c>
      <c r="H6966" s="13" t="s">
        <v>35</v>
      </c>
    </row>
    <row r="6967" spans="1:8" ht="14.4" x14ac:dyDescent="0.3">
      <c r="A6967" s="8">
        <v>2040560</v>
      </c>
      <c r="B6967" s="11">
        <v>44642</v>
      </c>
      <c r="C6967" s="13" t="s">
        <v>8806</v>
      </c>
      <c r="D6967" s="13" t="s">
        <v>8807</v>
      </c>
      <c r="E6967" s="8">
        <v>50000</v>
      </c>
      <c r="F6967" s="13" t="s">
        <v>70</v>
      </c>
      <c r="G6967" s="14">
        <v>44645</v>
      </c>
      <c r="H6967" s="13" t="s">
        <v>35</v>
      </c>
    </row>
    <row r="6968" spans="1:8" ht="14.4" x14ac:dyDescent="0.3">
      <c r="A6968" s="8">
        <v>2040561</v>
      </c>
      <c r="B6968" s="11">
        <v>44642</v>
      </c>
      <c r="C6968" s="13" t="s">
        <v>8808</v>
      </c>
      <c r="D6968" s="13" t="s">
        <v>8809</v>
      </c>
      <c r="E6968" s="8">
        <v>12000</v>
      </c>
      <c r="F6968" s="13" t="s">
        <v>70</v>
      </c>
      <c r="G6968" s="14">
        <v>44645</v>
      </c>
      <c r="H6968" s="13" t="s">
        <v>35</v>
      </c>
    </row>
    <row r="6969" spans="1:8" ht="14.4" x14ac:dyDescent="0.3">
      <c r="A6969" s="8">
        <v>2040562</v>
      </c>
      <c r="B6969" s="11">
        <v>44642</v>
      </c>
      <c r="C6969" s="13" t="s">
        <v>8810</v>
      </c>
      <c r="D6969" s="13" t="s">
        <v>8811</v>
      </c>
      <c r="E6969" s="8">
        <v>7000</v>
      </c>
      <c r="F6969" s="13" t="s">
        <v>70</v>
      </c>
      <c r="G6969" s="14">
        <v>44683</v>
      </c>
      <c r="H6969" s="13" t="s">
        <v>35</v>
      </c>
    </row>
    <row r="6970" spans="1:8" ht="14.4" x14ac:dyDescent="0.3">
      <c r="A6970" s="8">
        <v>2040563</v>
      </c>
      <c r="B6970" s="11">
        <v>44642</v>
      </c>
      <c r="C6970" s="13" t="s">
        <v>8812</v>
      </c>
      <c r="D6970" s="13" t="s">
        <v>8813</v>
      </c>
      <c r="E6970" s="8">
        <v>8000</v>
      </c>
      <c r="F6970" s="13" t="s">
        <v>70</v>
      </c>
      <c r="G6970" s="14">
        <v>44644</v>
      </c>
      <c r="H6970" s="13" t="s">
        <v>35</v>
      </c>
    </row>
    <row r="6971" spans="1:8" ht="14.4" x14ac:dyDescent="0.3">
      <c r="A6971" s="8">
        <v>2040564</v>
      </c>
      <c r="B6971" s="11">
        <v>44642</v>
      </c>
      <c r="C6971" s="13" t="s">
        <v>8814</v>
      </c>
      <c r="D6971" s="13" t="s">
        <v>8815</v>
      </c>
      <c r="E6971" s="8">
        <v>11000</v>
      </c>
      <c r="F6971" s="13" t="s">
        <v>70</v>
      </c>
      <c r="G6971" s="14">
        <v>44680</v>
      </c>
      <c r="H6971" s="13" t="s">
        <v>35</v>
      </c>
    </row>
    <row r="6972" spans="1:8" ht="14.4" x14ac:dyDescent="0.3">
      <c r="A6972" s="8">
        <v>2040565</v>
      </c>
      <c r="B6972" s="11">
        <v>44642</v>
      </c>
      <c r="C6972" s="13" t="s">
        <v>8816</v>
      </c>
      <c r="D6972" s="13" t="s">
        <v>8817</v>
      </c>
      <c r="E6972" s="8">
        <v>7000</v>
      </c>
      <c r="F6972" s="13" t="s">
        <v>70</v>
      </c>
      <c r="G6972" s="14">
        <v>44680</v>
      </c>
      <c r="H6972" s="13" t="s">
        <v>35</v>
      </c>
    </row>
    <row r="6973" spans="1:8" ht="14.4" x14ac:dyDescent="0.3">
      <c r="A6973" s="8">
        <v>2040566</v>
      </c>
      <c r="B6973" s="11">
        <v>44642</v>
      </c>
      <c r="C6973" s="13" t="s">
        <v>8818</v>
      </c>
      <c r="D6973" s="13" t="s">
        <v>8819</v>
      </c>
      <c r="E6973" s="8">
        <v>9000</v>
      </c>
      <c r="F6973" s="13" t="s">
        <v>70</v>
      </c>
      <c r="G6973" s="14">
        <v>44685</v>
      </c>
      <c r="H6973" s="13" t="s">
        <v>35</v>
      </c>
    </row>
    <row r="6974" spans="1:8" ht="14.4" x14ac:dyDescent="0.3">
      <c r="A6974" s="8">
        <v>2040567</v>
      </c>
      <c r="B6974" s="11">
        <v>44642</v>
      </c>
      <c r="C6974" s="13" t="s">
        <v>8820</v>
      </c>
      <c r="D6974" s="13" t="s">
        <v>8821</v>
      </c>
      <c r="E6974" s="8">
        <v>50000</v>
      </c>
      <c r="F6974" s="13" t="s">
        <v>70</v>
      </c>
      <c r="G6974" s="14">
        <v>44683</v>
      </c>
      <c r="H6974" s="13" t="s">
        <v>35</v>
      </c>
    </row>
    <row r="6975" spans="1:8" ht="14.4" x14ac:dyDescent="0.3">
      <c r="A6975" s="8">
        <v>2040568</v>
      </c>
      <c r="B6975" s="11">
        <v>44642</v>
      </c>
      <c r="C6975" s="13" t="s">
        <v>8822</v>
      </c>
      <c r="D6975" s="13" t="s">
        <v>8823</v>
      </c>
      <c r="E6975" s="8">
        <v>14000</v>
      </c>
      <c r="F6975" s="13" t="s">
        <v>70</v>
      </c>
      <c r="G6975" s="14">
        <v>44680</v>
      </c>
      <c r="H6975" s="13" t="s">
        <v>35</v>
      </c>
    </row>
    <row r="6976" spans="1:8" ht="14.4" x14ac:dyDescent="0.3">
      <c r="A6976" s="8">
        <v>2040569</v>
      </c>
      <c r="B6976" s="11">
        <v>44642</v>
      </c>
      <c r="C6976" s="13" t="s">
        <v>8824</v>
      </c>
      <c r="D6976" s="13" t="s">
        <v>8825</v>
      </c>
      <c r="E6976" s="8">
        <v>8000</v>
      </c>
      <c r="F6976" s="13" t="s">
        <v>70</v>
      </c>
      <c r="G6976" s="14">
        <v>44645</v>
      </c>
      <c r="H6976" s="13" t="s">
        <v>35</v>
      </c>
    </row>
    <row r="6977" spans="1:8" ht="14.4" x14ac:dyDescent="0.3">
      <c r="A6977" s="8">
        <v>2040570</v>
      </c>
      <c r="B6977" s="11">
        <v>44642</v>
      </c>
      <c r="C6977" s="13" t="s">
        <v>8089</v>
      </c>
      <c r="D6977" s="13" t="s">
        <v>8826</v>
      </c>
      <c r="E6977" s="8">
        <v>23000</v>
      </c>
      <c r="F6977" s="13" t="s">
        <v>70</v>
      </c>
      <c r="G6977" s="14">
        <v>44643</v>
      </c>
      <c r="H6977" s="13" t="s">
        <v>35</v>
      </c>
    </row>
    <row r="6978" spans="1:8" ht="14.4" x14ac:dyDescent="0.3">
      <c r="A6978" s="8">
        <v>2040571</v>
      </c>
      <c r="B6978" s="11">
        <v>44642</v>
      </c>
      <c r="C6978" s="13" t="s">
        <v>8827</v>
      </c>
      <c r="D6978" s="13" t="s">
        <v>8828</v>
      </c>
      <c r="E6978" s="8">
        <v>20000</v>
      </c>
      <c r="F6978" s="13" t="s">
        <v>70</v>
      </c>
      <c r="G6978" s="14">
        <v>44680</v>
      </c>
      <c r="H6978" s="13" t="s">
        <v>35</v>
      </c>
    </row>
    <row r="6979" spans="1:8" ht="14.4" x14ac:dyDescent="0.3">
      <c r="A6979" s="8">
        <v>2040572</v>
      </c>
      <c r="B6979" s="11">
        <v>44642</v>
      </c>
      <c r="C6979" s="13" t="s">
        <v>8829</v>
      </c>
      <c r="D6979" s="13" t="s">
        <v>8830</v>
      </c>
      <c r="E6979" s="8">
        <v>25000</v>
      </c>
      <c r="F6979" s="13" t="s">
        <v>70</v>
      </c>
      <c r="G6979" s="14">
        <v>44645</v>
      </c>
      <c r="H6979" s="13" t="s">
        <v>35</v>
      </c>
    </row>
    <row r="6980" spans="1:8" ht="14.4" x14ac:dyDescent="0.3">
      <c r="A6980" s="8">
        <v>2040573</v>
      </c>
      <c r="B6980" s="11">
        <v>44642</v>
      </c>
      <c r="C6980" s="13" t="s">
        <v>8831</v>
      </c>
      <c r="D6980" s="13" t="s">
        <v>8832</v>
      </c>
      <c r="E6980" s="8">
        <v>28000</v>
      </c>
      <c r="F6980" s="13" t="s">
        <v>70</v>
      </c>
      <c r="G6980" s="14">
        <v>44683</v>
      </c>
      <c r="H6980" s="13" t="s">
        <v>35</v>
      </c>
    </row>
    <row r="6981" spans="1:8" ht="14.4" x14ac:dyDescent="0.3">
      <c r="A6981" s="8">
        <v>2040574</v>
      </c>
      <c r="B6981" s="11">
        <v>44642</v>
      </c>
      <c r="C6981" s="13" t="s">
        <v>8833</v>
      </c>
      <c r="D6981" s="13" t="s">
        <v>5721</v>
      </c>
      <c r="E6981" s="8">
        <v>6000</v>
      </c>
      <c r="F6981" s="13" t="s">
        <v>70</v>
      </c>
      <c r="G6981" s="14">
        <v>44644</v>
      </c>
      <c r="H6981" s="13" t="s">
        <v>35</v>
      </c>
    </row>
    <row r="6982" spans="1:8" ht="14.4" x14ac:dyDescent="0.3">
      <c r="A6982" s="8">
        <v>2040575</v>
      </c>
      <c r="B6982" s="11">
        <v>44642</v>
      </c>
      <c r="C6982" s="13" t="s">
        <v>748</v>
      </c>
      <c r="D6982" s="13" t="s">
        <v>8834</v>
      </c>
      <c r="E6982" s="8">
        <v>3239.99</v>
      </c>
      <c r="F6982" s="13" t="s">
        <v>70</v>
      </c>
      <c r="G6982" s="14">
        <v>44644</v>
      </c>
      <c r="H6982" s="13" t="s">
        <v>35</v>
      </c>
    </row>
    <row r="6983" spans="1:8" ht="14.4" x14ac:dyDescent="0.3">
      <c r="A6983" s="8">
        <v>2040576</v>
      </c>
      <c r="B6983" s="11">
        <v>44642</v>
      </c>
      <c r="C6983" s="13" t="s">
        <v>162</v>
      </c>
      <c r="D6983" s="13" t="s">
        <v>8835</v>
      </c>
      <c r="E6983" s="8">
        <v>309585.12</v>
      </c>
      <c r="F6983" s="13" t="s">
        <v>70</v>
      </c>
      <c r="G6983" s="14">
        <v>44644</v>
      </c>
      <c r="H6983" s="13" t="s">
        <v>35</v>
      </c>
    </row>
    <row r="6984" spans="1:8" ht="14.4" x14ac:dyDescent="0.3">
      <c r="A6984" s="8">
        <v>2040577</v>
      </c>
      <c r="B6984" s="11">
        <v>44642</v>
      </c>
      <c r="C6984" s="13" t="s">
        <v>8836</v>
      </c>
      <c r="D6984" s="13" t="s">
        <v>3451</v>
      </c>
      <c r="E6984" s="8">
        <v>203.43</v>
      </c>
      <c r="F6984" s="13" t="s">
        <v>70</v>
      </c>
      <c r="G6984" s="14">
        <v>44656</v>
      </c>
      <c r="H6984" s="13" t="s">
        <v>35</v>
      </c>
    </row>
    <row r="6985" spans="1:8" ht="14.4" x14ac:dyDescent="0.3">
      <c r="A6985" s="8">
        <v>2040578</v>
      </c>
      <c r="B6985" s="11">
        <v>44642</v>
      </c>
      <c r="C6985" s="13" t="s">
        <v>8837</v>
      </c>
      <c r="D6985" s="13" t="s">
        <v>3451</v>
      </c>
      <c r="E6985" s="8">
        <v>7573.66</v>
      </c>
      <c r="F6985" s="13" t="s">
        <v>70</v>
      </c>
      <c r="G6985" s="14">
        <v>44644</v>
      </c>
      <c r="H6985" s="13" t="s">
        <v>35</v>
      </c>
    </row>
    <row r="6986" spans="1:8" ht="14.4" x14ac:dyDescent="0.3">
      <c r="A6986" s="8">
        <v>2040579</v>
      </c>
      <c r="B6986" s="11">
        <v>44642</v>
      </c>
      <c r="C6986" s="13" t="s">
        <v>8838</v>
      </c>
      <c r="D6986" s="13" t="s">
        <v>3451</v>
      </c>
      <c r="E6986" s="8">
        <v>1495.52</v>
      </c>
      <c r="F6986" s="13" t="s">
        <v>70</v>
      </c>
      <c r="G6986" s="14">
        <v>44649</v>
      </c>
      <c r="H6986" s="13" t="s">
        <v>35</v>
      </c>
    </row>
    <row r="6987" spans="1:8" ht="14.4" x14ac:dyDescent="0.3">
      <c r="A6987" s="8">
        <v>2040580</v>
      </c>
      <c r="B6987" s="11">
        <v>44642</v>
      </c>
      <c r="C6987" s="13" t="s">
        <v>1286</v>
      </c>
      <c r="D6987" s="13" t="s">
        <v>8839</v>
      </c>
      <c r="E6987" s="8">
        <v>133888.17000000001</v>
      </c>
      <c r="F6987" s="13" t="s">
        <v>70</v>
      </c>
      <c r="G6987" s="14">
        <v>44648</v>
      </c>
      <c r="H6987" s="13" t="s">
        <v>35</v>
      </c>
    </row>
    <row r="6988" spans="1:8" ht="14.4" x14ac:dyDescent="0.3">
      <c r="A6988" s="8">
        <v>2040581</v>
      </c>
      <c r="B6988" s="11">
        <v>44642</v>
      </c>
      <c r="C6988" s="13" t="s">
        <v>1578</v>
      </c>
      <c r="D6988" s="13" t="s">
        <v>8840</v>
      </c>
      <c r="E6988" s="8">
        <v>20000</v>
      </c>
      <c r="F6988" s="13" t="s">
        <v>70</v>
      </c>
      <c r="G6988" s="14">
        <v>44644</v>
      </c>
      <c r="H6988" s="13" t="s">
        <v>35</v>
      </c>
    </row>
    <row r="6989" spans="1:8" ht="14.4" x14ac:dyDescent="0.3">
      <c r="A6989" s="8">
        <v>2040582</v>
      </c>
      <c r="B6989" s="11">
        <v>44642</v>
      </c>
      <c r="C6989" s="13" t="s">
        <v>1606</v>
      </c>
      <c r="D6989" s="13" t="s">
        <v>8841</v>
      </c>
      <c r="E6989" s="8">
        <v>20000</v>
      </c>
      <c r="F6989" s="13" t="s">
        <v>70</v>
      </c>
      <c r="G6989" s="14">
        <v>44645</v>
      </c>
      <c r="H6989" s="13" t="s">
        <v>35</v>
      </c>
    </row>
    <row r="6990" spans="1:8" ht="14.4" x14ac:dyDescent="0.3">
      <c r="A6990" s="8">
        <v>2040583</v>
      </c>
      <c r="B6990" s="11">
        <v>44642</v>
      </c>
      <c r="C6990" s="13" t="s">
        <v>884</v>
      </c>
      <c r="D6990" s="13" t="s">
        <v>8842</v>
      </c>
      <c r="E6990" s="8">
        <v>32250</v>
      </c>
      <c r="F6990" s="13" t="s">
        <v>70</v>
      </c>
      <c r="G6990" s="14">
        <v>44643</v>
      </c>
      <c r="H6990" s="13" t="s">
        <v>35</v>
      </c>
    </row>
    <row r="6991" spans="1:8" ht="14.4" x14ac:dyDescent="0.3">
      <c r="A6991" s="8">
        <v>2040584</v>
      </c>
      <c r="B6991" s="11">
        <v>44642</v>
      </c>
      <c r="C6991" s="13" t="s">
        <v>884</v>
      </c>
      <c r="D6991" s="13" t="s">
        <v>8843</v>
      </c>
      <c r="E6991" s="8">
        <v>26750</v>
      </c>
      <c r="F6991" s="13" t="s">
        <v>70</v>
      </c>
      <c r="G6991" s="14">
        <v>44643</v>
      </c>
      <c r="H6991" s="13" t="s">
        <v>35</v>
      </c>
    </row>
    <row r="6992" spans="1:8" ht="14.4" x14ac:dyDescent="0.3">
      <c r="A6992" s="8">
        <v>2040585</v>
      </c>
      <c r="B6992" s="11">
        <v>44642</v>
      </c>
      <c r="C6992" s="13" t="s">
        <v>884</v>
      </c>
      <c r="D6992" s="13" t="s">
        <v>8844</v>
      </c>
      <c r="E6992" s="8">
        <v>28750</v>
      </c>
      <c r="F6992" s="13" t="s">
        <v>70</v>
      </c>
      <c r="G6992" s="14">
        <v>44643</v>
      </c>
      <c r="H6992" s="13" t="s">
        <v>35</v>
      </c>
    </row>
    <row r="6993" spans="1:8" ht="14.4" x14ac:dyDescent="0.3">
      <c r="A6993" s="8">
        <v>2040586</v>
      </c>
      <c r="B6993" s="11">
        <v>44642</v>
      </c>
      <c r="C6993" s="13" t="s">
        <v>1286</v>
      </c>
      <c r="D6993" s="13" t="s">
        <v>8845</v>
      </c>
      <c r="E6993" s="8">
        <v>4044.56</v>
      </c>
      <c r="F6993" s="13" t="s">
        <v>70</v>
      </c>
      <c r="G6993" s="14">
        <v>44648</v>
      </c>
      <c r="H6993" s="13" t="s">
        <v>35</v>
      </c>
    </row>
    <row r="6994" spans="1:8" ht="14.4" x14ac:dyDescent="0.3">
      <c r="A6994" s="8">
        <v>2040587</v>
      </c>
      <c r="B6994" s="11">
        <v>44642</v>
      </c>
      <c r="C6994" s="13" t="s">
        <v>1286</v>
      </c>
      <c r="D6994" s="13" t="s">
        <v>8846</v>
      </c>
      <c r="E6994" s="8">
        <v>4095.98</v>
      </c>
      <c r="F6994" s="13" t="s">
        <v>70</v>
      </c>
      <c r="G6994" s="14">
        <v>44648</v>
      </c>
      <c r="H6994" s="13" t="s">
        <v>35</v>
      </c>
    </row>
    <row r="6995" spans="1:8" ht="14.4" x14ac:dyDescent="0.3">
      <c r="A6995" s="8">
        <v>2040588</v>
      </c>
      <c r="B6995" s="11">
        <v>44642</v>
      </c>
      <c r="C6995" s="13" t="s">
        <v>1286</v>
      </c>
      <c r="D6995" s="13" t="s">
        <v>8847</v>
      </c>
      <c r="E6995" s="8">
        <v>2620.4499999999998</v>
      </c>
      <c r="F6995" s="13" t="s">
        <v>70</v>
      </c>
      <c r="G6995" s="14">
        <v>44648</v>
      </c>
      <c r="H6995" s="13" t="s">
        <v>35</v>
      </c>
    </row>
    <row r="6996" spans="1:8" ht="14.4" x14ac:dyDescent="0.3">
      <c r="A6996" s="8">
        <v>2040589</v>
      </c>
      <c r="B6996" s="11">
        <v>44642</v>
      </c>
      <c r="C6996" s="13" t="s">
        <v>405</v>
      </c>
      <c r="D6996" s="13" t="s">
        <v>8848</v>
      </c>
      <c r="E6996" s="8">
        <v>33682.17</v>
      </c>
      <c r="F6996" s="13" t="s">
        <v>70</v>
      </c>
      <c r="G6996" s="14">
        <v>44644</v>
      </c>
      <c r="H6996" s="13" t="s">
        <v>35</v>
      </c>
    </row>
    <row r="6997" spans="1:8" ht="14.4" x14ac:dyDescent="0.3">
      <c r="A6997" s="8">
        <v>2040591</v>
      </c>
      <c r="B6997" s="11">
        <v>44642</v>
      </c>
      <c r="C6997" s="13" t="s">
        <v>25</v>
      </c>
      <c r="D6997" s="13" t="s">
        <v>8849</v>
      </c>
      <c r="E6997" s="8">
        <v>6555</v>
      </c>
      <c r="F6997" s="13" t="s">
        <v>70</v>
      </c>
      <c r="G6997" s="14">
        <v>44644</v>
      </c>
      <c r="H6997" s="13" t="s">
        <v>35</v>
      </c>
    </row>
    <row r="6998" spans="1:8" ht="14.4" x14ac:dyDescent="0.3">
      <c r="A6998" s="8">
        <v>2040592</v>
      </c>
      <c r="B6998" s="11">
        <v>44642</v>
      </c>
      <c r="C6998" s="13" t="s">
        <v>5920</v>
      </c>
      <c r="D6998" s="13" t="s">
        <v>8850</v>
      </c>
      <c r="E6998" s="8">
        <v>3641800.58</v>
      </c>
      <c r="F6998" s="13" t="s">
        <v>70</v>
      </c>
      <c r="G6998" s="14">
        <v>44643</v>
      </c>
      <c r="H6998" s="13" t="s">
        <v>35</v>
      </c>
    </row>
    <row r="6999" spans="1:8" ht="14.4" x14ac:dyDescent="0.3">
      <c r="A6999" s="8">
        <v>2040593</v>
      </c>
      <c r="B6999" s="11">
        <v>44642</v>
      </c>
      <c r="C6999" s="13" t="s">
        <v>180</v>
      </c>
      <c r="D6999" s="13" t="s">
        <v>901</v>
      </c>
      <c r="E6999" s="8">
        <v>404175.77</v>
      </c>
      <c r="F6999" s="13" t="s">
        <v>70</v>
      </c>
      <c r="G6999" s="14">
        <v>44642</v>
      </c>
      <c r="H6999" s="13" t="s">
        <v>35</v>
      </c>
    </row>
    <row r="7000" spans="1:8" ht="14.4" x14ac:dyDescent="0.3">
      <c r="A7000" s="8">
        <v>2040594</v>
      </c>
      <c r="B7000" s="11">
        <v>44642</v>
      </c>
      <c r="C7000" s="13" t="s">
        <v>8851</v>
      </c>
      <c r="D7000" s="13" t="s">
        <v>8852</v>
      </c>
      <c r="E7000" s="8">
        <v>9000</v>
      </c>
      <c r="F7000" s="13" t="s">
        <v>70</v>
      </c>
      <c r="G7000" s="14">
        <v>44645</v>
      </c>
      <c r="H7000" s="13" t="s">
        <v>35</v>
      </c>
    </row>
    <row r="7001" spans="1:8" ht="14.4" x14ac:dyDescent="0.3">
      <c r="A7001" s="8">
        <v>2040595</v>
      </c>
      <c r="B7001" s="11">
        <v>44642</v>
      </c>
      <c r="C7001" s="13" t="s">
        <v>8853</v>
      </c>
      <c r="D7001" s="13" t="s">
        <v>8854</v>
      </c>
      <c r="E7001" s="8">
        <v>20000</v>
      </c>
      <c r="F7001" s="13" t="s">
        <v>70</v>
      </c>
      <c r="G7001" s="14">
        <v>44680</v>
      </c>
      <c r="H7001" s="13" t="s">
        <v>35</v>
      </c>
    </row>
    <row r="7002" spans="1:8" ht="14.4" x14ac:dyDescent="0.3">
      <c r="A7002" s="8">
        <v>2040596</v>
      </c>
      <c r="B7002" s="11">
        <v>44642</v>
      </c>
      <c r="C7002" s="13" t="s">
        <v>8855</v>
      </c>
      <c r="D7002" s="13" t="s">
        <v>8856</v>
      </c>
      <c r="E7002" s="8">
        <v>10000</v>
      </c>
      <c r="F7002" s="13" t="s">
        <v>70</v>
      </c>
      <c r="G7002" s="14">
        <v>44685</v>
      </c>
      <c r="H7002" s="13" t="s">
        <v>35</v>
      </c>
    </row>
    <row r="7003" spans="1:8" ht="14.4" x14ac:dyDescent="0.3">
      <c r="A7003" s="8">
        <v>2040597</v>
      </c>
      <c r="B7003" s="11">
        <v>44642</v>
      </c>
      <c r="C7003" s="13" t="s">
        <v>8857</v>
      </c>
      <c r="D7003" s="13" t="s">
        <v>8858</v>
      </c>
      <c r="E7003" s="8">
        <v>7000</v>
      </c>
      <c r="F7003" s="13" t="s">
        <v>70</v>
      </c>
      <c r="G7003" s="14">
        <v>44680</v>
      </c>
      <c r="H7003" s="13" t="s">
        <v>35</v>
      </c>
    </row>
    <row r="7004" spans="1:8" ht="14.4" x14ac:dyDescent="0.3">
      <c r="A7004" s="8">
        <v>2040598</v>
      </c>
      <c r="B7004" s="11">
        <v>44642</v>
      </c>
      <c r="C7004" s="13" t="s">
        <v>8859</v>
      </c>
      <c r="D7004" s="13" t="s">
        <v>8860</v>
      </c>
      <c r="E7004" s="8">
        <v>8000</v>
      </c>
      <c r="F7004" s="13" t="s">
        <v>70</v>
      </c>
      <c r="G7004" s="14">
        <v>44680</v>
      </c>
      <c r="H7004" s="13" t="s">
        <v>35</v>
      </c>
    </row>
    <row r="7005" spans="1:8" ht="14.4" x14ac:dyDescent="0.3">
      <c r="A7005" s="8">
        <v>2040599</v>
      </c>
      <c r="B7005" s="11">
        <v>44642</v>
      </c>
      <c r="C7005" s="13" t="s">
        <v>8861</v>
      </c>
      <c r="D7005" s="13" t="s">
        <v>8862</v>
      </c>
      <c r="E7005" s="8">
        <v>30000</v>
      </c>
      <c r="F7005" s="13" t="s">
        <v>70</v>
      </c>
      <c r="G7005" s="14">
        <v>44701</v>
      </c>
      <c r="H7005" s="13" t="s">
        <v>35</v>
      </c>
    </row>
    <row r="7006" spans="1:8" ht="14.4" x14ac:dyDescent="0.3">
      <c r="A7006" s="8">
        <v>2040600</v>
      </c>
      <c r="B7006" s="11">
        <v>44642</v>
      </c>
      <c r="C7006" s="13" t="s">
        <v>8863</v>
      </c>
      <c r="D7006" s="13" t="s">
        <v>8864</v>
      </c>
      <c r="E7006" s="8">
        <v>17000</v>
      </c>
      <c r="F7006" s="13" t="s">
        <v>70</v>
      </c>
      <c r="G7006" s="14">
        <v>44685</v>
      </c>
      <c r="H7006" s="13" t="s">
        <v>35</v>
      </c>
    </row>
    <row r="7007" spans="1:8" ht="14.4" x14ac:dyDescent="0.3">
      <c r="A7007" s="8">
        <v>2040601</v>
      </c>
      <c r="B7007" s="11">
        <v>44642</v>
      </c>
      <c r="C7007" s="13" t="s">
        <v>8865</v>
      </c>
      <c r="D7007" s="13" t="s">
        <v>8866</v>
      </c>
      <c r="E7007" s="8">
        <v>50000</v>
      </c>
      <c r="F7007" s="13" t="s">
        <v>70</v>
      </c>
      <c r="G7007" s="14">
        <v>44680</v>
      </c>
      <c r="H7007" s="13" t="s">
        <v>35</v>
      </c>
    </row>
    <row r="7008" spans="1:8" ht="14.4" x14ac:dyDescent="0.3">
      <c r="A7008" s="8">
        <v>2040602</v>
      </c>
      <c r="B7008" s="11">
        <v>44642</v>
      </c>
      <c r="C7008" s="13" t="s">
        <v>8867</v>
      </c>
      <c r="D7008" s="13" t="s">
        <v>8868</v>
      </c>
      <c r="E7008" s="8">
        <v>50000</v>
      </c>
      <c r="F7008" s="13" t="s">
        <v>70</v>
      </c>
      <c r="G7008" s="14">
        <v>44683</v>
      </c>
      <c r="H7008" s="13" t="s">
        <v>35</v>
      </c>
    </row>
    <row r="7009" spans="1:8" ht="14.4" x14ac:dyDescent="0.3">
      <c r="A7009" s="8">
        <v>2040603</v>
      </c>
      <c r="B7009" s="11">
        <v>44642</v>
      </c>
      <c r="C7009" s="13" t="s">
        <v>8869</v>
      </c>
      <c r="D7009" s="13" t="s">
        <v>8870</v>
      </c>
      <c r="E7009" s="8">
        <v>15000</v>
      </c>
      <c r="F7009" s="13" t="s">
        <v>70</v>
      </c>
      <c r="G7009" s="14">
        <v>44680</v>
      </c>
      <c r="H7009" s="13" t="s">
        <v>35</v>
      </c>
    </row>
    <row r="7010" spans="1:8" ht="14.4" x14ac:dyDescent="0.3">
      <c r="A7010" s="8">
        <v>2040604</v>
      </c>
      <c r="B7010" s="11">
        <v>44642</v>
      </c>
      <c r="C7010" s="13" t="s">
        <v>902</v>
      </c>
      <c r="D7010" s="13" t="s">
        <v>8871</v>
      </c>
      <c r="E7010" s="8">
        <v>10000</v>
      </c>
      <c r="F7010" s="13" t="s">
        <v>70</v>
      </c>
      <c r="G7010" s="14">
        <v>44683</v>
      </c>
      <c r="H7010" s="13" t="s">
        <v>35</v>
      </c>
    </row>
    <row r="7011" spans="1:8" ht="14.4" x14ac:dyDescent="0.3">
      <c r="A7011" s="8">
        <v>2040605</v>
      </c>
      <c r="B7011" s="11">
        <v>44642</v>
      </c>
      <c r="C7011" s="13" t="s">
        <v>8872</v>
      </c>
      <c r="D7011" s="13" t="s">
        <v>8873</v>
      </c>
      <c r="E7011" s="8">
        <v>10000</v>
      </c>
      <c r="F7011" s="13" t="s">
        <v>70</v>
      </c>
      <c r="G7011" s="14">
        <v>44680</v>
      </c>
      <c r="H7011" s="13" t="s">
        <v>35</v>
      </c>
    </row>
    <row r="7012" spans="1:8" ht="14.4" x14ac:dyDescent="0.3">
      <c r="A7012" s="8">
        <v>2040606</v>
      </c>
      <c r="B7012" s="11">
        <v>44642</v>
      </c>
      <c r="C7012" s="13" t="s">
        <v>8874</v>
      </c>
      <c r="D7012" s="13" t="s">
        <v>8875</v>
      </c>
      <c r="E7012" s="8">
        <v>40000</v>
      </c>
      <c r="F7012" s="13" t="s">
        <v>70</v>
      </c>
      <c r="G7012" s="14">
        <v>44680</v>
      </c>
      <c r="H7012" s="13" t="s">
        <v>35</v>
      </c>
    </row>
    <row r="7013" spans="1:8" ht="14.4" x14ac:dyDescent="0.3">
      <c r="A7013" s="8">
        <v>2040607</v>
      </c>
      <c r="B7013" s="11">
        <v>44642</v>
      </c>
      <c r="C7013" s="13" t="s">
        <v>8876</v>
      </c>
      <c r="D7013" s="13" t="s">
        <v>8877</v>
      </c>
      <c r="E7013" s="8">
        <v>10000</v>
      </c>
      <c r="F7013" s="13" t="s">
        <v>70</v>
      </c>
      <c r="G7013" s="14">
        <v>44645</v>
      </c>
      <c r="H7013" s="13" t="s">
        <v>35</v>
      </c>
    </row>
    <row r="7014" spans="1:8" ht="14.4" x14ac:dyDescent="0.3">
      <c r="A7014" s="8">
        <v>2040608</v>
      </c>
      <c r="B7014" s="11">
        <v>44642</v>
      </c>
      <c r="C7014" s="13" t="s">
        <v>8878</v>
      </c>
      <c r="D7014" s="13" t="s">
        <v>8879</v>
      </c>
      <c r="E7014" s="8">
        <v>40000</v>
      </c>
      <c r="F7014" s="13" t="s">
        <v>70</v>
      </c>
      <c r="G7014" s="14">
        <v>44683</v>
      </c>
      <c r="H7014" s="13" t="s">
        <v>35</v>
      </c>
    </row>
    <row r="7015" spans="1:8" ht="14.4" x14ac:dyDescent="0.3">
      <c r="A7015" s="8">
        <v>2040609</v>
      </c>
      <c r="B7015" s="11">
        <v>44642</v>
      </c>
      <c r="C7015" s="13" t="s">
        <v>8880</v>
      </c>
      <c r="D7015" s="13" t="s">
        <v>8881</v>
      </c>
      <c r="E7015" s="8">
        <v>10000</v>
      </c>
      <c r="F7015" s="13" t="s">
        <v>70</v>
      </c>
      <c r="G7015" s="14">
        <v>44683</v>
      </c>
      <c r="H7015" s="13" t="s">
        <v>35</v>
      </c>
    </row>
    <row r="7016" spans="1:8" ht="14.4" x14ac:dyDescent="0.3">
      <c r="A7016" s="8">
        <v>2040610</v>
      </c>
      <c r="B7016" s="11">
        <v>44642</v>
      </c>
      <c r="C7016" s="13" t="s">
        <v>8882</v>
      </c>
      <c r="D7016" s="13" t="s">
        <v>8883</v>
      </c>
      <c r="E7016" s="8">
        <v>10000</v>
      </c>
      <c r="F7016" s="13" t="s">
        <v>70</v>
      </c>
      <c r="G7016" s="14">
        <v>44645</v>
      </c>
      <c r="H7016" s="13" t="s">
        <v>35</v>
      </c>
    </row>
    <row r="7017" spans="1:8" ht="14.4" x14ac:dyDescent="0.3">
      <c r="A7017" s="8">
        <v>2040611</v>
      </c>
      <c r="B7017" s="11">
        <v>44642</v>
      </c>
      <c r="C7017" s="13" t="s">
        <v>8884</v>
      </c>
      <c r="D7017" s="13" t="s">
        <v>8885</v>
      </c>
      <c r="E7017" s="8">
        <v>10000</v>
      </c>
      <c r="F7017" s="13" t="s">
        <v>70</v>
      </c>
      <c r="G7017" s="14">
        <v>44683</v>
      </c>
      <c r="H7017" s="13" t="s">
        <v>35</v>
      </c>
    </row>
    <row r="7018" spans="1:8" ht="14.4" x14ac:dyDescent="0.3">
      <c r="A7018" s="8">
        <v>2040612</v>
      </c>
      <c r="B7018" s="11">
        <v>44642</v>
      </c>
      <c r="C7018" s="13" t="s">
        <v>7047</v>
      </c>
      <c r="D7018" s="13" t="s">
        <v>8886</v>
      </c>
      <c r="E7018" s="8">
        <v>10000</v>
      </c>
      <c r="F7018" s="13" t="s">
        <v>70</v>
      </c>
      <c r="G7018" s="14">
        <v>44680</v>
      </c>
      <c r="H7018" s="13" t="s">
        <v>35</v>
      </c>
    </row>
    <row r="7019" spans="1:8" ht="14.4" x14ac:dyDescent="0.3">
      <c r="A7019" s="8">
        <v>2040613</v>
      </c>
      <c r="B7019" s="11">
        <v>44642</v>
      </c>
      <c r="C7019" s="13" t="s">
        <v>8887</v>
      </c>
      <c r="D7019" s="13" t="s">
        <v>8888</v>
      </c>
      <c r="E7019" s="8">
        <v>50000</v>
      </c>
      <c r="F7019" s="13" t="s">
        <v>70</v>
      </c>
      <c r="G7019" s="14">
        <v>44680</v>
      </c>
      <c r="H7019" s="13" t="s">
        <v>35</v>
      </c>
    </row>
    <row r="7020" spans="1:8" ht="14.4" x14ac:dyDescent="0.3">
      <c r="A7020" s="8">
        <v>2040614</v>
      </c>
      <c r="B7020" s="11">
        <v>44642</v>
      </c>
      <c r="C7020" s="13" t="s">
        <v>8889</v>
      </c>
      <c r="D7020" s="13" t="s">
        <v>8890</v>
      </c>
      <c r="E7020" s="8">
        <v>10000</v>
      </c>
      <c r="F7020" s="13" t="s">
        <v>70</v>
      </c>
      <c r="G7020" s="14">
        <v>44683</v>
      </c>
      <c r="H7020" s="13" t="s">
        <v>35</v>
      </c>
    </row>
    <row r="7021" spans="1:8" ht="14.4" x14ac:dyDescent="0.3">
      <c r="A7021" s="8">
        <v>2040615</v>
      </c>
      <c r="B7021" s="11">
        <v>44642</v>
      </c>
      <c r="C7021" s="13" t="s">
        <v>8891</v>
      </c>
      <c r="D7021" s="13" t="s">
        <v>8892</v>
      </c>
      <c r="E7021" s="8">
        <v>30000</v>
      </c>
      <c r="F7021" s="13" t="s">
        <v>70</v>
      </c>
      <c r="G7021" s="14">
        <v>44683</v>
      </c>
      <c r="H7021" s="13" t="s">
        <v>35</v>
      </c>
    </row>
    <row r="7022" spans="1:8" ht="14.4" x14ac:dyDescent="0.3">
      <c r="A7022" s="8">
        <v>2040616</v>
      </c>
      <c r="B7022" s="11">
        <v>44642</v>
      </c>
      <c r="C7022" s="13" t="s">
        <v>8893</v>
      </c>
      <c r="D7022" s="13" t="s">
        <v>8894</v>
      </c>
      <c r="E7022" s="8">
        <v>10000</v>
      </c>
      <c r="F7022" s="13" t="s">
        <v>70</v>
      </c>
      <c r="G7022" s="14">
        <v>44683</v>
      </c>
      <c r="H7022" s="13" t="s">
        <v>35</v>
      </c>
    </row>
    <row r="7023" spans="1:8" ht="14.4" x14ac:dyDescent="0.3">
      <c r="A7023" s="8">
        <v>2040617</v>
      </c>
      <c r="B7023" s="11">
        <v>44642</v>
      </c>
      <c r="C7023" s="13" t="s">
        <v>677</v>
      </c>
      <c r="D7023" s="13" t="s">
        <v>8895</v>
      </c>
      <c r="E7023" s="8">
        <v>5265</v>
      </c>
      <c r="F7023" s="13" t="s">
        <v>70</v>
      </c>
      <c r="G7023" s="14">
        <v>44645</v>
      </c>
      <c r="H7023" s="13" t="s">
        <v>35</v>
      </c>
    </row>
    <row r="7024" spans="1:8" ht="14.4" x14ac:dyDescent="0.3">
      <c r="A7024" s="8">
        <v>2040618</v>
      </c>
      <c r="B7024" s="11">
        <v>44642</v>
      </c>
      <c r="C7024" s="13" t="s">
        <v>374</v>
      </c>
      <c r="D7024" s="13" t="s">
        <v>8896</v>
      </c>
      <c r="E7024" s="8">
        <v>448350</v>
      </c>
      <c r="F7024" s="13" t="s">
        <v>70</v>
      </c>
      <c r="G7024" s="14">
        <v>44644</v>
      </c>
      <c r="H7024" s="13" t="s">
        <v>35</v>
      </c>
    </row>
    <row r="7025" spans="1:8" ht="14.4" x14ac:dyDescent="0.3">
      <c r="A7025" s="8">
        <v>2040619</v>
      </c>
      <c r="B7025" s="11">
        <v>44642</v>
      </c>
      <c r="C7025" s="13" t="s">
        <v>376</v>
      </c>
      <c r="D7025" s="13" t="s">
        <v>8897</v>
      </c>
      <c r="E7025" s="8">
        <v>54537</v>
      </c>
      <c r="F7025" s="13" t="s">
        <v>70</v>
      </c>
      <c r="G7025" s="14">
        <v>44644</v>
      </c>
      <c r="H7025" s="13" t="s">
        <v>35</v>
      </c>
    </row>
    <row r="7026" spans="1:8" ht="14.4" x14ac:dyDescent="0.3">
      <c r="A7026" s="8">
        <v>2040620</v>
      </c>
      <c r="B7026" s="11">
        <v>44642</v>
      </c>
      <c r="C7026" s="13" t="s">
        <v>376</v>
      </c>
      <c r="D7026" s="13" t="s">
        <v>8898</v>
      </c>
      <c r="E7026" s="8">
        <v>62475</v>
      </c>
      <c r="F7026" s="13" t="s">
        <v>70</v>
      </c>
      <c r="G7026" s="14">
        <v>44644</v>
      </c>
      <c r="H7026" s="13" t="s">
        <v>35</v>
      </c>
    </row>
    <row r="7027" spans="1:8" ht="14.4" x14ac:dyDescent="0.3">
      <c r="A7027" s="8">
        <v>2040621</v>
      </c>
      <c r="B7027" s="11">
        <v>44642</v>
      </c>
      <c r="C7027" s="13" t="s">
        <v>53</v>
      </c>
      <c r="D7027" s="13" t="s">
        <v>8899</v>
      </c>
      <c r="E7027" s="8">
        <v>331240</v>
      </c>
      <c r="F7027" s="13" t="s">
        <v>70</v>
      </c>
      <c r="G7027" s="14">
        <v>44648</v>
      </c>
      <c r="H7027" s="13" t="s">
        <v>35</v>
      </c>
    </row>
    <row r="7028" spans="1:8" ht="14.4" x14ac:dyDescent="0.3">
      <c r="A7028" s="8">
        <v>2040622</v>
      </c>
      <c r="B7028" s="11">
        <v>44642</v>
      </c>
      <c r="C7028" s="13" t="s">
        <v>374</v>
      </c>
      <c r="D7028" s="13" t="s">
        <v>8900</v>
      </c>
      <c r="E7028" s="8">
        <v>486815</v>
      </c>
      <c r="F7028" s="13" t="s">
        <v>70</v>
      </c>
      <c r="G7028" s="14">
        <v>44644</v>
      </c>
      <c r="H7028" s="13" t="s">
        <v>35</v>
      </c>
    </row>
    <row r="7029" spans="1:8" ht="14.4" x14ac:dyDescent="0.3">
      <c r="A7029" s="8">
        <v>2040623</v>
      </c>
      <c r="B7029" s="11">
        <v>44642</v>
      </c>
      <c r="C7029" s="13" t="s">
        <v>8901</v>
      </c>
      <c r="D7029" s="13" t="s">
        <v>3451</v>
      </c>
      <c r="E7029" s="8">
        <v>3360.26</v>
      </c>
      <c r="F7029" s="13" t="s">
        <v>70</v>
      </c>
      <c r="G7029" s="14">
        <v>44644</v>
      </c>
      <c r="H7029" s="13" t="s">
        <v>35</v>
      </c>
    </row>
    <row r="7030" spans="1:8" ht="14.4" x14ac:dyDescent="0.3">
      <c r="A7030" s="8">
        <v>2040624</v>
      </c>
      <c r="B7030" s="11">
        <v>44642</v>
      </c>
      <c r="C7030" s="13" t="s">
        <v>8902</v>
      </c>
      <c r="D7030" s="13" t="s">
        <v>3451</v>
      </c>
      <c r="E7030" s="8">
        <v>2786.34</v>
      </c>
      <c r="F7030" s="13" t="s">
        <v>70</v>
      </c>
      <c r="G7030" s="14">
        <v>44644</v>
      </c>
      <c r="H7030" s="13" t="s">
        <v>35</v>
      </c>
    </row>
    <row r="7031" spans="1:8" ht="14.4" x14ac:dyDescent="0.3">
      <c r="A7031" s="8">
        <v>2040626</v>
      </c>
      <c r="B7031" s="11">
        <v>44642</v>
      </c>
      <c r="C7031" s="13" t="s">
        <v>201</v>
      </c>
      <c r="D7031" s="13" t="s">
        <v>3650</v>
      </c>
      <c r="E7031" s="8">
        <v>14274.88</v>
      </c>
      <c r="F7031" s="13" t="s">
        <v>70</v>
      </c>
      <c r="G7031" s="14">
        <v>44645</v>
      </c>
      <c r="H7031" s="13" t="s">
        <v>35</v>
      </c>
    </row>
    <row r="7032" spans="1:8" ht="14.4" x14ac:dyDescent="0.3">
      <c r="A7032" s="8">
        <v>2040627</v>
      </c>
      <c r="B7032" s="11">
        <v>44642</v>
      </c>
      <c r="C7032" s="13" t="s">
        <v>202</v>
      </c>
      <c r="D7032" s="13" t="s">
        <v>3650</v>
      </c>
      <c r="E7032" s="8">
        <v>4725.8999999999996</v>
      </c>
      <c r="F7032" s="13" t="s">
        <v>70</v>
      </c>
      <c r="G7032" s="14">
        <v>44655</v>
      </c>
      <c r="H7032" s="13" t="s">
        <v>35</v>
      </c>
    </row>
    <row r="7033" spans="1:8" ht="14.4" x14ac:dyDescent="0.3">
      <c r="A7033" s="8">
        <v>2040628</v>
      </c>
      <c r="B7033" s="11">
        <v>44642</v>
      </c>
      <c r="C7033" s="13" t="s">
        <v>59</v>
      </c>
      <c r="D7033" s="13" t="s">
        <v>8903</v>
      </c>
      <c r="E7033" s="8">
        <v>5500</v>
      </c>
      <c r="F7033" s="13" t="s">
        <v>70</v>
      </c>
      <c r="G7033" s="14">
        <v>44657</v>
      </c>
      <c r="H7033" s="13" t="s">
        <v>35</v>
      </c>
    </row>
    <row r="7034" spans="1:8" ht="14.4" x14ac:dyDescent="0.3">
      <c r="A7034" s="8">
        <v>2040629</v>
      </c>
      <c r="B7034" s="11">
        <v>44642</v>
      </c>
      <c r="C7034" s="13" t="s">
        <v>1397</v>
      </c>
      <c r="D7034" s="13" t="s">
        <v>3650</v>
      </c>
      <c r="E7034" s="8">
        <v>15750</v>
      </c>
      <c r="F7034" s="13" t="s">
        <v>70</v>
      </c>
      <c r="G7034" s="14">
        <v>44686</v>
      </c>
      <c r="H7034" s="13" t="s">
        <v>35</v>
      </c>
    </row>
    <row r="7035" spans="1:8" ht="14.4" x14ac:dyDescent="0.3">
      <c r="A7035" s="8">
        <v>2040630</v>
      </c>
      <c r="B7035" s="11">
        <v>44642</v>
      </c>
      <c r="C7035" s="13" t="s">
        <v>1424</v>
      </c>
      <c r="D7035" s="13" t="s">
        <v>1625</v>
      </c>
      <c r="E7035" s="8">
        <v>21129.02</v>
      </c>
      <c r="F7035" s="13" t="s">
        <v>70</v>
      </c>
      <c r="G7035" s="14">
        <v>44662</v>
      </c>
      <c r="H7035" s="13" t="s">
        <v>35</v>
      </c>
    </row>
    <row r="7036" spans="1:8" ht="14.4" x14ac:dyDescent="0.3">
      <c r="A7036" s="8">
        <v>2040631</v>
      </c>
      <c r="B7036" s="11">
        <v>44642</v>
      </c>
      <c r="C7036" s="13" t="s">
        <v>159</v>
      </c>
      <c r="D7036" s="13" t="s">
        <v>8904</v>
      </c>
      <c r="E7036" s="8">
        <v>331900</v>
      </c>
      <c r="F7036" s="13" t="s">
        <v>70</v>
      </c>
      <c r="G7036" s="14">
        <v>44643</v>
      </c>
      <c r="H7036" s="13" t="s">
        <v>35</v>
      </c>
    </row>
    <row r="7037" spans="1:8" ht="14.4" x14ac:dyDescent="0.3">
      <c r="A7037" s="8">
        <v>2040632</v>
      </c>
      <c r="B7037" s="11">
        <v>44643</v>
      </c>
      <c r="C7037" s="13" t="s">
        <v>8905</v>
      </c>
      <c r="D7037" s="13" t="s">
        <v>3451</v>
      </c>
      <c r="E7037" s="8">
        <v>3360.26</v>
      </c>
      <c r="F7037" s="13" t="s">
        <v>70</v>
      </c>
      <c r="G7037" s="14">
        <v>44644</v>
      </c>
      <c r="H7037" s="13" t="s">
        <v>35</v>
      </c>
    </row>
    <row r="7038" spans="1:8" ht="14.4" x14ac:dyDescent="0.3">
      <c r="A7038" s="8">
        <v>2040633</v>
      </c>
      <c r="B7038" s="11">
        <v>44643</v>
      </c>
      <c r="C7038" s="13" t="s">
        <v>2684</v>
      </c>
      <c r="D7038" s="13" t="s">
        <v>8906</v>
      </c>
      <c r="E7038" s="8">
        <v>18000</v>
      </c>
      <c r="F7038" s="13" t="s">
        <v>70</v>
      </c>
      <c r="G7038" s="14">
        <v>44692</v>
      </c>
      <c r="H7038" s="13" t="s">
        <v>35</v>
      </c>
    </row>
    <row r="7039" spans="1:8" ht="14.4" x14ac:dyDescent="0.3">
      <c r="A7039" s="8">
        <v>2040634</v>
      </c>
      <c r="B7039" s="11">
        <v>44643</v>
      </c>
      <c r="C7039" s="13" t="s">
        <v>8907</v>
      </c>
      <c r="D7039" s="13" t="s">
        <v>8908</v>
      </c>
      <c r="E7039" s="8">
        <v>21000</v>
      </c>
      <c r="F7039" s="13" t="s">
        <v>70</v>
      </c>
      <c r="G7039" s="14">
        <v>44683</v>
      </c>
      <c r="H7039" s="13" t="s">
        <v>35</v>
      </c>
    </row>
    <row r="7040" spans="1:8" ht="14.4" x14ac:dyDescent="0.3">
      <c r="A7040" s="8">
        <v>2040635</v>
      </c>
      <c r="B7040" s="11">
        <v>44643</v>
      </c>
      <c r="C7040" s="13" t="s">
        <v>8909</v>
      </c>
      <c r="D7040" s="13" t="s">
        <v>8910</v>
      </c>
      <c r="E7040" s="8">
        <v>10000</v>
      </c>
      <c r="F7040" s="13" t="s">
        <v>70</v>
      </c>
      <c r="G7040" s="14">
        <v>44680</v>
      </c>
      <c r="H7040" s="13" t="s">
        <v>35</v>
      </c>
    </row>
    <row r="7041" spans="1:8" ht="14.4" x14ac:dyDescent="0.3">
      <c r="A7041" s="8">
        <v>2040636</v>
      </c>
      <c r="B7041" s="11">
        <v>44643</v>
      </c>
      <c r="C7041" s="13" t="s">
        <v>8911</v>
      </c>
      <c r="D7041" s="13" t="s">
        <v>8912</v>
      </c>
      <c r="E7041" s="8">
        <v>50000</v>
      </c>
      <c r="F7041" s="13" t="s">
        <v>70</v>
      </c>
      <c r="G7041" s="14">
        <v>44680</v>
      </c>
      <c r="H7041" s="13" t="s">
        <v>35</v>
      </c>
    </row>
    <row r="7042" spans="1:8" ht="14.4" x14ac:dyDescent="0.3">
      <c r="A7042" s="8">
        <v>2040637</v>
      </c>
      <c r="B7042" s="11">
        <v>44643</v>
      </c>
      <c r="C7042" s="13" t="s">
        <v>8913</v>
      </c>
      <c r="D7042" s="13" t="s">
        <v>8914</v>
      </c>
      <c r="E7042" s="8">
        <v>8000</v>
      </c>
      <c r="F7042" s="13" t="s">
        <v>70</v>
      </c>
      <c r="G7042" s="14">
        <v>44645</v>
      </c>
      <c r="H7042" s="13" t="s">
        <v>35</v>
      </c>
    </row>
    <row r="7043" spans="1:8" ht="14.4" x14ac:dyDescent="0.3">
      <c r="A7043" s="8">
        <v>2040638</v>
      </c>
      <c r="B7043" s="11">
        <v>44643</v>
      </c>
      <c r="C7043" s="13" t="s">
        <v>8915</v>
      </c>
      <c r="D7043" s="13" t="s">
        <v>8916</v>
      </c>
      <c r="E7043" s="8">
        <v>10000</v>
      </c>
      <c r="F7043" s="13" t="s">
        <v>70</v>
      </c>
      <c r="G7043" s="14">
        <v>44644</v>
      </c>
      <c r="H7043" s="13" t="s">
        <v>35</v>
      </c>
    </row>
    <row r="7044" spans="1:8" ht="14.4" x14ac:dyDescent="0.3">
      <c r="A7044" s="8">
        <v>2040639</v>
      </c>
      <c r="B7044" s="11">
        <v>44643</v>
      </c>
      <c r="C7044" s="13" t="s">
        <v>8917</v>
      </c>
      <c r="D7044" s="13" t="s">
        <v>8918</v>
      </c>
      <c r="E7044" s="8">
        <v>30000</v>
      </c>
      <c r="F7044" s="13" t="s">
        <v>70</v>
      </c>
      <c r="G7044" s="14">
        <v>44680</v>
      </c>
      <c r="H7044" s="13" t="s">
        <v>35</v>
      </c>
    </row>
    <row r="7045" spans="1:8" ht="14.4" x14ac:dyDescent="0.3">
      <c r="A7045" s="8">
        <v>2040640</v>
      </c>
      <c r="B7045" s="11">
        <v>44643</v>
      </c>
      <c r="C7045" s="13" t="s">
        <v>8919</v>
      </c>
      <c r="D7045" s="13" t="s">
        <v>8920</v>
      </c>
      <c r="E7045" s="8">
        <v>9000</v>
      </c>
      <c r="F7045" s="13" t="s">
        <v>70</v>
      </c>
      <c r="G7045" s="14">
        <v>44685</v>
      </c>
      <c r="H7045" s="13" t="s">
        <v>35</v>
      </c>
    </row>
    <row r="7046" spans="1:8" ht="14.4" x14ac:dyDescent="0.3">
      <c r="A7046" s="8">
        <v>2040641</v>
      </c>
      <c r="B7046" s="11">
        <v>44643</v>
      </c>
      <c r="C7046" s="13" t="s">
        <v>8921</v>
      </c>
      <c r="D7046" s="13" t="s">
        <v>8922</v>
      </c>
      <c r="E7046" s="8">
        <v>20000</v>
      </c>
      <c r="F7046" s="13" t="s">
        <v>70</v>
      </c>
      <c r="G7046" s="14">
        <v>44685</v>
      </c>
      <c r="H7046" s="13" t="s">
        <v>35</v>
      </c>
    </row>
    <row r="7047" spans="1:8" ht="14.4" x14ac:dyDescent="0.3">
      <c r="A7047" s="8">
        <v>2040642</v>
      </c>
      <c r="B7047" s="11">
        <v>44643</v>
      </c>
      <c r="C7047" s="13" t="s">
        <v>8923</v>
      </c>
      <c r="D7047" s="13" t="s">
        <v>8924</v>
      </c>
      <c r="E7047" s="8">
        <v>20000</v>
      </c>
      <c r="F7047" s="13" t="s">
        <v>70</v>
      </c>
      <c r="G7047" s="14">
        <v>44685</v>
      </c>
      <c r="H7047" s="13" t="s">
        <v>35</v>
      </c>
    </row>
    <row r="7048" spans="1:8" ht="14.4" x14ac:dyDescent="0.3">
      <c r="A7048" s="8">
        <v>2040643</v>
      </c>
      <c r="B7048" s="11">
        <v>44643</v>
      </c>
      <c r="C7048" s="13" t="s">
        <v>8925</v>
      </c>
      <c r="D7048" s="13" t="s">
        <v>8926</v>
      </c>
      <c r="E7048" s="8">
        <v>10000</v>
      </c>
      <c r="F7048" s="13" t="s">
        <v>70</v>
      </c>
      <c r="G7048" s="14">
        <v>44683</v>
      </c>
      <c r="H7048" s="13" t="s">
        <v>35</v>
      </c>
    </row>
    <row r="7049" spans="1:8" ht="14.4" x14ac:dyDescent="0.3">
      <c r="A7049" s="8">
        <v>2040644</v>
      </c>
      <c r="B7049" s="11">
        <v>44643</v>
      </c>
      <c r="C7049" s="13" t="s">
        <v>8927</v>
      </c>
      <c r="D7049" s="13" t="s">
        <v>8928</v>
      </c>
      <c r="E7049" s="8">
        <v>10000</v>
      </c>
      <c r="F7049" s="13" t="s">
        <v>70</v>
      </c>
      <c r="G7049" s="14">
        <v>44683</v>
      </c>
      <c r="H7049" s="13" t="s">
        <v>35</v>
      </c>
    </row>
    <row r="7050" spans="1:8" ht="14.4" x14ac:dyDescent="0.3">
      <c r="A7050" s="8">
        <v>2040645</v>
      </c>
      <c r="B7050" s="11">
        <v>44643</v>
      </c>
      <c r="C7050" s="13" t="s">
        <v>8927</v>
      </c>
      <c r="D7050" s="13" t="s">
        <v>8929</v>
      </c>
      <c r="E7050" s="8">
        <v>10000</v>
      </c>
      <c r="F7050" s="13" t="s">
        <v>70</v>
      </c>
      <c r="G7050" s="14">
        <v>44683</v>
      </c>
      <c r="H7050" s="13" t="s">
        <v>35</v>
      </c>
    </row>
    <row r="7051" spans="1:8" ht="14.4" x14ac:dyDescent="0.3">
      <c r="A7051" s="8">
        <v>2040646</v>
      </c>
      <c r="B7051" s="11">
        <v>44643</v>
      </c>
      <c r="C7051" s="13" t="s">
        <v>8930</v>
      </c>
      <c r="D7051" s="13" t="s">
        <v>8931</v>
      </c>
      <c r="E7051" s="8">
        <v>20000</v>
      </c>
      <c r="F7051" s="13" t="s">
        <v>70</v>
      </c>
      <c r="G7051" s="14">
        <v>44697</v>
      </c>
      <c r="H7051" s="13" t="s">
        <v>35</v>
      </c>
    </row>
    <row r="7052" spans="1:8" ht="14.4" x14ac:dyDescent="0.3">
      <c r="A7052" s="8">
        <v>2040647</v>
      </c>
      <c r="B7052" s="11">
        <v>44643</v>
      </c>
      <c r="C7052" s="13" t="s">
        <v>8932</v>
      </c>
      <c r="D7052" s="13" t="s">
        <v>8933</v>
      </c>
      <c r="E7052" s="8">
        <v>10000</v>
      </c>
      <c r="F7052" s="13" t="s">
        <v>70</v>
      </c>
      <c r="G7052" s="14">
        <v>44680</v>
      </c>
      <c r="H7052" s="13" t="s">
        <v>35</v>
      </c>
    </row>
    <row r="7053" spans="1:8" ht="14.4" x14ac:dyDescent="0.3">
      <c r="A7053" s="8">
        <v>2040648</v>
      </c>
      <c r="B7053" s="11">
        <v>44643</v>
      </c>
      <c r="C7053" s="13" t="s">
        <v>8934</v>
      </c>
      <c r="D7053" s="13" t="s">
        <v>8935</v>
      </c>
      <c r="E7053" s="8">
        <v>9000</v>
      </c>
      <c r="F7053" s="13" t="s">
        <v>70</v>
      </c>
      <c r="G7053" s="14">
        <v>44680</v>
      </c>
      <c r="H7053" s="13" t="s">
        <v>35</v>
      </c>
    </row>
    <row r="7054" spans="1:8" ht="14.4" x14ac:dyDescent="0.3">
      <c r="A7054" s="8">
        <v>2040649</v>
      </c>
      <c r="B7054" s="11">
        <v>44643</v>
      </c>
      <c r="C7054" s="13" t="s">
        <v>2684</v>
      </c>
      <c r="D7054" s="13" t="s">
        <v>8936</v>
      </c>
      <c r="E7054" s="8">
        <v>10000</v>
      </c>
      <c r="F7054" s="13" t="s">
        <v>70</v>
      </c>
      <c r="G7054" s="14">
        <v>44692</v>
      </c>
      <c r="H7054" s="13" t="s">
        <v>35</v>
      </c>
    </row>
    <row r="7055" spans="1:8" ht="14.4" x14ac:dyDescent="0.3">
      <c r="A7055" s="8">
        <v>2040650</v>
      </c>
      <c r="B7055" s="11">
        <v>44643</v>
      </c>
      <c r="C7055" s="13" t="s">
        <v>1694</v>
      </c>
      <c r="D7055" s="13" t="s">
        <v>8937</v>
      </c>
      <c r="E7055" s="8">
        <v>50000</v>
      </c>
      <c r="F7055" s="13" t="s">
        <v>70</v>
      </c>
      <c r="G7055" s="14">
        <v>44643</v>
      </c>
      <c r="H7055" s="13" t="s">
        <v>35</v>
      </c>
    </row>
    <row r="7056" spans="1:8" ht="14.4" x14ac:dyDescent="0.3">
      <c r="A7056" s="8">
        <v>2040657</v>
      </c>
      <c r="B7056" s="11">
        <v>44643</v>
      </c>
      <c r="C7056" s="13" t="s">
        <v>8938</v>
      </c>
      <c r="D7056" s="13" t="s">
        <v>3650</v>
      </c>
      <c r="E7056" s="8">
        <v>942</v>
      </c>
      <c r="F7056" s="13" t="s">
        <v>70</v>
      </c>
      <c r="G7056" s="14">
        <v>44673</v>
      </c>
      <c r="H7056" s="13" t="s">
        <v>35</v>
      </c>
    </row>
    <row r="7057" spans="1:8" ht="14.4" x14ac:dyDescent="0.3">
      <c r="A7057" s="8">
        <v>2040658</v>
      </c>
      <c r="B7057" s="11">
        <v>44643</v>
      </c>
      <c r="C7057" s="13" t="s">
        <v>8939</v>
      </c>
      <c r="D7057" s="13" t="s">
        <v>8940</v>
      </c>
      <c r="E7057" s="8">
        <v>40000</v>
      </c>
      <c r="F7057" s="13" t="s">
        <v>70</v>
      </c>
      <c r="G7057" s="14">
        <v>44685</v>
      </c>
      <c r="H7057" s="13" t="s">
        <v>35</v>
      </c>
    </row>
    <row r="7058" spans="1:8" ht="14.4" x14ac:dyDescent="0.3">
      <c r="A7058" s="8">
        <v>2040659</v>
      </c>
      <c r="B7058" s="11">
        <v>44643</v>
      </c>
      <c r="C7058" s="13" t="s">
        <v>1193</v>
      </c>
      <c r="D7058" s="13" t="s">
        <v>8941</v>
      </c>
      <c r="E7058" s="8">
        <v>36000</v>
      </c>
      <c r="F7058" s="13" t="s">
        <v>70</v>
      </c>
      <c r="G7058" s="14">
        <v>44708</v>
      </c>
      <c r="H7058" s="13" t="s">
        <v>35</v>
      </c>
    </row>
    <row r="7059" spans="1:8" ht="14.4" x14ac:dyDescent="0.3">
      <c r="A7059" s="8">
        <v>2040660</v>
      </c>
      <c r="B7059" s="11">
        <v>44643</v>
      </c>
      <c r="C7059" s="13" t="s">
        <v>8942</v>
      </c>
      <c r="D7059" s="13" t="s">
        <v>8943</v>
      </c>
      <c r="E7059" s="8">
        <v>15000</v>
      </c>
      <c r="F7059" s="13" t="s">
        <v>70</v>
      </c>
      <c r="G7059" s="14">
        <v>44683</v>
      </c>
      <c r="H7059" s="13" t="s">
        <v>35</v>
      </c>
    </row>
    <row r="7060" spans="1:8" ht="14.4" x14ac:dyDescent="0.3">
      <c r="A7060" s="8">
        <v>2040664</v>
      </c>
      <c r="B7060" s="11">
        <v>44644</v>
      </c>
      <c r="C7060" s="13" t="s">
        <v>8944</v>
      </c>
      <c r="D7060" s="13" t="s">
        <v>8945</v>
      </c>
      <c r="E7060" s="8">
        <v>11000</v>
      </c>
      <c r="F7060" s="13" t="s">
        <v>70</v>
      </c>
      <c r="G7060" s="14">
        <v>44680</v>
      </c>
      <c r="H7060" s="13" t="s">
        <v>35</v>
      </c>
    </row>
    <row r="7061" spans="1:8" ht="14.4" x14ac:dyDescent="0.3">
      <c r="A7061" s="8">
        <v>2040665</v>
      </c>
      <c r="B7061" s="11">
        <v>44644</v>
      </c>
      <c r="C7061" s="13" t="s">
        <v>8946</v>
      </c>
      <c r="D7061" s="13" t="s">
        <v>8947</v>
      </c>
      <c r="E7061" s="8">
        <v>40000</v>
      </c>
      <c r="F7061" s="13" t="s">
        <v>70</v>
      </c>
      <c r="G7061" s="14">
        <v>44685</v>
      </c>
      <c r="H7061" s="13" t="s">
        <v>35</v>
      </c>
    </row>
    <row r="7062" spans="1:8" ht="14.4" x14ac:dyDescent="0.3">
      <c r="A7062" s="8">
        <v>2040666</v>
      </c>
      <c r="B7062" s="11">
        <v>44644</v>
      </c>
      <c r="C7062" s="13" t="s">
        <v>8948</v>
      </c>
      <c r="D7062" s="13" t="s">
        <v>8949</v>
      </c>
      <c r="E7062" s="8">
        <v>7000</v>
      </c>
      <c r="F7062" s="13" t="s">
        <v>70</v>
      </c>
      <c r="G7062" s="14">
        <v>44798</v>
      </c>
      <c r="H7062" s="13" t="s">
        <v>35</v>
      </c>
    </row>
    <row r="7063" spans="1:8" ht="14.4" x14ac:dyDescent="0.3">
      <c r="A7063" s="8">
        <v>2040667</v>
      </c>
      <c r="B7063" s="11">
        <v>44644</v>
      </c>
      <c r="C7063" s="13" t="s">
        <v>8950</v>
      </c>
      <c r="D7063" s="13" t="s">
        <v>8951</v>
      </c>
      <c r="E7063" s="8">
        <v>30000</v>
      </c>
      <c r="F7063" s="13" t="s">
        <v>70</v>
      </c>
      <c r="G7063" s="14">
        <v>44680</v>
      </c>
      <c r="H7063" s="13" t="s">
        <v>35</v>
      </c>
    </row>
    <row r="7064" spans="1:8" ht="14.4" x14ac:dyDescent="0.3">
      <c r="A7064" s="8">
        <v>2040668</v>
      </c>
      <c r="B7064" s="11">
        <v>44644</v>
      </c>
      <c r="C7064" s="13" t="s">
        <v>1559</v>
      </c>
      <c r="D7064" s="13" t="s">
        <v>1560</v>
      </c>
      <c r="E7064" s="8">
        <v>10000</v>
      </c>
      <c r="F7064" s="13" t="s">
        <v>70</v>
      </c>
      <c r="G7064" s="14">
        <v>44650</v>
      </c>
      <c r="H7064" s="13" t="s">
        <v>35</v>
      </c>
    </row>
    <row r="7065" spans="1:8" ht="14.4" x14ac:dyDescent="0.3">
      <c r="A7065" s="8">
        <v>2040669</v>
      </c>
      <c r="B7065" s="11">
        <v>44644</v>
      </c>
      <c r="C7065" s="13" t="s">
        <v>547</v>
      </c>
      <c r="D7065" s="13" t="s">
        <v>1561</v>
      </c>
      <c r="E7065" s="8">
        <v>3000</v>
      </c>
      <c r="F7065" s="13" t="s">
        <v>70</v>
      </c>
      <c r="G7065" s="14">
        <v>44650</v>
      </c>
      <c r="H7065" s="13" t="s">
        <v>35</v>
      </c>
    </row>
    <row r="7066" spans="1:8" ht="14.4" x14ac:dyDescent="0.3">
      <c r="A7066" s="8">
        <v>2040670</v>
      </c>
      <c r="B7066" s="11">
        <v>44644</v>
      </c>
      <c r="C7066" s="13" t="s">
        <v>548</v>
      </c>
      <c r="D7066" s="13" t="s">
        <v>1561</v>
      </c>
      <c r="E7066" s="8">
        <v>3000</v>
      </c>
      <c r="F7066" s="13" t="s">
        <v>70</v>
      </c>
      <c r="G7066" s="14">
        <v>44650</v>
      </c>
      <c r="H7066" s="13" t="s">
        <v>35</v>
      </c>
    </row>
    <row r="7067" spans="1:8" ht="14.4" x14ac:dyDescent="0.3">
      <c r="A7067" s="8">
        <v>2040671</v>
      </c>
      <c r="B7067" s="11">
        <v>44644</v>
      </c>
      <c r="C7067" s="13" t="s">
        <v>549</v>
      </c>
      <c r="D7067" s="13" t="s">
        <v>546</v>
      </c>
      <c r="E7067" s="8">
        <v>3000</v>
      </c>
      <c r="F7067" s="13" t="s">
        <v>70</v>
      </c>
      <c r="G7067" s="14">
        <v>44650</v>
      </c>
      <c r="H7067" s="13" t="s">
        <v>35</v>
      </c>
    </row>
    <row r="7068" spans="1:8" ht="14.4" x14ac:dyDescent="0.3">
      <c r="A7068" s="8">
        <v>2040672</v>
      </c>
      <c r="B7068" s="11">
        <v>44644</v>
      </c>
      <c r="C7068" s="13" t="s">
        <v>550</v>
      </c>
      <c r="D7068" s="13" t="s">
        <v>1561</v>
      </c>
      <c r="E7068" s="8">
        <v>3000</v>
      </c>
      <c r="F7068" s="13" t="s">
        <v>70</v>
      </c>
      <c r="G7068" s="14">
        <v>44650</v>
      </c>
      <c r="H7068" s="13" t="s">
        <v>35</v>
      </c>
    </row>
    <row r="7069" spans="1:8" ht="14.4" x14ac:dyDescent="0.3">
      <c r="A7069" s="8">
        <v>2040673</v>
      </c>
      <c r="B7069" s="11">
        <v>44644</v>
      </c>
      <c r="C7069" s="13" t="s">
        <v>1563</v>
      </c>
      <c r="D7069" s="13" t="s">
        <v>1561</v>
      </c>
      <c r="E7069" s="8">
        <v>3000</v>
      </c>
      <c r="F7069" s="13" t="s">
        <v>70</v>
      </c>
      <c r="G7069" s="14">
        <v>44650</v>
      </c>
      <c r="H7069" s="13" t="s">
        <v>35</v>
      </c>
    </row>
    <row r="7070" spans="1:8" ht="14.4" x14ac:dyDescent="0.3">
      <c r="A7070" s="8">
        <v>2040674</v>
      </c>
      <c r="B7070" s="11">
        <v>44644</v>
      </c>
      <c r="C7070" s="13" t="s">
        <v>553</v>
      </c>
      <c r="D7070" s="13" t="s">
        <v>1561</v>
      </c>
      <c r="E7070" s="8">
        <v>3000</v>
      </c>
      <c r="F7070" s="13" t="s">
        <v>70</v>
      </c>
      <c r="G7070" s="14">
        <v>44650</v>
      </c>
      <c r="H7070" s="13" t="s">
        <v>35</v>
      </c>
    </row>
    <row r="7071" spans="1:8" ht="14.4" x14ac:dyDescent="0.3">
      <c r="A7071" s="8">
        <v>2040675</v>
      </c>
      <c r="B7071" s="11">
        <v>44644</v>
      </c>
      <c r="C7071" s="13" t="s">
        <v>554</v>
      </c>
      <c r="D7071" s="13" t="s">
        <v>1561</v>
      </c>
      <c r="E7071" s="8">
        <v>3000</v>
      </c>
      <c r="F7071" s="13" t="s">
        <v>70</v>
      </c>
      <c r="G7071" s="14">
        <v>44650</v>
      </c>
      <c r="H7071" s="13" t="s">
        <v>35</v>
      </c>
    </row>
    <row r="7072" spans="1:8" ht="14.4" x14ac:dyDescent="0.3">
      <c r="A7072" s="8">
        <v>2040676</v>
      </c>
      <c r="B7072" s="11">
        <v>44644</v>
      </c>
      <c r="C7072" s="13" t="s">
        <v>555</v>
      </c>
      <c r="D7072" s="13" t="s">
        <v>1561</v>
      </c>
      <c r="E7072" s="8">
        <v>3000</v>
      </c>
      <c r="F7072" s="13" t="s">
        <v>70</v>
      </c>
      <c r="G7072" s="14">
        <v>44650</v>
      </c>
      <c r="H7072" s="13" t="s">
        <v>35</v>
      </c>
    </row>
    <row r="7073" spans="1:8" ht="14.4" x14ac:dyDescent="0.3">
      <c r="A7073" s="8">
        <v>2040677</v>
      </c>
      <c r="B7073" s="11">
        <v>44644</v>
      </c>
      <c r="C7073" s="13" t="s">
        <v>557</v>
      </c>
      <c r="D7073" s="13" t="s">
        <v>1561</v>
      </c>
      <c r="E7073" s="8">
        <v>3000</v>
      </c>
      <c r="F7073" s="13" t="s">
        <v>70</v>
      </c>
      <c r="G7073" s="14">
        <v>44650</v>
      </c>
      <c r="H7073" s="13" t="s">
        <v>35</v>
      </c>
    </row>
    <row r="7074" spans="1:8" ht="14.4" x14ac:dyDescent="0.3">
      <c r="A7074" s="8">
        <v>2040678</v>
      </c>
      <c r="B7074" s="11">
        <v>44644</v>
      </c>
      <c r="C7074" s="13" t="s">
        <v>558</v>
      </c>
      <c r="D7074" s="13" t="s">
        <v>1561</v>
      </c>
      <c r="E7074" s="8">
        <v>3000</v>
      </c>
      <c r="F7074" s="13" t="s">
        <v>70</v>
      </c>
      <c r="G7074" s="14">
        <v>44650</v>
      </c>
      <c r="H7074" s="13" t="s">
        <v>35</v>
      </c>
    </row>
    <row r="7075" spans="1:8" ht="14.4" x14ac:dyDescent="0.3">
      <c r="A7075" s="8">
        <v>2040679</v>
      </c>
      <c r="B7075" s="11">
        <v>44644</v>
      </c>
      <c r="C7075" s="13" t="s">
        <v>559</v>
      </c>
      <c r="D7075" s="13" t="s">
        <v>1561</v>
      </c>
      <c r="E7075" s="8">
        <v>3000</v>
      </c>
      <c r="F7075" s="13" t="s">
        <v>70</v>
      </c>
      <c r="G7075" s="14">
        <v>44650</v>
      </c>
      <c r="H7075" s="13" t="s">
        <v>35</v>
      </c>
    </row>
    <row r="7076" spans="1:8" ht="14.4" x14ac:dyDescent="0.3">
      <c r="A7076" s="8">
        <v>2040680</v>
      </c>
      <c r="B7076" s="11">
        <v>44644</v>
      </c>
      <c r="C7076" s="13" t="s">
        <v>556</v>
      </c>
      <c r="D7076" s="13" t="s">
        <v>1561</v>
      </c>
      <c r="E7076" s="8">
        <v>3000</v>
      </c>
      <c r="F7076" s="13" t="s">
        <v>70</v>
      </c>
      <c r="G7076" s="14">
        <v>44650</v>
      </c>
      <c r="H7076" s="13" t="s">
        <v>35</v>
      </c>
    </row>
    <row r="7077" spans="1:8" ht="14.4" x14ac:dyDescent="0.3">
      <c r="A7077" s="8">
        <v>2040681</v>
      </c>
      <c r="B7077" s="11">
        <v>44644</v>
      </c>
      <c r="C7077" s="13" t="s">
        <v>1569</v>
      </c>
      <c r="D7077" s="13" t="s">
        <v>8952</v>
      </c>
      <c r="E7077" s="8">
        <v>26036.1</v>
      </c>
      <c r="F7077" s="13" t="s">
        <v>70</v>
      </c>
      <c r="G7077" s="14">
        <v>44658</v>
      </c>
      <c r="H7077" s="13" t="s">
        <v>35</v>
      </c>
    </row>
    <row r="7078" spans="1:8" ht="14.4" x14ac:dyDescent="0.3">
      <c r="A7078" s="8">
        <v>2040682</v>
      </c>
      <c r="B7078" s="11">
        <v>44644</v>
      </c>
      <c r="C7078" s="13" t="s">
        <v>8953</v>
      </c>
      <c r="D7078" s="13" t="s">
        <v>8954</v>
      </c>
      <c r="E7078" s="8">
        <v>10000</v>
      </c>
      <c r="F7078" s="13" t="s">
        <v>70</v>
      </c>
      <c r="G7078" s="14">
        <v>44645</v>
      </c>
      <c r="H7078" s="13" t="s">
        <v>35</v>
      </c>
    </row>
    <row r="7079" spans="1:8" ht="14.4" x14ac:dyDescent="0.3">
      <c r="A7079" s="8">
        <v>2040683</v>
      </c>
      <c r="B7079" s="11">
        <v>44644</v>
      </c>
      <c r="C7079" s="13" t="s">
        <v>669</v>
      </c>
      <c r="D7079" s="13" t="s">
        <v>8955</v>
      </c>
      <c r="E7079" s="8">
        <v>151000</v>
      </c>
      <c r="F7079" s="13" t="s">
        <v>70</v>
      </c>
      <c r="G7079" s="14">
        <v>44708</v>
      </c>
      <c r="H7079" s="13" t="s">
        <v>35</v>
      </c>
    </row>
    <row r="7080" spans="1:8" ht="14.4" x14ac:dyDescent="0.3">
      <c r="A7080" s="8">
        <v>2040684</v>
      </c>
      <c r="B7080" s="11">
        <v>44644</v>
      </c>
      <c r="C7080" s="13" t="s">
        <v>506</v>
      </c>
      <c r="D7080" s="13" t="s">
        <v>8956</v>
      </c>
      <c r="E7080" s="8">
        <v>72946.820000000007</v>
      </c>
      <c r="F7080" s="13" t="s">
        <v>70</v>
      </c>
      <c r="G7080" s="14">
        <v>44708</v>
      </c>
      <c r="H7080" s="13" t="s">
        <v>35</v>
      </c>
    </row>
    <row r="7081" spans="1:8" ht="14.4" x14ac:dyDescent="0.3">
      <c r="A7081" s="8">
        <v>2040685</v>
      </c>
      <c r="B7081" s="11">
        <v>44644</v>
      </c>
      <c r="C7081" s="13" t="s">
        <v>1286</v>
      </c>
      <c r="D7081" s="13" t="s">
        <v>8957</v>
      </c>
      <c r="E7081" s="8">
        <v>69532.009999999995</v>
      </c>
      <c r="F7081" s="13" t="s">
        <v>70</v>
      </c>
      <c r="G7081" s="14">
        <v>44648</v>
      </c>
      <c r="H7081" s="13" t="s">
        <v>35</v>
      </c>
    </row>
    <row r="7082" spans="1:8" ht="14.4" x14ac:dyDescent="0.3">
      <c r="A7082" s="8">
        <v>2040686</v>
      </c>
      <c r="B7082" s="11">
        <v>44644</v>
      </c>
      <c r="C7082" s="13" t="s">
        <v>1286</v>
      </c>
      <c r="D7082" s="13" t="s">
        <v>8958</v>
      </c>
      <c r="E7082" s="8">
        <v>10689.03</v>
      </c>
      <c r="F7082" s="13" t="s">
        <v>70</v>
      </c>
      <c r="G7082" s="14">
        <v>44648</v>
      </c>
      <c r="H7082" s="13" t="s">
        <v>35</v>
      </c>
    </row>
    <row r="7083" spans="1:8" ht="14.4" x14ac:dyDescent="0.3">
      <c r="A7083" s="8">
        <v>2040687</v>
      </c>
      <c r="B7083" s="11">
        <v>44644</v>
      </c>
      <c r="C7083" s="13" t="s">
        <v>1286</v>
      </c>
      <c r="D7083" s="13" t="s">
        <v>8959</v>
      </c>
      <c r="E7083" s="8">
        <v>6887.47</v>
      </c>
      <c r="F7083" s="13" t="s">
        <v>70</v>
      </c>
      <c r="G7083" s="14">
        <v>44648</v>
      </c>
      <c r="H7083" s="13" t="s">
        <v>35</v>
      </c>
    </row>
    <row r="7084" spans="1:8" ht="14.4" x14ac:dyDescent="0.3">
      <c r="A7084" s="8">
        <v>2040688</v>
      </c>
      <c r="B7084" s="11">
        <v>44644</v>
      </c>
      <c r="C7084" s="13" t="s">
        <v>1286</v>
      </c>
      <c r="D7084" s="13" t="s">
        <v>8960</v>
      </c>
      <c r="E7084" s="8">
        <v>3262.91</v>
      </c>
      <c r="F7084" s="13" t="s">
        <v>70</v>
      </c>
      <c r="G7084" s="14">
        <v>44648</v>
      </c>
      <c r="H7084" s="13" t="s">
        <v>35</v>
      </c>
    </row>
    <row r="7085" spans="1:8" ht="14.4" x14ac:dyDescent="0.3">
      <c r="A7085" s="8">
        <v>2040689</v>
      </c>
      <c r="B7085" s="11">
        <v>44644</v>
      </c>
      <c r="C7085" s="13" t="s">
        <v>180</v>
      </c>
      <c r="D7085" s="13" t="s">
        <v>8961</v>
      </c>
      <c r="E7085" s="8">
        <v>191982.23</v>
      </c>
      <c r="F7085" s="13" t="s">
        <v>70</v>
      </c>
      <c r="G7085" s="14">
        <v>44644</v>
      </c>
      <c r="H7085" s="13" t="s">
        <v>35</v>
      </c>
    </row>
    <row r="7086" spans="1:8" ht="14.4" x14ac:dyDescent="0.3">
      <c r="A7086" s="8">
        <v>2040690</v>
      </c>
      <c r="B7086" s="11">
        <v>44644</v>
      </c>
      <c r="C7086" s="13" t="s">
        <v>228</v>
      </c>
      <c r="D7086" s="13" t="s">
        <v>8962</v>
      </c>
      <c r="E7086" s="8">
        <v>34118</v>
      </c>
      <c r="F7086" s="13" t="s">
        <v>70</v>
      </c>
      <c r="G7086" s="14">
        <v>44651</v>
      </c>
      <c r="H7086" s="13" t="s">
        <v>35</v>
      </c>
    </row>
    <row r="7087" spans="1:8" ht="14.4" x14ac:dyDescent="0.3">
      <c r="A7087" s="8">
        <v>2040691</v>
      </c>
      <c r="B7087" s="11">
        <v>44644</v>
      </c>
      <c r="C7087" s="13" t="s">
        <v>1286</v>
      </c>
      <c r="D7087" s="13" t="s">
        <v>8963</v>
      </c>
      <c r="E7087" s="8">
        <v>169480.55</v>
      </c>
      <c r="F7087" s="13" t="s">
        <v>70</v>
      </c>
      <c r="G7087" s="14">
        <v>44648</v>
      </c>
      <c r="H7087" s="13" t="s">
        <v>35</v>
      </c>
    </row>
    <row r="7088" spans="1:8" ht="14.4" x14ac:dyDescent="0.3">
      <c r="A7088" s="8">
        <v>2040692</v>
      </c>
      <c r="B7088" s="11">
        <v>44644</v>
      </c>
      <c r="C7088" s="13" t="s">
        <v>152</v>
      </c>
      <c r="D7088" s="13" t="s">
        <v>8964</v>
      </c>
      <c r="E7088" s="8">
        <v>65892.2</v>
      </c>
      <c r="F7088" s="13" t="s">
        <v>70</v>
      </c>
      <c r="G7088" s="14">
        <v>44652</v>
      </c>
      <c r="H7088" s="13" t="s">
        <v>35</v>
      </c>
    </row>
    <row r="7089" spans="1:8" ht="14.4" x14ac:dyDescent="0.3">
      <c r="A7089" s="8">
        <v>2040693</v>
      </c>
      <c r="B7089" s="11">
        <v>44644</v>
      </c>
      <c r="C7089" s="13" t="s">
        <v>127</v>
      </c>
      <c r="D7089" s="13" t="s">
        <v>8965</v>
      </c>
      <c r="E7089" s="8">
        <v>166543.82</v>
      </c>
      <c r="F7089" s="13" t="s">
        <v>70</v>
      </c>
      <c r="G7089" s="14">
        <v>44648</v>
      </c>
      <c r="H7089" s="13" t="s">
        <v>35</v>
      </c>
    </row>
    <row r="7090" spans="1:8" ht="14.4" x14ac:dyDescent="0.3">
      <c r="A7090" s="8">
        <v>2040694</v>
      </c>
      <c r="B7090" s="11">
        <v>44644</v>
      </c>
      <c r="C7090" s="13" t="s">
        <v>405</v>
      </c>
      <c r="D7090" s="13" t="s">
        <v>8966</v>
      </c>
      <c r="E7090" s="8">
        <v>12317.38</v>
      </c>
      <c r="F7090" s="13" t="s">
        <v>70</v>
      </c>
      <c r="G7090" s="14">
        <v>44648</v>
      </c>
      <c r="H7090" s="13" t="s">
        <v>35</v>
      </c>
    </row>
    <row r="7091" spans="1:8" ht="14.4" x14ac:dyDescent="0.3">
      <c r="A7091" s="8">
        <v>2040695</v>
      </c>
      <c r="B7091" s="11">
        <v>44644</v>
      </c>
      <c r="C7091" s="13" t="s">
        <v>2086</v>
      </c>
      <c r="D7091" s="13" t="s">
        <v>8967</v>
      </c>
      <c r="E7091" s="8">
        <v>6704.47</v>
      </c>
      <c r="F7091" s="13" t="s">
        <v>70</v>
      </c>
      <c r="G7091" s="14">
        <v>44648</v>
      </c>
      <c r="H7091" s="13" t="s">
        <v>35</v>
      </c>
    </row>
    <row r="7092" spans="1:8" ht="14.4" x14ac:dyDescent="0.3">
      <c r="A7092" s="8">
        <v>2040696</v>
      </c>
      <c r="B7092" s="11">
        <v>44644</v>
      </c>
      <c r="C7092" s="13" t="s">
        <v>405</v>
      </c>
      <c r="D7092" s="13" t="s">
        <v>8968</v>
      </c>
      <c r="E7092" s="8">
        <v>18775.990000000002</v>
      </c>
      <c r="F7092" s="13" t="s">
        <v>70</v>
      </c>
      <c r="G7092" s="14">
        <v>44648</v>
      </c>
      <c r="H7092" s="13" t="s">
        <v>35</v>
      </c>
    </row>
    <row r="7093" spans="1:8" ht="14.4" x14ac:dyDescent="0.3">
      <c r="A7093" s="8">
        <v>2040697</v>
      </c>
      <c r="B7093" s="11">
        <v>44644</v>
      </c>
      <c r="C7093" s="13" t="s">
        <v>405</v>
      </c>
      <c r="D7093" s="13" t="s">
        <v>8969</v>
      </c>
      <c r="E7093" s="8">
        <v>38009.99</v>
      </c>
      <c r="F7093" s="13" t="s">
        <v>70</v>
      </c>
      <c r="G7093" s="14">
        <v>44648</v>
      </c>
      <c r="H7093" s="13" t="s">
        <v>35</v>
      </c>
    </row>
    <row r="7094" spans="1:8" ht="14.4" x14ac:dyDescent="0.3">
      <c r="A7094" s="8">
        <v>2040698</v>
      </c>
      <c r="B7094" s="11">
        <v>44644</v>
      </c>
      <c r="C7094" s="13" t="s">
        <v>405</v>
      </c>
      <c r="D7094" s="13" t="s">
        <v>8970</v>
      </c>
      <c r="E7094" s="8">
        <v>56631.3</v>
      </c>
      <c r="F7094" s="13" t="s">
        <v>70</v>
      </c>
      <c r="G7094" s="14">
        <v>44648</v>
      </c>
      <c r="H7094" s="13" t="s">
        <v>35</v>
      </c>
    </row>
    <row r="7095" spans="1:8" ht="14.4" x14ac:dyDescent="0.3">
      <c r="A7095" s="8">
        <v>2040699</v>
      </c>
      <c r="B7095" s="11">
        <v>44644</v>
      </c>
      <c r="C7095" s="13" t="s">
        <v>405</v>
      </c>
      <c r="D7095" s="13" t="s">
        <v>8971</v>
      </c>
      <c r="E7095" s="8">
        <v>5873.77</v>
      </c>
      <c r="F7095" s="13" t="s">
        <v>70</v>
      </c>
      <c r="G7095" s="14">
        <v>44648</v>
      </c>
      <c r="H7095" s="13" t="s">
        <v>35</v>
      </c>
    </row>
    <row r="7096" spans="1:8" ht="14.4" x14ac:dyDescent="0.3">
      <c r="A7096" s="8">
        <v>2040700</v>
      </c>
      <c r="B7096" s="11">
        <v>44644</v>
      </c>
      <c r="C7096" s="13" t="s">
        <v>8972</v>
      </c>
      <c r="D7096" s="13" t="s">
        <v>8973</v>
      </c>
      <c r="E7096" s="8">
        <v>65550</v>
      </c>
      <c r="F7096" s="13" t="s">
        <v>70</v>
      </c>
      <c r="G7096" s="14">
        <v>44648</v>
      </c>
      <c r="H7096" s="13" t="s">
        <v>35</v>
      </c>
    </row>
    <row r="7097" spans="1:8" ht="14.4" x14ac:dyDescent="0.3">
      <c r="A7097" s="8">
        <v>2040701</v>
      </c>
      <c r="B7097" s="11">
        <v>44644</v>
      </c>
      <c r="C7097" s="13" t="s">
        <v>8042</v>
      </c>
      <c r="D7097" s="13" t="s">
        <v>8974</v>
      </c>
      <c r="E7097" s="8">
        <v>502152</v>
      </c>
      <c r="F7097" s="13" t="s">
        <v>70</v>
      </c>
      <c r="G7097" s="14">
        <v>44645</v>
      </c>
      <c r="H7097" s="13" t="s">
        <v>35</v>
      </c>
    </row>
    <row r="7098" spans="1:8" ht="14.4" x14ac:dyDescent="0.3">
      <c r="A7098" s="8">
        <v>2040702</v>
      </c>
      <c r="B7098" s="11">
        <v>44644</v>
      </c>
      <c r="C7098" s="13" t="s">
        <v>85</v>
      </c>
      <c r="D7098" s="13" t="s">
        <v>8975</v>
      </c>
      <c r="E7098" s="8">
        <v>3000</v>
      </c>
      <c r="F7098" s="13" t="s">
        <v>70</v>
      </c>
      <c r="G7098" s="14">
        <v>44650</v>
      </c>
      <c r="H7098" s="13" t="s">
        <v>35</v>
      </c>
    </row>
    <row r="7099" spans="1:8" ht="14.4" x14ac:dyDescent="0.3">
      <c r="A7099" s="8">
        <v>2040703</v>
      </c>
      <c r="B7099" s="11">
        <v>44644</v>
      </c>
      <c r="C7099" s="13" t="s">
        <v>176</v>
      </c>
      <c r="D7099" s="13" t="s">
        <v>8976</v>
      </c>
      <c r="E7099" s="8">
        <v>114500</v>
      </c>
      <c r="F7099" s="13" t="s">
        <v>70</v>
      </c>
      <c r="G7099" s="14">
        <v>44707</v>
      </c>
      <c r="H7099" s="13" t="s">
        <v>35</v>
      </c>
    </row>
    <row r="7100" spans="1:8" ht="14.4" x14ac:dyDescent="0.3">
      <c r="A7100" s="8">
        <v>2040704</v>
      </c>
      <c r="B7100" s="11">
        <v>44644</v>
      </c>
      <c r="C7100" s="13" t="s">
        <v>265</v>
      </c>
      <c r="D7100" s="13" t="s">
        <v>8977</v>
      </c>
      <c r="E7100" s="8">
        <v>44220</v>
      </c>
      <c r="F7100" s="13" t="s">
        <v>70</v>
      </c>
      <c r="G7100" s="14">
        <v>44648</v>
      </c>
      <c r="H7100" s="13" t="s">
        <v>35</v>
      </c>
    </row>
    <row r="7101" spans="1:8" ht="14.4" x14ac:dyDescent="0.3">
      <c r="A7101" s="8">
        <v>2040705</v>
      </c>
      <c r="B7101" s="11">
        <v>44644</v>
      </c>
      <c r="C7101" s="13" t="s">
        <v>153</v>
      </c>
      <c r="D7101" s="13" t="s">
        <v>8978</v>
      </c>
      <c r="E7101" s="8">
        <v>71227.5</v>
      </c>
      <c r="F7101" s="13" t="s">
        <v>70</v>
      </c>
      <c r="G7101" s="14">
        <v>44648</v>
      </c>
      <c r="H7101" s="13" t="s">
        <v>35</v>
      </c>
    </row>
    <row r="7102" spans="1:8" ht="14.4" x14ac:dyDescent="0.3">
      <c r="A7102" s="8">
        <v>2040706</v>
      </c>
      <c r="B7102" s="11">
        <v>44644</v>
      </c>
      <c r="C7102" s="13" t="s">
        <v>3350</v>
      </c>
      <c r="D7102" s="13" t="s">
        <v>8979</v>
      </c>
      <c r="E7102" s="8">
        <v>2343.75</v>
      </c>
      <c r="F7102" s="13" t="s">
        <v>70</v>
      </c>
      <c r="G7102" s="14">
        <v>44701</v>
      </c>
      <c r="H7102" s="13" t="s">
        <v>35</v>
      </c>
    </row>
    <row r="7103" spans="1:8" ht="14.4" x14ac:dyDescent="0.3">
      <c r="A7103" s="8">
        <v>2040707</v>
      </c>
      <c r="B7103" s="11">
        <v>44644</v>
      </c>
      <c r="C7103" s="13" t="s">
        <v>395</v>
      </c>
      <c r="D7103" s="13" t="s">
        <v>8980</v>
      </c>
      <c r="E7103" s="8">
        <v>36579</v>
      </c>
      <c r="F7103" s="13" t="s">
        <v>70</v>
      </c>
      <c r="G7103" s="14">
        <v>44645</v>
      </c>
      <c r="H7103" s="13" t="s">
        <v>35</v>
      </c>
    </row>
    <row r="7104" spans="1:8" ht="14.4" x14ac:dyDescent="0.3">
      <c r="A7104" s="8">
        <v>2040708</v>
      </c>
      <c r="B7104" s="11">
        <v>44644</v>
      </c>
      <c r="C7104" s="13" t="s">
        <v>265</v>
      </c>
      <c r="D7104" s="13" t="s">
        <v>8981</v>
      </c>
      <c r="E7104" s="8">
        <v>162866.95000000001</v>
      </c>
      <c r="F7104" s="13" t="s">
        <v>70</v>
      </c>
      <c r="G7104" s="14">
        <v>44648</v>
      </c>
      <c r="H7104" s="13" t="s">
        <v>35</v>
      </c>
    </row>
    <row r="7105" spans="1:8" ht="14.4" x14ac:dyDescent="0.3">
      <c r="A7105" s="8">
        <v>2040709</v>
      </c>
      <c r="B7105" s="11">
        <v>44644</v>
      </c>
      <c r="C7105" s="13" t="s">
        <v>893</v>
      </c>
      <c r="D7105" s="13" t="s">
        <v>8982</v>
      </c>
      <c r="E7105" s="8">
        <v>202000</v>
      </c>
      <c r="F7105" s="13" t="s">
        <v>70</v>
      </c>
      <c r="G7105" s="14">
        <v>44708</v>
      </c>
      <c r="H7105" s="13" t="s">
        <v>35</v>
      </c>
    </row>
    <row r="7106" spans="1:8" ht="14.4" x14ac:dyDescent="0.3">
      <c r="A7106" s="8">
        <v>2040710</v>
      </c>
      <c r="B7106" s="11">
        <v>44644</v>
      </c>
      <c r="C7106" s="13" t="s">
        <v>7512</v>
      </c>
      <c r="D7106" s="13" t="s">
        <v>8983</v>
      </c>
      <c r="E7106" s="8">
        <v>30000</v>
      </c>
      <c r="F7106" s="13" t="s">
        <v>70</v>
      </c>
      <c r="G7106" s="14">
        <v>44677</v>
      </c>
      <c r="H7106" s="13" t="s">
        <v>35</v>
      </c>
    </row>
    <row r="7107" spans="1:8" ht="14.4" x14ac:dyDescent="0.3">
      <c r="A7107" s="8">
        <v>2040711</v>
      </c>
      <c r="B7107" s="11">
        <v>44644</v>
      </c>
      <c r="C7107" s="13" t="s">
        <v>8984</v>
      </c>
      <c r="D7107" s="13" t="s">
        <v>8985</v>
      </c>
      <c r="E7107" s="8">
        <v>6000</v>
      </c>
      <c r="F7107" s="13" t="s">
        <v>70</v>
      </c>
      <c r="G7107" s="14">
        <v>44683</v>
      </c>
      <c r="H7107" s="13" t="s">
        <v>35</v>
      </c>
    </row>
    <row r="7108" spans="1:8" ht="14.4" x14ac:dyDescent="0.3">
      <c r="A7108" s="8">
        <v>2040712</v>
      </c>
      <c r="B7108" s="11">
        <v>44644</v>
      </c>
      <c r="C7108" s="13" t="s">
        <v>8986</v>
      </c>
      <c r="D7108" s="13" t="s">
        <v>8987</v>
      </c>
      <c r="E7108" s="8">
        <v>6000</v>
      </c>
      <c r="F7108" s="13" t="s">
        <v>70</v>
      </c>
      <c r="G7108" s="14">
        <v>44685</v>
      </c>
      <c r="H7108" s="13" t="s">
        <v>35</v>
      </c>
    </row>
    <row r="7109" spans="1:8" ht="14.4" x14ac:dyDescent="0.3">
      <c r="A7109" s="8">
        <v>2040713</v>
      </c>
      <c r="B7109" s="11">
        <v>44644</v>
      </c>
      <c r="C7109" s="13" t="s">
        <v>8988</v>
      </c>
      <c r="D7109" s="13" t="s">
        <v>8989</v>
      </c>
      <c r="E7109" s="8">
        <v>6000</v>
      </c>
      <c r="F7109" s="13" t="s">
        <v>70</v>
      </c>
      <c r="G7109" s="14">
        <v>44691</v>
      </c>
      <c r="H7109" s="13" t="s">
        <v>35</v>
      </c>
    </row>
    <row r="7110" spans="1:8" ht="14.4" x14ac:dyDescent="0.3">
      <c r="A7110" s="8">
        <v>2040714</v>
      </c>
      <c r="B7110" s="11">
        <v>44644</v>
      </c>
      <c r="C7110" s="13" t="s">
        <v>1569</v>
      </c>
      <c r="D7110" s="13" t="s">
        <v>8990</v>
      </c>
      <c r="E7110" s="8">
        <v>194000</v>
      </c>
      <c r="F7110" s="13" t="s">
        <v>70</v>
      </c>
      <c r="G7110" s="14">
        <v>44659</v>
      </c>
      <c r="H7110" s="13" t="s">
        <v>35</v>
      </c>
    </row>
    <row r="7111" spans="1:8" ht="14.4" x14ac:dyDescent="0.3">
      <c r="A7111" s="8">
        <v>2040715</v>
      </c>
      <c r="B7111" s="11">
        <v>44644</v>
      </c>
      <c r="C7111" s="13" t="s">
        <v>159</v>
      </c>
      <c r="D7111" s="13" t="s">
        <v>8991</v>
      </c>
      <c r="E7111" s="8">
        <v>394600</v>
      </c>
      <c r="F7111" s="13" t="s">
        <v>70</v>
      </c>
      <c r="G7111" s="14">
        <v>44645</v>
      </c>
      <c r="H7111" s="13" t="s">
        <v>35</v>
      </c>
    </row>
    <row r="7112" spans="1:8" ht="14.4" x14ac:dyDescent="0.3">
      <c r="A7112" s="8">
        <v>2040716</v>
      </c>
      <c r="B7112" s="11">
        <v>44644</v>
      </c>
      <c r="C7112" s="13" t="s">
        <v>275</v>
      </c>
      <c r="D7112" s="13" t="s">
        <v>8992</v>
      </c>
      <c r="E7112" s="8">
        <v>253113.62</v>
      </c>
      <c r="F7112" s="13" t="s">
        <v>70</v>
      </c>
      <c r="G7112" s="14">
        <v>44648</v>
      </c>
      <c r="H7112" s="13" t="s">
        <v>35</v>
      </c>
    </row>
    <row r="7113" spans="1:8" ht="14.4" x14ac:dyDescent="0.3">
      <c r="A7113" s="8">
        <v>2040717</v>
      </c>
      <c r="B7113" s="11">
        <v>44644</v>
      </c>
      <c r="C7113" s="13" t="s">
        <v>8993</v>
      </c>
      <c r="D7113" s="13" t="s">
        <v>4932</v>
      </c>
      <c r="E7113" s="8">
        <v>1083.8699999999999</v>
      </c>
      <c r="F7113" s="13" t="s">
        <v>70</v>
      </c>
      <c r="G7113" s="14">
        <v>44648</v>
      </c>
      <c r="H7113" s="13" t="s">
        <v>35</v>
      </c>
    </row>
    <row r="7114" spans="1:8" ht="14.4" x14ac:dyDescent="0.3">
      <c r="A7114" s="8">
        <v>2040718</v>
      </c>
      <c r="B7114" s="11">
        <v>44644</v>
      </c>
      <c r="C7114" s="13" t="s">
        <v>8994</v>
      </c>
      <c r="D7114" s="13" t="s">
        <v>8995</v>
      </c>
      <c r="E7114" s="8">
        <v>396.64</v>
      </c>
      <c r="F7114" s="13" t="s">
        <v>70</v>
      </c>
      <c r="G7114" s="14">
        <v>44648</v>
      </c>
      <c r="H7114" s="13" t="s">
        <v>35</v>
      </c>
    </row>
    <row r="7115" spans="1:8" ht="14.4" x14ac:dyDescent="0.3">
      <c r="A7115" s="8">
        <v>2040719</v>
      </c>
      <c r="B7115" s="11">
        <v>44644</v>
      </c>
      <c r="C7115" s="13" t="s">
        <v>8996</v>
      </c>
      <c r="D7115" s="13" t="s">
        <v>3451</v>
      </c>
      <c r="E7115" s="8">
        <v>1495.32</v>
      </c>
      <c r="F7115" s="13" t="s">
        <v>70</v>
      </c>
      <c r="G7115" s="14">
        <v>44650</v>
      </c>
      <c r="H7115" s="13" t="s">
        <v>35</v>
      </c>
    </row>
    <row r="7116" spans="1:8" ht="14.4" x14ac:dyDescent="0.3">
      <c r="A7116" s="8">
        <v>2040720</v>
      </c>
      <c r="B7116" s="11">
        <v>44644</v>
      </c>
      <c r="C7116" s="13" t="s">
        <v>152</v>
      </c>
      <c r="D7116" s="13" t="s">
        <v>8997</v>
      </c>
      <c r="E7116" s="8">
        <v>19915.3</v>
      </c>
      <c r="F7116" s="13" t="s">
        <v>70</v>
      </c>
      <c r="G7116" s="14">
        <v>44652</v>
      </c>
      <c r="H7116" s="13" t="s">
        <v>35</v>
      </c>
    </row>
    <row r="7117" spans="1:8" ht="14.4" x14ac:dyDescent="0.3">
      <c r="A7117" s="8">
        <v>2040721</v>
      </c>
      <c r="B7117" s="11">
        <v>44644</v>
      </c>
      <c r="C7117" s="13" t="s">
        <v>162</v>
      </c>
      <c r="D7117" s="13" t="s">
        <v>8998</v>
      </c>
      <c r="E7117" s="8">
        <v>3311.12</v>
      </c>
      <c r="F7117" s="13" t="s">
        <v>70</v>
      </c>
      <c r="G7117" s="14">
        <v>44650</v>
      </c>
      <c r="H7117" s="13" t="s">
        <v>35</v>
      </c>
    </row>
    <row r="7118" spans="1:8" ht="14.4" x14ac:dyDescent="0.3">
      <c r="A7118" s="8">
        <v>2040722</v>
      </c>
      <c r="B7118" s="11">
        <v>44644</v>
      </c>
      <c r="C7118" s="13" t="s">
        <v>988</v>
      </c>
      <c r="D7118" s="13" t="s">
        <v>8999</v>
      </c>
      <c r="E7118" s="8">
        <v>102900</v>
      </c>
      <c r="F7118" s="13" t="s">
        <v>70</v>
      </c>
      <c r="G7118" s="14">
        <v>44662</v>
      </c>
      <c r="H7118" s="13" t="s">
        <v>35</v>
      </c>
    </row>
    <row r="7119" spans="1:8" ht="14.4" x14ac:dyDescent="0.3">
      <c r="A7119" s="8">
        <v>2040723</v>
      </c>
      <c r="B7119" s="11">
        <v>44644</v>
      </c>
      <c r="C7119" s="13" t="s">
        <v>44</v>
      </c>
      <c r="D7119" s="13" t="s">
        <v>9000</v>
      </c>
      <c r="E7119" s="8">
        <v>12075</v>
      </c>
      <c r="F7119" s="13" t="s">
        <v>70</v>
      </c>
      <c r="G7119" s="14">
        <v>44648</v>
      </c>
      <c r="H7119" s="13" t="s">
        <v>35</v>
      </c>
    </row>
    <row r="7120" spans="1:8" ht="14.4" x14ac:dyDescent="0.3">
      <c r="A7120" s="8">
        <v>2040724</v>
      </c>
      <c r="B7120" s="11">
        <v>44644</v>
      </c>
      <c r="C7120" s="13" t="s">
        <v>988</v>
      </c>
      <c r="D7120" s="13" t="s">
        <v>9001</v>
      </c>
      <c r="E7120" s="8">
        <v>102900</v>
      </c>
      <c r="F7120" s="13" t="s">
        <v>70</v>
      </c>
      <c r="G7120" s="14">
        <v>44662</v>
      </c>
      <c r="H7120" s="13" t="s">
        <v>35</v>
      </c>
    </row>
    <row r="7121" spans="1:8" ht="14.4" x14ac:dyDescent="0.3">
      <c r="A7121" s="8">
        <v>2040725</v>
      </c>
      <c r="B7121" s="11">
        <v>44644</v>
      </c>
      <c r="C7121" s="13" t="s">
        <v>1976</v>
      </c>
      <c r="D7121" s="13" t="s">
        <v>9002</v>
      </c>
      <c r="E7121" s="8">
        <v>60473.23</v>
      </c>
      <c r="F7121" s="13" t="s">
        <v>70</v>
      </c>
      <c r="G7121" s="14">
        <v>44649</v>
      </c>
      <c r="H7121" s="13" t="s">
        <v>35</v>
      </c>
    </row>
    <row r="7122" spans="1:8" ht="14.4" x14ac:dyDescent="0.3">
      <c r="A7122" s="8">
        <v>2040726</v>
      </c>
      <c r="B7122" s="11">
        <v>44644</v>
      </c>
      <c r="C7122" s="13" t="s">
        <v>265</v>
      </c>
      <c r="D7122" s="13" t="s">
        <v>9003</v>
      </c>
      <c r="E7122" s="8">
        <v>19450</v>
      </c>
      <c r="F7122" s="13" t="s">
        <v>70</v>
      </c>
      <c r="G7122" s="14">
        <v>44648</v>
      </c>
      <c r="H7122" s="13" t="s">
        <v>35</v>
      </c>
    </row>
    <row r="7123" spans="1:8" ht="14.4" x14ac:dyDescent="0.3">
      <c r="A7123" s="8">
        <v>2040728</v>
      </c>
      <c r="B7123" s="11">
        <v>44644</v>
      </c>
      <c r="C7123" s="13" t="s">
        <v>9004</v>
      </c>
      <c r="D7123" s="13" t="s">
        <v>8983</v>
      </c>
      <c r="E7123" s="8">
        <v>30000</v>
      </c>
      <c r="F7123" s="13" t="s">
        <v>70</v>
      </c>
      <c r="G7123" s="14">
        <v>44677</v>
      </c>
      <c r="H7123" s="13" t="s">
        <v>35</v>
      </c>
    </row>
    <row r="7124" spans="1:8" ht="14.4" x14ac:dyDescent="0.3">
      <c r="A7124" s="8">
        <v>2040729</v>
      </c>
      <c r="B7124" s="11">
        <v>44644</v>
      </c>
      <c r="C7124" s="13" t="s">
        <v>173</v>
      </c>
      <c r="D7124" s="13" t="s">
        <v>8983</v>
      </c>
      <c r="E7124" s="8">
        <v>30000</v>
      </c>
      <c r="F7124" s="13" t="s">
        <v>70</v>
      </c>
      <c r="G7124" s="14">
        <v>44677</v>
      </c>
      <c r="H7124" s="13" t="s">
        <v>35</v>
      </c>
    </row>
    <row r="7125" spans="1:8" ht="14.4" x14ac:dyDescent="0.3">
      <c r="A7125" s="8">
        <v>2040730</v>
      </c>
      <c r="B7125" s="11">
        <v>44644</v>
      </c>
      <c r="C7125" s="13" t="s">
        <v>7509</v>
      </c>
      <c r="D7125" s="13" t="s">
        <v>8983</v>
      </c>
      <c r="E7125" s="8">
        <v>30000</v>
      </c>
      <c r="F7125" s="13" t="s">
        <v>70</v>
      </c>
      <c r="G7125" s="14">
        <v>44677</v>
      </c>
      <c r="H7125" s="13" t="s">
        <v>35</v>
      </c>
    </row>
    <row r="7126" spans="1:8" ht="14.4" x14ac:dyDescent="0.3">
      <c r="A7126" s="8">
        <v>2040731</v>
      </c>
      <c r="B7126" s="11">
        <v>44644</v>
      </c>
      <c r="C7126" s="13" t="s">
        <v>7506</v>
      </c>
      <c r="D7126" s="13" t="s">
        <v>8983</v>
      </c>
      <c r="E7126" s="8">
        <v>30000</v>
      </c>
      <c r="F7126" s="13" t="s">
        <v>70</v>
      </c>
      <c r="G7126" s="14">
        <v>44677</v>
      </c>
      <c r="H7126" s="13" t="s">
        <v>35</v>
      </c>
    </row>
    <row r="7127" spans="1:8" ht="14.4" x14ac:dyDescent="0.3">
      <c r="A7127" s="8">
        <v>2040732</v>
      </c>
      <c r="B7127" s="11">
        <v>44644</v>
      </c>
      <c r="C7127" s="13" t="s">
        <v>7510</v>
      </c>
      <c r="D7127" s="13" t="s">
        <v>8983</v>
      </c>
      <c r="E7127" s="8">
        <v>30000</v>
      </c>
      <c r="F7127" s="13" t="s">
        <v>70</v>
      </c>
      <c r="G7127" s="14">
        <v>44677</v>
      </c>
      <c r="H7127" s="13" t="s">
        <v>35</v>
      </c>
    </row>
    <row r="7128" spans="1:8" ht="14.4" x14ac:dyDescent="0.3">
      <c r="A7128" s="8">
        <v>2040733</v>
      </c>
      <c r="B7128" s="11">
        <v>44644</v>
      </c>
      <c r="C7128" s="13" t="s">
        <v>7499</v>
      </c>
      <c r="D7128" s="13" t="s">
        <v>8983</v>
      </c>
      <c r="E7128" s="8">
        <v>30000</v>
      </c>
      <c r="F7128" s="13" t="s">
        <v>70</v>
      </c>
      <c r="G7128" s="14">
        <v>44677</v>
      </c>
      <c r="H7128" s="13" t="s">
        <v>35</v>
      </c>
    </row>
    <row r="7129" spans="1:8" ht="14.4" x14ac:dyDescent="0.3">
      <c r="A7129" s="8">
        <v>2040734</v>
      </c>
      <c r="B7129" s="11">
        <v>44644</v>
      </c>
      <c r="C7129" s="13" t="s">
        <v>9005</v>
      </c>
      <c r="D7129" s="13" t="s">
        <v>8983</v>
      </c>
      <c r="E7129" s="8">
        <v>30000</v>
      </c>
      <c r="F7129" s="13" t="s">
        <v>70</v>
      </c>
      <c r="G7129" s="14">
        <v>44677</v>
      </c>
      <c r="H7129" s="13" t="s">
        <v>35</v>
      </c>
    </row>
    <row r="7130" spans="1:8" ht="14.4" x14ac:dyDescent="0.3">
      <c r="A7130" s="8">
        <v>2040735</v>
      </c>
      <c r="B7130" s="11">
        <v>44644</v>
      </c>
      <c r="C7130" s="13" t="s">
        <v>9006</v>
      </c>
      <c r="D7130" s="13" t="s">
        <v>8983</v>
      </c>
      <c r="E7130" s="8">
        <v>150000</v>
      </c>
      <c r="F7130" s="13" t="s">
        <v>70</v>
      </c>
      <c r="G7130" s="14">
        <v>44677</v>
      </c>
      <c r="H7130" s="13" t="s">
        <v>35</v>
      </c>
    </row>
    <row r="7131" spans="1:8" ht="14.4" x14ac:dyDescent="0.3">
      <c r="A7131" s="8">
        <v>2040736</v>
      </c>
      <c r="B7131" s="11">
        <v>44644</v>
      </c>
      <c r="C7131" s="13" t="s">
        <v>9007</v>
      </c>
      <c r="D7131" s="13" t="s">
        <v>8983</v>
      </c>
      <c r="E7131" s="8">
        <v>30000</v>
      </c>
      <c r="F7131" s="13" t="s">
        <v>70</v>
      </c>
      <c r="G7131" s="14">
        <v>44677</v>
      </c>
      <c r="H7131" s="13" t="s">
        <v>35</v>
      </c>
    </row>
    <row r="7132" spans="1:8" ht="14.4" x14ac:dyDescent="0.3">
      <c r="A7132" s="8">
        <v>2040737</v>
      </c>
      <c r="B7132" s="11">
        <v>44644</v>
      </c>
      <c r="C7132" s="13" t="s">
        <v>7508</v>
      </c>
      <c r="D7132" s="13" t="s">
        <v>8983</v>
      </c>
      <c r="E7132" s="8">
        <v>30000</v>
      </c>
      <c r="F7132" s="13" t="s">
        <v>70</v>
      </c>
      <c r="G7132" s="14">
        <v>44677</v>
      </c>
      <c r="H7132" s="13" t="s">
        <v>35</v>
      </c>
    </row>
    <row r="7133" spans="1:8" ht="14.4" x14ac:dyDescent="0.3">
      <c r="A7133" s="8">
        <v>2040738</v>
      </c>
      <c r="B7133" s="11">
        <v>44644</v>
      </c>
      <c r="C7133" s="13" t="s">
        <v>7507</v>
      </c>
      <c r="D7133" s="13" t="s">
        <v>8983</v>
      </c>
      <c r="E7133" s="8">
        <v>30000</v>
      </c>
      <c r="F7133" s="13" t="s">
        <v>70</v>
      </c>
      <c r="G7133" s="14">
        <v>44677</v>
      </c>
      <c r="H7133" s="13" t="s">
        <v>35</v>
      </c>
    </row>
    <row r="7134" spans="1:8" ht="14.4" x14ac:dyDescent="0.3">
      <c r="A7134" s="8">
        <v>2040739</v>
      </c>
      <c r="B7134" s="11">
        <v>44644</v>
      </c>
      <c r="C7134" s="13" t="s">
        <v>7678</v>
      </c>
      <c r="D7134" s="13" t="s">
        <v>8983</v>
      </c>
      <c r="E7134" s="8">
        <v>30000</v>
      </c>
      <c r="F7134" s="13" t="s">
        <v>70</v>
      </c>
      <c r="G7134" s="14">
        <v>44677</v>
      </c>
      <c r="H7134" s="13" t="s">
        <v>35</v>
      </c>
    </row>
    <row r="7135" spans="1:8" ht="14.4" x14ac:dyDescent="0.3">
      <c r="A7135" s="8">
        <v>2040740</v>
      </c>
      <c r="B7135" s="11">
        <v>44644</v>
      </c>
      <c r="C7135" s="13" t="s">
        <v>9008</v>
      </c>
      <c r="D7135" s="13" t="s">
        <v>8983</v>
      </c>
      <c r="E7135" s="8">
        <v>30000</v>
      </c>
      <c r="F7135" s="13" t="s">
        <v>70</v>
      </c>
      <c r="G7135" s="14">
        <v>44677</v>
      </c>
      <c r="H7135" s="13" t="s">
        <v>35</v>
      </c>
    </row>
    <row r="7136" spans="1:8" ht="14.4" x14ac:dyDescent="0.3">
      <c r="A7136" s="8">
        <v>2040741</v>
      </c>
      <c r="B7136" s="11">
        <v>44644</v>
      </c>
      <c r="C7136" s="13" t="s">
        <v>9009</v>
      </c>
      <c r="D7136" s="13" t="s">
        <v>8983</v>
      </c>
      <c r="E7136" s="8">
        <v>30000</v>
      </c>
      <c r="F7136" s="13" t="s">
        <v>70</v>
      </c>
      <c r="G7136" s="14">
        <v>44677</v>
      </c>
      <c r="H7136" s="13" t="s">
        <v>35</v>
      </c>
    </row>
    <row r="7137" spans="1:8" ht="14.4" x14ac:dyDescent="0.3">
      <c r="A7137" s="8">
        <v>2040742</v>
      </c>
      <c r="B7137" s="11">
        <v>44644</v>
      </c>
      <c r="C7137" s="13" t="s">
        <v>282</v>
      </c>
      <c r="D7137" s="13" t="s">
        <v>9010</v>
      </c>
      <c r="E7137" s="8">
        <v>17005.02</v>
      </c>
      <c r="F7137" s="13" t="s">
        <v>70</v>
      </c>
      <c r="G7137" s="14">
        <v>44649</v>
      </c>
      <c r="H7137" s="13" t="s">
        <v>35</v>
      </c>
    </row>
    <row r="7138" spans="1:8" ht="14.4" x14ac:dyDescent="0.3">
      <c r="A7138" s="8">
        <v>2040743</v>
      </c>
      <c r="B7138" s="11">
        <v>44644</v>
      </c>
      <c r="C7138" s="13" t="s">
        <v>9011</v>
      </c>
      <c r="D7138" s="13" t="s">
        <v>9012</v>
      </c>
      <c r="E7138" s="8">
        <v>10000</v>
      </c>
      <c r="F7138" s="13" t="s">
        <v>70</v>
      </c>
      <c r="G7138" s="14">
        <v>44683</v>
      </c>
      <c r="H7138" s="13" t="s">
        <v>35</v>
      </c>
    </row>
    <row r="7139" spans="1:8" ht="14.4" x14ac:dyDescent="0.3">
      <c r="A7139" s="8">
        <v>2040744</v>
      </c>
      <c r="B7139" s="11">
        <v>44644</v>
      </c>
      <c r="C7139" s="13" t="s">
        <v>6853</v>
      </c>
      <c r="D7139" s="13" t="s">
        <v>9013</v>
      </c>
      <c r="E7139" s="8">
        <v>10800</v>
      </c>
      <c r="F7139" s="13" t="s">
        <v>70</v>
      </c>
      <c r="G7139" s="14">
        <v>44680</v>
      </c>
      <c r="H7139" s="13" t="s">
        <v>35</v>
      </c>
    </row>
    <row r="7140" spans="1:8" ht="14.4" x14ac:dyDescent="0.3">
      <c r="A7140" s="8">
        <v>2040745</v>
      </c>
      <c r="B7140" s="11">
        <v>44644</v>
      </c>
      <c r="C7140" s="13" t="s">
        <v>9014</v>
      </c>
      <c r="D7140" s="13" t="s">
        <v>9015</v>
      </c>
      <c r="E7140" s="8">
        <v>7000</v>
      </c>
      <c r="F7140" s="13" t="s">
        <v>70</v>
      </c>
      <c r="G7140" s="14">
        <v>44680</v>
      </c>
      <c r="H7140" s="13" t="s">
        <v>35</v>
      </c>
    </row>
    <row r="7141" spans="1:8" ht="14.4" x14ac:dyDescent="0.3">
      <c r="A7141" s="8">
        <v>2040746</v>
      </c>
      <c r="B7141" s="11">
        <v>44644</v>
      </c>
      <c r="C7141" s="13" t="s">
        <v>9016</v>
      </c>
      <c r="D7141" s="13" t="s">
        <v>9017</v>
      </c>
      <c r="E7141" s="8">
        <v>11000</v>
      </c>
      <c r="F7141" s="13" t="s">
        <v>70</v>
      </c>
      <c r="G7141" s="14">
        <v>44683</v>
      </c>
      <c r="H7141" s="13" t="s">
        <v>35</v>
      </c>
    </row>
    <row r="7142" spans="1:8" ht="14.4" x14ac:dyDescent="0.3">
      <c r="A7142" s="8">
        <v>2040747</v>
      </c>
      <c r="B7142" s="11">
        <v>44644</v>
      </c>
      <c r="C7142" s="13" t="s">
        <v>9018</v>
      </c>
      <c r="D7142" s="13" t="s">
        <v>9019</v>
      </c>
      <c r="E7142" s="8">
        <v>6000</v>
      </c>
      <c r="F7142" s="13" t="s">
        <v>70</v>
      </c>
      <c r="G7142" s="14">
        <v>44683</v>
      </c>
      <c r="H7142" s="13" t="s">
        <v>35</v>
      </c>
    </row>
    <row r="7143" spans="1:8" ht="14.4" x14ac:dyDescent="0.3">
      <c r="A7143" s="8">
        <v>2040748</v>
      </c>
      <c r="B7143" s="11">
        <v>44644</v>
      </c>
      <c r="C7143" s="13" t="s">
        <v>9020</v>
      </c>
      <c r="D7143" s="13" t="s">
        <v>9021</v>
      </c>
      <c r="E7143" s="8">
        <v>10000</v>
      </c>
      <c r="F7143" s="13" t="s">
        <v>70</v>
      </c>
      <c r="G7143" s="14">
        <v>44683</v>
      </c>
      <c r="H7143" s="13" t="s">
        <v>35</v>
      </c>
    </row>
    <row r="7144" spans="1:8" ht="14.4" x14ac:dyDescent="0.3">
      <c r="A7144" s="8">
        <v>2040749</v>
      </c>
      <c r="B7144" s="11">
        <v>44644</v>
      </c>
      <c r="C7144" s="13" t="s">
        <v>9022</v>
      </c>
      <c r="D7144" s="13" t="s">
        <v>9023</v>
      </c>
      <c r="E7144" s="8">
        <v>11000</v>
      </c>
      <c r="F7144" s="13" t="s">
        <v>70</v>
      </c>
      <c r="G7144" s="14">
        <v>44680</v>
      </c>
      <c r="H7144" s="13" t="s">
        <v>35</v>
      </c>
    </row>
    <row r="7145" spans="1:8" ht="14.4" x14ac:dyDescent="0.3">
      <c r="A7145" s="8">
        <v>2040751</v>
      </c>
      <c r="B7145" s="11">
        <v>44644</v>
      </c>
      <c r="C7145" s="13" t="s">
        <v>9024</v>
      </c>
      <c r="D7145" s="13" t="s">
        <v>9025</v>
      </c>
      <c r="E7145" s="8">
        <v>8000</v>
      </c>
      <c r="F7145" s="13" t="s">
        <v>70</v>
      </c>
      <c r="G7145" s="14">
        <v>44680</v>
      </c>
      <c r="H7145" s="13" t="s">
        <v>35</v>
      </c>
    </row>
    <row r="7146" spans="1:8" ht="14.4" x14ac:dyDescent="0.3">
      <c r="A7146" s="8">
        <v>2040752</v>
      </c>
      <c r="B7146" s="11">
        <v>44644</v>
      </c>
      <c r="C7146" s="13" t="s">
        <v>9026</v>
      </c>
      <c r="D7146" s="13" t="s">
        <v>9027</v>
      </c>
      <c r="E7146" s="8">
        <v>50000</v>
      </c>
      <c r="F7146" s="13" t="s">
        <v>70</v>
      </c>
      <c r="G7146" s="14">
        <v>44680</v>
      </c>
      <c r="H7146" s="13" t="s">
        <v>35</v>
      </c>
    </row>
    <row r="7147" spans="1:8" ht="14.4" x14ac:dyDescent="0.3">
      <c r="A7147" s="8">
        <v>2040753</v>
      </c>
      <c r="B7147" s="11">
        <v>44644</v>
      </c>
      <c r="C7147" s="13" t="s">
        <v>9028</v>
      </c>
      <c r="D7147" s="13" t="s">
        <v>9029</v>
      </c>
      <c r="E7147" s="8">
        <v>22000</v>
      </c>
      <c r="F7147" s="13" t="s">
        <v>70</v>
      </c>
      <c r="G7147" s="14">
        <v>44680</v>
      </c>
      <c r="H7147" s="13" t="s">
        <v>35</v>
      </c>
    </row>
    <row r="7148" spans="1:8" ht="14.4" x14ac:dyDescent="0.3">
      <c r="A7148" s="8">
        <v>2040754</v>
      </c>
      <c r="B7148" s="11">
        <v>44644</v>
      </c>
      <c r="C7148" s="13" t="s">
        <v>9030</v>
      </c>
      <c r="D7148" s="13" t="s">
        <v>9031</v>
      </c>
      <c r="E7148" s="8">
        <v>13000</v>
      </c>
      <c r="F7148" s="13" t="s">
        <v>70</v>
      </c>
      <c r="G7148" s="14">
        <v>44680</v>
      </c>
      <c r="H7148" s="13" t="s">
        <v>35</v>
      </c>
    </row>
    <row r="7149" spans="1:8" ht="14.4" x14ac:dyDescent="0.3">
      <c r="A7149" s="8">
        <v>2040755</v>
      </c>
      <c r="B7149" s="11">
        <v>44644</v>
      </c>
      <c r="C7149" s="13" t="s">
        <v>9032</v>
      </c>
      <c r="D7149" s="13" t="s">
        <v>9033</v>
      </c>
      <c r="E7149" s="8">
        <v>16000</v>
      </c>
      <c r="F7149" s="13" t="s">
        <v>70</v>
      </c>
      <c r="G7149" s="14">
        <v>44680</v>
      </c>
      <c r="H7149" s="13" t="s">
        <v>35</v>
      </c>
    </row>
    <row r="7150" spans="1:8" ht="14.4" x14ac:dyDescent="0.3">
      <c r="A7150" s="8">
        <v>2040756</v>
      </c>
      <c r="B7150" s="11">
        <v>44644</v>
      </c>
      <c r="C7150" s="13" t="s">
        <v>9034</v>
      </c>
      <c r="D7150" s="13" t="s">
        <v>9035</v>
      </c>
      <c r="E7150" s="8">
        <v>8000</v>
      </c>
      <c r="F7150" s="13" t="s">
        <v>70</v>
      </c>
      <c r="G7150" s="14">
        <v>44680</v>
      </c>
      <c r="H7150" s="13" t="s">
        <v>35</v>
      </c>
    </row>
    <row r="7151" spans="1:8" ht="14.4" x14ac:dyDescent="0.3">
      <c r="A7151" s="8">
        <v>2040757</v>
      </c>
      <c r="B7151" s="11">
        <v>44644</v>
      </c>
      <c r="C7151" s="13" t="s">
        <v>9036</v>
      </c>
      <c r="D7151" s="13" t="s">
        <v>9037</v>
      </c>
      <c r="E7151" s="8">
        <v>10000</v>
      </c>
      <c r="F7151" s="13" t="s">
        <v>70</v>
      </c>
      <c r="G7151" s="14">
        <v>44683</v>
      </c>
      <c r="H7151" s="13" t="s">
        <v>35</v>
      </c>
    </row>
    <row r="7152" spans="1:8" ht="14.4" x14ac:dyDescent="0.3">
      <c r="A7152" s="8">
        <v>2040758</v>
      </c>
      <c r="B7152" s="11">
        <v>44644</v>
      </c>
      <c r="C7152" s="13" t="s">
        <v>9038</v>
      </c>
      <c r="D7152" s="13" t="s">
        <v>9039</v>
      </c>
      <c r="E7152" s="8">
        <v>40000</v>
      </c>
      <c r="F7152" s="13" t="s">
        <v>70</v>
      </c>
      <c r="G7152" s="14">
        <v>44683</v>
      </c>
      <c r="H7152" s="13" t="s">
        <v>35</v>
      </c>
    </row>
    <row r="7153" spans="1:8" ht="14.4" x14ac:dyDescent="0.3">
      <c r="A7153" s="8">
        <v>2040759</v>
      </c>
      <c r="B7153" s="11">
        <v>44644</v>
      </c>
      <c r="C7153" s="13" t="s">
        <v>9040</v>
      </c>
      <c r="D7153" s="13" t="s">
        <v>9041</v>
      </c>
      <c r="E7153" s="8">
        <v>30000</v>
      </c>
      <c r="F7153" s="13" t="s">
        <v>70</v>
      </c>
      <c r="G7153" s="14">
        <v>44685</v>
      </c>
      <c r="H7153" s="13" t="s">
        <v>35</v>
      </c>
    </row>
    <row r="7154" spans="1:8" ht="14.4" x14ac:dyDescent="0.3">
      <c r="A7154" s="8">
        <v>2040760</v>
      </c>
      <c r="B7154" s="11">
        <v>44644</v>
      </c>
      <c r="C7154" s="13" t="s">
        <v>9042</v>
      </c>
      <c r="D7154" s="13" t="s">
        <v>9043</v>
      </c>
      <c r="E7154" s="8">
        <v>7000</v>
      </c>
      <c r="F7154" s="13" t="s">
        <v>70</v>
      </c>
      <c r="G7154" s="14">
        <v>44680</v>
      </c>
      <c r="H7154" s="13" t="s">
        <v>35</v>
      </c>
    </row>
    <row r="7155" spans="1:8" ht="14.4" x14ac:dyDescent="0.3">
      <c r="A7155" s="8">
        <v>2040761</v>
      </c>
      <c r="B7155" s="11">
        <v>44644</v>
      </c>
      <c r="C7155" s="13" t="s">
        <v>9044</v>
      </c>
      <c r="D7155" s="13" t="s">
        <v>9045</v>
      </c>
      <c r="E7155" s="8">
        <v>8000</v>
      </c>
      <c r="F7155" s="13" t="s">
        <v>70</v>
      </c>
      <c r="G7155" s="14">
        <v>44680</v>
      </c>
      <c r="H7155" s="13" t="s">
        <v>35</v>
      </c>
    </row>
    <row r="7156" spans="1:8" ht="14.4" x14ac:dyDescent="0.3">
      <c r="A7156" s="8">
        <v>2040762</v>
      </c>
      <c r="B7156" s="11">
        <v>44644</v>
      </c>
      <c r="C7156" s="13" t="s">
        <v>9046</v>
      </c>
      <c r="D7156" s="13" t="s">
        <v>9047</v>
      </c>
      <c r="E7156" s="8">
        <v>7000</v>
      </c>
      <c r="F7156" s="13" t="s">
        <v>70</v>
      </c>
      <c r="G7156" s="14">
        <v>44680</v>
      </c>
      <c r="H7156" s="13" t="s">
        <v>35</v>
      </c>
    </row>
    <row r="7157" spans="1:8" ht="14.4" x14ac:dyDescent="0.3">
      <c r="A7157" s="8">
        <v>2040763</v>
      </c>
      <c r="B7157" s="11">
        <v>44644</v>
      </c>
      <c r="C7157" s="13" t="s">
        <v>9048</v>
      </c>
      <c r="D7157" s="13" t="s">
        <v>9049</v>
      </c>
      <c r="E7157" s="8">
        <v>9400</v>
      </c>
      <c r="F7157" s="13" t="s">
        <v>70</v>
      </c>
      <c r="G7157" s="14">
        <v>44680</v>
      </c>
      <c r="H7157" s="13" t="s">
        <v>35</v>
      </c>
    </row>
    <row r="7158" spans="1:8" ht="14.4" x14ac:dyDescent="0.3">
      <c r="A7158" s="8">
        <v>2040764</v>
      </c>
      <c r="B7158" s="11">
        <v>44644</v>
      </c>
      <c r="C7158" s="13" t="s">
        <v>645</v>
      </c>
      <c r="D7158" s="13" t="s">
        <v>9050</v>
      </c>
      <c r="E7158" s="8">
        <v>10000</v>
      </c>
      <c r="F7158" s="13" t="s">
        <v>70</v>
      </c>
      <c r="G7158" s="14">
        <v>44683</v>
      </c>
      <c r="H7158" s="13" t="s">
        <v>35</v>
      </c>
    </row>
    <row r="7159" spans="1:8" ht="14.4" x14ac:dyDescent="0.3">
      <c r="A7159" s="8">
        <v>2040765</v>
      </c>
      <c r="B7159" s="11">
        <v>44644</v>
      </c>
      <c r="C7159" s="13" t="s">
        <v>9051</v>
      </c>
      <c r="D7159" s="13" t="s">
        <v>9052</v>
      </c>
      <c r="E7159" s="8">
        <v>10000</v>
      </c>
      <c r="F7159" s="13" t="s">
        <v>70</v>
      </c>
      <c r="G7159" s="14">
        <v>44680</v>
      </c>
      <c r="H7159" s="13" t="s">
        <v>35</v>
      </c>
    </row>
    <row r="7160" spans="1:8" ht="14.4" x14ac:dyDescent="0.3">
      <c r="A7160" s="8">
        <v>2040766</v>
      </c>
      <c r="B7160" s="11">
        <v>44644</v>
      </c>
      <c r="C7160" s="13" t="s">
        <v>9053</v>
      </c>
      <c r="D7160" s="13" t="s">
        <v>9054</v>
      </c>
      <c r="E7160" s="8">
        <v>23000</v>
      </c>
      <c r="F7160" s="13" t="s">
        <v>70</v>
      </c>
      <c r="G7160" s="14">
        <v>44685</v>
      </c>
      <c r="H7160" s="13" t="s">
        <v>35</v>
      </c>
    </row>
    <row r="7161" spans="1:8" ht="14.4" x14ac:dyDescent="0.3">
      <c r="A7161" s="8">
        <v>2040767</v>
      </c>
      <c r="B7161" s="11">
        <v>44644</v>
      </c>
      <c r="C7161" s="13" t="s">
        <v>9055</v>
      </c>
      <c r="D7161" s="13" t="s">
        <v>9056</v>
      </c>
      <c r="E7161" s="8">
        <v>30000</v>
      </c>
      <c r="F7161" s="13" t="s">
        <v>70</v>
      </c>
      <c r="G7161" s="14">
        <v>44680</v>
      </c>
      <c r="H7161" s="13" t="s">
        <v>35</v>
      </c>
    </row>
    <row r="7162" spans="1:8" ht="14.4" x14ac:dyDescent="0.3">
      <c r="A7162" s="8">
        <v>2040768</v>
      </c>
      <c r="B7162" s="11">
        <v>44644</v>
      </c>
      <c r="C7162" s="13" t="s">
        <v>9057</v>
      </c>
      <c r="D7162" s="13" t="s">
        <v>9058</v>
      </c>
      <c r="E7162" s="8">
        <v>50000</v>
      </c>
      <c r="F7162" s="13" t="s">
        <v>70</v>
      </c>
      <c r="G7162" s="14">
        <v>44680</v>
      </c>
      <c r="H7162" s="13" t="s">
        <v>35</v>
      </c>
    </row>
    <row r="7163" spans="1:8" ht="14.4" x14ac:dyDescent="0.3">
      <c r="A7163" s="8">
        <v>2040769</v>
      </c>
      <c r="B7163" s="11">
        <v>44644</v>
      </c>
      <c r="C7163" s="13" t="s">
        <v>9059</v>
      </c>
      <c r="D7163" s="13" t="s">
        <v>9060</v>
      </c>
      <c r="E7163" s="8">
        <v>20000</v>
      </c>
      <c r="F7163" s="13" t="s">
        <v>70</v>
      </c>
      <c r="G7163" s="14">
        <v>44680</v>
      </c>
      <c r="H7163" s="13" t="s">
        <v>35</v>
      </c>
    </row>
    <row r="7164" spans="1:8" ht="14.4" x14ac:dyDescent="0.3">
      <c r="A7164" s="8">
        <v>2040770</v>
      </c>
      <c r="B7164" s="11">
        <v>44644</v>
      </c>
      <c r="C7164" s="13" t="s">
        <v>9061</v>
      </c>
      <c r="D7164" s="13" t="s">
        <v>9062</v>
      </c>
      <c r="E7164" s="8">
        <v>3926.55</v>
      </c>
      <c r="F7164" s="13" t="s">
        <v>70</v>
      </c>
      <c r="G7164" s="14">
        <v>44652</v>
      </c>
      <c r="H7164" s="13" t="s">
        <v>35</v>
      </c>
    </row>
    <row r="7165" spans="1:8" ht="14.4" x14ac:dyDescent="0.3">
      <c r="A7165" s="8">
        <v>2040771</v>
      </c>
      <c r="B7165" s="11">
        <v>44644</v>
      </c>
      <c r="C7165" s="13" t="s">
        <v>162</v>
      </c>
      <c r="D7165" s="13" t="s">
        <v>9063</v>
      </c>
      <c r="E7165" s="8">
        <v>1403.41</v>
      </c>
      <c r="F7165" s="13" t="s">
        <v>70</v>
      </c>
      <c r="G7165" s="14">
        <v>44656</v>
      </c>
      <c r="H7165" s="13" t="s">
        <v>35</v>
      </c>
    </row>
    <row r="7166" spans="1:8" ht="14.4" x14ac:dyDescent="0.3">
      <c r="A7166" s="8">
        <v>2040772</v>
      </c>
      <c r="B7166" s="11">
        <v>44644</v>
      </c>
      <c r="C7166" s="13" t="s">
        <v>1286</v>
      </c>
      <c r="D7166" s="13" t="s">
        <v>9064</v>
      </c>
      <c r="E7166" s="8">
        <v>3624.4</v>
      </c>
      <c r="F7166" s="13" t="s">
        <v>70</v>
      </c>
      <c r="G7166" s="14">
        <v>44655</v>
      </c>
      <c r="H7166" s="13" t="s">
        <v>35</v>
      </c>
    </row>
    <row r="7167" spans="1:8" ht="14.4" x14ac:dyDescent="0.3">
      <c r="A7167" s="8">
        <v>2040773</v>
      </c>
      <c r="B7167" s="11">
        <v>44644</v>
      </c>
      <c r="C7167" s="13" t="s">
        <v>1286</v>
      </c>
      <c r="D7167" s="13" t="s">
        <v>9001</v>
      </c>
      <c r="E7167" s="8">
        <v>11148.27</v>
      </c>
      <c r="F7167" s="13" t="s">
        <v>70</v>
      </c>
      <c r="G7167" s="14">
        <v>44655</v>
      </c>
      <c r="H7167" s="13" t="s">
        <v>35</v>
      </c>
    </row>
    <row r="7168" spans="1:8" ht="14.4" x14ac:dyDescent="0.3">
      <c r="A7168" s="8">
        <v>2040774</v>
      </c>
      <c r="B7168" s="11">
        <v>44644</v>
      </c>
      <c r="C7168" s="13" t="s">
        <v>1286</v>
      </c>
      <c r="D7168" s="13" t="s">
        <v>9065</v>
      </c>
      <c r="E7168" s="8">
        <v>12969.27</v>
      </c>
      <c r="F7168" s="13" t="s">
        <v>70</v>
      </c>
      <c r="G7168" s="14">
        <v>44655</v>
      </c>
      <c r="H7168" s="13" t="s">
        <v>35</v>
      </c>
    </row>
    <row r="7169" spans="1:8" ht="14.4" x14ac:dyDescent="0.3">
      <c r="A7169" s="8">
        <v>2040775</v>
      </c>
      <c r="B7169" s="11">
        <v>44644</v>
      </c>
      <c r="C7169" s="13" t="s">
        <v>1286</v>
      </c>
      <c r="D7169" s="13" t="s">
        <v>9066</v>
      </c>
      <c r="E7169" s="8">
        <v>43713.68</v>
      </c>
      <c r="F7169" s="13" t="s">
        <v>70</v>
      </c>
      <c r="G7169" s="14">
        <v>44655</v>
      </c>
      <c r="H7169" s="13" t="s">
        <v>35</v>
      </c>
    </row>
    <row r="7170" spans="1:8" ht="14.4" x14ac:dyDescent="0.3">
      <c r="A7170" s="8">
        <v>2040776</v>
      </c>
      <c r="B7170" s="11">
        <v>44644</v>
      </c>
      <c r="C7170" s="13" t="s">
        <v>162</v>
      </c>
      <c r="D7170" s="13" t="s">
        <v>9067</v>
      </c>
      <c r="E7170" s="8">
        <v>4365.51</v>
      </c>
      <c r="F7170" s="13" t="s">
        <v>70</v>
      </c>
      <c r="G7170" s="14">
        <v>44656</v>
      </c>
      <c r="H7170" s="13" t="s">
        <v>35</v>
      </c>
    </row>
    <row r="7171" spans="1:8" ht="14.4" x14ac:dyDescent="0.3">
      <c r="A7171" s="8">
        <v>2040777</v>
      </c>
      <c r="B7171" s="11">
        <v>44644</v>
      </c>
      <c r="C7171" s="13" t="s">
        <v>695</v>
      </c>
      <c r="D7171" s="13" t="s">
        <v>9068</v>
      </c>
      <c r="E7171" s="8">
        <v>185</v>
      </c>
      <c r="F7171" s="13" t="s">
        <v>70</v>
      </c>
      <c r="G7171" s="14">
        <v>44656</v>
      </c>
      <c r="H7171" s="13" t="s">
        <v>35</v>
      </c>
    </row>
    <row r="7172" spans="1:8" ht="14.4" x14ac:dyDescent="0.3">
      <c r="A7172" s="8">
        <v>2040778</v>
      </c>
      <c r="B7172" s="11">
        <v>44644</v>
      </c>
      <c r="C7172" s="13" t="s">
        <v>162</v>
      </c>
      <c r="D7172" s="13" t="s">
        <v>9069</v>
      </c>
      <c r="E7172" s="8">
        <v>39420.94</v>
      </c>
      <c r="F7172" s="13" t="s">
        <v>70</v>
      </c>
      <c r="G7172" s="14">
        <v>44656</v>
      </c>
      <c r="H7172" s="13" t="s">
        <v>35</v>
      </c>
    </row>
    <row r="7173" spans="1:8" ht="14.4" x14ac:dyDescent="0.3">
      <c r="A7173" s="8">
        <v>2040779</v>
      </c>
      <c r="B7173" s="11">
        <v>44644</v>
      </c>
      <c r="C7173" s="13" t="s">
        <v>1380</v>
      </c>
      <c r="D7173" s="13" t="s">
        <v>9070</v>
      </c>
      <c r="E7173" s="8">
        <v>679.89</v>
      </c>
      <c r="F7173" s="13" t="s">
        <v>70</v>
      </c>
      <c r="G7173" s="14">
        <v>44650</v>
      </c>
      <c r="H7173" s="13" t="s">
        <v>35</v>
      </c>
    </row>
    <row r="7174" spans="1:8" ht="14.4" x14ac:dyDescent="0.3">
      <c r="A7174" s="8">
        <v>2040780</v>
      </c>
      <c r="B7174" s="11">
        <v>44644</v>
      </c>
      <c r="C7174" s="13" t="s">
        <v>1322</v>
      </c>
      <c r="D7174" s="13" t="s">
        <v>9071</v>
      </c>
      <c r="E7174" s="8">
        <v>333.68</v>
      </c>
      <c r="F7174" s="13" t="s">
        <v>70</v>
      </c>
      <c r="G7174" s="14">
        <v>44656</v>
      </c>
      <c r="H7174" s="13" t="s">
        <v>35</v>
      </c>
    </row>
    <row r="7175" spans="1:8" ht="14.4" x14ac:dyDescent="0.3">
      <c r="A7175" s="8">
        <v>2040781</v>
      </c>
      <c r="B7175" s="11">
        <v>44644</v>
      </c>
      <c r="C7175" s="13" t="s">
        <v>162</v>
      </c>
      <c r="D7175" s="13" t="s">
        <v>9072</v>
      </c>
      <c r="E7175" s="8">
        <v>1037222.24</v>
      </c>
      <c r="F7175" s="13" t="s">
        <v>70</v>
      </c>
      <c r="G7175" s="14">
        <v>44656</v>
      </c>
      <c r="H7175" s="13" t="s">
        <v>35</v>
      </c>
    </row>
    <row r="7176" spans="1:8" ht="14.4" x14ac:dyDescent="0.3">
      <c r="A7176" s="8">
        <v>2040782</v>
      </c>
      <c r="B7176" s="11">
        <v>44644</v>
      </c>
      <c r="C7176" s="13" t="s">
        <v>9073</v>
      </c>
      <c r="D7176" s="13" t="s">
        <v>9062</v>
      </c>
      <c r="E7176" s="8">
        <v>31029.19</v>
      </c>
      <c r="F7176" s="13" t="s">
        <v>70</v>
      </c>
      <c r="G7176" s="14">
        <v>44649</v>
      </c>
      <c r="H7176" s="13" t="s">
        <v>35</v>
      </c>
    </row>
    <row r="7177" spans="1:8" ht="14.4" x14ac:dyDescent="0.3">
      <c r="A7177" s="8">
        <v>2040783</v>
      </c>
      <c r="B7177" s="11">
        <v>44644</v>
      </c>
      <c r="C7177" s="13" t="s">
        <v>1276</v>
      </c>
      <c r="D7177" s="13" t="s">
        <v>9074</v>
      </c>
      <c r="E7177" s="8">
        <v>38800</v>
      </c>
      <c r="F7177" s="13" t="s">
        <v>70</v>
      </c>
      <c r="G7177" s="14">
        <v>44692</v>
      </c>
      <c r="H7177" s="13" t="s">
        <v>35</v>
      </c>
    </row>
    <row r="7178" spans="1:8" ht="14.4" x14ac:dyDescent="0.3">
      <c r="A7178" s="8">
        <v>2040784</v>
      </c>
      <c r="B7178" s="11">
        <v>44644</v>
      </c>
      <c r="C7178" s="13" t="s">
        <v>48</v>
      </c>
      <c r="D7178" s="13" t="s">
        <v>9075</v>
      </c>
      <c r="E7178" s="8">
        <v>36860</v>
      </c>
      <c r="F7178" s="13" t="s">
        <v>70</v>
      </c>
      <c r="G7178" s="14">
        <v>44687</v>
      </c>
      <c r="H7178" s="13" t="s">
        <v>35</v>
      </c>
    </row>
    <row r="7179" spans="1:8" ht="14.4" x14ac:dyDescent="0.3">
      <c r="A7179" s="8">
        <v>2040785</v>
      </c>
      <c r="B7179" s="11">
        <v>44644</v>
      </c>
      <c r="C7179" s="13" t="s">
        <v>50</v>
      </c>
      <c r="D7179" s="13" t="s">
        <v>9076</v>
      </c>
      <c r="E7179" s="8">
        <v>48500</v>
      </c>
      <c r="F7179" s="13" t="s">
        <v>70</v>
      </c>
      <c r="G7179" s="14">
        <v>44694</v>
      </c>
      <c r="H7179" s="13" t="s">
        <v>35</v>
      </c>
    </row>
    <row r="7180" spans="1:8" ht="14.4" x14ac:dyDescent="0.3">
      <c r="A7180" s="8">
        <v>2040786</v>
      </c>
      <c r="B7180" s="11">
        <v>44644</v>
      </c>
      <c r="C7180" s="13" t="s">
        <v>2428</v>
      </c>
      <c r="D7180" s="13" t="s">
        <v>9077</v>
      </c>
      <c r="E7180" s="8">
        <v>46560</v>
      </c>
      <c r="F7180" s="13" t="s">
        <v>70</v>
      </c>
      <c r="G7180" s="14">
        <v>44686</v>
      </c>
      <c r="H7180" s="13" t="s">
        <v>35</v>
      </c>
    </row>
    <row r="7181" spans="1:8" ht="14.4" x14ac:dyDescent="0.3">
      <c r="A7181" s="8">
        <v>2040787</v>
      </c>
      <c r="B7181" s="11">
        <v>44644</v>
      </c>
      <c r="C7181" s="13" t="s">
        <v>9078</v>
      </c>
      <c r="D7181" s="13" t="s">
        <v>9079</v>
      </c>
      <c r="E7181" s="8">
        <v>106700</v>
      </c>
      <c r="F7181" s="13" t="s">
        <v>70</v>
      </c>
      <c r="G7181" s="14">
        <v>44687</v>
      </c>
      <c r="H7181" s="13" t="s">
        <v>35</v>
      </c>
    </row>
    <row r="7182" spans="1:8" ht="14.4" x14ac:dyDescent="0.3">
      <c r="A7182" s="8">
        <v>2040788</v>
      </c>
      <c r="B7182" s="11">
        <v>44644</v>
      </c>
      <c r="C7182" s="13" t="s">
        <v>4602</v>
      </c>
      <c r="D7182" s="13" t="s">
        <v>9080</v>
      </c>
      <c r="E7182" s="8">
        <v>9700</v>
      </c>
      <c r="F7182" s="13" t="s">
        <v>70</v>
      </c>
      <c r="G7182" s="14">
        <v>44687</v>
      </c>
      <c r="H7182" s="13" t="s">
        <v>35</v>
      </c>
    </row>
    <row r="7183" spans="1:8" ht="14.4" x14ac:dyDescent="0.3">
      <c r="A7183" s="8">
        <v>2040789</v>
      </c>
      <c r="B7183" s="11">
        <v>44644</v>
      </c>
      <c r="C7183" s="13" t="s">
        <v>9081</v>
      </c>
      <c r="D7183" s="13" t="s">
        <v>3451</v>
      </c>
      <c r="E7183" s="8">
        <v>10588.37</v>
      </c>
      <c r="F7183" s="13" t="s">
        <v>70</v>
      </c>
      <c r="G7183" s="14">
        <v>44650</v>
      </c>
      <c r="H7183" s="13" t="s">
        <v>35</v>
      </c>
    </row>
    <row r="7184" spans="1:8" ht="14.4" x14ac:dyDescent="0.3">
      <c r="A7184" s="8">
        <v>2040790</v>
      </c>
      <c r="B7184" s="11">
        <v>44644</v>
      </c>
      <c r="C7184" s="13" t="s">
        <v>1286</v>
      </c>
      <c r="D7184" s="13" t="s">
        <v>8628</v>
      </c>
      <c r="E7184" s="8">
        <v>4570.99</v>
      </c>
      <c r="F7184" s="13" t="s">
        <v>70</v>
      </c>
      <c r="G7184" s="14">
        <v>44655</v>
      </c>
      <c r="H7184" s="13" t="s">
        <v>35</v>
      </c>
    </row>
    <row r="7185" spans="1:8" ht="14.4" x14ac:dyDescent="0.3">
      <c r="A7185" s="8">
        <v>2040791</v>
      </c>
      <c r="B7185" s="11">
        <v>44644</v>
      </c>
      <c r="C7185" s="13" t="s">
        <v>1286</v>
      </c>
      <c r="D7185" s="13" t="s">
        <v>9082</v>
      </c>
      <c r="E7185" s="8">
        <v>4209.05</v>
      </c>
      <c r="F7185" s="13" t="s">
        <v>70</v>
      </c>
      <c r="G7185" s="14">
        <v>44655</v>
      </c>
      <c r="H7185" s="13" t="s">
        <v>35</v>
      </c>
    </row>
    <row r="7186" spans="1:8" ht="14.4" x14ac:dyDescent="0.3">
      <c r="A7186" s="8">
        <v>2040792</v>
      </c>
      <c r="B7186" s="11">
        <v>44644</v>
      </c>
      <c r="C7186" s="13" t="s">
        <v>1286</v>
      </c>
      <c r="D7186" s="13" t="s">
        <v>9083</v>
      </c>
      <c r="E7186" s="8">
        <v>4686.75</v>
      </c>
      <c r="F7186" s="13" t="s">
        <v>70</v>
      </c>
      <c r="G7186" s="14">
        <v>44655</v>
      </c>
      <c r="H7186" s="13" t="s">
        <v>35</v>
      </c>
    </row>
    <row r="7187" spans="1:8" ht="14.4" x14ac:dyDescent="0.3">
      <c r="A7187" s="8">
        <v>2040793</v>
      </c>
      <c r="B7187" s="11">
        <v>44644</v>
      </c>
      <c r="C7187" s="13" t="s">
        <v>1286</v>
      </c>
      <c r="D7187" s="13" t="s">
        <v>9084</v>
      </c>
      <c r="E7187" s="8">
        <v>4787.04</v>
      </c>
      <c r="F7187" s="13" t="s">
        <v>70</v>
      </c>
      <c r="G7187" s="14">
        <v>44655</v>
      </c>
      <c r="H7187" s="13" t="s">
        <v>35</v>
      </c>
    </row>
    <row r="7188" spans="1:8" ht="14.4" x14ac:dyDescent="0.3">
      <c r="A7188" s="8">
        <v>2040794</v>
      </c>
      <c r="B7188" s="11">
        <v>44644</v>
      </c>
      <c r="C7188" s="13" t="s">
        <v>1399</v>
      </c>
      <c r="D7188" s="13" t="s">
        <v>9085</v>
      </c>
      <c r="E7188" s="8">
        <v>20000</v>
      </c>
      <c r="F7188" s="13" t="s">
        <v>70</v>
      </c>
      <c r="G7188" s="14">
        <v>44648</v>
      </c>
      <c r="H7188" s="13" t="s">
        <v>35</v>
      </c>
    </row>
    <row r="7189" spans="1:8" ht="14.4" x14ac:dyDescent="0.3">
      <c r="A7189" s="8">
        <v>2040795</v>
      </c>
      <c r="B7189" s="11">
        <v>44644</v>
      </c>
      <c r="C7189" s="13" t="s">
        <v>9086</v>
      </c>
      <c r="D7189" s="13" t="s">
        <v>9087</v>
      </c>
      <c r="E7189" s="8">
        <v>8000</v>
      </c>
      <c r="F7189" s="13" t="s">
        <v>70</v>
      </c>
      <c r="G7189" s="14">
        <v>44680</v>
      </c>
      <c r="H7189" s="13" t="s">
        <v>35</v>
      </c>
    </row>
    <row r="7190" spans="1:8" ht="14.4" x14ac:dyDescent="0.3">
      <c r="A7190" s="8">
        <v>2040796</v>
      </c>
      <c r="B7190" s="11">
        <v>44644</v>
      </c>
      <c r="C7190" s="13" t="s">
        <v>188</v>
      </c>
      <c r="D7190" s="13" t="s">
        <v>7354</v>
      </c>
      <c r="E7190" s="8">
        <v>40338</v>
      </c>
      <c r="F7190" s="13" t="s">
        <v>70</v>
      </c>
      <c r="G7190" s="14">
        <v>44649</v>
      </c>
      <c r="H7190" s="13" t="s">
        <v>35</v>
      </c>
    </row>
    <row r="7191" spans="1:8" ht="14.4" x14ac:dyDescent="0.3">
      <c r="A7191" s="8">
        <v>2040797</v>
      </c>
      <c r="B7191" s="11">
        <v>44644</v>
      </c>
      <c r="C7191" s="13" t="s">
        <v>188</v>
      </c>
      <c r="D7191" s="13" t="s">
        <v>9088</v>
      </c>
      <c r="E7191" s="8">
        <v>900</v>
      </c>
      <c r="F7191" s="13" t="s">
        <v>70</v>
      </c>
      <c r="G7191" s="14">
        <v>44649</v>
      </c>
      <c r="H7191" s="13" t="s">
        <v>35</v>
      </c>
    </row>
    <row r="7192" spans="1:8" ht="14.4" x14ac:dyDescent="0.3">
      <c r="A7192" s="8">
        <v>2040798</v>
      </c>
      <c r="B7192" s="11">
        <v>44644</v>
      </c>
      <c r="C7192" s="13" t="s">
        <v>9089</v>
      </c>
      <c r="D7192" s="13" t="s">
        <v>9090</v>
      </c>
      <c r="E7192" s="8">
        <v>18000</v>
      </c>
      <c r="F7192" s="13" t="s">
        <v>70</v>
      </c>
      <c r="G7192" s="14">
        <v>44704</v>
      </c>
      <c r="H7192" s="13" t="s">
        <v>35</v>
      </c>
    </row>
    <row r="7193" spans="1:8" ht="14.4" x14ac:dyDescent="0.3">
      <c r="A7193" s="8">
        <v>2040799</v>
      </c>
      <c r="B7193" s="11">
        <v>44644</v>
      </c>
      <c r="C7193" s="13" t="s">
        <v>9091</v>
      </c>
      <c r="D7193" s="13" t="s">
        <v>9092</v>
      </c>
      <c r="E7193" s="8">
        <v>10000</v>
      </c>
      <c r="F7193" s="13" t="s">
        <v>70</v>
      </c>
      <c r="G7193" s="14">
        <v>44685</v>
      </c>
      <c r="H7193" s="13" t="s">
        <v>35</v>
      </c>
    </row>
    <row r="7194" spans="1:8" ht="14.4" x14ac:dyDescent="0.3">
      <c r="A7194" s="8">
        <v>2040800</v>
      </c>
      <c r="B7194" s="11">
        <v>44644</v>
      </c>
      <c r="C7194" s="13" t="s">
        <v>763</v>
      </c>
      <c r="D7194" s="13" t="s">
        <v>9093</v>
      </c>
      <c r="E7194" s="8">
        <v>20000</v>
      </c>
      <c r="F7194" s="13" t="s">
        <v>70</v>
      </c>
      <c r="G7194" s="14">
        <v>44706</v>
      </c>
      <c r="H7194" s="13" t="s">
        <v>35</v>
      </c>
    </row>
    <row r="7195" spans="1:8" ht="14.4" x14ac:dyDescent="0.3">
      <c r="A7195" s="8">
        <v>2040801</v>
      </c>
      <c r="B7195" s="11">
        <v>44644</v>
      </c>
      <c r="C7195" s="13" t="s">
        <v>9094</v>
      </c>
      <c r="D7195" s="13" t="s">
        <v>9095</v>
      </c>
      <c r="E7195" s="8">
        <v>9000</v>
      </c>
      <c r="F7195" s="13" t="s">
        <v>70</v>
      </c>
      <c r="G7195" s="14">
        <v>44683</v>
      </c>
      <c r="H7195" s="13" t="s">
        <v>35</v>
      </c>
    </row>
    <row r="7196" spans="1:8" ht="14.4" x14ac:dyDescent="0.3">
      <c r="A7196" s="8">
        <v>2040802</v>
      </c>
      <c r="B7196" s="11">
        <v>44644</v>
      </c>
      <c r="C7196" s="13" t="s">
        <v>9096</v>
      </c>
      <c r="D7196" s="13" t="s">
        <v>9097</v>
      </c>
      <c r="E7196" s="8">
        <v>10000</v>
      </c>
      <c r="F7196" s="13" t="s">
        <v>70</v>
      </c>
      <c r="G7196" s="14">
        <v>44720</v>
      </c>
      <c r="H7196" s="13" t="s">
        <v>35</v>
      </c>
    </row>
    <row r="7197" spans="1:8" ht="14.4" x14ac:dyDescent="0.3">
      <c r="A7197" s="8">
        <v>2040803</v>
      </c>
      <c r="B7197" s="11">
        <v>44648</v>
      </c>
      <c r="C7197" s="13" t="s">
        <v>361</v>
      </c>
      <c r="D7197" s="13" t="s">
        <v>9098</v>
      </c>
      <c r="E7197" s="8">
        <v>23990.6</v>
      </c>
      <c r="F7197" s="13" t="s">
        <v>70</v>
      </c>
      <c r="G7197" s="14">
        <v>44649</v>
      </c>
      <c r="H7197" s="13" t="s">
        <v>35</v>
      </c>
    </row>
    <row r="7198" spans="1:8" ht="14.4" x14ac:dyDescent="0.3">
      <c r="A7198" s="8">
        <v>2040804</v>
      </c>
      <c r="B7198" s="11">
        <v>44648</v>
      </c>
      <c r="C7198" s="13" t="s">
        <v>44</v>
      </c>
      <c r="D7198" s="13" t="s">
        <v>9099</v>
      </c>
      <c r="E7198" s="8">
        <v>12075</v>
      </c>
      <c r="F7198" s="13" t="s">
        <v>70</v>
      </c>
      <c r="G7198" s="14">
        <v>44651</v>
      </c>
      <c r="H7198" s="13" t="s">
        <v>35</v>
      </c>
    </row>
    <row r="7199" spans="1:8" ht="14.4" x14ac:dyDescent="0.3">
      <c r="A7199" s="8">
        <v>2040805</v>
      </c>
      <c r="B7199" s="11">
        <v>44648</v>
      </c>
      <c r="C7199" s="13" t="s">
        <v>44</v>
      </c>
      <c r="D7199" s="13" t="s">
        <v>9100</v>
      </c>
      <c r="E7199" s="8">
        <v>12075</v>
      </c>
      <c r="F7199" s="13" t="s">
        <v>70</v>
      </c>
      <c r="G7199" s="14">
        <v>44651</v>
      </c>
      <c r="H7199" s="13" t="s">
        <v>35</v>
      </c>
    </row>
    <row r="7200" spans="1:8" ht="14.4" x14ac:dyDescent="0.3">
      <c r="A7200" s="8">
        <v>2040806</v>
      </c>
      <c r="B7200" s="11">
        <v>44648</v>
      </c>
      <c r="C7200" s="13" t="s">
        <v>1564</v>
      </c>
      <c r="D7200" s="13" t="s">
        <v>9101</v>
      </c>
      <c r="E7200" s="8">
        <v>3500</v>
      </c>
      <c r="F7200" s="13" t="s">
        <v>70</v>
      </c>
      <c r="G7200" s="14">
        <v>44680</v>
      </c>
      <c r="H7200" s="13" t="s">
        <v>35</v>
      </c>
    </row>
    <row r="7201" spans="1:8" ht="14.4" x14ac:dyDescent="0.3">
      <c r="A7201" s="8">
        <v>2040807</v>
      </c>
      <c r="B7201" s="11">
        <v>44648</v>
      </c>
      <c r="C7201" s="13" t="s">
        <v>395</v>
      </c>
      <c r="D7201" s="13" t="s">
        <v>9102</v>
      </c>
      <c r="E7201" s="8">
        <v>33158</v>
      </c>
      <c r="F7201" s="13" t="s">
        <v>70</v>
      </c>
      <c r="G7201" s="14">
        <v>44650</v>
      </c>
      <c r="H7201" s="13" t="s">
        <v>35</v>
      </c>
    </row>
    <row r="7202" spans="1:8" ht="14.4" x14ac:dyDescent="0.3">
      <c r="A7202" s="8">
        <v>2040808</v>
      </c>
      <c r="B7202" s="11">
        <v>44648</v>
      </c>
      <c r="C7202" s="13" t="s">
        <v>265</v>
      </c>
      <c r="D7202" s="13" t="s">
        <v>9103</v>
      </c>
      <c r="E7202" s="8">
        <v>163647.54999999999</v>
      </c>
      <c r="F7202" s="13" t="s">
        <v>70</v>
      </c>
      <c r="G7202" s="14">
        <v>44651</v>
      </c>
      <c r="H7202" s="13" t="s">
        <v>35</v>
      </c>
    </row>
    <row r="7203" spans="1:8" ht="14.4" x14ac:dyDescent="0.3">
      <c r="A7203" s="8">
        <v>2040809</v>
      </c>
      <c r="B7203" s="11">
        <v>44648</v>
      </c>
      <c r="C7203" s="13" t="s">
        <v>265</v>
      </c>
      <c r="D7203" s="13" t="s">
        <v>9104</v>
      </c>
      <c r="E7203" s="8">
        <v>24200</v>
      </c>
      <c r="F7203" s="13" t="s">
        <v>70</v>
      </c>
      <c r="G7203" s="14">
        <v>44651</v>
      </c>
      <c r="H7203" s="13" t="s">
        <v>35</v>
      </c>
    </row>
    <row r="7204" spans="1:8" ht="14.4" x14ac:dyDescent="0.3">
      <c r="A7204" s="8">
        <v>2040810</v>
      </c>
      <c r="B7204" s="11">
        <v>44648</v>
      </c>
      <c r="C7204" s="13" t="s">
        <v>44</v>
      </c>
      <c r="D7204" s="13" t="s">
        <v>9105</v>
      </c>
      <c r="E7204" s="8">
        <v>6310.68</v>
      </c>
      <c r="F7204" s="13" t="s">
        <v>70</v>
      </c>
      <c r="G7204" s="14">
        <v>44651</v>
      </c>
      <c r="H7204" s="13" t="s">
        <v>35</v>
      </c>
    </row>
    <row r="7205" spans="1:8" ht="14.4" x14ac:dyDescent="0.3">
      <c r="A7205" s="8">
        <v>2040811</v>
      </c>
      <c r="B7205" s="11">
        <v>44648</v>
      </c>
      <c r="C7205" s="13" t="s">
        <v>677</v>
      </c>
      <c r="D7205" s="13" t="s">
        <v>9106</v>
      </c>
      <c r="E7205" s="8">
        <v>31060.02</v>
      </c>
      <c r="F7205" s="13" t="s">
        <v>70</v>
      </c>
      <c r="G7205" s="14">
        <v>44651</v>
      </c>
      <c r="H7205" s="13" t="s">
        <v>35</v>
      </c>
    </row>
    <row r="7206" spans="1:8" ht="14.4" x14ac:dyDescent="0.3">
      <c r="A7206" s="8">
        <v>2040812</v>
      </c>
      <c r="B7206" s="11">
        <v>44648</v>
      </c>
      <c r="C7206" s="13" t="s">
        <v>53</v>
      </c>
      <c r="D7206" s="13" t="s">
        <v>9107</v>
      </c>
      <c r="E7206" s="8">
        <v>232196.3</v>
      </c>
      <c r="F7206" s="13" t="s">
        <v>70</v>
      </c>
      <c r="G7206" s="14">
        <v>44650</v>
      </c>
      <c r="H7206" s="13" t="s">
        <v>35</v>
      </c>
    </row>
    <row r="7207" spans="1:8" ht="14.4" x14ac:dyDescent="0.3">
      <c r="A7207" s="8">
        <v>2040813</v>
      </c>
      <c r="B7207" s="11">
        <v>44648</v>
      </c>
      <c r="C7207" s="13" t="s">
        <v>52</v>
      </c>
      <c r="D7207" s="13" t="s">
        <v>9108</v>
      </c>
      <c r="E7207" s="8">
        <v>75850.720000000001</v>
      </c>
      <c r="F7207" s="13" t="s">
        <v>70</v>
      </c>
      <c r="G7207" s="14">
        <v>44655</v>
      </c>
      <c r="H7207" s="13" t="s">
        <v>35</v>
      </c>
    </row>
    <row r="7208" spans="1:8" ht="14.4" x14ac:dyDescent="0.3">
      <c r="A7208" s="8">
        <v>2040814</v>
      </c>
      <c r="B7208" s="11">
        <v>44648</v>
      </c>
      <c r="C7208" s="13" t="s">
        <v>361</v>
      </c>
      <c r="D7208" s="13" t="s">
        <v>9109</v>
      </c>
      <c r="E7208" s="8">
        <v>36077.67</v>
      </c>
      <c r="F7208" s="13" t="s">
        <v>70</v>
      </c>
      <c r="G7208" s="14">
        <v>44649</v>
      </c>
      <c r="H7208" s="13" t="s">
        <v>35</v>
      </c>
    </row>
    <row r="7209" spans="1:8" ht="14.4" x14ac:dyDescent="0.3">
      <c r="A7209" s="8">
        <v>2040815</v>
      </c>
      <c r="B7209" s="11">
        <v>44648</v>
      </c>
      <c r="C7209" s="13" t="s">
        <v>850</v>
      </c>
      <c r="D7209" s="13" t="s">
        <v>9110</v>
      </c>
      <c r="E7209" s="8">
        <v>2000</v>
      </c>
      <c r="F7209" s="13" t="s">
        <v>70</v>
      </c>
      <c r="G7209" s="14">
        <v>44657</v>
      </c>
      <c r="H7209" s="13" t="s">
        <v>35</v>
      </c>
    </row>
    <row r="7210" spans="1:8" ht="14.4" x14ac:dyDescent="0.3">
      <c r="A7210" s="8">
        <v>2040816</v>
      </c>
      <c r="B7210" s="11">
        <v>44648</v>
      </c>
      <c r="C7210" s="13" t="s">
        <v>851</v>
      </c>
      <c r="D7210" s="13" t="s">
        <v>9110</v>
      </c>
      <c r="E7210" s="8">
        <v>2000</v>
      </c>
      <c r="F7210" s="13" t="s">
        <v>70</v>
      </c>
      <c r="G7210" s="14">
        <v>44657</v>
      </c>
      <c r="H7210" s="13" t="s">
        <v>35</v>
      </c>
    </row>
    <row r="7211" spans="1:8" ht="14.4" x14ac:dyDescent="0.3">
      <c r="A7211" s="8">
        <v>2040817</v>
      </c>
      <c r="B7211" s="11">
        <v>44648</v>
      </c>
      <c r="C7211" s="13" t="s">
        <v>2791</v>
      </c>
      <c r="D7211" s="13" t="s">
        <v>9110</v>
      </c>
      <c r="E7211" s="8">
        <v>2000</v>
      </c>
      <c r="F7211" s="13" t="s">
        <v>70</v>
      </c>
      <c r="G7211" s="14">
        <v>44657</v>
      </c>
      <c r="H7211" s="13" t="s">
        <v>35</v>
      </c>
    </row>
    <row r="7212" spans="1:8" ht="14.4" x14ac:dyDescent="0.3">
      <c r="A7212" s="8">
        <v>2040818</v>
      </c>
      <c r="B7212" s="11">
        <v>44648</v>
      </c>
      <c r="C7212" s="13" t="s">
        <v>2792</v>
      </c>
      <c r="D7212" s="13" t="s">
        <v>9110</v>
      </c>
      <c r="E7212" s="8">
        <v>2000</v>
      </c>
      <c r="F7212" s="13" t="s">
        <v>70</v>
      </c>
      <c r="G7212" s="14">
        <v>44657</v>
      </c>
      <c r="H7212" s="13" t="s">
        <v>35</v>
      </c>
    </row>
    <row r="7213" spans="1:8" ht="14.4" x14ac:dyDescent="0.3">
      <c r="A7213" s="8">
        <v>2040819</v>
      </c>
      <c r="B7213" s="11">
        <v>44648</v>
      </c>
      <c r="C7213" s="13" t="s">
        <v>854</v>
      </c>
      <c r="D7213" s="13" t="s">
        <v>9110</v>
      </c>
      <c r="E7213" s="8">
        <v>2000</v>
      </c>
      <c r="F7213" s="13" t="s">
        <v>70</v>
      </c>
      <c r="G7213" s="14">
        <v>44657</v>
      </c>
      <c r="H7213" s="13" t="s">
        <v>35</v>
      </c>
    </row>
    <row r="7214" spans="1:8" ht="14.4" x14ac:dyDescent="0.3">
      <c r="A7214" s="8">
        <v>2040820</v>
      </c>
      <c r="B7214" s="11">
        <v>44648</v>
      </c>
      <c r="C7214" s="13" t="s">
        <v>9111</v>
      </c>
      <c r="D7214" s="13" t="s">
        <v>3451</v>
      </c>
      <c r="E7214" s="8">
        <v>3449.42</v>
      </c>
      <c r="F7214" s="13" t="s">
        <v>70</v>
      </c>
      <c r="G7214" s="14">
        <v>44650</v>
      </c>
      <c r="H7214" s="13" t="s">
        <v>35</v>
      </c>
    </row>
    <row r="7215" spans="1:8" ht="14.4" x14ac:dyDescent="0.3">
      <c r="A7215" s="8">
        <v>2040821</v>
      </c>
      <c r="B7215" s="11">
        <v>44648</v>
      </c>
      <c r="C7215" s="13" t="s">
        <v>9112</v>
      </c>
      <c r="D7215" s="13" t="s">
        <v>3451</v>
      </c>
      <c r="E7215" s="8">
        <v>1826.16</v>
      </c>
      <c r="F7215" s="13" t="s">
        <v>70</v>
      </c>
      <c r="G7215" s="14">
        <v>44650</v>
      </c>
      <c r="H7215" s="13" t="s">
        <v>35</v>
      </c>
    </row>
    <row r="7216" spans="1:8" ht="14.4" x14ac:dyDescent="0.3">
      <c r="A7216" s="8">
        <v>2040822</v>
      </c>
      <c r="B7216" s="11">
        <v>44648</v>
      </c>
      <c r="C7216" s="13" t="s">
        <v>9113</v>
      </c>
      <c r="D7216" s="13" t="s">
        <v>3451</v>
      </c>
      <c r="E7216" s="8">
        <v>384.12</v>
      </c>
      <c r="F7216" s="13" t="s">
        <v>70</v>
      </c>
      <c r="G7216" s="14">
        <v>44650</v>
      </c>
      <c r="H7216" s="13" t="s">
        <v>35</v>
      </c>
    </row>
    <row r="7217" spans="1:8" ht="14.4" x14ac:dyDescent="0.3">
      <c r="A7217" s="8">
        <v>2040823</v>
      </c>
      <c r="B7217" s="11">
        <v>44648</v>
      </c>
      <c r="C7217" s="13" t="s">
        <v>9114</v>
      </c>
      <c r="D7217" s="13" t="s">
        <v>3451</v>
      </c>
      <c r="E7217" s="8">
        <v>1495.32</v>
      </c>
      <c r="F7217" s="13" t="s">
        <v>70</v>
      </c>
      <c r="G7217" s="14">
        <v>44649</v>
      </c>
      <c r="H7217" s="13" t="s">
        <v>35</v>
      </c>
    </row>
    <row r="7218" spans="1:8" ht="14.4" x14ac:dyDescent="0.3">
      <c r="A7218" s="8">
        <v>2040824</v>
      </c>
      <c r="B7218" s="11">
        <v>44648</v>
      </c>
      <c r="C7218" s="13" t="s">
        <v>9115</v>
      </c>
      <c r="D7218" s="13" t="s">
        <v>3451</v>
      </c>
      <c r="E7218" s="8">
        <v>1756.3</v>
      </c>
      <c r="F7218" s="13" t="s">
        <v>70</v>
      </c>
      <c r="G7218" s="14">
        <v>44650</v>
      </c>
      <c r="H7218" s="13" t="s">
        <v>35</v>
      </c>
    </row>
    <row r="7219" spans="1:8" ht="14.4" x14ac:dyDescent="0.3">
      <c r="A7219" s="8">
        <v>2040825</v>
      </c>
      <c r="B7219" s="11">
        <v>44648</v>
      </c>
      <c r="C7219" s="13" t="s">
        <v>8824</v>
      </c>
      <c r="D7219" s="13" t="s">
        <v>3451</v>
      </c>
      <c r="E7219" s="8">
        <v>4349.37</v>
      </c>
      <c r="F7219" s="13" t="s">
        <v>70</v>
      </c>
      <c r="G7219" s="14">
        <v>44651</v>
      </c>
      <c r="H7219" s="13" t="s">
        <v>35</v>
      </c>
    </row>
    <row r="7220" spans="1:8" ht="14.4" x14ac:dyDescent="0.3">
      <c r="A7220" s="8">
        <v>2040826</v>
      </c>
      <c r="B7220" s="11">
        <v>44648</v>
      </c>
      <c r="C7220" s="13" t="s">
        <v>9116</v>
      </c>
      <c r="D7220" s="13" t="s">
        <v>3451</v>
      </c>
      <c r="E7220" s="8">
        <v>4397.75</v>
      </c>
      <c r="F7220" s="13" t="s">
        <v>70</v>
      </c>
      <c r="G7220" s="14">
        <v>44650</v>
      </c>
      <c r="H7220" s="13" t="s">
        <v>35</v>
      </c>
    </row>
    <row r="7221" spans="1:8" ht="14.4" x14ac:dyDescent="0.3">
      <c r="A7221" s="8">
        <v>2040827</v>
      </c>
      <c r="B7221" s="11">
        <v>44648</v>
      </c>
      <c r="C7221" s="13" t="s">
        <v>9117</v>
      </c>
      <c r="D7221" s="13" t="s">
        <v>3451</v>
      </c>
      <c r="E7221" s="8">
        <v>3341.98</v>
      </c>
      <c r="F7221" s="13" t="s">
        <v>70</v>
      </c>
      <c r="G7221" s="14">
        <v>44650</v>
      </c>
      <c r="H7221" s="13" t="s">
        <v>35</v>
      </c>
    </row>
    <row r="7222" spans="1:8" ht="14.4" x14ac:dyDescent="0.3">
      <c r="A7222" s="8">
        <v>2040828</v>
      </c>
      <c r="B7222" s="11">
        <v>44648</v>
      </c>
      <c r="C7222" s="13" t="s">
        <v>9118</v>
      </c>
      <c r="D7222" s="13" t="s">
        <v>3451</v>
      </c>
      <c r="E7222" s="8">
        <v>626.28</v>
      </c>
      <c r="F7222" s="13" t="s">
        <v>70</v>
      </c>
      <c r="G7222" s="14">
        <v>44650</v>
      </c>
      <c r="H7222" s="13" t="s">
        <v>35</v>
      </c>
    </row>
    <row r="7223" spans="1:8" ht="14.4" x14ac:dyDescent="0.3">
      <c r="A7223" s="8">
        <v>2040829</v>
      </c>
      <c r="B7223" s="11">
        <v>44648</v>
      </c>
      <c r="C7223" s="13" t="s">
        <v>9119</v>
      </c>
      <c r="D7223" s="13" t="s">
        <v>3451</v>
      </c>
      <c r="E7223" s="8">
        <v>3341.98</v>
      </c>
      <c r="F7223" s="13" t="s">
        <v>70</v>
      </c>
      <c r="G7223" s="14">
        <v>44650</v>
      </c>
      <c r="H7223" s="13" t="s">
        <v>35</v>
      </c>
    </row>
    <row r="7224" spans="1:8" ht="14.4" x14ac:dyDescent="0.3">
      <c r="A7224" s="8">
        <v>2040830</v>
      </c>
      <c r="B7224" s="11">
        <v>44648</v>
      </c>
      <c r="C7224" s="13" t="s">
        <v>9120</v>
      </c>
      <c r="D7224" s="13" t="s">
        <v>3451</v>
      </c>
      <c r="E7224" s="8">
        <v>1838.16</v>
      </c>
      <c r="F7224" s="13" t="s">
        <v>70</v>
      </c>
      <c r="G7224" s="14">
        <v>44650</v>
      </c>
      <c r="H7224" s="13" t="s">
        <v>35</v>
      </c>
    </row>
    <row r="7225" spans="1:8" ht="14.4" x14ac:dyDescent="0.3">
      <c r="A7225" s="8">
        <v>2040831</v>
      </c>
      <c r="B7225" s="11">
        <v>44648</v>
      </c>
      <c r="C7225" s="13" t="s">
        <v>9121</v>
      </c>
      <c r="D7225" s="13" t="s">
        <v>3451</v>
      </c>
      <c r="E7225" s="8">
        <v>1756.3</v>
      </c>
      <c r="F7225" s="13" t="s">
        <v>70</v>
      </c>
      <c r="G7225" s="14">
        <v>44650</v>
      </c>
      <c r="H7225" s="13" t="s">
        <v>35</v>
      </c>
    </row>
    <row r="7226" spans="1:8" ht="14.4" x14ac:dyDescent="0.3">
      <c r="A7226" s="8">
        <v>2040832</v>
      </c>
      <c r="B7226" s="11">
        <v>44648</v>
      </c>
      <c r="C7226" s="13" t="s">
        <v>9122</v>
      </c>
      <c r="D7226" s="13" t="s">
        <v>3451</v>
      </c>
      <c r="E7226" s="8">
        <v>3341.98</v>
      </c>
      <c r="F7226" s="13" t="s">
        <v>70</v>
      </c>
      <c r="G7226" s="14">
        <v>44649</v>
      </c>
      <c r="H7226" s="13" t="s">
        <v>35</v>
      </c>
    </row>
    <row r="7227" spans="1:8" ht="14.4" x14ac:dyDescent="0.3">
      <c r="A7227" s="8">
        <v>2040833</v>
      </c>
      <c r="B7227" s="11">
        <v>44648</v>
      </c>
      <c r="C7227" s="13" t="s">
        <v>9123</v>
      </c>
      <c r="D7227" s="13" t="s">
        <v>3451</v>
      </c>
      <c r="E7227" s="8">
        <v>3341.98</v>
      </c>
      <c r="F7227" s="13" t="s">
        <v>70</v>
      </c>
      <c r="G7227" s="14">
        <v>44649</v>
      </c>
      <c r="H7227" s="13" t="s">
        <v>35</v>
      </c>
    </row>
    <row r="7228" spans="1:8" ht="14.4" x14ac:dyDescent="0.3">
      <c r="A7228" s="8">
        <v>2040834</v>
      </c>
      <c r="B7228" s="11">
        <v>44648</v>
      </c>
      <c r="C7228" s="13" t="s">
        <v>44</v>
      </c>
      <c r="D7228" s="13" t="s">
        <v>9124</v>
      </c>
      <c r="E7228" s="8">
        <v>2061.56</v>
      </c>
      <c r="F7228" s="13" t="s">
        <v>70</v>
      </c>
      <c r="G7228" s="14">
        <v>44651</v>
      </c>
      <c r="H7228" s="13" t="s">
        <v>35</v>
      </c>
    </row>
    <row r="7229" spans="1:8" ht="14.4" x14ac:dyDescent="0.3">
      <c r="A7229" s="8">
        <v>2040835</v>
      </c>
      <c r="B7229" s="11">
        <v>44648</v>
      </c>
      <c r="C7229" s="13" t="s">
        <v>748</v>
      </c>
      <c r="D7229" s="13" t="s">
        <v>9125</v>
      </c>
      <c r="E7229" s="8">
        <v>4124.07</v>
      </c>
      <c r="F7229" s="13" t="s">
        <v>70</v>
      </c>
      <c r="G7229" s="14">
        <v>44650</v>
      </c>
      <c r="H7229" s="13" t="s">
        <v>35</v>
      </c>
    </row>
    <row r="7230" spans="1:8" ht="14.4" x14ac:dyDescent="0.3">
      <c r="A7230" s="8">
        <v>2040836</v>
      </c>
      <c r="B7230" s="11">
        <v>44648</v>
      </c>
      <c r="C7230" s="13" t="s">
        <v>748</v>
      </c>
      <c r="D7230" s="13" t="s">
        <v>9126</v>
      </c>
      <c r="E7230" s="8">
        <v>3972.18</v>
      </c>
      <c r="F7230" s="13" t="s">
        <v>70</v>
      </c>
      <c r="G7230" s="14">
        <v>44650</v>
      </c>
      <c r="H7230" s="13" t="s">
        <v>35</v>
      </c>
    </row>
    <row r="7231" spans="1:8" ht="14.4" x14ac:dyDescent="0.3">
      <c r="A7231" s="8">
        <v>2040837</v>
      </c>
      <c r="B7231" s="11">
        <v>44648</v>
      </c>
      <c r="C7231" s="13" t="s">
        <v>44</v>
      </c>
      <c r="D7231" s="13" t="s">
        <v>9127</v>
      </c>
      <c r="E7231" s="8">
        <v>14591.66</v>
      </c>
      <c r="F7231" s="13" t="s">
        <v>70</v>
      </c>
      <c r="G7231" s="14">
        <v>44651</v>
      </c>
      <c r="H7231" s="13" t="s">
        <v>35</v>
      </c>
    </row>
    <row r="7232" spans="1:8" ht="14.4" x14ac:dyDescent="0.3">
      <c r="A7232" s="8">
        <v>2040838</v>
      </c>
      <c r="B7232" s="11">
        <v>44648</v>
      </c>
      <c r="C7232" s="13" t="s">
        <v>162</v>
      </c>
      <c r="D7232" s="13" t="s">
        <v>9128</v>
      </c>
      <c r="E7232" s="8">
        <v>15338.09</v>
      </c>
      <c r="F7232" s="13" t="s">
        <v>70</v>
      </c>
      <c r="G7232" s="14">
        <v>44655</v>
      </c>
      <c r="H7232" s="13" t="s">
        <v>35</v>
      </c>
    </row>
    <row r="7233" spans="1:8" ht="14.4" x14ac:dyDescent="0.3">
      <c r="A7233" s="8">
        <v>2040839</v>
      </c>
      <c r="B7233" s="11">
        <v>44648</v>
      </c>
      <c r="C7233" s="13" t="s">
        <v>4953</v>
      </c>
      <c r="D7233" s="13" t="s">
        <v>9129</v>
      </c>
      <c r="E7233" s="8">
        <v>9369.65</v>
      </c>
      <c r="F7233" s="13" t="s">
        <v>70</v>
      </c>
      <c r="G7233" s="14">
        <v>44651</v>
      </c>
      <c r="H7233" s="13" t="s">
        <v>35</v>
      </c>
    </row>
    <row r="7234" spans="1:8" ht="14.4" x14ac:dyDescent="0.3">
      <c r="A7234" s="8">
        <v>2040840</v>
      </c>
      <c r="B7234" s="11">
        <v>44648</v>
      </c>
      <c r="C7234" s="13" t="s">
        <v>361</v>
      </c>
      <c r="D7234" s="13" t="s">
        <v>9130</v>
      </c>
      <c r="E7234" s="8">
        <v>37424.660000000003</v>
      </c>
      <c r="F7234" s="13" t="s">
        <v>70</v>
      </c>
      <c r="G7234" s="14">
        <v>44649</v>
      </c>
      <c r="H7234" s="13" t="s">
        <v>35</v>
      </c>
    </row>
    <row r="7235" spans="1:8" ht="14.4" x14ac:dyDescent="0.3">
      <c r="A7235" s="8">
        <v>2040841</v>
      </c>
      <c r="B7235" s="11">
        <v>44648</v>
      </c>
      <c r="C7235" s="13" t="s">
        <v>621</v>
      </c>
      <c r="D7235" s="13" t="s">
        <v>9131</v>
      </c>
      <c r="E7235" s="8">
        <v>32536</v>
      </c>
      <c r="F7235" s="13" t="s">
        <v>70</v>
      </c>
      <c r="G7235" s="14">
        <v>44649</v>
      </c>
      <c r="H7235" s="13" t="s">
        <v>35</v>
      </c>
    </row>
    <row r="7236" spans="1:8" ht="14.4" x14ac:dyDescent="0.3">
      <c r="A7236" s="8">
        <v>2040842</v>
      </c>
      <c r="B7236" s="11">
        <v>44648</v>
      </c>
      <c r="C7236" s="13" t="s">
        <v>502</v>
      </c>
      <c r="D7236" s="13" t="s">
        <v>9132</v>
      </c>
      <c r="E7236" s="8">
        <v>13810.02</v>
      </c>
      <c r="F7236" s="13" t="s">
        <v>70</v>
      </c>
      <c r="G7236" s="14">
        <v>44651</v>
      </c>
      <c r="H7236" s="13" t="s">
        <v>35</v>
      </c>
    </row>
    <row r="7237" spans="1:8" ht="14.4" x14ac:dyDescent="0.3">
      <c r="A7237" s="8">
        <v>2040843</v>
      </c>
      <c r="B7237" s="11">
        <v>44648</v>
      </c>
      <c r="C7237" s="13" t="s">
        <v>1286</v>
      </c>
      <c r="D7237" s="13" t="s">
        <v>9133</v>
      </c>
      <c r="E7237" s="8">
        <v>151380.78</v>
      </c>
      <c r="F7237" s="13" t="s">
        <v>70</v>
      </c>
      <c r="G7237" s="14">
        <v>44655</v>
      </c>
      <c r="H7237" s="13" t="s">
        <v>35</v>
      </c>
    </row>
    <row r="7238" spans="1:8" ht="14.4" x14ac:dyDescent="0.3">
      <c r="A7238" s="8">
        <v>2040844</v>
      </c>
      <c r="B7238" s="11">
        <v>44648</v>
      </c>
      <c r="C7238" s="13" t="s">
        <v>1286</v>
      </c>
      <c r="D7238" s="13" t="s">
        <v>9134</v>
      </c>
      <c r="E7238" s="8">
        <v>85133.2</v>
      </c>
      <c r="F7238" s="13" t="s">
        <v>70</v>
      </c>
      <c r="G7238" s="14">
        <v>44655</v>
      </c>
      <c r="H7238" s="13" t="s">
        <v>35</v>
      </c>
    </row>
    <row r="7239" spans="1:8" ht="14.4" x14ac:dyDescent="0.3">
      <c r="A7239" s="8">
        <v>2040845</v>
      </c>
      <c r="B7239" s="11">
        <v>44649</v>
      </c>
      <c r="C7239" s="13" t="s">
        <v>180</v>
      </c>
      <c r="D7239" s="13" t="s">
        <v>9135</v>
      </c>
      <c r="E7239" s="8">
        <v>94000</v>
      </c>
      <c r="F7239" s="13" t="s">
        <v>70</v>
      </c>
      <c r="G7239" s="14">
        <v>44647</v>
      </c>
      <c r="H7239" s="13" t="s">
        <v>35</v>
      </c>
    </row>
    <row r="7240" spans="1:8" ht="14.4" x14ac:dyDescent="0.3">
      <c r="A7240" s="8">
        <v>2040846</v>
      </c>
      <c r="B7240" s="11">
        <v>44649</v>
      </c>
      <c r="C7240" s="13" t="s">
        <v>844</v>
      </c>
      <c r="D7240" s="13" t="s">
        <v>9136</v>
      </c>
      <c r="E7240" s="8">
        <v>2000</v>
      </c>
      <c r="F7240" s="13" t="s">
        <v>70</v>
      </c>
      <c r="G7240" s="14">
        <v>44657</v>
      </c>
      <c r="H7240" s="13" t="s">
        <v>35</v>
      </c>
    </row>
    <row r="7241" spans="1:8" ht="14.4" x14ac:dyDescent="0.3">
      <c r="A7241" s="8">
        <v>2040847</v>
      </c>
      <c r="B7241" s="11">
        <v>44649</v>
      </c>
      <c r="C7241" s="13" t="s">
        <v>836</v>
      </c>
      <c r="D7241" s="13" t="s">
        <v>9110</v>
      </c>
      <c r="E7241" s="8">
        <v>2000</v>
      </c>
      <c r="F7241" s="13" t="s">
        <v>70</v>
      </c>
      <c r="G7241" s="14">
        <v>44657</v>
      </c>
      <c r="H7241" s="13" t="s">
        <v>35</v>
      </c>
    </row>
    <row r="7242" spans="1:8" ht="14.4" x14ac:dyDescent="0.3">
      <c r="A7242" s="8">
        <v>2040848</v>
      </c>
      <c r="B7242" s="11">
        <v>44649</v>
      </c>
      <c r="C7242" s="13" t="s">
        <v>846</v>
      </c>
      <c r="D7242" s="13" t="s">
        <v>9110</v>
      </c>
      <c r="E7242" s="8">
        <v>2000</v>
      </c>
      <c r="F7242" s="13" t="s">
        <v>70</v>
      </c>
      <c r="G7242" s="14">
        <v>44657</v>
      </c>
      <c r="H7242" s="13" t="s">
        <v>35</v>
      </c>
    </row>
    <row r="7243" spans="1:8" ht="14.4" x14ac:dyDescent="0.3">
      <c r="A7243" s="8">
        <v>2040849</v>
      </c>
      <c r="B7243" s="11">
        <v>44649</v>
      </c>
      <c r="C7243" s="13" t="s">
        <v>847</v>
      </c>
      <c r="D7243" s="13" t="s">
        <v>9110</v>
      </c>
      <c r="E7243" s="8">
        <v>2000</v>
      </c>
      <c r="F7243" s="13" t="s">
        <v>70</v>
      </c>
      <c r="G7243" s="14">
        <v>44657</v>
      </c>
      <c r="H7243" s="13" t="s">
        <v>35</v>
      </c>
    </row>
    <row r="7244" spans="1:8" ht="14.4" x14ac:dyDescent="0.3">
      <c r="A7244" s="8">
        <v>2040850</v>
      </c>
      <c r="B7244" s="11">
        <v>44649</v>
      </c>
      <c r="C7244" s="13" t="s">
        <v>848</v>
      </c>
      <c r="D7244" s="13" t="s">
        <v>9110</v>
      </c>
      <c r="E7244" s="8">
        <v>2000</v>
      </c>
      <c r="F7244" s="13" t="s">
        <v>70</v>
      </c>
      <c r="G7244" s="14">
        <v>44657</v>
      </c>
      <c r="H7244" s="13" t="s">
        <v>35</v>
      </c>
    </row>
    <row r="7245" spans="1:8" ht="14.4" x14ac:dyDescent="0.3">
      <c r="A7245" s="8">
        <v>2040851</v>
      </c>
      <c r="B7245" s="11">
        <v>44649</v>
      </c>
      <c r="C7245" s="13" t="s">
        <v>849</v>
      </c>
      <c r="D7245" s="13" t="s">
        <v>9110</v>
      </c>
      <c r="E7245" s="8">
        <v>2000</v>
      </c>
      <c r="F7245" s="13" t="s">
        <v>70</v>
      </c>
      <c r="G7245" s="14">
        <v>44657</v>
      </c>
      <c r="H7245" s="13" t="s">
        <v>35</v>
      </c>
    </row>
    <row r="7246" spans="1:8" ht="14.4" x14ac:dyDescent="0.3">
      <c r="A7246" s="8">
        <v>2040852</v>
      </c>
      <c r="B7246" s="11">
        <v>44649</v>
      </c>
      <c r="C7246" s="13" t="s">
        <v>9137</v>
      </c>
      <c r="D7246" s="13" t="s">
        <v>3451</v>
      </c>
      <c r="E7246" s="8">
        <v>3341.98</v>
      </c>
      <c r="F7246" s="13" t="s">
        <v>70</v>
      </c>
      <c r="G7246" s="14">
        <v>44652</v>
      </c>
      <c r="H7246" s="13" t="s">
        <v>35</v>
      </c>
    </row>
    <row r="7247" spans="1:8" ht="14.4" x14ac:dyDescent="0.3">
      <c r="A7247" s="8">
        <v>2040853</v>
      </c>
      <c r="B7247" s="11">
        <v>44649</v>
      </c>
      <c r="C7247" s="13" t="s">
        <v>621</v>
      </c>
      <c r="D7247" s="13" t="s">
        <v>9138</v>
      </c>
      <c r="E7247" s="8">
        <v>82516</v>
      </c>
      <c r="F7247" s="13" t="s">
        <v>70</v>
      </c>
      <c r="G7247" s="14">
        <v>44650</v>
      </c>
      <c r="H7247" s="13" t="s">
        <v>35</v>
      </c>
    </row>
    <row r="7248" spans="1:8" ht="14.4" x14ac:dyDescent="0.3">
      <c r="A7248" s="8">
        <v>2040854</v>
      </c>
      <c r="B7248" s="11">
        <v>44649</v>
      </c>
      <c r="C7248" s="13" t="s">
        <v>405</v>
      </c>
      <c r="D7248" s="13" t="s">
        <v>9139</v>
      </c>
      <c r="E7248" s="8">
        <v>15625.59</v>
      </c>
      <c r="F7248" s="13" t="s">
        <v>70</v>
      </c>
      <c r="G7248" s="14">
        <v>44650</v>
      </c>
      <c r="H7248" s="13" t="s">
        <v>35</v>
      </c>
    </row>
    <row r="7249" spans="1:8" ht="14.4" x14ac:dyDescent="0.3">
      <c r="A7249" s="8">
        <v>2040855</v>
      </c>
      <c r="B7249" s="11">
        <v>44649</v>
      </c>
      <c r="C7249" s="13" t="s">
        <v>405</v>
      </c>
      <c r="D7249" s="13" t="s">
        <v>9140</v>
      </c>
      <c r="E7249" s="8">
        <v>77116.320000000007</v>
      </c>
      <c r="F7249" s="13" t="s">
        <v>70</v>
      </c>
      <c r="G7249" s="14">
        <v>44650</v>
      </c>
      <c r="H7249" s="13" t="s">
        <v>35</v>
      </c>
    </row>
    <row r="7250" spans="1:8" ht="14.4" x14ac:dyDescent="0.3">
      <c r="A7250" s="8">
        <v>2040856</v>
      </c>
      <c r="B7250" s="11">
        <v>44649</v>
      </c>
      <c r="C7250" s="13" t="s">
        <v>127</v>
      </c>
      <c r="D7250" s="13" t="s">
        <v>9141</v>
      </c>
      <c r="E7250" s="8">
        <v>209760</v>
      </c>
      <c r="F7250" s="13" t="s">
        <v>70</v>
      </c>
      <c r="G7250" s="14">
        <v>44650</v>
      </c>
      <c r="H7250" s="13" t="s">
        <v>35</v>
      </c>
    </row>
    <row r="7251" spans="1:8" ht="14.4" x14ac:dyDescent="0.3">
      <c r="A7251" s="8">
        <v>2040857</v>
      </c>
      <c r="B7251" s="11">
        <v>44649</v>
      </c>
      <c r="C7251" s="13" t="s">
        <v>162</v>
      </c>
      <c r="D7251" s="13" t="s">
        <v>9142</v>
      </c>
      <c r="E7251" s="8">
        <v>92330.82</v>
      </c>
      <c r="F7251" s="13" t="s">
        <v>70</v>
      </c>
      <c r="G7251" s="14">
        <v>44659</v>
      </c>
      <c r="H7251" s="13" t="s">
        <v>35</v>
      </c>
    </row>
    <row r="7252" spans="1:8" ht="14.4" x14ac:dyDescent="0.3">
      <c r="A7252" s="8">
        <v>2040858</v>
      </c>
      <c r="B7252" s="11">
        <v>44649</v>
      </c>
      <c r="C7252" s="13" t="s">
        <v>162</v>
      </c>
      <c r="D7252" s="13" t="s">
        <v>9143</v>
      </c>
      <c r="E7252" s="8">
        <v>644023.31000000006</v>
      </c>
      <c r="F7252" s="13" t="s">
        <v>70</v>
      </c>
      <c r="G7252" s="14">
        <v>44656</v>
      </c>
      <c r="H7252" s="13" t="s">
        <v>35</v>
      </c>
    </row>
    <row r="7253" spans="1:8" ht="14.4" x14ac:dyDescent="0.3">
      <c r="A7253" s="8">
        <v>2040859</v>
      </c>
      <c r="B7253" s="11">
        <v>44649</v>
      </c>
      <c r="C7253" s="13" t="s">
        <v>384</v>
      </c>
      <c r="D7253" s="13" t="s">
        <v>9144</v>
      </c>
      <c r="E7253" s="8">
        <v>36181.65</v>
      </c>
      <c r="F7253" s="13" t="s">
        <v>70</v>
      </c>
      <c r="G7253" s="14">
        <v>44651</v>
      </c>
      <c r="H7253" s="13" t="s">
        <v>35</v>
      </c>
    </row>
    <row r="7254" spans="1:8" ht="14.4" x14ac:dyDescent="0.3">
      <c r="A7254" s="8">
        <v>2040860</v>
      </c>
      <c r="B7254" s="11">
        <v>44649</v>
      </c>
      <c r="C7254" s="13" t="s">
        <v>384</v>
      </c>
      <c r="D7254" s="13" t="s">
        <v>9145</v>
      </c>
      <c r="E7254" s="8">
        <v>2457965.67</v>
      </c>
      <c r="F7254" s="13" t="s">
        <v>70</v>
      </c>
      <c r="G7254" s="14">
        <v>44651</v>
      </c>
      <c r="H7254" s="13" t="s">
        <v>35</v>
      </c>
    </row>
    <row r="7255" spans="1:8" ht="14.4" x14ac:dyDescent="0.3">
      <c r="A7255" s="8">
        <v>2040861</v>
      </c>
      <c r="B7255" s="11">
        <v>44649</v>
      </c>
      <c r="C7255" s="13" t="s">
        <v>162</v>
      </c>
      <c r="D7255" s="13" t="s">
        <v>9146</v>
      </c>
      <c r="E7255" s="8">
        <v>17737.97</v>
      </c>
      <c r="F7255" s="13" t="s">
        <v>70</v>
      </c>
      <c r="G7255" s="14">
        <v>44655</v>
      </c>
      <c r="H7255" s="13" t="s">
        <v>35</v>
      </c>
    </row>
    <row r="7256" spans="1:8" ht="14.4" x14ac:dyDescent="0.3">
      <c r="A7256" s="8">
        <v>2040862</v>
      </c>
      <c r="B7256" s="11">
        <v>44649</v>
      </c>
      <c r="C7256" s="13" t="s">
        <v>162</v>
      </c>
      <c r="D7256" s="13" t="s">
        <v>9147</v>
      </c>
      <c r="E7256" s="8">
        <v>4381.24</v>
      </c>
      <c r="F7256" s="13" t="s">
        <v>70</v>
      </c>
      <c r="G7256" s="14">
        <v>44656</v>
      </c>
      <c r="H7256" s="13" t="s">
        <v>35</v>
      </c>
    </row>
    <row r="7257" spans="1:8" ht="14.4" x14ac:dyDescent="0.3">
      <c r="A7257" s="8">
        <v>2040863</v>
      </c>
      <c r="B7257" s="11">
        <v>44649</v>
      </c>
      <c r="C7257" s="13" t="s">
        <v>162</v>
      </c>
      <c r="D7257" s="13" t="s">
        <v>9148</v>
      </c>
      <c r="E7257" s="8">
        <v>549631.88</v>
      </c>
      <c r="F7257" s="13" t="s">
        <v>70</v>
      </c>
      <c r="G7257" s="14">
        <v>44656</v>
      </c>
      <c r="H7257" s="13" t="s">
        <v>35</v>
      </c>
    </row>
    <row r="7258" spans="1:8" ht="14.4" x14ac:dyDescent="0.3">
      <c r="A7258" s="8">
        <v>2040864</v>
      </c>
      <c r="B7258" s="11">
        <v>44649</v>
      </c>
      <c r="C7258" s="13" t="s">
        <v>162</v>
      </c>
      <c r="D7258" s="13" t="s">
        <v>9149</v>
      </c>
      <c r="E7258" s="8">
        <v>13257.3</v>
      </c>
      <c r="F7258" s="13" t="s">
        <v>70</v>
      </c>
      <c r="G7258" s="14">
        <v>44656</v>
      </c>
      <c r="H7258" s="13" t="s">
        <v>35</v>
      </c>
    </row>
    <row r="7259" spans="1:8" ht="14.4" x14ac:dyDescent="0.3">
      <c r="A7259" s="8">
        <v>2040865</v>
      </c>
      <c r="B7259" s="11">
        <v>44650</v>
      </c>
      <c r="C7259" s="13" t="s">
        <v>158</v>
      </c>
      <c r="D7259" s="13" t="s">
        <v>9150</v>
      </c>
      <c r="E7259" s="8">
        <v>19840.02</v>
      </c>
      <c r="F7259" s="13" t="s">
        <v>70</v>
      </c>
      <c r="G7259" s="14">
        <v>44651</v>
      </c>
      <c r="H7259" s="13" t="s">
        <v>35</v>
      </c>
    </row>
    <row r="7260" spans="1:8" ht="14.4" x14ac:dyDescent="0.3">
      <c r="A7260" s="8">
        <v>2040866</v>
      </c>
      <c r="B7260" s="11">
        <v>44650</v>
      </c>
      <c r="C7260" s="13" t="s">
        <v>159</v>
      </c>
      <c r="D7260" s="13" t="s">
        <v>9151</v>
      </c>
      <c r="E7260" s="8">
        <v>342200</v>
      </c>
      <c r="F7260" s="13" t="s">
        <v>70</v>
      </c>
      <c r="G7260" s="14">
        <v>44685</v>
      </c>
      <c r="H7260" s="13" t="s">
        <v>35</v>
      </c>
    </row>
    <row r="7261" spans="1:8" ht="14.4" x14ac:dyDescent="0.3">
      <c r="A7261" s="8">
        <v>2040867</v>
      </c>
      <c r="B7261" s="11">
        <v>44650</v>
      </c>
      <c r="C7261" s="13" t="s">
        <v>9152</v>
      </c>
      <c r="D7261" s="13" t="s">
        <v>9153</v>
      </c>
      <c r="E7261" s="8">
        <v>1826.16</v>
      </c>
      <c r="F7261" s="13" t="s">
        <v>70</v>
      </c>
      <c r="G7261" s="14">
        <v>44652</v>
      </c>
      <c r="H7261" s="13" t="s">
        <v>35</v>
      </c>
    </row>
    <row r="7262" spans="1:8" ht="14.4" x14ac:dyDescent="0.3">
      <c r="A7262" s="8">
        <v>2040868</v>
      </c>
      <c r="B7262" s="11">
        <v>44650</v>
      </c>
      <c r="C7262" s="13" t="s">
        <v>9154</v>
      </c>
      <c r="D7262" s="13" t="s">
        <v>9153</v>
      </c>
      <c r="E7262" s="8">
        <v>1251.01</v>
      </c>
      <c r="F7262" s="13" t="s">
        <v>70</v>
      </c>
      <c r="G7262" s="14">
        <v>44657</v>
      </c>
      <c r="H7262" s="13" t="s">
        <v>35</v>
      </c>
    </row>
    <row r="7263" spans="1:8" ht="14.4" x14ac:dyDescent="0.3">
      <c r="A7263" s="8">
        <v>2040869</v>
      </c>
      <c r="B7263" s="11">
        <v>44650</v>
      </c>
      <c r="C7263" s="13" t="s">
        <v>9155</v>
      </c>
      <c r="D7263" s="13" t="s">
        <v>9153</v>
      </c>
      <c r="E7263" s="8">
        <v>2254.2600000000002</v>
      </c>
      <c r="F7263" s="13" t="s">
        <v>70</v>
      </c>
      <c r="G7263" s="14">
        <v>44652</v>
      </c>
      <c r="H7263" s="13" t="s">
        <v>35</v>
      </c>
    </row>
    <row r="7264" spans="1:8" ht="14.4" x14ac:dyDescent="0.3">
      <c r="A7264" s="8">
        <v>2040870</v>
      </c>
      <c r="B7264" s="11">
        <v>44650</v>
      </c>
      <c r="C7264" s="13" t="s">
        <v>9156</v>
      </c>
      <c r="D7264" s="13" t="s">
        <v>9153</v>
      </c>
      <c r="E7264" s="8">
        <v>203.43</v>
      </c>
      <c r="F7264" s="13" t="s">
        <v>70</v>
      </c>
      <c r="G7264" s="14">
        <v>44655</v>
      </c>
      <c r="H7264" s="13" t="s">
        <v>35</v>
      </c>
    </row>
    <row r="7265" spans="1:8" ht="14.4" x14ac:dyDescent="0.3">
      <c r="A7265" s="8">
        <v>2040871</v>
      </c>
      <c r="B7265" s="11">
        <v>44650</v>
      </c>
      <c r="C7265" s="13" t="s">
        <v>9157</v>
      </c>
      <c r="D7265" s="13" t="s">
        <v>9153</v>
      </c>
      <c r="E7265" s="8">
        <v>3511.52</v>
      </c>
      <c r="F7265" s="13" t="s">
        <v>70</v>
      </c>
      <c r="G7265" s="14">
        <v>44652</v>
      </c>
      <c r="H7265" s="13" t="s">
        <v>35</v>
      </c>
    </row>
    <row r="7266" spans="1:8" ht="14.4" x14ac:dyDescent="0.3">
      <c r="A7266" s="8">
        <v>2040872</v>
      </c>
      <c r="B7266" s="11">
        <v>44650</v>
      </c>
      <c r="C7266" s="13" t="s">
        <v>265</v>
      </c>
      <c r="D7266" s="13" t="s">
        <v>9158</v>
      </c>
      <c r="E7266" s="8">
        <v>59760</v>
      </c>
      <c r="F7266" s="13" t="s">
        <v>70</v>
      </c>
      <c r="G7266" s="14">
        <v>44652</v>
      </c>
      <c r="H7266" s="13" t="s">
        <v>35</v>
      </c>
    </row>
    <row r="7267" spans="1:8" ht="14.4" x14ac:dyDescent="0.3">
      <c r="A7267" s="8">
        <v>2040873</v>
      </c>
      <c r="B7267" s="11">
        <v>44650</v>
      </c>
      <c r="C7267" s="13" t="s">
        <v>1569</v>
      </c>
      <c r="D7267" s="13" t="s">
        <v>9159</v>
      </c>
      <c r="E7267" s="8">
        <v>48877.3</v>
      </c>
      <c r="F7267" s="13" t="s">
        <v>70</v>
      </c>
      <c r="G7267" s="14">
        <v>44658</v>
      </c>
      <c r="H7267" s="13" t="s">
        <v>35</v>
      </c>
    </row>
    <row r="7268" spans="1:8" ht="14.4" x14ac:dyDescent="0.3">
      <c r="A7268" s="8">
        <v>2040874</v>
      </c>
      <c r="B7268" s="11">
        <v>44650</v>
      </c>
      <c r="C7268" s="13" t="s">
        <v>9160</v>
      </c>
      <c r="D7268" s="13" t="s">
        <v>9161</v>
      </c>
      <c r="E7268" s="8">
        <v>5500</v>
      </c>
      <c r="F7268" s="13" t="s">
        <v>70</v>
      </c>
      <c r="G7268" s="14">
        <v>44651</v>
      </c>
      <c r="H7268" s="13" t="s">
        <v>35</v>
      </c>
    </row>
    <row r="7269" spans="1:8" ht="14.4" x14ac:dyDescent="0.3">
      <c r="A7269" s="8">
        <v>2040875</v>
      </c>
      <c r="B7269" s="11">
        <v>44650</v>
      </c>
      <c r="C7269" s="13" t="s">
        <v>361</v>
      </c>
      <c r="D7269" s="13" t="s">
        <v>9162</v>
      </c>
      <c r="E7269" s="8">
        <v>31263.72</v>
      </c>
      <c r="F7269" s="13" t="s">
        <v>70</v>
      </c>
      <c r="G7269" s="14">
        <v>44652</v>
      </c>
      <c r="H7269" s="13" t="s">
        <v>35</v>
      </c>
    </row>
    <row r="7270" spans="1:8" ht="14.4" x14ac:dyDescent="0.3">
      <c r="A7270" s="8">
        <v>2040876</v>
      </c>
      <c r="B7270" s="11">
        <v>44650</v>
      </c>
      <c r="C7270" s="13" t="s">
        <v>162</v>
      </c>
      <c r="D7270" s="13" t="s">
        <v>9163</v>
      </c>
      <c r="E7270" s="8">
        <v>282575.8</v>
      </c>
      <c r="F7270" s="13" t="s">
        <v>70</v>
      </c>
      <c r="G7270" s="14">
        <v>44655</v>
      </c>
      <c r="H7270" s="13" t="s">
        <v>35</v>
      </c>
    </row>
    <row r="7271" spans="1:8" ht="14.4" x14ac:dyDescent="0.3">
      <c r="A7271" s="8">
        <v>2040877</v>
      </c>
      <c r="B7271" s="11">
        <v>44650</v>
      </c>
      <c r="C7271" s="13" t="s">
        <v>162</v>
      </c>
      <c r="D7271" s="13" t="s">
        <v>9164</v>
      </c>
      <c r="E7271" s="8">
        <v>68966.47</v>
      </c>
      <c r="F7271" s="13" t="s">
        <v>70</v>
      </c>
      <c r="G7271" s="14">
        <v>44656</v>
      </c>
      <c r="H7271" s="13" t="s">
        <v>35</v>
      </c>
    </row>
    <row r="7272" spans="1:8" ht="14.4" x14ac:dyDescent="0.3">
      <c r="A7272" s="8">
        <v>2040878</v>
      </c>
      <c r="B7272" s="11">
        <v>44650</v>
      </c>
      <c r="C7272" s="13" t="s">
        <v>162</v>
      </c>
      <c r="D7272" s="13" t="s">
        <v>9165</v>
      </c>
      <c r="E7272" s="8">
        <v>84.94</v>
      </c>
      <c r="F7272" s="13" t="s">
        <v>70</v>
      </c>
      <c r="G7272" s="14">
        <v>44656</v>
      </c>
      <c r="H7272" s="13" t="s">
        <v>35</v>
      </c>
    </row>
    <row r="7273" spans="1:8" ht="14.4" x14ac:dyDescent="0.3">
      <c r="A7273" s="8">
        <v>2040879</v>
      </c>
      <c r="B7273" s="11">
        <v>44650</v>
      </c>
      <c r="C7273" s="13" t="s">
        <v>162</v>
      </c>
      <c r="D7273" s="13" t="s">
        <v>9166</v>
      </c>
      <c r="E7273" s="8">
        <v>511.82</v>
      </c>
      <c r="F7273" s="13" t="s">
        <v>70</v>
      </c>
      <c r="G7273" s="14">
        <v>44656</v>
      </c>
      <c r="H7273" s="13" t="s">
        <v>35</v>
      </c>
    </row>
    <row r="7274" spans="1:8" ht="14.4" x14ac:dyDescent="0.3">
      <c r="A7274" s="8">
        <v>2040880</v>
      </c>
      <c r="B7274" s="11">
        <v>44650</v>
      </c>
      <c r="C7274" s="13" t="s">
        <v>1286</v>
      </c>
      <c r="D7274" s="13" t="s">
        <v>9167</v>
      </c>
      <c r="E7274" s="8">
        <v>6599.88</v>
      </c>
      <c r="F7274" s="13" t="s">
        <v>70</v>
      </c>
      <c r="G7274" s="14">
        <v>44655</v>
      </c>
      <c r="H7274" s="13" t="s">
        <v>35</v>
      </c>
    </row>
    <row r="7275" spans="1:8" ht="14.4" x14ac:dyDescent="0.3">
      <c r="A7275" s="8">
        <v>2040881</v>
      </c>
      <c r="B7275" s="11">
        <v>44650</v>
      </c>
      <c r="C7275" s="13" t="s">
        <v>1286</v>
      </c>
      <c r="D7275" s="13" t="s">
        <v>9168</v>
      </c>
      <c r="E7275" s="8">
        <v>9069.7199999999993</v>
      </c>
      <c r="F7275" s="13" t="s">
        <v>70</v>
      </c>
      <c r="G7275" s="14">
        <v>44655</v>
      </c>
      <c r="H7275" s="13" t="s">
        <v>35</v>
      </c>
    </row>
    <row r="7276" spans="1:8" ht="14.4" x14ac:dyDescent="0.3">
      <c r="A7276" s="8">
        <v>2040882</v>
      </c>
      <c r="B7276" s="11">
        <v>44650</v>
      </c>
      <c r="C7276" s="13" t="s">
        <v>1286</v>
      </c>
      <c r="D7276" s="13" t="s">
        <v>9169</v>
      </c>
      <c r="E7276" s="8">
        <v>8268.58</v>
      </c>
      <c r="F7276" s="13" t="s">
        <v>70</v>
      </c>
      <c r="G7276" s="14">
        <v>44655</v>
      </c>
      <c r="H7276" s="13" t="s">
        <v>35</v>
      </c>
    </row>
    <row r="7277" spans="1:8" ht="14.4" x14ac:dyDescent="0.3">
      <c r="A7277" s="8">
        <v>2040883</v>
      </c>
      <c r="B7277" s="11">
        <v>44650</v>
      </c>
      <c r="C7277" s="13" t="s">
        <v>1286</v>
      </c>
      <c r="D7277" s="13" t="s">
        <v>9170</v>
      </c>
      <c r="E7277" s="8">
        <v>11436.36</v>
      </c>
      <c r="F7277" s="13" t="s">
        <v>70</v>
      </c>
      <c r="G7277" s="14">
        <v>44655</v>
      </c>
      <c r="H7277" s="13" t="s">
        <v>35</v>
      </c>
    </row>
    <row r="7278" spans="1:8" ht="14.4" x14ac:dyDescent="0.3">
      <c r="A7278" s="8">
        <v>2040884</v>
      </c>
      <c r="B7278" s="11">
        <v>44650</v>
      </c>
      <c r="C7278" s="13" t="s">
        <v>162</v>
      </c>
      <c r="D7278" s="13" t="s">
        <v>9171</v>
      </c>
      <c r="E7278" s="8">
        <v>40225.449999999997</v>
      </c>
      <c r="F7278" s="13" t="s">
        <v>70</v>
      </c>
      <c r="G7278" s="14">
        <v>44659</v>
      </c>
      <c r="H7278" s="13" t="s">
        <v>35</v>
      </c>
    </row>
    <row r="7279" spans="1:8" ht="14.4" x14ac:dyDescent="0.3">
      <c r="A7279" s="8">
        <v>2040885</v>
      </c>
      <c r="B7279" s="11">
        <v>44650</v>
      </c>
      <c r="C7279" s="13" t="s">
        <v>1286</v>
      </c>
      <c r="D7279" s="13" t="s">
        <v>9172</v>
      </c>
      <c r="E7279" s="8">
        <v>94461.34</v>
      </c>
      <c r="F7279" s="13" t="s">
        <v>70</v>
      </c>
      <c r="G7279" s="14">
        <v>44655</v>
      </c>
      <c r="H7279" s="13" t="s">
        <v>35</v>
      </c>
    </row>
    <row r="7280" spans="1:8" ht="14.4" x14ac:dyDescent="0.3">
      <c r="A7280" s="8">
        <v>2040886</v>
      </c>
      <c r="B7280" s="11">
        <v>44650</v>
      </c>
      <c r="C7280" s="13" t="s">
        <v>1286</v>
      </c>
      <c r="D7280" s="13" t="s">
        <v>9173</v>
      </c>
      <c r="E7280" s="8">
        <v>170274.93</v>
      </c>
      <c r="F7280" s="13" t="s">
        <v>70</v>
      </c>
      <c r="G7280" s="14">
        <v>44655</v>
      </c>
      <c r="H7280" s="13" t="s">
        <v>35</v>
      </c>
    </row>
    <row r="7281" spans="1:8" ht="14.4" x14ac:dyDescent="0.3">
      <c r="A7281" s="8">
        <v>2040887</v>
      </c>
      <c r="B7281" s="11">
        <v>44650</v>
      </c>
      <c r="C7281" s="13" t="s">
        <v>1286</v>
      </c>
      <c r="D7281" s="13" t="s">
        <v>9174</v>
      </c>
      <c r="E7281" s="8">
        <v>5213.08</v>
      </c>
      <c r="F7281" s="13" t="s">
        <v>70</v>
      </c>
      <c r="G7281" s="14">
        <v>44655</v>
      </c>
      <c r="H7281" s="13" t="s">
        <v>35</v>
      </c>
    </row>
    <row r="7282" spans="1:8" ht="14.4" x14ac:dyDescent="0.3">
      <c r="A7282" s="8">
        <v>2040888</v>
      </c>
      <c r="B7282" s="11">
        <v>44650</v>
      </c>
      <c r="C7282" s="13" t="s">
        <v>1286</v>
      </c>
      <c r="D7282" s="13" t="s">
        <v>9175</v>
      </c>
      <c r="E7282" s="8">
        <v>7997.09</v>
      </c>
      <c r="F7282" s="13" t="s">
        <v>70</v>
      </c>
      <c r="G7282" s="14">
        <v>44655</v>
      </c>
      <c r="H7282" s="13" t="s">
        <v>35</v>
      </c>
    </row>
    <row r="7283" spans="1:8" ht="14.4" x14ac:dyDescent="0.3">
      <c r="A7283" s="8">
        <v>2040889</v>
      </c>
      <c r="B7283" s="11">
        <v>44650</v>
      </c>
      <c r="C7283" s="13" t="s">
        <v>9176</v>
      </c>
      <c r="D7283" s="13" t="s">
        <v>1595</v>
      </c>
      <c r="E7283" s="8">
        <v>32676.82</v>
      </c>
      <c r="F7283" s="13" t="s">
        <v>70</v>
      </c>
      <c r="G7283" s="14">
        <v>44651</v>
      </c>
      <c r="H7283" s="13" t="s">
        <v>35</v>
      </c>
    </row>
    <row r="7284" spans="1:8" ht="14.4" x14ac:dyDescent="0.3">
      <c r="A7284" s="8">
        <v>2040890</v>
      </c>
      <c r="B7284" s="11">
        <v>44650</v>
      </c>
      <c r="C7284" s="13" t="s">
        <v>1286</v>
      </c>
      <c r="D7284" s="13" t="s">
        <v>9177</v>
      </c>
      <c r="E7284" s="8">
        <v>155849.96</v>
      </c>
      <c r="F7284" s="13" t="s">
        <v>70</v>
      </c>
      <c r="G7284" s="14">
        <v>44655</v>
      </c>
      <c r="H7284" s="13" t="s">
        <v>35</v>
      </c>
    </row>
    <row r="7285" spans="1:8" ht="14.4" x14ac:dyDescent="0.3">
      <c r="A7285" s="8">
        <v>2040891</v>
      </c>
      <c r="B7285" s="11">
        <v>44650</v>
      </c>
      <c r="C7285" s="13" t="s">
        <v>9178</v>
      </c>
      <c r="D7285" s="13" t="s">
        <v>9179</v>
      </c>
      <c r="E7285" s="8">
        <v>50000</v>
      </c>
      <c r="F7285" s="13" t="s">
        <v>70</v>
      </c>
      <c r="G7285" s="14">
        <v>44715</v>
      </c>
      <c r="H7285" s="13" t="s">
        <v>35</v>
      </c>
    </row>
    <row r="7286" spans="1:8" ht="14.4" x14ac:dyDescent="0.3">
      <c r="A7286" s="8">
        <v>2040892</v>
      </c>
      <c r="B7286" s="11">
        <v>44650</v>
      </c>
      <c r="C7286" s="13" t="s">
        <v>2336</v>
      </c>
      <c r="D7286" s="13" t="s">
        <v>9180</v>
      </c>
      <c r="E7286" s="8">
        <v>15000</v>
      </c>
      <c r="F7286" s="13" t="s">
        <v>70</v>
      </c>
      <c r="G7286" s="14">
        <v>44651</v>
      </c>
      <c r="H7286" s="13" t="s">
        <v>35</v>
      </c>
    </row>
    <row r="7287" spans="1:8" ht="14.4" x14ac:dyDescent="0.3">
      <c r="A7287" s="8">
        <v>2040893</v>
      </c>
      <c r="B7287" s="11">
        <v>44650</v>
      </c>
      <c r="C7287" s="13" t="s">
        <v>254</v>
      </c>
      <c r="D7287" s="13" t="s">
        <v>9181</v>
      </c>
      <c r="E7287" s="8">
        <v>4637.5</v>
      </c>
      <c r="F7287" s="13" t="s">
        <v>70</v>
      </c>
      <c r="G7287" s="14">
        <v>44652</v>
      </c>
      <c r="H7287" s="13" t="s">
        <v>35</v>
      </c>
    </row>
    <row r="7288" spans="1:8" ht="14.4" x14ac:dyDescent="0.3">
      <c r="A7288" s="8">
        <v>2040894</v>
      </c>
      <c r="B7288" s="11">
        <v>44650</v>
      </c>
      <c r="C7288" s="13" t="s">
        <v>6495</v>
      </c>
      <c r="D7288" s="13" t="s">
        <v>9182</v>
      </c>
      <c r="E7288" s="8">
        <v>423360</v>
      </c>
      <c r="F7288" s="13" t="s">
        <v>70</v>
      </c>
      <c r="G7288" s="14">
        <v>44651</v>
      </c>
      <c r="H7288" s="13" t="s">
        <v>35</v>
      </c>
    </row>
    <row r="7289" spans="1:8" ht="14.4" x14ac:dyDescent="0.3">
      <c r="A7289" s="8">
        <v>2040895</v>
      </c>
      <c r="B7289" s="11">
        <v>44650</v>
      </c>
      <c r="C7289" s="13" t="s">
        <v>4828</v>
      </c>
      <c r="D7289" s="13" t="s">
        <v>9183</v>
      </c>
      <c r="E7289" s="8">
        <v>97544.72</v>
      </c>
      <c r="F7289" s="13" t="s">
        <v>70</v>
      </c>
      <c r="G7289" s="14">
        <v>44650</v>
      </c>
      <c r="H7289" s="13" t="s">
        <v>35</v>
      </c>
    </row>
    <row r="7290" spans="1:8" ht="14.4" x14ac:dyDescent="0.3">
      <c r="A7290" s="8">
        <v>2040896</v>
      </c>
      <c r="B7290" s="11">
        <v>44650</v>
      </c>
      <c r="C7290" s="13" t="s">
        <v>188</v>
      </c>
      <c r="D7290" s="13" t="s">
        <v>9184</v>
      </c>
      <c r="E7290" s="8">
        <v>581657.22</v>
      </c>
      <c r="F7290" s="13" t="s">
        <v>70</v>
      </c>
      <c r="G7290" s="14">
        <v>44651</v>
      </c>
      <c r="H7290" s="13" t="s">
        <v>35</v>
      </c>
    </row>
    <row r="7291" spans="1:8" ht="14.4" x14ac:dyDescent="0.3">
      <c r="A7291" s="8">
        <v>2040897</v>
      </c>
      <c r="B7291" s="11">
        <v>44651</v>
      </c>
      <c r="C7291" s="13" t="s">
        <v>162</v>
      </c>
      <c r="D7291" s="13" t="s">
        <v>9185</v>
      </c>
      <c r="E7291" s="8">
        <v>46449.58</v>
      </c>
      <c r="F7291" s="13" t="s">
        <v>70</v>
      </c>
      <c r="G7291" s="14">
        <v>44656</v>
      </c>
      <c r="H7291" s="13" t="s">
        <v>35</v>
      </c>
    </row>
    <row r="7292" spans="1:8" ht="14.4" x14ac:dyDescent="0.3">
      <c r="A7292" s="8">
        <v>2040898</v>
      </c>
      <c r="B7292" s="11">
        <v>44651</v>
      </c>
      <c r="C7292" s="13" t="s">
        <v>748</v>
      </c>
      <c r="D7292" s="13" t="s">
        <v>9186</v>
      </c>
      <c r="E7292" s="8">
        <v>129097.61</v>
      </c>
      <c r="F7292" s="13" t="s">
        <v>70</v>
      </c>
      <c r="G7292" s="14">
        <v>44655</v>
      </c>
      <c r="H7292" s="13" t="s">
        <v>35</v>
      </c>
    </row>
    <row r="7293" spans="1:8" ht="14.4" x14ac:dyDescent="0.3">
      <c r="A7293" s="8">
        <v>2040899</v>
      </c>
      <c r="B7293" s="11">
        <v>44651</v>
      </c>
      <c r="C7293" s="13" t="s">
        <v>44</v>
      </c>
      <c r="D7293" s="13" t="s">
        <v>9187</v>
      </c>
      <c r="E7293" s="8">
        <v>12075</v>
      </c>
      <c r="F7293" s="13" t="s">
        <v>70</v>
      </c>
      <c r="G7293" s="14">
        <v>44656</v>
      </c>
      <c r="H7293" s="13" t="s">
        <v>35</v>
      </c>
    </row>
    <row r="7294" spans="1:8" ht="14.4" x14ac:dyDescent="0.3">
      <c r="A7294" s="8">
        <v>2040900</v>
      </c>
      <c r="B7294" s="11">
        <v>44651</v>
      </c>
      <c r="C7294" s="13" t="s">
        <v>1569</v>
      </c>
      <c r="D7294" s="13" t="s">
        <v>9188</v>
      </c>
      <c r="E7294" s="8">
        <v>107820</v>
      </c>
      <c r="F7294" s="13" t="s">
        <v>70</v>
      </c>
      <c r="G7294" s="14">
        <v>44658</v>
      </c>
      <c r="H7294" s="13" t="s">
        <v>35</v>
      </c>
    </row>
    <row r="7295" spans="1:8" ht="14.4" x14ac:dyDescent="0.3">
      <c r="A7295" s="8">
        <v>2040901</v>
      </c>
      <c r="B7295" s="11">
        <v>44651</v>
      </c>
      <c r="C7295" s="13" t="s">
        <v>9189</v>
      </c>
      <c r="D7295" s="13" t="s">
        <v>3451</v>
      </c>
      <c r="E7295" s="8">
        <v>7689.39</v>
      </c>
      <c r="F7295" s="13" t="s">
        <v>70</v>
      </c>
      <c r="G7295" s="14">
        <v>44652</v>
      </c>
      <c r="H7295" s="13" t="s">
        <v>35</v>
      </c>
    </row>
    <row r="7296" spans="1:8" ht="14.4" x14ac:dyDescent="0.3">
      <c r="A7296" s="8">
        <v>2040902</v>
      </c>
      <c r="B7296" s="11">
        <v>44651</v>
      </c>
      <c r="C7296" s="13" t="s">
        <v>9190</v>
      </c>
      <c r="D7296" s="13" t="s">
        <v>3451</v>
      </c>
      <c r="E7296" s="8">
        <v>7573.65</v>
      </c>
      <c r="F7296" s="13" t="s">
        <v>70</v>
      </c>
      <c r="G7296" s="14">
        <v>44651</v>
      </c>
      <c r="H7296" s="13" t="s">
        <v>35</v>
      </c>
    </row>
    <row r="7297" spans="1:8" ht="14.4" x14ac:dyDescent="0.3">
      <c r="A7297" s="8">
        <v>2040903</v>
      </c>
      <c r="B7297" s="11">
        <v>44651</v>
      </c>
      <c r="C7297" s="13" t="s">
        <v>9191</v>
      </c>
      <c r="D7297" s="13" t="s">
        <v>3451</v>
      </c>
      <c r="E7297" s="8">
        <v>1466.94</v>
      </c>
      <c r="F7297" s="13" t="s">
        <v>70</v>
      </c>
      <c r="G7297" s="14">
        <v>44652</v>
      </c>
      <c r="H7297" s="13" t="s">
        <v>35</v>
      </c>
    </row>
    <row r="7298" spans="1:8" ht="14.4" x14ac:dyDescent="0.3">
      <c r="A7298" s="8">
        <v>2040904</v>
      </c>
      <c r="B7298" s="11">
        <v>44651</v>
      </c>
      <c r="C7298" s="13" t="s">
        <v>9192</v>
      </c>
      <c r="D7298" s="13" t="s">
        <v>3451</v>
      </c>
      <c r="E7298" s="8">
        <v>6292.49</v>
      </c>
      <c r="F7298" s="13" t="s">
        <v>70</v>
      </c>
      <c r="G7298" s="14">
        <v>44651</v>
      </c>
      <c r="H7298" s="13" t="s">
        <v>35</v>
      </c>
    </row>
    <row r="7299" spans="1:8" ht="14.4" x14ac:dyDescent="0.3">
      <c r="A7299" s="8">
        <v>2040905</v>
      </c>
      <c r="B7299" s="11">
        <v>44651</v>
      </c>
      <c r="C7299" s="13" t="s">
        <v>9193</v>
      </c>
      <c r="D7299" s="13" t="s">
        <v>3451</v>
      </c>
      <c r="E7299" s="8">
        <v>1495.32</v>
      </c>
      <c r="F7299" s="13" t="s">
        <v>70</v>
      </c>
      <c r="G7299" s="14">
        <v>44652</v>
      </c>
      <c r="H7299" s="13" t="s">
        <v>35</v>
      </c>
    </row>
    <row r="7300" spans="1:8" ht="14.4" x14ac:dyDescent="0.3">
      <c r="A7300" s="8">
        <v>2040906</v>
      </c>
      <c r="B7300" s="11">
        <v>44651</v>
      </c>
      <c r="C7300" s="13" t="s">
        <v>9194</v>
      </c>
      <c r="D7300" s="13" t="s">
        <v>3451</v>
      </c>
      <c r="E7300" s="8">
        <v>2763.32</v>
      </c>
      <c r="F7300" s="13" t="s">
        <v>70</v>
      </c>
      <c r="G7300" s="14">
        <v>44659</v>
      </c>
      <c r="H7300" s="13" t="s">
        <v>35</v>
      </c>
    </row>
    <row r="7301" spans="1:8" ht="14.4" x14ac:dyDescent="0.3">
      <c r="A7301" s="8">
        <v>2040907</v>
      </c>
      <c r="B7301" s="11">
        <v>44651</v>
      </c>
      <c r="C7301" s="13" t="s">
        <v>9195</v>
      </c>
      <c r="D7301" s="13" t="s">
        <v>3451</v>
      </c>
      <c r="E7301" s="8">
        <v>3752.76</v>
      </c>
      <c r="F7301" s="13" t="s">
        <v>70</v>
      </c>
      <c r="G7301" s="14">
        <v>44651</v>
      </c>
      <c r="H7301" s="13" t="s">
        <v>35</v>
      </c>
    </row>
    <row r="7302" spans="1:8" ht="14.4" x14ac:dyDescent="0.3">
      <c r="A7302" s="8">
        <v>2040908</v>
      </c>
      <c r="B7302" s="11">
        <v>44651</v>
      </c>
      <c r="C7302" s="13" t="s">
        <v>2624</v>
      </c>
      <c r="D7302" s="13" t="s">
        <v>9196</v>
      </c>
      <c r="E7302" s="8">
        <v>131717.70000000001</v>
      </c>
      <c r="F7302" s="13" t="s">
        <v>70</v>
      </c>
      <c r="G7302" s="14">
        <v>44652</v>
      </c>
      <c r="H7302" s="13" t="s">
        <v>35</v>
      </c>
    </row>
    <row r="7303" spans="1:8" ht="14.4" x14ac:dyDescent="0.3">
      <c r="A7303" s="8">
        <v>2040909</v>
      </c>
      <c r="B7303" s="11">
        <v>44651</v>
      </c>
      <c r="C7303" s="13" t="s">
        <v>44</v>
      </c>
      <c r="D7303" s="13" t="s">
        <v>9197</v>
      </c>
      <c r="E7303" s="8">
        <v>2569.67</v>
      </c>
      <c r="F7303" s="13" t="s">
        <v>70</v>
      </c>
      <c r="G7303" s="14">
        <v>44656</v>
      </c>
      <c r="H7303" s="13" t="s">
        <v>35</v>
      </c>
    </row>
    <row r="7304" spans="1:8" ht="14.4" x14ac:dyDescent="0.3">
      <c r="A7304" s="8">
        <v>2040910</v>
      </c>
      <c r="B7304" s="11">
        <v>44651</v>
      </c>
      <c r="C7304" s="13" t="s">
        <v>1569</v>
      </c>
      <c r="D7304" s="13" t="s">
        <v>9198</v>
      </c>
      <c r="E7304" s="8">
        <v>244926.24</v>
      </c>
      <c r="F7304" s="13" t="s">
        <v>70</v>
      </c>
      <c r="G7304" s="14">
        <v>44658</v>
      </c>
      <c r="H7304" s="13" t="s">
        <v>35</v>
      </c>
    </row>
    <row r="7305" spans="1:8" ht="14.4" x14ac:dyDescent="0.3">
      <c r="A7305" s="8">
        <v>2040911</v>
      </c>
      <c r="B7305" s="11">
        <v>44651</v>
      </c>
      <c r="C7305" s="13" t="s">
        <v>195</v>
      </c>
      <c r="D7305" s="13" t="s">
        <v>9199</v>
      </c>
      <c r="E7305" s="8">
        <v>1603500</v>
      </c>
      <c r="F7305" s="13" t="s">
        <v>70</v>
      </c>
      <c r="G7305" s="14">
        <v>44652</v>
      </c>
      <c r="H7305" s="13" t="s">
        <v>35</v>
      </c>
    </row>
    <row r="7306" spans="1:8" ht="14.4" x14ac:dyDescent="0.3">
      <c r="A7306" s="8">
        <v>2040912</v>
      </c>
      <c r="B7306" s="11">
        <v>44651</v>
      </c>
      <c r="C7306" s="13" t="s">
        <v>9200</v>
      </c>
      <c r="D7306" s="13" t="s">
        <v>3451</v>
      </c>
      <c r="E7306" s="8">
        <v>13368.25</v>
      </c>
      <c r="F7306" s="13" t="s">
        <v>70</v>
      </c>
      <c r="G7306" s="14">
        <v>44658</v>
      </c>
      <c r="H7306" s="13" t="s">
        <v>35</v>
      </c>
    </row>
    <row r="7307" spans="1:8" ht="14.4" x14ac:dyDescent="0.3">
      <c r="A7307" s="8">
        <v>2040913</v>
      </c>
      <c r="B7307" s="11">
        <v>44651</v>
      </c>
      <c r="C7307" s="13" t="s">
        <v>124</v>
      </c>
      <c r="D7307" s="13" t="s">
        <v>9201</v>
      </c>
      <c r="E7307" s="8">
        <v>151.9</v>
      </c>
      <c r="F7307" s="13" t="s">
        <v>70</v>
      </c>
      <c r="G7307" s="14">
        <v>44656</v>
      </c>
      <c r="H7307" s="13" t="s">
        <v>35</v>
      </c>
    </row>
    <row r="7308" spans="1:8" ht="14.4" x14ac:dyDescent="0.3">
      <c r="A7308" s="8">
        <v>2040914</v>
      </c>
      <c r="B7308" s="11">
        <v>44651</v>
      </c>
      <c r="C7308" s="13" t="s">
        <v>162</v>
      </c>
      <c r="D7308" s="13" t="s">
        <v>9202</v>
      </c>
      <c r="E7308" s="8">
        <v>6989.45</v>
      </c>
      <c r="F7308" s="13" t="s">
        <v>70</v>
      </c>
      <c r="G7308" s="14">
        <v>44656</v>
      </c>
      <c r="H7308" s="13" t="s">
        <v>35</v>
      </c>
    </row>
    <row r="7309" spans="1:8" ht="14.4" x14ac:dyDescent="0.3">
      <c r="A7309" s="8">
        <v>2040915</v>
      </c>
      <c r="B7309" s="11">
        <v>44651</v>
      </c>
      <c r="C7309" s="13" t="s">
        <v>153</v>
      </c>
      <c r="D7309" s="13" t="s">
        <v>1561</v>
      </c>
      <c r="E7309" s="8">
        <v>84575.5</v>
      </c>
      <c r="F7309" s="13" t="s">
        <v>70</v>
      </c>
      <c r="G7309" s="14">
        <v>44655</v>
      </c>
      <c r="H7309" s="13" t="s">
        <v>35</v>
      </c>
    </row>
    <row r="7310" spans="1:8" ht="14.4" x14ac:dyDescent="0.3">
      <c r="A7310" s="8">
        <v>2040916</v>
      </c>
      <c r="B7310" s="11">
        <v>44651</v>
      </c>
      <c r="C7310" s="13" t="s">
        <v>162</v>
      </c>
      <c r="D7310" s="13" t="s">
        <v>9203</v>
      </c>
      <c r="E7310" s="8">
        <v>30337.42</v>
      </c>
      <c r="F7310" s="13" t="s">
        <v>70</v>
      </c>
      <c r="G7310" s="14">
        <v>44656</v>
      </c>
      <c r="H7310" s="13" t="s">
        <v>35</v>
      </c>
    </row>
    <row r="7311" spans="1:8" ht="14.4" x14ac:dyDescent="0.3">
      <c r="A7311" s="8">
        <v>2040917</v>
      </c>
      <c r="B7311" s="11">
        <v>44651</v>
      </c>
      <c r="C7311" s="13" t="s">
        <v>44</v>
      </c>
      <c r="D7311" s="13" t="s">
        <v>9204</v>
      </c>
      <c r="E7311" s="8">
        <v>12075</v>
      </c>
      <c r="F7311" s="13" t="s">
        <v>70</v>
      </c>
      <c r="G7311" s="14">
        <v>44656</v>
      </c>
      <c r="H7311" s="13" t="s">
        <v>35</v>
      </c>
    </row>
    <row r="7312" spans="1:8" ht="14.4" x14ac:dyDescent="0.3">
      <c r="A7312" s="8">
        <v>2040918</v>
      </c>
      <c r="B7312" s="11">
        <v>44651</v>
      </c>
      <c r="C7312" s="13" t="s">
        <v>44</v>
      </c>
      <c r="D7312" s="13" t="s">
        <v>9205</v>
      </c>
      <c r="E7312" s="8">
        <v>12075</v>
      </c>
      <c r="F7312" s="13" t="s">
        <v>70</v>
      </c>
      <c r="G7312" s="14">
        <v>44656</v>
      </c>
      <c r="H7312" s="13" t="s">
        <v>35</v>
      </c>
    </row>
    <row r="7313" spans="1:8" ht="14.4" x14ac:dyDescent="0.3">
      <c r="A7313" s="8">
        <v>2040919</v>
      </c>
      <c r="B7313" s="11">
        <v>44651</v>
      </c>
      <c r="C7313" s="13" t="s">
        <v>43</v>
      </c>
      <c r="D7313" s="13" t="s">
        <v>9206</v>
      </c>
      <c r="E7313" s="8">
        <v>282184.11</v>
      </c>
      <c r="F7313" s="13" t="s">
        <v>70</v>
      </c>
      <c r="G7313" s="14">
        <v>44659</v>
      </c>
      <c r="H7313" s="13" t="s">
        <v>35</v>
      </c>
    </row>
    <row r="7314" spans="1:8" ht="14.4" x14ac:dyDescent="0.3">
      <c r="A7314" s="8">
        <v>2040920</v>
      </c>
      <c r="B7314" s="11">
        <v>44651</v>
      </c>
      <c r="C7314" s="13" t="s">
        <v>43</v>
      </c>
      <c r="D7314" s="13" t="s">
        <v>9206</v>
      </c>
      <c r="E7314" s="8">
        <v>7751.75</v>
      </c>
      <c r="F7314" s="13" t="s">
        <v>70</v>
      </c>
      <c r="G7314" s="14">
        <v>44659</v>
      </c>
      <c r="H7314" s="13" t="s">
        <v>35</v>
      </c>
    </row>
    <row r="7315" spans="1:8" ht="14.4" x14ac:dyDescent="0.3">
      <c r="A7315" s="8">
        <v>2040921</v>
      </c>
      <c r="B7315" s="11">
        <v>44651</v>
      </c>
      <c r="C7315" s="13" t="s">
        <v>124</v>
      </c>
      <c r="D7315" s="13" t="s">
        <v>9207</v>
      </c>
      <c r="E7315" s="8">
        <v>151.9</v>
      </c>
      <c r="F7315" s="13" t="s">
        <v>70</v>
      </c>
      <c r="G7315" s="14">
        <v>44656</v>
      </c>
      <c r="H7315" s="13" t="s">
        <v>35</v>
      </c>
    </row>
    <row r="7316" spans="1:8" ht="14.4" x14ac:dyDescent="0.3">
      <c r="A7316" s="8">
        <v>2040922</v>
      </c>
      <c r="B7316" s="11">
        <v>44651</v>
      </c>
      <c r="C7316" s="13" t="s">
        <v>265</v>
      </c>
      <c r="D7316" s="13" t="s">
        <v>9208</v>
      </c>
      <c r="E7316" s="8">
        <v>159089.5</v>
      </c>
      <c r="F7316" s="13" t="s">
        <v>70</v>
      </c>
      <c r="G7316" s="14">
        <v>44655</v>
      </c>
      <c r="H7316" s="13" t="s">
        <v>35</v>
      </c>
    </row>
    <row r="7317" spans="1:8" ht="14.4" x14ac:dyDescent="0.3">
      <c r="A7317" s="8">
        <v>2040923</v>
      </c>
      <c r="B7317" s="11">
        <v>44651</v>
      </c>
      <c r="C7317" s="13" t="s">
        <v>265</v>
      </c>
      <c r="D7317" s="13" t="s">
        <v>9209</v>
      </c>
      <c r="E7317" s="8">
        <v>162498.79999999999</v>
      </c>
      <c r="F7317" s="13" t="s">
        <v>70</v>
      </c>
      <c r="G7317" s="14">
        <v>44655</v>
      </c>
      <c r="H7317" s="13" t="s">
        <v>35</v>
      </c>
    </row>
    <row r="7318" spans="1:8" ht="14.4" x14ac:dyDescent="0.3">
      <c r="A7318" s="8">
        <v>2040924</v>
      </c>
      <c r="B7318" s="11">
        <v>44651</v>
      </c>
      <c r="C7318" s="13" t="s">
        <v>152</v>
      </c>
      <c r="D7318" s="13" t="s">
        <v>9210</v>
      </c>
      <c r="E7318" s="8">
        <v>9400</v>
      </c>
      <c r="F7318" s="13" t="s">
        <v>70</v>
      </c>
      <c r="G7318" s="14">
        <v>44657</v>
      </c>
      <c r="H7318" s="13" t="s">
        <v>35</v>
      </c>
    </row>
    <row r="7319" spans="1:8" ht="14.4" x14ac:dyDescent="0.3">
      <c r="A7319" s="8">
        <v>2040925</v>
      </c>
      <c r="B7319" s="11">
        <v>44651</v>
      </c>
      <c r="C7319" s="13" t="s">
        <v>1286</v>
      </c>
      <c r="D7319" s="13" t="s">
        <v>9211</v>
      </c>
      <c r="E7319" s="8">
        <v>8465.99</v>
      </c>
      <c r="F7319" s="13" t="s">
        <v>70</v>
      </c>
      <c r="G7319" s="14">
        <v>44655</v>
      </c>
      <c r="H7319" s="13" t="s">
        <v>35</v>
      </c>
    </row>
    <row r="7320" spans="1:8" ht="14.4" x14ac:dyDescent="0.3">
      <c r="A7320" s="8">
        <v>2040926</v>
      </c>
      <c r="B7320" s="11">
        <v>44651</v>
      </c>
      <c r="C7320" s="13" t="s">
        <v>1286</v>
      </c>
      <c r="D7320" s="13" t="s">
        <v>9212</v>
      </c>
      <c r="E7320" s="8">
        <v>10396.040000000001</v>
      </c>
      <c r="F7320" s="13" t="s">
        <v>70</v>
      </c>
      <c r="G7320" s="14">
        <v>44655</v>
      </c>
      <c r="H7320" s="13" t="s">
        <v>35</v>
      </c>
    </row>
    <row r="7321" spans="1:8" ht="14.4" x14ac:dyDescent="0.3">
      <c r="A7321" s="8">
        <v>2040927</v>
      </c>
      <c r="B7321" s="11">
        <v>44651</v>
      </c>
      <c r="C7321" s="13" t="s">
        <v>1286</v>
      </c>
      <c r="D7321" s="13" t="s">
        <v>9213</v>
      </c>
      <c r="E7321" s="8">
        <v>4878.84</v>
      </c>
      <c r="F7321" s="13" t="s">
        <v>70</v>
      </c>
      <c r="G7321" s="14">
        <v>44655</v>
      </c>
      <c r="H7321" s="13" t="s">
        <v>35</v>
      </c>
    </row>
    <row r="7322" spans="1:8" ht="14.4" x14ac:dyDescent="0.3">
      <c r="A7322" s="8">
        <v>2040928</v>
      </c>
      <c r="B7322" s="11">
        <v>44651</v>
      </c>
      <c r="C7322" s="13" t="s">
        <v>1286</v>
      </c>
      <c r="D7322" s="13" t="s">
        <v>9214</v>
      </c>
      <c r="E7322" s="8">
        <v>9398.5</v>
      </c>
      <c r="F7322" s="13" t="s">
        <v>70</v>
      </c>
      <c r="G7322" s="14">
        <v>44655</v>
      </c>
      <c r="H7322" s="13" t="s">
        <v>35</v>
      </c>
    </row>
    <row r="7323" spans="1:8" ht="14.4" x14ac:dyDescent="0.3">
      <c r="A7323" s="8">
        <v>2040929</v>
      </c>
      <c r="B7323" s="11">
        <v>44651</v>
      </c>
      <c r="C7323" s="13" t="s">
        <v>1286</v>
      </c>
      <c r="D7323" s="13" t="s">
        <v>9215</v>
      </c>
      <c r="E7323" s="8">
        <v>9777.94</v>
      </c>
      <c r="F7323" s="13" t="s">
        <v>70</v>
      </c>
      <c r="G7323" s="14">
        <v>44655</v>
      </c>
      <c r="H7323" s="13" t="s">
        <v>35</v>
      </c>
    </row>
    <row r="7324" spans="1:8" ht="14.4" x14ac:dyDescent="0.3">
      <c r="A7324" s="8">
        <v>2040930</v>
      </c>
      <c r="B7324" s="11">
        <v>44651</v>
      </c>
      <c r="C7324" s="13" t="s">
        <v>1286</v>
      </c>
      <c r="D7324" s="13" t="s">
        <v>9216</v>
      </c>
      <c r="E7324" s="8">
        <v>10756.38</v>
      </c>
      <c r="F7324" s="13" t="s">
        <v>70</v>
      </c>
      <c r="G7324" s="14">
        <v>44655</v>
      </c>
      <c r="H7324" s="13" t="s">
        <v>35</v>
      </c>
    </row>
    <row r="7325" spans="1:8" ht="14.4" x14ac:dyDescent="0.3">
      <c r="A7325" s="8">
        <v>2040931</v>
      </c>
      <c r="B7325" s="11">
        <v>44651</v>
      </c>
      <c r="C7325" s="13" t="s">
        <v>1286</v>
      </c>
      <c r="D7325" s="13" t="s">
        <v>9217</v>
      </c>
      <c r="E7325" s="8">
        <v>2212.11</v>
      </c>
      <c r="F7325" s="13" t="s">
        <v>70</v>
      </c>
      <c r="G7325" s="14">
        <v>44655</v>
      </c>
      <c r="H7325" s="13" t="s">
        <v>35</v>
      </c>
    </row>
    <row r="7326" spans="1:8" ht="14.4" x14ac:dyDescent="0.3">
      <c r="A7326" s="8">
        <v>2040932</v>
      </c>
      <c r="B7326" s="11">
        <v>44651</v>
      </c>
      <c r="C7326" s="13" t="s">
        <v>1286</v>
      </c>
      <c r="D7326" s="13" t="s">
        <v>9218</v>
      </c>
      <c r="E7326" s="8">
        <v>8289.02</v>
      </c>
      <c r="F7326" s="13" t="s">
        <v>70</v>
      </c>
      <c r="G7326" s="14">
        <v>44655</v>
      </c>
      <c r="H7326" s="13" t="s">
        <v>35</v>
      </c>
    </row>
    <row r="7327" spans="1:8" ht="14.4" x14ac:dyDescent="0.3">
      <c r="A7327" s="8">
        <v>2040933</v>
      </c>
      <c r="B7327" s="11">
        <v>44651</v>
      </c>
      <c r="C7327" s="13" t="s">
        <v>1286</v>
      </c>
      <c r="D7327" s="13" t="s">
        <v>9219</v>
      </c>
      <c r="E7327" s="8">
        <v>10205.56</v>
      </c>
      <c r="F7327" s="13" t="s">
        <v>70</v>
      </c>
      <c r="G7327" s="14">
        <v>44655</v>
      </c>
      <c r="H7327" s="13" t="s">
        <v>35</v>
      </c>
    </row>
    <row r="7328" spans="1:8" ht="14.4" x14ac:dyDescent="0.3">
      <c r="A7328" s="8">
        <v>2040934</v>
      </c>
      <c r="B7328" s="11">
        <v>44651</v>
      </c>
      <c r="C7328" s="13" t="s">
        <v>1286</v>
      </c>
      <c r="D7328" s="13" t="s">
        <v>9220</v>
      </c>
      <c r="E7328" s="8">
        <v>12228.94</v>
      </c>
      <c r="F7328" s="13" t="s">
        <v>70</v>
      </c>
      <c r="G7328" s="14">
        <v>44655</v>
      </c>
      <c r="H7328" s="13" t="s">
        <v>35</v>
      </c>
    </row>
    <row r="7329" spans="1:8" ht="14.4" x14ac:dyDescent="0.3">
      <c r="A7329" s="8">
        <v>2040935</v>
      </c>
      <c r="B7329" s="11">
        <v>44651</v>
      </c>
      <c r="C7329" s="13" t="s">
        <v>1286</v>
      </c>
      <c r="D7329" s="13" t="s">
        <v>9221</v>
      </c>
      <c r="E7329" s="8">
        <v>3363.42</v>
      </c>
      <c r="F7329" s="13" t="s">
        <v>70</v>
      </c>
      <c r="G7329" s="14">
        <v>44663</v>
      </c>
      <c r="H7329" s="13" t="s">
        <v>35</v>
      </c>
    </row>
    <row r="7330" spans="1:8" ht="14.4" x14ac:dyDescent="0.3">
      <c r="A7330" s="8">
        <v>2040936</v>
      </c>
      <c r="B7330" s="11">
        <v>44651</v>
      </c>
      <c r="C7330" s="13" t="s">
        <v>1286</v>
      </c>
      <c r="D7330" s="13" t="s">
        <v>9222</v>
      </c>
      <c r="E7330" s="8">
        <v>24661.61</v>
      </c>
      <c r="F7330" s="13" t="s">
        <v>70</v>
      </c>
      <c r="G7330" s="14">
        <v>44663</v>
      </c>
      <c r="H7330" s="13" t="s">
        <v>35</v>
      </c>
    </row>
    <row r="7331" spans="1:8" ht="14.4" x14ac:dyDescent="0.3">
      <c r="A7331" s="8">
        <v>2040937</v>
      </c>
      <c r="B7331" s="11">
        <v>44651</v>
      </c>
      <c r="C7331" s="13" t="s">
        <v>1286</v>
      </c>
      <c r="D7331" s="13" t="s">
        <v>9223</v>
      </c>
      <c r="E7331" s="8">
        <v>8408.5400000000009</v>
      </c>
      <c r="F7331" s="13" t="s">
        <v>70</v>
      </c>
      <c r="G7331" s="14">
        <v>44655</v>
      </c>
      <c r="H7331" s="13" t="s">
        <v>35</v>
      </c>
    </row>
    <row r="7332" spans="1:8" ht="14.4" x14ac:dyDescent="0.3">
      <c r="A7332" s="8">
        <v>2040938</v>
      </c>
      <c r="B7332" s="11">
        <v>44651</v>
      </c>
      <c r="C7332" s="13" t="s">
        <v>1286</v>
      </c>
      <c r="D7332" s="13" t="s">
        <v>9224</v>
      </c>
      <c r="E7332" s="8">
        <v>6095.48</v>
      </c>
      <c r="F7332" s="13" t="s">
        <v>70</v>
      </c>
      <c r="G7332" s="14">
        <v>44655</v>
      </c>
      <c r="H7332" s="13" t="s">
        <v>35</v>
      </c>
    </row>
    <row r="7333" spans="1:8" ht="14.4" x14ac:dyDescent="0.3">
      <c r="A7333" s="8">
        <v>2040939</v>
      </c>
      <c r="B7333" s="11">
        <v>44651</v>
      </c>
      <c r="C7333" s="13" t="s">
        <v>1286</v>
      </c>
      <c r="D7333" s="13" t="s">
        <v>9225</v>
      </c>
      <c r="E7333" s="8">
        <v>10665.52</v>
      </c>
      <c r="F7333" s="13" t="s">
        <v>70</v>
      </c>
      <c r="G7333" s="14">
        <v>44655</v>
      </c>
      <c r="H7333" s="13" t="s">
        <v>35</v>
      </c>
    </row>
    <row r="7334" spans="1:8" ht="14.4" x14ac:dyDescent="0.3">
      <c r="A7334" s="8">
        <v>2040940</v>
      </c>
      <c r="B7334" s="11">
        <v>44651</v>
      </c>
      <c r="C7334" s="13" t="s">
        <v>1286</v>
      </c>
      <c r="D7334" s="13" t="s">
        <v>9226</v>
      </c>
      <c r="E7334" s="8">
        <v>6871.03</v>
      </c>
      <c r="F7334" s="13" t="s">
        <v>70</v>
      </c>
      <c r="G7334" s="14">
        <v>44655</v>
      </c>
      <c r="H7334" s="13" t="s">
        <v>35</v>
      </c>
    </row>
    <row r="7335" spans="1:8" ht="14.4" x14ac:dyDescent="0.3">
      <c r="A7335" s="8">
        <v>2040941</v>
      </c>
      <c r="B7335" s="11">
        <v>44651</v>
      </c>
      <c r="C7335" s="13" t="s">
        <v>1286</v>
      </c>
      <c r="D7335" s="13" t="s">
        <v>9227</v>
      </c>
      <c r="E7335" s="8">
        <v>7578.1</v>
      </c>
      <c r="F7335" s="13" t="s">
        <v>70</v>
      </c>
      <c r="G7335" s="14">
        <v>44655</v>
      </c>
      <c r="H7335" s="13" t="s">
        <v>35</v>
      </c>
    </row>
    <row r="7336" spans="1:8" ht="14.4" x14ac:dyDescent="0.3">
      <c r="A7336" s="8">
        <v>2040942</v>
      </c>
      <c r="B7336" s="11">
        <v>44651</v>
      </c>
      <c r="C7336" s="13" t="s">
        <v>1286</v>
      </c>
      <c r="D7336" s="13" t="s">
        <v>9228</v>
      </c>
      <c r="E7336" s="8">
        <v>33737.14</v>
      </c>
      <c r="F7336" s="13" t="s">
        <v>70</v>
      </c>
      <c r="G7336" s="14">
        <v>44663</v>
      </c>
      <c r="H7336" s="13" t="s">
        <v>35</v>
      </c>
    </row>
    <row r="7337" spans="1:8" ht="14.4" x14ac:dyDescent="0.3">
      <c r="A7337" s="8">
        <v>2040943</v>
      </c>
      <c r="B7337" s="11">
        <v>44651</v>
      </c>
      <c r="C7337" s="13" t="s">
        <v>1286</v>
      </c>
      <c r="D7337" s="13" t="s">
        <v>9229</v>
      </c>
      <c r="E7337" s="8">
        <v>5162.46</v>
      </c>
      <c r="F7337" s="13" t="s">
        <v>70</v>
      </c>
      <c r="G7337" s="14">
        <v>44655</v>
      </c>
      <c r="H7337" s="13" t="s">
        <v>35</v>
      </c>
    </row>
    <row r="7338" spans="1:8" ht="14.4" x14ac:dyDescent="0.3">
      <c r="A7338" s="8">
        <v>2040944</v>
      </c>
      <c r="B7338" s="11">
        <v>44652</v>
      </c>
      <c r="C7338" s="13" t="s">
        <v>44</v>
      </c>
      <c r="D7338" s="13" t="s">
        <v>9230</v>
      </c>
      <c r="E7338" s="8">
        <v>2979.55</v>
      </c>
      <c r="F7338" s="13" t="s">
        <v>70</v>
      </c>
      <c r="G7338" s="14">
        <v>44656</v>
      </c>
      <c r="H7338" s="13" t="s">
        <v>35</v>
      </c>
    </row>
    <row r="7339" spans="1:8" ht="14.4" x14ac:dyDescent="0.3">
      <c r="A7339" s="8">
        <v>2040945</v>
      </c>
      <c r="B7339" s="11">
        <v>44652</v>
      </c>
      <c r="C7339" s="13" t="s">
        <v>44</v>
      </c>
      <c r="D7339" s="13" t="s">
        <v>9231</v>
      </c>
      <c r="E7339" s="8">
        <v>12075</v>
      </c>
      <c r="F7339" s="13" t="s">
        <v>70</v>
      </c>
      <c r="G7339" s="14">
        <v>44656</v>
      </c>
      <c r="H7339" s="13" t="s">
        <v>35</v>
      </c>
    </row>
    <row r="7340" spans="1:8" ht="14.4" x14ac:dyDescent="0.3">
      <c r="A7340" s="8">
        <v>2040946</v>
      </c>
      <c r="B7340" s="11">
        <v>44652</v>
      </c>
      <c r="C7340" s="13" t="s">
        <v>9232</v>
      </c>
      <c r="D7340" s="13" t="s">
        <v>9233</v>
      </c>
      <c r="E7340" s="8">
        <v>22527.48</v>
      </c>
      <c r="F7340" s="13" t="s">
        <v>70</v>
      </c>
      <c r="G7340" s="14">
        <v>44683</v>
      </c>
      <c r="H7340" s="13" t="s">
        <v>35</v>
      </c>
    </row>
    <row r="7341" spans="1:8" ht="14.4" x14ac:dyDescent="0.3">
      <c r="A7341" s="8">
        <v>2040947</v>
      </c>
      <c r="B7341" s="11">
        <v>44652</v>
      </c>
      <c r="C7341" s="13" t="s">
        <v>9234</v>
      </c>
      <c r="D7341" s="13" t="s">
        <v>9235</v>
      </c>
      <c r="E7341" s="8">
        <v>2257.0500000000002</v>
      </c>
      <c r="F7341" s="13" t="s">
        <v>70</v>
      </c>
      <c r="G7341" s="14">
        <v>44655</v>
      </c>
      <c r="H7341" s="13" t="s">
        <v>35</v>
      </c>
    </row>
    <row r="7342" spans="1:8" ht="14.4" x14ac:dyDescent="0.3">
      <c r="A7342" s="8">
        <v>2040948</v>
      </c>
      <c r="B7342" s="11">
        <v>44652</v>
      </c>
      <c r="C7342" s="13" t="s">
        <v>9236</v>
      </c>
      <c r="D7342" s="13" t="s">
        <v>9235</v>
      </c>
      <c r="E7342" s="8">
        <v>8122.29</v>
      </c>
      <c r="F7342" s="13" t="s">
        <v>70</v>
      </c>
      <c r="G7342" s="14">
        <v>44655</v>
      </c>
      <c r="H7342" s="13" t="s">
        <v>35</v>
      </c>
    </row>
    <row r="7343" spans="1:8" ht="14.4" x14ac:dyDescent="0.3">
      <c r="A7343" s="8">
        <v>2040949</v>
      </c>
      <c r="B7343" s="11">
        <v>44652</v>
      </c>
      <c r="C7343" s="13" t="s">
        <v>9237</v>
      </c>
      <c r="D7343" s="13" t="s">
        <v>9235</v>
      </c>
      <c r="E7343" s="8">
        <v>1826.16</v>
      </c>
      <c r="F7343" s="13" t="s">
        <v>70</v>
      </c>
      <c r="G7343" s="14">
        <v>44656</v>
      </c>
      <c r="H7343" s="13" t="s">
        <v>35</v>
      </c>
    </row>
    <row r="7344" spans="1:8" ht="14.4" x14ac:dyDescent="0.3">
      <c r="A7344" s="8">
        <v>2040950</v>
      </c>
      <c r="B7344" s="11">
        <v>44652</v>
      </c>
      <c r="C7344" s="13" t="s">
        <v>361</v>
      </c>
      <c r="D7344" s="13" t="s">
        <v>9238</v>
      </c>
      <c r="E7344" s="8">
        <v>6765.54</v>
      </c>
      <c r="F7344" s="13" t="s">
        <v>70</v>
      </c>
      <c r="G7344" s="14">
        <v>44656</v>
      </c>
      <c r="H7344" s="13" t="s">
        <v>35</v>
      </c>
    </row>
    <row r="7345" spans="1:8" ht="14.4" x14ac:dyDescent="0.3">
      <c r="A7345" s="8">
        <v>2040951</v>
      </c>
      <c r="B7345" s="11">
        <v>44652</v>
      </c>
      <c r="C7345" s="13" t="s">
        <v>1569</v>
      </c>
      <c r="D7345" s="13" t="s">
        <v>9239</v>
      </c>
      <c r="E7345" s="8">
        <v>8000000</v>
      </c>
      <c r="F7345" s="13" t="s">
        <v>70</v>
      </c>
      <c r="G7345" s="14">
        <v>44652</v>
      </c>
      <c r="H7345" s="13" t="s">
        <v>35</v>
      </c>
    </row>
    <row r="7346" spans="1:8" ht="14.4" x14ac:dyDescent="0.3">
      <c r="A7346" s="8">
        <v>2040952</v>
      </c>
      <c r="B7346" s="11">
        <v>44652</v>
      </c>
      <c r="C7346" s="13" t="s">
        <v>1286</v>
      </c>
      <c r="D7346" s="13" t="s">
        <v>9240</v>
      </c>
      <c r="E7346" s="8">
        <v>233438.51</v>
      </c>
      <c r="F7346" s="13" t="s">
        <v>70</v>
      </c>
      <c r="G7346" s="14">
        <v>44655</v>
      </c>
      <c r="H7346" s="13" t="s">
        <v>35</v>
      </c>
    </row>
    <row r="7347" spans="1:8" ht="14.4" x14ac:dyDescent="0.3">
      <c r="A7347" s="8">
        <v>2040953</v>
      </c>
      <c r="B7347" s="11">
        <v>44652</v>
      </c>
      <c r="C7347" s="13" t="s">
        <v>1286</v>
      </c>
      <c r="D7347" s="13" t="s">
        <v>9241</v>
      </c>
      <c r="E7347" s="8">
        <v>67460.77</v>
      </c>
      <c r="F7347" s="13" t="s">
        <v>70</v>
      </c>
      <c r="G7347" s="14">
        <v>44655</v>
      </c>
      <c r="H7347" s="13" t="s">
        <v>35</v>
      </c>
    </row>
    <row r="7348" spans="1:8" ht="14.4" x14ac:dyDescent="0.3">
      <c r="A7348" s="8">
        <v>2040954</v>
      </c>
      <c r="B7348" s="11">
        <v>44652</v>
      </c>
      <c r="C7348" s="13" t="s">
        <v>1286</v>
      </c>
      <c r="D7348" s="13" t="s">
        <v>9242</v>
      </c>
      <c r="E7348" s="8">
        <v>7101.64</v>
      </c>
      <c r="F7348" s="13" t="s">
        <v>70</v>
      </c>
      <c r="G7348" s="14">
        <v>44655</v>
      </c>
      <c r="H7348" s="13" t="s">
        <v>35</v>
      </c>
    </row>
    <row r="7349" spans="1:8" ht="14.4" x14ac:dyDescent="0.3">
      <c r="A7349" s="8">
        <v>2040955</v>
      </c>
      <c r="B7349" s="11">
        <v>44652</v>
      </c>
      <c r="C7349" s="13" t="s">
        <v>9243</v>
      </c>
      <c r="D7349" s="13" t="s">
        <v>9244</v>
      </c>
      <c r="E7349" s="8">
        <v>23280</v>
      </c>
      <c r="F7349" s="13" t="s">
        <v>70</v>
      </c>
      <c r="G7349" s="14">
        <v>44655</v>
      </c>
      <c r="H7349" s="13" t="s">
        <v>35</v>
      </c>
    </row>
    <row r="7350" spans="1:8" ht="14.4" x14ac:dyDescent="0.3">
      <c r="A7350" s="8">
        <v>2040956</v>
      </c>
      <c r="B7350" s="11">
        <v>44652</v>
      </c>
      <c r="C7350" s="13" t="s">
        <v>1958</v>
      </c>
      <c r="D7350" s="13" t="s">
        <v>9245</v>
      </c>
      <c r="E7350" s="8">
        <v>1323854.03</v>
      </c>
      <c r="F7350" s="13" t="s">
        <v>70</v>
      </c>
      <c r="G7350" s="14">
        <v>44655</v>
      </c>
      <c r="H7350" s="13" t="s">
        <v>35</v>
      </c>
    </row>
    <row r="7351" spans="1:8" ht="14.4" x14ac:dyDescent="0.3">
      <c r="A7351" s="8">
        <v>2040957</v>
      </c>
      <c r="B7351" s="11">
        <v>44652</v>
      </c>
      <c r="C7351" s="13" t="s">
        <v>1956</v>
      </c>
      <c r="D7351" s="13" t="s">
        <v>9246</v>
      </c>
      <c r="E7351" s="8">
        <v>2960431.29</v>
      </c>
      <c r="F7351" s="13" t="s">
        <v>70</v>
      </c>
      <c r="G7351" s="14">
        <v>44655</v>
      </c>
      <c r="H7351" s="13" t="s">
        <v>35</v>
      </c>
    </row>
    <row r="7352" spans="1:8" ht="14.4" x14ac:dyDescent="0.3">
      <c r="A7352" s="8">
        <v>2040958</v>
      </c>
      <c r="B7352" s="11">
        <v>44652</v>
      </c>
      <c r="C7352" s="13" t="s">
        <v>1956</v>
      </c>
      <c r="D7352" s="13" t="s">
        <v>9247</v>
      </c>
      <c r="E7352" s="8">
        <v>1362685.5</v>
      </c>
      <c r="F7352" s="13" t="s">
        <v>70</v>
      </c>
      <c r="G7352" s="14">
        <v>44655</v>
      </c>
      <c r="H7352" s="13" t="s">
        <v>35</v>
      </c>
    </row>
    <row r="7353" spans="1:8" ht="14.4" x14ac:dyDescent="0.3">
      <c r="A7353" s="8">
        <v>2040959</v>
      </c>
      <c r="B7353" s="11">
        <v>44652</v>
      </c>
      <c r="C7353" s="13" t="s">
        <v>1956</v>
      </c>
      <c r="D7353" s="13" t="s">
        <v>9248</v>
      </c>
      <c r="E7353" s="8">
        <v>1362685.5</v>
      </c>
      <c r="F7353" s="13" t="s">
        <v>70</v>
      </c>
      <c r="G7353" s="14">
        <v>44655</v>
      </c>
      <c r="H7353" s="13" t="s">
        <v>35</v>
      </c>
    </row>
    <row r="7354" spans="1:8" ht="14.4" x14ac:dyDescent="0.3">
      <c r="A7354" s="8">
        <v>2040960</v>
      </c>
      <c r="B7354" s="11">
        <v>44652</v>
      </c>
      <c r="C7354" s="13" t="s">
        <v>1956</v>
      </c>
      <c r="D7354" s="13" t="s">
        <v>9249</v>
      </c>
      <c r="E7354" s="8">
        <v>2960431.29</v>
      </c>
      <c r="F7354" s="13" t="s">
        <v>70</v>
      </c>
      <c r="G7354" s="14">
        <v>44655</v>
      </c>
      <c r="H7354" s="13" t="s">
        <v>35</v>
      </c>
    </row>
    <row r="7355" spans="1:8" ht="14.4" x14ac:dyDescent="0.3">
      <c r="A7355" s="8">
        <v>2040962</v>
      </c>
      <c r="B7355" s="11">
        <v>44652</v>
      </c>
      <c r="C7355" s="13" t="s">
        <v>180</v>
      </c>
      <c r="D7355" s="13" t="s">
        <v>9250</v>
      </c>
      <c r="E7355" s="8">
        <v>48872.95</v>
      </c>
      <c r="F7355" s="13" t="s">
        <v>70</v>
      </c>
      <c r="G7355" s="14">
        <v>44655</v>
      </c>
      <c r="H7355" s="13" t="s">
        <v>35</v>
      </c>
    </row>
    <row r="7356" spans="1:8" ht="14.4" x14ac:dyDescent="0.3">
      <c r="A7356" s="8">
        <v>2040963</v>
      </c>
      <c r="B7356" s="11">
        <v>44652</v>
      </c>
      <c r="C7356" s="13" t="s">
        <v>1536</v>
      </c>
      <c r="D7356" s="13" t="s">
        <v>9251</v>
      </c>
      <c r="E7356" s="8">
        <v>5998.74</v>
      </c>
      <c r="F7356" s="13" t="s">
        <v>70</v>
      </c>
      <c r="G7356" s="14">
        <v>44657</v>
      </c>
      <c r="H7356" s="13" t="s">
        <v>35</v>
      </c>
    </row>
    <row r="7357" spans="1:8" ht="14.4" x14ac:dyDescent="0.3">
      <c r="A7357" s="8">
        <v>2040964</v>
      </c>
      <c r="B7357" s="11">
        <v>44652</v>
      </c>
      <c r="C7357" s="13" t="s">
        <v>184</v>
      </c>
      <c r="D7357" s="13" t="s">
        <v>9252</v>
      </c>
      <c r="E7357" s="8">
        <v>168500</v>
      </c>
      <c r="F7357" s="13" t="s">
        <v>70</v>
      </c>
      <c r="G7357" s="14">
        <v>44655</v>
      </c>
      <c r="H7357" s="13" t="s">
        <v>35</v>
      </c>
    </row>
    <row r="7358" spans="1:8" ht="14.4" x14ac:dyDescent="0.3">
      <c r="A7358" s="8">
        <v>2040965</v>
      </c>
      <c r="B7358" s="11">
        <v>44652</v>
      </c>
      <c r="C7358" s="13" t="s">
        <v>189</v>
      </c>
      <c r="D7358" s="13" t="s">
        <v>9253</v>
      </c>
      <c r="E7358" s="8">
        <v>63947.55</v>
      </c>
      <c r="F7358" s="13" t="s">
        <v>70</v>
      </c>
      <c r="G7358" s="14">
        <v>44659</v>
      </c>
      <c r="H7358" s="13" t="s">
        <v>35</v>
      </c>
    </row>
    <row r="7359" spans="1:8" ht="14.4" x14ac:dyDescent="0.3">
      <c r="A7359" s="8">
        <v>2040966</v>
      </c>
      <c r="B7359" s="11">
        <v>44652</v>
      </c>
      <c r="C7359" s="13" t="s">
        <v>2480</v>
      </c>
      <c r="D7359" s="13" t="s">
        <v>9254</v>
      </c>
      <c r="E7359" s="8">
        <v>89000</v>
      </c>
      <c r="F7359" s="13" t="s">
        <v>70</v>
      </c>
      <c r="G7359" s="14">
        <v>44656</v>
      </c>
      <c r="H7359" s="13" t="s">
        <v>35</v>
      </c>
    </row>
    <row r="7360" spans="1:8" ht="14.4" x14ac:dyDescent="0.3">
      <c r="A7360" s="8">
        <v>2040967</v>
      </c>
      <c r="B7360" s="11">
        <v>44652</v>
      </c>
      <c r="C7360" s="13" t="s">
        <v>1569</v>
      </c>
      <c r="D7360" s="13" t="s">
        <v>9255</v>
      </c>
      <c r="E7360" s="8">
        <v>69731.5</v>
      </c>
      <c r="F7360" s="13" t="s">
        <v>70</v>
      </c>
      <c r="G7360" s="14">
        <v>44658</v>
      </c>
      <c r="H7360" s="13" t="s">
        <v>35</v>
      </c>
    </row>
    <row r="7361" spans="1:8" ht="14.4" x14ac:dyDescent="0.3">
      <c r="A7361" s="8">
        <v>2040968</v>
      </c>
      <c r="B7361" s="11">
        <v>44652</v>
      </c>
      <c r="C7361" s="13" t="s">
        <v>1569</v>
      </c>
      <c r="D7361" s="13" t="s">
        <v>9256</v>
      </c>
      <c r="E7361" s="8">
        <v>21578.19</v>
      </c>
      <c r="F7361" s="13" t="s">
        <v>70</v>
      </c>
      <c r="G7361" s="14">
        <v>44658</v>
      </c>
      <c r="H7361" s="13" t="s">
        <v>35</v>
      </c>
    </row>
    <row r="7362" spans="1:8" ht="14.4" x14ac:dyDescent="0.3">
      <c r="A7362" s="8">
        <v>2040969</v>
      </c>
      <c r="B7362" s="11">
        <v>44652</v>
      </c>
      <c r="C7362" s="13" t="s">
        <v>44</v>
      </c>
      <c r="D7362" s="13" t="s">
        <v>9257</v>
      </c>
      <c r="E7362" s="8">
        <v>1613.73</v>
      </c>
      <c r="F7362" s="13" t="s">
        <v>70</v>
      </c>
      <c r="G7362" s="14">
        <v>44657</v>
      </c>
      <c r="H7362" s="13" t="s">
        <v>35</v>
      </c>
    </row>
    <row r="7363" spans="1:8" ht="14.4" x14ac:dyDescent="0.3">
      <c r="A7363" s="8">
        <v>2040970</v>
      </c>
      <c r="B7363" s="11">
        <v>44652</v>
      </c>
      <c r="C7363" s="13" t="s">
        <v>265</v>
      </c>
      <c r="D7363" s="13" t="s">
        <v>9258</v>
      </c>
      <c r="E7363" s="8">
        <v>19000</v>
      </c>
      <c r="F7363" s="13" t="s">
        <v>70</v>
      </c>
      <c r="G7363" s="14">
        <v>44656</v>
      </c>
      <c r="H7363" s="13" t="s">
        <v>35</v>
      </c>
    </row>
    <row r="7364" spans="1:8" ht="14.4" x14ac:dyDescent="0.3">
      <c r="A7364" s="8">
        <v>2040971</v>
      </c>
      <c r="B7364" s="11">
        <v>44652</v>
      </c>
      <c r="C7364" s="13" t="s">
        <v>1637</v>
      </c>
      <c r="D7364" s="13" t="s">
        <v>9259</v>
      </c>
      <c r="E7364" s="8">
        <v>7000</v>
      </c>
      <c r="F7364" s="13" t="s">
        <v>70</v>
      </c>
      <c r="G7364" s="14">
        <v>44659</v>
      </c>
      <c r="H7364" s="13" t="s">
        <v>35</v>
      </c>
    </row>
    <row r="7365" spans="1:8" ht="14.4" x14ac:dyDescent="0.3">
      <c r="A7365" s="8">
        <v>2040972</v>
      </c>
      <c r="B7365" s="11">
        <v>44655</v>
      </c>
      <c r="C7365" s="13" t="s">
        <v>1596</v>
      </c>
      <c r="D7365" s="13" t="s">
        <v>9260</v>
      </c>
      <c r="E7365" s="8">
        <v>37323.300000000003</v>
      </c>
      <c r="F7365" s="13" t="s">
        <v>70</v>
      </c>
      <c r="G7365" s="14">
        <v>44657</v>
      </c>
      <c r="H7365" s="13" t="s">
        <v>35</v>
      </c>
    </row>
    <row r="7366" spans="1:8" ht="14.4" x14ac:dyDescent="0.3">
      <c r="A7366" s="8">
        <v>2040973</v>
      </c>
      <c r="B7366" s="11">
        <v>44655</v>
      </c>
      <c r="C7366" s="13" t="s">
        <v>1637</v>
      </c>
      <c r="D7366" s="13" t="s">
        <v>9261</v>
      </c>
      <c r="E7366" s="8">
        <v>5250</v>
      </c>
      <c r="F7366" s="13" t="s">
        <v>70</v>
      </c>
      <c r="G7366" s="14">
        <v>44659</v>
      </c>
      <c r="H7366" s="13" t="s">
        <v>35</v>
      </c>
    </row>
    <row r="7367" spans="1:8" ht="14.4" x14ac:dyDescent="0.3">
      <c r="A7367" s="8">
        <v>2040974</v>
      </c>
      <c r="B7367" s="11">
        <v>44655</v>
      </c>
      <c r="C7367" s="13" t="s">
        <v>279</v>
      </c>
      <c r="D7367" s="13" t="s">
        <v>9262</v>
      </c>
      <c r="E7367" s="8">
        <v>26699.86</v>
      </c>
      <c r="F7367" s="13" t="s">
        <v>70</v>
      </c>
      <c r="G7367" s="14">
        <v>44659</v>
      </c>
      <c r="H7367" s="13" t="s">
        <v>35</v>
      </c>
    </row>
    <row r="7368" spans="1:8" ht="14.4" x14ac:dyDescent="0.3">
      <c r="A7368" s="8">
        <v>2040975</v>
      </c>
      <c r="B7368" s="11">
        <v>44655</v>
      </c>
      <c r="C7368" s="13" t="s">
        <v>265</v>
      </c>
      <c r="D7368" s="13" t="s">
        <v>9263</v>
      </c>
      <c r="E7368" s="8">
        <v>59360</v>
      </c>
      <c r="F7368" s="13" t="s">
        <v>70</v>
      </c>
      <c r="G7368" s="14">
        <v>44657</v>
      </c>
      <c r="H7368" s="13" t="s">
        <v>35</v>
      </c>
    </row>
    <row r="7369" spans="1:8" ht="14.4" x14ac:dyDescent="0.3">
      <c r="A7369" s="8">
        <v>2040976</v>
      </c>
      <c r="B7369" s="11">
        <v>44655</v>
      </c>
      <c r="C7369" s="13" t="s">
        <v>1569</v>
      </c>
      <c r="D7369" s="13" t="s">
        <v>9264</v>
      </c>
      <c r="E7369" s="8">
        <v>68281.14</v>
      </c>
      <c r="F7369" s="13" t="s">
        <v>70</v>
      </c>
      <c r="G7369" s="14">
        <v>44659</v>
      </c>
      <c r="H7369" s="13" t="s">
        <v>35</v>
      </c>
    </row>
    <row r="7370" spans="1:8" ht="14.4" x14ac:dyDescent="0.3">
      <c r="A7370" s="8">
        <v>2040977</v>
      </c>
      <c r="B7370" s="11">
        <v>44655</v>
      </c>
      <c r="C7370" s="13" t="s">
        <v>492</v>
      </c>
      <c r="D7370" s="13" t="s">
        <v>9265</v>
      </c>
      <c r="E7370" s="8">
        <v>20442.8</v>
      </c>
      <c r="F7370" s="13" t="s">
        <v>70</v>
      </c>
      <c r="G7370" s="14">
        <v>44658</v>
      </c>
      <c r="H7370" s="13" t="s">
        <v>35</v>
      </c>
    </row>
    <row r="7371" spans="1:8" ht="14.4" x14ac:dyDescent="0.3">
      <c r="A7371" s="8">
        <v>2040978</v>
      </c>
      <c r="B7371" s="11">
        <v>44655</v>
      </c>
      <c r="C7371" s="13" t="s">
        <v>395</v>
      </c>
      <c r="D7371" s="13" t="s">
        <v>9266</v>
      </c>
      <c r="E7371" s="8">
        <v>31003</v>
      </c>
      <c r="F7371" s="13" t="s">
        <v>70</v>
      </c>
      <c r="G7371" s="14">
        <v>44658</v>
      </c>
      <c r="H7371" s="13" t="s">
        <v>35</v>
      </c>
    </row>
    <row r="7372" spans="1:8" ht="14.4" x14ac:dyDescent="0.3">
      <c r="A7372" s="8">
        <v>2040979</v>
      </c>
      <c r="B7372" s="11">
        <v>44655</v>
      </c>
      <c r="C7372" s="13" t="s">
        <v>1286</v>
      </c>
      <c r="D7372" s="13" t="s">
        <v>9267</v>
      </c>
      <c r="E7372" s="8">
        <v>91087.07</v>
      </c>
      <c r="F7372" s="13" t="s">
        <v>70</v>
      </c>
      <c r="G7372" s="14">
        <v>44663</v>
      </c>
      <c r="H7372" s="13" t="s">
        <v>35</v>
      </c>
    </row>
    <row r="7373" spans="1:8" ht="14.4" x14ac:dyDescent="0.3">
      <c r="A7373" s="8">
        <v>2040980</v>
      </c>
      <c r="B7373" s="11">
        <v>44655</v>
      </c>
      <c r="C7373" s="13" t="s">
        <v>1286</v>
      </c>
      <c r="D7373" s="13" t="s">
        <v>9268</v>
      </c>
      <c r="E7373" s="8">
        <v>53131.040000000001</v>
      </c>
      <c r="F7373" s="13" t="s">
        <v>70</v>
      </c>
      <c r="G7373" s="14">
        <v>44663</v>
      </c>
      <c r="H7373" s="13" t="s">
        <v>35</v>
      </c>
    </row>
    <row r="7374" spans="1:8" ht="14.4" x14ac:dyDescent="0.3">
      <c r="A7374" s="8">
        <v>2040981</v>
      </c>
      <c r="B7374" s="11">
        <v>44655</v>
      </c>
      <c r="C7374" s="13" t="s">
        <v>1286</v>
      </c>
      <c r="D7374" s="13" t="s">
        <v>9269</v>
      </c>
      <c r="E7374" s="8">
        <v>20037.349999999999</v>
      </c>
      <c r="F7374" s="13" t="s">
        <v>70</v>
      </c>
      <c r="G7374" s="14">
        <v>44663</v>
      </c>
      <c r="H7374" s="13" t="s">
        <v>35</v>
      </c>
    </row>
    <row r="7375" spans="1:8" ht="14.4" x14ac:dyDescent="0.3">
      <c r="A7375" s="8">
        <v>2040982</v>
      </c>
      <c r="B7375" s="11">
        <v>44655</v>
      </c>
      <c r="C7375" s="13" t="s">
        <v>60</v>
      </c>
      <c r="D7375" s="13" t="s">
        <v>9270</v>
      </c>
      <c r="E7375" s="8">
        <v>1573012.01</v>
      </c>
      <c r="F7375" s="13" t="s">
        <v>70</v>
      </c>
      <c r="G7375" s="14">
        <v>44657</v>
      </c>
      <c r="H7375" s="13" t="s">
        <v>35</v>
      </c>
    </row>
    <row r="7376" spans="1:8" ht="14.4" x14ac:dyDescent="0.3">
      <c r="A7376" s="8">
        <v>2040983</v>
      </c>
      <c r="B7376" s="11">
        <v>44656</v>
      </c>
      <c r="C7376" s="13" t="s">
        <v>3378</v>
      </c>
      <c r="D7376" s="13" t="s">
        <v>3379</v>
      </c>
      <c r="E7376" s="8">
        <v>22654.35</v>
      </c>
      <c r="F7376" s="13" t="s">
        <v>70</v>
      </c>
      <c r="G7376" s="14">
        <v>44669</v>
      </c>
      <c r="H7376" s="13" t="s">
        <v>35</v>
      </c>
    </row>
    <row r="7377" spans="1:8" ht="14.4" x14ac:dyDescent="0.3">
      <c r="A7377" s="8">
        <v>2040984</v>
      </c>
      <c r="B7377" s="11">
        <v>44656</v>
      </c>
      <c r="C7377" s="13" t="s">
        <v>1547</v>
      </c>
      <c r="D7377" s="13" t="s">
        <v>9271</v>
      </c>
      <c r="E7377" s="8">
        <v>107453.79</v>
      </c>
      <c r="F7377" s="13" t="s">
        <v>70</v>
      </c>
      <c r="G7377" s="14">
        <v>44662</v>
      </c>
      <c r="H7377" s="13" t="s">
        <v>35</v>
      </c>
    </row>
    <row r="7378" spans="1:8" ht="14.4" x14ac:dyDescent="0.3">
      <c r="A7378" s="8">
        <v>2040985</v>
      </c>
      <c r="B7378" s="11">
        <v>44656</v>
      </c>
      <c r="C7378" s="13" t="s">
        <v>4211</v>
      </c>
      <c r="D7378" s="13" t="s">
        <v>9272</v>
      </c>
      <c r="E7378" s="8">
        <v>29120</v>
      </c>
      <c r="F7378" s="13" t="s">
        <v>70</v>
      </c>
      <c r="G7378" s="14">
        <v>44657</v>
      </c>
      <c r="H7378" s="13" t="s">
        <v>35</v>
      </c>
    </row>
    <row r="7379" spans="1:8" ht="14.4" x14ac:dyDescent="0.3">
      <c r="A7379" s="8">
        <v>2040986</v>
      </c>
      <c r="B7379" s="11">
        <v>44656</v>
      </c>
      <c r="C7379" s="13" t="s">
        <v>1286</v>
      </c>
      <c r="D7379" s="13" t="s">
        <v>9273</v>
      </c>
      <c r="E7379" s="8">
        <v>31113.43</v>
      </c>
      <c r="F7379" s="13" t="s">
        <v>70</v>
      </c>
      <c r="G7379" s="14">
        <v>44663</v>
      </c>
      <c r="H7379" s="13" t="s">
        <v>35</v>
      </c>
    </row>
    <row r="7380" spans="1:8" ht="14.4" x14ac:dyDescent="0.3">
      <c r="A7380" s="8">
        <v>2040987</v>
      </c>
      <c r="B7380" s="11">
        <v>44656</v>
      </c>
      <c r="C7380" s="13" t="s">
        <v>1286</v>
      </c>
      <c r="D7380" s="13" t="s">
        <v>9274</v>
      </c>
      <c r="E7380" s="8">
        <v>5559.45</v>
      </c>
      <c r="F7380" s="13" t="s">
        <v>70</v>
      </c>
      <c r="G7380" s="14">
        <v>44663</v>
      </c>
      <c r="H7380" s="13" t="s">
        <v>35</v>
      </c>
    </row>
    <row r="7381" spans="1:8" ht="14.4" x14ac:dyDescent="0.3">
      <c r="A7381" s="8">
        <v>2040988</v>
      </c>
      <c r="B7381" s="11">
        <v>44656</v>
      </c>
      <c r="C7381" s="13" t="s">
        <v>1286</v>
      </c>
      <c r="D7381" s="13" t="s">
        <v>9275</v>
      </c>
      <c r="E7381" s="8">
        <v>7153.89</v>
      </c>
      <c r="F7381" s="13" t="s">
        <v>70</v>
      </c>
      <c r="G7381" s="14">
        <v>44663</v>
      </c>
      <c r="H7381" s="13" t="s">
        <v>35</v>
      </c>
    </row>
    <row r="7382" spans="1:8" ht="14.4" x14ac:dyDescent="0.3">
      <c r="A7382" s="8">
        <v>2040989</v>
      </c>
      <c r="B7382" s="11">
        <v>44656</v>
      </c>
      <c r="C7382" s="13" t="s">
        <v>125</v>
      </c>
      <c r="D7382" s="13" t="s">
        <v>9276</v>
      </c>
      <c r="E7382" s="8">
        <v>32886</v>
      </c>
      <c r="F7382" s="13" t="s">
        <v>70</v>
      </c>
      <c r="G7382" s="14">
        <v>44669</v>
      </c>
      <c r="H7382" s="13" t="s">
        <v>35</v>
      </c>
    </row>
    <row r="7383" spans="1:8" ht="14.4" x14ac:dyDescent="0.3">
      <c r="A7383" s="8">
        <v>2040990</v>
      </c>
      <c r="B7383" s="11">
        <v>44656</v>
      </c>
      <c r="C7383" s="13" t="s">
        <v>748</v>
      </c>
      <c r="D7383" s="13" t="s">
        <v>9277</v>
      </c>
      <c r="E7383" s="8">
        <v>4687.5</v>
      </c>
      <c r="F7383" s="13" t="s">
        <v>70</v>
      </c>
      <c r="G7383" s="14">
        <v>44659</v>
      </c>
      <c r="H7383" s="13" t="s">
        <v>35</v>
      </c>
    </row>
    <row r="7384" spans="1:8" ht="14.4" x14ac:dyDescent="0.3">
      <c r="A7384" s="8">
        <v>2040991</v>
      </c>
      <c r="B7384" s="11">
        <v>44656</v>
      </c>
      <c r="C7384" s="13" t="s">
        <v>1569</v>
      </c>
      <c r="D7384" s="13" t="s">
        <v>9278</v>
      </c>
      <c r="E7384" s="8">
        <v>175000</v>
      </c>
      <c r="F7384" s="13" t="s">
        <v>70</v>
      </c>
      <c r="G7384" s="14">
        <v>44659</v>
      </c>
      <c r="H7384" s="13" t="s">
        <v>35</v>
      </c>
    </row>
    <row r="7385" spans="1:8" ht="14.4" x14ac:dyDescent="0.3">
      <c r="A7385" s="8">
        <v>2040992</v>
      </c>
      <c r="B7385" s="11">
        <v>44656</v>
      </c>
      <c r="C7385" s="13" t="s">
        <v>3725</v>
      </c>
      <c r="D7385" s="13" t="s">
        <v>9279</v>
      </c>
      <c r="E7385" s="8">
        <v>6000</v>
      </c>
      <c r="F7385" s="13" t="s">
        <v>70</v>
      </c>
      <c r="G7385" s="14">
        <v>44680</v>
      </c>
      <c r="H7385" s="13" t="s">
        <v>35</v>
      </c>
    </row>
    <row r="7386" spans="1:8" ht="14.4" x14ac:dyDescent="0.3">
      <c r="A7386" s="8">
        <v>2040993</v>
      </c>
      <c r="B7386" s="11">
        <v>44656</v>
      </c>
      <c r="C7386" s="13" t="s">
        <v>188</v>
      </c>
      <c r="D7386" s="13" t="s">
        <v>1749</v>
      </c>
      <c r="E7386" s="8">
        <v>10474.629999999999</v>
      </c>
      <c r="F7386" s="13" t="s">
        <v>70</v>
      </c>
      <c r="G7386" s="14">
        <v>44657</v>
      </c>
      <c r="H7386" s="13" t="s">
        <v>35</v>
      </c>
    </row>
    <row r="7387" spans="1:8" ht="14.4" x14ac:dyDescent="0.3">
      <c r="A7387" s="8">
        <v>2040994</v>
      </c>
      <c r="B7387" s="11">
        <v>44656</v>
      </c>
      <c r="C7387" s="13" t="s">
        <v>188</v>
      </c>
      <c r="D7387" s="13" t="s">
        <v>1754</v>
      </c>
      <c r="E7387" s="8">
        <v>33430.980000000003</v>
      </c>
      <c r="F7387" s="13" t="s">
        <v>70</v>
      </c>
      <c r="G7387" s="14">
        <v>44657</v>
      </c>
      <c r="H7387" s="13" t="s">
        <v>35</v>
      </c>
    </row>
    <row r="7388" spans="1:8" ht="14.4" x14ac:dyDescent="0.3">
      <c r="A7388" s="8">
        <v>2040995</v>
      </c>
      <c r="B7388" s="11">
        <v>44656</v>
      </c>
      <c r="C7388" s="13" t="s">
        <v>188</v>
      </c>
      <c r="D7388" s="13" t="s">
        <v>9280</v>
      </c>
      <c r="E7388" s="8">
        <v>27271.11</v>
      </c>
      <c r="F7388" s="13" t="s">
        <v>70</v>
      </c>
      <c r="G7388" s="14">
        <v>44657</v>
      </c>
      <c r="H7388" s="13" t="s">
        <v>35</v>
      </c>
    </row>
    <row r="7389" spans="1:8" ht="14.4" x14ac:dyDescent="0.3">
      <c r="A7389" s="8">
        <v>2040996</v>
      </c>
      <c r="B7389" s="11">
        <v>44656</v>
      </c>
      <c r="C7389" s="13" t="s">
        <v>188</v>
      </c>
      <c r="D7389" s="13" t="s">
        <v>9281</v>
      </c>
      <c r="E7389" s="8">
        <v>2729.55</v>
      </c>
      <c r="F7389" s="13" t="s">
        <v>70</v>
      </c>
      <c r="G7389" s="14">
        <v>44657</v>
      </c>
      <c r="H7389" s="13" t="s">
        <v>35</v>
      </c>
    </row>
    <row r="7390" spans="1:8" ht="14.4" x14ac:dyDescent="0.3">
      <c r="A7390" s="8">
        <v>2040997</v>
      </c>
      <c r="B7390" s="11">
        <v>44656</v>
      </c>
      <c r="C7390" s="13" t="s">
        <v>197</v>
      </c>
      <c r="D7390" s="13" t="s">
        <v>9282</v>
      </c>
      <c r="E7390" s="8">
        <v>1965295.63</v>
      </c>
      <c r="F7390" s="13" t="s">
        <v>70</v>
      </c>
      <c r="G7390" s="14">
        <v>44658</v>
      </c>
      <c r="H7390" s="13" t="s">
        <v>35</v>
      </c>
    </row>
    <row r="7391" spans="1:8" ht="14.4" x14ac:dyDescent="0.3">
      <c r="A7391" s="8">
        <v>2040998</v>
      </c>
      <c r="B7391" s="11">
        <v>44656</v>
      </c>
      <c r="C7391" s="13" t="s">
        <v>186</v>
      </c>
      <c r="D7391" s="13" t="s">
        <v>9282</v>
      </c>
      <c r="E7391" s="8">
        <v>1933735.55</v>
      </c>
      <c r="F7391" s="13" t="s">
        <v>70</v>
      </c>
      <c r="G7391" s="14">
        <v>44657</v>
      </c>
      <c r="H7391" s="13" t="s">
        <v>35</v>
      </c>
    </row>
    <row r="7392" spans="1:8" ht="14.4" x14ac:dyDescent="0.3">
      <c r="A7392" s="8">
        <v>2040999</v>
      </c>
      <c r="B7392" s="11">
        <v>44656</v>
      </c>
      <c r="C7392" s="13" t="s">
        <v>189</v>
      </c>
      <c r="D7392" s="13" t="s">
        <v>9283</v>
      </c>
      <c r="E7392" s="8">
        <v>8898420.8100000005</v>
      </c>
      <c r="F7392" s="13" t="s">
        <v>70</v>
      </c>
      <c r="G7392" s="14">
        <v>44657</v>
      </c>
      <c r="H7392" s="13" t="s">
        <v>35</v>
      </c>
    </row>
    <row r="7393" spans="1:8" ht="14.4" x14ac:dyDescent="0.3">
      <c r="A7393" s="8">
        <v>2041000</v>
      </c>
      <c r="B7393" s="11">
        <v>44656</v>
      </c>
      <c r="C7393" s="13" t="s">
        <v>1645</v>
      </c>
      <c r="D7393" s="13" t="s">
        <v>9282</v>
      </c>
      <c r="E7393" s="8">
        <v>125426.77</v>
      </c>
      <c r="F7393" s="13" t="s">
        <v>70</v>
      </c>
      <c r="G7393" s="14">
        <v>44657</v>
      </c>
      <c r="H7393" s="13" t="s">
        <v>35</v>
      </c>
    </row>
    <row r="7394" spans="1:8" ht="14.4" x14ac:dyDescent="0.3">
      <c r="A7394" s="8">
        <v>2041001</v>
      </c>
      <c r="B7394" s="11">
        <v>44656</v>
      </c>
      <c r="C7394" s="13" t="s">
        <v>235</v>
      </c>
      <c r="D7394" s="13" t="s">
        <v>9284</v>
      </c>
      <c r="E7394" s="8">
        <v>399585</v>
      </c>
      <c r="F7394" s="13" t="s">
        <v>70</v>
      </c>
      <c r="G7394" s="14">
        <v>44657</v>
      </c>
      <c r="H7394" s="13" t="s">
        <v>35</v>
      </c>
    </row>
    <row r="7395" spans="1:8" ht="14.4" x14ac:dyDescent="0.3">
      <c r="A7395" s="8">
        <v>2041002</v>
      </c>
      <c r="B7395" s="11">
        <v>44656</v>
      </c>
      <c r="C7395" s="13" t="s">
        <v>9285</v>
      </c>
      <c r="D7395" s="13" t="s">
        <v>9286</v>
      </c>
      <c r="E7395" s="8">
        <v>214671.88</v>
      </c>
      <c r="F7395" s="13" t="s">
        <v>70</v>
      </c>
      <c r="G7395" s="14">
        <v>44657</v>
      </c>
      <c r="H7395" s="13" t="s">
        <v>35</v>
      </c>
    </row>
    <row r="7396" spans="1:8" ht="14.4" x14ac:dyDescent="0.3">
      <c r="A7396" s="8">
        <v>2041003</v>
      </c>
      <c r="B7396" s="11">
        <v>44657</v>
      </c>
      <c r="C7396" s="13" t="s">
        <v>1504</v>
      </c>
      <c r="D7396" s="13" t="s">
        <v>9287</v>
      </c>
      <c r="E7396" s="8">
        <v>2469600.69</v>
      </c>
      <c r="F7396" s="13" t="s">
        <v>70</v>
      </c>
      <c r="G7396" s="14">
        <v>44659</v>
      </c>
      <c r="H7396" s="13" t="s">
        <v>35</v>
      </c>
    </row>
    <row r="7397" spans="1:8" ht="14.4" x14ac:dyDescent="0.3">
      <c r="A7397" s="8">
        <v>2041004</v>
      </c>
      <c r="B7397" s="11">
        <v>44657</v>
      </c>
      <c r="C7397" s="13" t="s">
        <v>1504</v>
      </c>
      <c r="D7397" s="13" t="s">
        <v>9287</v>
      </c>
      <c r="E7397" s="8">
        <v>34065020.479999997</v>
      </c>
      <c r="F7397" s="13" t="s">
        <v>70</v>
      </c>
      <c r="G7397" s="14">
        <v>44659</v>
      </c>
      <c r="H7397" s="13" t="s">
        <v>35</v>
      </c>
    </row>
    <row r="7398" spans="1:8" ht="14.4" x14ac:dyDescent="0.3">
      <c r="A7398" s="8">
        <v>2041005</v>
      </c>
      <c r="B7398" s="11">
        <v>44657</v>
      </c>
      <c r="C7398" s="13" t="s">
        <v>265</v>
      </c>
      <c r="D7398" s="13" t="s">
        <v>9288</v>
      </c>
      <c r="E7398" s="8">
        <v>60610</v>
      </c>
      <c r="F7398" s="13" t="s">
        <v>70</v>
      </c>
      <c r="G7398" s="14">
        <v>44659</v>
      </c>
      <c r="H7398" s="13" t="s">
        <v>35</v>
      </c>
    </row>
    <row r="7399" spans="1:8" ht="14.4" x14ac:dyDescent="0.3">
      <c r="A7399" s="8">
        <v>2041006</v>
      </c>
      <c r="B7399" s="11">
        <v>44657</v>
      </c>
      <c r="C7399" s="13" t="s">
        <v>9289</v>
      </c>
      <c r="D7399" s="13" t="s">
        <v>9290</v>
      </c>
      <c r="E7399" s="8">
        <v>317714.95</v>
      </c>
      <c r="F7399" s="13" t="s">
        <v>70</v>
      </c>
      <c r="G7399" s="14">
        <v>44658</v>
      </c>
      <c r="H7399" s="13" t="s">
        <v>35</v>
      </c>
    </row>
    <row r="7400" spans="1:8" ht="14.4" x14ac:dyDescent="0.3">
      <c r="A7400" s="8">
        <v>2041007</v>
      </c>
      <c r="B7400" s="11">
        <v>44657</v>
      </c>
      <c r="C7400" s="13" t="s">
        <v>9291</v>
      </c>
      <c r="D7400" s="13" t="s">
        <v>9292</v>
      </c>
      <c r="E7400" s="8">
        <v>9286</v>
      </c>
      <c r="F7400" s="13" t="s">
        <v>70</v>
      </c>
      <c r="G7400" s="14">
        <v>44657</v>
      </c>
      <c r="H7400" s="13" t="s">
        <v>35</v>
      </c>
    </row>
    <row r="7401" spans="1:8" ht="14.4" x14ac:dyDescent="0.3">
      <c r="A7401" s="8">
        <v>2041008</v>
      </c>
      <c r="B7401" s="11">
        <v>44657</v>
      </c>
      <c r="C7401" s="13" t="s">
        <v>60</v>
      </c>
      <c r="D7401" s="13" t="s">
        <v>9293</v>
      </c>
      <c r="E7401" s="8">
        <v>1463885.44</v>
      </c>
      <c r="F7401" s="13" t="s">
        <v>70</v>
      </c>
      <c r="G7401" s="14">
        <v>44658</v>
      </c>
      <c r="H7401" s="13" t="s">
        <v>35</v>
      </c>
    </row>
    <row r="7402" spans="1:8" ht="14.4" x14ac:dyDescent="0.3">
      <c r="A7402" s="8">
        <v>2041009</v>
      </c>
      <c r="B7402" s="11">
        <v>44657</v>
      </c>
      <c r="C7402" s="13" t="s">
        <v>697</v>
      </c>
      <c r="D7402" s="13" t="s">
        <v>9294</v>
      </c>
      <c r="E7402" s="8">
        <v>1563.39</v>
      </c>
      <c r="F7402" s="13" t="s">
        <v>70</v>
      </c>
      <c r="G7402" s="14">
        <v>44669</v>
      </c>
      <c r="H7402" s="13" t="s">
        <v>35</v>
      </c>
    </row>
    <row r="7403" spans="1:8" ht="14.4" x14ac:dyDescent="0.3">
      <c r="A7403" s="8">
        <v>2041010</v>
      </c>
      <c r="B7403" s="11">
        <v>44657</v>
      </c>
      <c r="C7403" s="13" t="s">
        <v>180</v>
      </c>
      <c r="D7403" s="13" t="s">
        <v>9295</v>
      </c>
      <c r="E7403" s="8">
        <v>118121.93</v>
      </c>
      <c r="F7403" s="13" t="s">
        <v>70</v>
      </c>
      <c r="G7403" s="14">
        <v>44657</v>
      </c>
      <c r="H7403" s="13" t="s">
        <v>35</v>
      </c>
    </row>
    <row r="7404" spans="1:8" ht="14.4" x14ac:dyDescent="0.3">
      <c r="A7404" s="8">
        <v>2041011</v>
      </c>
      <c r="B7404" s="11">
        <v>44657</v>
      </c>
      <c r="C7404" s="13" t="s">
        <v>9296</v>
      </c>
      <c r="D7404" s="13" t="s">
        <v>9297</v>
      </c>
      <c r="E7404" s="8">
        <v>33509.85</v>
      </c>
      <c r="F7404" s="13" t="s">
        <v>70</v>
      </c>
      <c r="G7404" s="14">
        <v>44658</v>
      </c>
      <c r="H7404" s="13" t="s">
        <v>35</v>
      </c>
    </row>
    <row r="7405" spans="1:8" ht="14.4" x14ac:dyDescent="0.3">
      <c r="A7405" s="8">
        <v>2041012</v>
      </c>
      <c r="B7405" s="11">
        <v>44658</v>
      </c>
      <c r="C7405" s="13" t="s">
        <v>1286</v>
      </c>
      <c r="D7405" s="13" t="s">
        <v>9298</v>
      </c>
      <c r="E7405" s="8">
        <v>152555.93</v>
      </c>
      <c r="F7405" s="13" t="s">
        <v>70</v>
      </c>
      <c r="G7405" s="14">
        <v>44663</v>
      </c>
      <c r="H7405" s="13" t="s">
        <v>35</v>
      </c>
    </row>
    <row r="7406" spans="1:8" ht="14.4" x14ac:dyDescent="0.3">
      <c r="A7406" s="8">
        <v>2041013</v>
      </c>
      <c r="B7406" s="11">
        <v>44658</v>
      </c>
      <c r="C7406" s="13" t="s">
        <v>1286</v>
      </c>
      <c r="D7406" s="13" t="s">
        <v>9299</v>
      </c>
      <c r="E7406" s="8">
        <v>107422.83</v>
      </c>
      <c r="F7406" s="13" t="s">
        <v>70</v>
      </c>
      <c r="G7406" s="14">
        <v>44663</v>
      </c>
      <c r="H7406" s="13" t="s">
        <v>35</v>
      </c>
    </row>
    <row r="7407" spans="1:8" ht="14.4" x14ac:dyDescent="0.3">
      <c r="A7407" s="8">
        <v>2041014</v>
      </c>
      <c r="B7407" s="11">
        <v>44658</v>
      </c>
      <c r="C7407" s="13" t="s">
        <v>1286</v>
      </c>
      <c r="D7407" s="13" t="s">
        <v>9300</v>
      </c>
      <c r="E7407" s="8">
        <v>198150.53</v>
      </c>
      <c r="F7407" s="13" t="s">
        <v>70</v>
      </c>
      <c r="G7407" s="14">
        <v>44663</v>
      </c>
      <c r="H7407" s="13" t="s">
        <v>35</v>
      </c>
    </row>
    <row r="7408" spans="1:8" ht="14.4" x14ac:dyDescent="0.3">
      <c r="A7408" s="8">
        <v>2041015</v>
      </c>
      <c r="B7408" s="11">
        <v>44658</v>
      </c>
      <c r="C7408" s="13" t="s">
        <v>60</v>
      </c>
      <c r="D7408" s="13" t="s">
        <v>9301</v>
      </c>
      <c r="E7408" s="8">
        <v>1175950.05</v>
      </c>
      <c r="F7408" s="13" t="s">
        <v>70</v>
      </c>
      <c r="G7408" s="14">
        <v>44658</v>
      </c>
      <c r="H7408" s="13" t="s">
        <v>35</v>
      </c>
    </row>
    <row r="7409" spans="1:8" ht="14.4" x14ac:dyDescent="0.3">
      <c r="A7409" s="8">
        <v>2041016</v>
      </c>
      <c r="B7409" s="11">
        <v>44658</v>
      </c>
      <c r="C7409" s="13" t="s">
        <v>60</v>
      </c>
      <c r="D7409" s="13" t="s">
        <v>9302</v>
      </c>
      <c r="E7409" s="8">
        <v>1573012.01</v>
      </c>
      <c r="F7409" s="13" t="s">
        <v>70</v>
      </c>
      <c r="G7409" s="14">
        <v>44658</v>
      </c>
      <c r="H7409" s="13" t="s">
        <v>35</v>
      </c>
    </row>
    <row r="7410" spans="1:8" ht="14.4" x14ac:dyDescent="0.3">
      <c r="A7410" s="8">
        <v>2041017</v>
      </c>
      <c r="B7410" s="11">
        <v>44658</v>
      </c>
      <c r="C7410" s="13" t="s">
        <v>345</v>
      </c>
      <c r="D7410" s="13" t="s">
        <v>9303</v>
      </c>
      <c r="E7410" s="8">
        <v>10000</v>
      </c>
      <c r="F7410" s="13" t="s">
        <v>70</v>
      </c>
      <c r="G7410" s="14">
        <v>44662</v>
      </c>
      <c r="H7410" s="13" t="s">
        <v>35</v>
      </c>
    </row>
    <row r="7411" spans="1:8" ht="14.4" x14ac:dyDescent="0.3">
      <c r="A7411" s="8">
        <v>2041018</v>
      </c>
      <c r="B7411" s="11">
        <v>44658</v>
      </c>
      <c r="C7411" s="13" t="s">
        <v>9304</v>
      </c>
      <c r="D7411" s="13" t="s">
        <v>9303</v>
      </c>
      <c r="E7411" s="8">
        <v>3000</v>
      </c>
      <c r="F7411" s="13" t="s">
        <v>70</v>
      </c>
      <c r="G7411" s="14">
        <v>44662</v>
      </c>
      <c r="H7411" s="13" t="s">
        <v>35</v>
      </c>
    </row>
    <row r="7412" spans="1:8" ht="14.4" x14ac:dyDescent="0.3">
      <c r="A7412" s="8">
        <v>2041019</v>
      </c>
      <c r="B7412" s="11">
        <v>44658</v>
      </c>
      <c r="C7412" s="13" t="s">
        <v>346</v>
      </c>
      <c r="D7412" s="13" t="s">
        <v>9303</v>
      </c>
      <c r="E7412" s="8">
        <v>5000</v>
      </c>
      <c r="F7412" s="13" t="s">
        <v>70</v>
      </c>
      <c r="G7412" s="14">
        <v>44662</v>
      </c>
      <c r="H7412" s="13" t="s">
        <v>35</v>
      </c>
    </row>
    <row r="7413" spans="1:8" ht="14.4" x14ac:dyDescent="0.3">
      <c r="A7413" s="8">
        <v>2041020</v>
      </c>
      <c r="B7413" s="11">
        <v>44658</v>
      </c>
      <c r="C7413" s="13" t="s">
        <v>303</v>
      </c>
      <c r="D7413" s="13" t="s">
        <v>1480</v>
      </c>
      <c r="E7413" s="8">
        <v>6000</v>
      </c>
      <c r="F7413" s="13" t="s">
        <v>70</v>
      </c>
      <c r="G7413" s="14">
        <v>44659</v>
      </c>
      <c r="H7413" s="13" t="s">
        <v>35</v>
      </c>
    </row>
    <row r="7414" spans="1:8" ht="14.4" x14ac:dyDescent="0.3">
      <c r="A7414" s="8">
        <v>2041021</v>
      </c>
      <c r="B7414" s="11">
        <v>44658</v>
      </c>
      <c r="C7414" s="13" t="s">
        <v>295</v>
      </c>
      <c r="D7414" s="13" t="s">
        <v>1480</v>
      </c>
      <c r="E7414" s="8">
        <v>20000</v>
      </c>
      <c r="F7414" s="13" t="s">
        <v>70</v>
      </c>
      <c r="G7414" s="14">
        <v>44659</v>
      </c>
      <c r="H7414" s="13" t="s">
        <v>35</v>
      </c>
    </row>
    <row r="7415" spans="1:8" ht="14.4" x14ac:dyDescent="0.3">
      <c r="A7415" s="8">
        <v>2041022</v>
      </c>
      <c r="B7415" s="11">
        <v>44658</v>
      </c>
      <c r="C7415" s="13" t="s">
        <v>305</v>
      </c>
      <c r="D7415" s="13" t="s">
        <v>1480</v>
      </c>
      <c r="E7415" s="8">
        <v>3000</v>
      </c>
      <c r="F7415" s="13" t="s">
        <v>70</v>
      </c>
      <c r="G7415" s="14">
        <v>44659</v>
      </c>
      <c r="H7415" s="13" t="s">
        <v>35</v>
      </c>
    </row>
    <row r="7416" spans="1:8" ht="14.4" x14ac:dyDescent="0.3">
      <c r="A7416" s="8">
        <v>2041023</v>
      </c>
      <c r="B7416" s="11">
        <v>44658</v>
      </c>
      <c r="C7416" s="13" t="s">
        <v>304</v>
      </c>
      <c r="D7416" s="13" t="s">
        <v>1480</v>
      </c>
      <c r="E7416" s="8">
        <v>5000</v>
      </c>
      <c r="F7416" s="13" t="s">
        <v>70</v>
      </c>
      <c r="G7416" s="14">
        <v>44659</v>
      </c>
      <c r="H7416" s="13" t="s">
        <v>35</v>
      </c>
    </row>
    <row r="7417" spans="1:8" ht="14.4" x14ac:dyDescent="0.3">
      <c r="A7417" s="8">
        <v>2041024</v>
      </c>
      <c r="B7417" s="11">
        <v>44658</v>
      </c>
      <c r="C7417" s="13" t="s">
        <v>789</v>
      </c>
      <c r="D7417" s="13" t="s">
        <v>1666</v>
      </c>
      <c r="E7417" s="8">
        <v>6000</v>
      </c>
      <c r="F7417" s="13" t="s">
        <v>70</v>
      </c>
      <c r="G7417" s="14">
        <v>44678</v>
      </c>
      <c r="H7417" s="13" t="s">
        <v>35</v>
      </c>
    </row>
    <row r="7418" spans="1:8" ht="14.4" x14ac:dyDescent="0.3">
      <c r="A7418" s="8">
        <v>2041025</v>
      </c>
      <c r="B7418" s="11">
        <v>44658</v>
      </c>
      <c r="C7418" s="13" t="s">
        <v>334</v>
      </c>
      <c r="D7418" s="13" t="s">
        <v>9303</v>
      </c>
      <c r="E7418" s="8">
        <v>10000</v>
      </c>
      <c r="F7418" s="13" t="s">
        <v>70</v>
      </c>
      <c r="G7418" s="14">
        <v>44663</v>
      </c>
      <c r="H7418" s="13" t="s">
        <v>35</v>
      </c>
    </row>
    <row r="7419" spans="1:8" ht="14.4" x14ac:dyDescent="0.3">
      <c r="A7419" s="8">
        <v>2041026</v>
      </c>
      <c r="B7419" s="11">
        <v>44658</v>
      </c>
      <c r="C7419" s="13" t="s">
        <v>8382</v>
      </c>
      <c r="D7419" s="13" t="s">
        <v>9303</v>
      </c>
      <c r="E7419" s="8">
        <v>20000</v>
      </c>
      <c r="F7419" s="13" t="s">
        <v>70</v>
      </c>
      <c r="G7419" s="14">
        <v>44663</v>
      </c>
      <c r="H7419" s="13" t="s">
        <v>35</v>
      </c>
    </row>
    <row r="7420" spans="1:8" ht="14.4" x14ac:dyDescent="0.3">
      <c r="A7420" s="8">
        <v>2041027</v>
      </c>
      <c r="B7420" s="11">
        <v>44658</v>
      </c>
      <c r="C7420" s="13" t="s">
        <v>338</v>
      </c>
      <c r="D7420" s="13" t="s">
        <v>9303</v>
      </c>
      <c r="E7420" s="8">
        <v>6000</v>
      </c>
      <c r="F7420" s="13" t="s">
        <v>70</v>
      </c>
      <c r="G7420" s="14">
        <v>44663</v>
      </c>
      <c r="H7420" s="13" t="s">
        <v>35</v>
      </c>
    </row>
    <row r="7421" spans="1:8" ht="14.4" x14ac:dyDescent="0.3">
      <c r="A7421" s="8">
        <v>2041028</v>
      </c>
      <c r="B7421" s="11">
        <v>44658</v>
      </c>
      <c r="C7421" s="13" t="s">
        <v>339</v>
      </c>
      <c r="D7421" s="13" t="s">
        <v>9303</v>
      </c>
      <c r="E7421" s="8">
        <v>5000</v>
      </c>
      <c r="F7421" s="13" t="s">
        <v>70</v>
      </c>
      <c r="G7421" s="14">
        <v>44663</v>
      </c>
      <c r="H7421" s="13" t="s">
        <v>35</v>
      </c>
    </row>
    <row r="7422" spans="1:8" ht="14.4" x14ac:dyDescent="0.3">
      <c r="A7422" s="8">
        <v>2041029</v>
      </c>
      <c r="B7422" s="11">
        <v>44658</v>
      </c>
      <c r="C7422" s="13" t="s">
        <v>340</v>
      </c>
      <c r="D7422" s="13" t="s">
        <v>9303</v>
      </c>
      <c r="E7422" s="8">
        <v>5000</v>
      </c>
      <c r="F7422" s="13" t="s">
        <v>70</v>
      </c>
      <c r="G7422" s="14">
        <v>44663</v>
      </c>
      <c r="H7422" s="13" t="s">
        <v>35</v>
      </c>
    </row>
    <row r="7423" spans="1:8" ht="14.4" x14ac:dyDescent="0.3">
      <c r="A7423" s="8">
        <v>2041030</v>
      </c>
      <c r="B7423" s="11">
        <v>44658</v>
      </c>
      <c r="C7423" s="13" t="s">
        <v>2365</v>
      </c>
      <c r="D7423" s="13" t="s">
        <v>9303</v>
      </c>
      <c r="E7423" s="8">
        <v>5000</v>
      </c>
      <c r="F7423" s="13" t="s">
        <v>70</v>
      </c>
      <c r="G7423" s="14">
        <v>44663</v>
      </c>
      <c r="H7423" s="13" t="s">
        <v>35</v>
      </c>
    </row>
    <row r="7424" spans="1:8" ht="14.4" x14ac:dyDescent="0.3">
      <c r="A7424" s="8">
        <v>2041031</v>
      </c>
      <c r="B7424" s="11">
        <v>44658</v>
      </c>
      <c r="C7424" s="13" t="s">
        <v>342</v>
      </c>
      <c r="D7424" s="13" t="s">
        <v>9305</v>
      </c>
      <c r="E7424" s="8">
        <v>3000</v>
      </c>
      <c r="F7424" s="13" t="s">
        <v>70</v>
      </c>
      <c r="G7424" s="14">
        <v>44663</v>
      </c>
      <c r="H7424" s="13" t="s">
        <v>35</v>
      </c>
    </row>
    <row r="7425" spans="1:8" ht="14.4" x14ac:dyDescent="0.3">
      <c r="A7425" s="8">
        <v>2041032</v>
      </c>
      <c r="B7425" s="11">
        <v>44658</v>
      </c>
      <c r="C7425" s="13" t="s">
        <v>344</v>
      </c>
      <c r="D7425" s="13" t="s">
        <v>9303</v>
      </c>
      <c r="E7425" s="8">
        <v>3000</v>
      </c>
      <c r="F7425" s="13" t="s">
        <v>70</v>
      </c>
      <c r="G7425" s="14">
        <v>44663</v>
      </c>
      <c r="H7425" s="13" t="s">
        <v>35</v>
      </c>
    </row>
    <row r="7426" spans="1:8" ht="14.4" x14ac:dyDescent="0.3">
      <c r="A7426" s="8">
        <v>2041033</v>
      </c>
      <c r="B7426" s="11">
        <v>44658</v>
      </c>
      <c r="C7426" s="13" t="s">
        <v>2363</v>
      </c>
      <c r="D7426" s="13" t="s">
        <v>9306</v>
      </c>
      <c r="E7426" s="8">
        <v>15000</v>
      </c>
      <c r="F7426" s="13" t="s">
        <v>70</v>
      </c>
      <c r="G7426" s="14">
        <v>44659</v>
      </c>
      <c r="H7426" s="13" t="s">
        <v>35</v>
      </c>
    </row>
    <row r="7427" spans="1:8" ht="14.4" x14ac:dyDescent="0.3">
      <c r="A7427" s="8">
        <v>2041034</v>
      </c>
      <c r="B7427" s="11">
        <v>44658</v>
      </c>
      <c r="C7427" s="13" t="s">
        <v>308</v>
      </c>
      <c r="D7427" s="13" t="s">
        <v>9306</v>
      </c>
      <c r="E7427" s="8">
        <v>10000</v>
      </c>
      <c r="F7427" s="13" t="s">
        <v>70</v>
      </c>
      <c r="G7427" s="14">
        <v>44659</v>
      </c>
      <c r="H7427" s="13" t="s">
        <v>35</v>
      </c>
    </row>
    <row r="7428" spans="1:8" ht="14.4" x14ac:dyDescent="0.3">
      <c r="A7428" s="8">
        <v>2041035</v>
      </c>
      <c r="B7428" s="11">
        <v>44658</v>
      </c>
      <c r="C7428" s="13" t="s">
        <v>309</v>
      </c>
      <c r="D7428" s="13" t="s">
        <v>9306</v>
      </c>
      <c r="E7428" s="8">
        <v>10000</v>
      </c>
      <c r="F7428" s="13" t="s">
        <v>70</v>
      </c>
      <c r="G7428" s="14">
        <v>44659</v>
      </c>
      <c r="H7428" s="13" t="s">
        <v>35</v>
      </c>
    </row>
    <row r="7429" spans="1:8" ht="14.4" x14ac:dyDescent="0.3">
      <c r="A7429" s="8">
        <v>2041036</v>
      </c>
      <c r="B7429" s="11">
        <v>44658</v>
      </c>
      <c r="C7429" s="13" t="s">
        <v>310</v>
      </c>
      <c r="D7429" s="13" t="s">
        <v>9306</v>
      </c>
      <c r="E7429" s="8">
        <v>10000</v>
      </c>
      <c r="F7429" s="13" t="s">
        <v>70</v>
      </c>
      <c r="G7429" s="14">
        <v>44659</v>
      </c>
      <c r="H7429" s="13" t="s">
        <v>35</v>
      </c>
    </row>
    <row r="7430" spans="1:8" ht="14.4" x14ac:dyDescent="0.3">
      <c r="A7430" s="8">
        <v>2041037</v>
      </c>
      <c r="B7430" s="11">
        <v>44658</v>
      </c>
      <c r="C7430" s="13" t="s">
        <v>311</v>
      </c>
      <c r="D7430" s="13" t="s">
        <v>9306</v>
      </c>
      <c r="E7430" s="8">
        <v>10000</v>
      </c>
      <c r="F7430" s="13" t="s">
        <v>70</v>
      </c>
      <c r="G7430" s="14">
        <v>44659</v>
      </c>
      <c r="H7430" s="13" t="s">
        <v>35</v>
      </c>
    </row>
    <row r="7431" spans="1:8" ht="14.4" x14ac:dyDescent="0.3">
      <c r="A7431" s="8">
        <v>2041038</v>
      </c>
      <c r="B7431" s="11">
        <v>44658</v>
      </c>
      <c r="C7431" s="13" t="s">
        <v>312</v>
      </c>
      <c r="D7431" s="13" t="s">
        <v>9306</v>
      </c>
      <c r="E7431" s="8">
        <v>10000</v>
      </c>
      <c r="F7431" s="13" t="s">
        <v>70</v>
      </c>
      <c r="G7431" s="14">
        <v>44659</v>
      </c>
      <c r="H7431" s="13" t="s">
        <v>35</v>
      </c>
    </row>
    <row r="7432" spans="1:8" ht="14.4" x14ac:dyDescent="0.3">
      <c r="A7432" s="8">
        <v>2041039</v>
      </c>
      <c r="B7432" s="11">
        <v>44658</v>
      </c>
      <c r="C7432" s="13" t="s">
        <v>337</v>
      </c>
      <c r="D7432" s="13" t="s">
        <v>9306</v>
      </c>
      <c r="E7432" s="8">
        <v>10000</v>
      </c>
      <c r="F7432" s="13" t="s">
        <v>70</v>
      </c>
      <c r="G7432" s="14">
        <v>44659</v>
      </c>
      <c r="H7432" s="13" t="s">
        <v>35</v>
      </c>
    </row>
    <row r="7433" spans="1:8" ht="14.4" x14ac:dyDescent="0.3">
      <c r="A7433" s="8">
        <v>2041040</v>
      </c>
      <c r="B7433" s="11">
        <v>44658</v>
      </c>
      <c r="C7433" s="13" t="s">
        <v>313</v>
      </c>
      <c r="D7433" s="13" t="s">
        <v>9306</v>
      </c>
      <c r="E7433" s="8">
        <v>10000</v>
      </c>
      <c r="F7433" s="13" t="s">
        <v>70</v>
      </c>
      <c r="G7433" s="14">
        <v>44659</v>
      </c>
      <c r="H7433" s="13" t="s">
        <v>35</v>
      </c>
    </row>
    <row r="7434" spans="1:8" ht="14.4" x14ac:dyDescent="0.3">
      <c r="A7434" s="8">
        <v>2041041</v>
      </c>
      <c r="B7434" s="11">
        <v>44658</v>
      </c>
      <c r="C7434" s="13" t="s">
        <v>314</v>
      </c>
      <c r="D7434" s="13" t="s">
        <v>9306</v>
      </c>
      <c r="E7434" s="8">
        <v>10000</v>
      </c>
      <c r="F7434" s="13" t="s">
        <v>70</v>
      </c>
      <c r="G7434" s="14">
        <v>44659</v>
      </c>
      <c r="H7434" s="13" t="s">
        <v>35</v>
      </c>
    </row>
    <row r="7435" spans="1:8" ht="14.4" x14ac:dyDescent="0.3">
      <c r="A7435" s="8">
        <v>2041042</v>
      </c>
      <c r="B7435" s="11">
        <v>44658</v>
      </c>
      <c r="C7435" s="13" t="s">
        <v>315</v>
      </c>
      <c r="D7435" s="13" t="s">
        <v>9306</v>
      </c>
      <c r="E7435" s="8">
        <v>10000</v>
      </c>
      <c r="F7435" s="13" t="s">
        <v>70</v>
      </c>
      <c r="G7435" s="14">
        <v>44659</v>
      </c>
      <c r="H7435" s="13" t="s">
        <v>35</v>
      </c>
    </row>
    <row r="7436" spans="1:8" ht="14.4" x14ac:dyDescent="0.3">
      <c r="A7436" s="8">
        <v>2041043</v>
      </c>
      <c r="B7436" s="11">
        <v>44658</v>
      </c>
      <c r="C7436" s="13" t="s">
        <v>9307</v>
      </c>
      <c r="D7436" s="13" t="s">
        <v>9306</v>
      </c>
      <c r="E7436" s="8">
        <v>12000</v>
      </c>
      <c r="F7436" s="13" t="s">
        <v>70</v>
      </c>
      <c r="G7436" s="14">
        <v>44659</v>
      </c>
      <c r="H7436" s="13" t="s">
        <v>35</v>
      </c>
    </row>
    <row r="7437" spans="1:8" ht="14.4" x14ac:dyDescent="0.3">
      <c r="A7437" s="8">
        <v>2041044</v>
      </c>
      <c r="B7437" s="11">
        <v>44658</v>
      </c>
      <c r="C7437" s="13" t="s">
        <v>316</v>
      </c>
      <c r="D7437" s="13" t="s">
        <v>9306</v>
      </c>
      <c r="E7437" s="8">
        <v>10000</v>
      </c>
      <c r="F7437" s="13" t="s">
        <v>70</v>
      </c>
      <c r="G7437" s="14">
        <v>44659</v>
      </c>
      <c r="H7437" s="13" t="s">
        <v>35</v>
      </c>
    </row>
    <row r="7438" spans="1:8" ht="14.4" x14ac:dyDescent="0.3">
      <c r="A7438" s="8">
        <v>2041045</v>
      </c>
      <c r="B7438" s="11">
        <v>44658</v>
      </c>
      <c r="C7438" s="13" t="s">
        <v>324</v>
      </c>
      <c r="D7438" s="13" t="s">
        <v>9306</v>
      </c>
      <c r="E7438" s="8">
        <v>12000</v>
      </c>
      <c r="F7438" s="13" t="s">
        <v>70</v>
      </c>
      <c r="G7438" s="14">
        <v>44659</v>
      </c>
      <c r="H7438" s="13" t="s">
        <v>35</v>
      </c>
    </row>
    <row r="7439" spans="1:8" ht="14.4" x14ac:dyDescent="0.3">
      <c r="A7439" s="8">
        <v>2041046</v>
      </c>
      <c r="B7439" s="11">
        <v>44658</v>
      </c>
      <c r="C7439" s="13" t="s">
        <v>320</v>
      </c>
      <c r="D7439" s="13" t="s">
        <v>9306</v>
      </c>
      <c r="E7439" s="8">
        <v>10000</v>
      </c>
      <c r="F7439" s="13" t="s">
        <v>70</v>
      </c>
      <c r="G7439" s="14">
        <v>44659</v>
      </c>
      <c r="H7439" s="13" t="s">
        <v>35</v>
      </c>
    </row>
    <row r="7440" spans="1:8" ht="14.4" x14ac:dyDescent="0.3">
      <c r="A7440" s="8">
        <v>2041047</v>
      </c>
      <c r="B7440" s="11">
        <v>44658</v>
      </c>
      <c r="C7440" s="13" t="s">
        <v>321</v>
      </c>
      <c r="D7440" s="13" t="s">
        <v>9308</v>
      </c>
      <c r="E7440" s="8">
        <v>12000</v>
      </c>
      <c r="F7440" s="13" t="s">
        <v>70</v>
      </c>
      <c r="G7440" s="14">
        <v>44659</v>
      </c>
      <c r="H7440" s="13" t="s">
        <v>35</v>
      </c>
    </row>
    <row r="7441" spans="1:8" ht="14.4" x14ac:dyDescent="0.3">
      <c r="A7441" s="8">
        <v>2041048</v>
      </c>
      <c r="B7441" s="11">
        <v>44658</v>
      </c>
      <c r="C7441" s="13" t="s">
        <v>319</v>
      </c>
      <c r="D7441" s="13" t="s">
        <v>9306</v>
      </c>
      <c r="E7441" s="8">
        <v>10000</v>
      </c>
      <c r="F7441" s="13" t="s">
        <v>70</v>
      </c>
      <c r="G7441" s="14">
        <v>44659</v>
      </c>
      <c r="H7441" s="13" t="s">
        <v>35</v>
      </c>
    </row>
    <row r="7442" spans="1:8" ht="14.4" x14ac:dyDescent="0.3">
      <c r="A7442" s="8">
        <v>2041049</v>
      </c>
      <c r="B7442" s="11">
        <v>44658</v>
      </c>
      <c r="C7442" s="13" t="s">
        <v>318</v>
      </c>
      <c r="D7442" s="13" t="s">
        <v>9306</v>
      </c>
      <c r="E7442" s="8">
        <v>10000</v>
      </c>
      <c r="F7442" s="13" t="s">
        <v>70</v>
      </c>
      <c r="G7442" s="14">
        <v>44659</v>
      </c>
      <c r="H7442" s="13" t="s">
        <v>35</v>
      </c>
    </row>
    <row r="7443" spans="1:8" ht="14.4" x14ac:dyDescent="0.3">
      <c r="A7443" s="8">
        <v>2041050</v>
      </c>
      <c r="B7443" s="11">
        <v>44658</v>
      </c>
      <c r="C7443" s="13" t="s">
        <v>317</v>
      </c>
      <c r="D7443" s="13" t="s">
        <v>9306</v>
      </c>
      <c r="E7443" s="8">
        <v>10000</v>
      </c>
      <c r="F7443" s="13" t="s">
        <v>70</v>
      </c>
      <c r="G7443" s="14">
        <v>44659</v>
      </c>
      <c r="H7443" s="13" t="s">
        <v>35</v>
      </c>
    </row>
    <row r="7444" spans="1:8" ht="14.4" x14ac:dyDescent="0.3">
      <c r="A7444" s="8">
        <v>2041051</v>
      </c>
      <c r="B7444" s="11">
        <v>44658</v>
      </c>
      <c r="C7444" s="13" t="s">
        <v>1569</v>
      </c>
      <c r="D7444" s="13" t="s">
        <v>9309</v>
      </c>
      <c r="E7444" s="8">
        <v>12030</v>
      </c>
      <c r="F7444" s="13" t="s">
        <v>70</v>
      </c>
      <c r="G7444" s="14">
        <v>44658</v>
      </c>
      <c r="H7444" s="13" t="s">
        <v>35</v>
      </c>
    </row>
    <row r="7445" spans="1:8" ht="14.4" x14ac:dyDescent="0.3">
      <c r="A7445" s="8">
        <v>2041052</v>
      </c>
      <c r="B7445" s="11">
        <v>44658</v>
      </c>
      <c r="C7445" s="13" t="s">
        <v>390</v>
      </c>
      <c r="D7445" s="13" t="s">
        <v>1558</v>
      </c>
      <c r="E7445" s="8">
        <v>20000</v>
      </c>
      <c r="F7445" s="13" t="s">
        <v>70</v>
      </c>
      <c r="G7445" s="14">
        <v>44659</v>
      </c>
      <c r="H7445" s="13" t="s">
        <v>35</v>
      </c>
    </row>
    <row r="7446" spans="1:8" ht="14.4" x14ac:dyDescent="0.3">
      <c r="A7446" s="8">
        <v>2041053</v>
      </c>
      <c r="B7446" s="11">
        <v>44658</v>
      </c>
      <c r="C7446" s="13" t="s">
        <v>392</v>
      </c>
      <c r="D7446" s="13" t="s">
        <v>9310</v>
      </c>
      <c r="E7446" s="8">
        <v>10000</v>
      </c>
      <c r="F7446" s="13" t="s">
        <v>70</v>
      </c>
      <c r="G7446" s="14">
        <v>44659</v>
      </c>
      <c r="H7446" s="13" t="s">
        <v>35</v>
      </c>
    </row>
    <row r="7447" spans="1:8" ht="14.4" x14ac:dyDescent="0.3">
      <c r="A7447" s="8">
        <v>2041054</v>
      </c>
      <c r="B7447" s="11">
        <v>44658</v>
      </c>
      <c r="C7447" s="13" t="s">
        <v>393</v>
      </c>
      <c r="D7447" s="13" t="s">
        <v>1558</v>
      </c>
      <c r="E7447" s="8">
        <v>5000</v>
      </c>
      <c r="F7447" s="13" t="s">
        <v>70</v>
      </c>
      <c r="G7447" s="14">
        <v>44659</v>
      </c>
      <c r="H7447" s="13" t="s">
        <v>35</v>
      </c>
    </row>
    <row r="7448" spans="1:8" ht="14.4" x14ac:dyDescent="0.3">
      <c r="A7448" s="8">
        <v>2041055</v>
      </c>
      <c r="B7448" s="11">
        <v>44658</v>
      </c>
      <c r="C7448" s="13" t="s">
        <v>394</v>
      </c>
      <c r="D7448" s="13" t="s">
        <v>1558</v>
      </c>
      <c r="E7448" s="8">
        <v>3000</v>
      </c>
      <c r="F7448" s="13" t="s">
        <v>70</v>
      </c>
      <c r="G7448" s="14">
        <v>44659</v>
      </c>
      <c r="H7448" s="13" t="s">
        <v>35</v>
      </c>
    </row>
    <row r="7449" spans="1:8" ht="14.4" x14ac:dyDescent="0.3">
      <c r="A7449" s="8">
        <v>2041056</v>
      </c>
      <c r="B7449" s="11">
        <v>44658</v>
      </c>
      <c r="C7449" s="13" t="s">
        <v>390</v>
      </c>
      <c r="D7449" s="13" t="s">
        <v>9311</v>
      </c>
      <c r="E7449" s="8">
        <v>20000</v>
      </c>
      <c r="F7449" s="13" t="s">
        <v>70</v>
      </c>
      <c r="G7449" s="14">
        <v>44659</v>
      </c>
      <c r="H7449" s="13" t="s">
        <v>35</v>
      </c>
    </row>
    <row r="7450" spans="1:8" ht="14.4" x14ac:dyDescent="0.3">
      <c r="A7450" s="8">
        <v>2041057</v>
      </c>
      <c r="B7450" s="11">
        <v>44658</v>
      </c>
      <c r="C7450" s="13" t="s">
        <v>387</v>
      </c>
      <c r="D7450" s="13" t="s">
        <v>9311</v>
      </c>
      <c r="E7450" s="8">
        <v>10000</v>
      </c>
      <c r="F7450" s="13" t="s">
        <v>70</v>
      </c>
      <c r="G7450" s="14">
        <v>44659</v>
      </c>
      <c r="H7450" s="13" t="s">
        <v>35</v>
      </c>
    </row>
    <row r="7451" spans="1:8" ht="14.4" x14ac:dyDescent="0.3">
      <c r="A7451" s="8">
        <v>2041059</v>
      </c>
      <c r="B7451" s="11">
        <v>44658</v>
      </c>
      <c r="C7451" s="13" t="s">
        <v>3006</v>
      </c>
      <c r="D7451" s="13" t="s">
        <v>9312</v>
      </c>
      <c r="E7451" s="8">
        <v>27800</v>
      </c>
      <c r="F7451" s="13" t="s">
        <v>70</v>
      </c>
      <c r="G7451" s="14">
        <v>44663</v>
      </c>
      <c r="H7451" s="13" t="s">
        <v>35</v>
      </c>
    </row>
    <row r="7452" spans="1:8" ht="14.4" x14ac:dyDescent="0.3">
      <c r="A7452" s="8">
        <v>2041060</v>
      </c>
      <c r="B7452" s="11">
        <v>44658</v>
      </c>
      <c r="C7452" s="13" t="s">
        <v>79</v>
      </c>
      <c r="D7452" s="13" t="s">
        <v>9313</v>
      </c>
      <c r="E7452" s="8">
        <v>20000</v>
      </c>
      <c r="F7452" s="13" t="s">
        <v>70</v>
      </c>
      <c r="G7452" s="14">
        <v>44677</v>
      </c>
      <c r="H7452" s="13" t="s">
        <v>35</v>
      </c>
    </row>
    <row r="7453" spans="1:8" ht="14.4" x14ac:dyDescent="0.3">
      <c r="A7453" s="8">
        <v>2041061</v>
      </c>
      <c r="B7453" s="11">
        <v>44658</v>
      </c>
      <c r="C7453" s="13" t="s">
        <v>80</v>
      </c>
      <c r="D7453" s="13" t="s">
        <v>1480</v>
      </c>
      <c r="E7453" s="8">
        <v>10000</v>
      </c>
      <c r="F7453" s="13" t="s">
        <v>70</v>
      </c>
      <c r="G7453" s="14">
        <v>44677</v>
      </c>
      <c r="H7453" s="13" t="s">
        <v>35</v>
      </c>
    </row>
    <row r="7454" spans="1:8" ht="14.4" x14ac:dyDescent="0.3">
      <c r="A7454" s="8">
        <v>2041062</v>
      </c>
      <c r="B7454" s="11">
        <v>44658</v>
      </c>
      <c r="C7454" s="13" t="s">
        <v>81</v>
      </c>
      <c r="D7454" s="13" t="s">
        <v>1480</v>
      </c>
      <c r="E7454" s="8">
        <v>3000</v>
      </c>
      <c r="F7454" s="13" t="s">
        <v>70</v>
      </c>
      <c r="G7454" s="14">
        <v>44677</v>
      </c>
      <c r="H7454" s="13" t="s">
        <v>35</v>
      </c>
    </row>
    <row r="7455" spans="1:8" ht="14.4" x14ac:dyDescent="0.3">
      <c r="A7455" s="8">
        <v>2041063</v>
      </c>
      <c r="B7455" s="11">
        <v>44658</v>
      </c>
      <c r="C7455" s="13" t="s">
        <v>295</v>
      </c>
      <c r="D7455" s="13" t="s">
        <v>9314</v>
      </c>
      <c r="E7455" s="8">
        <v>20000</v>
      </c>
      <c r="F7455" s="13" t="s">
        <v>70</v>
      </c>
      <c r="G7455" s="14">
        <v>44664</v>
      </c>
      <c r="H7455" s="13" t="s">
        <v>35</v>
      </c>
    </row>
    <row r="7456" spans="1:8" ht="14.4" x14ac:dyDescent="0.3">
      <c r="A7456" s="8">
        <v>2041064</v>
      </c>
      <c r="B7456" s="11">
        <v>44658</v>
      </c>
      <c r="C7456" s="13" t="s">
        <v>2401</v>
      </c>
      <c r="D7456" s="13" t="s">
        <v>9314</v>
      </c>
      <c r="E7456" s="8">
        <v>6000</v>
      </c>
      <c r="F7456" s="13" t="s">
        <v>70</v>
      </c>
      <c r="G7456" s="14">
        <v>44659</v>
      </c>
      <c r="H7456" s="13" t="s">
        <v>35</v>
      </c>
    </row>
    <row r="7457" spans="1:8" ht="14.4" x14ac:dyDescent="0.3">
      <c r="A7457" s="8">
        <v>2041065</v>
      </c>
      <c r="B7457" s="11">
        <v>44658</v>
      </c>
      <c r="C7457" s="13" t="s">
        <v>298</v>
      </c>
      <c r="D7457" s="13" t="s">
        <v>9314</v>
      </c>
      <c r="E7457" s="8">
        <v>5000</v>
      </c>
      <c r="F7457" s="13" t="s">
        <v>70</v>
      </c>
      <c r="G7457" s="14">
        <v>44687</v>
      </c>
      <c r="H7457" s="13" t="s">
        <v>35</v>
      </c>
    </row>
    <row r="7458" spans="1:8" ht="14.4" x14ac:dyDescent="0.3">
      <c r="A7458" s="8">
        <v>2041066</v>
      </c>
      <c r="B7458" s="11">
        <v>44658</v>
      </c>
      <c r="C7458" s="13" t="s">
        <v>299</v>
      </c>
      <c r="D7458" s="13" t="s">
        <v>9314</v>
      </c>
      <c r="E7458" s="8">
        <v>3000</v>
      </c>
      <c r="F7458" s="13" t="s">
        <v>70</v>
      </c>
      <c r="G7458" s="14">
        <v>44659</v>
      </c>
      <c r="H7458" s="13" t="s">
        <v>35</v>
      </c>
    </row>
    <row r="7459" spans="1:8" ht="14.4" x14ac:dyDescent="0.3">
      <c r="A7459" s="8">
        <v>2041067</v>
      </c>
      <c r="B7459" s="11">
        <v>44658</v>
      </c>
      <c r="C7459" s="13" t="s">
        <v>410</v>
      </c>
      <c r="D7459" s="13" t="s">
        <v>9315</v>
      </c>
      <c r="E7459" s="8">
        <v>20000</v>
      </c>
      <c r="F7459" s="13" t="s">
        <v>70</v>
      </c>
      <c r="G7459" s="14">
        <v>44664</v>
      </c>
      <c r="H7459" s="13" t="s">
        <v>35</v>
      </c>
    </row>
    <row r="7460" spans="1:8" ht="14.4" x14ac:dyDescent="0.3">
      <c r="A7460" s="8">
        <v>2041068</v>
      </c>
      <c r="B7460" s="11">
        <v>44658</v>
      </c>
      <c r="C7460" s="13" t="s">
        <v>2449</v>
      </c>
      <c r="D7460" s="13" t="s">
        <v>1480</v>
      </c>
      <c r="E7460" s="8">
        <v>10000</v>
      </c>
      <c r="F7460" s="13" t="s">
        <v>70</v>
      </c>
      <c r="G7460" s="14">
        <v>44664</v>
      </c>
      <c r="H7460" s="13" t="s">
        <v>35</v>
      </c>
    </row>
    <row r="7461" spans="1:8" ht="14.4" x14ac:dyDescent="0.3">
      <c r="A7461" s="8">
        <v>2041069</v>
      </c>
      <c r="B7461" s="11">
        <v>44658</v>
      </c>
      <c r="C7461" s="13" t="s">
        <v>398</v>
      </c>
      <c r="D7461" s="13" t="s">
        <v>1480</v>
      </c>
      <c r="E7461" s="8">
        <v>3000</v>
      </c>
      <c r="F7461" s="13" t="s">
        <v>70</v>
      </c>
      <c r="G7461" s="14">
        <v>44664</v>
      </c>
      <c r="H7461" s="13" t="s">
        <v>35</v>
      </c>
    </row>
    <row r="7462" spans="1:8" ht="14.4" x14ac:dyDescent="0.3">
      <c r="A7462" s="8">
        <v>2041070</v>
      </c>
      <c r="B7462" s="11">
        <v>44658</v>
      </c>
      <c r="C7462" s="13" t="s">
        <v>3647</v>
      </c>
      <c r="D7462" s="13" t="s">
        <v>1480</v>
      </c>
      <c r="E7462" s="8">
        <v>10000</v>
      </c>
      <c r="F7462" s="13" t="s">
        <v>70</v>
      </c>
      <c r="G7462" s="14">
        <v>44659</v>
      </c>
      <c r="H7462" s="13" t="s">
        <v>35</v>
      </c>
    </row>
    <row r="7463" spans="1:8" ht="14.4" x14ac:dyDescent="0.3">
      <c r="A7463" s="8">
        <v>2041071</v>
      </c>
      <c r="B7463" s="11">
        <v>44658</v>
      </c>
      <c r="C7463" s="13" t="s">
        <v>2359</v>
      </c>
      <c r="D7463" s="13" t="s">
        <v>1480</v>
      </c>
      <c r="E7463" s="8">
        <v>10000</v>
      </c>
      <c r="F7463" s="13" t="s">
        <v>70</v>
      </c>
      <c r="G7463" s="14">
        <v>44659</v>
      </c>
      <c r="H7463" s="13" t="s">
        <v>35</v>
      </c>
    </row>
    <row r="7464" spans="1:8" ht="14.4" x14ac:dyDescent="0.3">
      <c r="A7464" s="8">
        <v>2041072</v>
      </c>
      <c r="B7464" s="11">
        <v>44658</v>
      </c>
      <c r="C7464" s="13" t="s">
        <v>97</v>
      </c>
      <c r="D7464" s="13" t="s">
        <v>1480</v>
      </c>
      <c r="E7464" s="8">
        <v>5000</v>
      </c>
      <c r="F7464" s="13" t="s">
        <v>70</v>
      </c>
      <c r="G7464" s="14">
        <v>44662</v>
      </c>
      <c r="H7464" s="13" t="s">
        <v>35</v>
      </c>
    </row>
    <row r="7465" spans="1:8" ht="14.4" x14ac:dyDescent="0.3">
      <c r="A7465" s="8">
        <v>2041073</v>
      </c>
      <c r="B7465" s="11">
        <v>44658</v>
      </c>
      <c r="C7465" s="13" t="s">
        <v>533</v>
      </c>
      <c r="D7465" s="13" t="s">
        <v>1480</v>
      </c>
      <c r="E7465" s="8">
        <v>3000</v>
      </c>
      <c r="F7465" s="13" t="s">
        <v>70</v>
      </c>
      <c r="G7465" s="14">
        <v>44662</v>
      </c>
      <c r="H7465" s="13" t="s">
        <v>35</v>
      </c>
    </row>
    <row r="7466" spans="1:8" ht="14.4" x14ac:dyDescent="0.3">
      <c r="A7466" s="8">
        <v>2041074</v>
      </c>
      <c r="B7466" s="11">
        <v>44658</v>
      </c>
      <c r="C7466" s="13" t="s">
        <v>3651</v>
      </c>
      <c r="D7466" s="13" t="s">
        <v>9316</v>
      </c>
      <c r="E7466" s="8">
        <v>6000</v>
      </c>
      <c r="F7466" s="13" t="s">
        <v>70</v>
      </c>
      <c r="G7466" s="14">
        <v>44659</v>
      </c>
      <c r="H7466" s="13" t="s">
        <v>35</v>
      </c>
    </row>
    <row r="7467" spans="1:8" ht="14.4" x14ac:dyDescent="0.3">
      <c r="A7467" s="8">
        <v>2041075</v>
      </c>
      <c r="B7467" s="11">
        <v>44658</v>
      </c>
      <c r="C7467" s="13" t="s">
        <v>541</v>
      </c>
      <c r="D7467" s="13" t="s">
        <v>9317</v>
      </c>
      <c r="E7467" s="8">
        <v>4500</v>
      </c>
      <c r="F7467" s="13" t="s">
        <v>70</v>
      </c>
      <c r="G7467" s="14">
        <v>44659</v>
      </c>
      <c r="H7467" s="13" t="s">
        <v>35</v>
      </c>
    </row>
    <row r="7468" spans="1:8" ht="14.4" x14ac:dyDescent="0.3">
      <c r="A7468" s="8">
        <v>2041076</v>
      </c>
      <c r="B7468" s="11">
        <v>44658</v>
      </c>
      <c r="C7468" s="13" t="s">
        <v>9318</v>
      </c>
      <c r="D7468" s="13" t="s">
        <v>9316</v>
      </c>
      <c r="E7468" s="8">
        <v>4500</v>
      </c>
      <c r="F7468" s="13" t="s">
        <v>70</v>
      </c>
      <c r="G7468" s="14">
        <v>44659</v>
      </c>
      <c r="H7468" s="13" t="s">
        <v>35</v>
      </c>
    </row>
    <row r="7469" spans="1:8" ht="14.4" x14ac:dyDescent="0.3">
      <c r="A7469" s="8">
        <v>2041077</v>
      </c>
      <c r="B7469" s="11">
        <v>44658</v>
      </c>
      <c r="C7469" s="13" t="s">
        <v>542</v>
      </c>
      <c r="D7469" s="13" t="s">
        <v>9316</v>
      </c>
      <c r="E7469" s="8">
        <v>4500</v>
      </c>
      <c r="F7469" s="13" t="s">
        <v>70</v>
      </c>
      <c r="G7469" s="14">
        <v>44659</v>
      </c>
      <c r="H7469" s="13" t="s">
        <v>35</v>
      </c>
    </row>
    <row r="7470" spans="1:8" ht="14.4" x14ac:dyDescent="0.3">
      <c r="A7470" s="8">
        <v>2041078</v>
      </c>
      <c r="B7470" s="11">
        <v>44658</v>
      </c>
      <c r="C7470" s="13" t="s">
        <v>544</v>
      </c>
      <c r="D7470" s="13" t="s">
        <v>9316</v>
      </c>
      <c r="E7470" s="8">
        <v>4500</v>
      </c>
      <c r="F7470" s="13" t="s">
        <v>70</v>
      </c>
      <c r="G7470" s="14">
        <v>44659</v>
      </c>
      <c r="H7470" s="13" t="s">
        <v>35</v>
      </c>
    </row>
    <row r="7471" spans="1:8" ht="14.4" x14ac:dyDescent="0.3">
      <c r="A7471" s="8">
        <v>2041079</v>
      </c>
      <c r="B7471" s="11">
        <v>44658</v>
      </c>
      <c r="C7471" s="13" t="s">
        <v>9319</v>
      </c>
      <c r="D7471" s="13" t="s">
        <v>9311</v>
      </c>
      <c r="E7471" s="8">
        <v>5000</v>
      </c>
      <c r="F7471" s="13" t="s">
        <v>70</v>
      </c>
      <c r="G7471" s="14">
        <v>44659</v>
      </c>
      <c r="H7471" s="13" t="s">
        <v>35</v>
      </c>
    </row>
    <row r="7472" spans="1:8" ht="14.4" x14ac:dyDescent="0.3">
      <c r="A7472" s="8">
        <v>2041080</v>
      </c>
      <c r="B7472" s="11">
        <v>44658</v>
      </c>
      <c r="C7472" s="13" t="s">
        <v>60</v>
      </c>
      <c r="D7472" s="13" t="s">
        <v>9320</v>
      </c>
      <c r="E7472" s="8">
        <v>25248684.09</v>
      </c>
      <c r="F7472" s="13" t="s">
        <v>70</v>
      </c>
      <c r="G7472" s="14">
        <v>44659</v>
      </c>
      <c r="H7472" s="13" t="s">
        <v>35</v>
      </c>
    </row>
    <row r="7473" spans="1:8" ht="14.4" x14ac:dyDescent="0.3">
      <c r="A7473" s="8">
        <v>2041081</v>
      </c>
      <c r="B7473" s="11">
        <v>44659</v>
      </c>
      <c r="C7473" s="13" t="s">
        <v>300</v>
      </c>
      <c r="D7473" s="13" t="s">
        <v>1666</v>
      </c>
      <c r="E7473" s="8">
        <v>6000</v>
      </c>
      <c r="F7473" s="13" t="s">
        <v>70</v>
      </c>
      <c r="G7473" s="14">
        <v>44670</v>
      </c>
      <c r="H7473" s="13" t="s">
        <v>35</v>
      </c>
    </row>
    <row r="7474" spans="1:8" ht="14.4" x14ac:dyDescent="0.3">
      <c r="A7474" s="8">
        <v>2041082</v>
      </c>
      <c r="B7474" s="11">
        <v>44659</v>
      </c>
      <c r="C7474" s="13" t="s">
        <v>872</v>
      </c>
      <c r="D7474" s="13" t="s">
        <v>1666</v>
      </c>
      <c r="E7474" s="8">
        <v>10000</v>
      </c>
      <c r="F7474" s="13" t="s">
        <v>70</v>
      </c>
      <c r="G7474" s="14">
        <v>44742</v>
      </c>
      <c r="H7474" s="13" t="s">
        <v>35</v>
      </c>
    </row>
    <row r="7475" spans="1:8" ht="14.4" x14ac:dyDescent="0.3">
      <c r="A7475" s="8">
        <v>2041083</v>
      </c>
      <c r="B7475" s="11">
        <v>44659</v>
      </c>
      <c r="C7475" s="13" t="s">
        <v>332</v>
      </c>
      <c r="D7475" s="13" t="s">
        <v>1480</v>
      </c>
      <c r="E7475" s="8">
        <v>5000</v>
      </c>
      <c r="F7475" s="13" t="s">
        <v>70</v>
      </c>
      <c r="G7475" s="14">
        <v>44662</v>
      </c>
      <c r="H7475" s="13" t="s">
        <v>35</v>
      </c>
    </row>
    <row r="7476" spans="1:8" ht="14.4" x14ac:dyDescent="0.3">
      <c r="A7476" s="8">
        <v>2041084</v>
      </c>
      <c r="B7476" s="11">
        <v>44659</v>
      </c>
      <c r="C7476" s="13" t="s">
        <v>9321</v>
      </c>
      <c r="D7476" s="13" t="s">
        <v>1480</v>
      </c>
      <c r="E7476" s="8">
        <v>3000</v>
      </c>
      <c r="F7476" s="13" t="s">
        <v>70</v>
      </c>
      <c r="G7476" s="14">
        <v>44662</v>
      </c>
      <c r="H7476" s="13" t="s">
        <v>35</v>
      </c>
    </row>
    <row r="7477" spans="1:8" ht="14.4" x14ac:dyDescent="0.3">
      <c r="A7477" s="8">
        <v>2041085</v>
      </c>
      <c r="B7477" s="11">
        <v>44659</v>
      </c>
      <c r="C7477" s="13" t="s">
        <v>3907</v>
      </c>
      <c r="D7477" s="13" t="s">
        <v>9322</v>
      </c>
      <c r="E7477" s="8">
        <v>9025.9500000000007</v>
      </c>
      <c r="F7477" s="13" t="s">
        <v>70</v>
      </c>
      <c r="G7477" s="14">
        <v>44663</v>
      </c>
      <c r="H7477" s="13" t="s">
        <v>35</v>
      </c>
    </row>
    <row r="7478" spans="1:8" ht="14.4" x14ac:dyDescent="0.3">
      <c r="A7478" s="8">
        <v>2041086</v>
      </c>
      <c r="B7478" s="11">
        <v>44659</v>
      </c>
      <c r="C7478" s="13" t="s">
        <v>3907</v>
      </c>
      <c r="D7478" s="13" t="s">
        <v>9323</v>
      </c>
      <c r="E7478" s="8">
        <v>10125.91</v>
      </c>
      <c r="F7478" s="13" t="s">
        <v>70</v>
      </c>
      <c r="G7478" s="14">
        <v>44663</v>
      </c>
      <c r="H7478" s="13" t="s">
        <v>35</v>
      </c>
    </row>
    <row r="7479" spans="1:8" ht="14.4" x14ac:dyDescent="0.3">
      <c r="A7479" s="8">
        <v>2041087</v>
      </c>
      <c r="B7479" s="11">
        <v>44659</v>
      </c>
      <c r="C7479" s="13" t="s">
        <v>3907</v>
      </c>
      <c r="D7479" s="13" t="s">
        <v>9324</v>
      </c>
      <c r="E7479" s="8">
        <v>9298.11</v>
      </c>
      <c r="F7479" s="13" t="s">
        <v>70</v>
      </c>
      <c r="G7479" s="14">
        <v>44663</v>
      </c>
      <c r="H7479" s="13" t="s">
        <v>35</v>
      </c>
    </row>
    <row r="7480" spans="1:8" ht="14.4" x14ac:dyDescent="0.3">
      <c r="A7480" s="8">
        <v>2041088</v>
      </c>
      <c r="B7480" s="11">
        <v>44659</v>
      </c>
      <c r="C7480" s="13" t="s">
        <v>4089</v>
      </c>
      <c r="D7480" s="13" t="s">
        <v>1480</v>
      </c>
      <c r="E7480" s="8">
        <v>5000</v>
      </c>
      <c r="F7480" s="13" t="s">
        <v>70</v>
      </c>
      <c r="G7480" s="14">
        <v>44669</v>
      </c>
      <c r="H7480" s="13" t="s">
        <v>35</v>
      </c>
    </row>
    <row r="7481" spans="1:8" ht="14.4" x14ac:dyDescent="0.3">
      <c r="A7481" s="8">
        <v>2041090</v>
      </c>
      <c r="B7481" s="11">
        <v>44659</v>
      </c>
      <c r="C7481" s="13" t="s">
        <v>350</v>
      </c>
      <c r="D7481" s="13" t="s">
        <v>9325</v>
      </c>
      <c r="E7481" s="8">
        <v>10000</v>
      </c>
      <c r="F7481" s="13" t="s">
        <v>70</v>
      </c>
      <c r="G7481" s="14">
        <v>44662</v>
      </c>
      <c r="H7481" s="13" t="s">
        <v>35</v>
      </c>
    </row>
    <row r="7482" spans="1:8" ht="14.4" x14ac:dyDescent="0.3">
      <c r="A7482" s="8">
        <v>2041091</v>
      </c>
      <c r="B7482" s="11">
        <v>44659</v>
      </c>
      <c r="C7482" s="13" t="s">
        <v>9326</v>
      </c>
      <c r="D7482" s="13" t="s">
        <v>9315</v>
      </c>
      <c r="E7482" s="8">
        <v>20000</v>
      </c>
      <c r="F7482" s="13" t="s">
        <v>70</v>
      </c>
      <c r="G7482" s="14">
        <v>44662</v>
      </c>
      <c r="H7482" s="13" t="s">
        <v>35</v>
      </c>
    </row>
    <row r="7483" spans="1:8" ht="14.4" x14ac:dyDescent="0.3">
      <c r="A7483" s="8">
        <v>2041092</v>
      </c>
      <c r="B7483" s="11">
        <v>44659</v>
      </c>
      <c r="C7483" s="13" t="s">
        <v>330</v>
      </c>
      <c r="D7483" s="13" t="s">
        <v>1480</v>
      </c>
      <c r="E7483" s="8">
        <v>20000</v>
      </c>
      <c r="F7483" s="13" t="s">
        <v>70</v>
      </c>
      <c r="G7483" s="14">
        <v>44662</v>
      </c>
      <c r="H7483" s="13" t="s">
        <v>35</v>
      </c>
    </row>
    <row r="7484" spans="1:8" ht="14.4" x14ac:dyDescent="0.3">
      <c r="A7484" s="8">
        <v>2041093</v>
      </c>
      <c r="B7484" s="11">
        <v>44659</v>
      </c>
      <c r="C7484" s="13" t="s">
        <v>331</v>
      </c>
      <c r="D7484" s="13" t="s">
        <v>1480</v>
      </c>
      <c r="E7484" s="8">
        <v>10000</v>
      </c>
      <c r="F7484" s="13" t="s">
        <v>70</v>
      </c>
      <c r="G7484" s="14">
        <v>44662</v>
      </c>
      <c r="H7484" s="13" t="s">
        <v>35</v>
      </c>
    </row>
    <row r="7485" spans="1:8" ht="14.4" x14ac:dyDescent="0.3">
      <c r="A7485" s="8">
        <v>2041094</v>
      </c>
      <c r="B7485" s="11">
        <v>44659</v>
      </c>
      <c r="C7485" s="13" t="s">
        <v>361</v>
      </c>
      <c r="D7485" s="13" t="s">
        <v>9327</v>
      </c>
      <c r="E7485" s="8">
        <v>23369.66</v>
      </c>
      <c r="F7485" s="13" t="s">
        <v>70</v>
      </c>
      <c r="G7485" s="14">
        <v>44663</v>
      </c>
      <c r="H7485" s="13" t="s">
        <v>35</v>
      </c>
    </row>
    <row r="7486" spans="1:8" ht="14.4" x14ac:dyDescent="0.3">
      <c r="A7486" s="8">
        <v>2041095</v>
      </c>
      <c r="B7486" s="11">
        <v>44659</v>
      </c>
      <c r="C7486" s="13" t="s">
        <v>1592</v>
      </c>
      <c r="D7486" s="13" t="s">
        <v>1464</v>
      </c>
      <c r="E7486" s="8">
        <v>20000</v>
      </c>
      <c r="F7486" s="13" t="s">
        <v>70</v>
      </c>
      <c r="G7486" s="14">
        <v>44662</v>
      </c>
      <c r="H7486" s="13" t="s">
        <v>35</v>
      </c>
    </row>
    <row r="7487" spans="1:8" ht="14.4" x14ac:dyDescent="0.3">
      <c r="A7487" s="8">
        <v>2041096</v>
      </c>
      <c r="B7487" s="11">
        <v>44659</v>
      </c>
      <c r="C7487" s="13" t="s">
        <v>9328</v>
      </c>
      <c r="D7487" s="13" t="s">
        <v>9329</v>
      </c>
      <c r="E7487" s="8">
        <v>24667.91</v>
      </c>
      <c r="F7487" s="13" t="s">
        <v>70</v>
      </c>
      <c r="G7487" s="14">
        <v>44663</v>
      </c>
      <c r="H7487" s="13" t="s">
        <v>35</v>
      </c>
    </row>
    <row r="7488" spans="1:8" ht="14.4" x14ac:dyDescent="0.3">
      <c r="A7488" s="8">
        <v>2041097</v>
      </c>
      <c r="B7488" s="11">
        <v>44659</v>
      </c>
      <c r="C7488" s="13" t="s">
        <v>9330</v>
      </c>
      <c r="D7488" s="13" t="s">
        <v>9331</v>
      </c>
      <c r="E7488" s="8">
        <v>18903.21</v>
      </c>
      <c r="F7488" s="13" t="s">
        <v>70</v>
      </c>
      <c r="G7488" s="14">
        <v>44662</v>
      </c>
      <c r="H7488" s="13" t="s">
        <v>35</v>
      </c>
    </row>
    <row r="7489" spans="1:8" ht="14.4" x14ac:dyDescent="0.3">
      <c r="A7489" s="8">
        <v>2041098</v>
      </c>
      <c r="B7489" s="11">
        <v>44659</v>
      </c>
      <c r="C7489" s="13" t="s">
        <v>5500</v>
      </c>
      <c r="D7489" s="13" t="s">
        <v>9332</v>
      </c>
      <c r="E7489" s="8">
        <v>49152.94</v>
      </c>
      <c r="F7489" s="13" t="s">
        <v>70</v>
      </c>
      <c r="G7489" s="14">
        <v>44662</v>
      </c>
      <c r="H7489" s="13" t="s">
        <v>35</v>
      </c>
    </row>
    <row r="7490" spans="1:8" ht="14.4" x14ac:dyDescent="0.3">
      <c r="A7490" s="8">
        <v>2041099</v>
      </c>
      <c r="B7490" s="11">
        <v>44659</v>
      </c>
      <c r="C7490" s="13" t="s">
        <v>356</v>
      </c>
      <c r="D7490" s="13" t="s">
        <v>9333</v>
      </c>
      <c r="E7490" s="8">
        <v>3000</v>
      </c>
      <c r="F7490" s="13" t="s">
        <v>70</v>
      </c>
      <c r="G7490" s="14">
        <v>44662</v>
      </c>
      <c r="H7490" s="13" t="s">
        <v>35</v>
      </c>
    </row>
    <row r="7491" spans="1:8" ht="14.4" x14ac:dyDescent="0.3">
      <c r="A7491" s="8">
        <v>2041100</v>
      </c>
      <c r="B7491" s="11">
        <v>44659</v>
      </c>
      <c r="C7491" s="13" t="s">
        <v>8354</v>
      </c>
      <c r="D7491" s="13" t="s">
        <v>9334</v>
      </c>
      <c r="E7491" s="8">
        <v>10999.8</v>
      </c>
      <c r="F7491" s="13" t="s">
        <v>70</v>
      </c>
      <c r="G7491" s="14">
        <v>44662</v>
      </c>
      <c r="H7491" s="13" t="s">
        <v>35</v>
      </c>
    </row>
    <row r="7492" spans="1:8" ht="14.4" x14ac:dyDescent="0.3">
      <c r="A7492" s="8">
        <v>2041101</v>
      </c>
      <c r="B7492" s="11">
        <v>44662</v>
      </c>
      <c r="C7492" s="13" t="s">
        <v>9335</v>
      </c>
      <c r="D7492" s="13" t="s">
        <v>2570</v>
      </c>
      <c r="E7492" s="8">
        <v>254625</v>
      </c>
      <c r="F7492" s="13" t="s">
        <v>70</v>
      </c>
      <c r="G7492" s="14">
        <v>44671</v>
      </c>
      <c r="H7492" s="13" t="s">
        <v>35</v>
      </c>
    </row>
    <row r="7493" spans="1:8" ht="14.4" x14ac:dyDescent="0.3">
      <c r="A7493" s="8">
        <v>2041102</v>
      </c>
      <c r="B7493" s="11">
        <v>44662</v>
      </c>
      <c r="C7493" s="13" t="s">
        <v>6186</v>
      </c>
      <c r="D7493" s="13" t="s">
        <v>9336</v>
      </c>
      <c r="E7493" s="8">
        <v>2273631.42</v>
      </c>
      <c r="F7493" s="13" t="s">
        <v>70</v>
      </c>
      <c r="G7493" s="14">
        <v>44663</v>
      </c>
      <c r="H7493" s="13" t="s">
        <v>35</v>
      </c>
    </row>
    <row r="7494" spans="1:8" ht="14.4" x14ac:dyDescent="0.3">
      <c r="A7494" s="8">
        <v>2041103</v>
      </c>
      <c r="B7494" s="11">
        <v>44662</v>
      </c>
      <c r="C7494" s="13" t="s">
        <v>5930</v>
      </c>
      <c r="D7494" s="13" t="s">
        <v>9337</v>
      </c>
      <c r="E7494" s="8">
        <v>1818869.64</v>
      </c>
      <c r="F7494" s="13" t="s">
        <v>70</v>
      </c>
      <c r="G7494" s="14">
        <v>44663</v>
      </c>
      <c r="H7494" s="13" t="s">
        <v>35</v>
      </c>
    </row>
    <row r="7495" spans="1:8" ht="14.4" x14ac:dyDescent="0.3">
      <c r="A7495" s="8">
        <v>2041104</v>
      </c>
      <c r="B7495" s="11">
        <v>44662</v>
      </c>
      <c r="C7495" s="13" t="s">
        <v>5851</v>
      </c>
      <c r="D7495" s="13" t="s">
        <v>9338</v>
      </c>
      <c r="E7495" s="8">
        <v>2740247.24</v>
      </c>
      <c r="F7495" s="13" t="s">
        <v>70</v>
      </c>
      <c r="G7495" s="14">
        <v>44664</v>
      </c>
      <c r="H7495" s="13" t="s">
        <v>35</v>
      </c>
    </row>
    <row r="7496" spans="1:8" ht="14.4" x14ac:dyDescent="0.3">
      <c r="A7496" s="8">
        <v>2041105</v>
      </c>
      <c r="B7496" s="11">
        <v>44664</v>
      </c>
      <c r="C7496" s="13" t="s">
        <v>9339</v>
      </c>
      <c r="D7496" s="13" t="s">
        <v>9340</v>
      </c>
      <c r="E7496" s="8">
        <v>2733197.09</v>
      </c>
      <c r="F7496" s="13" t="s">
        <v>70</v>
      </c>
      <c r="G7496" s="14">
        <v>44669</v>
      </c>
      <c r="H7496" s="13" t="s">
        <v>35</v>
      </c>
    </row>
    <row r="7497" spans="1:8" ht="14.4" x14ac:dyDescent="0.3">
      <c r="A7497" s="8">
        <v>2041106</v>
      </c>
      <c r="B7497" s="11">
        <v>44672</v>
      </c>
      <c r="C7497" s="13" t="s">
        <v>9341</v>
      </c>
      <c r="D7497" s="13" t="s">
        <v>9342</v>
      </c>
      <c r="E7497" s="8">
        <v>2735657.36</v>
      </c>
      <c r="F7497" s="13" t="s">
        <v>70</v>
      </c>
      <c r="G7497" s="14">
        <v>44676</v>
      </c>
      <c r="H7497" s="13" t="s">
        <v>35</v>
      </c>
    </row>
    <row r="7498" spans="1:8" ht="14.4" x14ac:dyDescent="0.3">
      <c r="A7498" s="8">
        <v>2041108</v>
      </c>
      <c r="B7498" s="11">
        <v>44672</v>
      </c>
      <c r="C7498" s="13" t="s">
        <v>9343</v>
      </c>
      <c r="D7498" s="13" t="s">
        <v>9344</v>
      </c>
      <c r="E7498" s="8">
        <v>1632336.92</v>
      </c>
      <c r="F7498" s="13" t="s">
        <v>70</v>
      </c>
      <c r="G7498" s="14">
        <v>44673</v>
      </c>
      <c r="H7498" s="13" t="s">
        <v>35</v>
      </c>
    </row>
    <row r="7499" spans="1:8" ht="14.4" x14ac:dyDescent="0.3">
      <c r="A7499" s="8">
        <v>2041109</v>
      </c>
      <c r="B7499" s="11">
        <v>44673</v>
      </c>
      <c r="C7499" s="13" t="s">
        <v>9345</v>
      </c>
      <c r="D7499" s="13" t="s">
        <v>9346</v>
      </c>
      <c r="E7499" s="8">
        <v>1822052.46</v>
      </c>
      <c r="F7499" s="13" t="s">
        <v>70</v>
      </c>
      <c r="G7499" s="14">
        <v>44676</v>
      </c>
      <c r="H7499" s="13" t="s">
        <v>35</v>
      </c>
    </row>
    <row r="7500" spans="1:8" ht="14.4" x14ac:dyDescent="0.3">
      <c r="A7500" s="8">
        <v>2041110</v>
      </c>
      <c r="B7500" s="11">
        <v>44673</v>
      </c>
      <c r="C7500" s="13" t="s">
        <v>6085</v>
      </c>
      <c r="D7500" s="13" t="s">
        <v>9347</v>
      </c>
      <c r="E7500" s="8">
        <v>2819816.15</v>
      </c>
      <c r="F7500" s="13" t="s">
        <v>70</v>
      </c>
      <c r="G7500" s="14">
        <v>44673</v>
      </c>
      <c r="H7500" s="13" t="s">
        <v>35</v>
      </c>
    </row>
    <row r="7501" spans="1:8" ht="14.4" x14ac:dyDescent="0.3">
      <c r="A7501" s="8">
        <v>2041111</v>
      </c>
      <c r="B7501" s="11">
        <v>44683</v>
      </c>
      <c r="C7501" s="13" t="s">
        <v>1540</v>
      </c>
      <c r="D7501" s="13" t="s">
        <v>9348</v>
      </c>
      <c r="E7501" s="8">
        <v>1818632.51</v>
      </c>
      <c r="F7501" s="13" t="s">
        <v>70</v>
      </c>
      <c r="G7501" s="14">
        <v>44685</v>
      </c>
      <c r="H7501" s="13" t="s">
        <v>35</v>
      </c>
    </row>
    <row r="7502" spans="1:8" ht="14.4" x14ac:dyDescent="0.3">
      <c r="A7502" s="8">
        <v>2041112</v>
      </c>
      <c r="B7502" s="11">
        <v>44683</v>
      </c>
      <c r="C7502" s="13" t="s">
        <v>1540</v>
      </c>
      <c r="D7502" s="13" t="s">
        <v>9349</v>
      </c>
      <c r="E7502" s="8">
        <v>1820406.84</v>
      </c>
      <c r="F7502" s="13" t="s">
        <v>70</v>
      </c>
      <c r="G7502" s="14">
        <v>44685</v>
      </c>
      <c r="H7502" s="13" t="s">
        <v>35</v>
      </c>
    </row>
    <row r="7503" spans="1:8" ht="14.4" x14ac:dyDescent="0.3">
      <c r="A7503" s="8">
        <v>2041113</v>
      </c>
      <c r="B7503" s="11">
        <v>44683</v>
      </c>
      <c r="C7503" s="13" t="s">
        <v>1540</v>
      </c>
      <c r="D7503" s="13" t="s">
        <v>9350</v>
      </c>
      <c r="E7503" s="8">
        <v>2320794.31</v>
      </c>
      <c r="F7503" s="13" t="s">
        <v>70</v>
      </c>
      <c r="G7503" s="14">
        <v>44685</v>
      </c>
      <c r="H7503" s="13" t="s">
        <v>35</v>
      </c>
    </row>
    <row r="7504" spans="1:8" ht="14.4" x14ac:dyDescent="0.3">
      <c r="A7504" s="8">
        <v>2041114</v>
      </c>
      <c r="B7504" s="11">
        <v>44683</v>
      </c>
      <c r="C7504" s="13" t="s">
        <v>1803</v>
      </c>
      <c r="D7504" s="13" t="s">
        <v>9351</v>
      </c>
      <c r="E7504" s="8">
        <v>1820617.89</v>
      </c>
      <c r="F7504" s="13" t="s">
        <v>70</v>
      </c>
      <c r="G7504" s="14">
        <v>44687</v>
      </c>
      <c r="H7504" s="13" t="s">
        <v>35</v>
      </c>
    </row>
    <row r="7505" spans="1:8" ht="14.4" x14ac:dyDescent="0.3">
      <c r="A7505" s="8">
        <v>2041115</v>
      </c>
      <c r="B7505" s="11">
        <v>44686</v>
      </c>
      <c r="C7505" s="13" t="s">
        <v>6186</v>
      </c>
      <c r="D7505" s="13" t="s">
        <v>9352</v>
      </c>
      <c r="E7505" s="8">
        <v>2730935.01</v>
      </c>
      <c r="F7505" s="13" t="s">
        <v>70</v>
      </c>
      <c r="G7505" s="14">
        <v>44691</v>
      </c>
      <c r="H7505" s="13" t="s">
        <v>35</v>
      </c>
    </row>
    <row r="7506" spans="1:8" ht="14.4" x14ac:dyDescent="0.3">
      <c r="A7506" s="8">
        <v>2041116</v>
      </c>
      <c r="B7506" s="11">
        <v>44686</v>
      </c>
      <c r="C7506" s="13" t="s">
        <v>9353</v>
      </c>
      <c r="D7506" s="13" t="s">
        <v>9354</v>
      </c>
      <c r="E7506" s="8">
        <v>654329.46</v>
      </c>
      <c r="F7506" s="13" t="s">
        <v>70</v>
      </c>
      <c r="G7506" s="14">
        <v>44732</v>
      </c>
      <c r="H7506" s="13" t="s">
        <v>35</v>
      </c>
    </row>
    <row r="7507" spans="1:8" ht="14.4" x14ac:dyDescent="0.3">
      <c r="A7507" s="8">
        <v>2041117</v>
      </c>
      <c r="B7507" s="11">
        <v>44686</v>
      </c>
      <c r="C7507" s="13" t="s">
        <v>9355</v>
      </c>
      <c r="D7507" s="13" t="s">
        <v>9356</v>
      </c>
      <c r="E7507" s="8">
        <v>1583969.31</v>
      </c>
      <c r="F7507" s="13" t="s">
        <v>70</v>
      </c>
      <c r="G7507" s="14">
        <v>44693</v>
      </c>
      <c r="H7507" s="13" t="s">
        <v>35</v>
      </c>
    </row>
    <row r="7508" spans="1:8" ht="14.4" x14ac:dyDescent="0.3">
      <c r="A7508" s="8">
        <v>2041118</v>
      </c>
      <c r="B7508" s="11">
        <v>44687</v>
      </c>
      <c r="C7508" s="13" t="s">
        <v>9357</v>
      </c>
      <c r="D7508" s="13" t="s">
        <v>9358</v>
      </c>
      <c r="E7508" s="8">
        <v>1817144.49</v>
      </c>
      <c r="F7508" s="13" t="s">
        <v>70</v>
      </c>
      <c r="G7508" s="14">
        <v>44693</v>
      </c>
      <c r="H7508" s="13" t="s">
        <v>35</v>
      </c>
    </row>
    <row r="7509" spans="1:8" ht="14.4" x14ac:dyDescent="0.3">
      <c r="A7509" s="8">
        <v>2041119</v>
      </c>
      <c r="B7509" s="11">
        <v>44687</v>
      </c>
      <c r="C7509" s="13" t="s">
        <v>9359</v>
      </c>
      <c r="D7509" s="13" t="s">
        <v>9360</v>
      </c>
      <c r="E7509" s="8">
        <v>1818773.1</v>
      </c>
      <c r="F7509" s="13" t="s">
        <v>70</v>
      </c>
      <c r="G7509" s="14">
        <v>44692</v>
      </c>
      <c r="H7509" s="13" t="s">
        <v>35</v>
      </c>
    </row>
    <row r="7510" spans="1:8" ht="14.4" x14ac:dyDescent="0.3">
      <c r="A7510" s="8">
        <v>2041120</v>
      </c>
      <c r="B7510" s="11">
        <v>44687</v>
      </c>
      <c r="C7510" s="13" t="s">
        <v>9359</v>
      </c>
      <c r="D7510" s="13" t="s">
        <v>9361</v>
      </c>
      <c r="E7510" s="8">
        <v>1820415.34</v>
      </c>
      <c r="F7510" s="13" t="s">
        <v>70</v>
      </c>
      <c r="G7510" s="14">
        <v>44692</v>
      </c>
      <c r="H7510" s="13" t="s">
        <v>35</v>
      </c>
    </row>
    <row r="7511" spans="1:8" ht="14.4" x14ac:dyDescent="0.3">
      <c r="A7511" s="8">
        <v>2041121</v>
      </c>
      <c r="B7511" s="11">
        <v>44691</v>
      </c>
      <c r="C7511" s="13" t="s">
        <v>1581</v>
      </c>
      <c r="D7511" s="13" t="s">
        <v>9362</v>
      </c>
      <c r="E7511" s="8">
        <v>7453.13</v>
      </c>
      <c r="F7511" s="13" t="s">
        <v>70</v>
      </c>
      <c r="G7511" s="14">
        <v>44694</v>
      </c>
      <c r="H7511" s="13" t="s">
        <v>35</v>
      </c>
    </row>
    <row r="7512" spans="1:8" ht="14.4" x14ac:dyDescent="0.3">
      <c r="A7512" s="8">
        <v>2041122</v>
      </c>
      <c r="B7512" s="11">
        <v>44691</v>
      </c>
      <c r="C7512" s="13" t="s">
        <v>52</v>
      </c>
      <c r="D7512" s="13" t="s">
        <v>9363</v>
      </c>
      <c r="E7512" s="8">
        <v>1314745.72</v>
      </c>
      <c r="F7512" s="13" t="s">
        <v>70</v>
      </c>
      <c r="G7512" s="14">
        <v>44708</v>
      </c>
      <c r="H7512" s="13" t="s">
        <v>35</v>
      </c>
    </row>
    <row r="7513" spans="1:8" ht="14.4" x14ac:dyDescent="0.3">
      <c r="A7513" s="8">
        <v>2041123</v>
      </c>
      <c r="B7513" s="11">
        <v>44692</v>
      </c>
      <c r="C7513" s="13" t="s">
        <v>1581</v>
      </c>
      <c r="D7513" s="13" t="s">
        <v>9364</v>
      </c>
      <c r="E7513" s="8">
        <v>12776.78</v>
      </c>
      <c r="F7513" s="13" t="s">
        <v>70</v>
      </c>
      <c r="G7513" s="14">
        <v>44699</v>
      </c>
      <c r="H7513" s="13" t="s">
        <v>35</v>
      </c>
    </row>
    <row r="7514" spans="1:8" ht="14.4" x14ac:dyDescent="0.3">
      <c r="A7514" s="8">
        <v>2041124</v>
      </c>
      <c r="B7514" s="11">
        <v>44693</v>
      </c>
      <c r="C7514" s="13" t="s">
        <v>604</v>
      </c>
      <c r="D7514" s="13" t="s">
        <v>9365</v>
      </c>
      <c r="E7514" s="8">
        <v>20000</v>
      </c>
      <c r="F7514" s="13" t="s">
        <v>70</v>
      </c>
      <c r="G7514" s="14">
        <v>44698</v>
      </c>
      <c r="H7514" s="13" t="s">
        <v>35</v>
      </c>
    </row>
    <row r="7515" spans="1:8" ht="14.4" x14ac:dyDescent="0.3">
      <c r="A7515" s="8">
        <v>2041125</v>
      </c>
      <c r="B7515" s="11">
        <v>44693</v>
      </c>
      <c r="C7515" s="13" t="s">
        <v>9366</v>
      </c>
      <c r="D7515" s="13" t="s">
        <v>9367</v>
      </c>
      <c r="E7515" s="8">
        <v>11700</v>
      </c>
      <c r="F7515" s="13" t="s">
        <v>70</v>
      </c>
      <c r="G7515" s="14">
        <v>44699</v>
      </c>
      <c r="H7515" s="13" t="s">
        <v>35</v>
      </c>
    </row>
    <row r="7516" spans="1:8" ht="14.4" x14ac:dyDescent="0.3">
      <c r="A7516" s="8">
        <v>2041126</v>
      </c>
      <c r="B7516" s="11">
        <v>44693</v>
      </c>
      <c r="C7516" s="13" t="s">
        <v>9368</v>
      </c>
      <c r="D7516" s="13" t="s">
        <v>9369</v>
      </c>
      <c r="E7516" s="8">
        <v>50000</v>
      </c>
      <c r="F7516" s="13" t="s">
        <v>70</v>
      </c>
      <c r="G7516" s="14">
        <v>44699</v>
      </c>
      <c r="H7516" s="13" t="s">
        <v>35</v>
      </c>
    </row>
    <row r="7517" spans="1:8" ht="14.4" x14ac:dyDescent="0.3">
      <c r="A7517" s="8">
        <v>2041127</v>
      </c>
      <c r="B7517" s="11">
        <v>44693</v>
      </c>
      <c r="C7517" s="13" t="s">
        <v>9370</v>
      </c>
      <c r="D7517" s="13" t="s">
        <v>9371</v>
      </c>
      <c r="E7517" s="8">
        <v>10000</v>
      </c>
      <c r="F7517" s="13" t="s">
        <v>70</v>
      </c>
      <c r="G7517" s="14">
        <v>44699</v>
      </c>
      <c r="H7517" s="13" t="s">
        <v>35</v>
      </c>
    </row>
    <row r="7518" spans="1:8" ht="14.4" x14ac:dyDescent="0.3">
      <c r="A7518" s="8">
        <v>2041128</v>
      </c>
      <c r="B7518" s="11">
        <v>44693</v>
      </c>
      <c r="C7518" s="13" t="s">
        <v>9372</v>
      </c>
      <c r="D7518" s="13" t="s">
        <v>9373</v>
      </c>
      <c r="E7518" s="8">
        <v>8000</v>
      </c>
      <c r="F7518" s="13" t="s">
        <v>70</v>
      </c>
      <c r="G7518" s="14">
        <v>44699</v>
      </c>
      <c r="H7518" s="13" t="s">
        <v>35</v>
      </c>
    </row>
    <row r="7519" spans="1:8" ht="14.4" x14ac:dyDescent="0.3">
      <c r="A7519" s="8">
        <v>2041129</v>
      </c>
      <c r="B7519" s="11">
        <v>44693</v>
      </c>
      <c r="C7519" s="13" t="s">
        <v>9374</v>
      </c>
      <c r="D7519" s="13" t="s">
        <v>9375</v>
      </c>
      <c r="E7519" s="8">
        <v>10000</v>
      </c>
      <c r="F7519" s="13" t="s">
        <v>70</v>
      </c>
      <c r="G7519" s="14">
        <v>44699</v>
      </c>
      <c r="H7519" s="13" t="s">
        <v>35</v>
      </c>
    </row>
    <row r="7520" spans="1:8" ht="14.4" x14ac:dyDescent="0.3">
      <c r="A7520" s="8">
        <v>2041130</v>
      </c>
      <c r="B7520" s="11">
        <v>44693</v>
      </c>
      <c r="C7520" s="13" t="s">
        <v>9376</v>
      </c>
      <c r="D7520" s="13" t="s">
        <v>9377</v>
      </c>
      <c r="E7520" s="8">
        <v>20000</v>
      </c>
      <c r="F7520" s="13" t="s">
        <v>70</v>
      </c>
      <c r="G7520" s="14">
        <v>44698</v>
      </c>
      <c r="H7520" s="13" t="s">
        <v>35</v>
      </c>
    </row>
    <row r="7521" spans="1:8" ht="14.4" x14ac:dyDescent="0.3">
      <c r="A7521" s="8">
        <v>2041131</v>
      </c>
      <c r="B7521" s="11">
        <v>44693</v>
      </c>
      <c r="C7521" s="13" t="s">
        <v>9378</v>
      </c>
      <c r="D7521" s="13" t="s">
        <v>9379</v>
      </c>
      <c r="E7521" s="8">
        <v>25000</v>
      </c>
      <c r="F7521" s="13" t="s">
        <v>70</v>
      </c>
      <c r="G7521" s="14">
        <v>44698</v>
      </c>
      <c r="H7521" s="13" t="s">
        <v>35</v>
      </c>
    </row>
    <row r="7522" spans="1:8" ht="14.4" x14ac:dyDescent="0.3">
      <c r="A7522" s="8">
        <v>2041132</v>
      </c>
      <c r="B7522" s="11">
        <v>44693</v>
      </c>
      <c r="C7522" s="13" t="s">
        <v>9380</v>
      </c>
      <c r="D7522" s="13" t="s">
        <v>9381</v>
      </c>
      <c r="E7522" s="8">
        <v>30000</v>
      </c>
      <c r="F7522" s="13" t="s">
        <v>70</v>
      </c>
      <c r="G7522" s="14">
        <v>44698</v>
      </c>
      <c r="H7522" s="13" t="s">
        <v>35</v>
      </c>
    </row>
    <row r="7523" spans="1:8" ht="14.4" x14ac:dyDescent="0.3">
      <c r="A7523" s="8">
        <v>2041133</v>
      </c>
      <c r="B7523" s="11">
        <v>44693</v>
      </c>
      <c r="C7523" s="13" t="s">
        <v>9382</v>
      </c>
      <c r="D7523" s="13" t="s">
        <v>9383</v>
      </c>
      <c r="E7523" s="8">
        <v>8000</v>
      </c>
      <c r="F7523" s="13" t="s">
        <v>70</v>
      </c>
      <c r="G7523" s="14">
        <v>44704</v>
      </c>
      <c r="H7523" s="13" t="s">
        <v>35</v>
      </c>
    </row>
    <row r="7524" spans="1:8" ht="14.4" x14ac:dyDescent="0.3">
      <c r="A7524" s="8">
        <v>2041134</v>
      </c>
      <c r="B7524" s="11">
        <v>44693</v>
      </c>
      <c r="C7524" s="13" t="s">
        <v>9384</v>
      </c>
      <c r="D7524" s="13" t="s">
        <v>9385</v>
      </c>
      <c r="E7524" s="8">
        <v>40000</v>
      </c>
      <c r="F7524" s="13" t="s">
        <v>70</v>
      </c>
      <c r="G7524" s="14">
        <v>44699</v>
      </c>
      <c r="H7524" s="13" t="s">
        <v>35</v>
      </c>
    </row>
    <row r="7525" spans="1:8" ht="14.4" x14ac:dyDescent="0.3">
      <c r="A7525" s="8">
        <v>2041135</v>
      </c>
      <c r="B7525" s="11">
        <v>44693</v>
      </c>
      <c r="C7525" s="13" t="s">
        <v>9386</v>
      </c>
      <c r="D7525" s="13" t="s">
        <v>9387</v>
      </c>
      <c r="E7525" s="8">
        <v>10000</v>
      </c>
      <c r="F7525" s="13" t="s">
        <v>70</v>
      </c>
      <c r="G7525" s="14">
        <v>44699</v>
      </c>
      <c r="H7525" s="13" t="s">
        <v>35</v>
      </c>
    </row>
    <row r="7526" spans="1:8" ht="14.4" x14ac:dyDescent="0.3">
      <c r="A7526" s="8">
        <v>2041136</v>
      </c>
      <c r="B7526" s="11">
        <v>44693</v>
      </c>
      <c r="C7526" s="13" t="s">
        <v>9388</v>
      </c>
      <c r="D7526" s="13" t="s">
        <v>9389</v>
      </c>
      <c r="E7526" s="8">
        <v>13900</v>
      </c>
      <c r="F7526" s="13" t="s">
        <v>70</v>
      </c>
      <c r="G7526" s="14">
        <v>44699</v>
      </c>
      <c r="H7526" s="13" t="s">
        <v>35</v>
      </c>
    </row>
    <row r="7527" spans="1:8" ht="14.4" x14ac:dyDescent="0.3">
      <c r="A7527" s="8">
        <v>2041137</v>
      </c>
      <c r="B7527" s="11">
        <v>44693</v>
      </c>
      <c r="C7527" s="13" t="s">
        <v>9390</v>
      </c>
      <c r="D7527" s="13" t="s">
        <v>9391</v>
      </c>
      <c r="E7527" s="8">
        <v>50000</v>
      </c>
      <c r="F7527" s="13" t="s">
        <v>70</v>
      </c>
      <c r="G7527" s="14">
        <v>44699</v>
      </c>
      <c r="H7527" s="13" t="s">
        <v>35</v>
      </c>
    </row>
    <row r="7528" spans="1:8" ht="14.4" x14ac:dyDescent="0.3">
      <c r="A7528" s="8">
        <v>2041138</v>
      </c>
      <c r="B7528" s="11">
        <v>44693</v>
      </c>
      <c r="C7528" s="13" t="s">
        <v>9392</v>
      </c>
      <c r="D7528" s="13" t="s">
        <v>9393</v>
      </c>
      <c r="E7528" s="8">
        <v>50000</v>
      </c>
      <c r="F7528" s="13" t="s">
        <v>70</v>
      </c>
      <c r="G7528" s="14">
        <v>44700</v>
      </c>
      <c r="H7528" s="13" t="s">
        <v>35</v>
      </c>
    </row>
    <row r="7529" spans="1:8" ht="14.4" x14ac:dyDescent="0.3">
      <c r="A7529" s="8">
        <v>2041139</v>
      </c>
      <c r="B7529" s="11">
        <v>44693</v>
      </c>
      <c r="C7529" s="13" t="s">
        <v>9394</v>
      </c>
      <c r="D7529" s="13" t="s">
        <v>9395</v>
      </c>
      <c r="E7529" s="8">
        <v>50000</v>
      </c>
      <c r="F7529" s="13" t="s">
        <v>70</v>
      </c>
      <c r="G7529" s="14">
        <v>44700</v>
      </c>
      <c r="H7529" s="13" t="s">
        <v>35</v>
      </c>
    </row>
    <row r="7530" spans="1:8" ht="14.4" x14ac:dyDescent="0.3">
      <c r="A7530" s="8">
        <v>2041140</v>
      </c>
      <c r="B7530" s="11">
        <v>44693</v>
      </c>
      <c r="C7530" s="13" t="s">
        <v>9396</v>
      </c>
      <c r="D7530" s="13" t="s">
        <v>9397</v>
      </c>
      <c r="E7530" s="8">
        <v>13000</v>
      </c>
      <c r="F7530" s="13" t="s">
        <v>70</v>
      </c>
      <c r="G7530" s="14">
        <v>44699</v>
      </c>
      <c r="H7530" s="13" t="s">
        <v>35</v>
      </c>
    </row>
    <row r="7531" spans="1:8" ht="14.4" x14ac:dyDescent="0.3">
      <c r="A7531" s="8">
        <v>2041141</v>
      </c>
      <c r="B7531" s="11">
        <v>44693</v>
      </c>
      <c r="C7531" s="13" t="s">
        <v>9398</v>
      </c>
      <c r="D7531" s="13" t="s">
        <v>9399</v>
      </c>
      <c r="E7531" s="8">
        <v>11600</v>
      </c>
      <c r="F7531" s="13" t="s">
        <v>70</v>
      </c>
      <c r="G7531" s="14">
        <v>44698</v>
      </c>
      <c r="H7531" s="13" t="s">
        <v>35</v>
      </c>
    </row>
    <row r="7532" spans="1:8" ht="14.4" x14ac:dyDescent="0.3">
      <c r="A7532" s="8">
        <v>2041142</v>
      </c>
      <c r="B7532" s="11">
        <v>44693</v>
      </c>
      <c r="C7532" s="13" t="s">
        <v>9400</v>
      </c>
      <c r="D7532" s="13" t="s">
        <v>9401</v>
      </c>
      <c r="E7532" s="8">
        <v>7000</v>
      </c>
      <c r="F7532" s="13" t="s">
        <v>70</v>
      </c>
      <c r="G7532" s="14">
        <v>44700</v>
      </c>
      <c r="H7532" s="13" t="s">
        <v>35</v>
      </c>
    </row>
    <row r="7533" spans="1:8" ht="14.4" x14ac:dyDescent="0.3">
      <c r="A7533" s="8">
        <v>2041143</v>
      </c>
      <c r="B7533" s="11">
        <v>44693</v>
      </c>
      <c r="C7533" s="13" t="s">
        <v>9402</v>
      </c>
      <c r="D7533" s="13" t="s">
        <v>9403</v>
      </c>
      <c r="E7533" s="8">
        <v>10000</v>
      </c>
      <c r="F7533" s="13" t="s">
        <v>70</v>
      </c>
      <c r="G7533" s="14">
        <v>44699</v>
      </c>
      <c r="H7533" s="13" t="s">
        <v>35</v>
      </c>
    </row>
    <row r="7534" spans="1:8" ht="14.4" x14ac:dyDescent="0.3">
      <c r="A7534" s="8">
        <v>2041144</v>
      </c>
      <c r="B7534" s="11">
        <v>44693</v>
      </c>
      <c r="C7534" s="13" t="s">
        <v>7794</v>
      </c>
      <c r="D7534" s="13" t="s">
        <v>9404</v>
      </c>
      <c r="E7534" s="8">
        <v>10000</v>
      </c>
      <c r="F7534" s="13" t="s">
        <v>70</v>
      </c>
      <c r="G7534" s="14">
        <v>44697</v>
      </c>
      <c r="H7534" s="13" t="s">
        <v>35</v>
      </c>
    </row>
    <row r="7535" spans="1:8" ht="14.4" x14ac:dyDescent="0.3">
      <c r="A7535" s="8">
        <v>2041145</v>
      </c>
      <c r="B7535" s="11">
        <v>44693</v>
      </c>
      <c r="C7535" s="13" t="s">
        <v>9405</v>
      </c>
      <c r="D7535" s="13" t="s">
        <v>9406</v>
      </c>
      <c r="E7535" s="8">
        <v>10000</v>
      </c>
      <c r="F7535" s="13" t="s">
        <v>70</v>
      </c>
      <c r="G7535" s="14">
        <v>44699</v>
      </c>
      <c r="H7535" s="13" t="s">
        <v>35</v>
      </c>
    </row>
    <row r="7536" spans="1:8" ht="14.4" x14ac:dyDescent="0.3">
      <c r="A7536" s="8">
        <v>2041146</v>
      </c>
      <c r="B7536" s="11">
        <v>44693</v>
      </c>
      <c r="C7536" s="13" t="s">
        <v>9407</v>
      </c>
      <c r="D7536" s="13" t="s">
        <v>9408</v>
      </c>
      <c r="E7536" s="8">
        <v>15000</v>
      </c>
      <c r="F7536" s="13" t="s">
        <v>70</v>
      </c>
      <c r="G7536" s="14">
        <v>44698</v>
      </c>
      <c r="H7536" s="13" t="s">
        <v>35</v>
      </c>
    </row>
    <row r="7537" spans="1:8" ht="14.4" x14ac:dyDescent="0.3">
      <c r="A7537" s="8">
        <v>2041147</v>
      </c>
      <c r="B7537" s="11">
        <v>44693</v>
      </c>
      <c r="C7537" s="13" t="s">
        <v>9409</v>
      </c>
      <c r="D7537" s="13" t="s">
        <v>9410</v>
      </c>
      <c r="E7537" s="8">
        <v>44000</v>
      </c>
      <c r="F7537" s="13" t="s">
        <v>70</v>
      </c>
      <c r="G7537" s="14">
        <v>44704</v>
      </c>
      <c r="H7537" s="13" t="s">
        <v>35</v>
      </c>
    </row>
    <row r="7538" spans="1:8" ht="14.4" x14ac:dyDescent="0.3">
      <c r="A7538" s="8">
        <v>2041148</v>
      </c>
      <c r="B7538" s="11">
        <v>44693</v>
      </c>
      <c r="C7538" s="13" t="s">
        <v>9411</v>
      </c>
      <c r="D7538" s="13" t="s">
        <v>9412</v>
      </c>
      <c r="E7538" s="8">
        <v>24000</v>
      </c>
      <c r="F7538" s="13" t="s">
        <v>70</v>
      </c>
      <c r="G7538" s="14">
        <v>44697</v>
      </c>
      <c r="H7538" s="13" t="s">
        <v>35</v>
      </c>
    </row>
    <row r="7539" spans="1:8" ht="14.4" x14ac:dyDescent="0.3">
      <c r="A7539" s="8">
        <v>2041149</v>
      </c>
      <c r="B7539" s="11">
        <v>44693</v>
      </c>
      <c r="C7539" s="13" t="s">
        <v>9413</v>
      </c>
      <c r="D7539" s="13" t="s">
        <v>9414</v>
      </c>
      <c r="E7539" s="8">
        <v>10000</v>
      </c>
      <c r="F7539" s="13" t="s">
        <v>70</v>
      </c>
      <c r="G7539" s="14">
        <v>44704</v>
      </c>
      <c r="H7539" s="13" t="s">
        <v>35</v>
      </c>
    </row>
    <row r="7540" spans="1:8" ht="14.4" x14ac:dyDescent="0.3">
      <c r="A7540" s="8">
        <v>2041150</v>
      </c>
      <c r="B7540" s="11">
        <v>44693</v>
      </c>
      <c r="C7540" s="13" t="s">
        <v>1507</v>
      </c>
      <c r="D7540" s="13" t="s">
        <v>9415</v>
      </c>
      <c r="E7540" s="8">
        <v>12232</v>
      </c>
      <c r="F7540" s="13" t="s">
        <v>70</v>
      </c>
      <c r="G7540" s="14">
        <v>44697</v>
      </c>
      <c r="H7540" s="13" t="s">
        <v>35</v>
      </c>
    </row>
    <row r="7541" spans="1:8" ht="14.4" x14ac:dyDescent="0.3">
      <c r="A7541" s="8">
        <v>2041151</v>
      </c>
      <c r="B7541" s="11">
        <v>44693</v>
      </c>
      <c r="C7541" s="13" t="s">
        <v>1509</v>
      </c>
      <c r="D7541" s="13" t="s">
        <v>9415</v>
      </c>
      <c r="E7541" s="8">
        <v>25021.67</v>
      </c>
      <c r="F7541" s="13" t="s">
        <v>70</v>
      </c>
      <c r="G7541" s="14">
        <v>44694</v>
      </c>
      <c r="H7541" s="13" t="s">
        <v>35</v>
      </c>
    </row>
    <row r="7542" spans="1:8" ht="14.4" x14ac:dyDescent="0.3">
      <c r="A7542" s="8">
        <v>2041152</v>
      </c>
      <c r="B7542" s="11">
        <v>44693</v>
      </c>
      <c r="C7542" s="13" t="s">
        <v>1510</v>
      </c>
      <c r="D7542" s="13" t="s">
        <v>9415</v>
      </c>
      <c r="E7542" s="8">
        <v>6340.67</v>
      </c>
      <c r="F7542" s="13" t="s">
        <v>70</v>
      </c>
      <c r="G7542" s="14">
        <v>44694</v>
      </c>
      <c r="H7542" s="13" t="s">
        <v>35</v>
      </c>
    </row>
    <row r="7543" spans="1:8" ht="14.4" x14ac:dyDescent="0.3">
      <c r="A7543" s="8">
        <v>2041153</v>
      </c>
      <c r="B7543" s="11">
        <v>44693</v>
      </c>
      <c r="C7543" s="13" t="s">
        <v>1511</v>
      </c>
      <c r="D7543" s="13" t="s">
        <v>9415</v>
      </c>
      <c r="E7543" s="8">
        <v>20217</v>
      </c>
      <c r="F7543" s="13" t="s">
        <v>70</v>
      </c>
      <c r="G7543" s="14">
        <v>44698</v>
      </c>
      <c r="H7543" s="13" t="s">
        <v>35</v>
      </c>
    </row>
    <row r="7544" spans="1:8" ht="14.4" x14ac:dyDescent="0.3">
      <c r="A7544" s="8">
        <v>2041154</v>
      </c>
      <c r="B7544" s="11">
        <v>44693</v>
      </c>
      <c r="C7544" s="13" t="s">
        <v>1514</v>
      </c>
      <c r="D7544" s="13" t="s">
        <v>9415</v>
      </c>
      <c r="E7544" s="8">
        <v>26022.67</v>
      </c>
      <c r="F7544" s="13" t="s">
        <v>70</v>
      </c>
      <c r="G7544" s="14">
        <v>44697</v>
      </c>
      <c r="H7544" s="13" t="s">
        <v>35</v>
      </c>
    </row>
    <row r="7545" spans="1:8" ht="14.4" x14ac:dyDescent="0.3">
      <c r="A7545" s="8">
        <v>2041155</v>
      </c>
      <c r="B7545" s="11">
        <v>44693</v>
      </c>
      <c r="C7545" s="13" t="s">
        <v>1513</v>
      </c>
      <c r="D7545" s="13" t="s">
        <v>9415</v>
      </c>
      <c r="E7545" s="8">
        <v>25408.67</v>
      </c>
      <c r="F7545" s="13" t="s">
        <v>70</v>
      </c>
      <c r="G7545" s="14">
        <v>44694</v>
      </c>
      <c r="H7545" s="13" t="s">
        <v>35</v>
      </c>
    </row>
    <row r="7546" spans="1:8" ht="14.4" x14ac:dyDescent="0.3">
      <c r="A7546" s="8">
        <v>2041156</v>
      </c>
      <c r="B7546" s="11">
        <v>44693</v>
      </c>
      <c r="C7546" s="13" t="s">
        <v>95</v>
      </c>
      <c r="D7546" s="13" t="s">
        <v>9415</v>
      </c>
      <c r="E7546" s="8">
        <v>24246.21</v>
      </c>
      <c r="F7546" s="13" t="s">
        <v>70</v>
      </c>
      <c r="G7546" s="14">
        <v>44700</v>
      </c>
      <c r="H7546" s="13" t="s">
        <v>35</v>
      </c>
    </row>
    <row r="7547" spans="1:8" ht="14.4" x14ac:dyDescent="0.3">
      <c r="A7547" s="8">
        <v>2041157</v>
      </c>
      <c r="B7547" s="11">
        <v>44693</v>
      </c>
      <c r="C7547" s="13" t="s">
        <v>3902</v>
      </c>
      <c r="D7547" s="13" t="s">
        <v>9415</v>
      </c>
      <c r="E7547" s="8">
        <v>23898</v>
      </c>
      <c r="F7547" s="13" t="s">
        <v>70</v>
      </c>
      <c r="G7547" s="14">
        <v>44694</v>
      </c>
      <c r="H7547" s="13" t="s">
        <v>35</v>
      </c>
    </row>
    <row r="7548" spans="1:8" ht="14.4" x14ac:dyDescent="0.3">
      <c r="A7548" s="8">
        <v>2041158</v>
      </c>
      <c r="B7548" s="11">
        <v>44693</v>
      </c>
      <c r="C7548" s="13" t="s">
        <v>96</v>
      </c>
      <c r="D7548" s="13" t="s">
        <v>9415</v>
      </c>
      <c r="E7548" s="8">
        <v>23508.67</v>
      </c>
      <c r="F7548" s="13" t="s">
        <v>70</v>
      </c>
      <c r="G7548" s="14">
        <v>44699</v>
      </c>
      <c r="H7548" s="13" t="s">
        <v>35</v>
      </c>
    </row>
    <row r="7549" spans="1:8" ht="14.4" x14ac:dyDescent="0.3">
      <c r="A7549" s="8">
        <v>2041159</v>
      </c>
      <c r="B7549" s="11">
        <v>44693</v>
      </c>
      <c r="C7549" s="13" t="s">
        <v>669</v>
      </c>
      <c r="D7549" s="13" t="s">
        <v>2001</v>
      </c>
      <c r="E7549" s="8">
        <v>160000</v>
      </c>
      <c r="F7549" s="13" t="s">
        <v>70</v>
      </c>
      <c r="G7549" s="14">
        <v>44708</v>
      </c>
      <c r="H7549" s="13" t="s">
        <v>35</v>
      </c>
    </row>
    <row r="7550" spans="1:8" ht="14.4" x14ac:dyDescent="0.3">
      <c r="A7550" s="8">
        <v>2041160</v>
      </c>
      <c r="B7550" s="11">
        <v>44693</v>
      </c>
      <c r="C7550" s="13" t="s">
        <v>9416</v>
      </c>
      <c r="D7550" s="13" t="s">
        <v>9417</v>
      </c>
      <c r="E7550" s="8">
        <v>8000</v>
      </c>
      <c r="F7550" s="13" t="s">
        <v>70</v>
      </c>
      <c r="G7550" s="14">
        <v>44712</v>
      </c>
      <c r="H7550" s="13" t="s">
        <v>35</v>
      </c>
    </row>
    <row r="7551" spans="1:8" ht="14.4" x14ac:dyDescent="0.3">
      <c r="A7551" s="8">
        <v>2041161</v>
      </c>
      <c r="B7551" s="11">
        <v>44693</v>
      </c>
      <c r="C7551" s="13" t="s">
        <v>9418</v>
      </c>
      <c r="D7551" s="13" t="s">
        <v>9419</v>
      </c>
      <c r="E7551" s="8">
        <v>10000</v>
      </c>
      <c r="F7551" s="13" t="s">
        <v>70</v>
      </c>
      <c r="G7551" s="14">
        <v>44739</v>
      </c>
      <c r="H7551" s="13" t="s">
        <v>35</v>
      </c>
    </row>
    <row r="7552" spans="1:8" ht="14.4" x14ac:dyDescent="0.3">
      <c r="A7552" s="8">
        <v>2041162</v>
      </c>
      <c r="B7552" s="11">
        <v>44693</v>
      </c>
      <c r="C7552" s="13" t="s">
        <v>2512</v>
      </c>
      <c r="D7552" s="13" t="s">
        <v>9420</v>
      </c>
      <c r="E7552" s="8">
        <v>10000</v>
      </c>
      <c r="F7552" s="13" t="s">
        <v>70</v>
      </c>
      <c r="G7552" s="14">
        <v>44708</v>
      </c>
      <c r="H7552" s="13" t="s">
        <v>35</v>
      </c>
    </row>
    <row r="7553" spans="1:8" ht="14.4" x14ac:dyDescent="0.3">
      <c r="A7553" s="8">
        <v>2041163</v>
      </c>
      <c r="B7553" s="11">
        <v>44693</v>
      </c>
      <c r="C7553" s="13" t="s">
        <v>9421</v>
      </c>
      <c r="D7553" s="13" t="s">
        <v>9422</v>
      </c>
      <c r="E7553" s="8">
        <v>18000</v>
      </c>
      <c r="F7553" s="13" t="s">
        <v>70</v>
      </c>
      <c r="G7553" s="14">
        <v>44697</v>
      </c>
      <c r="H7553" s="13" t="s">
        <v>35</v>
      </c>
    </row>
    <row r="7554" spans="1:8" ht="14.4" x14ac:dyDescent="0.3">
      <c r="A7554" s="8">
        <v>2041164</v>
      </c>
      <c r="B7554" s="11">
        <v>44693</v>
      </c>
      <c r="C7554" s="13" t="s">
        <v>9423</v>
      </c>
      <c r="D7554" s="13" t="s">
        <v>9424</v>
      </c>
      <c r="E7554" s="8">
        <v>8483</v>
      </c>
      <c r="F7554" s="13" t="s">
        <v>70</v>
      </c>
      <c r="G7554" s="14">
        <v>44700</v>
      </c>
      <c r="H7554" s="13" t="s">
        <v>35</v>
      </c>
    </row>
    <row r="7555" spans="1:8" ht="14.4" x14ac:dyDescent="0.3">
      <c r="A7555" s="8">
        <v>2041165</v>
      </c>
      <c r="B7555" s="11">
        <v>44693</v>
      </c>
      <c r="C7555" s="13" t="s">
        <v>9425</v>
      </c>
      <c r="D7555" s="13" t="s">
        <v>9426</v>
      </c>
      <c r="E7555" s="8">
        <v>8000</v>
      </c>
      <c r="F7555" s="13" t="s">
        <v>70</v>
      </c>
      <c r="G7555" s="14">
        <v>44700</v>
      </c>
      <c r="H7555" s="13" t="s">
        <v>35</v>
      </c>
    </row>
    <row r="7556" spans="1:8" ht="14.4" x14ac:dyDescent="0.3">
      <c r="A7556" s="8">
        <v>2041166</v>
      </c>
      <c r="B7556" s="11">
        <v>44693</v>
      </c>
      <c r="C7556" s="13" t="s">
        <v>9427</v>
      </c>
      <c r="D7556" s="13" t="s">
        <v>9428</v>
      </c>
      <c r="E7556" s="8">
        <v>12000</v>
      </c>
      <c r="F7556" s="13" t="s">
        <v>70</v>
      </c>
      <c r="G7556" s="14">
        <v>44698</v>
      </c>
      <c r="H7556" s="13" t="s">
        <v>35</v>
      </c>
    </row>
    <row r="7557" spans="1:8" ht="14.4" x14ac:dyDescent="0.3">
      <c r="A7557" s="8">
        <v>2041167</v>
      </c>
      <c r="B7557" s="11">
        <v>44693</v>
      </c>
      <c r="C7557" s="13" t="s">
        <v>7971</v>
      </c>
      <c r="D7557" s="13" t="s">
        <v>9429</v>
      </c>
      <c r="E7557" s="8">
        <v>50000</v>
      </c>
      <c r="F7557" s="13" t="s">
        <v>70</v>
      </c>
      <c r="G7557" s="14">
        <v>44700</v>
      </c>
      <c r="H7557" s="13" t="s">
        <v>35</v>
      </c>
    </row>
    <row r="7558" spans="1:8" ht="14.4" x14ac:dyDescent="0.3">
      <c r="A7558" s="8">
        <v>2041168</v>
      </c>
      <c r="B7558" s="11">
        <v>44693</v>
      </c>
      <c r="C7558" s="13" t="s">
        <v>9430</v>
      </c>
      <c r="D7558" s="13" t="s">
        <v>9431</v>
      </c>
      <c r="E7558" s="8">
        <v>50000</v>
      </c>
      <c r="F7558" s="13" t="s">
        <v>70</v>
      </c>
      <c r="G7558" s="14">
        <v>44707</v>
      </c>
      <c r="H7558" s="13" t="s">
        <v>35</v>
      </c>
    </row>
    <row r="7559" spans="1:8" ht="14.4" x14ac:dyDescent="0.3">
      <c r="A7559" s="8">
        <v>2041169</v>
      </c>
      <c r="B7559" s="11">
        <v>44693</v>
      </c>
      <c r="C7559" s="13" t="s">
        <v>9432</v>
      </c>
      <c r="D7559" s="13" t="s">
        <v>9433</v>
      </c>
      <c r="E7559" s="8">
        <v>20000</v>
      </c>
      <c r="F7559" s="13" t="s">
        <v>70</v>
      </c>
      <c r="G7559" s="14">
        <v>44698</v>
      </c>
      <c r="H7559" s="13" t="s">
        <v>35</v>
      </c>
    </row>
    <row r="7560" spans="1:8" ht="14.4" x14ac:dyDescent="0.3">
      <c r="A7560" s="8">
        <v>2041170</v>
      </c>
      <c r="B7560" s="11">
        <v>44693</v>
      </c>
      <c r="C7560" s="13" t="s">
        <v>9434</v>
      </c>
      <c r="D7560" s="13" t="s">
        <v>9435</v>
      </c>
      <c r="E7560" s="8">
        <v>14700</v>
      </c>
      <c r="F7560" s="13" t="s">
        <v>70</v>
      </c>
      <c r="G7560" s="14">
        <v>44704</v>
      </c>
      <c r="H7560" s="13" t="s">
        <v>35</v>
      </c>
    </row>
    <row r="7561" spans="1:8" ht="14.4" x14ac:dyDescent="0.3">
      <c r="A7561" s="8">
        <v>2041171</v>
      </c>
      <c r="B7561" s="11">
        <v>44693</v>
      </c>
      <c r="C7561" s="13" t="s">
        <v>9436</v>
      </c>
      <c r="D7561" s="13" t="s">
        <v>9437</v>
      </c>
      <c r="E7561" s="8">
        <v>7000</v>
      </c>
      <c r="F7561" s="13" t="s">
        <v>70</v>
      </c>
      <c r="G7561" s="14">
        <v>44704</v>
      </c>
      <c r="H7561" s="13" t="s">
        <v>35</v>
      </c>
    </row>
    <row r="7562" spans="1:8" ht="14.4" x14ac:dyDescent="0.3">
      <c r="A7562" s="8">
        <v>2041172</v>
      </c>
      <c r="B7562" s="11">
        <v>44693</v>
      </c>
      <c r="C7562" s="13" t="s">
        <v>9438</v>
      </c>
      <c r="D7562" s="13" t="s">
        <v>9439</v>
      </c>
      <c r="E7562" s="8">
        <v>10000</v>
      </c>
      <c r="F7562" s="13" t="s">
        <v>70</v>
      </c>
      <c r="G7562" s="14">
        <v>44707</v>
      </c>
      <c r="H7562" s="13" t="s">
        <v>35</v>
      </c>
    </row>
    <row r="7563" spans="1:8" ht="14.4" x14ac:dyDescent="0.3">
      <c r="A7563" s="8">
        <v>2041173</v>
      </c>
      <c r="B7563" s="11">
        <v>44693</v>
      </c>
      <c r="C7563" s="13" t="s">
        <v>9440</v>
      </c>
      <c r="D7563" s="13" t="s">
        <v>9441</v>
      </c>
      <c r="E7563" s="8">
        <v>50000</v>
      </c>
      <c r="F7563" s="13" t="s">
        <v>70</v>
      </c>
      <c r="G7563" s="14">
        <v>44701</v>
      </c>
      <c r="H7563" s="13" t="s">
        <v>35</v>
      </c>
    </row>
    <row r="7564" spans="1:8" ht="14.4" x14ac:dyDescent="0.3">
      <c r="A7564" s="8">
        <v>2041174</v>
      </c>
      <c r="B7564" s="11">
        <v>44693</v>
      </c>
      <c r="C7564" s="13" t="s">
        <v>9442</v>
      </c>
      <c r="D7564" s="13" t="s">
        <v>9443</v>
      </c>
      <c r="E7564" s="8">
        <v>8000</v>
      </c>
      <c r="F7564" s="13" t="s">
        <v>70</v>
      </c>
      <c r="G7564" s="14">
        <v>44700</v>
      </c>
      <c r="H7564" s="13" t="s">
        <v>35</v>
      </c>
    </row>
    <row r="7565" spans="1:8" ht="14.4" x14ac:dyDescent="0.3">
      <c r="A7565" s="8">
        <v>2041175</v>
      </c>
      <c r="B7565" s="11">
        <v>44693</v>
      </c>
      <c r="C7565" s="13" t="s">
        <v>9444</v>
      </c>
      <c r="D7565" s="13" t="s">
        <v>9445</v>
      </c>
      <c r="E7565" s="8">
        <v>11000</v>
      </c>
      <c r="F7565" s="13" t="s">
        <v>70</v>
      </c>
      <c r="G7565" s="14">
        <v>44700</v>
      </c>
      <c r="H7565" s="13" t="s">
        <v>35</v>
      </c>
    </row>
    <row r="7566" spans="1:8" ht="14.4" x14ac:dyDescent="0.3">
      <c r="A7566" s="8">
        <v>2041176</v>
      </c>
      <c r="B7566" s="11">
        <v>44693</v>
      </c>
      <c r="C7566" s="13" t="s">
        <v>9446</v>
      </c>
      <c r="D7566" s="13" t="s">
        <v>9447</v>
      </c>
      <c r="E7566" s="8">
        <v>15000</v>
      </c>
      <c r="F7566" s="13" t="s">
        <v>70</v>
      </c>
      <c r="G7566" s="14">
        <v>44700</v>
      </c>
      <c r="H7566" s="13" t="s">
        <v>35</v>
      </c>
    </row>
    <row r="7567" spans="1:8" ht="14.4" x14ac:dyDescent="0.3">
      <c r="A7567" s="8">
        <v>2041177</v>
      </c>
      <c r="B7567" s="11">
        <v>44693</v>
      </c>
      <c r="C7567" s="13" t="s">
        <v>9448</v>
      </c>
      <c r="D7567" s="13" t="s">
        <v>9449</v>
      </c>
      <c r="E7567" s="8">
        <v>30000</v>
      </c>
      <c r="F7567" s="13" t="s">
        <v>70</v>
      </c>
      <c r="G7567" s="14">
        <v>44699</v>
      </c>
      <c r="H7567" s="13" t="s">
        <v>35</v>
      </c>
    </row>
    <row r="7568" spans="1:8" ht="14.4" x14ac:dyDescent="0.3">
      <c r="A7568" s="8">
        <v>2041178</v>
      </c>
      <c r="B7568" s="11">
        <v>44693</v>
      </c>
      <c r="C7568" s="13" t="s">
        <v>9450</v>
      </c>
      <c r="D7568" s="13" t="s">
        <v>9451</v>
      </c>
      <c r="E7568" s="8">
        <v>17000</v>
      </c>
      <c r="F7568" s="13" t="s">
        <v>70</v>
      </c>
      <c r="G7568" s="14">
        <v>44705</v>
      </c>
      <c r="H7568" s="13" t="s">
        <v>35</v>
      </c>
    </row>
    <row r="7569" spans="1:8" ht="14.4" x14ac:dyDescent="0.3">
      <c r="A7569" s="8">
        <v>2041179</v>
      </c>
      <c r="B7569" s="11">
        <v>44693</v>
      </c>
      <c r="C7569" s="13" t="s">
        <v>9452</v>
      </c>
      <c r="D7569" s="13" t="s">
        <v>9453</v>
      </c>
      <c r="E7569" s="8">
        <v>11000</v>
      </c>
      <c r="F7569" s="13" t="s">
        <v>70</v>
      </c>
      <c r="G7569" s="14">
        <v>44700</v>
      </c>
      <c r="H7569" s="13" t="s">
        <v>35</v>
      </c>
    </row>
    <row r="7570" spans="1:8" ht="14.4" x14ac:dyDescent="0.3">
      <c r="A7570" s="8">
        <v>2041180</v>
      </c>
      <c r="B7570" s="11">
        <v>44693</v>
      </c>
      <c r="C7570" s="13" t="s">
        <v>9454</v>
      </c>
      <c r="D7570" s="13" t="s">
        <v>9455</v>
      </c>
      <c r="E7570" s="8">
        <v>10000</v>
      </c>
      <c r="F7570" s="13" t="s">
        <v>70</v>
      </c>
      <c r="G7570" s="14">
        <v>44700</v>
      </c>
      <c r="H7570" s="13" t="s">
        <v>35</v>
      </c>
    </row>
    <row r="7571" spans="1:8" ht="14.4" x14ac:dyDescent="0.3">
      <c r="A7571" s="8">
        <v>2041181</v>
      </c>
      <c r="B7571" s="11">
        <v>44693</v>
      </c>
      <c r="C7571" s="13" t="s">
        <v>9456</v>
      </c>
      <c r="D7571" s="13" t="s">
        <v>9457</v>
      </c>
      <c r="E7571" s="8">
        <v>10000</v>
      </c>
      <c r="F7571" s="13" t="s">
        <v>70</v>
      </c>
      <c r="G7571" s="14">
        <v>44700</v>
      </c>
      <c r="H7571" s="13" t="s">
        <v>35</v>
      </c>
    </row>
    <row r="7572" spans="1:8" ht="14.4" x14ac:dyDescent="0.3">
      <c r="A7572" s="8">
        <v>2041182</v>
      </c>
      <c r="B7572" s="11">
        <v>44693</v>
      </c>
      <c r="C7572" s="13" t="s">
        <v>9458</v>
      </c>
      <c r="D7572" s="13" t="s">
        <v>9459</v>
      </c>
      <c r="E7572" s="8">
        <v>50000</v>
      </c>
      <c r="F7572" s="13" t="s">
        <v>70</v>
      </c>
      <c r="G7572" s="14">
        <v>44700</v>
      </c>
      <c r="H7572" s="13" t="s">
        <v>35</v>
      </c>
    </row>
    <row r="7573" spans="1:8" ht="14.4" x14ac:dyDescent="0.3">
      <c r="A7573" s="8">
        <v>2041183</v>
      </c>
      <c r="B7573" s="11">
        <v>44693</v>
      </c>
      <c r="C7573" s="13" t="s">
        <v>9460</v>
      </c>
      <c r="D7573" s="13" t="s">
        <v>9461</v>
      </c>
      <c r="E7573" s="8">
        <v>18000</v>
      </c>
      <c r="F7573" s="13" t="s">
        <v>70</v>
      </c>
      <c r="G7573" s="14">
        <v>44697</v>
      </c>
      <c r="H7573" s="13" t="s">
        <v>35</v>
      </c>
    </row>
    <row r="7574" spans="1:8" ht="14.4" x14ac:dyDescent="0.3">
      <c r="A7574" s="8">
        <v>2041184</v>
      </c>
      <c r="B7574" s="11">
        <v>44693</v>
      </c>
      <c r="C7574" s="13" t="s">
        <v>9462</v>
      </c>
      <c r="D7574" s="13" t="s">
        <v>9463</v>
      </c>
      <c r="E7574" s="8">
        <v>10000</v>
      </c>
      <c r="F7574" s="13" t="s">
        <v>70</v>
      </c>
      <c r="G7574" s="14">
        <v>44700</v>
      </c>
      <c r="H7574" s="13" t="s">
        <v>35</v>
      </c>
    </row>
    <row r="7575" spans="1:8" ht="14.4" x14ac:dyDescent="0.3">
      <c r="A7575" s="8">
        <v>2041185</v>
      </c>
      <c r="B7575" s="11">
        <v>44693</v>
      </c>
      <c r="C7575" s="13" t="s">
        <v>9464</v>
      </c>
      <c r="D7575" s="13" t="s">
        <v>9465</v>
      </c>
      <c r="E7575" s="8">
        <v>19000</v>
      </c>
      <c r="F7575" s="13" t="s">
        <v>70</v>
      </c>
      <c r="G7575" s="14">
        <v>44700</v>
      </c>
      <c r="H7575" s="13" t="s">
        <v>35</v>
      </c>
    </row>
    <row r="7576" spans="1:8" ht="14.4" x14ac:dyDescent="0.3">
      <c r="A7576" s="8">
        <v>2041186</v>
      </c>
      <c r="B7576" s="11">
        <v>44693</v>
      </c>
      <c r="C7576" s="13" t="s">
        <v>9466</v>
      </c>
      <c r="D7576" s="13" t="s">
        <v>9467</v>
      </c>
      <c r="E7576" s="8">
        <v>17000</v>
      </c>
      <c r="F7576" s="13" t="s">
        <v>70</v>
      </c>
      <c r="G7576" s="14">
        <v>44708</v>
      </c>
      <c r="H7576" s="13" t="s">
        <v>35</v>
      </c>
    </row>
    <row r="7577" spans="1:8" ht="14.4" x14ac:dyDescent="0.3">
      <c r="A7577" s="8">
        <v>2041187</v>
      </c>
      <c r="B7577" s="11">
        <v>44693</v>
      </c>
      <c r="C7577" s="13" t="s">
        <v>9468</v>
      </c>
      <c r="D7577" s="13" t="s">
        <v>9469</v>
      </c>
      <c r="E7577" s="8">
        <v>10000</v>
      </c>
      <c r="F7577" s="13" t="s">
        <v>70</v>
      </c>
      <c r="G7577" s="14">
        <v>44699</v>
      </c>
      <c r="H7577" s="13" t="s">
        <v>35</v>
      </c>
    </row>
    <row r="7578" spans="1:8" ht="14.4" x14ac:dyDescent="0.3">
      <c r="A7578" s="8">
        <v>2041188</v>
      </c>
      <c r="B7578" s="11">
        <v>44693</v>
      </c>
      <c r="C7578" s="13" t="s">
        <v>9470</v>
      </c>
      <c r="D7578" s="13" t="s">
        <v>9471</v>
      </c>
      <c r="E7578" s="8">
        <v>50000</v>
      </c>
      <c r="F7578" s="13" t="s">
        <v>70</v>
      </c>
      <c r="G7578" s="14">
        <v>44698</v>
      </c>
      <c r="H7578" s="13" t="s">
        <v>35</v>
      </c>
    </row>
    <row r="7579" spans="1:8" ht="14.4" x14ac:dyDescent="0.3">
      <c r="A7579" s="8">
        <v>2041189</v>
      </c>
      <c r="B7579" s="11">
        <v>44693</v>
      </c>
      <c r="C7579" s="13" t="s">
        <v>9472</v>
      </c>
      <c r="D7579" s="13" t="s">
        <v>9473</v>
      </c>
      <c r="E7579" s="8">
        <v>10000</v>
      </c>
      <c r="F7579" s="13" t="s">
        <v>70</v>
      </c>
      <c r="G7579" s="14">
        <v>44701</v>
      </c>
      <c r="H7579" s="13" t="s">
        <v>35</v>
      </c>
    </row>
    <row r="7580" spans="1:8" ht="14.4" x14ac:dyDescent="0.3">
      <c r="A7580" s="8">
        <v>2041190</v>
      </c>
      <c r="B7580" s="11">
        <v>44693</v>
      </c>
      <c r="C7580" s="13" t="s">
        <v>9474</v>
      </c>
      <c r="D7580" s="13" t="s">
        <v>9475</v>
      </c>
      <c r="E7580" s="8">
        <v>7000</v>
      </c>
      <c r="F7580" s="13" t="s">
        <v>70</v>
      </c>
      <c r="G7580" s="14">
        <v>44701</v>
      </c>
      <c r="H7580" s="13" t="s">
        <v>35</v>
      </c>
    </row>
    <row r="7581" spans="1:8" ht="14.4" x14ac:dyDescent="0.3">
      <c r="A7581" s="8">
        <v>2041191</v>
      </c>
      <c r="B7581" s="11">
        <v>44693</v>
      </c>
      <c r="C7581" s="13" t="s">
        <v>9476</v>
      </c>
      <c r="D7581" s="13" t="s">
        <v>9477</v>
      </c>
      <c r="E7581" s="8">
        <v>20000</v>
      </c>
      <c r="F7581" s="13" t="s">
        <v>70</v>
      </c>
      <c r="G7581" s="14">
        <v>44701</v>
      </c>
      <c r="H7581" s="13" t="s">
        <v>35</v>
      </c>
    </row>
    <row r="7582" spans="1:8" ht="14.4" x14ac:dyDescent="0.3">
      <c r="A7582" s="8">
        <v>2041192</v>
      </c>
      <c r="B7582" s="11">
        <v>44693</v>
      </c>
      <c r="C7582" s="13" t="s">
        <v>9478</v>
      </c>
      <c r="D7582" s="13" t="s">
        <v>9479</v>
      </c>
      <c r="E7582" s="8">
        <v>7000</v>
      </c>
      <c r="F7582" s="13" t="s">
        <v>70</v>
      </c>
      <c r="G7582" s="14">
        <v>44700</v>
      </c>
      <c r="H7582" s="13" t="s">
        <v>35</v>
      </c>
    </row>
    <row r="7583" spans="1:8" ht="14.4" x14ac:dyDescent="0.3">
      <c r="A7583" s="8">
        <v>2041193</v>
      </c>
      <c r="B7583" s="11">
        <v>44693</v>
      </c>
      <c r="C7583" s="13" t="s">
        <v>3598</v>
      </c>
      <c r="D7583" s="13" t="s">
        <v>9480</v>
      </c>
      <c r="E7583" s="8">
        <v>26000</v>
      </c>
      <c r="F7583" s="13" t="s">
        <v>70</v>
      </c>
      <c r="G7583" s="14">
        <v>44697</v>
      </c>
      <c r="H7583" s="13" t="s">
        <v>35</v>
      </c>
    </row>
    <row r="7584" spans="1:8" ht="14.4" x14ac:dyDescent="0.3">
      <c r="A7584" s="8">
        <v>2041194</v>
      </c>
      <c r="B7584" s="11">
        <v>44693</v>
      </c>
      <c r="C7584" s="13" t="s">
        <v>9481</v>
      </c>
      <c r="D7584" s="13" t="s">
        <v>9482</v>
      </c>
      <c r="E7584" s="8">
        <v>7000</v>
      </c>
      <c r="F7584" s="13" t="s">
        <v>70</v>
      </c>
      <c r="G7584" s="14">
        <v>44699</v>
      </c>
      <c r="H7584" s="13" t="s">
        <v>35</v>
      </c>
    </row>
    <row r="7585" spans="1:8" ht="14.4" x14ac:dyDescent="0.3">
      <c r="A7585" s="8">
        <v>2041195</v>
      </c>
      <c r="B7585" s="11">
        <v>44693</v>
      </c>
      <c r="C7585" s="13" t="s">
        <v>9483</v>
      </c>
      <c r="D7585" s="13" t="s">
        <v>9484</v>
      </c>
      <c r="E7585" s="8">
        <v>15000</v>
      </c>
      <c r="F7585" s="13" t="s">
        <v>70</v>
      </c>
      <c r="G7585" s="14">
        <v>44697</v>
      </c>
      <c r="H7585" s="13" t="s">
        <v>35</v>
      </c>
    </row>
    <row r="7586" spans="1:8" ht="14.4" x14ac:dyDescent="0.3">
      <c r="A7586" s="8">
        <v>2041196</v>
      </c>
      <c r="B7586" s="11">
        <v>44693</v>
      </c>
      <c r="C7586" s="13" t="s">
        <v>2038</v>
      </c>
      <c r="D7586" s="13" t="s">
        <v>9485</v>
      </c>
      <c r="E7586" s="8">
        <v>8000</v>
      </c>
      <c r="F7586" s="13" t="s">
        <v>70</v>
      </c>
      <c r="G7586" s="14">
        <v>44700</v>
      </c>
      <c r="H7586" s="13" t="s">
        <v>35</v>
      </c>
    </row>
    <row r="7587" spans="1:8" ht="14.4" x14ac:dyDescent="0.3">
      <c r="A7587" s="8">
        <v>2041197</v>
      </c>
      <c r="B7587" s="11">
        <v>44693</v>
      </c>
      <c r="C7587" s="13" t="s">
        <v>9486</v>
      </c>
      <c r="D7587" s="13" t="s">
        <v>9487</v>
      </c>
      <c r="E7587" s="8">
        <v>10000</v>
      </c>
      <c r="F7587" s="13" t="s">
        <v>70</v>
      </c>
      <c r="G7587" s="14">
        <v>44699</v>
      </c>
      <c r="H7587" s="13" t="s">
        <v>35</v>
      </c>
    </row>
    <row r="7588" spans="1:8" ht="14.4" x14ac:dyDescent="0.3">
      <c r="A7588" s="8">
        <v>2041198</v>
      </c>
      <c r="B7588" s="11">
        <v>44693</v>
      </c>
      <c r="C7588" s="13" t="s">
        <v>9488</v>
      </c>
      <c r="D7588" s="13" t="s">
        <v>9489</v>
      </c>
      <c r="E7588" s="8">
        <v>15000</v>
      </c>
      <c r="F7588" s="13" t="s">
        <v>70</v>
      </c>
      <c r="G7588" s="14">
        <v>44699</v>
      </c>
      <c r="H7588" s="13" t="s">
        <v>35</v>
      </c>
    </row>
    <row r="7589" spans="1:8" ht="14.4" x14ac:dyDescent="0.3">
      <c r="A7589" s="8">
        <v>2041199</v>
      </c>
      <c r="B7589" s="11">
        <v>44693</v>
      </c>
      <c r="C7589" s="13" t="s">
        <v>9490</v>
      </c>
      <c r="D7589" s="13" t="s">
        <v>9491</v>
      </c>
      <c r="E7589" s="8">
        <v>8500</v>
      </c>
      <c r="F7589" s="13" t="s">
        <v>70</v>
      </c>
      <c r="G7589" s="14">
        <v>44699</v>
      </c>
      <c r="H7589" s="13" t="s">
        <v>35</v>
      </c>
    </row>
    <row r="7590" spans="1:8" ht="14.4" x14ac:dyDescent="0.3">
      <c r="A7590" s="8">
        <v>2041200</v>
      </c>
      <c r="B7590" s="11">
        <v>44693</v>
      </c>
      <c r="C7590" s="13" t="s">
        <v>9492</v>
      </c>
      <c r="D7590" s="13" t="s">
        <v>9493</v>
      </c>
      <c r="E7590" s="8">
        <v>10000</v>
      </c>
      <c r="F7590" s="13" t="s">
        <v>70</v>
      </c>
      <c r="G7590" s="14">
        <v>44698</v>
      </c>
      <c r="H7590" s="13" t="s">
        <v>35</v>
      </c>
    </row>
    <row r="7591" spans="1:8" ht="14.4" x14ac:dyDescent="0.3">
      <c r="A7591" s="8">
        <v>2041201</v>
      </c>
      <c r="B7591" s="11">
        <v>44694</v>
      </c>
      <c r="C7591" s="13" t="s">
        <v>159</v>
      </c>
      <c r="D7591" s="13" t="s">
        <v>9494</v>
      </c>
      <c r="E7591" s="8">
        <v>207300</v>
      </c>
      <c r="F7591" s="13" t="s">
        <v>70</v>
      </c>
      <c r="G7591" s="14">
        <v>44694</v>
      </c>
      <c r="H7591" s="13" t="s">
        <v>35</v>
      </c>
    </row>
    <row r="7592" spans="1:8" ht="14.4" x14ac:dyDescent="0.3">
      <c r="A7592" s="8">
        <v>2041202</v>
      </c>
      <c r="B7592" s="11">
        <v>44694</v>
      </c>
      <c r="C7592" s="13" t="s">
        <v>275</v>
      </c>
      <c r="D7592" s="13" t="s">
        <v>1089</v>
      </c>
      <c r="E7592" s="8">
        <v>218692.18</v>
      </c>
      <c r="F7592" s="13" t="s">
        <v>70</v>
      </c>
      <c r="G7592" s="14">
        <v>44694</v>
      </c>
      <c r="H7592" s="13" t="s">
        <v>35</v>
      </c>
    </row>
    <row r="7593" spans="1:8" ht="14.4" x14ac:dyDescent="0.3">
      <c r="A7593" s="8">
        <v>2041203</v>
      </c>
      <c r="B7593" s="11">
        <v>44694</v>
      </c>
      <c r="C7593" s="13" t="s">
        <v>1286</v>
      </c>
      <c r="D7593" s="13" t="s">
        <v>9495</v>
      </c>
      <c r="E7593" s="8">
        <v>280106.56</v>
      </c>
      <c r="F7593" s="13" t="s">
        <v>70</v>
      </c>
      <c r="G7593" s="14">
        <v>44697</v>
      </c>
      <c r="H7593" s="13" t="s">
        <v>35</v>
      </c>
    </row>
    <row r="7594" spans="1:8" ht="14.4" x14ac:dyDescent="0.3">
      <c r="A7594" s="8">
        <v>2041204</v>
      </c>
      <c r="B7594" s="11">
        <v>44694</v>
      </c>
      <c r="C7594" s="13" t="s">
        <v>127</v>
      </c>
      <c r="D7594" s="13" t="s">
        <v>1724</v>
      </c>
      <c r="E7594" s="8">
        <v>15028.91</v>
      </c>
      <c r="F7594" s="13" t="s">
        <v>70</v>
      </c>
      <c r="G7594" s="14">
        <v>44699</v>
      </c>
      <c r="H7594" s="13" t="s">
        <v>35</v>
      </c>
    </row>
    <row r="7595" spans="1:8" ht="14.4" x14ac:dyDescent="0.3">
      <c r="A7595" s="8">
        <v>2041205</v>
      </c>
      <c r="B7595" s="11">
        <v>44694</v>
      </c>
      <c r="C7595" s="13" t="s">
        <v>1286</v>
      </c>
      <c r="D7595" s="13" t="s">
        <v>9496</v>
      </c>
      <c r="E7595" s="8">
        <v>16375.28</v>
      </c>
      <c r="F7595" s="13" t="s">
        <v>70</v>
      </c>
      <c r="G7595" s="14">
        <v>44697</v>
      </c>
      <c r="H7595" s="13" t="s">
        <v>35</v>
      </c>
    </row>
    <row r="7596" spans="1:8" ht="14.4" x14ac:dyDescent="0.3">
      <c r="A7596" s="8">
        <v>2041206</v>
      </c>
      <c r="B7596" s="11">
        <v>44694</v>
      </c>
      <c r="C7596" s="13" t="s">
        <v>9497</v>
      </c>
      <c r="D7596" s="13" t="s">
        <v>9498</v>
      </c>
      <c r="E7596" s="8">
        <v>14000</v>
      </c>
      <c r="F7596" s="13" t="s">
        <v>70</v>
      </c>
      <c r="G7596" s="14">
        <v>44708</v>
      </c>
      <c r="H7596" s="13" t="s">
        <v>35</v>
      </c>
    </row>
    <row r="7597" spans="1:8" ht="14.4" x14ac:dyDescent="0.3">
      <c r="A7597" s="8">
        <v>2041207</v>
      </c>
      <c r="B7597" s="11">
        <v>44694</v>
      </c>
      <c r="C7597" s="13" t="s">
        <v>9497</v>
      </c>
      <c r="D7597" s="13" t="s">
        <v>9499</v>
      </c>
      <c r="E7597" s="8">
        <v>1500</v>
      </c>
      <c r="F7597" s="13" t="s">
        <v>70</v>
      </c>
      <c r="G7597" s="14">
        <v>44708</v>
      </c>
      <c r="H7597" s="13" t="s">
        <v>35</v>
      </c>
    </row>
    <row r="7598" spans="1:8" ht="14.4" x14ac:dyDescent="0.3">
      <c r="A7598" s="8">
        <v>2041208</v>
      </c>
      <c r="B7598" s="11">
        <v>44694</v>
      </c>
      <c r="C7598" s="13" t="s">
        <v>506</v>
      </c>
      <c r="D7598" s="13" t="s">
        <v>2000</v>
      </c>
      <c r="E7598" s="8">
        <v>131000</v>
      </c>
      <c r="F7598" s="13" t="s">
        <v>70</v>
      </c>
      <c r="G7598" s="14">
        <v>44708</v>
      </c>
      <c r="H7598" s="13" t="s">
        <v>35</v>
      </c>
    </row>
    <row r="7599" spans="1:8" ht="14.4" x14ac:dyDescent="0.3">
      <c r="A7599" s="8">
        <v>2041209</v>
      </c>
      <c r="B7599" s="11">
        <v>44694</v>
      </c>
      <c r="C7599" s="13" t="s">
        <v>506</v>
      </c>
      <c r="D7599" s="13" t="s">
        <v>9500</v>
      </c>
      <c r="E7599" s="8">
        <v>30000</v>
      </c>
      <c r="F7599" s="13" t="s">
        <v>70</v>
      </c>
      <c r="G7599" s="14">
        <v>44708</v>
      </c>
      <c r="H7599" s="13" t="s">
        <v>35</v>
      </c>
    </row>
    <row r="7600" spans="1:8" ht="14.4" x14ac:dyDescent="0.3">
      <c r="A7600" s="8">
        <v>2041210</v>
      </c>
      <c r="B7600" s="11">
        <v>44694</v>
      </c>
      <c r="C7600" s="13" t="s">
        <v>122</v>
      </c>
      <c r="D7600" s="13" t="s">
        <v>9501</v>
      </c>
      <c r="E7600" s="8">
        <v>18000</v>
      </c>
      <c r="F7600" s="13" t="s">
        <v>70</v>
      </c>
      <c r="G7600" s="14">
        <v>44708</v>
      </c>
      <c r="H7600" s="13" t="s">
        <v>35</v>
      </c>
    </row>
    <row r="7601" spans="1:8" ht="14.4" x14ac:dyDescent="0.3">
      <c r="A7601" s="8">
        <v>2041211</v>
      </c>
      <c r="B7601" s="11">
        <v>44694</v>
      </c>
      <c r="C7601" s="13" t="s">
        <v>9502</v>
      </c>
      <c r="D7601" s="13" t="s">
        <v>9503</v>
      </c>
      <c r="E7601" s="8">
        <v>20000</v>
      </c>
      <c r="F7601" s="13" t="s">
        <v>70</v>
      </c>
      <c r="G7601" s="14">
        <v>44711</v>
      </c>
      <c r="H7601" s="13" t="s">
        <v>35</v>
      </c>
    </row>
    <row r="7602" spans="1:8" ht="14.4" x14ac:dyDescent="0.3">
      <c r="A7602" s="8">
        <v>2041212</v>
      </c>
      <c r="B7602" s="11">
        <v>44694</v>
      </c>
      <c r="C7602" s="13" t="s">
        <v>9504</v>
      </c>
      <c r="D7602" s="13" t="s">
        <v>9505</v>
      </c>
      <c r="E7602" s="8">
        <v>40000</v>
      </c>
      <c r="F7602" s="13" t="s">
        <v>70</v>
      </c>
      <c r="G7602" s="14">
        <v>44698</v>
      </c>
      <c r="H7602" s="13" t="s">
        <v>35</v>
      </c>
    </row>
    <row r="7603" spans="1:8" ht="14.4" x14ac:dyDescent="0.3">
      <c r="A7603" s="8">
        <v>2041213</v>
      </c>
      <c r="B7603" s="11">
        <v>44694</v>
      </c>
      <c r="C7603" s="13" t="s">
        <v>9506</v>
      </c>
      <c r="D7603" s="13" t="s">
        <v>9507</v>
      </c>
      <c r="E7603" s="8">
        <v>22000</v>
      </c>
      <c r="F7603" s="13" t="s">
        <v>70</v>
      </c>
      <c r="G7603" s="14">
        <v>44711</v>
      </c>
      <c r="H7603" s="13" t="s">
        <v>35</v>
      </c>
    </row>
    <row r="7604" spans="1:8" ht="14.4" x14ac:dyDescent="0.3">
      <c r="A7604" s="8">
        <v>2041214</v>
      </c>
      <c r="B7604" s="11">
        <v>44694</v>
      </c>
      <c r="C7604" s="13" t="s">
        <v>9508</v>
      </c>
      <c r="D7604" s="13" t="s">
        <v>9509</v>
      </c>
      <c r="E7604" s="8">
        <v>19000</v>
      </c>
      <c r="F7604" s="13" t="s">
        <v>70</v>
      </c>
      <c r="G7604" s="14">
        <v>44713</v>
      </c>
      <c r="H7604" s="13" t="s">
        <v>35</v>
      </c>
    </row>
    <row r="7605" spans="1:8" ht="14.4" x14ac:dyDescent="0.3">
      <c r="A7605" s="8">
        <v>2041215</v>
      </c>
      <c r="B7605" s="11">
        <v>44694</v>
      </c>
      <c r="C7605" s="13" t="s">
        <v>9510</v>
      </c>
      <c r="D7605" s="13" t="s">
        <v>9511</v>
      </c>
      <c r="E7605" s="8">
        <v>10000</v>
      </c>
      <c r="F7605" s="13" t="s">
        <v>70</v>
      </c>
      <c r="G7605" s="14">
        <v>44735</v>
      </c>
      <c r="H7605" s="13" t="s">
        <v>35</v>
      </c>
    </row>
    <row r="7606" spans="1:8" ht="14.4" x14ac:dyDescent="0.3">
      <c r="A7606" s="8">
        <v>2041216</v>
      </c>
      <c r="B7606" s="11">
        <v>44694</v>
      </c>
      <c r="C7606" s="13" t="s">
        <v>9512</v>
      </c>
      <c r="D7606" s="13" t="s">
        <v>9513</v>
      </c>
      <c r="E7606" s="8">
        <v>12000</v>
      </c>
      <c r="F7606" s="13" t="s">
        <v>70</v>
      </c>
      <c r="G7606" s="14">
        <v>44700</v>
      </c>
      <c r="H7606" s="13" t="s">
        <v>35</v>
      </c>
    </row>
    <row r="7607" spans="1:8" ht="14.4" x14ac:dyDescent="0.3">
      <c r="A7607" s="8">
        <v>2041217</v>
      </c>
      <c r="B7607" s="11">
        <v>44694</v>
      </c>
      <c r="C7607" s="13" t="s">
        <v>9514</v>
      </c>
      <c r="D7607" s="13" t="s">
        <v>9515</v>
      </c>
      <c r="E7607" s="8">
        <v>10000</v>
      </c>
      <c r="F7607" s="13" t="s">
        <v>70</v>
      </c>
      <c r="G7607" s="14">
        <v>44699</v>
      </c>
      <c r="H7607" s="13" t="s">
        <v>35</v>
      </c>
    </row>
    <row r="7608" spans="1:8" ht="14.4" x14ac:dyDescent="0.3">
      <c r="A7608" s="8">
        <v>2041218</v>
      </c>
      <c r="B7608" s="11">
        <v>44694</v>
      </c>
      <c r="C7608" s="13" t="s">
        <v>9516</v>
      </c>
      <c r="D7608" s="13" t="s">
        <v>9517</v>
      </c>
      <c r="E7608" s="8">
        <v>20000</v>
      </c>
      <c r="F7608" s="13" t="s">
        <v>70</v>
      </c>
      <c r="G7608" s="14">
        <v>44699</v>
      </c>
      <c r="H7608" s="13" t="s">
        <v>35</v>
      </c>
    </row>
    <row r="7609" spans="1:8" ht="14.4" x14ac:dyDescent="0.3">
      <c r="A7609" s="8">
        <v>2041219</v>
      </c>
      <c r="B7609" s="11">
        <v>44694</v>
      </c>
      <c r="C7609" s="13" t="s">
        <v>9518</v>
      </c>
      <c r="D7609" s="13" t="s">
        <v>9519</v>
      </c>
      <c r="E7609" s="8">
        <v>10000</v>
      </c>
      <c r="F7609" s="13" t="s">
        <v>70</v>
      </c>
      <c r="G7609" s="14">
        <v>44700</v>
      </c>
      <c r="H7609" s="13" t="s">
        <v>35</v>
      </c>
    </row>
    <row r="7610" spans="1:8" ht="14.4" x14ac:dyDescent="0.3">
      <c r="A7610" s="8">
        <v>2041220</v>
      </c>
      <c r="B7610" s="11">
        <v>44694</v>
      </c>
      <c r="C7610" s="13" t="s">
        <v>823</v>
      </c>
      <c r="D7610" s="13" t="s">
        <v>9520</v>
      </c>
      <c r="E7610" s="8">
        <v>24000</v>
      </c>
      <c r="F7610" s="13" t="s">
        <v>70</v>
      </c>
      <c r="G7610" s="14">
        <v>44699</v>
      </c>
      <c r="H7610" s="13" t="s">
        <v>35</v>
      </c>
    </row>
    <row r="7611" spans="1:8" ht="14.4" x14ac:dyDescent="0.3">
      <c r="A7611" s="8">
        <v>2041221</v>
      </c>
      <c r="B7611" s="11">
        <v>44694</v>
      </c>
      <c r="C7611" s="13" t="s">
        <v>9521</v>
      </c>
      <c r="D7611" s="13" t="s">
        <v>9522</v>
      </c>
      <c r="E7611" s="8">
        <v>50000</v>
      </c>
      <c r="F7611" s="13" t="s">
        <v>70</v>
      </c>
      <c r="G7611" s="14">
        <v>44700</v>
      </c>
      <c r="H7611" s="13" t="s">
        <v>35</v>
      </c>
    </row>
    <row r="7612" spans="1:8" ht="14.4" x14ac:dyDescent="0.3">
      <c r="A7612" s="8">
        <v>2041222</v>
      </c>
      <c r="B7612" s="11">
        <v>44694</v>
      </c>
      <c r="C7612" s="13" t="s">
        <v>9523</v>
      </c>
      <c r="D7612" s="13" t="s">
        <v>9524</v>
      </c>
      <c r="E7612" s="8">
        <v>15000</v>
      </c>
      <c r="F7612" s="13" t="s">
        <v>70</v>
      </c>
      <c r="G7612" s="14">
        <v>44699</v>
      </c>
      <c r="H7612" s="13" t="s">
        <v>35</v>
      </c>
    </row>
    <row r="7613" spans="1:8" ht="14.4" x14ac:dyDescent="0.3">
      <c r="A7613" s="8">
        <v>2041223</v>
      </c>
      <c r="B7613" s="11">
        <v>44694</v>
      </c>
      <c r="C7613" s="13" t="s">
        <v>9525</v>
      </c>
      <c r="D7613" s="13" t="s">
        <v>9526</v>
      </c>
      <c r="E7613" s="8">
        <v>14000</v>
      </c>
      <c r="F7613" s="13" t="s">
        <v>70</v>
      </c>
      <c r="G7613" s="14">
        <v>44704</v>
      </c>
      <c r="H7613" s="13" t="s">
        <v>35</v>
      </c>
    </row>
    <row r="7614" spans="1:8" ht="14.4" x14ac:dyDescent="0.3">
      <c r="A7614" s="8">
        <v>2041224</v>
      </c>
      <c r="B7614" s="11">
        <v>44694</v>
      </c>
      <c r="C7614" s="13" t="s">
        <v>9527</v>
      </c>
      <c r="D7614" s="13" t="s">
        <v>9528</v>
      </c>
      <c r="E7614" s="8">
        <v>20000</v>
      </c>
      <c r="F7614" s="13" t="s">
        <v>70</v>
      </c>
      <c r="G7614" s="14">
        <v>44701</v>
      </c>
      <c r="H7614" s="13" t="s">
        <v>35</v>
      </c>
    </row>
    <row r="7615" spans="1:8" ht="14.4" x14ac:dyDescent="0.3">
      <c r="A7615" s="8">
        <v>2041225</v>
      </c>
      <c r="B7615" s="11">
        <v>44694</v>
      </c>
      <c r="C7615" s="13" t="s">
        <v>9529</v>
      </c>
      <c r="D7615" s="13" t="s">
        <v>9530</v>
      </c>
      <c r="E7615" s="8">
        <v>10000</v>
      </c>
      <c r="F7615" s="13" t="s">
        <v>70</v>
      </c>
      <c r="G7615" s="14">
        <v>44700</v>
      </c>
      <c r="H7615" s="13" t="s">
        <v>35</v>
      </c>
    </row>
    <row r="7616" spans="1:8" ht="14.4" x14ac:dyDescent="0.3">
      <c r="A7616" s="8">
        <v>2041226</v>
      </c>
      <c r="B7616" s="11">
        <v>44694</v>
      </c>
      <c r="C7616" s="13" t="s">
        <v>9531</v>
      </c>
      <c r="D7616" s="13" t="s">
        <v>9532</v>
      </c>
      <c r="E7616" s="8">
        <v>12000</v>
      </c>
      <c r="F7616" s="13" t="s">
        <v>70</v>
      </c>
      <c r="G7616" s="14">
        <v>44700</v>
      </c>
      <c r="H7616" s="13" t="s">
        <v>35</v>
      </c>
    </row>
    <row r="7617" spans="1:8" ht="14.4" x14ac:dyDescent="0.3">
      <c r="A7617" s="8">
        <v>2041227</v>
      </c>
      <c r="B7617" s="11">
        <v>44694</v>
      </c>
      <c r="C7617" s="13" t="s">
        <v>9533</v>
      </c>
      <c r="D7617" s="13" t="s">
        <v>9534</v>
      </c>
      <c r="E7617" s="8">
        <v>8000</v>
      </c>
      <c r="F7617" s="13" t="s">
        <v>70</v>
      </c>
      <c r="G7617" s="14">
        <v>44699</v>
      </c>
      <c r="H7617" s="13" t="s">
        <v>35</v>
      </c>
    </row>
    <row r="7618" spans="1:8" ht="14.4" x14ac:dyDescent="0.3">
      <c r="A7618" s="8">
        <v>2041228</v>
      </c>
      <c r="B7618" s="11">
        <v>44694</v>
      </c>
      <c r="C7618" s="13" t="s">
        <v>9535</v>
      </c>
      <c r="D7618" s="13" t="s">
        <v>9536</v>
      </c>
      <c r="E7618" s="8">
        <v>15000</v>
      </c>
      <c r="F7618" s="13" t="s">
        <v>70</v>
      </c>
      <c r="G7618" s="14">
        <v>44700</v>
      </c>
      <c r="H7618" s="13" t="s">
        <v>35</v>
      </c>
    </row>
    <row r="7619" spans="1:8" ht="14.4" x14ac:dyDescent="0.3">
      <c r="A7619" s="8">
        <v>2041229</v>
      </c>
      <c r="B7619" s="11">
        <v>44694</v>
      </c>
      <c r="C7619" s="13" t="s">
        <v>9537</v>
      </c>
      <c r="D7619" s="13" t="s">
        <v>9538</v>
      </c>
      <c r="E7619" s="8">
        <v>30000</v>
      </c>
      <c r="F7619" s="13" t="s">
        <v>70</v>
      </c>
      <c r="G7619" s="14">
        <v>44699</v>
      </c>
      <c r="H7619" s="13" t="s">
        <v>35</v>
      </c>
    </row>
    <row r="7620" spans="1:8" ht="14.4" x14ac:dyDescent="0.3">
      <c r="A7620" s="8">
        <v>2041230</v>
      </c>
      <c r="B7620" s="11">
        <v>44694</v>
      </c>
      <c r="C7620" s="13" t="s">
        <v>188</v>
      </c>
      <c r="D7620" s="13" t="s">
        <v>9539</v>
      </c>
      <c r="E7620" s="8">
        <v>77856</v>
      </c>
      <c r="F7620" s="13" t="s">
        <v>70</v>
      </c>
      <c r="G7620" s="14">
        <v>44697</v>
      </c>
      <c r="H7620" s="13" t="s">
        <v>35</v>
      </c>
    </row>
    <row r="7621" spans="1:8" ht="14.4" x14ac:dyDescent="0.3">
      <c r="A7621" s="8">
        <v>2041231</v>
      </c>
      <c r="B7621" s="11">
        <v>44694</v>
      </c>
      <c r="C7621" s="13" t="s">
        <v>188</v>
      </c>
      <c r="D7621" s="13" t="s">
        <v>9540</v>
      </c>
      <c r="E7621" s="8">
        <v>1200</v>
      </c>
      <c r="F7621" s="13" t="s">
        <v>70</v>
      </c>
      <c r="G7621" s="14">
        <v>44697</v>
      </c>
      <c r="H7621" s="13" t="s">
        <v>35</v>
      </c>
    </row>
    <row r="7622" spans="1:8" ht="14.4" x14ac:dyDescent="0.3">
      <c r="A7622" s="8">
        <v>2041232</v>
      </c>
      <c r="B7622" s="11">
        <v>44694</v>
      </c>
      <c r="C7622" s="13" t="s">
        <v>188</v>
      </c>
      <c r="D7622" s="13" t="s">
        <v>9541</v>
      </c>
      <c r="E7622" s="8">
        <v>1200</v>
      </c>
      <c r="F7622" s="13" t="s">
        <v>70</v>
      </c>
      <c r="G7622" s="14">
        <v>44697</v>
      </c>
      <c r="H7622" s="13" t="s">
        <v>35</v>
      </c>
    </row>
    <row r="7623" spans="1:8" ht="14.4" x14ac:dyDescent="0.3">
      <c r="A7623" s="8">
        <v>2041233</v>
      </c>
      <c r="B7623" s="11">
        <v>44694</v>
      </c>
      <c r="C7623" s="13" t="s">
        <v>9542</v>
      </c>
      <c r="D7623" s="13" t="s">
        <v>9543</v>
      </c>
      <c r="E7623" s="8">
        <v>10000</v>
      </c>
      <c r="F7623" s="13" t="s">
        <v>70</v>
      </c>
      <c r="G7623" s="14">
        <v>44700</v>
      </c>
      <c r="H7623" s="13" t="s">
        <v>35</v>
      </c>
    </row>
    <row r="7624" spans="1:8" ht="14.4" x14ac:dyDescent="0.3">
      <c r="A7624" s="8">
        <v>2041234</v>
      </c>
      <c r="B7624" s="11">
        <v>44694</v>
      </c>
      <c r="C7624" s="13" t="s">
        <v>9544</v>
      </c>
      <c r="D7624" s="13" t="s">
        <v>9545</v>
      </c>
      <c r="E7624" s="8">
        <v>8000</v>
      </c>
      <c r="F7624" s="13" t="s">
        <v>70</v>
      </c>
      <c r="G7624" s="14">
        <v>44706</v>
      </c>
      <c r="H7624" s="13" t="s">
        <v>35</v>
      </c>
    </row>
    <row r="7625" spans="1:8" ht="14.4" x14ac:dyDescent="0.3">
      <c r="A7625" s="8">
        <v>2041235</v>
      </c>
      <c r="B7625" s="11">
        <v>44694</v>
      </c>
      <c r="C7625" s="13" t="s">
        <v>9546</v>
      </c>
      <c r="D7625" s="13" t="s">
        <v>9547</v>
      </c>
      <c r="E7625" s="8">
        <v>50000</v>
      </c>
      <c r="F7625" s="13" t="s">
        <v>70</v>
      </c>
      <c r="G7625" s="14">
        <v>44700</v>
      </c>
      <c r="H7625" s="13" t="s">
        <v>35</v>
      </c>
    </row>
    <row r="7626" spans="1:8" ht="14.4" x14ac:dyDescent="0.3">
      <c r="A7626" s="8">
        <v>2041236</v>
      </c>
      <c r="B7626" s="11">
        <v>44694</v>
      </c>
      <c r="C7626" s="13" t="s">
        <v>9548</v>
      </c>
      <c r="D7626" s="13" t="s">
        <v>9549</v>
      </c>
      <c r="E7626" s="8">
        <v>8000</v>
      </c>
      <c r="F7626" s="13" t="s">
        <v>70</v>
      </c>
      <c r="G7626" s="14">
        <v>44700</v>
      </c>
      <c r="H7626" s="13" t="s">
        <v>35</v>
      </c>
    </row>
    <row r="7627" spans="1:8" ht="14.4" x14ac:dyDescent="0.3">
      <c r="A7627" s="8">
        <v>2041237</v>
      </c>
      <c r="B7627" s="11">
        <v>44694</v>
      </c>
      <c r="C7627" s="13" t="s">
        <v>9550</v>
      </c>
      <c r="D7627" s="13" t="s">
        <v>9551</v>
      </c>
      <c r="E7627" s="8">
        <v>7000</v>
      </c>
      <c r="F7627" s="13" t="s">
        <v>70</v>
      </c>
      <c r="G7627" s="14">
        <v>44700</v>
      </c>
      <c r="H7627" s="13" t="s">
        <v>35</v>
      </c>
    </row>
    <row r="7628" spans="1:8" ht="14.4" x14ac:dyDescent="0.3">
      <c r="A7628" s="8">
        <v>2041238</v>
      </c>
      <c r="B7628" s="11">
        <v>44694</v>
      </c>
      <c r="C7628" s="13" t="s">
        <v>669</v>
      </c>
      <c r="D7628" s="13" t="s">
        <v>9552</v>
      </c>
      <c r="E7628" s="8">
        <v>20000</v>
      </c>
      <c r="F7628" s="13" t="s">
        <v>70</v>
      </c>
      <c r="G7628" s="14">
        <v>44708</v>
      </c>
      <c r="H7628" s="13" t="s">
        <v>35</v>
      </c>
    </row>
    <row r="7629" spans="1:8" ht="14.4" x14ac:dyDescent="0.3">
      <c r="A7629" s="8">
        <v>2041239</v>
      </c>
      <c r="B7629" s="11">
        <v>44694</v>
      </c>
      <c r="C7629" s="13" t="s">
        <v>9553</v>
      </c>
      <c r="D7629" s="13" t="s">
        <v>9554</v>
      </c>
      <c r="E7629" s="8">
        <v>10000</v>
      </c>
      <c r="F7629" s="13" t="s">
        <v>70</v>
      </c>
      <c r="G7629" s="14">
        <v>44699</v>
      </c>
      <c r="H7629" s="13" t="s">
        <v>35</v>
      </c>
    </row>
    <row r="7630" spans="1:8" ht="14.4" x14ac:dyDescent="0.3">
      <c r="A7630" s="8">
        <v>2041240</v>
      </c>
      <c r="B7630" s="11">
        <v>44694</v>
      </c>
      <c r="C7630" s="13" t="s">
        <v>9555</v>
      </c>
      <c r="D7630" s="16" t="s">
        <v>9556</v>
      </c>
      <c r="E7630" s="8">
        <v>8000</v>
      </c>
      <c r="F7630" s="13" t="s">
        <v>70</v>
      </c>
      <c r="G7630" s="14">
        <v>44699</v>
      </c>
      <c r="H7630" s="13" t="s">
        <v>35</v>
      </c>
    </row>
    <row r="7631" spans="1:8" ht="14.4" x14ac:dyDescent="0.3">
      <c r="A7631" s="8">
        <v>2041241</v>
      </c>
      <c r="B7631" s="11">
        <v>44694</v>
      </c>
      <c r="C7631" s="13" t="s">
        <v>5562</v>
      </c>
      <c r="D7631" s="13" t="s">
        <v>9557</v>
      </c>
      <c r="E7631" s="8">
        <v>18000</v>
      </c>
      <c r="F7631" s="13" t="s">
        <v>70</v>
      </c>
      <c r="G7631" s="14">
        <v>44700</v>
      </c>
      <c r="H7631" s="13" t="s">
        <v>35</v>
      </c>
    </row>
    <row r="7632" spans="1:8" ht="14.4" x14ac:dyDescent="0.3">
      <c r="A7632" s="8">
        <v>2041242</v>
      </c>
      <c r="B7632" s="11">
        <v>44694</v>
      </c>
      <c r="C7632" s="13" t="s">
        <v>9558</v>
      </c>
      <c r="D7632" s="13" t="s">
        <v>9559</v>
      </c>
      <c r="E7632" s="8">
        <v>30000</v>
      </c>
      <c r="F7632" s="13" t="s">
        <v>70</v>
      </c>
      <c r="G7632" s="14">
        <v>44698</v>
      </c>
      <c r="H7632" s="13" t="s">
        <v>35</v>
      </c>
    </row>
    <row r="7633" spans="1:8" ht="14.4" x14ac:dyDescent="0.3">
      <c r="A7633" s="8">
        <v>2041243</v>
      </c>
      <c r="B7633" s="11">
        <v>44694</v>
      </c>
      <c r="C7633" s="13" t="s">
        <v>9560</v>
      </c>
      <c r="D7633" s="13" t="s">
        <v>9561</v>
      </c>
      <c r="E7633" s="8">
        <v>19000</v>
      </c>
      <c r="F7633" s="13" t="s">
        <v>70</v>
      </c>
      <c r="G7633" s="14">
        <v>44715</v>
      </c>
      <c r="H7633" s="13" t="s">
        <v>35</v>
      </c>
    </row>
    <row r="7634" spans="1:8" ht="14.4" x14ac:dyDescent="0.3">
      <c r="A7634" s="8">
        <v>2041244</v>
      </c>
      <c r="B7634" s="11">
        <v>44694</v>
      </c>
      <c r="C7634" s="13" t="s">
        <v>9562</v>
      </c>
      <c r="D7634" s="13" t="s">
        <v>9563</v>
      </c>
      <c r="E7634" s="8">
        <v>24000</v>
      </c>
      <c r="F7634" s="13" t="s">
        <v>70</v>
      </c>
      <c r="G7634" s="14">
        <v>44699</v>
      </c>
      <c r="H7634" s="13" t="s">
        <v>35</v>
      </c>
    </row>
    <row r="7635" spans="1:8" ht="14.4" x14ac:dyDescent="0.3">
      <c r="A7635" s="8">
        <v>2041245</v>
      </c>
      <c r="B7635" s="11">
        <v>44694</v>
      </c>
      <c r="C7635" s="13" t="s">
        <v>9564</v>
      </c>
      <c r="D7635" s="13" t="s">
        <v>9565</v>
      </c>
      <c r="E7635" s="8">
        <v>43500</v>
      </c>
      <c r="F7635" s="13" t="s">
        <v>70</v>
      </c>
      <c r="G7635" s="14">
        <v>44698</v>
      </c>
      <c r="H7635" s="13" t="s">
        <v>35</v>
      </c>
    </row>
    <row r="7636" spans="1:8" ht="14.4" x14ac:dyDescent="0.3">
      <c r="A7636" s="8">
        <v>2041246</v>
      </c>
      <c r="B7636" s="11">
        <v>44694</v>
      </c>
      <c r="C7636" s="13" t="s">
        <v>9566</v>
      </c>
      <c r="D7636" s="13" t="s">
        <v>9567</v>
      </c>
      <c r="E7636" s="8">
        <v>26000</v>
      </c>
      <c r="F7636" s="13" t="s">
        <v>70</v>
      </c>
      <c r="G7636" s="14">
        <v>44704</v>
      </c>
      <c r="H7636" s="13" t="s">
        <v>35</v>
      </c>
    </row>
    <row r="7637" spans="1:8" ht="14.4" x14ac:dyDescent="0.3">
      <c r="A7637" s="8">
        <v>2041247</v>
      </c>
      <c r="B7637" s="11">
        <v>44694</v>
      </c>
      <c r="C7637" s="13" t="s">
        <v>9568</v>
      </c>
      <c r="D7637" s="13" t="s">
        <v>9569</v>
      </c>
      <c r="E7637" s="8">
        <v>17000</v>
      </c>
      <c r="F7637" s="13" t="s">
        <v>70</v>
      </c>
      <c r="G7637" s="14">
        <v>44699</v>
      </c>
      <c r="H7637" s="13" t="s">
        <v>35</v>
      </c>
    </row>
    <row r="7638" spans="1:8" ht="14.4" x14ac:dyDescent="0.3">
      <c r="A7638" s="8">
        <v>2041248</v>
      </c>
      <c r="B7638" s="11">
        <v>44694</v>
      </c>
      <c r="C7638" s="13" t="s">
        <v>48</v>
      </c>
      <c r="D7638" s="13" t="s">
        <v>9570</v>
      </c>
      <c r="E7638" s="8">
        <v>19000</v>
      </c>
      <c r="F7638" s="13" t="s">
        <v>70</v>
      </c>
      <c r="G7638" s="14">
        <v>44705</v>
      </c>
      <c r="H7638" s="13" t="s">
        <v>35</v>
      </c>
    </row>
    <row r="7639" spans="1:8" ht="14.4" x14ac:dyDescent="0.3">
      <c r="A7639" s="8">
        <v>2041249</v>
      </c>
      <c r="B7639" s="11">
        <v>44694</v>
      </c>
      <c r="C7639" s="13" t="s">
        <v>9571</v>
      </c>
      <c r="D7639" s="13" t="s">
        <v>9572</v>
      </c>
      <c r="E7639" s="8">
        <v>12000</v>
      </c>
      <c r="F7639" s="13" t="s">
        <v>70</v>
      </c>
      <c r="G7639" s="14">
        <v>44699</v>
      </c>
      <c r="H7639" s="13" t="s">
        <v>35</v>
      </c>
    </row>
    <row r="7640" spans="1:8" ht="14.4" x14ac:dyDescent="0.3">
      <c r="A7640" s="8">
        <v>2041250</v>
      </c>
      <c r="B7640" s="11">
        <v>44694</v>
      </c>
      <c r="C7640" s="13" t="s">
        <v>9573</v>
      </c>
      <c r="D7640" s="13" t="s">
        <v>9574</v>
      </c>
      <c r="E7640" s="8">
        <v>20000</v>
      </c>
      <c r="F7640" s="13" t="s">
        <v>70</v>
      </c>
      <c r="G7640" s="14">
        <v>44700</v>
      </c>
      <c r="H7640" s="13" t="s">
        <v>35</v>
      </c>
    </row>
    <row r="7641" spans="1:8" ht="14.4" x14ac:dyDescent="0.3">
      <c r="A7641" s="8">
        <v>2041251</v>
      </c>
      <c r="B7641" s="11">
        <v>44694</v>
      </c>
      <c r="C7641" s="13" t="s">
        <v>9575</v>
      </c>
      <c r="D7641" s="13" t="s">
        <v>9576</v>
      </c>
      <c r="E7641" s="8">
        <v>13000</v>
      </c>
      <c r="F7641" s="13" t="s">
        <v>70</v>
      </c>
      <c r="G7641" s="14">
        <v>44700</v>
      </c>
      <c r="H7641" s="13" t="s">
        <v>35</v>
      </c>
    </row>
    <row r="7642" spans="1:8" ht="14.4" x14ac:dyDescent="0.3">
      <c r="A7642" s="8">
        <v>2041252</v>
      </c>
      <c r="B7642" s="11">
        <v>44694</v>
      </c>
      <c r="C7642" s="13" t="s">
        <v>9577</v>
      </c>
      <c r="D7642" s="13" t="s">
        <v>9578</v>
      </c>
      <c r="E7642" s="8">
        <v>9500</v>
      </c>
      <c r="F7642" s="13" t="s">
        <v>70</v>
      </c>
      <c r="G7642" s="14">
        <v>44700</v>
      </c>
      <c r="H7642" s="13" t="s">
        <v>35</v>
      </c>
    </row>
    <row r="7643" spans="1:8" ht="14.4" x14ac:dyDescent="0.3">
      <c r="A7643" s="8">
        <v>2041253</v>
      </c>
      <c r="B7643" s="11">
        <v>44694</v>
      </c>
      <c r="C7643" s="13" t="s">
        <v>9579</v>
      </c>
      <c r="D7643" s="13" t="s">
        <v>9580</v>
      </c>
      <c r="E7643" s="8">
        <v>13000</v>
      </c>
      <c r="F7643" s="13" t="s">
        <v>70</v>
      </c>
      <c r="G7643" s="14">
        <v>44700</v>
      </c>
      <c r="H7643" s="13" t="s">
        <v>35</v>
      </c>
    </row>
    <row r="7644" spans="1:8" ht="14.4" x14ac:dyDescent="0.3">
      <c r="A7644" s="8">
        <v>2041255</v>
      </c>
      <c r="B7644" s="11">
        <v>44694</v>
      </c>
      <c r="C7644" s="13" t="s">
        <v>9581</v>
      </c>
      <c r="D7644" s="13" t="s">
        <v>9582</v>
      </c>
      <c r="E7644" s="8">
        <v>21000</v>
      </c>
      <c r="F7644" s="13" t="s">
        <v>70</v>
      </c>
      <c r="G7644" s="14">
        <v>44699</v>
      </c>
      <c r="H7644" s="13" t="s">
        <v>35</v>
      </c>
    </row>
    <row r="7645" spans="1:8" ht="14.4" x14ac:dyDescent="0.3">
      <c r="A7645" s="8">
        <v>2041256</v>
      </c>
      <c r="B7645" s="11">
        <v>44694</v>
      </c>
      <c r="C7645" s="13" t="s">
        <v>9583</v>
      </c>
      <c r="D7645" s="13" t="s">
        <v>9584</v>
      </c>
      <c r="E7645" s="8">
        <v>20000</v>
      </c>
      <c r="F7645" s="13" t="s">
        <v>70</v>
      </c>
      <c r="G7645" s="14">
        <v>44700</v>
      </c>
      <c r="H7645" s="13" t="s">
        <v>35</v>
      </c>
    </row>
    <row r="7646" spans="1:8" ht="14.4" x14ac:dyDescent="0.3">
      <c r="A7646" s="8">
        <v>2041257</v>
      </c>
      <c r="B7646" s="11">
        <v>44694</v>
      </c>
      <c r="C7646" s="13" t="s">
        <v>9585</v>
      </c>
      <c r="D7646" s="13" t="s">
        <v>9586</v>
      </c>
      <c r="E7646" s="8">
        <v>10900</v>
      </c>
      <c r="F7646" s="13" t="s">
        <v>70</v>
      </c>
      <c r="G7646" s="14">
        <v>44699</v>
      </c>
      <c r="H7646" s="13" t="s">
        <v>35</v>
      </c>
    </row>
    <row r="7647" spans="1:8" ht="14.4" x14ac:dyDescent="0.3">
      <c r="A7647" s="8">
        <v>2041258</v>
      </c>
      <c r="B7647" s="11">
        <v>44694</v>
      </c>
      <c r="C7647" s="13" t="s">
        <v>9587</v>
      </c>
      <c r="D7647" s="13" t="s">
        <v>9588</v>
      </c>
      <c r="E7647" s="8">
        <v>35000</v>
      </c>
      <c r="F7647" s="13" t="s">
        <v>70</v>
      </c>
      <c r="G7647" s="14">
        <v>44699</v>
      </c>
      <c r="H7647" s="13" t="s">
        <v>35</v>
      </c>
    </row>
    <row r="7648" spans="1:8" ht="14.4" x14ac:dyDescent="0.3">
      <c r="A7648" s="8">
        <v>2041259</v>
      </c>
      <c r="B7648" s="11">
        <v>44694</v>
      </c>
      <c r="C7648" s="13" t="s">
        <v>9589</v>
      </c>
      <c r="D7648" s="13" t="s">
        <v>9590</v>
      </c>
      <c r="E7648" s="8">
        <v>12600</v>
      </c>
      <c r="F7648" s="13" t="s">
        <v>70</v>
      </c>
      <c r="G7648" s="14">
        <v>44699</v>
      </c>
      <c r="H7648" s="13" t="s">
        <v>35</v>
      </c>
    </row>
    <row r="7649" spans="1:8" ht="14.4" x14ac:dyDescent="0.3">
      <c r="A7649" s="8">
        <v>2041260</v>
      </c>
      <c r="B7649" s="11">
        <v>44694</v>
      </c>
      <c r="C7649" s="13" t="s">
        <v>9591</v>
      </c>
      <c r="D7649" s="13" t="s">
        <v>9592</v>
      </c>
      <c r="E7649" s="8">
        <v>18000</v>
      </c>
      <c r="F7649" s="13" t="s">
        <v>70</v>
      </c>
      <c r="G7649" s="14">
        <v>44700</v>
      </c>
      <c r="H7649" s="13" t="s">
        <v>35</v>
      </c>
    </row>
    <row r="7650" spans="1:8" ht="14.4" x14ac:dyDescent="0.3">
      <c r="A7650" s="8">
        <v>2041261</v>
      </c>
      <c r="B7650" s="11">
        <v>44694</v>
      </c>
      <c r="C7650" s="13" t="s">
        <v>9593</v>
      </c>
      <c r="D7650" s="13" t="s">
        <v>9594</v>
      </c>
      <c r="E7650" s="8">
        <v>20000</v>
      </c>
      <c r="F7650" s="13" t="s">
        <v>70</v>
      </c>
      <c r="G7650" s="14">
        <v>44699</v>
      </c>
      <c r="H7650" s="13" t="s">
        <v>35</v>
      </c>
    </row>
    <row r="7651" spans="1:8" ht="14.4" x14ac:dyDescent="0.3">
      <c r="A7651" s="8">
        <v>2041262</v>
      </c>
      <c r="B7651" s="11">
        <v>44694</v>
      </c>
      <c r="C7651" s="13" t="s">
        <v>9595</v>
      </c>
      <c r="D7651" s="13" t="s">
        <v>9596</v>
      </c>
      <c r="E7651" s="8">
        <v>10000</v>
      </c>
      <c r="F7651" s="13" t="s">
        <v>70</v>
      </c>
      <c r="G7651" s="14">
        <v>44699</v>
      </c>
      <c r="H7651" s="13" t="s">
        <v>35</v>
      </c>
    </row>
    <row r="7652" spans="1:8" ht="14.4" x14ac:dyDescent="0.3">
      <c r="A7652" s="8">
        <v>2041263</v>
      </c>
      <c r="B7652" s="11">
        <v>44694</v>
      </c>
      <c r="C7652" s="13" t="s">
        <v>9597</v>
      </c>
      <c r="D7652" s="13" t="s">
        <v>9598</v>
      </c>
      <c r="E7652" s="8">
        <v>11400</v>
      </c>
      <c r="F7652" s="13" t="s">
        <v>70</v>
      </c>
      <c r="G7652" s="14">
        <v>44699</v>
      </c>
      <c r="H7652" s="13" t="s">
        <v>35</v>
      </c>
    </row>
    <row r="7653" spans="1:8" ht="14.4" x14ac:dyDescent="0.3">
      <c r="A7653" s="8">
        <v>2041264</v>
      </c>
      <c r="B7653" s="11">
        <v>44694</v>
      </c>
      <c r="C7653" s="13" t="s">
        <v>9599</v>
      </c>
      <c r="D7653" s="13" t="s">
        <v>9600</v>
      </c>
      <c r="E7653" s="8">
        <v>10000</v>
      </c>
      <c r="F7653" s="13" t="s">
        <v>70</v>
      </c>
      <c r="G7653" s="14">
        <v>44700</v>
      </c>
      <c r="H7653" s="13" t="s">
        <v>35</v>
      </c>
    </row>
    <row r="7654" spans="1:8" ht="14.4" x14ac:dyDescent="0.3">
      <c r="A7654" s="8">
        <v>2041265</v>
      </c>
      <c r="B7654" s="11">
        <v>44694</v>
      </c>
      <c r="C7654" s="13" t="s">
        <v>9601</v>
      </c>
      <c r="D7654" s="13" t="s">
        <v>9602</v>
      </c>
      <c r="E7654" s="8">
        <v>15000</v>
      </c>
      <c r="F7654" s="13" t="s">
        <v>70</v>
      </c>
      <c r="G7654" s="14">
        <v>44700</v>
      </c>
      <c r="H7654" s="13" t="s">
        <v>35</v>
      </c>
    </row>
    <row r="7655" spans="1:8" ht="14.4" x14ac:dyDescent="0.3">
      <c r="A7655" s="8">
        <v>2041266</v>
      </c>
      <c r="B7655" s="11">
        <v>44694</v>
      </c>
      <c r="C7655" s="13" t="s">
        <v>9603</v>
      </c>
      <c r="D7655" s="13" t="s">
        <v>9604</v>
      </c>
      <c r="E7655" s="8">
        <v>10000</v>
      </c>
      <c r="F7655" s="13" t="s">
        <v>70</v>
      </c>
      <c r="G7655" s="14">
        <v>44698</v>
      </c>
      <c r="H7655" s="13" t="s">
        <v>35</v>
      </c>
    </row>
    <row r="7656" spans="1:8" ht="14.4" x14ac:dyDescent="0.3">
      <c r="A7656" s="8">
        <v>2041267</v>
      </c>
      <c r="B7656" s="11">
        <v>44694</v>
      </c>
      <c r="C7656" s="13" t="s">
        <v>9605</v>
      </c>
      <c r="D7656" s="13" t="s">
        <v>9606</v>
      </c>
      <c r="E7656" s="8">
        <v>12000</v>
      </c>
      <c r="F7656" s="13" t="s">
        <v>70</v>
      </c>
      <c r="G7656" s="14">
        <v>44699</v>
      </c>
      <c r="H7656" s="13" t="s">
        <v>35</v>
      </c>
    </row>
    <row r="7657" spans="1:8" ht="14.4" x14ac:dyDescent="0.3">
      <c r="A7657" s="8">
        <v>2041268</v>
      </c>
      <c r="B7657" s="11">
        <v>44694</v>
      </c>
      <c r="C7657" s="13" t="s">
        <v>2741</v>
      </c>
      <c r="D7657" s="13" t="s">
        <v>9607</v>
      </c>
      <c r="E7657" s="8">
        <v>30000</v>
      </c>
      <c r="F7657" s="13" t="s">
        <v>70</v>
      </c>
      <c r="G7657" s="14">
        <v>44699</v>
      </c>
      <c r="H7657" s="13" t="s">
        <v>35</v>
      </c>
    </row>
    <row r="7658" spans="1:8" ht="14.4" x14ac:dyDescent="0.3">
      <c r="A7658" s="8">
        <v>2041269</v>
      </c>
      <c r="B7658" s="11">
        <v>44694</v>
      </c>
      <c r="C7658" s="13" t="s">
        <v>9608</v>
      </c>
      <c r="D7658" s="13" t="s">
        <v>9609</v>
      </c>
      <c r="E7658" s="8">
        <v>8000</v>
      </c>
      <c r="F7658" s="13" t="s">
        <v>70</v>
      </c>
      <c r="G7658" s="14">
        <v>44699</v>
      </c>
      <c r="H7658" s="13" t="s">
        <v>35</v>
      </c>
    </row>
    <row r="7659" spans="1:8" ht="14.4" x14ac:dyDescent="0.3">
      <c r="A7659" s="8">
        <v>2041270</v>
      </c>
      <c r="B7659" s="11">
        <v>44694</v>
      </c>
      <c r="C7659" s="13" t="s">
        <v>9610</v>
      </c>
      <c r="D7659" s="13" t="s">
        <v>9611</v>
      </c>
      <c r="E7659" s="8">
        <v>16000</v>
      </c>
      <c r="F7659" s="13" t="s">
        <v>70</v>
      </c>
      <c r="G7659" s="14">
        <v>44700</v>
      </c>
      <c r="H7659" s="13" t="s">
        <v>35</v>
      </c>
    </row>
    <row r="7660" spans="1:8" ht="14.4" x14ac:dyDescent="0.3">
      <c r="A7660" s="8">
        <v>2041271</v>
      </c>
      <c r="B7660" s="11">
        <v>44694</v>
      </c>
      <c r="C7660" s="13" t="s">
        <v>9612</v>
      </c>
      <c r="D7660" s="13" t="s">
        <v>9613</v>
      </c>
      <c r="E7660" s="8">
        <v>7000</v>
      </c>
      <c r="F7660" s="13" t="s">
        <v>70</v>
      </c>
      <c r="G7660" s="14">
        <v>44700</v>
      </c>
      <c r="H7660" s="13" t="s">
        <v>35</v>
      </c>
    </row>
    <row r="7661" spans="1:8" ht="14.4" x14ac:dyDescent="0.3">
      <c r="A7661" s="8">
        <v>2041272</v>
      </c>
      <c r="B7661" s="11">
        <v>44694</v>
      </c>
      <c r="C7661" s="13" t="s">
        <v>9614</v>
      </c>
      <c r="D7661" s="13" t="s">
        <v>9615</v>
      </c>
      <c r="E7661" s="8">
        <v>12000</v>
      </c>
      <c r="F7661" s="13" t="s">
        <v>70</v>
      </c>
      <c r="G7661" s="14">
        <v>44699</v>
      </c>
      <c r="H7661" s="13" t="s">
        <v>35</v>
      </c>
    </row>
    <row r="7662" spans="1:8" ht="14.4" x14ac:dyDescent="0.3">
      <c r="A7662" s="8">
        <v>2041273</v>
      </c>
      <c r="B7662" s="11">
        <v>44694</v>
      </c>
      <c r="C7662" s="13" t="s">
        <v>9616</v>
      </c>
      <c r="D7662" s="13" t="s">
        <v>9617</v>
      </c>
      <c r="E7662" s="8">
        <v>10000</v>
      </c>
      <c r="F7662" s="13" t="s">
        <v>70</v>
      </c>
      <c r="G7662" s="14">
        <v>44699</v>
      </c>
      <c r="H7662" s="13" t="s">
        <v>35</v>
      </c>
    </row>
    <row r="7663" spans="1:8" ht="14.4" x14ac:dyDescent="0.3">
      <c r="A7663" s="8">
        <v>2041274</v>
      </c>
      <c r="B7663" s="11">
        <v>44694</v>
      </c>
      <c r="C7663" s="13" t="s">
        <v>9618</v>
      </c>
      <c r="D7663" s="13" t="s">
        <v>9619</v>
      </c>
      <c r="E7663" s="8">
        <v>10000</v>
      </c>
      <c r="F7663" s="13" t="s">
        <v>70</v>
      </c>
      <c r="G7663" s="14">
        <v>44699</v>
      </c>
      <c r="H7663" s="13" t="s">
        <v>35</v>
      </c>
    </row>
    <row r="7664" spans="1:8" ht="14.4" x14ac:dyDescent="0.3">
      <c r="A7664" s="8">
        <v>2041275</v>
      </c>
      <c r="B7664" s="11">
        <v>44694</v>
      </c>
      <c r="C7664" s="13" t="s">
        <v>9620</v>
      </c>
      <c r="D7664" s="13" t="s">
        <v>9621</v>
      </c>
      <c r="E7664" s="8">
        <v>40000</v>
      </c>
      <c r="F7664" s="13" t="s">
        <v>70</v>
      </c>
      <c r="G7664" s="14">
        <v>44715</v>
      </c>
      <c r="H7664" s="13" t="s">
        <v>35</v>
      </c>
    </row>
    <row r="7665" spans="1:8" ht="14.4" x14ac:dyDescent="0.3">
      <c r="A7665" s="8">
        <v>2041276</v>
      </c>
      <c r="B7665" s="11">
        <v>44694</v>
      </c>
      <c r="C7665" s="13" t="s">
        <v>1569</v>
      </c>
      <c r="D7665" s="13" t="s">
        <v>9622</v>
      </c>
      <c r="E7665" s="8">
        <v>8000000</v>
      </c>
      <c r="F7665" s="13" t="s">
        <v>70</v>
      </c>
      <c r="G7665" s="14">
        <v>44694</v>
      </c>
      <c r="H7665" s="13" t="s">
        <v>35</v>
      </c>
    </row>
    <row r="7666" spans="1:8" ht="14.4" x14ac:dyDescent="0.3">
      <c r="A7666" s="8">
        <v>2041277</v>
      </c>
      <c r="B7666" s="11">
        <v>44694</v>
      </c>
      <c r="C7666" s="13" t="s">
        <v>9623</v>
      </c>
      <c r="D7666" s="13" t="s">
        <v>9624</v>
      </c>
      <c r="E7666" s="8">
        <v>13500</v>
      </c>
      <c r="F7666" s="13" t="s">
        <v>70</v>
      </c>
      <c r="G7666" s="14">
        <v>44714</v>
      </c>
      <c r="H7666" s="13" t="s">
        <v>35</v>
      </c>
    </row>
    <row r="7667" spans="1:8" ht="14.4" x14ac:dyDescent="0.3">
      <c r="A7667" s="8">
        <v>2041278</v>
      </c>
      <c r="B7667" s="11">
        <v>44694</v>
      </c>
      <c r="C7667" s="13" t="s">
        <v>9625</v>
      </c>
      <c r="D7667" s="13" t="s">
        <v>9626</v>
      </c>
      <c r="E7667" s="8">
        <v>50000</v>
      </c>
      <c r="F7667" s="13" t="s">
        <v>70</v>
      </c>
      <c r="G7667" s="14">
        <v>44698</v>
      </c>
      <c r="H7667" s="13" t="s">
        <v>35</v>
      </c>
    </row>
    <row r="7668" spans="1:8" ht="14.4" x14ac:dyDescent="0.3">
      <c r="A7668" s="8">
        <v>2041279</v>
      </c>
      <c r="B7668" s="11">
        <v>44694</v>
      </c>
      <c r="C7668" s="13" t="s">
        <v>9627</v>
      </c>
      <c r="D7668" s="13" t="s">
        <v>9628</v>
      </c>
      <c r="E7668" s="8">
        <v>10000</v>
      </c>
      <c r="F7668" s="13" t="s">
        <v>70</v>
      </c>
      <c r="G7668" s="14">
        <v>44701</v>
      </c>
      <c r="H7668" s="13" t="s">
        <v>35</v>
      </c>
    </row>
    <row r="7669" spans="1:8" ht="14.4" x14ac:dyDescent="0.3">
      <c r="A7669" s="8">
        <v>2041280</v>
      </c>
      <c r="B7669" s="11">
        <v>44694</v>
      </c>
      <c r="C7669" s="13" t="s">
        <v>9629</v>
      </c>
      <c r="D7669" s="13" t="s">
        <v>9630</v>
      </c>
      <c r="E7669" s="8">
        <v>10000</v>
      </c>
      <c r="F7669" s="13" t="s">
        <v>70</v>
      </c>
      <c r="G7669" s="14">
        <v>44701</v>
      </c>
      <c r="H7669" s="13" t="s">
        <v>35</v>
      </c>
    </row>
    <row r="7670" spans="1:8" ht="14.4" x14ac:dyDescent="0.3">
      <c r="A7670" s="8">
        <v>2041281</v>
      </c>
      <c r="B7670" s="11">
        <v>44694</v>
      </c>
      <c r="C7670" s="13" t="s">
        <v>122</v>
      </c>
      <c r="D7670" s="13" t="s">
        <v>9631</v>
      </c>
      <c r="E7670" s="8">
        <v>28000</v>
      </c>
      <c r="F7670" s="13" t="s">
        <v>70</v>
      </c>
      <c r="G7670" s="14">
        <v>44708</v>
      </c>
      <c r="H7670" s="13" t="s">
        <v>35</v>
      </c>
    </row>
    <row r="7671" spans="1:8" ht="14.4" x14ac:dyDescent="0.3">
      <c r="A7671" s="8">
        <v>2041282</v>
      </c>
      <c r="B7671" s="11">
        <v>44694</v>
      </c>
      <c r="C7671" s="13" t="s">
        <v>9632</v>
      </c>
      <c r="D7671" s="13" t="s">
        <v>9633</v>
      </c>
      <c r="E7671" s="8">
        <v>30000</v>
      </c>
      <c r="F7671" s="13" t="s">
        <v>70</v>
      </c>
      <c r="G7671" s="14">
        <v>44750</v>
      </c>
      <c r="H7671" s="13" t="s">
        <v>35</v>
      </c>
    </row>
    <row r="7672" spans="1:8" ht="14.4" x14ac:dyDescent="0.3">
      <c r="A7672" s="8">
        <v>2041283</v>
      </c>
      <c r="B7672" s="11">
        <v>44694</v>
      </c>
      <c r="C7672" s="13" t="s">
        <v>9634</v>
      </c>
      <c r="D7672" s="13" t="s">
        <v>9635</v>
      </c>
      <c r="E7672" s="8">
        <v>50000</v>
      </c>
      <c r="F7672" s="13" t="s">
        <v>70</v>
      </c>
      <c r="G7672" s="14">
        <v>44727</v>
      </c>
      <c r="H7672" s="13" t="s">
        <v>35</v>
      </c>
    </row>
    <row r="7673" spans="1:8" ht="14.4" x14ac:dyDescent="0.3">
      <c r="A7673" s="8">
        <v>2041284</v>
      </c>
      <c r="B7673" s="11">
        <v>44694</v>
      </c>
      <c r="C7673" s="13" t="s">
        <v>9636</v>
      </c>
      <c r="D7673" s="13" t="s">
        <v>9637</v>
      </c>
      <c r="E7673" s="8">
        <v>50000</v>
      </c>
      <c r="F7673" s="13" t="s">
        <v>70</v>
      </c>
      <c r="G7673" s="14">
        <v>44704</v>
      </c>
      <c r="H7673" s="13" t="s">
        <v>35</v>
      </c>
    </row>
    <row r="7674" spans="1:8" ht="14.4" x14ac:dyDescent="0.3">
      <c r="A7674" s="8">
        <v>2041285</v>
      </c>
      <c r="B7674" s="11">
        <v>44694</v>
      </c>
      <c r="C7674" s="13" t="s">
        <v>9638</v>
      </c>
      <c r="D7674" s="13" t="s">
        <v>9639</v>
      </c>
      <c r="E7674" s="8">
        <v>30000</v>
      </c>
      <c r="F7674" s="13" t="s">
        <v>70</v>
      </c>
      <c r="G7674" s="14">
        <v>44714</v>
      </c>
      <c r="H7674" s="13" t="s">
        <v>35</v>
      </c>
    </row>
    <row r="7675" spans="1:8" ht="14.4" x14ac:dyDescent="0.3">
      <c r="A7675" s="8">
        <v>2041286</v>
      </c>
      <c r="B7675" s="11">
        <v>44694</v>
      </c>
      <c r="C7675" s="13" t="s">
        <v>9640</v>
      </c>
      <c r="D7675" s="13" t="s">
        <v>9641</v>
      </c>
      <c r="E7675" s="8">
        <v>27000</v>
      </c>
      <c r="F7675" s="13" t="s">
        <v>70</v>
      </c>
      <c r="G7675" s="14">
        <v>44714</v>
      </c>
      <c r="H7675" s="13" t="s">
        <v>35</v>
      </c>
    </row>
    <row r="7676" spans="1:8" ht="14.4" x14ac:dyDescent="0.3">
      <c r="A7676" s="8">
        <v>2041287</v>
      </c>
      <c r="B7676" s="11">
        <v>44694</v>
      </c>
      <c r="C7676" s="13" t="s">
        <v>9642</v>
      </c>
      <c r="D7676" s="13" t="s">
        <v>9643</v>
      </c>
      <c r="E7676" s="8">
        <v>22000</v>
      </c>
      <c r="F7676" s="13" t="s">
        <v>70</v>
      </c>
      <c r="G7676" s="14">
        <v>44713</v>
      </c>
      <c r="H7676" s="13" t="s">
        <v>35</v>
      </c>
    </row>
    <row r="7677" spans="1:8" ht="14.4" x14ac:dyDescent="0.3">
      <c r="A7677" s="8">
        <v>2041288</v>
      </c>
      <c r="B7677" s="11">
        <v>44694</v>
      </c>
      <c r="C7677" s="13" t="s">
        <v>9644</v>
      </c>
      <c r="D7677" s="13" t="s">
        <v>9645</v>
      </c>
      <c r="E7677" s="8">
        <v>10000</v>
      </c>
      <c r="F7677" s="13" t="s">
        <v>70</v>
      </c>
      <c r="G7677" s="14">
        <v>44714</v>
      </c>
      <c r="H7677" s="13" t="s">
        <v>35</v>
      </c>
    </row>
    <row r="7678" spans="1:8" ht="14.4" x14ac:dyDescent="0.3">
      <c r="A7678" s="8">
        <v>2041289</v>
      </c>
      <c r="B7678" s="11">
        <v>44694</v>
      </c>
      <c r="C7678" s="13" t="s">
        <v>9646</v>
      </c>
      <c r="D7678" s="13" t="s">
        <v>9647</v>
      </c>
      <c r="E7678" s="8">
        <v>16000</v>
      </c>
      <c r="F7678" s="13" t="s">
        <v>70</v>
      </c>
      <c r="G7678" s="14">
        <v>44701</v>
      </c>
      <c r="H7678" s="13" t="s">
        <v>35</v>
      </c>
    </row>
    <row r="7679" spans="1:8" ht="14.4" x14ac:dyDescent="0.3">
      <c r="A7679" s="8">
        <v>2041290</v>
      </c>
      <c r="B7679" s="11">
        <v>44694</v>
      </c>
      <c r="C7679" s="13" t="s">
        <v>9648</v>
      </c>
      <c r="D7679" s="13" t="s">
        <v>9649</v>
      </c>
      <c r="E7679" s="8">
        <v>10000</v>
      </c>
      <c r="F7679" s="13" t="s">
        <v>70</v>
      </c>
      <c r="G7679" s="14">
        <v>44699</v>
      </c>
      <c r="H7679" s="13" t="s">
        <v>35</v>
      </c>
    </row>
    <row r="7680" spans="1:8" ht="14.4" x14ac:dyDescent="0.3">
      <c r="A7680" s="8">
        <v>2041291</v>
      </c>
      <c r="B7680" s="11">
        <v>44694</v>
      </c>
      <c r="C7680" s="13" t="s">
        <v>9650</v>
      </c>
      <c r="D7680" s="13" t="s">
        <v>9651</v>
      </c>
      <c r="E7680" s="8">
        <v>8000</v>
      </c>
      <c r="F7680" s="13" t="s">
        <v>70</v>
      </c>
      <c r="G7680" s="14">
        <v>44700</v>
      </c>
      <c r="H7680" s="13" t="s">
        <v>35</v>
      </c>
    </row>
    <row r="7681" spans="1:8" ht="14.4" x14ac:dyDescent="0.3">
      <c r="A7681" s="8">
        <v>2041292</v>
      </c>
      <c r="B7681" s="11">
        <v>44694</v>
      </c>
      <c r="C7681" s="13" t="s">
        <v>9652</v>
      </c>
      <c r="D7681" s="13" t="s">
        <v>9653</v>
      </c>
      <c r="E7681" s="8">
        <v>40000</v>
      </c>
      <c r="F7681" s="13" t="s">
        <v>70</v>
      </c>
      <c r="G7681" s="14">
        <v>44700</v>
      </c>
      <c r="H7681" s="13" t="s">
        <v>35</v>
      </c>
    </row>
    <row r="7682" spans="1:8" ht="14.4" x14ac:dyDescent="0.3">
      <c r="A7682" s="8">
        <v>2041293</v>
      </c>
      <c r="B7682" s="11">
        <v>44694</v>
      </c>
      <c r="C7682" s="13" t="s">
        <v>9654</v>
      </c>
      <c r="D7682" s="13" t="s">
        <v>9655</v>
      </c>
      <c r="E7682" s="8">
        <v>7000</v>
      </c>
      <c r="F7682" s="13" t="s">
        <v>70</v>
      </c>
      <c r="G7682" s="14">
        <v>44701</v>
      </c>
      <c r="H7682" s="13" t="s">
        <v>35</v>
      </c>
    </row>
    <row r="7683" spans="1:8" ht="14.4" x14ac:dyDescent="0.3">
      <c r="A7683" s="8">
        <v>2041294</v>
      </c>
      <c r="B7683" s="11">
        <v>44694</v>
      </c>
      <c r="C7683" s="13" t="s">
        <v>53</v>
      </c>
      <c r="D7683" s="13" t="s">
        <v>9656</v>
      </c>
      <c r="E7683" s="8">
        <v>277683</v>
      </c>
      <c r="F7683" s="13" t="s">
        <v>70</v>
      </c>
      <c r="G7683" s="14">
        <v>44712</v>
      </c>
      <c r="H7683" s="13" t="s">
        <v>35</v>
      </c>
    </row>
    <row r="7684" spans="1:8" ht="14.4" x14ac:dyDescent="0.3">
      <c r="A7684" s="8">
        <v>2041295</v>
      </c>
      <c r="B7684" s="11">
        <v>44694</v>
      </c>
      <c r="C7684" s="13" t="s">
        <v>1424</v>
      </c>
      <c r="D7684" s="13" t="s">
        <v>2562</v>
      </c>
      <c r="E7684" s="8">
        <v>16183.93</v>
      </c>
      <c r="F7684" s="13" t="s">
        <v>70</v>
      </c>
      <c r="G7684" s="14">
        <v>44707</v>
      </c>
      <c r="H7684" s="13" t="s">
        <v>35</v>
      </c>
    </row>
    <row r="7685" spans="1:8" ht="14.4" x14ac:dyDescent="0.3">
      <c r="A7685" s="8">
        <v>2041296</v>
      </c>
      <c r="B7685" s="11">
        <v>44694</v>
      </c>
      <c r="C7685" s="13" t="s">
        <v>1581</v>
      </c>
      <c r="D7685" s="13" t="s">
        <v>9657</v>
      </c>
      <c r="E7685" s="8">
        <v>18550</v>
      </c>
      <c r="F7685" s="13" t="s">
        <v>70</v>
      </c>
      <c r="G7685" s="14">
        <v>44699</v>
      </c>
      <c r="H7685" s="13" t="s">
        <v>35</v>
      </c>
    </row>
    <row r="7686" spans="1:8" ht="14.4" x14ac:dyDescent="0.3">
      <c r="A7686" s="8">
        <v>2041297</v>
      </c>
      <c r="B7686" s="11">
        <v>44694</v>
      </c>
      <c r="C7686" s="13" t="s">
        <v>1581</v>
      </c>
      <c r="D7686" s="13" t="s">
        <v>9658</v>
      </c>
      <c r="E7686" s="8">
        <v>18928.57</v>
      </c>
      <c r="F7686" s="13" t="s">
        <v>70</v>
      </c>
      <c r="G7686" s="14">
        <v>44699</v>
      </c>
      <c r="H7686" s="13" t="s">
        <v>35</v>
      </c>
    </row>
    <row r="7687" spans="1:8" ht="14.4" x14ac:dyDescent="0.3">
      <c r="A7687" s="8">
        <v>2041298</v>
      </c>
      <c r="B7687" s="11">
        <v>44694</v>
      </c>
      <c r="C7687" s="13" t="s">
        <v>1745</v>
      </c>
      <c r="D7687" s="13" t="s">
        <v>9659</v>
      </c>
      <c r="E7687" s="8">
        <v>43650</v>
      </c>
      <c r="F7687" s="13" t="s">
        <v>70</v>
      </c>
      <c r="G7687" s="14">
        <v>44698</v>
      </c>
      <c r="H7687" s="13" t="s">
        <v>35</v>
      </c>
    </row>
    <row r="7688" spans="1:8" ht="14.4" x14ac:dyDescent="0.3">
      <c r="A7688" s="8">
        <v>2041299</v>
      </c>
      <c r="B7688" s="11">
        <v>44694</v>
      </c>
      <c r="C7688" s="13" t="s">
        <v>1414</v>
      </c>
      <c r="D7688" s="13" t="s">
        <v>9660</v>
      </c>
      <c r="E7688" s="8">
        <v>5880</v>
      </c>
      <c r="F7688" s="13" t="s">
        <v>70</v>
      </c>
      <c r="G7688" s="14">
        <v>44700</v>
      </c>
      <c r="H7688" s="13" t="s">
        <v>35</v>
      </c>
    </row>
    <row r="7689" spans="1:8" ht="14.4" x14ac:dyDescent="0.3">
      <c r="A7689" s="8">
        <v>2041300</v>
      </c>
      <c r="B7689" s="11">
        <v>44694</v>
      </c>
      <c r="C7689" s="13" t="s">
        <v>2074</v>
      </c>
      <c r="D7689" s="13" t="s">
        <v>9661</v>
      </c>
      <c r="E7689" s="8">
        <v>22714.28</v>
      </c>
      <c r="F7689" s="13" t="s">
        <v>70</v>
      </c>
      <c r="G7689" s="14">
        <v>44705</v>
      </c>
      <c r="H7689" s="13" t="s">
        <v>35</v>
      </c>
    </row>
    <row r="7690" spans="1:8" ht="14.4" x14ac:dyDescent="0.3">
      <c r="A7690" s="8">
        <v>2041301</v>
      </c>
      <c r="B7690" s="11">
        <v>44694</v>
      </c>
      <c r="C7690" s="13" t="s">
        <v>1743</v>
      </c>
      <c r="D7690" s="13" t="s">
        <v>9662</v>
      </c>
      <c r="E7690" s="8">
        <v>3969</v>
      </c>
      <c r="F7690" s="13" t="s">
        <v>70</v>
      </c>
      <c r="G7690" s="14">
        <v>44700</v>
      </c>
      <c r="H7690" s="13" t="s">
        <v>35</v>
      </c>
    </row>
    <row r="7691" spans="1:8" ht="14.4" x14ac:dyDescent="0.3">
      <c r="A7691" s="8">
        <v>2041302</v>
      </c>
      <c r="B7691" s="11">
        <v>44694</v>
      </c>
      <c r="C7691" s="13" t="s">
        <v>259</v>
      </c>
      <c r="D7691" s="13" t="s">
        <v>9663</v>
      </c>
      <c r="E7691" s="8">
        <v>8987.2800000000007</v>
      </c>
      <c r="F7691" s="13" t="s">
        <v>70</v>
      </c>
      <c r="G7691" s="14">
        <v>44699</v>
      </c>
      <c r="H7691" s="13" t="s">
        <v>35</v>
      </c>
    </row>
    <row r="7692" spans="1:8" ht="14.4" x14ac:dyDescent="0.3">
      <c r="A7692" s="8">
        <v>2041303</v>
      </c>
      <c r="B7692" s="11">
        <v>44694</v>
      </c>
      <c r="C7692" s="13" t="s">
        <v>127</v>
      </c>
      <c r="D7692" s="13" t="s">
        <v>2591</v>
      </c>
      <c r="E7692" s="8">
        <v>13533.93</v>
      </c>
      <c r="F7692" s="13" t="s">
        <v>70</v>
      </c>
      <c r="G7692" s="14">
        <v>44699</v>
      </c>
      <c r="H7692" s="13" t="s">
        <v>35</v>
      </c>
    </row>
    <row r="7693" spans="1:8" ht="14.4" x14ac:dyDescent="0.3">
      <c r="A7693" s="8">
        <v>2041304</v>
      </c>
      <c r="B7693" s="11">
        <v>44694</v>
      </c>
      <c r="C7693" s="13" t="s">
        <v>1414</v>
      </c>
      <c r="D7693" s="13" t="s">
        <v>9664</v>
      </c>
      <c r="E7693" s="8">
        <v>218250</v>
      </c>
      <c r="F7693" s="13" t="s">
        <v>70</v>
      </c>
      <c r="G7693" s="14">
        <v>44700</v>
      </c>
      <c r="H7693" s="13" t="s">
        <v>35</v>
      </c>
    </row>
    <row r="7694" spans="1:8" ht="14.4" x14ac:dyDescent="0.3">
      <c r="A7694" s="8">
        <v>2041305</v>
      </c>
      <c r="B7694" s="11">
        <v>44694</v>
      </c>
      <c r="C7694" s="13" t="s">
        <v>3838</v>
      </c>
      <c r="D7694" s="13" t="s">
        <v>9665</v>
      </c>
      <c r="E7694" s="8">
        <v>8310</v>
      </c>
      <c r="F7694" s="13" t="s">
        <v>70</v>
      </c>
      <c r="G7694" s="14">
        <v>44700</v>
      </c>
      <c r="H7694" s="13" t="s">
        <v>35</v>
      </c>
    </row>
    <row r="7695" spans="1:8" ht="14.4" x14ac:dyDescent="0.3">
      <c r="A7695" s="8">
        <v>2041306</v>
      </c>
      <c r="B7695" s="11">
        <v>44694</v>
      </c>
      <c r="C7695" s="13" t="s">
        <v>565</v>
      </c>
      <c r="D7695" s="13" t="s">
        <v>2209</v>
      </c>
      <c r="E7695" s="8">
        <v>6000</v>
      </c>
      <c r="F7695" s="13" t="s">
        <v>70</v>
      </c>
      <c r="G7695" s="14">
        <v>44699</v>
      </c>
      <c r="H7695" s="13" t="s">
        <v>35</v>
      </c>
    </row>
    <row r="7696" spans="1:8" ht="14.4" x14ac:dyDescent="0.3">
      <c r="A7696" s="8">
        <v>2041307</v>
      </c>
      <c r="B7696" s="11">
        <v>44694</v>
      </c>
      <c r="C7696" s="13" t="s">
        <v>563</v>
      </c>
      <c r="D7696" s="13" t="s">
        <v>2209</v>
      </c>
      <c r="E7696" s="8">
        <v>5000</v>
      </c>
      <c r="F7696" s="13" t="s">
        <v>70</v>
      </c>
      <c r="G7696" s="14">
        <v>44701</v>
      </c>
      <c r="H7696" s="13" t="s">
        <v>35</v>
      </c>
    </row>
    <row r="7697" spans="1:8" ht="14.4" x14ac:dyDescent="0.3">
      <c r="A7697" s="8">
        <v>2041308</v>
      </c>
      <c r="B7697" s="11">
        <v>44694</v>
      </c>
      <c r="C7697" s="13" t="s">
        <v>619</v>
      </c>
      <c r="D7697" s="13" t="s">
        <v>2209</v>
      </c>
      <c r="E7697" s="8">
        <v>5000</v>
      </c>
      <c r="F7697" s="13" t="s">
        <v>70</v>
      </c>
      <c r="G7697" s="14">
        <v>44701</v>
      </c>
      <c r="H7697" s="13" t="s">
        <v>35</v>
      </c>
    </row>
    <row r="7698" spans="1:8" ht="14.4" x14ac:dyDescent="0.3">
      <c r="A7698" s="8">
        <v>2041309</v>
      </c>
      <c r="B7698" s="11">
        <v>44694</v>
      </c>
      <c r="C7698" s="13" t="s">
        <v>534</v>
      </c>
      <c r="D7698" s="13" t="s">
        <v>2223</v>
      </c>
      <c r="E7698" s="8">
        <v>20000</v>
      </c>
      <c r="F7698" s="13" t="s">
        <v>70</v>
      </c>
      <c r="G7698" s="14">
        <v>44697</v>
      </c>
      <c r="H7698" s="13" t="s">
        <v>35</v>
      </c>
    </row>
    <row r="7699" spans="1:8" ht="14.4" x14ac:dyDescent="0.3">
      <c r="A7699" s="8">
        <v>2041310</v>
      </c>
      <c r="B7699" s="11">
        <v>44694</v>
      </c>
      <c r="C7699" s="13" t="s">
        <v>535</v>
      </c>
      <c r="D7699" s="13" t="s">
        <v>2223</v>
      </c>
      <c r="E7699" s="8">
        <v>10000</v>
      </c>
      <c r="F7699" s="13" t="s">
        <v>70</v>
      </c>
      <c r="G7699" s="14">
        <v>44697</v>
      </c>
      <c r="H7699" s="13" t="s">
        <v>35</v>
      </c>
    </row>
    <row r="7700" spans="1:8" ht="14.4" x14ac:dyDescent="0.3">
      <c r="A7700" s="8">
        <v>2041311</v>
      </c>
      <c r="B7700" s="11">
        <v>44694</v>
      </c>
      <c r="C7700" s="13" t="s">
        <v>536</v>
      </c>
      <c r="D7700" s="13" t="s">
        <v>2223</v>
      </c>
      <c r="E7700" s="8">
        <v>5000</v>
      </c>
      <c r="F7700" s="13" t="s">
        <v>70</v>
      </c>
      <c r="G7700" s="14">
        <v>44697</v>
      </c>
      <c r="H7700" s="13" t="s">
        <v>35</v>
      </c>
    </row>
    <row r="7701" spans="1:8" ht="14.4" x14ac:dyDescent="0.3">
      <c r="A7701" s="8">
        <v>2041312</v>
      </c>
      <c r="B7701" s="11">
        <v>44694</v>
      </c>
      <c r="C7701" s="13" t="s">
        <v>526</v>
      </c>
      <c r="D7701" s="13" t="s">
        <v>2223</v>
      </c>
      <c r="E7701" s="8">
        <v>3000</v>
      </c>
      <c r="F7701" s="13" t="s">
        <v>70</v>
      </c>
      <c r="G7701" s="14">
        <v>44697</v>
      </c>
      <c r="H7701" s="13" t="s">
        <v>35</v>
      </c>
    </row>
    <row r="7702" spans="1:8" ht="14.4" x14ac:dyDescent="0.3">
      <c r="A7702" s="8">
        <v>2041313</v>
      </c>
      <c r="B7702" s="11">
        <v>44694</v>
      </c>
      <c r="C7702" s="13" t="s">
        <v>390</v>
      </c>
      <c r="D7702" s="13" t="s">
        <v>9666</v>
      </c>
      <c r="E7702" s="8">
        <v>20000</v>
      </c>
      <c r="F7702" s="13" t="s">
        <v>70</v>
      </c>
      <c r="G7702" s="14">
        <v>44698</v>
      </c>
      <c r="H7702" s="13" t="s">
        <v>35</v>
      </c>
    </row>
    <row r="7703" spans="1:8" ht="14.4" x14ac:dyDescent="0.3">
      <c r="A7703" s="8">
        <v>2041314</v>
      </c>
      <c r="B7703" s="11">
        <v>44694</v>
      </c>
      <c r="C7703" s="13" t="s">
        <v>387</v>
      </c>
      <c r="D7703" s="13" t="s">
        <v>9666</v>
      </c>
      <c r="E7703" s="8">
        <v>10000</v>
      </c>
      <c r="F7703" s="13" t="s">
        <v>70</v>
      </c>
      <c r="G7703" s="14">
        <v>44698</v>
      </c>
      <c r="H7703" s="13" t="s">
        <v>35</v>
      </c>
    </row>
    <row r="7704" spans="1:8" ht="14.4" x14ac:dyDescent="0.3">
      <c r="A7704" s="8">
        <v>2041315</v>
      </c>
      <c r="B7704" s="11">
        <v>44694</v>
      </c>
      <c r="C7704" s="13" t="s">
        <v>389</v>
      </c>
      <c r="D7704" s="13" t="s">
        <v>9666</v>
      </c>
      <c r="E7704" s="8">
        <v>5000</v>
      </c>
      <c r="F7704" s="13" t="s">
        <v>70</v>
      </c>
      <c r="G7704" s="14">
        <v>44698</v>
      </c>
      <c r="H7704" s="13" t="s">
        <v>35</v>
      </c>
    </row>
    <row r="7705" spans="1:8" ht="14.4" x14ac:dyDescent="0.3">
      <c r="A7705" s="8">
        <v>2041316</v>
      </c>
      <c r="B7705" s="11">
        <v>44694</v>
      </c>
      <c r="C7705" s="13" t="s">
        <v>2363</v>
      </c>
      <c r="D7705" s="13" t="s">
        <v>9667</v>
      </c>
      <c r="E7705" s="8">
        <v>15000</v>
      </c>
      <c r="F7705" s="13" t="s">
        <v>70</v>
      </c>
      <c r="G7705" s="14">
        <v>44698</v>
      </c>
      <c r="H7705" s="13" t="s">
        <v>35</v>
      </c>
    </row>
    <row r="7706" spans="1:8" ht="14.4" x14ac:dyDescent="0.3">
      <c r="A7706" s="8">
        <v>2041317</v>
      </c>
      <c r="B7706" s="11">
        <v>44694</v>
      </c>
      <c r="C7706" s="13" t="s">
        <v>308</v>
      </c>
      <c r="D7706" s="13" t="s">
        <v>9668</v>
      </c>
      <c r="E7706" s="8">
        <v>10000</v>
      </c>
      <c r="F7706" s="13" t="s">
        <v>70</v>
      </c>
      <c r="G7706" s="14">
        <v>44698</v>
      </c>
      <c r="H7706" s="13" t="s">
        <v>35</v>
      </c>
    </row>
    <row r="7707" spans="1:8" ht="14.4" x14ac:dyDescent="0.3">
      <c r="A7707" s="8">
        <v>2041318</v>
      </c>
      <c r="B7707" s="11">
        <v>44694</v>
      </c>
      <c r="C7707" s="13" t="s">
        <v>309</v>
      </c>
      <c r="D7707" s="13" t="s">
        <v>9667</v>
      </c>
      <c r="E7707" s="8">
        <v>10000</v>
      </c>
      <c r="F7707" s="13" t="s">
        <v>70</v>
      </c>
      <c r="G7707" s="14">
        <v>44698</v>
      </c>
      <c r="H7707" s="13" t="s">
        <v>35</v>
      </c>
    </row>
    <row r="7708" spans="1:8" ht="14.4" x14ac:dyDescent="0.3">
      <c r="A7708" s="8">
        <v>2041319</v>
      </c>
      <c r="B7708" s="11">
        <v>44694</v>
      </c>
      <c r="C7708" s="13" t="s">
        <v>310</v>
      </c>
      <c r="D7708" s="13" t="s">
        <v>9667</v>
      </c>
      <c r="E7708" s="8">
        <v>10000</v>
      </c>
      <c r="F7708" s="13" t="s">
        <v>70</v>
      </c>
      <c r="G7708" s="14">
        <v>44697</v>
      </c>
      <c r="H7708" s="13" t="s">
        <v>35</v>
      </c>
    </row>
    <row r="7709" spans="1:8" ht="14.4" x14ac:dyDescent="0.3">
      <c r="A7709" s="8">
        <v>2041320</v>
      </c>
      <c r="B7709" s="11">
        <v>44694</v>
      </c>
      <c r="C7709" s="13" t="s">
        <v>311</v>
      </c>
      <c r="D7709" s="13" t="s">
        <v>9667</v>
      </c>
      <c r="E7709" s="8">
        <v>10000</v>
      </c>
      <c r="F7709" s="13" t="s">
        <v>70</v>
      </c>
      <c r="G7709" s="14">
        <v>44698</v>
      </c>
      <c r="H7709" s="13" t="s">
        <v>35</v>
      </c>
    </row>
    <row r="7710" spans="1:8" ht="14.4" x14ac:dyDescent="0.3">
      <c r="A7710" s="8">
        <v>2041321</v>
      </c>
      <c r="B7710" s="11">
        <v>44694</v>
      </c>
      <c r="C7710" s="13" t="s">
        <v>312</v>
      </c>
      <c r="D7710" s="13" t="s">
        <v>9667</v>
      </c>
      <c r="E7710" s="8">
        <v>10000</v>
      </c>
      <c r="F7710" s="13" t="s">
        <v>70</v>
      </c>
      <c r="G7710" s="14">
        <v>44698</v>
      </c>
      <c r="H7710" s="13" t="s">
        <v>35</v>
      </c>
    </row>
    <row r="7711" spans="1:8" ht="14.4" x14ac:dyDescent="0.3">
      <c r="A7711" s="8">
        <v>2041322</v>
      </c>
      <c r="B7711" s="11">
        <v>44694</v>
      </c>
      <c r="C7711" s="13" t="s">
        <v>337</v>
      </c>
      <c r="D7711" s="13" t="s">
        <v>9667</v>
      </c>
      <c r="E7711" s="8">
        <v>10000</v>
      </c>
      <c r="F7711" s="13" t="s">
        <v>70</v>
      </c>
      <c r="G7711" s="14">
        <v>44698</v>
      </c>
      <c r="H7711" s="13" t="s">
        <v>35</v>
      </c>
    </row>
    <row r="7712" spans="1:8" ht="14.4" x14ac:dyDescent="0.3">
      <c r="A7712" s="8">
        <v>2041323</v>
      </c>
      <c r="B7712" s="11">
        <v>44694</v>
      </c>
      <c r="C7712" s="13" t="s">
        <v>3838</v>
      </c>
      <c r="D7712" s="13" t="s">
        <v>9669</v>
      </c>
      <c r="E7712" s="8">
        <v>12250</v>
      </c>
      <c r="F7712" s="13" t="s">
        <v>70</v>
      </c>
      <c r="G7712" s="14">
        <v>44700</v>
      </c>
      <c r="H7712" s="13" t="s">
        <v>35</v>
      </c>
    </row>
    <row r="7713" spans="1:8" ht="14.4" x14ac:dyDescent="0.3">
      <c r="A7713" s="8">
        <v>2041324</v>
      </c>
      <c r="B7713" s="11">
        <v>44694</v>
      </c>
      <c r="C7713" s="13" t="s">
        <v>405</v>
      </c>
      <c r="D7713" s="13" t="s">
        <v>9670</v>
      </c>
      <c r="E7713" s="8">
        <v>31595.25</v>
      </c>
      <c r="F7713" s="13" t="s">
        <v>70</v>
      </c>
      <c r="G7713" s="14">
        <v>44698</v>
      </c>
      <c r="H7713" s="13" t="s">
        <v>35</v>
      </c>
    </row>
    <row r="7714" spans="1:8" ht="14.4" x14ac:dyDescent="0.3">
      <c r="A7714" s="8">
        <v>2041325</v>
      </c>
      <c r="B7714" s="11">
        <v>44694</v>
      </c>
      <c r="C7714" s="13" t="s">
        <v>405</v>
      </c>
      <c r="D7714" s="13" t="s">
        <v>9671</v>
      </c>
      <c r="E7714" s="8">
        <v>15946.24</v>
      </c>
      <c r="F7714" s="13" t="s">
        <v>70</v>
      </c>
      <c r="G7714" s="14">
        <v>44698</v>
      </c>
      <c r="H7714" s="13" t="s">
        <v>35</v>
      </c>
    </row>
    <row r="7715" spans="1:8" ht="14.4" x14ac:dyDescent="0.3">
      <c r="A7715" s="8">
        <v>2041326</v>
      </c>
      <c r="B7715" s="11">
        <v>44694</v>
      </c>
      <c r="C7715" s="13" t="s">
        <v>405</v>
      </c>
      <c r="D7715" s="13" t="s">
        <v>9672</v>
      </c>
      <c r="E7715" s="8">
        <v>31354.15</v>
      </c>
      <c r="F7715" s="13" t="s">
        <v>70</v>
      </c>
      <c r="G7715" s="14">
        <v>44698</v>
      </c>
      <c r="H7715" s="13" t="s">
        <v>35</v>
      </c>
    </row>
    <row r="7716" spans="1:8" ht="14.4" x14ac:dyDescent="0.3">
      <c r="A7716" s="8">
        <v>2041327</v>
      </c>
      <c r="B7716" s="11">
        <v>44694</v>
      </c>
      <c r="C7716" s="13" t="s">
        <v>405</v>
      </c>
      <c r="D7716" s="13" t="s">
        <v>9673</v>
      </c>
      <c r="E7716" s="8">
        <v>13023.15</v>
      </c>
      <c r="F7716" s="13" t="s">
        <v>70</v>
      </c>
      <c r="G7716" s="14">
        <v>44698</v>
      </c>
      <c r="H7716" s="13" t="s">
        <v>35</v>
      </c>
    </row>
    <row r="7717" spans="1:8" ht="14.4" x14ac:dyDescent="0.3">
      <c r="A7717" s="8">
        <v>2041328</v>
      </c>
      <c r="B7717" s="11">
        <v>44694</v>
      </c>
      <c r="C7717" s="13" t="s">
        <v>405</v>
      </c>
      <c r="D7717" s="13" t="s">
        <v>9674</v>
      </c>
      <c r="E7717" s="8">
        <v>25099.41</v>
      </c>
      <c r="F7717" s="13" t="s">
        <v>70</v>
      </c>
      <c r="G7717" s="14">
        <v>44698</v>
      </c>
      <c r="H7717" s="13" t="s">
        <v>35</v>
      </c>
    </row>
    <row r="7718" spans="1:8" ht="14.4" x14ac:dyDescent="0.3">
      <c r="A7718" s="8">
        <v>2041329</v>
      </c>
      <c r="B7718" s="11">
        <v>44694</v>
      </c>
      <c r="C7718" s="13" t="s">
        <v>405</v>
      </c>
      <c r="D7718" s="13" t="s">
        <v>9675</v>
      </c>
      <c r="E7718" s="8">
        <v>40576.620000000003</v>
      </c>
      <c r="F7718" s="13" t="s">
        <v>70</v>
      </c>
      <c r="G7718" s="14">
        <v>44698</v>
      </c>
      <c r="H7718" s="13" t="s">
        <v>35</v>
      </c>
    </row>
    <row r="7719" spans="1:8" ht="14.4" x14ac:dyDescent="0.3">
      <c r="A7719" s="8">
        <v>2041330</v>
      </c>
      <c r="B7719" s="11">
        <v>44694</v>
      </c>
      <c r="C7719" s="13" t="s">
        <v>405</v>
      </c>
      <c r="D7719" s="13" t="s">
        <v>9676</v>
      </c>
      <c r="E7719" s="8">
        <v>13329.78</v>
      </c>
      <c r="F7719" s="13" t="s">
        <v>70</v>
      </c>
      <c r="G7719" s="14">
        <v>44698</v>
      </c>
      <c r="H7719" s="13" t="s">
        <v>35</v>
      </c>
    </row>
    <row r="7720" spans="1:8" ht="14.4" x14ac:dyDescent="0.3">
      <c r="A7720" s="8">
        <v>2041331</v>
      </c>
      <c r="B7720" s="11">
        <v>44694</v>
      </c>
      <c r="C7720" s="13" t="s">
        <v>2438</v>
      </c>
      <c r="D7720" s="13" t="s">
        <v>9677</v>
      </c>
      <c r="E7720" s="8">
        <v>5508.22</v>
      </c>
      <c r="F7720" s="13" t="s">
        <v>70</v>
      </c>
      <c r="G7720" s="14">
        <v>44729</v>
      </c>
      <c r="H7720" s="13" t="s">
        <v>35</v>
      </c>
    </row>
    <row r="7721" spans="1:8" ht="14.4" x14ac:dyDescent="0.3">
      <c r="A7721" s="8">
        <v>2041332</v>
      </c>
      <c r="B7721" s="11">
        <v>44694</v>
      </c>
      <c r="C7721" s="13" t="s">
        <v>1522</v>
      </c>
      <c r="D7721" s="13" t="s">
        <v>9678</v>
      </c>
      <c r="E7721" s="8">
        <v>2450</v>
      </c>
      <c r="F7721" s="13" t="s">
        <v>70</v>
      </c>
      <c r="G7721" s="14">
        <v>44704</v>
      </c>
      <c r="H7721" s="13" t="s">
        <v>35</v>
      </c>
    </row>
    <row r="7722" spans="1:8" ht="14.4" x14ac:dyDescent="0.3">
      <c r="A7722" s="8">
        <v>2041333</v>
      </c>
      <c r="B7722" s="11">
        <v>44694</v>
      </c>
      <c r="C7722" s="13" t="s">
        <v>127</v>
      </c>
      <c r="D7722" s="13" t="s">
        <v>4335</v>
      </c>
      <c r="E7722" s="8">
        <v>3407.15</v>
      </c>
      <c r="F7722" s="13" t="s">
        <v>70</v>
      </c>
      <c r="G7722" s="14">
        <v>44699</v>
      </c>
      <c r="H7722" s="13" t="s">
        <v>35</v>
      </c>
    </row>
    <row r="7723" spans="1:8" ht="14.4" x14ac:dyDescent="0.3">
      <c r="A7723" s="8">
        <v>2041334</v>
      </c>
      <c r="B7723" s="11">
        <v>44694</v>
      </c>
      <c r="C7723" s="13" t="s">
        <v>127</v>
      </c>
      <c r="D7723" s="13" t="s">
        <v>2275</v>
      </c>
      <c r="E7723" s="8">
        <v>19486.96</v>
      </c>
      <c r="F7723" s="13" t="s">
        <v>70</v>
      </c>
      <c r="G7723" s="14">
        <v>44699</v>
      </c>
      <c r="H7723" s="13" t="s">
        <v>35</v>
      </c>
    </row>
    <row r="7724" spans="1:8" ht="14.4" x14ac:dyDescent="0.3">
      <c r="A7724" s="8">
        <v>2041335</v>
      </c>
      <c r="B7724" s="11">
        <v>44694</v>
      </c>
      <c r="C7724" s="13" t="s">
        <v>1743</v>
      </c>
      <c r="D7724" s="13" t="s">
        <v>9679</v>
      </c>
      <c r="E7724" s="8">
        <v>1323</v>
      </c>
      <c r="F7724" s="13" t="s">
        <v>70</v>
      </c>
      <c r="G7724" s="14">
        <v>44700</v>
      </c>
      <c r="H7724" s="13" t="s">
        <v>35</v>
      </c>
    </row>
    <row r="7725" spans="1:8" ht="14.4" x14ac:dyDescent="0.3">
      <c r="A7725" s="8">
        <v>2041336</v>
      </c>
      <c r="B7725" s="11">
        <v>44694</v>
      </c>
      <c r="C7725" s="13" t="s">
        <v>2077</v>
      </c>
      <c r="D7725" s="13" t="s">
        <v>9680</v>
      </c>
      <c r="E7725" s="8">
        <v>12407.68</v>
      </c>
      <c r="F7725" s="13" t="s">
        <v>70</v>
      </c>
      <c r="G7725" s="14">
        <v>44705</v>
      </c>
      <c r="H7725" s="13" t="s">
        <v>35</v>
      </c>
    </row>
    <row r="7726" spans="1:8" ht="14.4" x14ac:dyDescent="0.3">
      <c r="A7726" s="8">
        <v>2041337</v>
      </c>
      <c r="B7726" s="11">
        <v>44694</v>
      </c>
      <c r="C7726" s="13" t="s">
        <v>313</v>
      </c>
      <c r="D7726" s="13" t="s">
        <v>9667</v>
      </c>
      <c r="E7726" s="8">
        <v>10000</v>
      </c>
      <c r="F7726" s="13" t="s">
        <v>70</v>
      </c>
      <c r="G7726" s="14">
        <v>44698</v>
      </c>
      <c r="H7726" s="13" t="s">
        <v>35</v>
      </c>
    </row>
    <row r="7727" spans="1:8" ht="14.4" x14ac:dyDescent="0.3">
      <c r="A7727" s="8">
        <v>2041338</v>
      </c>
      <c r="B7727" s="11">
        <v>44694</v>
      </c>
      <c r="C7727" s="13" t="s">
        <v>314</v>
      </c>
      <c r="D7727" s="13" t="s">
        <v>9667</v>
      </c>
      <c r="E7727" s="8">
        <v>10000</v>
      </c>
      <c r="F7727" s="13" t="s">
        <v>70</v>
      </c>
      <c r="G7727" s="14">
        <v>44698</v>
      </c>
      <c r="H7727" s="13" t="s">
        <v>35</v>
      </c>
    </row>
    <row r="7728" spans="1:8" ht="14.4" x14ac:dyDescent="0.3">
      <c r="A7728" s="8">
        <v>2041339</v>
      </c>
      <c r="B7728" s="11">
        <v>44694</v>
      </c>
      <c r="C7728" s="13" t="s">
        <v>315</v>
      </c>
      <c r="D7728" s="13" t="s">
        <v>9667</v>
      </c>
      <c r="E7728" s="8">
        <v>10000</v>
      </c>
      <c r="F7728" s="13" t="s">
        <v>70</v>
      </c>
      <c r="G7728" s="14">
        <v>44698</v>
      </c>
      <c r="H7728" s="13" t="s">
        <v>35</v>
      </c>
    </row>
    <row r="7729" spans="1:8" ht="14.4" x14ac:dyDescent="0.3">
      <c r="A7729" s="8">
        <v>2041340</v>
      </c>
      <c r="B7729" s="11">
        <v>44694</v>
      </c>
      <c r="C7729" s="13" t="s">
        <v>3641</v>
      </c>
      <c r="D7729" s="13" t="s">
        <v>9667</v>
      </c>
      <c r="E7729" s="8">
        <v>12000</v>
      </c>
      <c r="F7729" s="13" t="s">
        <v>70</v>
      </c>
      <c r="G7729" s="14">
        <v>44698</v>
      </c>
      <c r="H7729" s="13" t="s">
        <v>35</v>
      </c>
    </row>
    <row r="7730" spans="1:8" ht="14.4" x14ac:dyDescent="0.3">
      <c r="A7730" s="8">
        <v>2041341</v>
      </c>
      <c r="B7730" s="11">
        <v>44694</v>
      </c>
      <c r="C7730" s="13" t="s">
        <v>316</v>
      </c>
      <c r="D7730" s="13" t="s">
        <v>9667</v>
      </c>
      <c r="E7730" s="8">
        <v>10000</v>
      </c>
      <c r="F7730" s="13" t="s">
        <v>70</v>
      </c>
      <c r="G7730" s="14">
        <v>44698</v>
      </c>
      <c r="H7730" s="13" t="s">
        <v>35</v>
      </c>
    </row>
    <row r="7731" spans="1:8" ht="14.4" x14ac:dyDescent="0.3">
      <c r="A7731" s="8">
        <v>2041342</v>
      </c>
      <c r="B7731" s="11">
        <v>44694</v>
      </c>
      <c r="C7731" s="13" t="s">
        <v>324</v>
      </c>
      <c r="D7731" s="13" t="s">
        <v>9667</v>
      </c>
      <c r="E7731" s="8">
        <v>12000</v>
      </c>
      <c r="F7731" s="13" t="s">
        <v>70</v>
      </c>
      <c r="G7731" s="14">
        <v>44698</v>
      </c>
      <c r="H7731" s="13" t="s">
        <v>35</v>
      </c>
    </row>
    <row r="7732" spans="1:8" ht="14.4" x14ac:dyDescent="0.3">
      <c r="A7732" s="8">
        <v>2041343</v>
      </c>
      <c r="B7732" s="11">
        <v>44694</v>
      </c>
      <c r="C7732" s="13" t="s">
        <v>320</v>
      </c>
      <c r="D7732" s="13" t="s">
        <v>9667</v>
      </c>
      <c r="E7732" s="8">
        <v>10000</v>
      </c>
      <c r="F7732" s="13" t="s">
        <v>70</v>
      </c>
      <c r="G7732" s="14">
        <v>44698</v>
      </c>
      <c r="H7732" s="13" t="s">
        <v>35</v>
      </c>
    </row>
    <row r="7733" spans="1:8" ht="14.4" x14ac:dyDescent="0.3">
      <c r="A7733" s="8">
        <v>2041344</v>
      </c>
      <c r="B7733" s="11">
        <v>44694</v>
      </c>
      <c r="C7733" s="13" t="s">
        <v>321</v>
      </c>
      <c r="D7733" s="13" t="s">
        <v>9681</v>
      </c>
      <c r="E7733" s="8">
        <v>12000</v>
      </c>
      <c r="F7733" s="13" t="s">
        <v>70</v>
      </c>
      <c r="G7733" s="14">
        <v>44698</v>
      </c>
      <c r="H7733" s="13" t="s">
        <v>35</v>
      </c>
    </row>
    <row r="7734" spans="1:8" ht="14.4" x14ac:dyDescent="0.3">
      <c r="A7734" s="8">
        <v>2041345</v>
      </c>
      <c r="B7734" s="11">
        <v>44694</v>
      </c>
      <c r="C7734" s="13" t="s">
        <v>319</v>
      </c>
      <c r="D7734" s="13" t="s">
        <v>9667</v>
      </c>
      <c r="E7734" s="8">
        <v>10000</v>
      </c>
      <c r="F7734" s="13" t="s">
        <v>70</v>
      </c>
      <c r="G7734" s="14">
        <v>44698</v>
      </c>
      <c r="H7734" s="13" t="s">
        <v>35</v>
      </c>
    </row>
    <row r="7735" spans="1:8" ht="14.4" x14ac:dyDescent="0.3">
      <c r="A7735" s="8">
        <v>2041346</v>
      </c>
      <c r="B7735" s="11">
        <v>44694</v>
      </c>
      <c r="C7735" s="13" t="s">
        <v>318</v>
      </c>
      <c r="D7735" s="13" t="s">
        <v>9667</v>
      </c>
      <c r="E7735" s="8">
        <v>10000</v>
      </c>
      <c r="F7735" s="13" t="s">
        <v>70</v>
      </c>
      <c r="G7735" s="14">
        <v>44698</v>
      </c>
      <c r="H7735" s="13" t="s">
        <v>35</v>
      </c>
    </row>
    <row r="7736" spans="1:8" ht="14.4" x14ac:dyDescent="0.3">
      <c r="A7736" s="8">
        <v>2041347</v>
      </c>
      <c r="B7736" s="11">
        <v>44694</v>
      </c>
      <c r="C7736" s="13" t="s">
        <v>317</v>
      </c>
      <c r="D7736" s="13" t="s">
        <v>9667</v>
      </c>
      <c r="E7736" s="8">
        <v>10000</v>
      </c>
      <c r="F7736" s="13" t="s">
        <v>70</v>
      </c>
      <c r="G7736" s="14">
        <v>44698</v>
      </c>
      <c r="H7736" s="13" t="s">
        <v>35</v>
      </c>
    </row>
    <row r="7737" spans="1:8" ht="14.4" x14ac:dyDescent="0.3">
      <c r="A7737" s="8">
        <v>2041348</v>
      </c>
      <c r="B7737" s="11">
        <v>44694</v>
      </c>
      <c r="C7737" s="13" t="s">
        <v>334</v>
      </c>
      <c r="D7737" s="13" t="s">
        <v>2177</v>
      </c>
      <c r="E7737" s="8">
        <v>10000</v>
      </c>
      <c r="F7737" s="13" t="s">
        <v>70</v>
      </c>
      <c r="G7737" s="14">
        <v>44698</v>
      </c>
      <c r="H7737" s="13" t="s">
        <v>35</v>
      </c>
    </row>
    <row r="7738" spans="1:8" ht="14.4" x14ac:dyDescent="0.3">
      <c r="A7738" s="8">
        <v>2041349</v>
      </c>
      <c r="B7738" s="11">
        <v>44694</v>
      </c>
      <c r="C7738" s="13" t="s">
        <v>336</v>
      </c>
      <c r="D7738" s="13" t="s">
        <v>2177</v>
      </c>
      <c r="E7738" s="8">
        <v>20000</v>
      </c>
      <c r="F7738" s="13" t="s">
        <v>70</v>
      </c>
      <c r="G7738" s="14">
        <v>44698</v>
      </c>
      <c r="H7738" s="13" t="s">
        <v>35</v>
      </c>
    </row>
    <row r="7739" spans="1:8" ht="14.4" x14ac:dyDescent="0.3">
      <c r="A7739" s="8">
        <v>2041351</v>
      </c>
      <c r="B7739" s="11">
        <v>44694</v>
      </c>
      <c r="C7739" s="13" t="s">
        <v>2365</v>
      </c>
      <c r="D7739" s="13" t="s">
        <v>2177</v>
      </c>
      <c r="E7739" s="8">
        <v>5000</v>
      </c>
      <c r="F7739" s="13" t="s">
        <v>70</v>
      </c>
      <c r="G7739" s="14">
        <v>44698</v>
      </c>
      <c r="H7739" s="13" t="s">
        <v>35</v>
      </c>
    </row>
    <row r="7740" spans="1:8" ht="14.4" x14ac:dyDescent="0.3">
      <c r="A7740" s="8">
        <v>2041352</v>
      </c>
      <c r="B7740" s="11">
        <v>44694</v>
      </c>
      <c r="C7740" s="13" t="s">
        <v>340</v>
      </c>
      <c r="D7740" s="13" t="s">
        <v>2177</v>
      </c>
      <c r="E7740" s="8">
        <v>5000</v>
      </c>
      <c r="F7740" s="13" t="s">
        <v>70</v>
      </c>
      <c r="G7740" s="14">
        <v>44698</v>
      </c>
      <c r="H7740" s="13" t="s">
        <v>35</v>
      </c>
    </row>
    <row r="7741" spans="1:8" ht="14.4" x14ac:dyDescent="0.3">
      <c r="A7741" s="8">
        <v>2041353</v>
      </c>
      <c r="B7741" s="11">
        <v>44694</v>
      </c>
      <c r="C7741" s="13" t="s">
        <v>339</v>
      </c>
      <c r="D7741" s="13" t="s">
        <v>2177</v>
      </c>
      <c r="E7741" s="8">
        <v>5000</v>
      </c>
      <c r="F7741" s="13" t="s">
        <v>70</v>
      </c>
      <c r="G7741" s="14">
        <v>44698</v>
      </c>
      <c r="H7741" s="13" t="s">
        <v>35</v>
      </c>
    </row>
    <row r="7742" spans="1:8" ht="14.4" x14ac:dyDescent="0.3">
      <c r="A7742" s="8">
        <v>2041354</v>
      </c>
      <c r="B7742" s="11">
        <v>44694</v>
      </c>
      <c r="C7742" s="13" t="s">
        <v>342</v>
      </c>
      <c r="D7742" s="13" t="s">
        <v>9682</v>
      </c>
      <c r="E7742" s="8">
        <v>3000</v>
      </c>
      <c r="F7742" s="13" t="s">
        <v>70</v>
      </c>
      <c r="G7742" s="14">
        <v>44698</v>
      </c>
      <c r="H7742" s="13" t="s">
        <v>35</v>
      </c>
    </row>
    <row r="7743" spans="1:8" ht="14.4" x14ac:dyDescent="0.3">
      <c r="A7743" s="8">
        <v>2041355</v>
      </c>
      <c r="B7743" s="11">
        <v>44694</v>
      </c>
      <c r="C7743" s="13" t="s">
        <v>344</v>
      </c>
      <c r="D7743" s="13" t="s">
        <v>2177</v>
      </c>
      <c r="E7743" s="8">
        <v>3000</v>
      </c>
      <c r="F7743" s="13" t="s">
        <v>70</v>
      </c>
      <c r="G7743" s="14">
        <v>44698</v>
      </c>
      <c r="H7743" s="13" t="s">
        <v>35</v>
      </c>
    </row>
    <row r="7744" spans="1:8" ht="14.4" x14ac:dyDescent="0.3">
      <c r="A7744" s="8">
        <v>2041356</v>
      </c>
      <c r="B7744" s="11">
        <v>44697</v>
      </c>
      <c r="C7744" s="13" t="s">
        <v>9683</v>
      </c>
      <c r="D7744" s="13" t="s">
        <v>2756</v>
      </c>
      <c r="E7744" s="8">
        <v>10000</v>
      </c>
      <c r="F7744" s="13" t="s">
        <v>70</v>
      </c>
      <c r="G7744" s="14">
        <v>44708</v>
      </c>
      <c r="H7744" s="13" t="s">
        <v>35</v>
      </c>
    </row>
    <row r="7745" spans="1:8" ht="14.4" x14ac:dyDescent="0.3">
      <c r="A7745" s="8">
        <v>2041357</v>
      </c>
      <c r="B7745" s="11">
        <v>44697</v>
      </c>
      <c r="C7745" s="13" t="s">
        <v>140</v>
      </c>
      <c r="D7745" s="13" t="s">
        <v>9684</v>
      </c>
      <c r="E7745" s="8">
        <v>3000</v>
      </c>
      <c r="F7745" s="13" t="s">
        <v>70</v>
      </c>
      <c r="G7745" s="14">
        <v>44708</v>
      </c>
      <c r="H7745" s="13" t="s">
        <v>35</v>
      </c>
    </row>
    <row r="7746" spans="1:8" ht="14.4" x14ac:dyDescent="0.3">
      <c r="A7746" s="8">
        <v>2041358</v>
      </c>
      <c r="B7746" s="11">
        <v>44697</v>
      </c>
      <c r="C7746" s="13" t="s">
        <v>5651</v>
      </c>
      <c r="D7746" s="13" t="s">
        <v>9684</v>
      </c>
      <c r="E7746" s="8">
        <v>3000</v>
      </c>
      <c r="F7746" s="13" t="s">
        <v>70</v>
      </c>
      <c r="G7746" s="14">
        <v>44708</v>
      </c>
      <c r="H7746" s="13" t="s">
        <v>35</v>
      </c>
    </row>
    <row r="7747" spans="1:8" ht="14.4" x14ac:dyDescent="0.3">
      <c r="A7747" s="8">
        <v>2041359</v>
      </c>
      <c r="B7747" s="11">
        <v>44697</v>
      </c>
      <c r="C7747" s="13" t="s">
        <v>139</v>
      </c>
      <c r="D7747" s="13" t="s">
        <v>9684</v>
      </c>
      <c r="E7747" s="8">
        <v>3000</v>
      </c>
      <c r="F7747" s="13" t="s">
        <v>70</v>
      </c>
      <c r="G7747" s="14">
        <v>44708</v>
      </c>
      <c r="H7747" s="13" t="s">
        <v>35</v>
      </c>
    </row>
    <row r="7748" spans="1:8" ht="14.4" x14ac:dyDescent="0.3">
      <c r="A7748" s="8">
        <v>2041360</v>
      </c>
      <c r="B7748" s="11">
        <v>44697</v>
      </c>
      <c r="C7748" s="13" t="s">
        <v>9685</v>
      </c>
      <c r="D7748" s="13" t="s">
        <v>9684</v>
      </c>
      <c r="E7748" s="8">
        <v>3000</v>
      </c>
      <c r="F7748" s="13" t="s">
        <v>70</v>
      </c>
      <c r="G7748" s="14">
        <v>44708</v>
      </c>
      <c r="H7748" s="13" t="s">
        <v>35</v>
      </c>
    </row>
    <row r="7749" spans="1:8" ht="14.4" x14ac:dyDescent="0.3">
      <c r="A7749" s="8">
        <v>2041361</v>
      </c>
      <c r="B7749" s="11">
        <v>44697</v>
      </c>
      <c r="C7749" s="13" t="s">
        <v>136</v>
      </c>
      <c r="D7749" s="13" t="s">
        <v>9684</v>
      </c>
      <c r="E7749" s="8">
        <v>3000</v>
      </c>
      <c r="F7749" s="13" t="s">
        <v>70</v>
      </c>
      <c r="G7749" s="14">
        <v>44708</v>
      </c>
      <c r="H7749" s="13" t="s">
        <v>35</v>
      </c>
    </row>
    <row r="7750" spans="1:8" ht="14.4" x14ac:dyDescent="0.3">
      <c r="A7750" s="8">
        <v>2041362</v>
      </c>
      <c r="B7750" s="11">
        <v>44697</v>
      </c>
      <c r="C7750" s="13" t="s">
        <v>137</v>
      </c>
      <c r="D7750" s="13" t="s">
        <v>9684</v>
      </c>
      <c r="E7750" s="8">
        <v>3000</v>
      </c>
      <c r="F7750" s="13" t="s">
        <v>70</v>
      </c>
      <c r="G7750" s="14">
        <v>44708</v>
      </c>
      <c r="H7750" s="13" t="s">
        <v>35</v>
      </c>
    </row>
    <row r="7751" spans="1:8" ht="14.4" x14ac:dyDescent="0.3">
      <c r="A7751" s="8">
        <v>2041363</v>
      </c>
      <c r="B7751" s="11">
        <v>44697</v>
      </c>
      <c r="C7751" s="13" t="s">
        <v>135</v>
      </c>
      <c r="D7751" s="13" t="s">
        <v>9684</v>
      </c>
      <c r="E7751" s="8">
        <v>3000</v>
      </c>
      <c r="F7751" s="13" t="s">
        <v>70</v>
      </c>
      <c r="G7751" s="14">
        <v>44708</v>
      </c>
      <c r="H7751" s="13" t="s">
        <v>35</v>
      </c>
    </row>
    <row r="7752" spans="1:8" ht="14.4" x14ac:dyDescent="0.3">
      <c r="A7752" s="8">
        <v>2041364</v>
      </c>
      <c r="B7752" s="11">
        <v>44697</v>
      </c>
      <c r="C7752" s="13" t="s">
        <v>134</v>
      </c>
      <c r="D7752" s="13" t="s">
        <v>9684</v>
      </c>
      <c r="E7752" s="8">
        <v>3000</v>
      </c>
      <c r="F7752" s="13" t="s">
        <v>70</v>
      </c>
      <c r="G7752" s="14">
        <v>44708</v>
      </c>
      <c r="H7752" s="13" t="s">
        <v>35</v>
      </c>
    </row>
    <row r="7753" spans="1:8" ht="14.4" x14ac:dyDescent="0.3">
      <c r="A7753" s="8">
        <v>2041365</v>
      </c>
      <c r="B7753" s="11">
        <v>44697</v>
      </c>
      <c r="C7753" s="13" t="s">
        <v>133</v>
      </c>
      <c r="D7753" s="13" t="s">
        <v>9684</v>
      </c>
      <c r="E7753" s="8">
        <v>3000</v>
      </c>
      <c r="F7753" s="13" t="s">
        <v>70</v>
      </c>
      <c r="G7753" s="14">
        <v>44708</v>
      </c>
      <c r="H7753" s="13" t="s">
        <v>35</v>
      </c>
    </row>
    <row r="7754" spans="1:8" ht="14.4" x14ac:dyDescent="0.3">
      <c r="A7754" s="8">
        <v>2041366</v>
      </c>
      <c r="B7754" s="11">
        <v>44697</v>
      </c>
      <c r="C7754" s="13" t="s">
        <v>132</v>
      </c>
      <c r="D7754" s="13" t="s">
        <v>9684</v>
      </c>
      <c r="E7754" s="8">
        <v>3000</v>
      </c>
      <c r="F7754" s="13" t="s">
        <v>70</v>
      </c>
      <c r="G7754" s="14">
        <v>44708</v>
      </c>
      <c r="H7754" s="13" t="s">
        <v>35</v>
      </c>
    </row>
    <row r="7755" spans="1:8" ht="14.4" x14ac:dyDescent="0.3">
      <c r="A7755" s="8">
        <v>2041367</v>
      </c>
      <c r="B7755" s="11">
        <v>44697</v>
      </c>
      <c r="C7755" s="13" t="s">
        <v>131</v>
      </c>
      <c r="D7755" s="13" t="s">
        <v>9684</v>
      </c>
      <c r="E7755" s="8">
        <v>3000</v>
      </c>
      <c r="F7755" s="13" t="s">
        <v>70</v>
      </c>
      <c r="G7755" s="14">
        <v>44708</v>
      </c>
      <c r="H7755" s="13" t="s">
        <v>35</v>
      </c>
    </row>
    <row r="7756" spans="1:8" ht="14.4" x14ac:dyDescent="0.3">
      <c r="A7756" s="8">
        <v>2041368</v>
      </c>
      <c r="B7756" s="11">
        <v>44697</v>
      </c>
      <c r="C7756" s="13" t="s">
        <v>4684</v>
      </c>
      <c r="D7756" s="13" t="s">
        <v>9684</v>
      </c>
      <c r="E7756" s="8">
        <v>3000</v>
      </c>
      <c r="F7756" s="13" t="s">
        <v>70</v>
      </c>
      <c r="G7756" s="14">
        <v>44708</v>
      </c>
      <c r="H7756" s="13" t="s">
        <v>35</v>
      </c>
    </row>
    <row r="7757" spans="1:8" ht="14.4" x14ac:dyDescent="0.3">
      <c r="A7757" s="8">
        <v>2041369</v>
      </c>
      <c r="B7757" s="11">
        <v>44697</v>
      </c>
      <c r="C7757" s="13" t="s">
        <v>109</v>
      </c>
      <c r="D7757" s="13" t="s">
        <v>2200</v>
      </c>
      <c r="E7757" s="8">
        <v>6000</v>
      </c>
      <c r="F7757" s="13" t="s">
        <v>70</v>
      </c>
      <c r="G7757" s="14">
        <v>44700</v>
      </c>
      <c r="H7757" s="13" t="s">
        <v>35</v>
      </c>
    </row>
    <row r="7758" spans="1:8" ht="14.4" x14ac:dyDescent="0.3">
      <c r="A7758" s="8">
        <v>2041370</v>
      </c>
      <c r="B7758" s="11">
        <v>44697</v>
      </c>
      <c r="C7758" s="13" t="s">
        <v>9686</v>
      </c>
      <c r="D7758" s="13" t="s">
        <v>2186</v>
      </c>
      <c r="E7758" s="8">
        <v>15000</v>
      </c>
      <c r="F7758" s="13" t="s">
        <v>70</v>
      </c>
      <c r="G7758" s="14">
        <v>44704</v>
      </c>
      <c r="H7758" s="13" t="s">
        <v>35</v>
      </c>
    </row>
    <row r="7759" spans="1:8" ht="14.4" x14ac:dyDescent="0.3">
      <c r="A7759" s="8">
        <v>2041371</v>
      </c>
      <c r="B7759" s="11">
        <v>44697</v>
      </c>
      <c r="C7759" s="13" t="s">
        <v>71</v>
      </c>
      <c r="D7759" s="13" t="s">
        <v>9687</v>
      </c>
      <c r="E7759" s="8">
        <v>23136.2</v>
      </c>
      <c r="F7759" s="13" t="s">
        <v>70</v>
      </c>
      <c r="G7759" s="14">
        <v>44700</v>
      </c>
      <c r="H7759" s="13" t="s">
        <v>35</v>
      </c>
    </row>
    <row r="7760" spans="1:8" ht="14.4" x14ac:dyDescent="0.3">
      <c r="A7760" s="8">
        <v>2041372</v>
      </c>
      <c r="B7760" s="11">
        <v>44697</v>
      </c>
      <c r="C7760" s="13" t="s">
        <v>4981</v>
      </c>
      <c r="D7760" s="13" t="s">
        <v>2186</v>
      </c>
      <c r="E7760" s="8">
        <v>10000</v>
      </c>
      <c r="F7760" s="13" t="s">
        <v>70</v>
      </c>
      <c r="G7760" s="14">
        <v>44704</v>
      </c>
      <c r="H7760" s="13" t="s">
        <v>35</v>
      </c>
    </row>
    <row r="7761" spans="1:8" ht="14.4" x14ac:dyDescent="0.3">
      <c r="A7761" s="8">
        <v>2041373</v>
      </c>
      <c r="B7761" s="11">
        <v>44697</v>
      </c>
      <c r="C7761" s="13" t="s">
        <v>4982</v>
      </c>
      <c r="D7761" s="13" t="s">
        <v>2186</v>
      </c>
      <c r="E7761" s="8">
        <v>10000</v>
      </c>
      <c r="F7761" s="13" t="s">
        <v>70</v>
      </c>
      <c r="G7761" s="14">
        <v>44704</v>
      </c>
      <c r="H7761" s="13" t="s">
        <v>35</v>
      </c>
    </row>
    <row r="7762" spans="1:8" ht="14.4" x14ac:dyDescent="0.3">
      <c r="A7762" s="8">
        <v>2041374</v>
      </c>
      <c r="B7762" s="11">
        <v>44697</v>
      </c>
      <c r="C7762" s="13" t="s">
        <v>4983</v>
      </c>
      <c r="D7762" s="13" t="s">
        <v>2186</v>
      </c>
      <c r="E7762" s="8">
        <v>10000</v>
      </c>
      <c r="F7762" s="13" t="s">
        <v>70</v>
      </c>
      <c r="G7762" s="14">
        <v>44704</v>
      </c>
      <c r="H7762" s="13" t="s">
        <v>35</v>
      </c>
    </row>
    <row r="7763" spans="1:8" ht="14.4" x14ac:dyDescent="0.3">
      <c r="A7763" s="8">
        <v>2041375</v>
      </c>
      <c r="B7763" s="11">
        <v>44697</v>
      </c>
      <c r="C7763" s="13" t="s">
        <v>4984</v>
      </c>
      <c r="D7763" s="13" t="s">
        <v>9688</v>
      </c>
      <c r="E7763" s="8">
        <v>10000</v>
      </c>
      <c r="F7763" s="13" t="s">
        <v>70</v>
      </c>
      <c r="G7763" s="14">
        <v>44704</v>
      </c>
      <c r="H7763" s="13" t="s">
        <v>35</v>
      </c>
    </row>
    <row r="7764" spans="1:8" ht="14.4" x14ac:dyDescent="0.3">
      <c r="A7764" s="8">
        <v>2041376</v>
      </c>
      <c r="B7764" s="11">
        <v>44697</v>
      </c>
      <c r="C7764" s="13" t="s">
        <v>9689</v>
      </c>
      <c r="D7764" s="13" t="s">
        <v>9690</v>
      </c>
      <c r="E7764" s="8">
        <v>10000</v>
      </c>
      <c r="F7764" s="13" t="s">
        <v>70</v>
      </c>
      <c r="G7764" s="14">
        <v>44704</v>
      </c>
      <c r="H7764" s="13" t="s">
        <v>35</v>
      </c>
    </row>
    <row r="7765" spans="1:8" ht="14.4" x14ac:dyDescent="0.3">
      <c r="A7765" s="8">
        <v>2041377</v>
      </c>
      <c r="B7765" s="11">
        <v>44697</v>
      </c>
      <c r="C7765" s="13" t="s">
        <v>9691</v>
      </c>
      <c r="D7765" s="13" t="s">
        <v>9692</v>
      </c>
      <c r="E7765" s="8">
        <v>10000</v>
      </c>
      <c r="F7765" s="13" t="s">
        <v>70</v>
      </c>
      <c r="G7765" s="14">
        <v>44704</v>
      </c>
      <c r="H7765" s="13" t="s">
        <v>35</v>
      </c>
    </row>
    <row r="7766" spans="1:8" ht="14.4" x14ac:dyDescent="0.3">
      <c r="A7766" s="8">
        <v>2041378</v>
      </c>
      <c r="B7766" s="11">
        <v>44697</v>
      </c>
      <c r="C7766" s="13" t="s">
        <v>9693</v>
      </c>
      <c r="D7766" s="13" t="s">
        <v>9694</v>
      </c>
      <c r="E7766" s="8">
        <v>10000</v>
      </c>
      <c r="F7766" s="13" t="s">
        <v>70</v>
      </c>
      <c r="G7766" s="14">
        <v>44704</v>
      </c>
      <c r="H7766" s="13" t="s">
        <v>35</v>
      </c>
    </row>
    <row r="7767" spans="1:8" ht="14.4" x14ac:dyDescent="0.3">
      <c r="A7767" s="8">
        <v>2041379</v>
      </c>
      <c r="B7767" s="11">
        <v>44697</v>
      </c>
      <c r="C7767" s="13" t="s">
        <v>9695</v>
      </c>
      <c r="D7767" s="13" t="s">
        <v>2209</v>
      </c>
      <c r="E7767" s="8">
        <v>6000</v>
      </c>
      <c r="F7767" s="13" t="s">
        <v>70</v>
      </c>
      <c r="G7767" s="14">
        <v>44698</v>
      </c>
      <c r="H7767" s="13" t="s">
        <v>35</v>
      </c>
    </row>
    <row r="7768" spans="1:8" ht="14.4" x14ac:dyDescent="0.3">
      <c r="A7768" s="8">
        <v>2041380</v>
      </c>
      <c r="B7768" s="11">
        <v>44697</v>
      </c>
      <c r="C7768" s="13" t="s">
        <v>7415</v>
      </c>
      <c r="D7768" s="13" t="s">
        <v>9696</v>
      </c>
      <c r="E7768" s="8">
        <v>3000</v>
      </c>
      <c r="F7768" s="13" t="s">
        <v>70</v>
      </c>
      <c r="G7768" s="14">
        <v>44736</v>
      </c>
      <c r="H7768" s="13" t="s">
        <v>35</v>
      </c>
    </row>
    <row r="7769" spans="1:8" ht="14.4" x14ac:dyDescent="0.3">
      <c r="A7769" s="8">
        <v>2041381</v>
      </c>
      <c r="B7769" s="11">
        <v>44697</v>
      </c>
      <c r="C7769" s="13" t="s">
        <v>7419</v>
      </c>
      <c r="D7769" s="13" t="s">
        <v>9696</v>
      </c>
      <c r="E7769" s="8">
        <v>3000</v>
      </c>
      <c r="F7769" s="13" t="s">
        <v>70</v>
      </c>
      <c r="G7769" s="14">
        <v>44753</v>
      </c>
      <c r="H7769" s="13" t="s">
        <v>35</v>
      </c>
    </row>
    <row r="7770" spans="1:8" ht="14.4" x14ac:dyDescent="0.3">
      <c r="A7770" s="8">
        <v>2041382</v>
      </c>
      <c r="B7770" s="11">
        <v>44697</v>
      </c>
      <c r="C7770" s="13" t="s">
        <v>88</v>
      </c>
      <c r="D7770" s="13" t="s">
        <v>9696</v>
      </c>
      <c r="E7770" s="8">
        <v>3000</v>
      </c>
      <c r="F7770" s="13" t="s">
        <v>70</v>
      </c>
      <c r="G7770" s="14">
        <v>44740</v>
      </c>
      <c r="H7770" s="13" t="s">
        <v>35</v>
      </c>
    </row>
    <row r="7771" spans="1:8" ht="14.4" x14ac:dyDescent="0.3">
      <c r="A7771" s="8">
        <v>2041383</v>
      </c>
      <c r="B7771" s="11">
        <v>44697</v>
      </c>
      <c r="C7771" s="13" t="s">
        <v>7418</v>
      </c>
      <c r="D7771" s="13" t="s">
        <v>9696</v>
      </c>
      <c r="E7771" s="8">
        <v>3000</v>
      </c>
      <c r="F7771" s="13" t="s">
        <v>70</v>
      </c>
      <c r="G7771" s="14">
        <v>44736</v>
      </c>
      <c r="H7771" s="13" t="s">
        <v>35</v>
      </c>
    </row>
    <row r="7772" spans="1:8" ht="14.4" x14ac:dyDescent="0.3">
      <c r="A7772" s="8">
        <v>2041384</v>
      </c>
      <c r="B7772" s="11">
        <v>44697</v>
      </c>
      <c r="C7772" s="13" t="s">
        <v>9697</v>
      </c>
      <c r="D7772" s="13" t="s">
        <v>9696</v>
      </c>
      <c r="E7772" s="8">
        <v>3000</v>
      </c>
      <c r="F7772" s="13" t="s">
        <v>70</v>
      </c>
      <c r="G7772" s="14">
        <v>44736</v>
      </c>
      <c r="H7772" s="13" t="s">
        <v>35</v>
      </c>
    </row>
    <row r="7773" spans="1:8" ht="14.4" x14ac:dyDescent="0.3">
      <c r="A7773" s="8">
        <v>2041385</v>
      </c>
      <c r="B7773" s="11">
        <v>44697</v>
      </c>
      <c r="C7773" s="13" t="s">
        <v>9698</v>
      </c>
      <c r="D7773" s="13" t="s">
        <v>9696</v>
      </c>
      <c r="E7773" s="8">
        <v>3000</v>
      </c>
      <c r="F7773" s="13" t="s">
        <v>70</v>
      </c>
      <c r="G7773" s="14">
        <v>44736</v>
      </c>
      <c r="H7773" s="13" t="s">
        <v>35</v>
      </c>
    </row>
    <row r="7774" spans="1:8" ht="14.4" x14ac:dyDescent="0.3">
      <c r="A7774" s="8">
        <v>2041386</v>
      </c>
      <c r="B7774" s="11">
        <v>44697</v>
      </c>
      <c r="C7774" s="13" t="s">
        <v>9699</v>
      </c>
      <c r="D7774" s="13" t="s">
        <v>9696</v>
      </c>
      <c r="E7774" s="8">
        <v>3000</v>
      </c>
      <c r="F7774" s="13" t="s">
        <v>70</v>
      </c>
      <c r="G7774" s="14">
        <v>44736</v>
      </c>
      <c r="H7774" s="13" t="s">
        <v>35</v>
      </c>
    </row>
    <row r="7775" spans="1:8" ht="14.4" x14ac:dyDescent="0.3">
      <c r="A7775" s="8">
        <v>2041387</v>
      </c>
      <c r="B7775" s="11">
        <v>44697</v>
      </c>
      <c r="C7775" s="13" t="s">
        <v>7420</v>
      </c>
      <c r="D7775" s="13" t="s">
        <v>9696</v>
      </c>
      <c r="E7775" s="8">
        <v>3000</v>
      </c>
      <c r="F7775" s="13" t="s">
        <v>70</v>
      </c>
      <c r="G7775" s="14">
        <v>44736</v>
      </c>
      <c r="H7775" s="13" t="s">
        <v>35</v>
      </c>
    </row>
    <row r="7776" spans="1:8" ht="14.4" x14ac:dyDescent="0.3">
      <c r="A7776" s="8">
        <v>2041388</v>
      </c>
      <c r="B7776" s="11">
        <v>44697</v>
      </c>
      <c r="C7776" s="13" t="s">
        <v>9700</v>
      </c>
      <c r="D7776" s="13" t="s">
        <v>9701</v>
      </c>
      <c r="E7776" s="8">
        <v>10000</v>
      </c>
      <c r="F7776" s="13" t="s">
        <v>70</v>
      </c>
      <c r="G7776" s="14">
        <v>44698</v>
      </c>
      <c r="H7776" s="13" t="s">
        <v>35</v>
      </c>
    </row>
    <row r="7777" spans="1:8" ht="14.4" x14ac:dyDescent="0.3">
      <c r="A7777" s="8">
        <v>2041389</v>
      </c>
      <c r="B7777" s="11">
        <v>44697</v>
      </c>
      <c r="C7777" s="13" t="s">
        <v>9702</v>
      </c>
      <c r="D7777" s="13" t="s">
        <v>9703</v>
      </c>
      <c r="E7777" s="8">
        <v>30000</v>
      </c>
      <c r="F7777" s="13" t="s">
        <v>70</v>
      </c>
      <c r="G7777" s="14">
        <v>44698</v>
      </c>
      <c r="H7777" s="13" t="s">
        <v>35</v>
      </c>
    </row>
    <row r="7778" spans="1:8" ht="14.4" x14ac:dyDescent="0.3">
      <c r="A7778" s="8">
        <v>2041391</v>
      </c>
      <c r="B7778" s="11">
        <v>44697</v>
      </c>
      <c r="C7778" s="13" t="s">
        <v>9704</v>
      </c>
      <c r="D7778" s="13" t="s">
        <v>9705</v>
      </c>
      <c r="E7778" s="8">
        <v>1001.2</v>
      </c>
      <c r="F7778" s="13" t="s">
        <v>70</v>
      </c>
      <c r="G7778" s="14">
        <v>44701</v>
      </c>
      <c r="H7778" s="13" t="s">
        <v>35</v>
      </c>
    </row>
    <row r="7779" spans="1:8" ht="14.4" x14ac:dyDescent="0.3">
      <c r="A7779" s="8">
        <v>2041392</v>
      </c>
      <c r="B7779" s="11">
        <v>44697</v>
      </c>
      <c r="C7779" s="13" t="s">
        <v>9706</v>
      </c>
      <c r="D7779" s="13" t="s">
        <v>9707</v>
      </c>
      <c r="E7779" s="8">
        <v>14062.5</v>
      </c>
      <c r="F7779" s="13" t="s">
        <v>70</v>
      </c>
      <c r="G7779" s="14">
        <v>44704</v>
      </c>
      <c r="H7779" s="13" t="s">
        <v>35</v>
      </c>
    </row>
    <row r="7780" spans="1:8" ht="14.4" x14ac:dyDescent="0.3">
      <c r="A7780" s="8">
        <v>2041393</v>
      </c>
      <c r="B7780" s="11">
        <v>44697</v>
      </c>
      <c r="C7780" s="13" t="s">
        <v>9708</v>
      </c>
      <c r="D7780" s="13" t="s">
        <v>9709</v>
      </c>
      <c r="E7780" s="8">
        <v>936.56</v>
      </c>
      <c r="F7780" s="13" t="s">
        <v>70</v>
      </c>
      <c r="G7780" s="14">
        <v>44701</v>
      </c>
      <c r="H7780" s="13" t="s">
        <v>35</v>
      </c>
    </row>
    <row r="7781" spans="1:8" ht="14.4" x14ac:dyDescent="0.3">
      <c r="A7781" s="8">
        <v>2041394</v>
      </c>
      <c r="B7781" s="11">
        <v>44697</v>
      </c>
      <c r="C7781" s="13" t="s">
        <v>9704</v>
      </c>
      <c r="D7781" s="13" t="s">
        <v>9710</v>
      </c>
      <c r="E7781" s="8">
        <v>3795.73</v>
      </c>
      <c r="F7781" s="13" t="s">
        <v>70</v>
      </c>
      <c r="G7781" s="14">
        <v>44697</v>
      </c>
      <c r="H7781" s="13" t="s">
        <v>35</v>
      </c>
    </row>
    <row r="7782" spans="1:8" ht="14.4" x14ac:dyDescent="0.3">
      <c r="A7782" s="8">
        <v>2041395</v>
      </c>
      <c r="B7782" s="11">
        <v>44697</v>
      </c>
      <c r="C7782" s="13" t="s">
        <v>9711</v>
      </c>
      <c r="D7782" s="13" t="s">
        <v>9696</v>
      </c>
      <c r="E7782" s="8">
        <v>150</v>
      </c>
      <c r="F7782" s="13" t="s">
        <v>70</v>
      </c>
      <c r="G7782" s="14">
        <v>44720</v>
      </c>
      <c r="H7782" s="13" t="s">
        <v>35</v>
      </c>
    </row>
    <row r="7783" spans="1:8" ht="14.4" x14ac:dyDescent="0.3">
      <c r="A7783" s="8">
        <v>2041396</v>
      </c>
      <c r="B7783" s="11">
        <v>44697</v>
      </c>
      <c r="C7783" s="13" t="s">
        <v>9706</v>
      </c>
      <c r="D7783" s="13" t="s">
        <v>9712</v>
      </c>
      <c r="E7783" s="8">
        <v>71741.25</v>
      </c>
      <c r="F7783" s="13" t="s">
        <v>70</v>
      </c>
      <c r="G7783" s="14">
        <v>44704</v>
      </c>
      <c r="H7783" s="13" t="s">
        <v>35</v>
      </c>
    </row>
    <row r="7784" spans="1:8" ht="14.4" x14ac:dyDescent="0.3">
      <c r="A7784" s="8">
        <v>2041397</v>
      </c>
      <c r="B7784" s="11">
        <v>44697</v>
      </c>
      <c r="C7784" s="13" t="s">
        <v>9706</v>
      </c>
      <c r="D7784" s="13" t="s">
        <v>9713</v>
      </c>
      <c r="E7784" s="8">
        <v>75000</v>
      </c>
      <c r="F7784" s="13" t="s">
        <v>70</v>
      </c>
      <c r="G7784" s="14">
        <v>44704</v>
      </c>
      <c r="H7784" s="13" t="s">
        <v>35</v>
      </c>
    </row>
    <row r="7785" spans="1:8" ht="14.4" x14ac:dyDescent="0.3">
      <c r="A7785" s="8">
        <v>2041398</v>
      </c>
      <c r="B7785" s="11">
        <v>44697</v>
      </c>
      <c r="C7785" s="13" t="s">
        <v>124</v>
      </c>
      <c r="D7785" s="13" t="s">
        <v>9714</v>
      </c>
      <c r="E7785" s="8">
        <v>8191.14</v>
      </c>
      <c r="F7785" s="13" t="s">
        <v>70</v>
      </c>
      <c r="G7785" s="14">
        <v>44742</v>
      </c>
      <c r="H7785" s="13" t="s">
        <v>35</v>
      </c>
    </row>
    <row r="7786" spans="1:8" ht="14.4" x14ac:dyDescent="0.3">
      <c r="A7786" s="8">
        <v>2041399</v>
      </c>
      <c r="B7786" s="11">
        <v>44697</v>
      </c>
      <c r="C7786" s="13" t="s">
        <v>9715</v>
      </c>
      <c r="D7786" s="13" t="s">
        <v>9716</v>
      </c>
      <c r="E7786" s="8">
        <v>9598</v>
      </c>
      <c r="F7786" s="13" t="s">
        <v>70</v>
      </c>
      <c r="G7786" s="14">
        <v>44701</v>
      </c>
      <c r="H7786" s="13" t="s">
        <v>35</v>
      </c>
    </row>
    <row r="7787" spans="1:8" ht="14.4" x14ac:dyDescent="0.3">
      <c r="A7787" s="8">
        <v>2041400</v>
      </c>
      <c r="B7787" s="11">
        <v>44697</v>
      </c>
      <c r="C7787" s="13" t="s">
        <v>4105</v>
      </c>
      <c r="D7787" s="13" t="s">
        <v>9705</v>
      </c>
      <c r="E7787" s="8">
        <v>20227.52</v>
      </c>
      <c r="F7787" s="13" t="s">
        <v>70</v>
      </c>
      <c r="G7787" s="14">
        <v>44708</v>
      </c>
      <c r="H7787" s="13" t="s">
        <v>35</v>
      </c>
    </row>
    <row r="7788" spans="1:8" ht="14.4" x14ac:dyDescent="0.3">
      <c r="A7788" s="8">
        <v>2041401</v>
      </c>
      <c r="B7788" s="11">
        <v>44697</v>
      </c>
      <c r="C7788" s="13" t="s">
        <v>9717</v>
      </c>
      <c r="D7788" s="13" t="s">
        <v>9718</v>
      </c>
      <c r="E7788" s="8">
        <v>558</v>
      </c>
      <c r="F7788" s="13" t="s">
        <v>70</v>
      </c>
      <c r="G7788" s="14">
        <v>44720</v>
      </c>
      <c r="H7788" s="13" t="s">
        <v>35</v>
      </c>
    </row>
    <row r="7789" spans="1:8" ht="14.4" x14ac:dyDescent="0.3">
      <c r="A7789" s="8">
        <v>2041402</v>
      </c>
      <c r="B7789" s="11">
        <v>44697</v>
      </c>
      <c r="C7789" s="13" t="s">
        <v>1689</v>
      </c>
      <c r="D7789" s="13" t="s">
        <v>9719</v>
      </c>
      <c r="E7789" s="8">
        <v>4200</v>
      </c>
      <c r="F7789" s="13" t="s">
        <v>70</v>
      </c>
      <c r="G7789" s="14">
        <v>44704</v>
      </c>
      <c r="H7789" s="13" t="s">
        <v>35</v>
      </c>
    </row>
    <row r="7790" spans="1:8" ht="14.4" x14ac:dyDescent="0.3">
      <c r="A7790" s="8">
        <v>2041403</v>
      </c>
      <c r="B7790" s="11">
        <v>44697</v>
      </c>
      <c r="C7790" s="13" t="s">
        <v>1664</v>
      </c>
      <c r="D7790" s="13" t="s">
        <v>9720</v>
      </c>
      <c r="E7790" s="8">
        <v>4500</v>
      </c>
      <c r="F7790" s="13" t="s">
        <v>70</v>
      </c>
      <c r="G7790" s="14">
        <v>44704</v>
      </c>
      <c r="H7790" s="13" t="s">
        <v>35</v>
      </c>
    </row>
    <row r="7791" spans="1:8" ht="14.4" x14ac:dyDescent="0.3">
      <c r="A7791" s="8">
        <v>2041404</v>
      </c>
      <c r="B7791" s="11">
        <v>44697</v>
      </c>
      <c r="C7791" s="13" t="s">
        <v>601</v>
      </c>
      <c r="D7791" s="13" t="s">
        <v>9721</v>
      </c>
      <c r="E7791" s="8">
        <v>56250</v>
      </c>
      <c r="F7791" s="13" t="s">
        <v>70</v>
      </c>
      <c r="G7791" s="14">
        <v>44707</v>
      </c>
      <c r="H7791" s="13" t="s">
        <v>35</v>
      </c>
    </row>
    <row r="7792" spans="1:8" ht="14.4" x14ac:dyDescent="0.3">
      <c r="A7792" s="8">
        <v>2041405</v>
      </c>
      <c r="B7792" s="11">
        <v>44697</v>
      </c>
      <c r="C7792" s="13" t="s">
        <v>669</v>
      </c>
      <c r="D7792" s="13" t="s">
        <v>9722</v>
      </c>
      <c r="E7792" s="8">
        <v>55500</v>
      </c>
      <c r="F7792" s="13" t="s">
        <v>70</v>
      </c>
      <c r="G7792" s="14">
        <v>44708</v>
      </c>
      <c r="H7792" s="13" t="s">
        <v>35</v>
      </c>
    </row>
    <row r="7793" spans="1:8" ht="14.4" x14ac:dyDescent="0.3">
      <c r="A7793" s="8">
        <v>2041406</v>
      </c>
      <c r="B7793" s="11">
        <v>44697</v>
      </c>
      <c r="C7793" s="13" t="s">
        <v>893</v>
      </c>
      <c r="D7793" s="13" t="s">
        <v>9714</v>
      </c>
      <c r="E7793" s="8">
        <v>354000</v>
      </c>
      <c r="F7793" s="13" t="s">
        <v>70</v>
      </c>
      <c r="G7793" s="14">
        <v>44708</v>
      </c>
      <c r="H7793" s="13" t="s">
        <v>35</v>
      </c>
    </row>
    <row r="7794" spans="1:8" ht="14.4" x14ac:dyDescent="0.3">
      <c r="A7794" s="8">
        <v>2041407</v>
      </c>
      <c r="B7794" s="11">
        <v>44697</v>
      </c>
      <c r="C7794" s="13" t="s">
        <v>873</v>
      </c>
      <c r="D7794" s="13" t="s">
        <v>9723</v>
      </c>
      <c r="E7794" s="8">
        <v>20000</v>
      </c>
      <c r="F7794" s="13" t="s">
        <v>70</v>
      </c>
      <c r="G7794" s="14">
        <v>44699</v>
      </c>
      <c r="H7794" s="13" t="s">
        <v>35</v>
      </c>
    </row>
    <row r="7795" spans="1:8" ht="14.4" x14ac:dyDescent="0.3">
      <c r="A7795" s="8">
        <v>2041408</v>
      </c>
      <c r="B7795" s="11">
        <v>44697</v>
      </c>
      <c r="C7795" s="13" t="s">
        <v>282</v>
      </c>
      <c r="D7795" s="13" t="s">
        <v>9724</v>
      </c>
      <c r="E7795" s="8">
        <v>20000</v>
      </c>
      <c r="F7795" s="13" t="s">
        <v>70</v>
      </c>
      <c r="G7795" s="14">
        <v>44699</v>
      </c>
      <c r="H7795" s="13" t="s">
        <v>35</v>
      </c>
    </row>
    <row r="7796" spans="1:8" ht="14.4" x14ac:dyDescent="0.3">
      <c r="A7796" s="8">
        <v>2041409</v>
      </c>
      <c r="B7796" s="11">
        <v>44697</v>
      </c>
      <c r="C7796" s="13" t="s">
        <v>265</v>
      </c>
      <c r="D7796" s="13" t="s">
        <v>9725</v>
      </c>
      <c r="E7796" s="8">
        <v>159790.6</v>
      </c>
      <c r="F7796" s="13" t="s">
        <v>70</v>
      </c>
      <c r="G7796" s="14">
        <v>44699</v>
      </c>
      <c r="H7796" s="13" t="s">
        <v>35</v>
      </c>
    </row>
    <row r="7797" spans="1:8" ht="14.4" x14ac:dyDescent="0.3">
      <c r="A7797" s="8">
        <v>2041410</v>
      </c>
      <c r="B7797" s="11">
        <v>44697</v>
      </c>
      <c r="C7797" s="13" t="s">
        <v>159</v>
      </c>
      <c r="D7797" s="13" t="s">
        <v>9726</v>
      </c>
      <c r="E7797" s="8">
        <v>389200</v>
      </c>
      <c r="F7797" s="13" t="s">
        <v>70</v>
      </c>
      <c r="G7797" s="14">
        <v>44697</v>
      </c>
      <c r="H7797" s="13" t="s">
        <v>35</v>
      </c>
    </row>
    <row r="7798" spans="1:8" ht="14.4" x14ac:dyDescent="0.3">
      <c r="A7798" s="8">
        <v>2041411</v>
      </c>
      <c r="B7798" s="11">
        <v>44697</v>
      </c>
      <c r="C7798" s="13" t="s">
        <v>9727</v>
      </c>
      <c r="D7798" s="13" t="s">
        <v>9728</v>
      </c>
      <c r="E7798" s="8">
        <v>6000</v>
      </c>
      <c r="F7798" s="13" t="s">
        <v>70</v>
      </c>
      <c r="G7798" s="14">
        <v>44712</v>
      </c>
      <c r="H7798" s="13" t="s">
        <v>35</v>
      </c>
    </row>
    <row r="7799" spans="1:8" ht="14.4" x14ac:dyDescent="0.3">
      <c r="A7799" s="8">
        <v>2041412</v>
      </c>
      <c r="B7799" s="11">
        <v>44697</v>
      </c>
      <c r="C7799" s="13" t="s">
        <v>8023</v>
      </c>
      <c r="D7799" s="13" t="s">
        <v>9729</v>
      </c>
      <c r="E7799" s="8">
        <v>5943.84</v>
      </c>
      <c r="F7799" s="13" t="s">
        <v>70</v>
      </c>
      <c r="G7799" s="14">
        <v>44698</v>
      </c>
      <c r="H7799" s="13" t="s">
        <v>35</v>
      </c>
    </row>
    <row r="7800" spans="1:8" ht="14.4" x14ac:dyDescent="0.3">
      <c r="A7800" s="8">
        <v>2041415</v>
      </c>
      <c r="B7800" s="11">
        <v>44697</v>
      </c>
      <c r="C7800" s="13" t="s">
        <v>893</v>
      </c>
      <c r="D7800" s="13" t="s">
        <v>2001</v>
      </c>
      <c r="E7800" s="8">
        <v>162000</v>
      </c>
      <c r="F7800" s="13" t="s">
        <v>70</v>
      </c>
      <c r="G7800" s="14">
        <v>44708</v>
      </c>
      <c r="H7800" s="13" t="s">
        <v>35</v>
      </c>
    </row>
    <row r="7801" spans="1:8" ht="14.4" x14ac:dyDescent="0.3">
      <c r="A7801" s="8">
        <v>2041416</v>
      </c>
      <c r="B7801" s="11">
        <v>44697</v>
      </c>
      <c r="C7801" s="13" t="s">
        <v>506</v>
      </c>
      <c r="D7801" s="13" t="s">
        <v>9730</v>
      </c>
      <c r="E7801" s="8">
        <v>82000</v>
      </c>
      <c r="F7801" s="13" t="s">
        <v>70</v>
      </c>
      <c r="G7801" s="14">
        <v>44708</v>
      </c>
      <c r="H7801" s="13" t="s">
        <v>35</v>
      </c>
    </row>
    <row r="7802" spans="1:8" ht="14.4" x14ac:dyDescent="0.3">
      <c r="A7802" s="8">
        <v>2041417</v>
      </c>
      <c r="B7802" s="11">
        <v>44697</v>
      </c>
      <c r="C7802" s="13" t="s">
        <v>9731</v>
      </c>
      <c r="D7802" s="13" t="s">
        <v>9732</v>
      </c>
      <c r="E7802" s="8">
        <v>63372</v>
      </c>
      <c r="F7802" s="13" t="s">
        <v>70</v>
      </c>
      <c r="G7802" s="14">
        <v>44699</v>
      </c>
      <c r="H7802" s="13" t="s">
        <v>35</v>
      </c>
    </row>
    <row r="7803" spans="1:8" ht="14.4" x14ac:dyDescent="0.3">
      <c r="A7803" s="8">
        <v>2041418</v>
      </c>
      <c r="B7803" s="11">
        <v>44697</v>
      </c>
      <c r="C7803" s="13" t="s">
        <v>395</v>
      </c>
      <c r="D7803" s="13" t="s">
        <v>9733</v>
      </c>
      <c r="E7803" s="8">
        <v>31168</v>
      </c>
      <c r="F7803" s="13" t="s">
        <v>70</v>
      </c>
      <c r="G7803" s="14">
        <v>44701</v>
      </c>
      <c r="H7803" s="13" t="s">
        <v>35</v>
      </c>
    </row>
    <row r="7804" spans="1:8" ht="14.4" x14ac:dyDescent="0.3">
      <c r="A7804" s="8">
        <v>2041419</v>
      </c>
      <c r="B7804" s="11">
        <v>44697</v>
      </c>
      <c r="C7804" s="13" t="s">
        <v>669</v>
      </c>
      <c r="D7804" s="13" t="s">
        <v>9734</v>
      </c>
      <c r="E7804" s="8">
        <v>60000</v>
      </c>
      <c r="F7804" s="13" t="s">
        <v>70</v>
      </c>
      <c r="G7804" s="14">
        <v>44708</v>
      </c>
      <c r="H7804" s="13" t="s">
        <v>35</v>
      </c>
    </row>
    <row r="7805" spans="1:8" ht="14.4" x14ac:dyDescent="0.3">
      <c r="A7805" s="8">
        <v>2041420</v>
      </c>
      <c r="B7805" s="11">
        <v>44697</v>
      </c>
      <c r="C7805" s="13" t="s">
        <v>5242</v>
      </c>
      <c r="D7805" s="13" t="s">
        <v>9735</v>
      </c>
      <c r="E7805" s="8">
        <v>5000</v>
      </c>
      <c r="F7805" s="13" t="s">
        <v>70</v>
      </c>
      <c r="G7805" s="14">
        <v>44708</v>
      </c>
      <c r="H7805" s="13" t="s">
        <v>35</v>
      </c>
    </row>
    <row r="7806" spans="1:8" ht="14.4" x14ac:dyDescent="0.3">
      <c r="A7806" s="8">
        <v>2041421</v>
      </c>
      <c r="B7806" s="11">
        <v>44697</v>
      </c>
      <c r="C7806" s="13" t="s">
        <v>893</v>
      </c>
      <c r="D7806" s="13" t="s">
        <v>9736</v>
      </c>
      <c r="E7806" s="8">
        <v>304500</v>
      </c>
      <c r="F7806" s="13" t="s">
        <v>70</v>
      </c>
      <c r="G7806" s="14">
        <v>44708</v>
      </c>
      <c r="H7806" s="13" t="s">
        <v>35</v>
      </c>
    </row>
    <row r="7807" spans="1:8" ht="14.4" x14ac:dyDescent="0.3">
      <c r="A7807" s="8">
        <v>2041422</v>
      </c>
      <c r="B7807" s="11">
        <v>44697</v>
      </c>
      <c r="C7807" s="13" t="s">
        <v>615</v>
      </c>
      <c r="D7807" s="13" t="s">
        <v>9737</v>
      </c>
      <c r="E7807" s="8">
        <v>5942</v>
      </c>
      <c r="F7807" s="13" t="s">
        <v>70</v>
      </c>
      <c r="G7807" s="14">
        <v>44699</v>
      </c>
      <c r="H7807" s="13" t="s">
        <v>35</v>
      </c>
    </row>
    <row r="7808" spans="1:8" ht="14.4" x14ac:dyDescent="0.3">
      <c r="A7808" s="8">
        <v>2041423</v>
      </c>
      <c r="B7808" s="11">
        <v>44697</v>
      </c>
      <c r="C7808" s="13" t="s">
        <v>9738</v>
      </c>
      <c r="D7808" s="13" t="s">
        <v>100</v>
      </c>
      <c r="E7808" s="8">
        <v>8000</v>
      </c>
      <c r="F7808" s="13" t="s">
        <v>70</v>
      </c>
      <c r="G7808" s="14">
        <v>44700</v>
      </c>
      <c r="H7808" s="13" t="s">
        <v>35</v>
      </c>
    </row>
    <row r="7809" spans="1:8" ht="14.4" x14ac:dyDescent="0.3">
      <c r="A7809" s="8">
        <v>2041424</v>
      </c>
      <c r="B7809" s="11">
        <v>44697</v>
      </c>
      <c r="C7809" s="13" t="s">
        <v>9739</v>
      </c>
      <c r="D7809" s="13" t="s">
        <v>9740</v>
      </c>
      <c r="E7809" s="8">
        <v>10000</v>
      </c>
      <c r="F7809" s="13" t="s">
        <v>70</v>
      </c>
      <c r="G7809" s="14">
        <v>44700</v>
      </c>
      <c r="H7809" s="13" t="s">
        <v>35</v>
      </c>
    </row>
    <row r="7810" spans="1:8" ht="14.4" x14ac:dyDescent="0.3">
      <c r="A7810" s="8">
        <v>2041425</v>
      </c>
      <c r="B7810" s="11">
        <v>44697</v>
      </c>
      <c r="C7810" s="13" t="s">
        <v>9741</v>
      </c>
      <c r="D7810" s="13" t="s">
        <v>9742</v>
      </c>
      <c r="E7810" s="8">
        <v>10000</v>
      </c>
      <c r="F7810" s="13" t="s">
        <v>70</v>
      </c>
      <c r="G7810" s="14">
        <v>44700</v>
      </c>
      <c r="H7810" s="13" t="s">
        <v>35</v>
      </c>
    </row>
    <row r="7811" spans="1:8" ht="14.4" x14ac:dyDescent="0.3">
      <c r="A7811" s="8">
        <v>2041426</v>
      </c>
      <c r="B7811" s="11">
        <v>44697</v>
      </c>
      <c r="C7811" s="13" t="s">
        <v>9743</v>
      </c>
      <c r="D7811" s="13" t="s">
        <v>9744</v>
      </c>
      <c r="E7811" s="8">
        <v>9000</v>
      </c>
      <c r="F7811" s="13" t="s">
        <v>70</v>
      </c>
      <c r="G7811" s="14">
        <v>44700</v>
      </c>
      <c r="H7811" s="13" t="s">
        <v>35</v>
      </c>
    </row>
    <row r="7812" spans="1:8" ht="14.4" x14ac:dyDescent="0.3">
      <c r="A7812" s="8">
        <v>2041427</v>
      </c>
      <c r="B7812" s="11">
        <v>44697</v>
      </c>
      <c r="C7812" s="13" t="s">
        <v>9423</v>
      </c>
      <c r="D7812" s="13" t="s">
        <v>149</v>
      </c>
      <c r="E7812" s="8">
        <v>31517</v>
      </c>
      <c r="F7812" s="13" t="s">
        <v>70</v>
      </c>
      <c r="G7812" s="14">
        <v>44700</v>
      </c>
      <c r="H7812" s="13" t="s">
        <v>35</v>
      </c>
    </row>
    <row r="7813" spans="1:8" ht="14.4" x14ac:dyDescent="0.3">
      <c r="A7813" s="8">
        <v>2041428</v>
      </c>
      <c r="B7813" s="11">
        <v>44697</v>
      </c>
      <c r="C7813" s="13" t="s">
        <v>9745</v>
      </c>
      <c r="D7813" s="13" t="s">
        <v>9746</v>
      </c>
      <c r="E7813" s="8">
        <v>15000</v>
      </c>
      <c r="F7813" s="13" t="s">
        <v>70</v>
      </c>
      <c r="G7813" s="14">
        <v>44700</v>
      </c>
      <c r="H7813" s="13" t="s">
        <v>35</v>
      </c>
    </row>
    <row r="7814" spans="1:8" ht="14.4" x14ac:dyDescent="0.3">
      <c r="A7814" s="8">
        <v>2041429</v>
      </c>
      <c r="B7814" s="11">
        <v>44697</v>
      </c>
      <c r="C7814" s="13" t="s">
        <v>9747</v>
      </c>
      <c r="D7814" s="13" t="s">
        <v>9748</v>
      </c>
      <c r="E7814" s="8">
        <v>10000</v>
      </c>
      <c r="F7814" s="13" t="s">
        <v>70</v>
      </c>
      <c r="G7814" s="14">
        <v>44708</v>
      </c>
      <c r="H7814" s="13" t="s">
        <v>35</v>
      </c>
    </row>
    <row r="7815" spans="1:8" ht="14.4" x14ac:dyDescent="0.3">
      <c r="A7815" s="8">
        <v>2041430</v>
      </c>
      <c r="B7815" s="11">
        <v>44697</v>
      </c>
      <c r="C7815" s="13" t="s">
        <v>9749</v>
      </c>
      <c r="D7815" s="13" t="s">
        <v>9750</v>
      </c>
      <c r="E7815" s="8">
        <v>10000</v>
      </c>
      <c r="F7815" s="13" t="s">
        <v>70</v>
      </c>
      <c r="G7815" s="14">
        <v>44700</v>
      </c>
      <c r="H7815" s="13" t="s">
        <v>35</v>
      </c>
    </row>
    <row r="7816" spans="1:8" ht="14.4" x14ac:dyDescent="0.3">
      <c r="A7816" s="8">
        <v>2041431</v>
      </c>
      <c r="B7816" s="11">
        <v>44697</v>
      </c>
      <c r="C7816" s="13" t="s">
        <v>9751</v>
      </c>
      <c r="D7816" s="13" t="s">
        <v>9752</v>
      </c>
      <c r="E7816" s="8">
        <v>10000</v>
      </c>
      <c r="F7816" s="13" t="s">
        <v>70</v>
      </c>
      <c r="G7816" s="14">
        <v>44700</v>
      </c>
      <c r="H7816" s="13" t="s">
        <v>35</v>
      </c>
    </row>
    <row r="7817" spans="1:8" ht="14.4" x14ac:dyDescent="0.3">
      <c r="A7817" s="8">
        <v>2041432</v>
      </c>
      <c r="B7817" s="11">
        <v>44697</v>
      </c>
      <c r="C7817" s="13" t="s">
        <v>9753</v>
      </c>
      <c r="D7817" s="13" t="s">
        <v>9754</v>
      </c>
      <c r="E7817" s="8">
        <v>20000</v>
      </c>
      <c r="F7817" s="13" t="s">
        <v>70</v>
      </c>
      <c r="G7817" s="14">
        <v>44700</v>
      </c>
      <c r="H7817" s="13" t="s">
        <v>35</v>
      </c>
    </row>
    <row r="7818" spans="1:8" ht="14.4" x14ac:dyDescent="0.3">
      <c r="A7818" s="8">
        <v>2041433</v>
      </c>
      <c r="B7818" s="11">
        <v>44697</v>
      </c>
      <c r="C7818" s="13" t="s">
        <v>9755</v>
      </c>
      <c r="D7818" s="13" t="s">
        <v>9756</v>
      </c>
      <c r="E7818" s="8">
        <v>25000</v>
      </c>
      <c r="F7818" s="13" t="s">
        <v>70</v>
      </c>
      <c r="G7818" s="14">
        <v>44700</v>
      </c>
      <c r="H7818" s="13" t="s">
        <v>35</v>
      </c>
    </row>
    <row r="7819" spans="1:8" ht="14.4" x14ac:dyDescent="0.3">
      <c r="A7819" s="8">
        <v>2041435</v>
      </c>
      <c r="B7819" s="11">
        <v>44697</v>
      </c>
      <c r="C7819" s="13" t="s">
        <v>9757</v>
      </c>
      <c r="D7819" s="13" t="s">
        <v>9758</v>
      </c>
      <c r="E7819" s="8">
        <v>8000</v>
      </c>
      <c r="F7819" s="13" t="s">
        <v>70</v>
      </c>
      <c r="G7819" s="14">
        <v>44700</v>
      </c>
      <c r="H7819" s="13" t="s">
        <v>35</v>
      </c>
    </row>
    <row r="7820" spans="1:8" ht="14.4" x14ac:dyDescent="0.3">
      <c r="A7820" s="8">
        <v>2041436</v>
      </c>
      <c r="B7820" s="11">
        <v>44697</v>
      </c>
      <c r="C7820" s="13" t="s">
        <v>9759</v>
      </c>
      <c r="D7820" s="13" t="s">
        <v>9760</v>
      </c>
      <c r="E7820" s="8">
        <v>20000</v>
      </c>
      <c r="F7820" s="13" t="s">
        <v>70</v>
      </c>
      <c r="G7820" s="14">
        <v>44701</v>
      </c>
      <c r="H7820" s="13" t="s">
        <v>35</v>
      </c>
    </row>
    <row r="7821" spans="1:8" ht="14.4" x14ac:dyDescent="0.3">
      <c r="A7821" s="8">
        <v>2041437</v>
      </c>
      <c r="B7821" s="11">
        <v>44697</v>
      </c>
      <c r="C7821" s="13" t="s">
        <v>9761</v>
      </c>
      <c r="D7821" s="13" t="s">
        <v>9762</v>
      </c>
      <c r="E7821" s="8">
        <v>50000</v>
      </c>
      <c r="F7821" s="13" t="s">
        <v>70</v>
      </c>
      <c r="G7821" s="14">
        <v>44701</v>
      </c>
      <c r="H7821" s="13" t="s">
        <v>35</v>
      </c>
    </row>
    <row r="7822" spans="1:8" ht="14.4" x14ac:dyDescent="0.3">
      <c r="A7822" s="8">
        <v>2041438</v>
      </c>
      <c r="B7822" s="11">
        <v>44697</v>
      </c>
      <c r="C7822" s="13" t="s">
        <v>9763</v>
      </c>
      <c r="D7822" s="13" t="s">
        <v>150</v>
      </c>
      <c r="E7822" s="8">
        <v>6000</v>
      </c>
      <c r="F7822" s="13" t="s">
        <v>70</v>
      </c>
      <c r="G7822" s="14">
        <v>44701</v>
      </c>
      <c r="H7822" s="13" t="s">
        <v>35</v>
      </c>
    </row>
    <row r="7823" spans="1:8" ht="14.4" x14ac:dyDescent="0.3">
      <c r="A7823" s="8">
        <v>2041439</v>
      </c>
      <c r="B7823" s="11">
        <v>44697</v>
      </c>
      <c r="C7823" s="13" t="s">
        <v>9764</v>
      </c>
      <c r="D7823" s="13" t="s">
        <v>9765</v>
      </c>
      <c r="E7823" s="8">
        <v>10000</v>
      </c>
      <c r="F7823" s="13" t="s">
        <v>70</v>
      </c>
      <c r="G7823" s="14">
        <v>44704</v>
      </c>
      <c r="H7823" s="13" t="s">
        <v>35</v>
      </c>
    </row>
    <row r="7824" spans="1:8" ht="14.4" x14ac:dyDescent="0.3">
      <c r="A7824" s="8">
        <v>2041440</v>
      </c>
      <c r="B7824" s="11">
        <v>44697</v>
      </c>
      <c r="C7824" s="13" t="s">
        <v>99</v>
      </c>
      <c r="D7824" s="13" t="s">
        <v>9766</v>
      </c>
      <c r="E7824" s="8">
        <v>20000</v>
      </c>
      <c r="F7824" s="13" t="s">
        <v>70</v>
      </c>
      <c r="G7824" s="14">
        <v>44707</v>
      </c>
      <c r="H7824" s="13" t="s">
        <v>35</v>
      </c>
    </row>
    <row r="7825" spans="1:8" ht="14.4" x14ac:dyDescent="0.3">
      <c r="A7825" s="8">
        <v>2041441</v>
      </c>
      <c r="B7825" s="11">
        <v>44697</v>
      </c>
      <c r="C7825" s="13" t="s">
        <v>9767</v>
      </c>
      <c r="D7825" s="13" t="s">
        <v>9768</v>
      </c>
      <c r="E7825" s="8">
        <v>15000</v>
      </c>
      <c r="F7825" s="13" t="s">
        <v>70</v>
      </c>
      <c r="G7825" s="14">
        <v>44701</v>
      </c>
      <c r="H7825" s="13" t="s">
        <v>35</v>
      </c>
    </row>
    <row r="7826" spans="1:8" ht="14.4" x14ac:dyDescent="0.3">
      <c r="A7826" s="8">
        <v>2041442</v>
      </c>
      <c r="B7826" s="11">
        <v>44697</v>
      </c>
      <c r="C7826" s="13" t="s">
        <v>9769</v>
      </c>
      <c r="D7826" s="13" t="s">
        <v>9770</v>
      </c>
      <c r="E7826" s="8">
        <v>10000</v>
      </c>
      <c r="F7826" s="13" t="s">
        <v>70</v>
      </c>
      <c r="G7826" s="14">
        <v>44711</v>
      </c>
      <c r="H7826" s="13" t="s">
        <v>35</v>
      </c>
    </row>
    <row r="7827" spans="1:8" ht="14.4" x14ac:dyDescent="0.3">
      <c r="A7827" s="8">
        <v>2041443</v>
      </c>
      <c r="B7827" s="11">
        <v>44697</v>
      </c>
      <c r="C7827" s="13" t="s">
        <v>9771</v>
      </c>
      <c r="D7827" s="13" t="s">
        <v>9772</v>
      </c>
      <c r="E7827" s="8">
        <v>10500</v>
      </c>
      <c r="F7827" s="13" t="s">
        <v>70</v>
      </c>
      <c r="G7827" s="14">
        <v>44704</v>
      </c>
      <c r="H7827" s="13" t="s">
        <v>35</v>
      </c>
    </row>
    <row r="7828" spans="1:8" ht="14.4" x14ac:dyDescent="0.3">
      <c r="A7828" s="8">
        <v>2041444</v>
      </c>
      <c r="B7828" s="11">
        <v>44697</v>
      </c>
      <c r="C7828" s="13" t="s">
        <v>9773</v>
      </c>
      <c r="D7828" s="13" t="s">
        <v>9774</v>
      </c>
      <c r="E7828" s="8">
        <v>26000</v>
      </c>
      <c r="F7828" s="13" t="s">
        <v>70</v>
      </c>
      <c r="G7828" s="14">
        <v>44704</v>
      </c>
      <c r="H7828" s="13" t="s">
        <v>35</v>
      </c>
    </row>
    <row r="7829" spans="1:8" ht="14.4" x14ac:dyDescent="0.3">
      <c r="A7829" s="8">
        <v>2041445</v>
      </c>
      <c r="B7829" s="11">
        <v>44697</v>
      </c>
      <c r="C7829" s="13" t="s">
        <v>9775</v>
      </c>
      <c r="D7829" s="13" t="s">
        <v>9776</v>
      </c>
      <c r="E7829" s="8">
        <v>7500</v>
      </c>
      <c r="F7829" s="13" t="s">
        <v>70</v>
      </c>
      <c r="G7829" s="14">
        <v>44700</v>
      </c>
      <c r="H7829" s="13" t="s">
        <v>35</v>
      </c>
    </row>
    <row r="7830" spans="1:8" ht="14.4" x14ac:dyDescent="0.3">
      <c r="A7830" s="8">
        <v>2041446</v>
      </c>
      <c r="B7830" s="11">
        <v>44697</v>
      </c>
      <c r="C7830" s="13" t="s">
        <v>9777</v>
      </c>
      <c r="D7830" s="13" t="s">
        <v>9778</v>
      </c>
      <c r="E7830" s="8">
        <v>18300</v>
      </c>
      <c r="F7830" s="13" t="s">
        <v>70</v>
      </c>
      <c r="G7830" s="14">
        <v>44701</v>
      </c>
      <c r="H7830" s="13" t="s">
        <v>35</v>
      </c>
    </row>
    <row r="7831" spans="1:8" ht="14.4" x14ac:dyDescent="0.3">
      <c r="A7831" s="8">
        <v>2041447</v>
      </c>
      <c r="B7831" s="11">
        <v>44697</v>
      </c>
      <c r="C7831" s="13" t="s">
        <v>9779</v>
      </c>
      <c r="D7831" s="13" t="s">
        <v>9780</v>
      </c>
      <c r="E7831" s="8">
        <v>8000</v>
      </c>
      <c r="F7831" s="13" t="s">
        <v>70</v>
      </c>
      <c r="G7831" s="14">
        <v>44700</v>
      </c>
      <c r="H7831" s="13" t="s">
        <v>35</v>
      </c>
    </row>
    <row r="7832" spans="1:8" ht="14.4" x14ac:dyDescent="0.3">
      <c r="A7832" s="8">
        <v>2041448</v>
      </c>
      <c r="B7832" s="11">
        <v>44697</v>
      </c>
      <c r="C7832" s="13" t="s">
        <v>9781</v>
      </c>
      <c r="D7832" s="13" t="s">
        <v>9782</v>
      </c>
      <c r="E7832" s="8">
        <v>7000</v>
      </c>
      <c r="F7832" s="13" t="s">
        <v>70</v>
      </c>
      <c r="G7832" s="14">
        <v>44700</v>
      </c>
      <c r="H7832" s="13" t="s">
        <v>35</v>
      </c>
    </row>
    <row r="7833" spans="1:8" ht="14.4" x14ac:dyDescent="0.3">
      <c r="A7833" s="8">
        <v>2041449</v>
      </c>
      <c r="B7833" s="11">
        <v>44697</v>
      </c>
      <c r="C7833" s="13" t="s">
        <v>9783</v>
      </c>
      <c r="D7833" s="13" t="s">
        <v>9784</v>
      </c>
      <c r="E7833" s="8">
        <v>50000</v>
      </c>
      <c r="F7833" s="13" t="s">
        <v>70</v>
      </c>
      <c r="G7833" s="14">
        <v>44700</v>
      </c>
      <c r="H7833" s="13" t="s">
        <v>35</v>
      </c>
    </row>
    <row r="7834" spans="1:8" ht="14.4" x14ac:dyDescent="0.3">
      <c r="A7834" s="8">
        <v>2041450</v>
      </c>
      <c r="B7834" s="11">
        <v>44697</v>
      </c>
      <c r="C7834" s="13" t="s">
        <v>9785</v>
      </c>
      <c r="D7834" s="13" t="s">
        <v>9786</v>
      </c>
      <c r="E7834" s="8">
        <v>10000</v>
      </c>
      <c r="F7834" s="13" t="s">
        <v>70</v>
      </c>
      <c r="G7834" s="14">
        <v>44706</v>
      </c>
      <c r="H7834" s="13" t="s">
        <v>35</v>
      </c>
    </row>
    <row r="7835" spans="1:8" ht="14.4" x14ac:dyDescent="0.3">
      <c r="A7835" s="8">
        <v>2041451</v>
      </c>
      <c r="B7835" s="11">
        <v>44697</v>
      </c>
      <c r="C7835" s="13" t="s">
        <v>9787</v>
      </c>
      <c r="D7835" s="13" t="s">
        <v>9788</v>
      </c>
      <c r="E7835" s="8">
        <v>10000</v>
      </c>
      <c r="F7835" s="13" t="s">
        <v>70</v>
      </c>
      <c r="G7835" s="14">
        <v>44709</v>
      </c>
      <c r="H7835" s="13" t="s">
        <v>35</v>
      </c>
    </row>
    <row r="7836" spans="1:8" ht="14.4" x14ac:dyDescent="0.3">
      <c r="A7836" s="8">
        <v>2041452</v>
      </c>
      <c r="B7836" s="11">
        <v>44697</v>
      </c>
      <c r="C7836" s="13" t="s">
        <v>9789</v>
      </c>
      <c r="D7836" s="13" t="s">
        <v>9790</v>
      </c>
      <c r="E7836" s="8">
        <v>10000</v>
      </c>
      <c r="F7836" s="13" t="s">
        <v>70</v>
      </c>
      <c r="G7836" s="14">
        <v>44700</v>
      </c>
      <c r="H7836" s="13" t="s">
        <v>35</v>
      </c>
    </row>
    <row r="7837" spans="1:8" ht="14.4" x14ac:dyDescent="0.3">
      <c r="A7837" s="8">
        <v>2041454</v>
      </c>
      <c r="B7837" s="11">
        <v>44697</v>
      </c>
      <c r="C7837" s="13" t="s">
        <v>9791</v>
      </c>
      <c r="D7837" s="13" t="s">
        <v>9792</v>
      </c>
      <c r="E7837" s="8">
        <v>30000</v>
      </c>
      <c r="F7837" s="13" t="s">
        <v>70</v>
      </c>
      <c r="G7837" s="14">
        <v>44700</v>
      </c>
      <c r="H7837" s="13" t="s">
        <v>35</v>
      </c>
    </row>
    <row r="7838" spans="1:8" ht="14.4" x14ac:dyDescent="0.3">
      <c r="A7838" s="8">
        <v>2041455</v>
      </c>
      <c r="B7838" s="11">
        <v>44697</v>
      </c>
      <c r="C7838" s="13" t="s">
        <v>9793</v>
      </c>
      <c r="D7838" s="13" t="s">
        <v>47</v>
      </c>
      <c r="E7838" s="8">
        <v>8000</v>
      </c>
      <c r="F7838" s="13" t="s">
        <v>70</v>
      </c>
      <c r="G7838" s="14">
        <v>44700</v>
      </c>
      <c r="H7838" s="13" t="s">
        <v>35</v>
      </c>
    </row>
    <row r="7839" spans="1:8" ht="14.4" x14ac:dyDescent="0.3">
      <c r="A7839" s="8">
        <v>2041456</v>
      </c>
      <c r="B7839" s="11">
        <v>44697</v>
      </c>
      <c r="C7839" s="13" t="s">
        <v>9794</v>
      </c>
      <c r="D7839" s="13" t="s">
        <v>9795</v>
      </c>
      <c r="E7839" s="8">
        <v>14700</v>
      </c>
      <c r="F7839" s="13" t="s">
        <v>70</v>
      </c>
      <c r="G7839" s="14">
        <v>44701</v>
      </c>
      <c r="H7839" s="13" t="s">
        <v>35</v>
      </c>
    </row>
    <row r="7840" spans="1:8" ht="14.4" x14ac:dyDescent="0.3">
      <c r="A7840" s="8">
        <v>2041457</v>
      </c>
      <c r="B7840" s="11">
        <v>44697</v>
      </c>
      <c r="C7840" s="13" t="s">
        <v>9796</v>
      </c>
      <c r="D7840" s="13" t="s">
        <v>9797</v>
      </c>
      <c r="E7840" s="8">
        <v>10000</v>
      </c>
      <c r="F7840" s="13" t="s">
        <v>70</v>
      </c>
      <c r="G7840" s="14">
        <v>44701</v>
      </c>
      <c r="H7840" s="13" t="s">
        <v>35</v>
      </c>
    </row>
    <row r="7841" spans="1:8" ht="14.4" x14ac:dyDescent="0.3">
      <c r="A7841" s="8">
        <v>2041458</v>
      </c>
      <c r="B7841" s="11">
        <v>44697</v>
      </c>
      <c r="C7841" s="13" t="s">
        <v>9798</v>
      </c>
      <c r="D7841" s="13" t="s">
        <v>100</v>
      </c>
      <c r="E7841" s="8">
        <v>10000</v>
      </c>
      <c r="F7841" s="13" t="s">
        <v>70</v>
      </c>
      <c r="G7841" s="14">
        <v>44700</v>
      </c>
      <c r="H7841" s="13" t="s">
        <v>35</v>
      </c>
    </row>
    <row r="7842" spans="1:8" ht="14.4" x14ac:dyDescent="0.3">
      <c r="A7842" s="8">
        <v>2041459</v>
      </c>
      <c r="B7842" s="11">
        <v>44697</v>
      </c>
      <c r="C7842" s="13" t="s">
        <v>9799</v>
      </c>
      <c r="D7842" s="13" t="s">
        <v>9800</v>
      </c>
      <c r="E7842" s="8">
        <v>10000</v>
      </c>
      <c r="F7842" s="13" t="s">
        <v>70</v>
      </c>
      <c r="G7842" s="14">
        <v>44700</v>
      </c>
      <c r="H7842" s="13" t="s">
        <v>35</v>
      </c>
    </row>
    <row r="7843" spans="1:8" ht="14.4" x14ac:dyDescent="0.3">
      <c r="A7843" s="8">
        <v>2041460</v>
      </c>
      <c r="B7843" s="11">
        <v>44697</v>
      </c>
      <c r="C7843" s="13" t="s">
        <v>9801</v>
      </c>
      <c r="D7843" s="13" t="s">
        <v>9802</v>
      </c>
      <c r="E7843" s="8">
        <v>30000</v>
      </c>
      <c r="F7843" s="13" t="s">
        <v>70</v>
      </c>
      <c r="G7843" s="14">
        <v>44700</v>
      </c>
      <c r="H7843" s="13" t="s">
        <v>35</v>
      </c>
    </row>
    <row r="7844" spans="1:8" ht="14.4" x14ac:dyDescent="0.3">
      <c r="A7844" s="8">
        <v>2041461</v>
      </c>
      <c r="B7844" s="11">
        <v>44697</v>
      </c>
      <c r="C7844" s="13" t="s">
        <v>9803</v>
      </c>
      <c r="D7844" s="13" t="s">
        <v>9804</v>
      </c>
      <c r="E7844" s="8">
        <v>14900</v>
      </c>
      <c r="F7844" s="13" t="s">
        <v>70</v>
      </c>
      <c r="G7844" s="14">
        <v>44700</v>
      </c>
      <c r="H7844" s="13" t="s">
        <v>35</v>
      </c>
    </row>
    <row r="7845" spans="1:8" ht="14.4" x14ac:dyDescent="0.3">
      <c r="A7845" s="8">
        <v>2041462</v>
      </c>
      <c r="B7845" s="11">
        <v>44697</v>
      </c>
      <c r="C7845" s="13" t="s">
        <v>9805</v>
      </c>
      <c r="D7845" s="13" t="s">
        <v>9806</v>
      </c>
      <c r="E7845" s="8">
        <v>11000</v>
      </c>
      <c r="F7845" s="13" t="s">
        <v>70</v>
      </c>
      <c r="G7845" s="14">
        <v>44700</v>
      </c>
      <c r="H7845" s="13" t="s">
        <v>35</v>
      </c>
    </row>
    <row r="7846" spans="1:8" ht="14.4" x14ac:dyDescent="0.3">
      <c r="A7846" s="8">
        <v>2041463</v>
      </c>
      <c r="B7846" s="11">
        <v>44697</v>
      </c>
      <c r="C7846" s="13" t="s">
        <v>9807</v>
      </c>
      <c r="D7846" s="13" t="s">
        <v>9808</v>
      </c>
      <c r="E7846" s="8">
        <v>10800</v>
      </c>
      <c r="F7846" s="13" t="s">
        <v>70</v>
      </c>
      <c r="G7846" s="14">
        <v>44700</v>
      </c>
      <c r="H7846" s="13" t="s">
        <v>35</v>
      </c>
    </row>
    <row r="7847" spans="1:8" ht="14.4" x14ac:dyDescent="0.3">
      <c r="A7847" s="8">
        <v>2041464</v>
      </c>
      <c r="B7847" s="11">
        <v>44697</v>
      </c>
      <c r="C7847" s="13" t="s">
        <v>9809</v>
      </c>
      <c r="D7847" s="13" t="s">
        <v>47</v>
      </c>
      <c r="E7847" s="8">
        <v>9000</v>
      </c>
      <c r="F7847" s="13" t="s">
        <v>70</v>
      </c>
      <c r="G7847" s="14">
        <v>44700</v>
      </c>
      <c r="H7847" s="13" t="s">
        <v>35</v>
      </c>
    </row>
    <row r="7848" spans="1:8" ht="14.4" x14ac:dyDescent="0.3">
      <c r="A7848" s="8">
        <v>2041465</v>
      </c>
      <c r="B7848" s="11">
        <v>44697</v>
      </c>
      <c r="C7848" s="13" t="s">
        <v>1422</v>
      </c>
      <c r="D7848" s="13" t="s">
        <v>9810</v>
      </c>
      <c r="E7848" s="8">
        <v>209500</v>
      </c>
      <c r="F7848" s="13" t="s">
        <v>70</v>
      </c>
      <c r="G7848" s="14">
        <v>44708</v>
      </c>
      <c r="H7848" s="13" t="s">
        <v>35</v>
      </c>
    </row>
    <row r="7849" spans="1:8" ht="14.4" x14ac:dyDescent="0.3">
      <c r="A7849" s="8">
        <v>2041466</v>
      </c>
      <c r="B7849" s="11">
        <v>44697</v>
      </c>
      <c r="C7849" s="13" t="s">
        <v>9811</v>
      </c>
      <c r="D7849" s="13" t="s">
        <v>9812</v>
      </c>
      <c r="E7849" s="8">
        <v>9600</v>
      </c>
      <c r="F7849" s="13" t="s">
        <v>70</v>
      </c>
      <c r="G7849" s="14">
        <v>44701</v>
      </c>
      <c r="H7849" s="13" t="s">
        <v>35</v>
      </c>
    </row>
    <row r="7850" spans="1:8" ht="14.4" x14ac:dyDescent="0.3">
      <c r="A7850" s="8">
        <v>2041467</v>
      </c>
      <c r="B7850" s="11">
        <v>44697</v>
      </c>
      <c r="C7850" s="13" t="s">
        <v>9813</v>
      </c>
      <c r="D7850" s="13" t="s">
        <v>9814</v>
      </c>
      <c r="E7850" s="8">
        <v>10800</v>
      </c>
      <c r="F7850" s="13" t="s">
        <v>70</v>
      </c>
      <c r="G7850" s="14">
        <v>44701</v>
      </c>
      <c r="H7850" s="13" t="s">
        <v>35</v>
      </c>
    </row>
    <row r="7851" spans="1:8" ht="14.4" x14ac:dyDescent="0.3">
      <c r="A7851" s="8">
        <v>2041468</v>
      </c>
      <c r="B7851" s="11">
        <v>44697</v>
      </c>
      <c r="C7851" s="13" t="s">
        <v>9815</v>
      </c>
      <c r="D7851" s="13" t="s">
        <v>9816</v>
      </c>
      <c r="E7851" s="8">
        <v>21000</v>
      </c>
      <c r="F7851" s="13" t="s">
        <v>70</v>
      </c>
      <c r="G7851" s="14">
        <v>44704</v>
      </c>
      <c r="H7851" s="13" t="s">
        <v>35</v>
      </c>
    </row>
    <row r="7852" spans="1:8" ht="14.4" x14ac:dyDescent="0.3">
      <c r="A7852" s="8">
        <v>2041469</v>
      </c>
      <c r="B7852" s="11">
        <v>44697</v>
      </c>
      <c r="C7852" s="13" t="s">
        <v>9817</v>
      </c>
      <c r="D7852" s="13" t="s">
        <v>9818</v>
      </c>
      <c r="E7852" s="8">
        <v>17000</v>
      </c>
      <c r="F7852" s="13" t="s">
        <v>70</v>
      </c>
      <c r="G7852" s="14">
        <v>44704</v>
      </c>
      <c r="H7852" s="13" t="s">
        <v>35</v>
      </c>
    </row>
    <row r="7853" spans="1:8" ht="14.4" x14ac:dyDescent="0.3">
      <c r="A7853" s="8">
        <v>2041470</v>
      </c>
      <c r="B7853" s="11">
        <v>44697</v>
      </c>
      <c r="C7853" s="13" t="s">
        <v>9819</v>
      </c>
      <c r="D7853" s="13" t="s">
        <v>9820</v>
      </c>
      <c r="E7853" s="8">
        <v>40000</v>
      </c>
      <c r="F7853" s="13" t="s">
        <v>70</v>
      </c>
      <c r="G7853" s="14">
        <v>44701</v>
      </c>
      <c r="H7853" s="13" t="s">
        <v>35</v>
      </c>
    </row>
    <row r="7854" spans="1:8" ht="14.4" x14ac:dyDescent="0.3">
      <c r="A7854" s="8">
        <v>2041471</v>
      </c>
      <c r="B7854" s="11">
        <v>44697</v>
      </c>
      <c r="C7854" s="13" t="s">
        <v>9821</v>
      </c>
      <c r="D7854" s="13" t="s">
        <v>9822</v>
      </c>
      <c r="E7854" s="8">
        <v>7000</v>
      </c>
      <c r="F7854" s="13" t="s">
        <v>70</v>
      </c>
      <c r="G7854" s="14">
        <v>44701</v>
      </c>
      <c r="H7854" s="13" t="s">
        <v>35</v>
      </c>
    </row>
    <row r="7855" spans="1:8" ht="14.4" x14ac:dyDescent="0.3">
      <c r="A7855" s="8">
        <v>2041472</v>
      </c>
      <c r="B7855" s="11">
        <v>44697</v>
      </c>
      <c r="C7855" s="13" t="s">
        <v>9823</v>
      </c>
      <c r="D7855" s="13" t="s">
        <v>9824</v>
      </c>
      <c r="E7855" s="8">
        <v>15000</v>
      </c>
      <c r="F7855" s="13" t="s">
        <v>70</v>
      </c>
      <c r="G7855" s="14">
        <v>44701</v>
      </c>
      <c r="H7855" s="13" t="s">
        <v>35</v>
      </c>
    </row>
    <row r="7856" spans="1:8" ht="14.4" x14ac:dyDescent="0.3">
      <c r="A7856" s="8">
        <v>2041473</v>
      </c>
      <c r="B7856" s="11">
        <v>44697</v>
      </c>
      <c r="C7856" s="13" t="s">
        <v>9825</v>
      </c>
      <c r="D7856" s="13" t="s">
        <v>9826</v>
      </c>
      <c r="E7856" s="8">
        <v>7000</v>
      </c>
      <c r="F7856" s="13" t="s">
        <v>70</v>
      </c>
      <c r="G7856" s="14">
        <v>44701</v>
      </c>
      <c r="H7856" s="13" t="s">
        <v>35</v>
      </c>
    </row>
    <row r="7857" spans="1:8" ht="14.4" x14ac:dyDescent="0.3">
      <c r="A7857" s="8">
        <v>2041474</v>
      </c>
      <c r="B7857" s="11">
        <v>44697</v>
      </c>
      <c r="C7857" s="13" t="s">
        <v>9827</v>
      </c>
      <c r="D7857" s="13" t="s">
        <v>9828</v>
      </c>
      <c r="E7857" s="8">
        <v>15000</v>
      </c>
      <c r="F7857" s="13" t="s">
        <v>70</v>
      </c>
      <c r="G7857" s="14">
        <v>44705</v>
      </c>
      <c r="H7857" s="13" t="s">
        <v>35</v>
      </c>
    </row>
    <row r="7858" spans="1:8" ht="14.4" x14ac:dyDescent="0.3">
      <c r="A7858" s="8">
        <v>2041475</v>
      </c>
      <c r="B7858" s="11">
        <v>44697</v>
      </c>
      <c r="C7858" s="13" t="s">
        <v>9829</v>
      </c>
      <c r="D7858" s="13" t="s">
        <v>9830</v>
      </c>
      <c r="E7858" s="8">
        <v>35000</v>
      </c>
      <c r="F7858" s="13" t="s">
        <v>70</v>
      </c>
      <c r="G7858" s="14">
        <v>44701</v>
      </c>
      <c r="H7858" s="13" t="s">
        <v>35</v>
      </c>
    </row>
    <row r="7859" spans="1:8" ht="14.4" x14ac:dyDescent="0.3">
      <c r="A7859" s="8">
        <v>2041476</v>
      </c>
      <c r="B7859" s="11">
        <v>44697</v>
      </c>
      <c r="C7859" s="13" t="s">
        <v>9831</v>
      </c>
      <c r="D7859" s="13" t="s">
        <v>150</v>
      </c>
      <c r="E7859" s="8">
        <v>10000</v>
      </c>
      <c r="F7859" s="13" t="s">
        <v>70</v>
      </c>
      <c r="G7859" s="14">
        <v>44704</v>
      </c>
      <c r="H7859" s="13" t="s">
        <v>35</v>
      </c>
    </row>
    <row r="7860" spans="1:8" ht="14.4" x14ac:dyDescent="0.3">
      <c r="A7860" s="8">
        <v>2041477</v>
      </c>
      <c r="B7860" s="11">
        <v>44697</v>
      </c>
      <c r="C7860" s="13" t="s">
        <v>9832</v>
      </c>
      <c r="D7860" s="13" t="s">
        <v>47</v>
      </c>
      <c r="E7860" s="8">
        <v>20000</v>
      </c>
      <c r="F7860" s="13" t="s">
        <v>70</v>
      </c>
      <c r="G7860" s="14">
        <v>44701</v>
      </c>
      <c r="H7860" s="13" t="s">
        <v>35</v>
      </c>
    </row>
    <row r="7861" spans="1:8" ht="14.4" x14ac:dyDescent="0.3">
      <c r="A7861" s="8">
        <v>2041478</v>
      </c>
      <c r="B7861" s="11">
        <v>44697</v>
      </c>
      <c r="C7861" s="13" t="s">
        <v>9833</v>
      </c>
      <c r="D7861" s="13" t="s">
        <v>47</v>
      </c>
      <c r="E7861" s="8">
        <v>16000</v>
      </c>
      <c r="F7861" s="13" t="s">
        <v>70</v>
      </c>
      <c r="G7861" s="14">
        <v>44701</v>
      </c>
      <c r="H7861" s="13" t="s">
        <v>35</v>
      </c>
    </row>
    <row r="7862" spans="1:8" ht="14.4" x14ac:dyDescent="0.3">
      <c r="A7862" s="8">
        <v>2041479</v>
      </c>
      <c r="B7862" s="11">
        <v>44697</v>
      </c>
      <c r="C7862" s="13" t="s">
        <v>9834</v>
      </c>
      <c r="D7862" s="13" t="s">
        <v>9835</v>
      </c>
      <c r="E7862" s="8">
        <v>50000</v>
      </c>
      <c r="F7862" s="13" t="s">
        <v>70</v>
      </c>
      <c r="G7862" s="14">
        <v>44700</v>
      </c>
      <c r="H7862" s="13" t="s">
        <v>35</v>
      </c>
    </row>
    <row r="7863" spans="1:8" ht="14.4" x14ac:dyDescent="0.3">
      <c r="A7863" s="8">
        <v>2041480</v>
      </c>
      <c r="B7863" s="11">
        <v>44697</v>
      </c>
      <c r="C7863" s="13" t="s">
        <v>9836</v>
      </c>
      <c r="D7863" s="13" t="s">
        <v>9837</v>
      </c>
      <c r="E7863" s="8">
        <v>70000</v>
      </c>
      <c r="F7863" s="13" t="s">
        <v>70</v>
      </c>
      <c r="G7863" s="14">
        <v>44708</v>
      </c>
      <c r="H7863" s="13" t="s">
        <v>35</v>
      </c>
    </row>
    <row r="7864" spans="1:8" ht="14.4" x14ac:dyDescent="0.3">
      <c r="A7864" s="8">
        <v>2041481</v>
      </c>
      <c r="B7864" s="11">
        <v>44697</v>
      </c>
      <c r="C7864" s="13" t="s">
        <v>1193</v>
      </c>
      <c r="D7864" s="13" t="s">
        <v>9838</v>
      </c>
      <c r="E7864" s="8">
        <v>43000</v>
      </c>
      <c r="F7864" s="13" t="s">
        <v>70</v>
      </c>
      <c r="G7864" s="14">
        <v>44708</v>
      </c>
      <c r="H7864" s="13" t="s">
        <v>35</v>
      </c>
    </row>
    <row r="7865" spans="1:8" ht="14.4" x14ac:dyDescent="0.3">
      <c r="A7865" s="8">
        <v>2041482</v>
      </c>
      <c r="B7865" s="11">
        <v>44697</v>
      </c>
      <c r="C7865" s="13" t="s">
        <v>9839</v>
      </c>
      <c r="D7865" s="13" t="s">
        <v>9840</v>
      </c>
      <c r="E7865" s="8">
        <v>30000</v>
      </c>
      <c r="F7865" s="13" t="s">
        <v>70</v>
      </c>
      <c r="G7865" s="14">
        <v>44707</v>
      </c>
      <c r="H7865" s="13" t="s">
        <v>35</v>
      </c>
    </row>
    <row r="7866" spans="1:8" ht="14.4" x14ac:dyDescent="0.3">
      <c r="A7866" s="8">
        <v>2041483</v>
      </c>
      <c r="B7866" s="11">
        <v>44697</v>
      </c>
      <c r="C7866" s="13" t="s">
        <v>2428</v>
      </c>
      <c r="D7866" s="13" t="s">
        <v>9841</v>
      </c>
      <c r="E7866" s="8">
        <v>58200</v>
      </c>
      <c r="F7866" s="13" t="s">
        <v>70</v>
      </c>
      <c r="G7866" s="14">
        <v>44712</v>
      </c>
      <c r="H7866" s="13" t="s">
        <v>35</v>
      </c>
    </row>
    <row r="7867" spans="1:8" ht="14.4" x14ac:dyDescent="0.3">
      <c r="A7867" s="8">
        <v>2041484</v>
      </c>
      <c r="B7867" s="11">
        <v>44697</v>
      </c>
      <c r="C7867" s="13" t="s">
        <v>1033</v>
      </c>
      <c r="D7867" s="13" t="s">
        <v>9842</v>
      </c>
      <c r="E7867" s="8">
        <v>19400</v>
      </c>
      <c r="F7867" s="13" t="s">
        <v>70</v>
      </c>
      <c r="G7867" s="14">
        <v>44707</v>
      </c>
      <c r="H7867" s="13" t="s">
        <v>35</v>
      </c>
    </row>
    <row r="7868" spans="1:8" ht="14.4" x14ac:dyDescent="0.3">
      <c r="A7868" s="8">
        <v>2041485</v>
      </c>
      <c r="B7868" s="11">
        <v>44697</v>
      </c>
      <c r="C7868" s="13" t="s">
        <v>604</v>
      </c>
      <c r="D7868" s="13" t="s">
        <v>9843</v>
      </c>
      <c r="E7868" s="8">
        <v>114460</v>
      </c>
      <c r="F7868" s="13" t="s">
        <v>70</v>
      </c>
      <c r="G7868" s="14">
        <v>44698</v>
      </c>
      <c r="H7868" s="13" t="s">
        <v>35</v>
      </c>
    </row>
    <row r="7869" spans="1:8" ht="14.4" x14ac:dyDescent="0.3">
      <c r="A7869" s="8">
        <v>2041486</v>
      </c>
      <c r="B7869" s="11">
        <v>44697</v>
      </c>
      <c r="C7869" s="13" t="s">
        <v>2684</v>
      </c>
      <c r="D7869" s="13" t="s">
        <v>9844</v>
      </c>
      <c r="E7869" s="8">
        <v>38800</v>
      </c>
      <c r="F7869" s="13" t="s">
        <v>70</v>
      </c>
      <c r="G7869" s="14">
        <v>44708</v>
      </c>
      <c r="H7869" s="13" t="s">
        <v>35</v>
      </c>
    </row>
    <row r="7870" spans="1:8" ht="14.4" x14ac:dyDescent="0.3">
      <c r="A7870" s="8">
        <v>2041487</v>
      </c>
      <c r="B7870" s="11">
        <v>44697</v>
      </c>
      <c r="C7870" s="13" t="s">
        <v>9845</v>
      </c>
      <c r="D7870" s="13" t="s">
        <v>9846</v>
      </c>
      <c r="E7870" s="8">
        <v>23467.5</v>
      </c>
      <c r="F7870" s="13" t="s">
        <v>70</v>
      </c>
      <c r="G7870" s="14">
        <v>44796</v>
      </c>
      <c r="H7870" s="13" t="s">
        <v>35</v>
      </c>
    </row>
    <row r="7871" spans="1:8" ht="14.4" x14ac:dyDescent="0.3">
      <c r="A7871" s="8">
        <v>2041488</v>
      </c>
      <c r="B7871" s="11">
        <v>44697</v>
      </c>
      <c r="C7871" s="13" t="s">
        <v>9847</v>
      </c>
      <c r="D7871" s="13" t="s">
        <v>9848</v>
      </c>
      <c r="E7871" s="8">
        <v>6000</v>
      </c>
      <c r="F7871" s="13" t="s">
        <v>70</v>
      </c>
      <c r="G7871" s="14">
        <v>44701</v>
      </c>
      <c r="H7871" s="13" t="s">
        <v>35</v>
      </c>
    </row>
    <row r="7872" spans="1:8" ht="14.4" x14ac:dyDescent="0.3">
      <c r="A7872" s="8">
        <v>2041489</v>
      </c>
      <c r="B7872" s="11">
        <v>44697</v>
      </c>
      <c r="C7872" s="13" t="s">
        <v>9849</v>
      </c>
      <c r="D7872" s="13" t="s">
        <v>9850</v>
      </c>
      <c r="E7872" s="8">
        <v>20000</v>
      </c>
      <c r="F7872" s="13" t="s">
        <v>70</v>
      </c>
      <c r="G7872" s="14">
        <v>44712</v>
      </c>
      <c r="H7872" s="13" t="s">
        <v>35</v>
      </c>
    </row>
    <row r="7873" spans="1:8" ht="14.4" x14ac:dyDescent="0.3">
      <c r="A7873" s="8">
        <v>2041490</v>
      </c>
      <c r="B7873" s="11">
        <v>44697</v>
      </c>
      <c r="C7873" s="13" t="s">
        <v>8578</v>
      </c>
      <c r="D7873" s="13" t="s">
        <v>2186</v>
      </c>
      <c r="E7873" s="8">
        <v>10000</v>
      </c>
      <c r="F7873" s="13" t="s">
        <v>70</v>
      </c>
      <c r="G7873" s="14">
        <v>44712</v>
      </c>
      <c r="H7873" s="13" t="s">
        <v>35</v>
      </c>
    </row>
    <row r="7874" spans="1:8" ht="14.4" x14ac:dyDescent="0.3">
      <c r="A7874" s="8">
        <v>2041491</v>
      </c>
      <c r="B7874" s="11">
        <v>44697</v>
      </c>
      <c r="C7874" s="13" t="s">
        <v>9851</v>
      </c>
      <c r="D7874" s="13" t="s">
        <v>2186</v>
      </c>
      <c r="E7874" s="8">
        <v>3000</v>
      </c>
      <c r="F7874" s="13" t="s">
        <v>70</v>
      </c>
      <c r="G7874" s="14">
        <v>44712</v>
      </c>
      <c r="H7874" s="13" t="s">
        <v>35</v>
      </c>
    </row>
    <row r="7875" spans="1:8" ht="14.4" x14ac:dyDescent="0.3">
      <c r="A7875" s="8">
        <v>2041492</v>
      </c>
      <c r="B7875" s="11">
        <v>44697</v>
      </c>
      <c r="C7875" s="13" t="s">
        <v>8446</v>
      </c>
      <c r="D7875" s="13" t="s">
        <v>2186</v>
      </c>
      <c r="E7875" s="8">
        <v>5000</v>
      </c>
      <c r="F7875" s="13" t="s">
        <v>70</v>
      </c>
      <c r="G7875" s="14">
        <v>44706</v>
      </c>
      <c r="H7875" s="13" t="s">
        <v>35</v>
      </c>
    </row>
    <row r="7876" spans="1:8" ht="14.4" x14ac:dyDescent="0.3">
      <c r="A7876" s="8">
        <v>2041494</v>
      </c>
      <c r="B7876" s="11">
        <v>44697</v>
      </c>
      <c r="C7876" s="13" t="s">
        <v>8444</v>
      </c>
      <c r="D7876" s="13" t="s">
        <v>9852</v>
      </c>
      <c r="E7876" s="8">
        <v>10000</v>
      </c>
      <c r="F7876" s="13" t="s">
        <v>70</v>
      </c>
      <c r="G7876" s="14">
        <v>44700</v>
      </c>
      <c r="H7876" s="13" t="s">
        <v>35</v>
      </c>
    </row>
    <row r="7877" spans="1:8" ht="14.4" x14ac:dyDescent="0.3">
      <c r="A7877" s="8">
        <v>2041495</v>
      </c>
      <c r="B7877" s="11">
        <v>44697</v>
      </c>
      <c r="C7877" s="13" t="s">
        <v>2445</v>
      </c>
      <c r="D7877" s="13" t="s">
        <v>2228</v>
      </c>
      <c r="E7877" s="8">
        <v>20000</v>
      </c>
      <c r="F7877" s="13" t="s">
        <v>70</v>
      </c>
      <c r="G7877" s="14">
        <v>44700</v>
      </c>
      <c r="H7877" s="13" t="s">
        <v>35</v>
      </c>
    </row>
    <row r="7878" spans="1:8" ht="14.4" x14ac:dyDescent="0.3">
      <c r="A7878" s="8">
        <v>2041496</v>
      </c>
      <c r="B7878" s="11">
        <v>44697</v>
      </c>
      <c r="C7878" s="13" t="s">
        <v>9853</v>
      </c>
      <c r="D7878" s="13" t="s">
        <v>2186</v>
      </c>
      <c r="E7878" s="8">
        <v>3000</v>
      </c>
      <c r="F7878" s="13" t="s">
        <v>70</v>
      </c>
      <c r="G7878" s="14">
        <v>44700</v>
      </c>
      <c r="H7878" s="13" t="s">
        <v>35</v>
      </c>
    </row>
    <row r="7879" spans="1:8" ht="14.4" x14ac:dyDescent="0.3">
      <c r="A7879" s="8">
        <v>2041497</v>
      </c>
      <c r="B7879" s="11">
        <v>44697</v>
      </c>
      <c r="C7879" s="13" t="s">
        <v>152</v>
      </c>
      <c r="D7879" s="13" t="s">
        <v>9854</v>
      </c>
      <c r="E7879" s="8">
        <v>65742.75</v>
      </c>
      <c r="F7879" s="13" t="s">
        <v>70</v>
      </c>
      <c r="G7879" s="14">
        <v>44713</v>
      </c>
      <c r="H7879" s="13" t="s">
        <v>35</v>
      </c>
    </row>
    <row r="7880" spans="1:8" ht="14.4" x14ac:dyDescent="0.3">
      <c r="A7880" s="8">
        <v>2041498</v>
      </c>
      <c r="B7880" s="11">
        <v>44697</v>
      </c>
      <c r="C7880" s="13" t="s">
        <v>221</v>
      </c>
      <c r="D7880" s="13" t="s">
        <v>9855</v>
      </c>
      <c r="E7880" s="8">
        <v>56595.199999999997</v>
      </c>
      <c r="F7880" s="13" t="s">
        <v>70</v>
      </c>
      <c r="G7880" s="14">
        <v>44701</v>
      </c>
      <c r="H7880" s="13" t="s">
        <v>35</v>
      </c>
    </row>
    <row r="7881" spans="1:8" ht="14.4" x14ac:dyDescent="0.3">
      <c r="A7881" s="8">
        <v>2041499</v>
      </c>
      <c r="B7881" s="11">
        <v>44699</v>
      </c>
      <c r="C7881" s="13" t="s">
        <v>748</v>
      </c>
      <c r="D7881" s="13" t="s">
        <v>9856</v>
      </c>
      <c r="E7881" s="8">
        <v>3186.56</v>
      </c>
      <c r="F7881" s="13" t="s">
        <v>70</v>
      </c>
      <c r="G7881" s="14">
        <v>44700</v>
      </c>
      <c r="H7881" s="13" t="s">
        <v>35</v>
      </c>
    </row>
    <row r="7882" spans="1:8" ht="14.4" x14ac:dyDescent="0.3">
      <c r="A7882" s="8">
        <v>2041500</v>
      </c>
      <c r="B7882" s="11">
        <v>44699</v>
      </c>
      <c r="C7882" s="13" t="s">
        <v>748</v>
      </c>
      <c r="D7882" s="13" t="s">
        <v>9857</v>
      </c>
      <c r="E7882" s="8">
        <v>3186.56</v>
      </c>
      <c r="F7882" s="13" t="s">
        <v>70</v>
      </c>
      <c r="G7882" s="14">
        <v>44700</v>
      </c>
      <c r="H7882" s="13" t="s">
        <v>35</v>
      </c>
    </row>
    <row r="7883" spans="1:8" ht="14.4" x14ac:dyDescent="0.3">
      <c r="A7883" s="8">
        <v>2041501</v>
      </c>
      <c r="B7883" s="11">
        <v>44700</v>
      </c>
      <c r="C7883" s="13" t="s">
        <v>180</v>
      </c>
      <c r="D7883" s="13" t="s">
        <v>33</v>
      </c>
      <c r="E7883" s="8">
        <v>178829.58</v>
      </c>
      <c r="F7883" s="13" t="s">
        <v>70</v>
      </c>
      <c r="G7883" s="14">
        <v>44701</v>
      </c>
      <c r="H7883" s="13" t="s">
        <v>35</v>
      </c>
    </row>
    <row r="7884" spans="1:8" ht="14.4" x14ac:dyDescent="0.3">
      <c r="A7884" s="8">
        <v>2041502</v>
      </c>
      <c r="B7884" s="11">
        <v>44700</v>
      </c>
      <c r="C7884" s="13" t="s">
        <v>9858</v>
      </c>
      <c r="D7884" s="13" t="s">
        <v>9859</v>
      </c>
      <c r="E7884" s="8">
        <v>20000</v>
      </c>
      <c r="F7884" s="13" t="s">
        <v>70</v>
      </c>
      <c r="G7884" s="14">
        <v>44701</v>
      </c>
      <c r="H7884" s="13" t="s">
        <v>35</v>
      </c>
    </row>
    <row r="7885" spans="1:8" ht="14.4" x14ac:dyDescent="0.3">
      <c r="A7885" s="8">
        <v>2041503</v>
      </c>
      <c r="B7885" s="11">
        <v>44700</v>
      </c>
      <c r="C7885" s="13" t="s">
        <v>1592</v>
      </c>
      <c r="D7885" s="13" t="s">
        <v>9860</v>
      </c>
      <c r="E7885" s="8">
        <v>20000</v>
      </c>
      <c r="F7885" s="13" t="s">
        <v>70</v>
      </c>
      <c r="G7885" s="14">
        <v>44701</v>
      </c>
      <c r="H7885" s="13" t="s">
        <v>35</v>
      </c>
    </row>
    <row r="7886" spans="1:8" ht="14.4" x14ac:dyDescent="0.3">
      <c r="A7886" s="8">
        <v>2041504</v>
      </c>
      <c r="B7886" s="11">
        <v>44700</v>
      </c>
      <c r="C7886" s="13" t="s">
        <v>85</v>
      </c>
      <c r="D7886" s="13" t="s">
        <v>4872</v>
      </c>
      <c r="E7886" s="8">
        <v>1125</v>
      </c>
      <c r="F7886" s="13" t="s">
        <v>70</v>
      </c>
      <c r="G7886" s="14">
        <v>44707</v>
      </c>
      <c r="H7886" s="13" t="s">
        <v>35</v>
      </c>
    </row>
    <row r="7887" spans="1:8" ht="14.4" x14ac:dyDescent="0.3">
      <c r="A7887" s="8">
        <v>2041505</v>
      </c>
      <c r="B7887" s="11">
        <v>44700</v>
      </c>
      <c r="C7887" s="13" t="s">
        <v>189</v>
      </c>
      <c r="D7887" s="13" t="s">
        <v>9861</v>
      </c>
      <c r="E7887" s="8">
        <v>15454.02</v>
      </c>
      <c r="F7887" s="13" t="s">
        <v>70</v>
      </c>
      <c r="G7887" s="14">
        <v>44708</v>
      </c>
      <c r="H7887" s="13" t="s">
        <v>35</v>
      </c>
    </row>
    <row r="7888" spans="1:8" ht="14.4" x14ac:dyDescent="0.3">
      <c r="A7888" s="8">
        <v>2041506</v>
      </c>
      <c r="B7888" s="11">
        <v>44700</v>
      </c>
      <c r="C7888" s="13" t="s">
        <v>85</v>
      </c>
      <c r="D7888" s="13" t="s">
        <v>9862</v>
      </c>
      <c r="E7888" s="8">
        <v>3375</v>
      </c>
      <c r="F7888" s="13" t="s">
        <v>70</v>
      </c>
      <c r="G7888" s="14">
        <v>44706</v>
      </c>
      <c r="H7888" s="13" t="s">
        <v>35</v>
      </c>
    </row>
    <row r="7889" spans="1:8" ht="14.4" x14ac:dyDescent="0.3">
      <c r="A7889" s="8">
        <v>2041507</v>
      </c>
      <c r="B7889" s="11">
        <v>44700</v>
      </c>
      <c r="C7889" s="13" t="s">
        <v>126</v>
      </c>
      <c r="D7889" s="13" t="s">
        <v>2531</v>
      </c>
      <c r="E7889" s="8">
        <v>11214</v>
      </c>
      <c r="F7889" s="13" t="s">
        <v>70</v>
      </c>
      <c r="G7889" s="14">
        <v>44706</v>
      </c>
      <c r="H7889" s="13" t="s">
        <v>35</v>
      </c>
    </row>
    <row r="7890" spans="1:8" ht="14.4" x14ac:dyDescent="0.3">
      <c r="A7890" s="8">
        <v>2041508</v>
      </c>
      <c r="B7890" s="11">
        <v>44700</v>
      </c>
      <c r="C7890" s="13" t="s">
        <v>159</v>
      </c>
      <c r="D7890" s="13" t="s">
        <v>9863</v>
      </c>
      <c r="E7890" s="8">
        <v>402200</v>
      </c>
      <c r="F7890" s="13" t="s">
        <v>70</v>
      </c>
      <c r="G7890" s="14">
        <v>44701</v>
      </c>
      <c r="H7890" s="13" t="s">
        <v>35</v>
      </c>
    </row>
    <row r="7891" spans="1:8" ht="14.4" x14ac:dyDescent="0.3">
      <c r="A7891" s="8">
        <v>2041509</v>
      </c>
      <c r="B7891" s="11">
        <v>44708</v>
      </c>
      <c r="C7891" s="13" t="s">
        <v>1407</v>
      </c>
      <c r="D7891" s="13" t="s">
        <v>9864</v>
      </c>
      <c r="E7891" s="8">
        <v>3750</v>
      </c>
      <c r="F7891" s="13" t="s">
        <v>70</v>
      </c>
      <c r="G7891" s="14">
        <v>44712</v>
      </c>
      <c r="H7891" s="13" t="s">
        <v>35</v>
      </c>
    </row>
    <row r="7892" spans="1:8" ht="14.4" x14ac:dyDescent="0.3">
      <c r="A7892" s="8">
        <v>2041510</v>
      </c>
      <c r="B7892" s="11">
        <v>44708</v>
      </c>
      <c r="C7892" s="13" t="s">
        <v>876</v>
      </c>
      <c r="D7892" s="13" t="s">
        <v>9865</v>
      </c>
      <c r="E7892" s="8">
        <v>9906</v>
      </c>
      <c r="F7892" s="13" t="s">
        <v>70</v>
      </c>
      <c r="G7892" s="14">
        <v>44712</v>
      </c>
      <c r="H7892" s="13" t="s">
        <v>35</v>
      </c>
    </row>
    <row r="7893" spans="1:8" ht="14.4" x14ac:dyDescent="0.3">
      <c r="A7893" s="8">
        <v>2041511</v>
      </c>
      <c r="B7893" s="11">
        <v>44708</v>
      </c>
      <c r="C7893" s="13" t="s">
        <v>159</v>
      </c>
      <c r="D7893" s="13" t="s">
        <v>9866</v>
      </c>
      <c r="E7893" s="8">
        <v>384200</v>
      </c>
      <c r="F7893" s="13" t="s">
        <v>70</v>
      </c>
      <c r="G7893" s="14">
        <v>44708</v>
      </c>
      <c r="H7893" s="13" t="s">
        <v>35</v>
      </c>
    </row>
    <row r="7894" spans="1:8" ht="14.4" x14ac:dyDescent="0.3">
      <c r="A7894" s="8">
        <v>2041512</v>
      </c>
      <c r="B7894" s="11">
        <v>44708</v>
      </c>
      <c r="C7894" s="13" t="s">
        <v>265</v>
      </c>
      <c r="D7894" s="13" t="s">
        <v>9867</v>
      </c>
      <c r="E7894" s="8">
        <v>61656</v>
      </c>
      <c r="F7894" s="13" t="s">
        <v>70</v>
      </c>
      <c r="G7894" s="14">
        <v>44711</v>
      </c>
      <c r="H7894" s="13" t="s">
        <v>35</v>
      </c>
    </row>
    <row r="7895" spans="1:8" ht="14.4" x14ac:dyDescent="0.3">
      <c r="A7895" s="8">
        <v>2041513</v>
      </c>
      <c r="B7895" s="11">
        <v>44708</v>
      </c>
      <c r="C7895" s="13" t="s">
        <v>265</v>
      </c>
      <c r="D7895" s="13" t="s">
        <v>9868</v>
      </c>
      <c r="E7895" s="8">
        <v>47208</v>
      </c>
      <c r="F7895" s="13" t="s">
        <v>70</v>
      </c>
      <c r="G7895" s="14">
        <v>44711</v>
      </c>
      <c r="H7895" s="13" t="s">
        <v>35</v>
      </c>
    </row>
    <row r="7896" spans="1:8" ht="14.4" x14ac:dyDescent="0.3">
      <c r="A7896" s="8">
        <v>2041514</v>
      </c>
      <c r="B7896" s="11">
        <v>44708</v>
      </c>
      <c r="C7896" s="13" t="s">
        <v>265</v>
      </c>
      <c r="D7896" s="13" t="s">
        <v>9869</v>
      </c>
      <c r="E7896" s="8">
        <v>160821</v>
      </c>
      <c r="F7896" s="13" t="s">
        <v>70</v>
      </c>
      <c r="G7896" s="14">
        <v>44711</v>
      </c>
      <c r="H7896" s="13" t="s">
        <v>35</v>
      </c>
    </row>
    <row r="7897" spans="1:8" ht="14.4" x14ac:dyDescent="0.3">
      <c r="A7897" s="8">
        <v>2041515</v>
      </c>
      <c r="B7897" s="11">
        <v>44708</v>
      </c>
      <c r="C7897" s="13" t="s">
        <v>152</v>
      </c>
      <c r="D7897" s="13" t="s">
        <v>9870</v>
      </c>
      <c r="E7897" s="8">
        <v>95584.15</v>
      </c>
      <c r="F7897" s="13" t="s">
        <v>70</v>
      </c>
      <c r="G7897" s="14">
        <v>44713</v>
      </c>
      <c r="H7897" s="13" t="s">
        <v>35</v>
      </c>
    </row>
    <row r="7898" spans="1:8" ht="14.4" x14ac:dyDescent="0.3">
      <c r="A7898" s="8">
        <v>2041516</v>
      </c>
      <c r="B7898" s="11">
        <v>44708</v>
      </c>
      <c r="C7898" s="13" t="s">
        <v>395</v>
      </c>
      <c r="D7898" s="13" t="s">
        <v>9871</v>
      </c>
      <c r="E7898" s="8">
        <v>42707</v>
      </c>
      <c r="F7898" s="13" t="s">
        <v>70</v>
      </c>
      <c r="G7898" s="14">
        <v>44714</v>
      </c>
      <c r="H7898" s="13" t="s">
        <v>35</v>
      </c>
    </row>
    <row r="7899" spans="1:8" ht="14.4" x14ac:dyDescent="0.3">
      <c r="A7899" s="8">
        <v>2041517</v>
      </c>
      <c r="B7899" s="11">
        <v>44708</v>
      </c>
      <c r="C7899" s="13" t="s">
        <v>492</v>
      </c>
      <c r="D7899" s="13" t="s">
        <v>9872</v>
      </c>
      <c r="E7899" s="8">
        <v>30644.5</v>
      </c>
      <c r="F7899" s="13" t="s">
        <v>70</v>
      </c>
      <c r="G7899" s="14">
        <v>44711</v>
      </c>
      <c r="H7899" s="13" t="s">
        <v>35</v>
      </c>
    </row>
    <row r="7900" spans="1:8" ht="14.4" x14ac:dyDescent="0.3">
      <c r="A7900" s="8">
        <v>2041518</v>
      </c>
      <c r="B7900" s="11">
        <v>44708</v>
      </c>
      <c r="C7900" s="13" t="s">
        <v>363</v>
      </c>
      <c r="D7900" s="13" t="s">
        <v>9873</v>
      </c>
      <c r="E7900" s="8">
        <v>34381.199999999997</v>
      </c>
      <c r="F7900" s="13" t="s">
        <v>70</v>
      </c>
      <c r="G7900" s="14">
        <v>44711</v>
      </c>
      <c r="H7900" s="13" t="s">
        <v>35</v>
      </c>
    </row>
    <row r="7901" spans="1:8" ht="14.4" x14ac:dyDescent="0.3">
      <c r="A7901" s="8">
        <v>2041520</v>
      </c>
      <c r="B7901" s="11">
        <v>44708</v>
      </c>
      <c r="C7901" s="13" t="s">
        <v>152</v>
      </c>
      <c r="D7901" s="13" t="s">
        <v>9874</v>
      </c>
      <c r="E7901" s="8">
        <v>15000</v>
      </c>
      <c r="F7901" s="13" t="s">
        <v>70</v>
      </c>
      <c r="G7901" s="14">
        <v>44713</v>
      </c>
      <c r="H7901" s="13" t="s">
        <v>35</v>
      </c>
    </row>
    <row r="7902" spans="1:8" ht="14.4" x14ac:dyDescent="0.3">
      <c r="A7902" s="8">
        <v>2041521</v>
      </c>
      <c r="B7902" s="11">
        <v>44711</v>
      </c>
      <c r="C7902" s="13" t="s">
        <v>162</v>
      </c>
      <c r="D7902" s="13" t="s">
        <v>9875</v>
      </c>
      <c r="E7902" s="8">
        <v>725750.36</v>
      </c>
      <c r="F7902" s="13" t="s">
        <v>70</v>
      </c>
      <c r="G7902" s="14">
        <v>44722</v>
      </c>
      <c r="H7902" s="13" t="s">
        <v>35</v>
      </c>
    </row>
    <row r="7903" spans="1:8" ht="14.4" x14ac:dyDescent="0.3">
      <c r="A7903" s="8">
        <v>2041522</v>
      </c>
      <c r="B7903" s="11">
        <v>44711</v>
      </c>
      <c r="C7903" s="13" t="s">
        <v>3046</v>
      </c>
      <c r="D7903" s="13" t="s">
        <v>1966</v>
      </c>
      <c r="E7903" s="8">
        <v>17000</v>
      </c>
      <c r="F7903" s="13" t="s">
        <v>70</v>
      </c>
      <c r="G7903" s="14">
        <v>44719</v>
      </c>
      <c r="H7903" s="13" t="s">
        <v>35</v>
      </c>
    </row>
    <row r="7904" spans="1:8" ht="14.4" x14ac:dyDescent="0.3">
      <c r="A7904" s="8">
        <v>2041523</v>
      </c>
      <c r="B7904" s="11">
        <v>44711</v>
      </c>
      <c r="C7904" s="13" t="s">
        <v>162</v>
      </c>
      <c r="D7904" s="13" t="s">
        <v>9876</v>
      </c>
      <c r="E7904" s="8">
        <v>410189.1</v>
      </c>
      <c r="F7904" s="13" t="s">
        <v>70</v>
      </c>
      <c r="G7904" s="14">
        <v>44712</v>
      </c>
      <c r="H7904" s="13" t="s">
        <v>35</v>
      </c>
    </row>
    <row r="7905" spans="1:8" ht="14.4" x14ac:dyDescent="0.3">
      <c r="A7905" s="8">
        <v>2041524</v>
      </c>
      <c r="B7905" s="11">
        <v>44712</v>
      </c>
      <c r="C7905" s="13" t="s">
        <v>9877</v>
      </c>
      <c r="D7905" s="13" t="s">
        <v>9878</v>
      </c>
      <c r="E7905" s="8">
        <v>40000</v>
      </c>
      <c r="F7905" s="13" t="s">
        <v>70</v>
      </c>
      <c r="G7905" s="14">
        <v>44712</v>
      </c>
      <c r="H7905" s="13" t="s">
        <v>35</v>
      </c>
    </row>
    <row r="7906" spans="1:8" ht="14.4" x14ac:dyDescent="0.3">
      <c r="A7906" s="8">
        <v>2041525</v>
      </c>
      <c r="B7906" s="11">
        <v>44712</v>
      </c>
      <c r="C7906" s="13" t="s">
        <v>265</v>
      </c>
      <c r="D7906" s="13" t="s">
        <v>9879</v>
      </c>
      <c r="E7906" s="8">
        <v>48745</v>
      </c>
      <c r="F7906" s="13" t="s">
        <v>70</v>
      </c>
      <c r="G7906" s="14">
        <v>44714</v>
      </c>
      <c r="H7906" s="13" t="s">
        <v>35</v>
      </c>
    </row>
    <row r="7907" spans="1:8" ht="14.4" x14ac:dyDescent="0.3">
      <c r="A7907" s="8">
        <v>2041526</v>
      </c>
      <c r="B7907" s="11">
        <v>44712</v>
      </c>
      <c r="C7907" s="13" t="s">
        <v>265</v>
      </c>
      <c r="D7907" s="13" t="s">
        <v>9880</v>
      </c>
      <c r="E7907" s="8">
        <v>5702</v>
      </c>
      <c r="F7907" s="13" t="s">
        <v>70</v>
      </c>
      <c r="G7907" s="14">
        <v>44714</v>
      </c>
      <c r="H7907" s="13" t="s">
        <v>35</v>
      </c>
    </row>
    <row r="7908" spans="1:8" ht="14.4" x14ac:dyDescent="0.3">
      <c r="A7908" s="8">
        <v>2041527</v>
      </c>
      <c r="B7908" s="11">
        <v>44712</v>
      </c>
      <c r="C7908" s="13" t="s">
        <v>395</v>
      </c>
      <c r="D7908" s="13" t="s">
        <v>9881</v>
      </c>
      <c r="E7908" s="8">
        <v>36485</v>
      </c>
      <c r="F7908" s="13" t="s">
        <v>70</v>
      </c>
      <c r="G7908" s="14">
        <v>44714</v>
      </c>
      <c r="H7908" s="13" t="s">
        <v>35</v>
      </c>
    </row>
    <row r="7909" spans="1:8" ht="14.4" x14ac:dyDescent="0.3">
      <c r="A7909" s="8">
        <v>2041528</v>
      </c>
      <c r="B7909" s="11">
        <v>44713</v>
      </c>
      <c r="C7909" s="13" t="s">
        <v>159</v>
      </c>
      <c r="D7909" s="13" t="s">
        <v>9882</v>
      </c>
      <c r="E7909" s="8">
        <v>407300</v>
      </c>
      <c r="F7909" s="13" t="s">
        <v>70</v>
      </c>
      <c r="G7909" s="14">
        <v>44714</v>
      </c>
      <c r="H7909" s="13" t="s">
        <v>35</v>
      </c>
    </row>
    <row r="7910" spans="1:8" ht="14.4" x14ac:dyDescent="0.3">
      <c r="A7910" s="8">
        <v>2041529</v>
      </c>
      <c r="B7910" s="11">
        <v>44713</v>
      </c>
      <c r="C7910" s="13" t="s">
        <v>265</v>
      </c>
      <c r="D7910" s="13" t="s">
        <v>9883</v>
      </c>
      <c r="E7910" s="8">
        <v>161969.35</v>
      </c>
      <c r="F7910" s="13" t="s">
        <v>70</v>
      </c>
      <c r="G7910" s="14">
        <v>44714</v>
      </c>
      <c r="H7910" s="13" t="s">
        <v>35</v>
      </c>
    </row>
    <row r="7911" spans="1:8" ht="14.4" x14ac:dyDescent="0.3">
      <c r="A7911" s="8">
        <v>2041530</v>
      </c>
      <c r="B7911" s="11">
        <v>44713</v>
      </c>
      <c r="C7911" s="13" t="s">
        <v>265</v>
      </c>
      <c r="D7911" s="13" t="s">
        <v>9884</v>
      </c>
      <c r="E7911" s="8">
        <v>160426</v>
      </c>
      <c r="F7911" s="13" t="s">
        <v>70</v>
      </c>
      <c r="G7911" s="14">
        <v>44714</v>
      </c>
      <c r="H7911" s="13" t="s">
        <v>35</v>
      </c>
    </row>
    <row r="7912" spans="1:8" ht="14.4" x14ac:dyDescent="0.3">
      <c r="A7912" s="8">
        <v>2041531</v>
      </c>
      <c r="B7912" s="11">
        <v>44713</v>
      </c>
      <c r="C7912" s="13" t="s">
        <v>4905</v>
      </c>
      <c r="D7912" s="13" t="s">
        <v>9885</v>
      </c>
      <c r="E7912" s="8">
        <v>34692.75</v>
      </c>
      <c r="F7912" s="13" t="s">
        <v>70</v>
      </c>
      <c r="G7912" s="14">
        <v>44720</v>
      </c>
      <c r="H7912" s="13" t="s">
        <v>35</v>
      </c>
    </row>
    <row r="7913" spans="1:8" ht="14.4" x14ac:dyDescent="0.3">
      <c r="A7913" s="8">
        <v>2041532</v>
      </c>
      <c r="B7913" s="11">
        <v>44713</v>
      </c>
      <c r="C7913" s="13" t="s">
        <v>9886</v>
      </c>
      <c r="D7913" s="13" t="s">
        <v>2616</v>
      </c>
      <c r="E7913" s="8">
        <v>10145.77</v>
      </c>
      <c r="F7913" s="13" t="s">
        <v>70</v>
      </c>
      <c r="G7913" s="14">
        <v>44715</v>
      </c>
      <c r="H7913" s="13" t="s">
        <v>35</v>
      </c>
    </row>
    <row r="7914" spans="1:8" ht="14.4" x14ac:dyDescent="0.3">
      <c r="A7914" s="8">
        <v>2041533</v>
      </c>
      <c r="B7914" s="11">
        <v>44713</v>
      </c>
      <c r="C7914" s="13" t="s">
        <v>1653</v>
      </c>
      <c r="D7914" s="13" t="s">
        <v>9887</v>
      </c>
      <c r="E7914" s="8">
        <v>74177.53</v>
      </c>
      <c r="F7914" s="13" t="s">
        <v>70</v>
      </c>
      <c r="G7914" s="14">
        <v>44714</v>
      </c>
      <c r="H7914" s="13" t="s">
        <v>35</v>
      </c>
    </row>
    <row r="7915" spans="1:8" ht="14.4" x14ac:dyDescent="0.3">
      <c r="A7915" s="8">
        <v>2041534</v>
      </c>
      <c r="B7915" s="11">
        <v>44713</v>
      </c>
      <c r="C7915" s="13" t="s">
        <v>162</v>
      </c>
      <c r="D7915" s="13" t="s">
        <v>9888</v>
      </c>
      <c r="E7915" s="8">
        <v>14470.68</v>
      </c>
      <c r="F7915" s="13" t="s">
        <v>70</v>
      </c>
      <c r="G7915" s="14">
        <v>44726</v>
      </c>
      <c r="H7915" s="13" t="s">
        <v>35</v>
      </c>
    </row>
    <row r="7916" spans="1:8" ht="14.4" x14ac:dyDescent="0.3">
      <c r="A7916" s="8">
        <v>2041535</v>
      </c>
      <c r="B7916" s="11">
        <v>44714</v>
      </c>
      <c r="C7916" s="13" t="s">
        <v>1286</v>
      </c>
      <c r="D7916" s="13" t="s">
        <v>9889</v>
      </c>
      <c r="E7916" s="8">
        <v>43124.53</v>
      </c>
      <c r="F7916" s="13" t="s">
        <v>70</v>
      </c>
      <c r="G7916" s="14">
        <v>44714</v>
      </c>
      <c r="H7916" s="13" t="s">
        <v>35</v>
      </c>
    </row>
    <row r="7917" spans="1:8" ht="14.4" x14ac:dyDescent="0.3">
      <c r="A7917" s="8">
        <v>2041536</v>
      </c>
      <c r="B7917" s="11">
        <v>44714</v>
      </c>
      <c r="C7917" s="13" t="s">
        <v>1286</v>
      </c>
      <c r="D7917" s="13" t="s">
        <v>9890</v>
      </c>
      <c r="E7917" s="8">
        <v>6800.98</v>
      </c>
      <c r="F7917" s="13" t="s">
        <v>70</v>
      </c>
      <c r="G7917" s="14">
        <v>44714</v>
      </c>
      <c r="H7917" s="13" t="s">
        <v>35</v>
      </c>
    </row>
    <row r="7918" spans="1:8" ht="14.4" x14ac:dyDescent="0.3">
      <c r="A7918" s="8">
        <v>2041537</v>
      </c>
      <c r="B7918" s="11">
        <v>44714</v>
      </c>
      <c r="C7918" s="13" t="s">
        <v>1286</v>
      </c>
      <c r="D7918" s="13" t="s">
        <v>9891</v>
      </c>
      <c r="E7918" s="8">
        <v>40730.44</v>
      </c>
      <c r="F7918" s="13" t="s">
        <v>70</v>
      </c>
      <c r="G7918" s="14">
        <v>44714</v>
      </c>
      <c r="H7918" s="13" t="s">
        <v>35</v>
      </c>
    </row>
    <row r="7919" spans="1:8" ht="14.4" x14ac:dyDescent="0.3">
      <c r="A7919" s="8">
        <v>2041538</v>
      </c>
      <c r="B7919" s="11">
        <v>44714</v>
      </c>
      <c r="C7919" s="13" t="s">
        <v>1286</v>
      </c>
      <c r="D7919" s="13" t="s">
        <v>9892</v>
      </c>
      <c r="E7919" s="8">
        <v>11801.96</v>
      </c>
      <c r="F7919" s="13" t="s">
        <v>70</v>
      </c>
      <c r="G7919" s="14">
        <v>44714</v>
      </c>
      <c r="H7919" s="13" t="s">
        <v>35</v>
      </c>
    </row>
    <row r="7920" spans="1:8" ht="14.4" x14ac:dyDescent="0.3">
      <c r="A7920" s="8">
        <v>2041539</v>
      </c>
      <c r="B7920" s="11">
        <v>44714</v>
      </c>
      <c r="C7920" s="13" t="s">
        <v>1286</v>
      </c>
      <c r="D7920" s="13" t="s">
        <v>9893</v>
      </c>
      <c r="E7920" s="8">
        <v>5525.27</v>
      </c>
      <c r="F7920" s="13" t="s">
        <v>70</v>
      </c>
      <c r="G7920" s="14">
        <v>44714</v>
      </c>
      <c r="H7920" s="13" t="s">
        <v>35</v>
      </c>
    </row>
    <row r="7921" spans="1:8" ht="14.4" x14ac:dyDescent="0.3">
      <c r="A7921" s="8">
        <v>2041540</v>
      </c>
      <c r="B7921" s="11">
        <v>44714</v>
      </c>
      <c r="C7921" s="13" t="s">
        <v>1286</v>
      </c>
      <c r="D7921" s="13" t="s">
        <v>9894</v>
      </c>
      <c r="E7921" s="8">
        <v>36558.660000000003</v>
      </c>
      <c r="F7921" s="13" t="s">
        <v>70</v>
      </c>
      <c r="G7921" s="14">
        <v>44714</v>
      </c>
      <c r="H7921" s="13" t="s">
        <v>35</v>
      </c>
    </row>
    <row r="7922" spans="1:8" ht="14.4" x14ac:dyDescent="0.3">
      <c r="A7922" s="8">
        <v>2041541</v>
      </c>
      <c r="B7922" s="11">
        <v>44714</v>
      </c>
      <c r="C7922" s="13" t="s">
        <v>1286</v>
      </c>
      <c r="D7922" s="13" t="s">
        <v>9895</v>
      </c>
      <c r="E7922" s="8">
        <v>32624.47</v>
      </c>
      <c r="F7922" s="13" t="s">
        <v>70</v>
      </c>
      <c r="G7922" s="14">
        <v>44714</v>
      </c>
      <c r="H7922" s="13" t="s">
        <v>35</v>
      </c>
    </row>
    <row r="7923" spans="1:8" ht="14.4" x14ac:dyDescent="0.3">
      <c r="A7923" s="8">
        <v>2041542</v>
      </c>
      <c r="B7923" s="11">
        <v>44714</v>
      </c>
      <c r="C7923" s="13" t="s">
        <v>1286</v>
      </c>
      <c r="D7923" s="13" t="s">
        <v>9896</v>
      </c>
      <c r="E7923" s="8">
        <v>48007.46</v>
      </c>
      <c r="F7923" s="13" t="s">
        <v>70</v>
      </c>
      <c r="G7923" s="14">
        <v>44714</v>
      </c>
      <c r="H7923" s="13" t="s">
        <v>35</v>
      </c>
    </row>
    <row r="7924" spans="1:8" ht="14.4" x14ac:dyDescent="0.3">
      <c r="A7924" s="8">
        <v>2041543</v>
      </c>
      <c r="B7924" s="11">
        <v>44714</v>
      </c>
      <c r="C7924" s="13" t="s">
        <v>1286</v>
      </c>
      <c r="D7924" s="13" t="s">
        <v>9897</v>
      </c>
      <c r="E7924" s="8">
        <v>55698.79</v>
      </c>
      <c r="F7924" s="13" t="s">
        <v>70</v>
      </c>
      <c r="G7924" s="14">
        <v>44714</v>
      </c>
      <c r="H7924" s="13" t="s">
        <v>35</v>
      </c>
    </row>
    <row r="7925" spans="1:8" ht="14.4" x14ac:dyDescent="0.3">
      <c r="A7925" s="8">
        <v>2041544</v>
      </c>
      <c r="B7925" s="11">
        <v>44714</v>
      </c>
      <c r="C7925" s="13" t="s">
        <v>1286</v>
      </c>
      <c r="D7925" s="13" t="s">
        <v>9898</v>
      </c>
      <c r="E7925" s="8">
        <v>8690.66</v>
      </c>
      <c r="F7925" s="13" t="s">
        <v>70</v>
      </c>
      <c r="G7925" s="14">
        <v>44714</v>
      </c>
      <c r="H7925" s="13" t="s">
        <v>35</v>
      </c>
    </row>
    <row r="7926" spans="1:8" ht="14.4" x14ac:dyDescent="0.3">
      <c r="A7926" s="8">
        <v>2041545</v>
      </c>
      <c r="B7926" s="11">
        <v>44714</v>
      </c>
      <c r="C7926" s="13" t="s">
        <v>1286</v>
      </c>
      <c r="D7926" s="13" t="s">
        <v>9899</v>
      </c>
      <c r="E7926" s="8">
        <v>50868.22</v>
      </c>
      <c r="F7926" s="13" t="s">
        <v>70</v>
      </c>
      <c r="G7926" s="14">
        <v>44714</v>
      </c>
      <c r="H7926" s="13" t="s">
        <v>35</v>
      </c>
    </row>
    <row r="7927" spans="1:8" ht="14.4" x14ac:dyDescent="0.3">
      <c r="A7927" s="8">
        <v>2041546</v>
      </c>
      <c r="B7927" s="11">
        <v>44714</v>
      </c>
      <c r="C7927" s="13" t="s">
        <v>184</v>
      </c>
      <c r="D7927" s="13" t="s">
        <v>9900</v>
      </c>
      <c r="E7927" s="8">
        <v>171500</v>
      </c>
      <c r="F7927" s="13" t="s">
        <v>70</v>
      </c>
      <c r="G7927" s="14">
        <v>44714</v>
      </c>
      <c r="H7927" s="13" t="s">
        <v>35</v>
      </c>
    </row>
    <row r="7928" spans="1:8" ht="14.4" x14ac:dyDescent="0.3">
      <c r="A7928" s="8">
        <v>2041547</v>
      </c>
      <c r="B7928" s="11">
        <v>44714</v>
      </c>
      <c r="C7928" s="13" t="s">
        <v>9901</v>
      </c>
      <c r="D7928" s="13" t="s">
        <v>9902</v>
      </c>
      <c r="E7928" s="8">
        <v>25000</v>
      </c>
      <c r="F7928" s="13" t="s">
        <v>70</v>
      </c>
      <c r="G7928" s="14">
        <v>44733</v>
      </c>
      <c r="H7928" s="13" t="s">
        <v>35</v>
      </c>
    </row>
    <row r="7929" spans="1:8" ht="14.4" x14ac:dyDescent="0.3">
      <c r="A7929" s="8">
        <v>2041548</v>
      </c>
      <c r="B7929" s="11">
        <v>44714</v>
      </c>
      <c r="C7929" s="13" t="s">
        <v>265</v>
      </c>
      <c r="D7929" s="13" t="s">
        <v>9903</v>
      </c>
      <c r="E7929" s="8">
        <v>66370</v>
      </c>
      <c r="F7929" s="13" t="s">
        <v>70</v>
      </c>
      <c r="G7929" s="14">
        <v>44715</v>
      </c>
      <c r="H7929" s="13" t="s">
        <v>35</v>
      </c>
    </row>
    <row r="7930" spans="1:8" ht="14.4" x14ac:dyDescent="0.3">
      <c r="A7930" s="8">
        <v>2041549</v>
      </c>
      <c r="B7930" s="11">
        <v>44714</v>
      </c>
      <c r="C7930" s="13" t="s">
        <v>9904</v>
      </c>
      <c r="D7930" s="13" t="s">
        <v>9905</v>
      </c>
      <c r="E7930" s="8">
        <v>25000</v>
      </c>
      <c r="F7930" s="13" t="s">
        <v>70</v>
      </c>
      <c r="G7930" s="14">
        <v>44720</v>
      </c>
      <c r="H7930" s="13" t="s">
        <v>35</v>
      </c>
    </row>
    <row r="7931" spans="1:8" ht="14.4" x14ac:dyDescent="0.3">
      <c r="A7931" s="8">
        <v>2041550</v>
      </c>
      <c r="B7931" s="11">
        <v>44714</v>
      </c>
      <c r="C7931" s="13" t="s">
        <v>9906</v>
      </c>
      <c r="D7931" s="13" t="s">
        <v>9907</v>
      </c>
      <c r="E7931" s="8">
        <v>25000</v>
      </c>
      <c r="F7931" s="13" t="s">
        <v>70</v>
      </c>
      <c r="G7931" s="14">
        <v>44725</v>
      </c>
      <c r="H7931" s="13" t="s">
        <v>35</v>
      </c>
    </row>
    <row r="7932" spans="1:8" ht="14.4" x14ac:dyDescent="0.3">
      <c r="A7932" s="8">
        <v>2041551</v>
      </c>
      <c r="B7932" s="11">
        <v>44714</v>
      </c>
      <c r="C7932" s="13" t="s">
        <v>9908</v>
      </c>
      <c r="D7932" s="13" t="s">
        <v>9907</v>
      </c>
      <c r="E7932" s="8">
        <v>25000</v>
      </c>
      <c r="F7932" s="13" t="s">
        <v>70</v>
      </c>
      <c r="G7932" s="14">
        <v>44725</v>
      </c>
      <c r="H7932" s="13" t="s">
        <v>35</v>
      </c>
    </row>
    <row r="7933" spans="1:8" ht="14.4" x14ac:dyDescent="0.3">
      <c r="A7933" s="8">
        <v>2041552</v>
      </c>
      <c r="B7933" s="11">
        <v>44714</v>
      </c>
      <c r="C7933" s="13" t="s">
        <v>9909</v>
      </c>
      <c r="D7933" s="13" t="s">
        <v>9910</v>
      </c>
      <c r="E7933" s="8">
        <v>25000</v>
      </c>
      <c r="F7933" s="13" t="s">
        <v>70</v>
      </c>
      <c r="G7933" s="14">
        <v>44811</v>
      </c>
      <c r="H7933" s="13" t="s">
        <v>35</v>
      </c>
    </row>
    <row r="7934" spans="1:8" ht="14.4" x14ac:dyDescent="0.3">
      <c r="A7934" s="8">
        <v>2041553</v>
      </c>
      <c r="B7934" s="11">
        <v>44714</v>
      </c>
      <c r="C7934" s="13" t="s">
        <v>9911</v>
      </c>
      <c r="D7934" s="13" t="s">
        <v>9912</v>
      </c>
      <c r="E7934" s="8">
        <v>25000</v>
      </c>
      <c r="F7934" s="13" t="s">
        <v>70</v>
      </c>
      <c r="G7934" s="14">
        <v>44727</v>
      </c>
      <c r="H7934" s="13" t="s">
        <v>35</v>
      </c>
    </row>
    <row r="7935" spans="1:8" ht="14.4" x14ac:dyDescent="0.3">
      <c r="A7935" s="8">
        <v>2041554</v>
      </c>
      <c r="B7935" s="11">
        <v>44714</v>
      </c>
      <c r="C7935" s="13" t="s">
        <v>9913</v>
      </c>
      <c r="D7935" s="13" t="s">
        <v>9902</v>
      </c>
      <c r="E7935" s="8">
        <v>25000</v>
      </c>
      <c r="F7935" s="13" t="s">
        <v>70</v>
      </c>
      <c r="G7935" s="14">
        <v>44770</v>
      </c>
      <c r="H7935" s="13" t="s">
        <v>35</v>
      </c>
    </row>
    <row r="7936" spans="1:8" ht="14.4" x14ac:dyDescent="0.3">
      <c r="A7936" s="8">
        <v>2041555</v>
      </c>
      <c r="B7936" s="11">
        <v>44714</v>
      </c>
      <c r="C7936" s="13" t="s">
        <v>9914</v>
      </c>
      <c r="D7936" s="13" t="s">
        <v>9902</v>
      </c>
      <c r="E7936" s="8">
        <v>25000</v>
      </c>
      <c r="F7936" s="13" t="s">
        <v>70</v>
      </c>
      <c r="G7936" s="14">
        <v>44770</v>
      </c>
      <c r="H7936" s="13" t="s">
        <v>35</v>
      </c>
    </row>
    <row r="7937" spans="1:8" ht="14.4" x14ac:dyDescent="0.3">
      <c r="A7937" s="8">
        <v>2041556</v>
      </c>
      <c r="B7937" s="11">
        <v>44714</v>
      </c>
      <c r="C7937" s="13" t="s">
        <v>492</v>
      </c>
      <c r="D7937" s="13" t="s">
        <v>9915</v>
      </c>
      <c r="E7937" s="8">
        <v>33520.15</v>
      </c>
      <c r="F7937" s="13" t="s">
        <v>70</v>
      </c>
      <c r="G7937" s="14">
        <v>44714</v>
      </c>
      <c r="H7937" s="13" t="s">
        <v>35</v>
      </c>
    </row>
    <row r="7938" spans="1:8" ht="14.4" x14ac:dyDescent="0.3">
      <c r="A7938" s="8">
        <v>2041557</v>
      </c>
      <c r="B7938" s="11">
        <v>44714</v>
      </c>
      <c r="C7938" s="13" t="s">
        <v>43</v>
      </c>
      <c r="D7938" s="13" t="s">
        <v>9916</v>
      </c>
      <c r="E7938" s="8">
        <v>380313.94</v>
      </c>
      <c r="F7938" s="13" t="s">
        <v>70</v>
      </c>
      <c r="G7938" s="14">
        <v>44715</v>
      </c>
      <c r="H7938" s="13" t="s">
        <v>35</v>
      </c>
    </row>
    <row r="7939" spans="1:8" ht="14.4" x14ac:dyDescent="0.3">
      <c r="A7939" s="8">
        <v>2041558</v>
      </c>
      <c r="B7939" s="11">
        <v>44714</v>
      </c>
      <c r="C7939" s="13" t="s">
        <v>43</v>
      </c>
      <c r="D7939" s="13" t="s">
        <v>9916</v>
      </c>
      <c r="E7939" s="8">
        <v>54821.8</v>
      </c>
      <c r="F7939" s="13" t="s">
        <v>70</v>
      </c>
      <c r="G7939" s="14">
        <v>44715</v>
      </c>
      <c r="H7939" s="13" t="s">
        <v>35</v>
      </c>
    </row>
    <row r="7940" spans="1:8" ht="14.4" x14ac:dyDescent="0.3">
      <c r="A7940" s="8">
        <v>2041559</v>
      </c>
      <c r="B7940" s="11">
        <v>44714</v>
      </c>
      <c r="C7940" s="13" t="s">
        <v>152</v>
      </c>
      <c r="D7940" s="13" t="s">
        <v>9917</v>
      </c>
      <c r="E7940" s="8">
        <v>34203.15</v>
      </c>
      <c r="F7940" s="13" t="s">
        <v>70</v>
      </c>
      <c r="G7940" s="14">
        <v>44720</v>
      </c>
      <c r="H7940" s="13" t="s">
        <v>35</v>
      </c>
    </row>
    <row r="7941" spans="1:8" ht="14.4" x14ac:dyDescent="0.3">
      <c r="A7941" s="8">
        <v>2041560</v>
      </c>
      <c r="B7941" s="11">
        <v>44714</v>
      </c>
      <c r="C7941" s="13" t="s">
        <v>1286</v>
      </c>
      <c r="D7941" s="13" t="s">
        <v>9918</v>
      </c>
      <c r="E7941" s="8">
        <v>1767.22</v>
      </c>
      <c r="F7941" s="13" t="s">
        <v>70</v>
      </c>
      <c r="G7941" s="14">
        <v>44714</v>
      </c>
      <c r="H7941" s="13" t="s">
        <v>35</v>
      </c>
    </row>
    <row r="7942" spans="1:8" ht="14.4" x14ac:dyDescent="0.3">
      <c r="A7942" s="8">
        <v>2041561</v>
      </c>
      <c r="B7942" s="11">
        <v>44714</v>
      </c>
      <c r="C7942" s="13" t="s">
        <v>1286</v>
      </c>
      <c r="D7942" s="13" t="s">
        <v>9919</v>
      </c>
      <c r="E7942" s="8">
        <v>9235.06</v>
      </c>
      <c r="F7942" s="13" t="s">
        <v>70</v>
      </c>
      <c r="G7942" s="14">
        <v>44714</v>
      </c>
      <c r="H7942" s="13" t="s">
        <v>35</v>
      </c>
    </row>
    <row r="7943" spans="1:8" ht="14.4" x14ac:dyDescent="0.3">
      <c r="A7943" s="8">
        <v>2041562</v>
      </c>
      <c r="B7943" s="11">
        <v>44714</v>
      </c>
      <c r="C7943" s="13" t="s">
        <v>1286</v>
      </c>
      <c r="D7943" s="13" t="s">
        <v>9920</v>
      </c>
      <c r="E7943" s="8">
        <v>211966.37</v>
      </c>
      <c r="F7943" s="13" t="s">
        <v>70</v>
      </c>
      <c r="G7943" s="14">
        <v>44714</v>
      </c>
      <c r="H7943" s="13" t="s">
        <v>35</v>
      </c>
    </row>
    <row r="7944" spans="1:8" ht="14.4" x14ac:dyDescent="0.3">
      <c r="A7944" s="8">
        <v>2041563</v>
      </c>
      <c r="B7944" s="11">
        <v>44714</v>
      </c>
      <c r="C7944" s="13" t="s">
        <v>1286</v>
      </c>
      <c r="D7944" s="13" t="s">
        <v>9921</v>
      </c>
      <c r="E7944" s="8">
        <v>133051.98000000001</v>
      </c>
      <c r="F7944" s="13" t="s">
        <v>70</v>
      </c>
      <c r="G7944" s="14">
        <v>44714</v>
      </c>
      <c r="H7944" s="13" t="s">
        <v>35</v>
      </c>
    </row>
    <row r="7945" spans="1:8" ht="14.4" x14ac:dyDescent="0.3">
      <c r="A7945" s="8">
        <v>2041564</v>
      </c>
      <c r="B7945" s="11">
        <v>44714</v>
      </c>
      <c r="C7945" s="13" t="s">
        <v>1286</v>
      </c>
      <c r="D7945" s="13" t="s">
        <v>9922</v>
      </c>
      <c r="E7945" s="8">
        <v>9997.0400000000009</v>
      </c>
      <c r="F7945" s="13" t="s">
        <v>70</v>
      </c>
      <c r="G7945" s="14">
        <v>44714</v>
      </c>
      <c r="H7945" s="13" t="s">
        <v>35</v>
      </c>
    </row>
    <row r="7946" spans="1:8" ht="14.4" x14ac:dyDescent="0.3">
      <c r="A7946" s="8">
        <v>2041565</v>
      </c>
      <c r="B7946" s="11">
        <v>44714</v>
      </c>
      <c r="C7946" s="13" t="s">
        <v>1286</v>
      </c>
      <c r="D7946" s="13" t="s">
        <v>9923</v>
      </c>
      <c r="E7946" s="8">
        <v>151282.76</v>
      </c>
      <c r="F7946" s="13" t="s">
        <v>70</v>
      </c>
      <c r="G7946" s="14">
        <v>44714</v>
      </c>
      <c r="H7946" s="13" t="s">
        <v>35</v>
      </c>
    </row>
    <row r="7947" spans="1:8" ht="14.4" x14ac:dyDescent="0.3">
      <c r="A7947" s="8">
        <v>2041566</v>
      </c>
      <c r="B7947" s="11">
        <v>44714</v>
      </c>
      <c r="C7947" s="13" t="s">
        <v>1286</v>
      </c>
      <c r="D7947" s="13" t="s">
        <v>9924</v>
      </c>
      <c r="E7947" s="8">
        <v>254595.37</v>
      </c>
      <c r="F7947" s="13" t="s">
        <v>70</v>
      </c>
      <c r="G7947" s="14">
        <v>44714</v>
      </c>
      <c r="H7947" s="13" t="s">
        <v>35</v>
      </c>
    </row>
    <row r="7948" spans="1:8" ht="14.4" x14ac:dyDescent="0.3">
      <c r="A7948" s="8">
        <v>2041567</v>
      </c>
      <c r="B7948" s="11">
        <v>44714</v>
      </c>
      <c r="C7948" s="13" t="s">
        <v>1286</v>
      </c>
      <c r="D7948" s="13" t="s">
        <v>9925</v>
      </c>
      <c r="E7948" s="8">
        <v>9191.16</v>
      </c>
      <c r="F7948" s="13" t="s">
        <v>70</v>
      </c>
      <c r="G7948" s="14">
        <v>44714</v>
      </c>
      <c r="H7948" s="13" t="s">
        <v>35</v>
      </c>
    </row>
    <row r="7949" spans="1:8" ht="14.4" x14ac:dyDescent="0.3">
      <c r="A7949" s="8">
        <v>2041568</v>
      </c>
      <c r="B7949" s="11">
        <v>44714</v>
      </c>
      <c r="C7949" s="13" t="s">
        <v>1286</v>
      </c>
      <c r="D7949" s="13" t="s">
        <v>9926</v>
      </c>
      <c r="E7949" s="8">
        <v>24934.95</v>
      </c>
      <c r="F7949" s="13" t="s">
        <v>70</v>
      </c>
      <c r="G7949" s="14">
        <v>44714</v>
      </c>
      <c r="H7949" s="13" t="s">
        <v>35</v>
      </c>
    </row>
    <row r="7950" spans="1:8" ht="14.4" x14ac:dyDescent="0.3">
      <c r="A7950" s="8">
        <v>2041569</v>
      </c>
      <c r="B7950" s="11">
        <v>44714</v>
      </c>
      <c r="C7950" s="13" t="s">
        <v>1286</v>
      </c>
      <c r="D7950" s="13" t="s">
        <v>9927</v>
      </c>
      <c r="E7950" s="8">
        <v>9855.08</v>
      </c>
      <c r="F7950" s="13" t="s">
        <v>70</v>
      </c>
      <c r="G7950" s="14">
        <v>44714</v>
      </c>
      <c r="H7950" s="13" t="s">
        <v>35</v>
      </c>
    </row>
    <row r="7951" spans="1:8" ht="14.4" x14ac:dyDescent="0.3">
      <c r="A7951" s="8">
        <v>2041570</v>
      </c>
      <c r="B7951" s="11">
        <v>44714</v>
      </c>
      <c r="C7951" s="13" t="s">
        <v>1286</v>
      </c>
      <c r="D7951" s="13" t="s">
        <v>9928</v>
      </c>
      <c r="E7951" s="8">
        <v>3543.19</v>
      </c>
      <c r="F7951" s="13" t="s">
        <v>70</v>
      </c>
      <c r="G7951" s="14">
        <v>44714</v>
      </c>
      <c r="H7951" s="13" t="s">
        <v>35</v>
      </c>
    </row>
    <row r="7952" spans="1:8" ht="14.4" x14ac:dyDescent="0.3">
      <c r="A7952" s="8">
        <v>2041571</v>
      </c>
      <c r="B7952" s="11">
        <v>44714</v>
      </c>
      <c r="C7952" s="13" t="s">
        <v>162</v>
      </c>
      <c r="D7952" s="13" t="s">
        <v>9929</v>
      </c>
      <c r="E7952" s="8">
        <v>2680.99</v>
      </c>
      <c r="F7952" s="13" t="s">
        <v>70</v>
      </c>
      <c r="G7952" s="14">
        <v>44722</v>
      </c>
      <c r="H7952" s="13" t="s">
        <v>35</v>
      </c>
    </row>
    <row r="7953" spans="1:8" ht="14.4" x14ac:dyDescent="0.3">
      <c r="A7953" s="8">
        <v>2041572</v>
      </c>
      <c r="B7953" s="11">
        <v>44714</v>
      </c>
      <c r="C7953" s="13" t="s">
        <v>9930</v>
      </c>
      <c r="D7953" s="13" t="s">
        <v>9931</v>
      </c>
      <c r="E7953" s="8">
        <v>5000</v>
      </c>
      <c r="F7953" s="13" t="s">
        <v>70</v>
      </c>
      <c r="G7953" s="14">
        <v>44715</v>
      </c>
      <c r="H7953" s="13" t="s">
        <v>35</v>
      </c>
    </row>
    <row r="7954" spans="1:8" ht="14.4" x14ac:dyDescent="0.3">
      <c r="A7954" s="8">
        <v>2041573</v>
      </c>
      <c r="B7954" s="11">
        <v>44714</v>
      </c>
      <c r="C7954" s="13" t="s">
        <v>162</v>
      </c>
      <c r="D7954" s="13" t="s">
        <v>9932</v>
      </c>
      <c r="E7954" s="8">
        <v>2249.65</v>
      </c>
      <c r="F7954" s="13" t="s">
        <v>70</v>
      </c>
      <c r="G7954" s="14">
        <v>44722</v>
      </c>
      <c r="H7954" s="13" t="s">
        <v>35</v>
      </c>
    </row>
    <row r="7955" spans="1:8" ht="14.4" x14ac:dyDescent="0.3">
      <c r="A7955" s="8">
        <v>2041574</v>
      </c>
      <c r="B7955" s="11">
        <v>44714</v>
      </c>
      <c r="C7955" s="13" t="s">
        <v>162</v>
      </c>
      <c r="D7955" s="13" t="s">
        <v>9933</v>
      </c>
      <c r="E7955" s="8">
        <v>627542.04</v>
      </c>
      <c r="F7955" s="13" t="s">
        <v>70</v>
      </c>
      <c r="G7955" s="14">
        <v>44722</v>
      </c>
      <c r="H7955" s="13" t="s">
        <v>35</v>
      </c>
    </row>
    <row r="7956" spans="1:8" ht="14.4" x14ac:dyDescent="0.3">
      <c r="A7956" s="8">
        <v>2041575</v>
      </c>
      <c r="B7956" s="11">
        <v>44714</v>
      </c>
      <c r="C7956" s="13" t="s">
        <v>162</v>
      </c>
      <c r="D7956" s="13" t="s">
        <v>9934</v>
      </c>
      <c r="E7956" s="8">
        <v>15419.34</v>
      </c>
      <c r="F7956" s="13" t="s">
        <v>70</v>
      </c>
      <c r="G7956" s="14">
        <v>44722</v>
      </c>
      <c r="H7956" s="13" t="s">
        <v>35</v>
      </c>
    </row>
    <row r="7957" spans="1:8" ht="14.4" x14ac:dyDescent="0.3">
      <c r="A7957" s="8">
        <v>2041576</v>
      </c>
      <c r="B7957" s="11">
        <v>44714</v>
      </c>
      <c r="C7957" s="13" t="s">
        <v>162</v>
      </c>
      <c r="D7957" s="13" t="s">
        <v>9935</v>
      </c>
      <c r="E7957" s="8">
        <v>84.94</v>
      </c>
      <c r="F7957" s="13" t="s">
        <v>70</v>
      </c>
      <c r="G7957" s="14">
        <v>44722</v>
      </c>
      <c r="H7957" s="13" t="s">
        <v>35</v>
      </c>
    </row>
    <row r="7958" spans="1:8" ht="14.4" x14ac:dyDescent="0.3">
      <c r="A7958" s="8">
        <v>2041577</v>
      </c>
      <c r="B7958" s="11">
        <v>44714</v>
      </c>
      <c r="C7958" s="13" t="s">
        <v>162</v>
      </c>
      <c r="D7958" s="13" t="s">
        <v>9936</v>
      </c>
      <c r="E7958" s="8">
        <v>26179.03</v>
      </c>
      <c r="F7958" s="13" t="s">
        <v>70</v>
      </c>
      <c r="G7958" s="14">
        <v>44722</v>
      </c>
      <c r="H7958" s="13" t="s">
        <v>35</v>
      </c>
    </row>
    <row r="7959" spans="1:8" ht="14.4" x14ac:dyDescent="0.3">
      <c r="A7959" s="8">
        <v>2041578</v>
      </c>
      <c r="B7959" s="11">
        <v>44714</v>
      </c>
      <c r="C7959" s="13" t="s">
        <v>265</v>
      </c>
      <c r="D7959" s="13" t="s">
        <v>9937</v>
      </c>
      <c r="E7959" s="8">
        <v>34985</v>
      </c>
      <c r="F7959" s="13" t="s">
        <v>70</v>
      </c>
      <c r="G7959" s="14">
        <v>44714</v>
      </c>
      <c r="H7959" s="13" t="s">
        <v>35</v>
      </c>
    </row>
    <row r="7960" spans="1:8" ht="14.4" x14ac:dyDescent="0.3">
      <c r="A7960" s="8">
        <v>2041579</v>
      </c>
      <c r="B7960" s="11">
        <v>44714</v>
      </c>
      <c r="C7960" s="13" t="s">
        <v>153</v>
      </c>
      <c r="D7960" s="13" t="s">
        <v>9938</v>
      </c>
      <c r="E7960" s="8">
        <v>91313.5</v>
      </c>
      <c r="F7960" s="13" t="s">
        <v>70</v>
      </c>
      <c r="G7960" s="14">
        <v>44719</v>
      </c>
      <c r="H7960" s="13" t="s">
        <v>35</v>
      </c>
    </row>
    <row r="7961" spans="1:8" ht="14.4" x14ac:dyDescent="0.3">
      <c r="A7961" s="8">
        <v>2041580</v>
      </c>
      <c r="B7961" s="11">
        <v>44714</v>
      </c>
      <c r="C7961" s="13" t="s">
        <v>155</v>
      </c>
      <c r="D7961" s="13" t="s">
        <v>9939</v>
      </c>
      <c r="E7961" s="8">
        <v>20000</v>
      </c>
      <c r="F7961" s="13" t="s">
        <v>70</v>
      </c>
      <c r="G7961" s="14">
        <v>44715</v>
      </c>
      <c r="H7961" s="13" t="s">
        <v>35</v>
      </c>
    </row>
    <row r="7962" spans="1:8" ht="14.4" x14ac:dyDescent="0.3">
      <c r="A7962" s="8">
        <v>2041581</v>
      </c>
      <c r="B7962" s="11">
        <v>44714</v>
      </c>
      <c r="C7962" s="13" t="s">
        <v>502</v>
      </c>
      <c r="D7962" s="13" t="s">
        <v>9940</v>
      </c>
      <c r="E7962" s="8">
        <v>20000</v>
      </c>
      <c r="F7962" s="13" t="s">
        <v>70</v>
      </c>
      <c r="G7962" s="14">
        <v>44715</v>
      </c>
      <c r="H7962" s="13" t="s">
        <v>35</v>
      </c>
    </row>
    <row r="7963" spans="1:8" ht="14.4" x14ac:dyDescent="0.3">
      <c r="A7963" s="8">
        <v>2041582</v>
      </c>
      <c r="B7963" s="11">
        <v>44714</v>
      </c>
      <c r="C7963" s="13" t="s">
        <v>677</v>
      </c>
      <c r="D7963" s="13" t="s">
        <v>9941</v>
      </c>
      <c r="E7963" s="8">
        <v>20000</v>
      </c>
      <c r="F7963" s="13" t="s">
        <v>70</v>
      </c>
      <c r="G7963" s="14">
        <v>44718</v>
      </c>
      <c r="H7963" s="13" t="s">
        <v>35</v>
      </c>
    </row>
    <row r="7964" spans="1:8" ht="14.4" x14ac:dyDescent="0.3">
      <c r="A7964" s="8">
        <v>2041583</v>
      </c>
      <c r="B7964" s="11">
        <v>44714</v>
      </c>
      <c r="C7964" s="13" t="s">
        <v>876</v>
      </c>
      <c r="D7964" s="13" t="s">
        <v>9942</v>
      </c>
      <c r="E7964" s="8">
        <v>20000</v>
      </c>
      <c r="F7964" s="13" t="s">
        <v>70</v>
      </c>
      <c r="G7964" s="14">
        <v>44718</v>
      </c>
      <c r="H7964" s="13" t="s">
        <v>35</v>
      </c>
    </row>
    <row r="7965" spans="1:8" ht="14.4" x14ac:dyDescent="0.3">
      <c r="A7965" s="8">
        <v>2041584</v>
      </c>
      <c r="B7965" s="11">
        <v>44714</v>
      </c>
      <c r="C7965" s="13" t="s">
        <v>5952</v>
      </c>
      <c r="D7965" s="13" t="s">
        <v>9943</v>
      </c>
      <c r="E7965" s="8">
        <v>4372420.53</v>
      </c>
      <c r="F7965" s="13" t="s">
        <v>70</v>
      </c>
      <c r="G7965" s="14">
        <v>44714</v>
      </c>
      <c r="H7965" s="13" t="s">
        <v>35</v>
      </c>
    </row>
    <row r="7966" spans="1:8" ht="14.4" x14ac:dyDescent="0.3">
      <c r="A7966" s="8">
        <v>2041585</v>
      </c>
      <c r="B7966" s="11">
        <v>44714</v>
      </c>
      <c r="C7966" s="13" t="s">
        <v>162</v>
      </c>
      <c r="D7966" s="13" t="s">
        <v>9944</v>
      </c>
      <c r="E7966" s="8">
        <v>12090.79</v>
      </c>
      <c r="F7966" s="13" t="s">
        <v>70</v>
      </c>
      <c r="G7966" s="14">
        <v>44722</v>
      </c>
      <c r="H7966" s="13" t="s">
        <v>35</v>
      </c>
    </row>
    <row r="7967" spans="1:8" ht="14.4" x14ac:dyDescent="0.3">
      <c r="A7967" s="8">
        <v>2041586</v>
      </c>
      <c r="B7967" s="11">
        <v>44714</v>
      </c>
      <c r="C7967" s="13" t="s">
        <v>162</v>
      </c>
      <c r="D7967" s="13" t="s">
        <v>9945</v>
      </c>
      <c r="E7967" s="8">
        <v>74837.509999999995</v>
      </c>
      <c r="F7967" s="13" t="s">
        <v>70</v>
      </c>
      <c r="G7967" s="14">
        <v>44722</v>
      </c>
      <c r="H7967" s="13" t="s">
        <v>35</v>
      </c>
    </row>
    <row r="7968" spans="1:8" ht="14.4" x14ac:dyDescent="0.3">
      <c r="A7968" s="8">
        <v>2041587</v>
      </c>
      <c r="B7968" s="11">
        <v>44714</v>
      </c>
      <c r="C7968" s="13" t="s">
        <v>1294</v>
      </c>
      <c r="D7968" s="13" t="s">
        <v>9946</v>
      </c>
      <c r="E7968" s="8">
        <v>1524000</v>
      </c>
      <c r="F7968" s="13" t="s">
        <v>70</v>
      </c>
      <c r="G7968" s="14">
        <v>44760</v>
      </c>
      <c r="H7968" s="13" t="s">
        <v>35</v>
      </c>
    </row>
    <row r="7969" spans="1:8" ht="14.4" x14ac:dyDescent="0.3">
      <c r="A7969" s="8">
        <v>2041588</v>
      </c>
      <c r="B7969" s="11">
        <v>44714</v>
      </c>
      <c r="C7969" s="13" t="s">
        <v>60</v>
      </c>
      <c r="D7969" s="13" t="s">
        <v>9947</v>
      </c>
      <c r="E7969" s="8">
        <v>1499020.04</v>
      </c>
      <c r="F7969" s="13" t="s">
        <v>70</v>
      </c>
      <c r="G7969" s="14">
        <v>44715</v>
      </c>
      <c r="H7969" s="13" t="s">
        <v>35</v>
      </c>
    </row>
    <row r="7970" spans="1:8" ht="14.4" x14ac:dyDescent="0.3">
      <c r="A7970" s="8">
        <v>2041589</v>
      </c>
      <c r="B7970" s="11">
        <v>44714</v>
      </c>
      <c r="C7970" s="13" t="s">
        <v>60</v>
      </c>
      <c r="D7970" s="13" t="s">
        <v>9948</v>
      </c>
      <c r="E7970" s="8">
        <v>57542.400000000001</v>
      </c>
      <c r="F7970" s="13" t="s">
        <v>70</v>
      </c>
      <c r="G7970" s="14">
        <v>44715</v>
      </c>
      <c r="H7970" s="13" t="s">
        <v>35</v>
      </c>
    </row>
    <row r="7971" spans="1:8" ht="14.4" x14ac:dyDescent="0.3">
      <c r="A7971" s="8">
        <v>2041590</v>
      </c>
      <c r="B7971" s="11">
        <v>44714</v>
      </c>
      <c r="C7971" s="13" t="s">
        <v>60</v>
      </c>
      <c r="D7971" s="13" t="s">
        <v>9949</v>
      </c>
      <c r="E7971" s="8">
        <v>1689805.96</v>
      </c>
      <c r="F7971" s="13" t="s">
        <v>70</v>
      </c>
      <c r="G7971" s="14">
        <v>44715</v>
      </c>
      <c r="H7971" s="13" t="s">
        <v>35</v>
      </c>
    </row>
    <row r="7972" spans="1:8" ht="14.4" x14ac:dyDescent="0.3">
      <c r="A7972" s="8">
        <v>2041591</v>
      </c>
      <c r="B7972" s="11">
        <v>44714</v>
      </c>
      <c r="C7972" s="13" t="s">
        <v>7678</v>
      </c>
      <c r="D7972" s="13" t="s">
        <v>9950</v>
      </c>
      <c r="E7972" s="8">
        <v>30000</v>
      </c>
      <c r="F7972" s="13" t="s">
        <v>70</v>
      </c>
      <c r="G7972" s="14">
        <v>44721</v>
      </c>
      <c r="H7972" s="13" t="s">
        <v>35</v>
      </c>
    </row>
    <row r="7973" spans="1:8" ht="14.4" x14ac:dyDescent="0.3">
      <c r="A7973" s="8">
        <v>2041592</v>
      </c>
      <c r="B7973" s="11">
        <v>44714</v>
      </c>
      <c r="C7973" s="13" t="s">
        <v>7506</v>
      </c>
      <c r="D7973" s="13" t="s">
        <v>9950</v>
      </c>
      <c r="E7973" s="8">
        <v>30000</v>
      </c>
      <c r="F7973" s="13" t="s">
        <v>70</v>
      </c>
      <c r="G7973" s="14">
        <v>44721</v>
      </c>
      <c r="H7973" s="13" t="s">
        <v>35</v>
      </c>
    </row>
    <row r="7974" spans="1:8" ht="14.4" x14ac:dyDescent="0.3">
      <c r="A7974" s="8">
        <v>2041593</v>
      </c>
      <c r="B7974" s="11">
        <v>44714</v>
      </c>
      <c r="C7974" s="13" t="s">
        <v>9005</v>
      </c>
      <c r="D7974" s="13" t="s">
        <v>9950</v>
      </c>
      <c r="E7974" s="8">
        <v>30000</v>
      </c>
      <c r="F7974" s="13" t="s">
        <v>70</v>
      </c>
      <c r="G7974" s="14">
        <v>44721</v>
      </c>
      <c r="H7974" s="13" t="s">
        <v>35</v>
      </c>
    </row>
    <row r="7975" spans="1:8" ht="14.4" x14ac:dyDescent="0.3">
      <c r="A7975" s="8">
        <v>2041594</v>
      </c>
      <c r="B7975" s="11">
        <v>44714</v>
      </c>
      <c r="C7975" s="13" t="s">
        <v>7509</v>
      </c>
      <c r="D7975" s="13" t="s">
        <v>9950</v>
      </c>
      <c r="E7975" s="8">
        <v>30000</v>
      </c>
      <c r="F7975" s="13" t="s">
        <v>70</v>
      </c>
      <c r="G7975" s="14">
        <v>44721</v>
      </c>
      <c r="H7975" s="13" t="s">
        <v>35</v>
      </c>
    </row>
    <row r="7976" spans="1:8" ht="14.4" x14ac:dyDescent="0.3">
      <c r="A7976" s="8">
        <v>2041595</v>
      </c>
      <c r="B7976" s="11">
        <v>44714</v>
      </c>
      <c r="C7976" s="13" t="s">
        <v>7508</v>
      </c>
      <c r="D7976" s="13" t="s">
        <v>9950</v>
      </c>
      <c r="E7976" s="8">
        <v>30000</v>
      </c>
      <c r="F7976" s="13" t="s">
        <v>70</v>
      </c>
      <c r="G7976" s="14">
        <v>44721</v>
      </c>
      <c r="H7976" s="13" t="s">
        <v>35</v>
      </c>
    </row>
    <row r="7977" spans="1:8" ht="14.4" x14ac:dyDescent="0.3">
      <c r="A7977" s="8">
        <v>2041596</v>
      </c>
      <c r="B7977" s="11">
        <v>44714</v>
      </c>
      <c r="C7977" s="13" t="s">
        <v>9951</v>
      </c>
      <c r="D7977" s="13" t="s">
        <v>9950</v>
      </c>
      <c r="E7977" s="8">
        <v>150000</v>
      </c>
      <c r="F7977" s="13" t="s">
        <v>70</v>
      </c>
      <c r="G7977" s="14">
        <v>44721</v>
      </c>
      <c r="H7977" s="13" t="s">
        <v>35</v>
      </c>
    </row>
    <row r="7978" spans="1:8" ht="14.4" x14ac:dyDescent="0.3">
      <c r="A7978" s="8">
        <v>2041597</v>
      </c>
      <c r="B7978" s="11">
        <v>44714</v>
      </c>
      <c r="C7978" s="13" t="s">
        <v>7507</v>
      </c>
      <c r="D7978" s="13" t="s">
        <v>9950</v>
      </c>
      <c r="E7978" s="8">
        <v>30000</v>
      </c>
      <c r="F7978" s="13" t="s">
        <v>70</v>
      </c>
      <c r="G7978" s="14">
        <v>44721</v>
      </c>
      <c r="H7978" s="13" t="s">
        <v>35</v>
      </c>
    </row>
    <row r="7979" spans="1:8" ht="14.4" x14ac:dyDescent="0.3">
      <c r="A7979" s="8">
        <v>2041598</v>
      </c>
      <c r="B7979" s="11">
        <v>44714</v>
      </c>
      <c r="C7979" s="13" t="s">
        <v>9004</v>
      </c>
      <c r="D7979" s="13" t="s">
        <v>9950</v>
      </c>
      <c r="E7979" s="8">
        <v>30000</v>
      </c>
      <c r="F7979" s="13" t="s">
        <v>70</v>
      </c>
      <c r="G7979" s="14">
        <v>44721</v>
      </c>
      <c r="H7979" s="13" t="s">
        <v>35</v>
      </c>
    </row>
    <row r="7980" spans="1:8" ht="14.4" x14ac:dyDescent="0.3">
      <c r="A7980" s="8">
        <v>2041599</v>
      </c>
      <c r="B7980" s="11">
        <v>44714</v>
      </c>
      <c r="C7980" s="13" t="s">
        <v>9007</v>
      </c>
      <c r="D7980" s="13" t="s">
        <v>9950</v>
      </c>
      <c r="E7980" s="8">
        <v>30000</v>
      </c>
      <c r="F7980" s="13" t="s">
        <v>70</v>
      </c>
      <c r="G7980" s="14">
        <v>44721</v>
      </c>
      <c r="H7980" s="13" t="s">
        <v>35</v>
      </c>
    </row>
    <row r="7981" spans="1:8" ht="14.4" x14ac:dyDescent="0.3">
      <c r="A7981" s="8">
        <v>2041600</v>
      </c>
      <c r="B7981" s="11">
        <v>44714</v>
      </c>
      <c r="C7981" s="13" t="s">
        <v>9008</v>
      </c>
      <c r="D7981" s="13" t="s">
        <v>9950</v>
      </c>
      <c r="E7981" s="8">
        <v>30000</v>
      </c>
      <c r="F7981" s="13" t="s">
        <v>70</v>
      </c>
      <c r="G7981" s="14">
        <v>44721</v>
      </c>
      <c r="H7981" s="13" t="s">
        <v>35</v>
      </c>
    </row>
    <row r="7982" spans="1:8" ht="14.4" x14ac:dyDescent="0.3">
      <c r="A7982" s="8">
        <v>2041601</v>
      </c>
      <c r="B7982" s="11">
        <v>44714</v>
      </c>
      <c r="C7982" s="13" t="s">
        <v>173</v>
      </c>
      <c r="D7982" s="13" t="s">
        <v>9950</v>
      </c>
      <c r="E7982" s="8">
        <v>30000</v>
      </c>
      <c r="F7982" s="13" t="s">
        <v>70</v>
      </c>
      <c r="G7982" s="14">
        <v>44721</v>
      </c>
      <c r="H7982" s="13" t="s">
        <v>35</v>
      </c>
    </row>
    <row r="7983" spans="1:8" ht="14.4" x14ac:dyDescent="0.3">
      <c r="A7983" s="8">
        <v>2041602</v>
      </c>
      <c r="B7983" s="11">
        <v>44714</v>
      </c>
      <c r="C7983" s="13" t="s">
        <v>7515</v>
      </c>
      <c r="D7983" s="13" t="s">
        <v>8983</v>
      </c>
      <c r="E7983" s="8">
        <v>30000</v>
      </c>
      <c r="F7983" s="13" t="s">
        <v>70</v>
      </c>
      <c r="G7983" s="14">
        <v>44721</v>
      </c>
      <c r="H7983" s="13" t="s">
        <v>35</v>
      </c>
    </row>
    <row r="7984" spans="1:8" ht="14.4" x14ac:dyDescent="0.3">
      <c r="A7984" s="8">
        <v>2041603</v>
      </c>
      <c r="B7984" s="11">
        <v>44714</v>
      </c>
      <c r="C7984" s="13" t="s">
        <v>7515</v>
      </c>
      <c r="D7984" s="13" t="s">
        <v>9950</v>
      </c>
      <c r="E7984" s="8">
        <v>30000</v>
      </c>
      <c r="F7984" s="13" t="s">
        <v>70</v>
      </c>
      <c r="G7984" s="14">
        <v>44721</v>
      </c>
      <c r="H7984" s="13" t="s">
        <v>35</v>
      </c>
    </row>
    <row r="7985" spans="1:8" ht="14.4" x14ac:dyDescent="0.3">
      <c r="A7985" s="8">
        <v>2041604</v>
      </c>
      <c r="B7985" s="11">
        <v>44714</v>
      </c>
      <c r="C7985" s="13" t="s">
        <v>9952</v>
      </c>
      <c r="D7985" s="13" t="s">
        <v>9950</v>
      </c>
      <c r="E7985" s="8">
        <v>30000</v>
      </c>
      <c r="F7985" s="13" t="s">
        <v>70</v>
      </c>
      <c r="G7985" s="14">
        <v>44721</v>
      </c>
      <c r="H7985" s="13" t="s">
        <v>35</v>
      </c>
    </row>
    <row r="7986" spans="1:8" ht="14.4" x14ac:dyDescent="0.3">
      <c r="A7986" s="8">
        <v>2041605</v>
      </c>
      <c r="B7986" s="11">
        <v>44714</v>
      </c>
      <c r="C7986" s="13" t="s">
        <v>9009</v>
      </c>
      <c r="D7986" s="13" t="s">
        <v>9950</v>
      </c>
      <c r="E7986" s="8">
        <v>30000</v>
      </c>
      <c r="F7986" s="13" t="s">
        <v>70</v>
      </c>
      <c r="G7986" s="14">
        <v>44721</v>
      </c>
      <c r="H7986" s="13" t="s">
        <v>35</v>
      </c>
    </row>
    <row r="7987" spans="1:8" ht="14.4" x14ac:dyDescent="0.3">
      <c r="A7987" s="8">
        <v>2041606</v>
      </c>
      <c r="B7987" s="11">
        <v>44714</v>
      </c>
      <c r="C7987" s="13" t="s">
        <v>7512</v>
      </c>
      <c r="D7987" s="13" t="s">
        <v>9950</v>
      </c>
      <c r="E7987" s="8">
        <v>30000</v>
      </c>
      <c r="F7987" s="13" t="s">
        <v>70</v>
      </c>
      <c r="G7987" s="14">
        <v>44721</v>
      </c>
      <c r="H7987" s="13" t="s">
        <v>35</v>
      </c>
    </row>
    <row r="7988" spans="1:8" ht="14.4" x14ac:dyDescent="0.3">
      <c r="A7988" s="8">
        <v>2041607</v>
      </c>
      <c r="B7988" s="11">
        <v>44714</v>
      </c>
      <c r="C7988" s="13" t="s">
        <v>7499</v>
      </c>
      <c r="D7988" s="13" t="s">
        <v>9950</v>
      </c>
      <c r="E7988" s="8">
        <v>30000</v>
      </c>
      <c r="F7988" s="13" t="s">
        <v>70</v>
      </c>
      <c r="G7988" s="14">
        <v>44721</v>
      </c>
      <c r="H7988" s="13" t="s">
        <v>35</v>
      </c>
    </row>
    <row r="7989" spans="1:8" ht="14.4" x14ac:dyDescent="0.3">
      <c r="A7989" s="8">
        <v>2041608</v>
      </c>
      <c r="B7989" s="11">
        <v>44714</v>
      </c>
      <c r="C7989" s="13" t="s">
        <v>7510</v>
      </c>
      <c r="D7989" s="13" t="s">
        <v>9950</v>
      </c>
      <c r="E7989" s="8">
        <v>30000</v>
      </c>
      <c r="F7989" s="13" t="s">
        <v>70</v>
      </c>
      <c r="G7989" s="14">
        <v>44721</v>
      </c>
      <c r="H7989" s="13" t="s">
        <v>35</v>
      </c>
    </row>
    <row r="7990" spans="1:8" ht="14.4" x14ac:dyDescent="0.3">
      <c r="A7990" s="8">
        <v>2041609</v>
      </c>
      <c r="B7990" s="11">
        <v>44714</v>
      </c>
      <c r="C7990" s="13" t="s">
        <v>9953</v>
      </c>
      <c r="D7990" s="13" t="s">
        <v>9954</v>
      </c>
      <c r="E7990" s="8">
        <v>1095259.99</v>
      </c>
      <c r="F7990" s="13" t="s">
        <v>70</v>
      </c>
      <c r="G7990" s="14">
        <v>44715</v>
      </c>
      <c r="H7990" s="13" t="s">
        <v>35</v>
      </c>
    </row>
    <row r="7991" spans="1:8" ht="14.4" x14ac:dyDescent="0.3">
      <c r="A7991" s="8">
        <v>2041610</v>
      </c>
      <c r="B7991" s="11">
        <v>44714</v>
      </c>
      <c r="C7991" s="13" t="s">
        <v>1286</v>
      </c>
      <c r="D7991" s="13" t="s">
        <v>9955</v>
      </c>
      <c r="E7991" s="8">
        <v>68306.31</v>
      </c>
      <c r="F7991" s="13" t="s">
        <v>70</v>
      </c>
      <c r="G7991" s="14">
        <v>44715</v>
      </c>
      <c r="H7991" s="13" t="s">
        <v>35</v>
      </c>
    </row>
    <row r="7992" spans="1:8" ht="14.4" x14ac:dyDescent="0.3">
      <c r="A7992" s="8">
        <v>2041611</v>
      </c>
      <c r="B7992" s="11">
        <v>44714</v>
      </c>
      <c r="C7992" s="13" t="s">
        <v>1286</v>
      </c>
      <c r="D7992" s="13" t="s">
        <v>9956</v>
      </c>
      <c r="E7992" s="8">
        <v>33978.129999999997</v>
      </c>
      <c r="F7992" s="13" t="s">
        <v>70</v>
      </c>
      <c r="G7992" s="14">
        <v>44715</v>
      </c>
      <c r="H7992" s="13" t="s">
        <v>35</v>
      </c>
    </row>
    <row r="7993" spans="1:8" ht="14.4" x14ac:dyDescent="0.3">
      <c r="A7993" s="8">
        <v>2041612</v>
      </c>
      <c r="B7993" s="11">
        <v>44714</v>
      </c>
      <c r="C7993" s="13" t="s">
        <v>1286</v>
      </c>
      <c r="D7993" s="13" t="s">
        <v>9957</v>
      </c>
      <c r="E7993" s="8">
        <v>218067.75</v>
      </c>
      <c r="F7993" s="13" t="s">
        <v>70</v>
      </c>
      <c r="G7993" s="14">
        <v>44715</v>
      </c>
      <c r="H7993" s="13" t="s">
        <v>35</v>
      </c>
    </row>
    <row r="7994" spans="1:8" ht="14.4" x14ac:dyDescent="0.3">
      <c r="A7994" s="8">
        <v>2041613</v>
      </c>
      <c r="B7994" s="11">
        <v>44714</v>
      </c>
      <c r="C7994" s="13" t="s">
        <v>1286</v>
      </c>
      <c r="D7994" s="13" t="s">
        <v>9958</v>
      </c>
      <c r="E7994" s="8">
        <v>227400.39</v>
      </c>
      <c r="F7994" s="13" t="s">
        <v>70</v>
      </c>
      <c r="G7994" s="14">
        <v>44715</v>
      </c>
      <c r="H7994" s="13" t="s">
        <v>35</v>
      </c>
    </row>
    <row r="7995" spans="1:8" ht="14.4" x14ac:dyDescent="0.3">
      <c r="A7995" s="8">
        <v>2041614</v>
      </c>
      <c r="B7995" s="11">
        <v>44714</v>
      </c>
      <c r="C7995" s="13" t="s">
        <v>1524</v>
      </c>
      <c r="D7995" s="13" t="s">
        <v>34</v>
      </c>
      <c r="E7995" s="8">
        <v>5018.99</v>
      </c>
      <c r="F7995" s="13" t="s">
        <v>70</v>
      </c>
      <c r="G7995" s="14">
        <v>44718</v>
      </c>
      <c r="H7995" s="13" t="s">
        <v>35</v>
      </c>
    </row>
    <row r="7996" spans="1:8" ht="14.4" x14ac:dyDescent="0.3">
      <c r="A7996" s="8">
        <v>2041615</v>
      </c>
      <c r="B7996" s="11">
        <v>44714</v>
      </c>
      <c r="C7996" s="13" t="s">
        <v>1524</v>
      </c>
      <c r="D7996" s="13" t="s">
        <v>9959</v>
      </c>
      <c r="E7996" s="8">
        <v>7192.85</v>
      </c>
      <c r="F7996" s="13" t="s">
        <v>70</v>
      </c>
      <c r="G7996" s="14">
        <v>44718</v>
      </c>
      <c r="H7996" s="13" t="s">
        <v>35</v>
      </c>
    </row>
    <row r="7997" spans="1:8" ht="14.4" x14ac:dyDescent="0.3">
      <c r="A7997" s="8">
        <v>2041616</v>
      </c>
      <c r="B7997" s="11">
        <v>44714</v>
      </c>
      <c r="C7997" s="13" t="s">
        <v>1524</v>
      </c>
      <c r="D7997" s="13" t="s">
        <v>9960</v>
      </c>
      <c r="E7997" s="8">
        <v>212424.14</v>
      </c>
      <c r="F7997" s="13" t="s">
        <v>70</v>
      </c>
      <c r="G7997" s="14">
        <v>44718</v>
      </c>
      <c r="H7997" s="13" t="s">
        <v>35</v>
      </c>
    </row>
    <row r="7998" spans="1:8" ht="14.4" x14ac:dyDescent="0.3">
      <c r="A7998" s="8">
        <v>2041617</v>
      </c>
      <c r="B7998" s="11">
        <v>44714</v>
      </c>
      <c r="C7998" s="13" t="s">
        <v>1524</v>
      </c>
      <c r="D7998" s="13" t="s">
        <v>9961</v>
      </c>
      <c r="E7998" s="8">
        <v>303445</v>
      </c>
      <c r="F7998" s="13" t="s">
        <v>70</v>
      </c>
      <c r="G7998" s="14">
        <v>44718</v>
      </c>
      <c r="H7998" s="13" t="s">
        <v>35</v>
      </c>
    </row>
    <row r="7999" spans="1:8" ht="14.4" x14ac:dyDescent="0.3">
      <c r="A7999" s="8">
        <v>2041618</v>
      </c>
      <c r="B7999" s="11">
        <v>44714</v>
      </c>
      <c r="C7999" s="13" t="s">
        <v>1524</v>
      </c>
      <c r="D7999" s="13" t="s">
        <v>9962</v>
      </c>
      <c r="E7999" s="8">
        <v>8754.4599999999991</v>
      </c>
      <c r="F7999" s="13" t="s">
        <v>70</v>
      </c>
      <c r="G7999" s="14">
        <v>44718</v>
      </c>
      <c r="H7999" s="13" t="s">
        <v>35</v>
      </c>
    </row>
    <row r="8000" spans="1:8" ht="14.4" x14ac:dyDescent="0.3">
      <c r="A8000" s="8">
        <v>2041619</v>
      </c>
      <c r="B8000" s="11">
        <v>44714</v>
      </c>
      <c r="C8000" s="13" t="s">
        <v>1524</v>
      </c>
      <c r="D8000" s="13" t="s">
        <v>9963</v>
      </c>
      <c r="E8000" s="8">
        <v>509755.19</v>
      </c>
      <c r="F8000" s="13" t="s">
        <v>70</v>
      </c>
      <c r="G8000" s="14">
        <v>44718</v>
      </c>
      <c r="H8000" s="13" t="s">
        <v>35</v>
      </c>
    </row>
    <row r="8001" spans="1:8" ht="14.4" x14ac:dyDescent="0.3">
      <c r="A8001" s="8">
        <v>2041620</v>
      </c>
      <c r="B8001" s="11">
        <v>44714</v>
      </c>
      <c r="C8001" s="13" t="s">
        <v>9964</v>
      </c>
      <c r="D8001" s="13" t="s">
        <v>9965</v>
      </c>
      <c r="E8001" s="8">
        <v>1067528.57</v>
      </c>
      <c r="F8001" s="13" t="s">
        <v>70</v>
      </c>
      <c r="G8001" s="14">
        <v>44718</v>
      </c>
      <c r="H8001" s="13" t="s">
        <v>35</v>
      </c>
    </row>
    <row r="8002" spans="1:8" ht="14.4" x14ac:dyDescent="0.3">
      <c r="A8002" s="8">
        <v>2041621</v>
      </c>
      <c r="B8002" s="11">
        <v>44714</v>
      </c>
      <c r="C8002" s="13" t="s">
        <v>2567</v>
      </c>
      <c r="D8002" s="13" t="s">
        <v>9966</v>
      </c>
      <c r="E8002" s="8">
        <v>14842.84</v>
      </c>
      <c r="F8002" s="13" t="s">
        <v>70</v>
      </c>
      <c r="G8002" s="14">
        <v>44719</v>
      </c>
      <c r="H8002" s="13" t="s">
        <v>35</v>
      </c>
    </row>
    <row r="8003" spans="1:8" ht="14.4" x14ac:dyDescent="0.3">
      <c r="A8003" s="8">
        <v>2041622</v>
      </c>
      <c r="B8003" s="11">
        <v>44714</v>
      </c>
      <c r="C8003" s="13" t="s">
        <v>2567</v>
      </c>
      <c r="D8003" s="13" t="s">
        <v>9967</v>
      </c>
      <c r="E8003" s="8">
        <v>42612</v>
      </c>
      <c r="F8003" s="13" t="s">
        <v>70</v>
      </c>
      <c r="G8003" s="14">
        <v>44719</v>
      </c>
      <c r="H8003" s="13" t="s">
        <v>35</v>
      </c>
    </row>
    <row r="8004" spans="1:8" ht="14.4" x14ac:dyDescent="0.3">
      <c r="A8004" s="8">
        <v>2041623</v>
      </c>
      <c r="B8004" s="11">
        <v>44714</v>
      </c>
      <c r="C8004" s="13" t="s">
        <v>9968</v>
      </c>
      <c r="D8004" s="13" t="s">
        <v>9969</v>
      </c>
      <c r="E8004" s="8">
        <v>36797.040000000001</v>
      </c>
      <c r="F8004" s="13" t="s">
        <v>70</v>
      </c>
      <c r="G8004" s="14">
        <v>44719</v>
      </c>
      <c r="H8004" s="13" t="s">
        <v>35</v>
      </c>
    </row>
    <row r="8005" spans="1:8" ht="14.4" x14ac:dyDescent="0.3">
      <c r="A8005" s="8">
        <v>2041624</v>
      </c>
      <c r="B8005" s="11">
        <v>44714</v>
      </c>
      <c r="C8005" s="13" t="s">
        <v>195</v>
      </c>
      <c r="D8005" s="13" t="s">
        <v>9970</v>
      </c>
      <c r="E8005" s="8">
        <v>5875</v>
      </c>
      <c r="F8005" s="13" t="s">
        <v>70</v>
      </c>
      <c r="G8005" s="14">
        <v>44718</v>
      </c>
      <c r="H8005" s="13" t="s">
        <v>35</v>
      </c>
    </row>
    <row r="8006" spans="1:8" ht="14.4" x14ac:dyDescent="0.3">
      <c r="A8006" s="8">
        <v>2041625</v>
      </c>
      <c r="B8006" s="11">
        <v>44714</v>
      </c>
      <c r="C8006" s="13" t="s">
        <v>202</v>
      </c>
      <c r="D8006" s="13" t="s">
        <v>9971</v>
      </c>
      <c r="E8006" s="8">
        <v>923942.23</v>
      </c>
      <c r="F8006" s="13" t="s">
        <v>70</v>
      </c>
      <c r="G8006" s="14">
        <v>44718</v>
      </c>
      <c r="H8006" s="13" t="s">
        <v>35</v>
      </c>
    </row>
    <row r="8007" spans="1:8" ht="14.4" x14ac:dyDescent="0.3">
      <c r="A8007" s="8">
        <v>2041626</v>
      </c>
      <c r="B8007" s="11">
        <v>44714</v>
      </c>
      <c r="C8007" s="13" t="s">
        <v>1286</v>
      </c>
      <c r="D8007" s="13" t="s">
        <v>9972</v>
      </c>
      <c r="E8007" s="8">
        <v>289457.62</v>
      </c>
      <c r="F8007" s="13" t="s">
        <v>70</v>
      </c>
      <c r="G8007" s="14">
        <v>44715</v>
      </c>
      <c r="H8007" s="13" t="s">
        <v>35</v>
      </c>
    </row>
    <row r="8008" spans="1:8" ht="14.4" x14ac:dyDescent="0.3">
      <c r="A8008" s="8">
        <v>2041627</v>
      </c>
      <c r="B8008" s="11">
        <v>44714</v>
      </c>
      <c r="C8008" s="13" t="s">
        <v>1286</v>
      </c>
      <c r="D8008" s="13" t="s">
        <v>9973</v>
      </c>
      <c r="E8008" s="8">
        <v>123239.62</v>
      </c>
      <c r="F8008" s="13" t="s">
        <v>70</v>
      </c>
      <c r="G8008" s="14">
        <v>44715</v>
      </c>
      <c r="H8008" s="13" t="s">
        <v>35</v>
      </c>
    </row>
    <row r="8009" spans="1:8" ht="14.4" x14ac:dyDescent="0.3">
      <c r="A8009" s="8">
        <v>2041628</v>
      </c>
      <c r="B8009" s="11">
        <v>44714</v>
      </c>
      <c r="C8009" s="13" t="s">
        <v>9974</v>
      </c>
      <c r="D8009" s="13" t="s">
        <v>9975</v>
      </c>
      <c r="E8009" s="8">
        <v>162750</v>
      </c>
      <c r="F8009" s="13" t="s">
        <v>70</v>
      </c>
      <c r="G8009" s="14">
        <v>44734</v>
      </c>
      <c r="H8009" s="13" t="s">
        <v>35</v>
      </c>
    </row>
    <row r="8010" spans="1:8" ht="14.4" x14ac:dyDescent="0.3">
      <c r="A8010" s="8">
        <v>2041629</v>
      </c>
      <c r="B8010" s="11">
        <v>44714</v>
      </c>
      <c r="C8010" s="13" t="s">
        <v>9836</v>
      </c>
      <c r="D8010" s="13" t="s">
        <v>9976</v>
      </c>
      <c r="E8010" s="8">
        <v>259000</v>
      </c>
      <c r="F8010" s="13" t="s">
        <v>70</v>
      </c>
      <c r="G8010" s="14">
        <v>44722</v>
      </c>
      <c r="H8010" s="13" t="s">
        <v>35</v>
      </c>
    </row>
    <row r="8011" spans="1:8" ht="14.4" x14ac:dyDescent="0.3">
      <c r="A8011" s="8">
        <v>2041630</v>
      </c>
      <c r="B8011" s="11">
        <v>44714</v>
      </c>
      <c r="C8011" s="13" t="s">
        <v>3434</v>
      </c>
      <c r="D8011" s="13" t="s">
        <v>9977</v>
      </c>
      <c r="E8011" s="8">
        <v>422</v>
      </c>
      <c r="F8011" s="13" t="s">
        <v>70</v>
      </c>
      <c r="G8011" s="14">
        <v>44720</v>
      </c>
      <c r="H8011" s="13" t="s">
        <v>35</v>
      </c>
    </row>
    <row r="8012" spans="1:8" ht="14.4" x14ac:dyDescent="0.3">
      <c r="A8012" s="8">
        <v>2041631</v>
      </c>
      <c r="B8012" s="11">
        <v>44714</v>
      </c>
      <c r="C8012" s="13" t="s">
        <v>3434</v>
      </c>
      <c r="D8012" s="13" t="s">
        <v>9978</v>
      </c>
      <c r="E8012" s="8">
        <v>150</v>
      </c>
      <c r="F8012" s="13" t="s">
        <v>70</v>
      </c>
      <c r="G8012" s="14">
        <v>44720</v>
      </c>
      <c r="H8012" s="13" t="s">
        <v>35</v>
      </c>
    </row>
    <row r="8013" spans="1:8" ht="14.4" x14ac:dyDescent="0.3">
      <c r="A8013" s="8">
        <v>2041632</v>
      </c>
      <c r="B8013" s="11">
        <v>44714</v>
      </c>
      <c r="C8013" s="13" t="s">
        <v>748</v>
      </c>
      <c r="D8013" s="13" t="s">
        <v>9979</v>
      </c>
      <c r="E8013" s="8">
        <v>27915.71</v>
      </c>
      <c r="F8013" s="13" t="s">
        <v>70</v>
      </c>
      <c r="G8013" s="14">
        <v>44720</v>
      </c>
      <c r="H8013" s="13" t="s">
        <v>35</v>
      </c>
    </row>
    <row r="8014" spans="1:8" ht="14.4" x14ac:dyDescent="0.3">
      <c r="A8014" s="8">
        <v>2041633</v>
      </c>
      <c r="B8014" s="11">
        <v>44714</v>
      </c>
      <c r="C8014" s="13" t="s">
        <v>3350</v>
      </c>
      <c r="D8014" s="13" t="s">
        <v>9980</v>
      </c>
      <c r="E8014" s="8">
        <v>2343.75</v>
      </c>
      <c r="F8014" s="13" t="s">
        <v>70</v>
      </c>
      <c r="G8014" s="14">
        <v>44764</v>
      </c>
      <c r="H8014" s="13" t="s">
        <v>35</v>
      </c>
    </row>
    <row r="8015" spans="1:8" ht="14.4" x14ac:dyDescent="0.3">
      <c r="A8015" s="8">
        <v>2041634</v>
      </c>
      <c r="B8015" s="11">
        <v>44714</v>
      </c>
      <c r="C8015" s="13" t="s">
        <v>1092</v>
      </c>
      <c r="D8015" s="13" t="s">
        <v>9981</v>
      </c>
      <c r="E8015" s="8">
        <v>156000</v>
      </c>
      <c r="F8015" s="13" t="s">
        <v>70</v>
      </c>
      <c r="G8015" s="14">
        <v>44715</v>
      </c>
      <c r="H8015" s="13" t="s">
        <v>35</v>
      </c>
    </row>
    <row r="8016" spans="1:8" ht="14.4" x14ac:dyDescent="0.3">
      <c r="A8016" s="8">
        <v>2041635</v>
      </c>
      <c r="B8016" s="11">
        <v>44714</v>
      </c>
      <c r="C8016" s="13" t="s">
        <v>748</v>
      </c>
      <c r="D8016" s="13" t="s">
        <v>9982</v>
      </c>
      <c r="E8016" s="8">
        <v>129097.61</v>
      </c>
      <c r="F8016" s="13" t="s">
        <v>70</v>
      </c>
      <c r="G8016" s="14">
        <v>44718</v>
      </c>
      <c r="H8016" s="13" t="s">
        <v>35</v>
      </c>
    </row>
    <row r="8017" spans="1:8" ht="14.4" x14ac:dyDescent="0.3">
      <c r="A8017" s="8">
        <v>2041636</v>
      </c>
      <c r="B8017" s="11">
        <v>44714</v>
      </c>
      <c r="C8017" s="13" t="s">
        <v>893</v>
      </c>
      <c r="D8017" s="13" t="s">
        <v>9983</v>
      </c>
      <c r="E8017" s="8">
        <v>262000</v>
      </c>
      <c r="F8017" s="13" t="s">
        <v>70</v>
      </c>
      <c r="G8017" s="14">
        <v>44722</v>
      </c>
      <c r="H8017" s="13" t="s">
        <v>35</v>
      </c>
    </row>
    <row r="8018" spans="1:8" ht="14.4" x14ac:dyDescent="0.3">
      <c r="A8018" s="8">
        <v>2041637</v>
      </c>
      <c r="B8018" s="11">
        <v>44714</v>
      </c>
      <c r="C8018" s="13" t="s">
        <v>9984</v>
      </c>
      <c r="D8018" s="13" t="s">
        <v>9985</v>
      </c>
      <c r="E8018" s="8">
        <v>102900</v>
      </c>
      <c r="F8018" s="13" t="s">
        <v>70</v>
      </c>
      <c r="G8018" s="14">
        <v>44720</v>
      </c>
      <c r="H8018" s="13" t="s">
        <v>35</v>
      </c>
    </row>
    <row r="8019" spans="1:8" ht="14.4" x14ac:dyDescent="0.3">
      <c r="A8019" s="8">
        <v>2041638</v>
      </c>
      <c r="B8019" s="11">
        <v>44714</v>
      </c>
      <c r="C8019" s="13" t="s">
        <v>162</v>
      </c>
      <c r="D8019" s="13" t="s">
        <v>9986</v>
      </c>
      <c r="E8019" s="8">
        <v>5758.03</v>
      </c>
      <c r="F8019" s="13" t="s">
        <v>70</v>
      </c>
      <c r="G8019" s="14">
        <v>44722</v>
      </c>
      <c r="H8019" s="13" t="s">
        <v>35</v>
      </c>
    </row>
    <row r="8020" spans="1:8" ht="14.4" x14ac:dyDescent="0.3">
      <c r="A8020" s="8">
        <v>2041639</v>
      </c>
      <c r="B8020" s="11">
        <v>44714</v>
      </c>
      <c r="C8020" s="13" t="s">
        <v>162</v>
      </c>
      <c r="D8020" s="13" t="s">
        <v>9987</v>
      </c>
      <c r="E8020" s="8">
        <v>122450.96</v>
      </c>
      <c r="F8020" s="13" t="s">
        <v>70</v>
      </c>
      <c r="G8020" s="14">
        <v>44722</v>
      </c>
      <c r="H8020" s="13" t="s">
        <v>35</v>
      </c>
    </row>
    <row r="8021" spans="1:8" ht="14.4" x14ac:dyDescent="0.3">
      <c r="A8021" s="8">
        <v>2041640</v>
      </c>
      <c r="B8021" s="11">
        <v>44714</v>
      </c>
      <c r="C8021" s="13" t="s">
        <v>162</v>
      </c>
      <c r="D8021" s="13" t="s">
        <v>9988</v>
      </c>
      <c r="E8021" s="8">
        <v>263985.57</v>
      </c>
      <c r="F8021" s="13" t="s">
        <v>70</v>
      </c>
      <c r="G8021" s="14">
        <v>44722</v>
      </c>
      <c r="H8021" s="13" t="s">
        <v>35</v>
      </c>
    </row>
    <row r="8022" spans="1:8" ht="14.4" x14ac:dyDescent="0.3">
      <c r="A8022" s="8">
        <v>2041641</v>
      </c>
      <c r="B8022" s="11">
        <v>44714</v>
      </c>
      <c r="C8022" s="13" t="s">
        <v>162</v>
      </c>
      <c r="D8022" s="13" t="s">
        <v>9989</v>
      </c>
      <c r="E8022" s="8">
        <v>39956.54</v>
      </c>
      <c r="F8022" s="13" t="s">
        <v>70</v>
      </c>
      <c r="G8022" s="14">
        <v>44722</v>
      </c>
      <c r="H8022" s="13" t="s">
        <v>35</v>
      </c>
    </row>
    <row r="8023" spans="1:8" ht="14.4" x14ac:dyDescent="0.3">
      <c r="A8023" s="8">
        <v>2041642</v>
      </c>
      <c r="B8023" s="11">
        <v>44714</v>
      </c>
      <c r="C8023" s="13" t="s">
        <v>44</v>
      </c>
      <c r="D8023" s="13" t="s">
        <v>9990</v>
      </c>
      <c r="E8023" s="8">
        <v>12075</v>
      </c>
      <c r="F8023" s="13" t="s">
        <v>70</v>
      </c>
      <c r="G8023" s="14">
        <v>44719</v>
      </c>
      <c r="H8023" s="13" t="s">
        <v>35</v>
      </c>
    </row>
    <row r="8024" spans="1:8" ht="14.4" x14ac:dyDescent="0.3">
      <c r="A8024" s="8">
        <v>2041643</v>
      </c>
      <c r="B8024" s="11">
        <v>44714</v>
      </c>
      <c r="C8024" s="13" t="s">
        <v>44</v>
      </c>
      <c r="D8024" s="13" t="s">
        <v>9991</v>
      </c>
      <c r="E8024" s="8">
        <v>12075</v>
      </c>
      <c r="F8024" s="13" t="s">
        <v>70</v>
      </c>
      <c r="G8024" s="14">
        <v>44719</v>
      </c>
      <c r="H8024" s="13" t="s">
        <v>35</v>
      </c>
    </row>
    <row r="8025" spans="1:8" ht="14.4" x14ac:dyDescent="0.3">
      <c r="A8025" s="8">
        <v>2041644</v>
      </c>
      <c r="B8025" s="11">
        <v>44714</v>
      </c>
      <c r="C8025" s="13" t="s">
        <v>44</v>
      </c>
      <c r="D8025" s="13" t="s">
        <v>9992</v>
      </c>
      <c r="E8025" s="8">
        <v>12075</v>
      </c>
      <c r="F8025" s="13" t="s">
        <v>70</v>
      </c>
      <c r="G8025" s="14">
        <v>44719</v>
      </c>
      <c r="H8025" s="13" t="s">
        <v>35</v>
      </c>
    </row>
    <row r="8026" spans="1:8" ht="14.4" x14ac:dyDescent="0.3">
      <c r="A8026" s="8">
        <v>2041645</v>
      </c>
      <c r="B8026" s="11">
        <v>44714</v>
      </c>
      <c r="C8026" s="13" t="s">
        <v>122</v>
      </c>
      <c r="D8026" s="13" t="s">
        <v>9993</v>
      </c>
      <c r="E8026" s="8">
        <v>413220</v>
      </c>
      <c r="F8026" s="13" t="s">
        <v>70</v>
      </c>
      <c r="G8026" s="14">
        <v>44719</v>
      </c>
      <c r="H8026" s="13" t="s">
        <v>35</v>
      </c>
    </row>
    <row r="8027" spans="1:8" ht="14.4" x14ac:dyDescent="0.3">
      <c r="A8027" s="8">
        <v>2041646</v>
      </c>
      <c r="B8027" s="11">
        <v>44714</v>
      </c>
      <c r="C8027" s="13" t="s">
        <v>3525</v>
      </c>
      <c r="D8027" s="13" t="s">
        <v>9994</v>
      </c>
      <c r="E8027" s="8">
        <v>124160</v>
      </c>
      <c r="F8027" s="13" t="s">
        <v>70</v>
      </c>
      <c r="G8027" s="14">
        <v>44726</v>
      </c>
      <c r="H8027" s="13" t="s">
        <v>35</v>
      </c>
    </row>
    <row r="8028" spans="1:8" ht="14.4" x14ac:dyDescent="0.3">
      <c r="A8028" s="8">
        <v>2041647</v>
      </c>
      <c r="B8028" s="11">
        <v>44714</v>
      </c>
      <c r="C8028" s="13" t="s">
        <v>1308</v>
      </c>
      <c r="D8028" s="13" t="s">
        <v>9995</v>
      </c>
      <c r="E8028" s="8">
        <v>37500</v>
      </c>
      <c r="F8028" s="13" t="s">
        <v>70</v>
      </c>
      <c r="G8028" s="14">
        <v>44721</v>
      </c>
      <c r="H8028" s="13" t="s">
        <v>35</v>
      </c>
    </row>
    <row r="8029" spans="1:8" ht="14.4" x14ac:dyDescent="0.3">
      <c r="A8029" s="8">
        <v>2041648</v>
      </c>
      <c r="B8029" s="11">
        <v>44714</v>
      </c>
      <c r="C8029" s="13" t="s">
        <v>604</v>
      </c>
      <c r="D8029" s="13" t="s">
        <v>9996</v>
      </c>
      <c r="E8029" s="8">
        <v>190120</v>
      </c>
      <c r="F8029" s="13" t="s">
        <v>70</v>
      </c>
      <c r="G8029" s="14">
        <v>44750</v>
      </c>
      <c r="H8029" s="13" t="s">
        <v>35</v>
      </c>
    </row>
    <row r="8030" spans="1:8" ht="14.4" x14ac:dyDescent="0.3">
      <c r="A8030" s="8">
        <v>2041649</v>
      </c>
      <c r="B8030" s="11">
        <v>44714</v>
      </c>
      <c r="C8030" s="13" t="s">
        <v>1956</v>
      </c>
      <c r="D8030" s="13" t="s">
        <v>9997</v>
      </c>
      <c r="E8030" s="8">
        <v>1647973.48</v>
      </c>
      <c r="F8030" s="13" t="s">
        <v>70</v>
      </c>
      <c r="G8030" s="14">
        <v>44718</v>
      </c>
      <c r="H8030" s="13" t="s">
        <v>35</v>
      </c>
    </row>
    <row r="8031" spans="1:8" ht="14.4" x14ac:dyDescent="0.3">
      <c r="A8031" s="8">
        <v>2041650</v>
      </c>
      <c r="B8031" s="11">
        <v>44714</v>
      </c>
      <c r="C8031" s="13" t="s">
        <v>5920</v>
      </c>
      <c r="D8031" s="13" t="s">
        <v>9998</v>
      </c>
      <c r="E8031" s="8">
        <v>927569.11</v>
      </c>
      <c r="F8031" s="13" t="s">
        <v>70</v>
      </c>
      <c r="G8031" s="14">
        <v>44715</v>
      </c>
      <c r="H8031" s="13" t="s">
        <v>35</v>
      </c>
    </row>
    <row r="8032" spans="1:8" ht="14.4" x14ac:dyDescent="0.3">
      <c r="A8032" s="8">
        <v>2041651</v>
      </c>
      <c r="B8032" s="11">
        <v>44714</v>
      </c>
      <c r="C8032" s="13" t="s">
        <v>9999</v>
      </c>
      <c r="D8032" s="13" t="s">
        <v>10000</v>
      </c>
      <c r="E8032" s="8">
        <v>1866616.86</v>
      </c>
      <c r="F8032" s="13" t="s">
        <v>70</v>
      </c>
      <c r="G8032" s="14">
        <v>44715</v>
      </c>
      <c r="H8032" s="13" t="s">
        <v>35</v>
      </c>
    </row>
    <row r="8033" spans="1:8" ht="14.4" x14ac:dyDescent="0.3">
      <c r="A8033" s="8">
        <v>2041652</v>
      </c>
      <c r="B8033" s="11">
        <v>44714</v>
      </c>
      <c r="C8033" s="13" t="s">
        <v>9339</v>
      </c>
      <c r="D8033" s="13" t="s">
        <v>10001</v>
      </c>
      <c r="E8033" s="8">
        <v>1823117.88</v>
      </c>
      <c r="F8033" s="13" t="s">
        <v>70</v>
      </c>
      <c r="G8033" s="14">
        <v>44718</v>
      </c>
      <c r="H8033" s="13" t="s">
        <v>35</v>
      </c>
    </row>
    <row r="8034" spans="1:8" ht="14.4" x14ac:dyDescent="0.3">
      <c r="A8034" s="8">
        <v>2041653</v>
      </c>
      <c r="B8034" s="11">
        <v>44714</v>
      </c>
      <c r="C8034" s="13" t="s">
        <v>5851</v>
      </c>
      <c r="D8034" s="13" t="s">
        <v>10002</v>
      </c>
      <c r="E8034" s="8">
        <v>1823119.79</v>
      </c>
      <c r="F8034" s="13" t="s">
        <v>70</v>
      </c>
      <c r="G8034" s="14">
        <v>44715</v>
      </c>
      <c r="H8034" s="13" t="s">
        <v>35</v>
      </c>
    </row>
    <row r="8035" spans="1:8" ht="14.4" x14ac:dyDescent="0.3">
      <c r="A8035" s="8">
        <v>2041654</v>
      </c>
      <c r="B8035" s="11">
        <v>44714</v>
      </c>
      <c r="C8035" s="13" t="s">
        <v>250</v>
      </c>
      <c r="D8035" s="13" t="s">
        <v>10003</v>
      </c>
      <c r="E8035" s="8">
        <v>1822503.85</v>
      </c>
      <c r="F8035" s="13" t="s">
        <v>70</v>
      </c>
      <c r="G8035" s="14">
        <v>44715</v>
      </c>
      <c r="H8035" s="13" t="s">
        <v>35</v>
      </c>
    </row>
    <row r="8036" spans="1:8" ht="14.4" x14ac:dyDescent="0.3">
      <c r="A8036" s="8">
        <v>2041655</v>
      </c>
      <c r="B8036" s="11">
        <v>44714</v>
      </c>
      <c r="C8036" s="13" t="s">
        <v>6351</v>
      </c>
      <c r="D8036" s="13" t="s">
        <v>10004</v>
      </c>
      <c r="E8036" s="8">
        <v>1819919.18</v>
      </c>
      <c r="F8036" s="13" t="s">
        <v>70</v>
      </c>
      <c r="G8036" s="14">
        <v>44715</v>
      </c>
      <c r="H8036" s="13" t="s">
        <v>35</v>
      </c>
    </row>
    <row r="8037" spans="1:8" ht="14.4" x14ac:dyDescent="0.3">
      <c r="A8037" s="8">
        <v>2041656</v>
      </c>
      <c r="B8037" s="11">
        <v>44714</v>
      </c>
      <c r="C8037" s="13" t="s">
        <v>221</v>
      </c>
      <c r="D8037" s="13" t="s">
        <v>10005</v>
      </c>
      <c r="E8037" s="8">
        <v>57119.45</v>
      </c>
      <c r="F8037" s="13" t="s">
        <v>70</v>
      </c>
      <c r="G8037" s="14">
        <v>44719</v>
      </c>
      <c r="H8037" s="13" t="s">
        <v>35</v>
      </c>
    </row>
    <row r="8038" spans="1:8" ht="14.4" x14ac:dyDescent="0.3">
      <c r="A8038" s="8">
        <v>2041657</v>
      </c>
      <c r="B8038" s="11">
        <v>44714</v>
      </c>
      <c r="C8038" s="13" t="s">
        <v>10006</v>
      </c>
      <c r="D8038" s="13" t="s">
        <v>10007</v>
      </c>
      <c r="E8038" s="8">
        <v>19457.41</v>
      </c>
      <c r="F8038" s="13" t="s">
        <v>70</v>
      </c>
      <c r="G8038" s="14">
        <v>44718</v>
      </c>
      <c r="H8038" s="13" t="s">
        <v>35</v>
      </c>
    </row>
    <row r="8039" spans="1:8" ht="14.4" x14ac:dyDescent="0.3">
      <c r="A8039" s="8">
        <v>2041658</v>
      </c>
      <c r="B8039" s="11">
        <v>44714</v>
      </c>
      <c r="C8039" s="13" t="s">
        <v>265</v>
      </c>
      <c r="D8039" s="13" t="s">
        <v>10008</v>
      </c>
      <c r="E8039" s="8">
        <v>15000</v>
      </c>
      <c r="F8039" s="13" t="s">
        <v>70</v>
      </c>
      <c r="G8039" s="14">
        <v>44715</v>
      </c>
      <c r="H8039" s="13" t="s">
        <v>35</v>
      </c>
    </row>
    <row r="8040" spans="1:8" ht="14.4" x14ac:dyDescent="0.3">
      <c r="A8040" s="8">
        <v>2041659</v>
      </c>
      <c r="B8040" s="11">
        <v>44714</v>
      </c>
      <c r="C8040" s="13" t="s">
        <v>265</v>
      </c>
      <c r="D8040" s="13" t="s">
        <v>10009</v>
      </c>
      <c r="E8040" s="8">
        <v>41400.33</v>
      </c>
      <c r="F8040" s="13" t="s">
        <v>70</v>
      </c>
      <c r="G8040" s="14">
        <v>44715</v>
      </c>
      <c r="H8040" s="13" t="s">
        <v>35</v>
      </c>
    </row>
    <row r="8041" spans="1:8" ht="14.4" x14ac:dyDescent="0.3">
      <c r="A8041" s="8">
        <v>2041660</v>
      </c>
      <c r="B8041" s="11">
        <v>44714</v>
      </c>
      <c r="C8041" s="13" t="s">
        <v>361</v>
      </c>
      <c r="D8041" s="13" t="s">
        <v>10010</v>
      </c>
      <c r="E8041" s="8">
        <v>16084.82</v>
      </c>
      <c r="F8041" s="13" t="s">
        <v>70</v>
      </c>
      <c r="G8041" s="14">
        <v>44718</v>
      </c>
      <c r="H8041" s="13" t="s">
        <v>35</v>
      </c>
    </row>
    <row r="8042" spans="1:8" ht="14.4" x14ac:dyDescent="0.3">
      <c r="A8042" s="8">
        <v>2041661</v>
      </c>
      <c r="B8042" s="11">
        <v>44715</v>
      </c>
      <c r="C8042" s="13" t="s">
        <v>197</v>
      </c>
      <c r="D8042" s="13" t="s">
        <v>10011</v>
      </c>
      <c r="E8042" s="8">
        <v>1803882.91</v>
      </c>
      <c r="F8042" s="13" t="s">
        <v>70</v>
      </c>
      <c r="G8042" s="14">
        <v>44718</v>
      </c>
      <c r="H8042" s="13" t="s">
        <v>35</v>
      </c>
    </row>
    <row r="8043" spans="1:8" ht="14.4" x14ac:dyDescent="0.3">
      <c r="A8043" s="8">
        <v>2041662</v>
      </c>
      <c r="B8043" s="11">
        <v>44715</v>
      </c>
      <c r="C8043" s="13" t="s">
        <v>2425</v>
      </c>
      <c r="D8043" s="13" t="s">
        <v>10011</v>
      </c>
      <c r="E8043" s="8">
        <v>1798819.49</v>
      </c>
      <c r="F8043" s="13" t="s">
        <v>70</v>
      </c>
      <c r="G8043" s="14">
        <v>44718</v>
      </c>
      <c r="H8043" s="13" t="s">
        <v>35</v>
      </c>
    </row>
    <row r="8044" spans="1:8" ht="14.4" x14ac:dyDescent="0.3">
      <c r="A8044" s="8">
        <v>2041663</v>
      </c>
      <c r="B8044" s="11">
        <v>44715</v>
      </c>
      <c r="C8044" s="13" t="s">
        <v>189</v>
      </c>
      <c r="D8044" s="13" t="s">
        <v>10012</v>
      </c>
      <c r="E8044" s="8">
        <v>8676713.7200000007</v>
      </c>
      <c r="F8044" s="13" t="s">
        <v>70</v>
      </c>
      <c r="G8044" s="14">
        <v>44718</v>
      </c>
      <c r="H8044" s="13" t="s">
        <v>35</v>
      </c>
    </row>
    <row r="8045" spans="1:8" ht="14.4" x14ac:dyDescent="0.3">
      <c r="A8045" s="8">
        <v>2041664</v>
      </c>
      <c r="B8045" s="11">
        <v>44715</v>
      </c>
      <c r="C8045" s="13" t="s">
        <v>2425</v>
      </c>
      <c r="D8045" s="13" t="s">
        <v>10013</v>
      </c>
      <c r="E8045" s="8">
        <v>2747736</v>
      </c>
      <c r="F8045" s="13" t="s">
        <v>70</v>
      </c>
      <c r="G8045" s="14">
        <v>44718</v>
      </c>
      <c r="H8045" s="13" t="s">
        <v>35</v>
      </c>
    </row>
    <row r="8046" spans="1:8" ht="14.4" x14ac:dyDescent="0.3">
      <c r="A8046" s="8">
        <v>2041665</v>
      </c>
      <c r="B8046" s="11">
        <v>44715</v>
      </c>
      <c r="C8046" s="13" t="s">
        <v>188</v>
      </c>
      <c r="D8046" s="13" t="s">
        <v>10014</v>
      </c>
      <c r="E8046" s="8">
        <v>17275.59</v>
      </c>
      <c r="F8046" s="13" t="s">
        <v>70</v>
      </c>
      <c r="G8046" s="14">
        <v>44718</v>
      </c>
      <c r="H8046" s="13" t="s">
        <v>35</v>
      </c>
    </row>
    <row r="8047" spans="1:8" ht="14.4" x14ac:dyDescent="0.3">
      <c r="A8047" s="8">
        <v>2041666</v>
      </c>
      <c r="B8047" s="11">
        <v>44715</v>
      </c>
      <c r="C8047" s="13" t="s">
        <v>188</v>
      </c>
      <c r="D8047" s="13" t="s">
        <v>10015</v>
      </c>
      <c r="E8047" s="8">
        <v>2325.6</v>
      </c>
      <c r="F8047" s="13" t="s">
        <v>70</v>
      </c>
      <c r="G8047" s="14">
        <v>44718</v>
      </c>
      <c r="H8047" s="13" t="s">
        <v>35</v>
      </c>
    </row>
    <row r="8048" spans="1:8" ht="14.4" x14ac:dyDescent="0.3">
      <c r="A8048" s="8">
        <v>2041667</v>
      </c>
      <c r="B8048" s="11">
        <v>44715</v>
      </c>
      <c r="C8048" s="13" t="s">
        <v>1645</v>
      </c>
      <c r="D8048" s="13" t="s">
        <v>10011</v>
      </c>
      <c r="E8048" s="8">
        <v>282023.5</v>
      </c>
      <c r="F8048" s="13" t="s">
        <v>70</v>
      </c>
      <c r="G8048" s="14">
        <v>44718</v>
      </c>
      <c r="H8048" s="13" t="s">
        <v>35</v>
      </c>
    </row>
    <row r="8049" spans="1:8" ht="14.4" x14ac:dyDescent="0.3">
      <c r="A8049" s="8">
        <v>2041668</v>
      </c>
      <c r="B8049" s="11">
        <v>44715</v>
      </c>
      <c r="C8049" s="13" t="s">
        <v>254</v>
      </c>
      <c r="D8049" s="13" t="s">
        <v>10016</v>
      </c>
      <c r="E8049" s="8">
        <v>57122.15</v>
      </c>
      <c r="F8049" s="13" t="s">
        <v>70</v>
      </c>
      <c r="G8049" s="14">
        <v>44715</v>
      </c>
      <c r="H8049" s="13" t="s">
        <v>35</v>
      </c>
    </row>
    <row r="8050" spans="1:8" ht="14.4" x14ac:dyDescent="0.3">
      <c r="A8050" s="8">
        <v>2041669</v>
      </c>
      <c r="B8050" s="11">
        <v>44715</v>
      </c>
      <c r="C8050" s="13" t="s">
        <v>10017</v>
      </c>
      <c r="D8050" s="13" t="s">
        <v>10018</v>
      </c>
      <c r="E8050" s="8">
        <v>77600</v>
      </c>
      <c r="F8050" s="13" t="s">
        <v>70</v>
      </c>
      <c r="G8050" s="14">
        <v>44715</v>
      </c>
      <c r="H8050" s="13" t="s">
        <v>35</v>
      </c>
    </row>
    <row r="8051" spans="1:8" ht="14.4" x14ac:dyDescent="0.3">
      <c r="A8051" s="8">
        <v>2041670</v>
      </c>
      <c r="B8051" s="11">
        <v>44715</v>
      </c>
      <c r="C8051" s="13" t="s">
        <v>202</v>
      </c>
      <c r="D8051" s="13" t="s">
        <v>3715</v>
      </c>
      <c r="E8051" s="8">
        <v>30278.15</v>
      </c>
      <c r="F8051" s="13" t="s">
        <v>70</v>
      </c>
      <c r="G8051" s="14">
        <v>44718</v>
      </c>
      <c r="H8051" s="13" t="s">
        <v>35</v>
      </c>
    </row>
    <row r="8052" spans="1:8" ht="14.4" x14ac:dyDescent="0.3">
      <c r="A8052" s="8">
        <v>2041671</v>
      </c>
      <c r="B8052" s="11">
        <v>44715</v>
      </c>
      <c r="C8052" s="13" t="s">
        <v>361</v>
      </c>
      <c r="D8052" s="13" t="s">
        <v>10019</v>
      </c>
      <c r="E8052" s="8">
        <v>5050</v>
      </c>
      <c r="F8052" s="13" t="s">
        <v>70</v>
      </c>
      <c r="G8052" s="14">
        <v>44720</v>
      </c>
      <c r="H8052" s="13" t="s">
        <v>35</v>
      </c>
    </row>
    <row r="8053" spans="1:8" ht="14.4" x14ac:dyDescent="0.3">
      <c r="A8053" s="8">
        <v>2041672</v>
      </c>
      <c r="B8053" s="11">
        <v>44715</v>
      </c>
      <c r="C8053" s="13" t="s">
        <v>361</v>
      </c>
      <c r="D8053" s="13" t="s">
        <v>10020</v>
      </c>
      <c r="E8053" s="8">
        <v>36185.449999999997</v>
      </c>
      <c r="F8053" s="13" t="s">
        <v>70</v>
      </c>
      <c r="G8053" s="14">
        <v>44718</v>
      </c>
      <c r="H8053" s="13" t="s">
        <v>35</v>
      </c>
    </row>
    <row r="8054" spans="1:8" ht="14.4" x14ac:dyDescent="0.3">
      <c r="A8054" s="8">
        <v>2041673</v>
      </c>
      <c r="B8054" s="11">
        <v>44715</v>
      </c>
      <c r="C8054" s="13" t="s">
        <v>53</v>
      </c>
      <c r="D8054" s="13" t="s">
        <v>10021</v>
      </c>
      <c r="E8054" s="8">
        <v>218892.79999999999</v>
      </c>
      <c r="F8054" s="13" t="s">
        <v>70</v>
      </c>
      <c r="G8054" s="14">
        <v>44718</v>
      </c>
      <c r="H8054" s="13" t="s">
        <v>35</v>
      </c>
    </row>
    <row r="8055" spans="1:8" ht="14.4" x14ac:dyDescent="0.3">
      <c r="A8055" s="8">
        <v>2041674</v>
      </c>
      <c r="B8055" s="11">
        <v>44715</v>
      </c>
      <c r="C8055" s="13" t="s">
        <v>53</v>
      </c>
      <c r="D8055" s="13" t="s">
        <v>10022</v>
      </c>
      <c r="E8055" s="8">
        <v>315388.5</v>
      </c>
      <c r="F8055" s="13" t="s">
        <v>70</v>
      </c>
      <c r="G8055" s="14">
        <v>44718</v>
      </c>
      <c r="H8055" s="13" t="s">
        <v>35</v>
      </c>
    </row>
    <row r="8056" spans="1:8" ht="14.4" x14ac:dyDescent="0.3">
      <c r="A8056" s="8">
        <v>2041675</v>
      </c>
      <c r="B8056" s="11">
        <v>44715</v>
      </c>
      <c r="C8056" s="13" t="s">
        <v>52</v>
      </c>
      <c r="D8056" s="13" t="s">
        <v>10023</v>
      </c>
      <c r="E8056" s="8">
        <v>22988.74</v>
      </c>
      <c r="F8056" s="13" t="s">
        <v>70</v>
      </c>
      <c r="G8056" s="14">
        <v>44719</v>
      </c>
      <c r="H8056" s="13" t="s">
        <v>35</v>
      </c>
    </row>
    <row r="8057" spans="1:8" ht="14.4" x14ac:dyDescent="0.3">
      <c r="A8057" s="8">
        <v>2041676</v>
      </c>
      <c r="B8057" s="11">
        <v>44715</v>
      </c>
      <c r="C8057" s="13" t="s">
        <v>376</v>
      </c>
      <c r="D8057" s="13" t="s">
        <v>10024</v>
      </c>
      <c r="E8057" s="8">
        <v>69580</v>
      </c>
      <c r="F8057" s="13" t="s">
        <v>70</v>
      </c>
      <c r="G8057" s="14">
        <v>44719</v>
      </c>
      <c r="H8057" s="13" t="s">
        <v>35</v>
      </c>
    </row>
    <row r="8058" spans="1:8" ht="14.4" x14ac:dyDescent="0.3">
      <c r="A8058" s="8">
        <v>2041677</v>
      </c>
      <c r="B8058" s="11">
        <v>44715</v>
      </c>
      <c r="C8058" s="13" t="s">
        <v>374</v>
      </c>
      <c r="D8058" s="13" t="s">
        <v>10025</v>
      </c>
      <c r="E8058" s="8">
        <v>490637</v>
      </c>
      <c r="F8058" s="13" t="s">
        <v>70</v>
      </c>
      <c r="G8058" s="14">
        <v>44719</v>
      </c>
      <c r="H8058" s="13" t="s">
        <v>35</v>
      </c>
    </row>
    <row r="8059" spans="1:8" ht="14.4" x14ac:dyDescent="0.3">
      <c r="A8059" s="8">
        <v>2041678</v>
      </c>
      <c r="B8059" s="11">
        <v>44715</v>
      </c>
      <c r="C8059" s="13" t="s">
        <v>374</v>
      </c>
      <c r="D8059" s="13" t="s">
        <v>10026</v>
      </c>
      <c r="E8059" s="8">
        <v>533512</v>
      </c>
      <c r="F8059" s="13" t="s">
        <v>70</v>
      </c>
      <c r="G8059" s="14">
        <v>44719</v>
      </c>
      <c r="H8059" s="13" t="s">
        <v>35</v>
      </c>
    </row>
    <row r="8060" spans="1:8" ht="14.4" x14ac:dyDescent="0.3">
      <c r="A8060" s="8">
        <v>2041679</v>
      </c>
      <c r="B8060" s="11">
        <v>44715</v>
      </c>
      <c r="C8060" s="13" t="s">
        <v>191</v>
      </c>
      <c r="D8060" s="13" t="s">
        <v>10027</v>
      </c>
      <c r="E8060" s="8">
        <v>26358.04</v>
      </c>
      <c r="F8060" s="13" t="s">
        <v>70</v>
      </c>
      <c r="G8060" s="14">
        <v>44725</v>
      </c>
      <c r="H8060" s="13" t="s">
        <v>35</v>
      </c>
    </row>
    <row r="8061" spans="1:8" ht="14.4" x14ac:dyDescent="0.3">
      <c r="A8061" s="8">
        <v>2041680</v>
      </c>
      <c r="B8061" s="11">
        <v>44715</v>
      </c>
      <c r="C8061" s="13" t="s">
        <v>10028</v>
      </c>
      <c r="D8061" s="13" t="s">
        <v>10029</v>
      </c>
      <c r="E8061" s="8">
        <v>12303.57</v>
      </c>
      <c r="F8061" s="13" t="s">
        <v>70</v>
      </c>
      <c r="G8061" s="14">
        <v>44813</v>
      </c>
      <c r="H8061" s="13" t="s">
        <v>35</v>
      </c>
    </row>
    <row r="8062" spans="1:8" ht="14.4" x14ac:dyDescent="0.3">
      <c r="A8062" s="8">
        <v>2041681</v>
      </c>
      <c r="B8062" s="11">
        <v>44715</v>
      </c>
      <c r="C8062" s="13" t="s">
        <v>374</v>
      </c>
      <c r="D8062" s="13" t="s">
        <v>10030</v>
      </c>
      <c r="E8062" s="8">
        <v>451584</v>
      </c>
      <c r="F8062" s="13" t="s">
        <v>70</v>
      </c>
      <c r="G8062" s="14">
        <v>44719</v>
      </c>
      <c r="H8062" s="13" t="s">
        <v>35</v>
      </c>
    </row>
    <row r="8063" spans="1:8" ht="14.4" x14ac:dyDescent="0.3">
      <c r="A8063" s="8">
        <v>2041682</v>
      </c>
      <c r="B8063" s="11">
        <v>44715</v>
      </c>
      <c r="C8063" s="13" t="s">
        <v>376</v>
      </c>
      <c r="D8063" s="13" t="s">
        <v>10031</v>
      </c>
      <c r="E8063" s="15">
        <v>56105</v>
      </c>
      <c r="F8063" s="13" t="s">
        <v>70</v>
      </c>
      <c r="G8063" s="14">
        <v>44719</v>
      </c>
      <c r="H8063" s="13" t="s">
        <v>35</v>
      </c>
    </row>
    <row r="8064" spans="1:8" ht="14.4" x14ac:dyDescent="0.3">
      <c r="A8064" s="8">
        <v>2041683</v>
      </c>
      <c r="B8064" s="11">
        <v>44715</v>
      </c>
      <c r="C8064" s="13" t="s">
        <v>52</v>
      </c>
      <c r="D8064" s="13" t="s">
        <v>10032</v>
      </c>
      <c r="E8064" s="8">
        <v>34198.239999999998</v>
      </c>
      <c r="F8064" s="13" t="s">
        <v>70</v>
      </c>
      <c r="G8064" s="14">
        <v>44719</v>
      </c>
      <c r="H8064" s="13" t="s">
        <v>35</v>
      </c>
    </row>
    <row r="8065" spans="1:8" ht="14.4" x14ac:dyDescent="0.3">
      <c r="A8065" s="8">
        <v>2041684</v>
      </c>
      <c r="B8065" s="11">
        <v>44715</v>
      </c>
      <c r="C8065" s="13" t="s">
        <v>673</v>
      </c>
      <c r="D8065" s="13" t="s">
        <v>10033</v>
      </c>
      <c r="E8065" s="8">
        <v>72750</v>
      </c>
      <c r="F8065" s="13" t="s">
        <v>70</v>
      </c>
      <c r="G8065" s="14">
        <v>44721</v>
      </c>
      <c r="H8065" s="13" t="s">
        <v>35</v>
      </c>
    </row>
    <row r="8066" spans="1:8" ht="14.4" x14ac:dyDescent="0.3">
      <c r="A8066" s="8">
        <v>2041685</v>
      </c>
      <c r="B8066" s="11">
        <v>44715</v>
      </c>
      <c r="C8066" s="13" t="s">
        <v>202</v>
      </c>
      <c r="D8066" s="13" t="s">
        <v>10034</v>
      </c>
      <c r="E8066" s="8">
        <v>17782.78</v>
      </c>
      <c r="F8066" s="13" t="s">
        <v>70</v>
      </c>
      <c r="G8066" s="14">
        <v>44718</v>
      </c>
      <c r="H8066" s="13" t="s">
        <v>35</v>
      </c>
    </row>
    <row r="8067" spans="1:8" ht="14.4" x14ac:dyDescent="0.3">
      <c r="A8067" s="8">
        <v>2041686</v>
      </c>
      <c r="B8067" s="11">
        <v>44715</v>
      </c>
      <c r="C8067" s="13" t="s">
        <v>25</v>
      </c>
      <c r="D8067" s="13" t="s">
        <v>10035</v>
      </c>
      <c r="E8067" s="8">
        <v>7382.15</v>
      </c>
      <c r="F8067" s="13" t="s">
        <v>70</v>
      </c>
      <c r="G8067" s="14">
        <v>44719</v>
      </c>
      <c r="H8067" s="13" t="s">
        <v>35</v>
      </c>
    </row>
    <row r="8068" spans="1:8" ht="14.4" x14ac:dyDescent="0.3">
      <c r="A8068" s="8">
        <v>2041687</v>
      </c>
      <c r="B8068" s="11">
        <v>44715</v>
      </c>
      <c r="C8068" s="13" t="s">
        <v>756</v>
      </c>
      <c r="D8068" s="13" t="s">
        <v>10036</v>
      </c>
      <c r="E8068" s="8">
        <v>176450</v>
      </c>
      <c r="F8068" s="13" t="s">
        <v>70</v>
      </c>
      <c r="G8068" s="14">
        <v>44761</v>
      </c>
      <c r="H8068" s="13" t="s">
        <v>35</v>
      </c>
    </row>
    <row r="8069" spans="1:8" ht="14.4" x14ac:dyDescent="0.3">
      <c r="A8069" s="8">
        <v>2041688</v>
      </c>
      <c r="B8069" s="11">
        <v>44715</v>
      </c>
      <c r="C8069" s="13" t="s">
        <v>10037</v>
      </c>
      <c r="D8069" s="13" t="s">
        <v>10038</v>
      </c>
      <c r="E8069" s="8">
        <v>5698</v>
      </c>
      <c r="F8069" s="13" t="s">
        <v>70</v>
      </c>
      <c r="G8069" s="14">
        <v>44718</v>
      </c>
      <c r="H8069" s="13" t="s">
        <v>35</v>
      </c>
    </row>
    <row r="8070" spans="1:8" ht="14.4" x14ac:dyDescent="0.3">
      <c r="A8070" s="8">
        <v>2041689</v>
      </c>
      <c r="B8070" s="11">
        <v>44715</v>
      </c>
      <c r="C8070" s="13" t="s">
        <v>245</v>
      </c>
      <c r="D8070" s="13" t="s">
        <v>10039</v>
      </c>
      <c r="E8070" s="8">
        <v>173239.28</v>
      </c>
      <c r="F8070" s="13" t="s">
        <v>70</v>
      </c>
      <c r="G8070" s="14">
        <v>44719</v>
      </c>
      <c r="H8070" s="13" t="s">
        <v>35</v>
      </c>
    </row>
    <row r="8071" spans="1:8" ht="14.4" x14ac:dyDescent="0.3">
      <c r="A8071" s="8">
        <v>2041690</v>
      </c>
      <c r="B8071" s="11">
        <v>44715</v>
      </c>
      <c r="C8071" s="13" t="s">
        <v>55</v>
      </c>
      <c r="D8071" s="13" t="s">
        <v>10040</v>
      </c>
      <c r="E8071" s="8">
        <v>1987447.91</v>
      </c>
      <c r="F8071" s="13" t="s">
        <v>70</v>
      </c>
      <c r="G8071" s="14">
        <v>44719</v>
      </c>
      <c r="H8071" s="13" t="s">
        <v>35</v>
      </c>
    </row>
    <row r="8072" spans="1:8" ht="14.4" x14ac:dyDescent="0.3">
      <c r="A8072" s="8">
        <v>2041691</v>
      </c>
      <c r="B8072" s="11">
        <v>44715</v>
      </c>
      <c r="C8072" s="13" t="s">
        <v>25</v>
      </c>
      <c r="D8072" s="13" t="s">
        <v>4508</v>
      </c>
      <c r="E8072" s="8">
        <v>11489.65</v>
      </c>
      <c r="F8072" s="13" t="s">
        <v>70</v>
      </c>
      <c r="G8072" s="14">
        <v>44719</v>
      </c>
      <c r="H8072" s="13" t="s">
        <v>35</v>
      </c>
    </row>
    <row r="8073" spans="1:8" ht="14.4" x14ac:dyDescent="0.3">
      <c r="A8073" s="8">
        <v>2041692</v>
      </c>
      <c r="B8073" s="11">
        <v>44715</v>
      </c>
      <c r="C8073" s="13" t="s">
        <v>1596</v>
      </c>
      <c r="D8073" s="13" t="s">
        <v>10041</v>
      </c>
      <c r="E8073" s="8">
        <v>1528.8</v>
      </c>
      <c r="F8073" s="13" t="s">
        <v>70</v>
      </c>
      <c r="G8073" s="14">
        <v>44719</v>
      </c>
      <c r="H8073" s="13" t="s">
        <v>35</v>
      </c>
    </row>
    <row r="8074" spans="1:8" ht="14.4" x14ac:dyDescent="0.3">
      <c r="A8074" s="8">
        <v>2041693</v>
      </c>
      <c r="B8074" s="11">
        <v>44715</v>
      </c>
      <c r="C8074" s="13" t="s">
        <v>405</v>
      </c>
      <c r="D8074" s="13" t="s">
        <v>10042</v>
      </c>
      <c r="E8074" s="8">
        <v>2385000</v>
      </c>
      <c r="F8074" s="13" t="s">
        <v>70</v>
      </c>
      <c r="G8074" s="14">
        <v>44720</v>
      </c>
      <c r="H8074" s="13" t="s">
        <v>35</v>
      </c>
    </row>
    <row r="8075" spans="1:8" ht="14.4" x14ac:dyDescent="0.3">
      <c r="A8075" s="8">
        <v>2041694</v>
      </c>
      <c r="B8075" s="11">
        <v>44715</v>
      </c>
      <c r="C8075" s="13" t="s">
        <v>202</v>
      </c>
      <c r="D8075" s="13" t="s">
        <v>9971</v>
      </c>
      <c r="E8075" s="8">
        <v>218729.11</v>
      </c>
      <c r="F8075" s="13" t="s">
        <v>70</v>
      </c>
      <c r="G8075" s="14">
        <v>44718</v>
      </c>
      <c r="H8075" s="13" t="s">
        <v>35</v>
      </c>
    </row>
    <row r="8076" spans="1:8" ht="14.4" x14ac:dyDescent="0.3">
      <c r="A8076" s="8">
        <v>2041695</v>
      </c>
      <c r="B8076" s="11">
        <v>44715</v>
      </c>
      <c r="C8076" s="13" t="s">
        <v>6420</v>
      </c>
      <c r="D8076" s="13" t="s">
        <v>10043</v>
      </c>
      <c r="E8076" s="8">
        <v>44100</v>
      </c>
      <c r="F8076" s="13" t="s">
        <v>70</v>
      </c>
      <c r="G8076" s="14">
        <v>44718</v>
      </c>
      <c r="H8076" s="13" t="s">
        <v>35</v>
      </c>
    </row>
    <row r="8077" spans="1:8" ht="14.4" x14ac:dyDescent="0.3">
      <c r="A8077" s="8">
        <v>2041696</v>
      </c>
      <c r="B8077" s="11">
        <v>44715</v>
      </c>
      <c r="C8077" s="13" t="s">
        <v>1622</v>
      </c>
      <c r="D8077" s="13" t="s">
        <v>10044</v>
      </c>
      <c r="E8077" s="8">
        <v>224175</v>
      </c>
      <c r="F8077" s="13" t="s">
        <v>70</v>
      </c>
      <c r="G8077" s="14">
        <v>44719</v>
      </c>
      <c r="H8077" s="13" t="s">
        <v>35</v>
      </c>
    </row>
    <row r="8078" spans="1:8" ht="14.4" x14ac:dyDescent="0.3">
      <c r="A8078" s="8">
        <v>2041697</v>
      </c>
      <c r="B8078" s="11">
        <v>44715</v>
      </c>
      <c r="C8078" s="13" t="s">
        <v>2080</v>
      </c>
      <c r="D8078" s="13" t="s">
        <v>10045</v>
      </c>
      <c r="E8078" s="8">
        <v>250566.96</v>
      </c>
      <c r="F8078" s="13" t="s">
        <v>70</v>
      </c>
      <c r="G8078" s="14">
        <v>44719</v>
      </c>
      <c r="H8078" s="13" t="s">
        <v>35</v>
      </c>
    </row>
    <row r="8079" spans="1:8" ht="14.4" x14ac:dyDescent="0.3">
      <c r="A8079" s="8">
        <v>2041698</v>
      </c>
      <c r="B8079" s="11">
        <v>44715</v>
      </c>
      <c r="C8079" s="13" t="s">
        <v>2080</v>
      </c>
      <c r="D8079" s="13" t="s">
        <v>10046</v>
      </c>
      <c r="E8079" s="8">
        <v>236370.54</v>
      </c>
      <c r="F8079" s="13" t="s">
        <v>70</v>
      </c>
      <c r="G8079" s="14">
        <v>44719</v>
      </c>
      <c r="H8079" s="13" t="s">
        <v>35</v>
      </c>
    </row>
    <row r="8080" spans="1:8" ht="14.4" x14ac:dyDescent="0.3">
      <c r="A8080" s="8">
        <v>2041699</v>
      </c>
      <c r="B8080" s="11">
        <v>44715</v>
      </c>
      <c r="C8080" s="13" t="s">
        <v>53</v>
      </c>
      <c r="D8080" s="13" t="s">
        <v>10047</v>
      </c>
      <c r="E8080" s="8">
        <v>216834.8</v>
      </c>
      <c r="F8080" s="13" t="s">
        <v>70</v>
      </c>
      <c r="G8080" s="14">
        <v>44718</v>
      </c>
      <c r="H8080" s="13" t="s">
        <v>35</v>
      </c>
    </row>
    <row r="8081" spans="1:8" ht="14.4" x14ac:dyDescent="0.3">
      <c r="A8081" s="8">
        <v>2041700</v>
      </c>
      <c r="B8081" s="11">
        <v>44715</v>
      </c>
      <c r="C8081" s="13" t="s">
        <v>52</v>
      </c>
      <c r="D8081" s="13" t="s">
        <v>10048</v>
      </c>
      <c r="E8081" s="8">
        <v>34198.239999999998</v>
      </c>
      <c r="F8081" s="13" t="s">
        <v>70</v>
      </c>
      <c r="G8081" s="14">
        <v>44719</v>
      </c>
      <c r="H8081" s="13" t="s">
        <v>35</v>
      </c>
    </row>
    <row r="8082" spans="1:8" ht="14.4" x14ac:dyDescent="0.3">
      <c r="A8082" s="8">
        <v>2041701</v>
      </c>
      <c r="B8082" s="11">
        <v>44715</v>
      </c>
      <c r="C8082" s="13" t="s">
        <v>52</v>
      </c>
      <c r="D8082" s="13" t="s">
        <v>10049</v>
      </c>
      <c r="E8082" s="8">
        <v>73444.740000000005</v>
      </c>
      <c r="F8082" s="13" t="s">
        <v>70</v>
      </c>
      <c r="G8082" s="14">
        <v>44719</v>
      </c>
      <c r="H8082" s="13" t="s">
        <v>35</v>
      </c>
    </row>
    <row r="8083" spans="1:8" ht="14.4" x14ac:dyDescent="0.3">
      <c r="A8083" s="8">
        <v>2041702</v>
      </c>
      <c r="B8083" s="11">
        <v>44715</v>
      </c>
      <c r="C8083" s="13" t="s">
        <v>52</v>
      </c>
      <c r="D8083" s="13" t="s">
        <v>10050</v>
      </c>
      <c r="E8083" s="8">
        <v>105290.18</v>
      </c>
      <c r="F8083" s="13" t="s">
        <v>70</v>
      </c>
      <c r="G8083" s="14">
        <v>44719</v>
      </c>
      <c r="H8083" s="13" t="s">
        <v>35</v>
      </c>
    </row>
    <row r="8084" spans="1:8" ht="14.4" x14ac:dyDescent="0.3">
      <c r="A8084" s="8">
        <v>2041703</v>
      </c>
      <c r="B8084" s="11">
        <v>44715</v>
      </c>
      <c r="C8084" s="13" t="s">
        <v>201</v>
      </c>
      <c r="D8084" s="13" t="s">
        <v>10051</v>
      </c>
      <c r="E8084" s="8">
        <v>29778.43</v>
      </c>
      <c r="F8084" s="13" t="s">
        <v>70</v>
      </c>
      <c r="G8084" s="14">
        <v>44719</v>
      </c>
      <c r="H8084" s="13" t="s">
        <v>35</v>
      </c>
    </row>
    <row r="8085" spans="1:8" ht="14.4" x14ac:dyDescent="0.3">
      <c r="A8085" s="8">
        <v>2041704</v>
      </c>
      <c r="B8085" s="11">
        <v>44715</v>
      </c>
      <c r="C8085" s="13" t="s">
        <v>202</v>
      </c>
      <c r="D8085" s="13" t="s">
        <v>2570</v>
      </c>
      <c r="E8085" s="8">
        <v>330376.69</v>
      </c>
      <c r="F8085" s="13" t="s">
        <v>70</v>
      </c>
      <c r="G8085" s="14">
        <v>44718</v>
      </c>
      <c r="H8085" s="13" t="s">
        <v>35</v>
      </c>
    </row>
    <row r="8086" spans="1:8" ht="14.4" x14ac:dyDescent="0.3">
      <c r="A8086" s="8">
        <v>2041705</v>
      </c>
      <c r="B8086" s="11">
        <v>44715</v>
      </c>
      <c r="C8086" s="13" t="s">
        <v>6420</v>
      </c>
      <c r="D8086" s="13" t="s">
        <v>10052</v>
      </c>
      <c r="E8086" s="8">
        <v>563892</v>
      </c>
      <c r="F8086" s="13" t="s">
        <v>70</v>
      </c>
      <c r="G8086" s="14">
        <v>44718</v>
      </c>
      <c r="H8086" s="13" t="s">
        <v>35</v>
      </c>
    </row>
    <row r="8087" spans="1:8" ht="14.4" x14ac:dyDescent="0.3">
      <c r="A8087" s="8">
        <v>2041706</v>
      </c>
      <c r="B8087" s="11">
        <v>44715</v>
      </c>
      <c r="C8087" s="13" t="s">
        <v>245</v>
      </c>
      <c r="D8087" s="13" t="s">
        <v>10053</v>
      </c>
      <c r="E8087" s="8">
        <v>173239.28</v>
      </c>
      <c r="F8087" s="13" t="s">
        <v>70</v>
      </c>
      <c r="G8087" s="14">
        <v>44719</v>
      </c>
      <c r="H8087" s="13" t="s">
        <v>35</v>
      </c>
    </row>
    <row r="8088" spans="1:8" ht="14.4" x14ac:dyDescent="0.3">
      <c r="A8088" s="8">
        <v>2041707</v>
      </c>
      <c r="B8088" s="11">
        <v>44715</v>
      </c>
      <c r="C8088" s="13" t="s">
        <v>7350</v>
      </c>
      <c r="D8088" s="13" t="s">
        <v>10054</v>
      </c>
      <c r="E8088" s="8">
        <v>6125</v>
      </c>
      <c r="F8088" s="13" t="s">
        <v>70</v>
      </c>
      <c r="G8088" s="14">
        <v>44718</v>
      </c>
      <c r="H8088" s="13" t="s">
        <v>35</v>
      </c>
    </row>
    <row r="8089" spans="1:8" ht="14.4" x14ac:dyDescent="0.3">
      <c r="A8089" s="8">
        <v>2041708</v>
      </c>
      <c r="B8089" s="11">
        <v>44715</v>
      </c>
      <c r="C8089" s="13" t="s">
        <v>195</v>
      </c>
      <c r="D8089" s="13" t="s">
        <v>10055</v>
      </c>
      <c r="E8089" s="8">
        <v>183987.1</v>
      </c>
      <c r="F8089" s="13" t="s">
        <v>70</v>
      </c>
      <c r="G8089" s="14">
        <v>44718</v>
      </c>
      <c r="H8089" s="13" t="s">
        <v>35</v>
      </c>
    </row>
    <row r="8090" spans="1:8" ht="14.4" x14ac:dyDescent="0.3">
      <c r="A8090" s="8">
        <v>2041709</v>
      </c>
      <c r="B8090" s="11">
        <v>44715</v>
      </c>
      <c r="C8090" s="13" t="s">
        <v>279</v>
      </c>
      <c r="D8090" s="13" t="s">
        <v>10056</v>
      </c>
      <c r="E8090" s="8">
        <v>28384.53</v>
      </c>
      <c r="F8090" s="13" t="s">
        <v>70</v>
      </c>
      <c r="G8090" s="14">
        <v>44722</v>
      </c>
      <c r="H8090" s="13" t="s">
        <v>35</v>
      </c>
    </row>
    <row r="8091" spans="1:8" ht="14.4" x14ac:dyDescent="0.3">
      <c r="A8091" s="8">
        <v>2041710</v>
      </c>
      <c r="B8091" s="11">
        <v>44715</v>
      </c>
      <c r="C8091" s="13" t="s">
        <v>209</v>
      </c>
      <c r="D8091" s="13" t="s">
        <v>10057</v>
      </c>
      <c r="E8091" s="8">
        <v>7938005.6399999997</v>
      </c>
      <c r="F8091" s="13" t="s">
        <v>70</v>
      </c>
      <c r="G8091" s="14">
        <v>44735</v>
      </c>
      <c r="H8091" s="13" t="s">
        <v>35</v>
      </c>
    </row>
    <row r="8092" spans="1:8" ht="14.4" x14ac:dyDescent="0.3">
      <c r="A8092" s="8">
        <v>2041711</v>
      </c>
      <c r="B8092" s="11">
        <v>44715</v>
      </c>
      <c r="C8092" s="13" t="s">
        <v>376</v>
      </c>
      <c r="D8092" s="13" t="s">
        <v>10058</v>
      </c>
      <c r="E8092" s="8">
        <v>25529</v>
      </c>
      <c r="F8092" s="13" t="s">
        <v>70</v>
      </c>
      <c r="G8092" s="14">
        <v>44719</v>
      </c>
      <c r="H8092" s="13" t="s">
        <v>35</v>
      </c>
    </row>
    <row r="8093" spans="1:8" ht="14.4" x14ac:dyDescent="0.3">
      <c r="A8093" s="8">
        <v>2041712</v>
      </c>
      <c r="B8093" s="11">
        <v>44715</v>
      </c>
      <c r="C8093" s="13" t="s">
        <v>53</v>
      </c>
      <c r="D8093" s="13" t="s">
        <v>10059</v>
      </c>
      <c r="E8093" s="8">
        <v>230358.8</v>
      </c>
      <c r="F8093" s="13" t="s">
        <v>70</v>
      </c>
      <c r="G8093" s="14">
        <v>44718</v>
      </c>
      <c r="H8093" s="13" t="s">
        <v>35</v>
      </c>
    </row>
    <row r="8094" spans="1:8" ht="14.4" x14ac:dyDescent="0.3">
      <c r="A8094" s="8">
        <v>2041713</v>
      </c>
      <c r="B8094" s="11">
        <v>44715</v>
      </c>
      <c r="C8094" s="13" t="s">
        <v>1286</v>
      </c>
      <c r="D8094" s="13" t="s">
        <v>10060</v>
      </c>
      <c r="E8094" s="8">
        <v>112397.26</v>
      </c>
      <c r="F8094" s="13" t="s">
        <v>70</v>
      </c>
      <c r="G8094" s="14">
        <v>44722</v>
      </c>
      <c r="H8094" s="13" t="s">
        <v>35</v>
      </c>
    </row>
    <row r="8095" spans="1:8" ht="14.4" x14ac:dyDescent="0.3">
      <c r="A8095" s="8">
        <v>2041714</v>
      </c>
      <c r="B8095" s="11">
        <v>44715</v>
      </c>
      <c r="C8095" s="13" t="s">
        <v>1286</v>
      </c>
      <c r="D8095" s="13" t="s">
        <v>9973</v>
      </c>
      <c r="E8095" s="8">
        <v>186736.28</v>
      </c>
      <c r="F8095" s="13" t="s">
        <v>70</v>
      </c>
      <c r="G8095" s="14">
        <v>44722</v>
      </c>
      <c r="H8095" s="13" t="s">
        <v>35</v>
      </c>
    </row>
    <row r="8096" spans="1:8" ht="14.4" x14ac:dyDescent="0.3">
      <c r="A8096" s="8">
        <v>2041715</v>
      </c>
      <c r="B8096" s="11">
        <v>44715</v>
      </c>
      <c r="C8096" s="13" t="s">
        <v>259</v>
      </c>
      <c r="D8096" s="13" t="s">
        <v>10061</v>
      </c>
      <c r="E8096" s="8">
        <v>3445.12</v>
      </c>
      <c r="F8096" s="13" t="s">
        <v>70</v>
      </c>
      <c r="G8096" s="14">
        <v>44719</v>
      </c>
      <c r="H8096" s="13" t="s">
        <v>35</v>
      </c>
    </row>
    <row r="8097" spans="1:8" ht="14.4" x14ac:dyDescent="0.3">
      <c r="A8097" s="8">
        <v>2041716</v>
      </c>
      <c r="B8097" s="11">
        <v>44715</v>
      </c>
      <c r="C8097" s="13" t="s">
        <v>1745</v>
      </c>
      <c r="D8097" s="13" t="s">
        <v>34</v>
      </c>
      <c r="E8097" s="8">
        <v>4553.8</v>
      </c>
      <c r="F8097" s="13" t="s">
        <v>70</v>
      </c>
      <c r="G8097" s="14">
        <v>44719</v>
      </c>
      <c r="H8097" s="13" t="s">
        <v>35</v>
      </c>
    </row>
    <row r="8098" spans="1:8" ht="14.4" x14ac:dyDescent="0.3">
      <c r="A8098" s="8">
        <v>2041717</v>
      </c>
      <c r="B8098" s="11">
        <v>44715</v>
      </c>
      <c r="C8098" s="13" t="s">
        <v>3198</v>
      </c>
      <c r="D8098" s="13" t="s">
        <v>10062</v>
      </c>
      <c r="E8098" s="8">
        <v>1085.3499999999999</v>
      </c>
      <c r="F8098" s="13" t="s">
        <v>70</v>
      </c>
      <c r="G8098" s="14">
        <v>44782</v>
      </c>
      <c r="H8098" s="13" t="s">
        <v>35</v>
      </c>
    </row>
    <row r="8099" spans="1:8" ht="14.4" x14ac:dyDescent="0.3">
      <c r="A8099" s="8">
        <v>2041718</v>
      </c>
      <c r="B8099" s="11">
        <v>44715</v>
      </c>
      <c r="C8099" s="13" t="s">
        <v>10063</v>
      </c>
      <c r="D8099" s="13" t="s">
        <v>10064</v>
      </c>
      <c r="E8099" s="8">
        <v>1812</v>
      </c>
      <c r="F8099" s="13" t="s">
        <v>70</v>
      </c>
      <c r="G8099" s="14">
        <v>44777</v>
      </c>
      <c r="H8099" s="13" t="s">
        <v>35</v>
      </c>
    </row>
    <row r="8100" spans="1:8" ht="14.4" x14ac:dyDescent="0.3">
      <c r="A8100" s="8">
        <v>2041719</v>
      </c>
      <c r="B8100" s="11">
        <v>44715</v>
      </c>
      <c r="C8100" s="13" t="s">
        <v>4567</v>
      </c>
      <c r="D8100" s="13" t="s">
        <v>34</v>
      </c>
      <c r="E8100" s="8">
        <v>2330.85</v>
      </c>
      <c r="F8100" s="13" t="s">
        <v>70</v>
      </c>
      <c r="G8100" s="14">
        <v>44736</v>
      </c>
      <c r="H8100" s="13" t="s">
        <v>35</v>
      </c>
    </row>
    <row r="8101" spans="1:8" ht="14.4" x14ac:dyDescent="0.3">
      <c r="A8101" s="8">
        <v>2041720</v>
      </c>
      <c r="B8101" s="11">
        <v>44715</v>
      </c>
      <c r="C8101" s="13" t="s">
        <v>1542</v>
      </c>
      <c r="D8101" s="13" t="s">
        <v>34</v>
      </c>
      <c r="E8101" s="8">
        <v>2437.6</v>
      </c>
      <c r="F8101" s="13" t="s">
        <v>70</v>
      </c>
      <c r="G8101" s="14">
        <v>44719</v>
      </c>
      <c r="H8101" s="13" t="s">
        <v>35</v>
      </c>
    </row>
    <row r="8102" spans="1:8" ht="14.4" x14ac:dyDescent="0.3">
      <c r="A8102" s="8">
        <v>2041721</v>
      </c>
      <c r="B8102" s="11">
        <v>44715</v>
      </c>
      <c r="C8102" s="13" t="s">
        <v>254</v>
      </c>
      <c r="D8102" s="13" t="s">
        <v>10061</v>
      </c>
      <c r="E8102" s="8">
        <v>750</v>
      </c>
      <c r="F8102" s="13" t="s">
        <v>70</v>
      </c>
      <c r="G8102" s="14">
        <v>44739</v>
      </c>
      <c r="H8102" s="13" t="s">
        <v>35</v>
      </c>
    </row>
    <row r="8103" spans="1:8" ht="14.4" x14ac:dyDescent="0.3">
      <c r="A8103" s="8">
        <v>2041723</v>
      </c>
      <c r="B8103" s="11">
        <v>44715</v>
      </c>
      <c r="C8103" s="13" t="s">
        <v>1420</v>
      </c>
      <c r="D8103" s="13" t="s">
        <v>34</v>
      </c>
      <c r="E8103" s="8">
        <v>23280.25</v>
      </c>
      <c r="F8103" s="13" t="s">
        <v>70</v>
      </c>
      <c r="G8103" s="14">
        <v>44720</v>
      </c>
      <c r="H8103" s="13" t="s">
        <v>35</v>
      </c>
    </row>
    <row r="8104" spans="1:8" ht="14.4" x14ac:dyDescent="0.3">
      <c r="A8104" s="8">
        <v>2041724</v>
      </c>
      <c r="B8104" s="11">
        <v>44715</v>
      </c>
      <c r="C8104" s="13" t="s">
        <v>127</v>
      </c>
      <c r="D8104" s="13" t="s">
        <v>34</v>
      </c>
      <c r="E8104" s="8">
        <v>26187.77</v>
      </c>
      <c r="F8104" s="13" t="s">
        <v>70</v>
      </c>
      <c r="G8104" s="14">
        <v>44719</v>
      </c>
      <c r="H8104" s="13" t="s">
        <v>35</v>
      </c>
    </row>
    <row r="8105" spans="1:8" ht="14.4" x14ac:dyDescent="0.3">
      <c r="A8105" s="8">
        <v>2041725</v>
      </c>
      <c r="B8105" s="11">
        <v>44715</v>
      </c>
      <c r="C8105" s="13" t="s">
        <v>202</v>
      </c>
      <c r="D8105" s="13" t="s">
        <v>34</v>
      </c>
      <c r="E8105" s="8">
        <v>36301.5</v>
      </c>
      <c r="F8105" s="13" t="s">
        <v>70</v>
      </c>
      <c r="G8105" s="14">
        <v>44718</v>
      </c>
      <c r="H8105" s="13" t="s">
        <v>35</v>
      </c>
    </row>
    <row r="8106" spans="1:8" ht="14.4" x14ac:dyDescent="0.3">
      <c r="A8106" s="8">
        <v>2041726</v>
      </c>
      <c r="B8106" s="11">
        <v>44715</v>
      </c>
      <c r="C8106" s="13" t="s">
        <v>2571</v>
      </c>
      <c r="D8106" s="13" t="s">
        <v>34</v>
      </c>
      <c r="E8106" s="8">
        <v>135090.34</v>
      </c>
      <c r="F8106" s="13" t="s">
        <v>70</v>
      </c>
      <c r="G8106" s="14">
        <v>44719</v>
      </c>
      <c r="H8106" s="13" t="s">
        <v>35</v>
      </c>
    </row>
    <row r="8107" spans="1:8" ht="14.4" x14ac:dyDescent="0.3">
      <c r="A8107" s="8">
        <v>2041727</v>
      </c>
      <c r="B8107" s="11">
        <v>44715</v>
      </c>
      <c r="C8107" s="13" t="s">
        <v>1958</v>
      </c>
      <c r="D8107" s="13" t="s">
        <v>10065</v>
      </c>
      <c r="E8107" s="8">
        <v>1778881.46</v>
      </c>
      <c r="F8107" s="13" t="s">
        <v>70</v>
      </c>
      <c r="G8107" s="14">
        <v>44718</v>
      </c>
      <c r="H8107" s="13" t="s">
        <v>35</v>
      </c>
    </row>
    <row r="8108" spans="1:8" ht="14.4" x14ac:dyDescent="0.3">
      <c r="A8108" s="8">
        <v>2041728</v>
      </c>
      <c r="B8108" s="11">
        <v>44715</v>
      </c>
      <c r="C8108" s="13" t="s">
        <v>10066</v>
      </c>
      <c r="D8108" s="13" t="s">
        <v>10067</v>
      </c>
      <c r="E8108" s="8">
        <v>2463.7800000000002</v>
      </c>
      <c r="F8108" s="13" t="s">
        <v>70</v>
      </c>
      <c r="G8108" s="14">
        <v>44726</v>
      </c>
      <c r="H8108" s="13" t="s">
        <v>35</v>
      </c>
    </row>
    <row r="8109" spans="1:8" ht="14.4" x14ac:dyDescent="0.3">
      <c r="A8109" s="8">
        <v>2041729</v>
      </c>
      <c r="B8109" s="11">
        <v>44715</v>
      </c>
      <c r="C8109" s="13" t="s">
        <v>10068</v>
      </c>
      <c r="D8109" s="13" t="s">
        <v>10069</v>
      </c>
      <c r="E8109" s="8">
        <v>3352.44</v>
      </c>
      <c r="F8109" s="13" t="s">
        <v>70</v>
      </c>
      <c r="G8109" s="14">
        <v>44722</v>
      </c>
      <c r="H8109" s="13" t="s">
        <v>35</v>
      </c>
    </row>
    <row r="8110" spans="1:8" ht="14.4" x14ac:dyDescent="0.3">
      <c r="A8110" s="8">
        <v>2041730</v>
      </c>
      <c r="B8110" s="11">
        <v>44715</v>
      </c>
      <c r="C8110" s="13" t="s">
        <v>533</v>
      </c>
      <c r="D8110" s="13" t="s">
        <v>10070</v>
      </c>
      <c r="E8110" s="8">
        <v>3828.34</v>
      </c>
      <c r="F8110" s="13" t="s">
        <v>70</v>
      </c>
      <c r="G8110" s="14">
        <v>44719</v>
      </c>
      <c r="H8110" s="13" t="s">
        <v>35</v>
      </c>
    </row>
    <row r="8111" spans="1:8" ht="14.4" x14ac:dyDescent="0.3">
      <c r="A8111" s="8">
        <v>2041731</v>
      </c>
      <c r="B8111" s="11">
        <v>44715</v>
      </c>
      <c r="C8111" s="13" t="s">
        <v>10071</v>
      </c>
      <c r="D8111" s="13" t="s">
        <v>10072</v>
      </c>
      <c r="E8111" s="8">
        <v>8688.01</v>
      </c>
      <c r="F8111" s="13" t="s">
        <v>70</v>
      </c>
      <c r="G8111" s="14">
        <v>44722</v>
      </c>
      <c r="H8111" s="13" t="s">
        <v>35</v>
      </c>
    </row>
    <row r="8112" spans="1:8" ht="14.4" x14ac:dyDescent="0.3">
      <c r="A8112" s="8">
        <v>2041732</v>
      </c>
      <c r="B8112" s="11">
        <v>44715</v>
      </c>
      <c r="C8112" s="13" t="s">
        <v>10073</v>
      </c>
      <c r="D8112" s="13" t="s">
        <v>10074</v>
      </c>
      <c r="E8112" s="8">
        <v>1741.92</v>
      </c>
      <c r="F8112" s="13" t="s">
        <v>70</v>
      </c>
      <c r="G8112" s="14">
        <v>44720</v>
      </c>
      <c r="H8112" s="13" t="s">
        <v>35</v>
      </c>
    </row>
    <row r="8113" spans="1:8" ht="14.4" x14ac:dyDescent="0.3">
      <c r="A8113" s="8">
        <v>2041733</v>
      </c>
      <c r="B8113" s="11">
        <v>44715</v>
      </c>
      <c r="C8113" s="13" t="s">
        <v>601</v>
      </c>
      <c r="D8113" s="13" t="s">
        <v>10075</v>
      </c>
      <c r="E8113" s="8">
        <v>56250</v>
      </c>
      <c r="F8113" s="13" t="s">
        <v>70</v>
      </c>
      <c r="G8113" s="14">
        <v>44720</v>
      </c>
      <c r="H8113" s="13" t="s">
        <v>35</v>
      </c>
    </row>
    <row r="8114" spans="1:8" ht="14.4" x14ac:dyDescent="0.3">
      <c r="A8114" s="8">
        <v>2041734</v>
      </c>
      <c r="B8114" s="11">
        <v>44715</v>
      </c>
      <c r="C8114" s="13" t="s">
        <v>48</v>
      </c>
      <c r="D8114" s="13" t="s">
        <v>10076</v>
      </c>
      <c r="E8114" s="8">
        <v>36860</v>
      </c>
      <c r="F8114" s="13" t="s">
        <v>70</v>
      </c>
      <c r="G8114" s="14">
        <v>44727</v>
      </c>
      <c r="H8114" s="13" t="s">
        <v>35</v>
      </c>
    </row>
    <row r="8115" spans="1:8" ht="14.4" x14ac:dyDescent="0.3">
      <c r="A8115" s="8">
        <v>2041735</v>
      </c>
      <c r="B8115" s="11">
        <v>44715</v>
      </c>
      <c r="C8115" s="13" t="s">
        <v>4602</v>
      </c>
      <c r="D8115" s="13" t="s">
        <v>10077</v>
      </c>
      <c r="E8115" s="8">
        <v>19400</v>
      </c>
      <c r="F8115" s="13" t="s">
        <v>70</v>
      </c>
      <c r="G8115" s="14">
        <v>44720</v>
      </c>
      <c r="H8115" s="13" t="s">
        <v>35</v>
      </c>
    </row>
    <row r="8116" spans="1:8" ht="14.4" x14ac:dyDescent="0.3">
      <c r="A8116" s="8">
        <v>2041736</v>
      </c>
      <c r="B8116" s="11">
        <v>44715</v>
      </c>
      <c r="C8116" s="13" t="s">
        <v>2684</v>
      </c>
      <c r="D8116" s="13" t="s">
        <v>10078</v>
      </c>
      <c r="E8116" s="8">
        <v>46560</v>
      </c>
      <c r="F8116" s="13" t="s">
        <v>70</v>
      </c>
      <c r="G8116" s="14">
        <v>44718</v>
      </c>
      <c r="H8116" s="13" t="s">
        <v>35</v>
      </c>
    </row>
    <row r="8117" spans="1:8" ht="14.4" x14ac:dyDescent="0.3">
      <c r="A8117" s="8">
        <v>2041737</v>
      </c>
      <c r="B8117" s="11">
        <v>44715</v>
      </c>
      <c r="C8117" s="13" t="s">
        <v>50</v>
      </c>
      <c r="D8117" s="13" t="s">
        <v>10079</v>
      </c>
      <c r="E8117" s="8">
        <v>46560</v>
      </c>
      <c r="F8117" s="13" t="s">
        <v>70</v>
      </c>
      <c r="G8117" s="14">
        <v>44721</v>
      </c>
      <c r="H8117" s="13" t="s">
        <v>35</v>
      </c>
    </row>
    <row r="8118" spans="1:8" ht="14.4" x14ac:dyDescent="0.3">
      <c r="A8118" s="8">
        <v>2041738</v>
      </c>
      <c r="B8118" s="11">
        <v>44715</v>
      </c>
      <c r="C8118" s="13" t="s">
        <v>4602</v>
      </c>
      <c r="D8118" s="13" t="s">
        <v>10080</v>
      </c>
      <c r="E8118" s="8">
        <v>58200</v>
      </c>
      <c r="F8118" s="13" t="s">
        <v>70</v>
      </c>
      <c r="G8118" s="14">
        <v>44720</v>
      </c>
      <c r="H8118" s="13" t="s">
        <v>35</v>
      </c>
    </row>
    <row r="8119" spans="1:8" ht="14.4" x14ac:dyDescent="0.3">
      <c r="A8119" s="8">
        <v>2041739</v>
      </c>
      <c r="B8119" s="11">
        <v>44715</v>
      </c>
      <c r="C8119" s="13" t="s">
        <v>1276</v>
      </c>
      <c r="D8119" s="13" t="s">
        <v>10081</v>
      </c>
      <c r="E8119" s="8">
        <v>58200</v>
      </c>
      <c r="F8119" s="13" t="s">
        <v>70</v>
      </c>
      <c r="G8119" s="14">
        <v>44719</v>
      </c>
      <c r="H8119" s="13" t="s">
        <v>35</v>
      </c>
    </row>
    <row r="8120" spans="1:8" ht="14.4" x14ac:dyDescent="0.3">
      <c r="A8120" s="8">
        <v>2041740</v>
      </c>
      <c r="B8120" s="11">
        <v>44715</v>
      </c>
      <c r="C8120" s="13" t="s">
        <v>1424</v>
      </c>
      <c r="D8120" s="13" t="s">
        <v>1856</v>
      </c>
      <c r="E8120" s="8">
        <v>31918.3</v>
      </c>
      <c r="F8120" s="13" t="s">
        <v>70</v>
      </c>
      <c r="G8120" s="14">
        <v>44728</v>
      </c>
      <c r="H8120" s="13" t="s">
        <v>35</v>
      </c>
    </row>
    <row r="8121" spans="1:8" ht="14.4" x14ac:dyDescent="0.3">
      <c r="A8121" s="8">
        <v>2041741</v>
      </c>
      <c r="B8121" s="11">
        <v>44715</v>
      </c>
      <c r="C8121" s="13" t="s">
        <v>1424</v>
      </c>
      <c r="D8121" s="13" t="s">
        <v>2562</v>
      </c>
      <c r="E8121" s="8">
        <v>12587.5</v>
      </c>
      <c r="F8121" s="13" t="s">
        <v>70</v>
      </c>
      <c r="G8121" s="14">
        <v>44728</v>
      </c>
      <c r="H8121" s="13" t="s">
        <v>35</v>
      </c>
    </row>
    <row r="8122" spans="1:8" ht="14.4" x14ac:dyDescent="0.3">
      <c r="A8122" s="8">
        <v>2041742</v>
      </c>
      <c r="B8122" s="11">
        <v>44715</v>
      </c>
      <c r="C8122" s="13" t="s">
        <v>1424</v>
      </c>
      <c r="D8122" s="13" t="s">
        <v>2585</v>
      </c>
      <c r="E8122" s="8">
        <v>6293.74</v>
      </c>
      <c r="F8122" s="13" t="s">
        <v>70</v>
      </c>
      <c r="G8122" s="14">
        <v>44728</v>
      </c>
      <c r="H8122" s="13" t="s">
        <v>35</v>
      </c>
    </row>
    <row r="8123" spans="1:8" ht="14.4" x14ac:dyDescent="0.3">
      <c r="A8123" s="8">
        <v>2041743</v>
      </c>
      <c r="B8123" s="11">
        <v>44715</v>
      </c>
      <c r="C8123" s="13" t="s">
        <v>1547</v>
      </c>
      <c r="D8123" s="13" t="s">
        <v>10082</v>
      </c>
      <c r="E8123" s="8">
        <v>173299.17</v>
      </c>
      <c r="F8123" s="13" t="s">
        <v>70</v>
      </c>
      <c r="G8123" s="14">
        <v>44718</v>
      </c>
      <c r="H8123" s="13" t="s">
        <v>35</v>
      </c>
    </row>
    <row r="8124" spans="1:8" ht="14.4" x14ac:dyDescent="0.3">
      <c r="A8124" s="8">
        <v>2041744</v>
      </c>
      <c r="B8124" s="11">
        <v>44715</v>
      </c>
      <c r="C8124" s="13" t="s">
        <v>3725</v>
      </c>
      <c r="D8124" s="13" t="s">
        <v>10083</v>
      </c>
      <c r="E8124" s="8">
        <v>42000</v>
      </c>
      <c r="F8124" s="13" t="s">
        <v>70</v>
      </c>
      <c r="G8124" s="14">
        <v>44718</v>
      </c>
      <c r="H8124" s="13" t="s">
        <v>35</v>
      </c>
    </row>
    <row r="8125" spans="1:8" ht="14.4" x14ac:dyDescent="0.3">
      <c r="A8125" s="8">
        <v>2041745</v>
      </c>
      <c r="B8125" s="11">
        <v>44715</v>
      </c>
      <c r="C8125" s="13" t="s">
        <v>60</v>
      </c>
      <c r="D8125" s="13" t="s">
        <v>10084</v>
      </c>
      <c r="E8125" s="8">
        <v>1525182.77</v>
      </c>
      <c r="F8125" s="13" t="s">
        <v>70</v>
      </c>
      <c r="G8125" s="14">
        <v>44720</v>
      </c>
      <c r="H8125" s="13" t="s">
        <v>35</v>
      </c>
    </row>
    <row r="8126" spans="1:8" ht="14.4" x14ac:dyDescent="0.3">
      <c r="A8126" s="8">
        <v>2041746</v>
      </c>
      <c r="B8126" s="11">
        <v>44715</v>
      </c>
      <c r="C8126" s="13" t="s">
        <v>44</v>
      </c>
      <c r="D8126" s="13" t="s">
        <v>10085</v>
      </c>
      <c r="E8126" s="8">
        <v>6310.68</v>
      </c>
      <c r="F8126" s="13" t="s">
        <v>70</v>
      </c>
      <c r="G8126" s="14">
        <v>44719</v>
      </c>
      <c r="H8126" s="13" t="s">
        <v>35</v>
      </c>
    </row>
    <row r="8127" spans="1:8" ht="14.4" x14ac:dyDescent="0.3">
      <c r="A8127" s="8">
        <v>2041747</v>
      </c>
      <c r="B8127" s="11">
        <v>44715</v>
      </c>
      <c r="C8127" s="13" t="s">
        <v>275</v>
      </c>
      <c r="D8127" s="13" t="s">
        <v>10086</v>
      </c>
      <c r="E8127" s="8">
        <v>207396.42</v>
      </c>
      <c r="F8127" s="13" t="s">
        <v>70</v>
      </c>
      <c r="G8127" s="14">
        <v>44718</v>
      </c>
      <c r="H8127" s="13" t="s">
        <v>35</v>
      </c>
    </row>
    <row r="8128" spans="1:8" ht="14.4" x14ac:dyDescent="0.3">
      <c r="A8128" s="8">
        <v>2041748</v>
      </c>
      <c r="B8128" s="11">
        <v>44715</v>
      </c>
      <c r="C8128" s="13" t="s">
        <v>10087</v>
      </c>
      <c r="D8128" s="13" t="s">
        <v>3291</v>
      </c>
      <c r="E8128" s="8">
        <v>46821.15</v>
      </c>
      <c r="F8128" s="13" t="s">
        <v>70</v>
      </c>
      <c r="G8128" s="14">
        <v>44718</v>
      </c>
      <c r="H8128" s="13" t="s">
        <v>35</v>
      </c>
    </row>
    <row r="8129" spans="1:8" ht="14.4" x14ac:dyDescent="0.3">
      <c r="A8129" s="8">
        <v>2041749</v>
      </c>
      <c r="B8129" s="11">
        <v>44715</v>
      </c>
      <c r="C8129" s="13" t="s">
        <v>1637</v>
      </c>
      <c r="D8129" s="13" t="s">
        <v>10088</v>
      </c>
      <c r="E8129" s="8">
        <v>121884.91</v>
      </c>
      <c r="F8129" s="13" t="s">
        <v>70</v>
      </c>
      <c r="G8129" s="14">
        <v>44718</v>
      </c>
      <c r="H8129" s="13" t="s">
        <v>35</v>
      </c>
    </row>
    <row r="8130" spans="1:8" ht="14.4" x14ac:dyDescent="0.3">
      <c r="A8130" s="8">
        <v>2041750</v>
      </c>
      <c r="B8130" s="11">
        <v>44715</v>
      </c>
      <c r="C8130" s="13" t="s">
        <v>44</v>
      </c>
      <c r="D8130" s="13" t="s">
        <v>10089</v>
      </c>
      <c r="E8130" s="8">
        <v>2530.3000000000002</v>
      </c>
      <c r="F8130" s="13" t="s">
        <v>70</v>
      </c>
      <c r="G8130" s="14">
        <v>44719</v>
      </c>
      <c r="H8130" s="13" t="s">
        <v>35</v>
      </c>
    </row>
    <row r="8131" spans="1:8" ht="14.4" x14ac:dyDescent="0.3">
      <c r="A8131" s="8">
        <v>2041751</v>
      </c>
      <c r="B8131" s="11">
        <v>44715</v>
      </c>
      <c r="C8131" s="13" t="s">
        <v>44</v>
      </c>
      <c r="D8131" s="13" t="s">
        <v>10090</v>
      </c>
      <c r="E8131" s="8">
        <v>12075</v>
      </c>
      <c r="F8131" s="13" t="s">
        <v>70</v>
      </c>
      <c r="G8131" s="14">
        <v>44719</v>
      </c>
      <c r="H8131" s="13" t="s">
        <v>35</v>
      </c>
    </row>
    <row r="8132" spans="1:8" ht="14.4" x14ac:dyDescent="0.3">
      <c r="A8132" s="8">
        <v>2041752</v>
      </c>
      <c r="B8132" s="11">
        <v>44715</v>
      </c>
      <c r="C8132" s="13" t="s">
        <v>44</v>
      </c>
      <c r="D8132" s="13" t="s">
        <v>10091</v>
      </c>
      <c r="E8132" s="8">
        <v>2061.56</v>
      </c>
      <c r="F8132" s="13" t="s">
        <v>70</v>
      </c>
      <c r="G8132" s="14">
        <v>44719</v>
      </c>
      <c r="H8132" s="13" t="s">
        <v>35</v>
      </c>
    </row>
    <row r="8133" spans="1:8" ht="14.4" x14ac:dyDescent="0.3">
      <c r="A8133" s="8">
        <v>2041753</v>
      </c>
      <c r="B8133" s="11">
        <v>44715</v>
      </c>
      <c r="C8133" s="13" t="s">
        <v>44</v>
      </c>
      <c r="D8133" s="13" t="s">
        <v>10092</v>
      </c>
      <c r="E8133" s="8">
        <v>1088.73</v>
      </c>
      <c r="F8133" s="13" t="s">
        <v>70</v>
      </c>
      <c r="G8133" s="14">
        <v>44719</v>
      </c>
      <c r="H8133" s="13" t="s">
        <v>35</v>
      </c>
    </row>
    <row r="8134" spans="1:8" ht="14.4" x14ac:dyDescent="0.3">
      <c r="A8134" s="8">
        <v>2041754</v>
      </c>
      <c r="B8134" s="11">
        <v>44715</v>
      </c>
      <c r="C8134" s="13" t="s">
        <v>44</v>
      </c>
      <c r="D8134" s="13" t="s">
        <v>10093</v>
      </c>
      <c r="E8134" s="8">
        <v>3795.73</v>
      </c>
      <c r="F8134" s="13" t="s">
        <v>70</v>
      </c>
      <c r="G8134" s="14">
        <v>44719</v>
      </c>
      <c r="H8134" s="13" t="s">
        <v>35</v>
      </c>
    </row>
    <row r="8135" spans="1:8" ht="14.4" x14ac:dyDescent="0.3">
      <c r="A8135" s="8">
        <v>2041755</v>
      </c>
      <c r="B8135" s="11">
        <v>44715</v>
      </c>
      <c r="C8135" s="13" t="s">
        <v>44</v>
      </c>
      <c r="D8135" s="13" t="s">
        <v>10094</v>
      </c>
      <c r="E8135" s="8">
        <v>2979.55</v>
      </c>
      <c r="F8135" s="13" t="s">
        <v>70</v>
      </c>
      <c r="G8135" s="14">
        <v>44719</v>
      </c>
      <c r="H8135" s="13" t="s">
        <v>35</v>
      </c>
    </row>
    <row r="8136" spans="1:8" ht="14.4" x14ac:dyDescent="0.3">
      <c r="A8136" s="8">
        <v>2041756</v>
      </c>
      <c r="B8136" s="11">
        <v>44715</v>
      </c>
      <c r="C8136" s="13" t="s">
        <v>1286</v>
      </c>
      <c r="D8136" s="13" t="s">
        <v>10095</v>
      </c>
      <c r="E8136" s="8">
        <v>21198.57</v>
      </c>
      <c r="F8136" s="13" t="s">
        <v>70</v>
      </c>
      <c r="G8136" s="14">
        <v>44722</v>
      </c>
      <c r="H8136" s="13" t="s">
        <v>35</v>
      </c>
    </row>
    <row r="8137" spans="1:8" ht="14.4" x14ac:dyDescent="0.3">
      <c r="A8137" s="8">
        <v>2041757</v>
      </c>
      <c r="B8137" s="11">
        <v>44715</v>
      </c>
      <c r="C8137" s="13" t="s">
        <v>44</v>
      </c>
      <c r="D8137" s="13" t="s">
        <v>10096</v>
      </c>
      <c r="E8137" s="8">
        <v>12075</v>
      </c>
      <c r="F8137" s="13" t="s">
        <v>70</v>
      </c>
      <c r="G8137" s="14">
        <v>44719</v>
      </c>
      <c r="H8137" s="13" t="s">
        <v>35</v>
      </c>
    </row>
    <row r="8138" spans="1:8" ht="14.4" x14ac:dyDescent="0.3">
      <c r="A8138" s="8">
        <v>2041758</v>
      </c>
      <c r="B8138" s="11">
        <v>44715</v>
      </c>
      <c r="C8138" s="13" t="s">
        <v>44</v>
      </c>
      <c r="D8138" s="13" t="s">
        <v>10097</v>
      </c>
      <c r="E8138" s="8">
        <v>12075</v>
      </c>
      <c r="F8138" s="13" t="s">
        <v>70</v>
      </c>
      <c r="G8138" s="14">
        <v>44719</v>
      </c>
      <c r="H8138" s="13" t="s">
        <v>35</v>
      </c>
    </row>
    <row r="8139" spans="1:8" ht="14.4" x14ac:dyDescent="0.3">
      <c r="A8139" s="8">
        <v>2041759</v>
      </c>
      <c r="B8139" s="11">
        <v>44715</v>
      </c>
      <c r="C8139" s="13" t="s">
        <v>44</v>
      </c>
      <c r="D8139" s="13" t="s">
        <v>10098</v>
      </c>
      <c r="E8139" s="8">
        <v>12075</v>
      </c>
      <c r="F8139" s="13" t="s">
        <v>70</v>
      </c>
      <c r="G8139" s="14">
        <v>44719</v>
      </c>
      <c r="H8139" s="13" t="s">
        <v>35</v>
      </c>
    </row>
    <row r="8140" spans="1:8" ht="14.4" x14ac:dyDescent="0.3">
      <c r="A8140" s="8">
        <v>2041760</v>
      </c>
      <c r="B8140" s="11">
        <v>44715</v>
      </c>
      <c r="C8140" s="13" t="s">
        <v>10099</v>
      </c>
      <c r="D8140" s="13" t="s">
        <v>10100</v>
      </c>
      <c r="E8140" s="8">
        <v>29000</v>
      </c>
      <c r="F8140" s="13" t="s">
        <v>70</v>
      </c>
      <c r="G8140" s="14">
        <v>44719</v>
      </c>
      <c r="H8140" s="13" t="s">
        <v>35</v>
      </c>
    </row>
    <row r="8141" spans="1:8" ht="14.4" x14ac:dyDescent="0.3">
      <c r="A8141" s="8">
        <v>2041761</v>
      </c>
      <c r="B8141" s="11">
        <v>44715</v>
      </c>
      <c r="C8141" s="13" t="s">
        <v>10101</v>
      </c>
      <c r="D8141" s="13" t="s">
        <v>10100</v>
      </c>
      <c r="E8141" s="8">
        <v>29000</v>
      </c>
      <c r="F8141" s="13" t="s">
        <v>70</v>
      </c>
      <c r="G8141" s="14">
        <v>44719</v>
      </c>
      <c r="H8141" s="13" t="s">
        <v>35</v>
      </c>
    </row>
    <row r="8142" spans="1:8" ht="14.4" x14ac:dyDescent="0.3">
      <c r="A8142" s="8">
        <v>2041762</v>
      </c>
      <c r="B8142" s="11">
        <v>44715</v>
      </c>
      <c r="C8142" s="13" t="s">
        <v>155</v>
      </c>
      <c r="D8142" s="13" t="s">
        <v>10100</v>
      </c>
      <c r="E8142" s="8">
        <v>29000</v>
      </c>
      <c r="F8142" s="13" t="s">
        <v>70</v>
      </c>
      <c r="G8142" s="14">
        <v>44719</v>
      </c>
      <c r="H8142" s="13" t="s">
        <v>35</v>
      </c>
    </row>
    <row r="8143" spans="1:8" ht="14.4" x14ac:dyDescent="0.3">
      <c r="A8143" s="8">
        <v>2041763</v>
      </c>
      <c r="B8143" s="11">
        <v>44715</v>
      </c>
      <c r="C8143" s="13" t="s">
        <v>1784</v>
      </c>
      <c r="D8143" s="13" t="s">
        <v>10102</v>
      </c>
      <c r="E8143" s="8">
        <v>7500</v>
      </c>
      <c r="F8143" s="13" t="s">
        <v>70</v>
      </c>
      <c r="G8143" s="14">
        <v>44719</v>
      </c>
      <c r="H8143" s="13" t="s">
        <v>35</v>
      </c>
    </row>
    <row r="8144" spans="1:8" ht="14.4" x14ac:dyDescent="0.3">
      <c r="A8144" s="8">
        <v>2041764</v>
      </c>
      <c r="B8144" s="11">
        <v>44715</v>
      </c>
      <c r="C8144" s="13" t="s">
        <v>4211</v>
      </c>
      <c r="D8144" s="13" t="s">
        <v>10103</v>
      </c>
      <c r="E8144" s="8">
        <v>16875</v>
      </c>
      <c r="F8144" s="13" t="s">
        <v>70</v>
      </c>
      <c r="G8144" s="14">
        <v>44719</v>
      </c>
      <c r="H8144" s="13" t="s">
        <v>35</v>
      </c>
    </row>
    <row r="8145" spans="1:8" ht="14.4" x14ac:dyDescent="0.3">
      <c r="A8145" s="8">
        <v>2041765</v>
      </c>
      <c r="B8145" s="11">
        <v>44715</v>
      </c>
      <c r="C8145" s="13" t="s">
        <v>1941</v>
      </c>
      <c r="D8145" s="13" t="s">
        <v>10104</v>
      </c>
      <c r="E8145" s="8">
        <v>14669.65</v>
      </c>
      <c r="F8145" s="13" t="s">
        <v>70</v>
      </c>
      <c r="G8145" s="14">
        <v>44725</v>
      </c>
      <c r="H8145" s="13" t="s">
        <v>35</v>
      </c>
    </row>
    <row r="8146" spans="1:8" ht="14.4" x14ac:dyDescent="0.3">
      <c r="A8146" s="8">
        <v>2041766</v>
      </c>
      <c r="B8146" s="11">
        <v>44715</v>
      </c>
      <c r="C8146" s="13" t="s">
        <v>405</v>
      </c>
      <c r="D8146" s="13" t="s">
        <v>10105</v>
      </c>
      <c r="E8146" s="8">
        <v>15729.18</v>
      </c>
      <c r="F8146" s="13" t="s">
        <v>70</v>
      </c>
      <c r="G8146" s="14">
        <v>44720</v>
      </c>
      <c r="H8146" s="13" t="s">
        <v>35</v>
      </c>
    </row>
    <row r="8147" spans="1:8" ht="14.4" x14ac:dyDescent="0.3">
      <c r="A8147" s="8">
        <v>2041767</v>
      </c>
      <c r="B8147" s="11">
        <v>44715</v>
      </c>
      <c r="C8147" s="13" t="s">
        <v>2072</v>
      </c>
      <c r="D8147" s="13" t="s">
        <v>10106</v>
      </c>
      <c r="E8147" s="8">
        <v>30231.99</v>
      </c>
      <c r="F8147" s="13" t="s">
        <v>70</v>
      </c>
      <c r="G8147" s="14">
        <v>44720</v>
      </c>
      <c r="H8147" s="13" t="s">
        <v>35</v>
      </c>
    </row>
    <row r="8148" spans="1:8" ht="14.4" x14ac:dyDescent="0.3">
      <c r="A8148" s="8">
        <v>2041768</v>
      </c>
      <c r="B8148" s="11">
        <v>44715</v>
      </c>
      <c r="C8148" s="13" t="s">
        <v>259</v>
      </c>
      <c r="D8148" s="13" t="s">
        <v>10107</v>
      </c>
      <c r="E8148" s="8">
        <v>145363.68</v>
      </c>
      <c r="F8148" s="13" t="s">
        <v>70</v>
      </c>
      <c r="G8148" s="14">
        <v>44719</v>
      </c>
      <c r="H8148" s="13" t="s">
        <v>35</v>
      </c>
    </row>
    <row r="8149" spans="1:8" ht="14.4" x14ac:dyDescent="0.3">
      <c r="A8149" s="8">
        <v>2041769</v>
      </c>
      <c r="B8149" s="11">
        <v>44715</v>
      </c>
      <c r="C8149" s="13" t="s">
        <v>2072</v>
      </c>
      <c r="D8149" s="13" t="s">
        <v>10108</v>
      </c>
      <c r="E8149" s="8">
        <v>57679.77</v>
      </c>
      <c r="F8149" s="13" t="s">
        <v>70</v>
      </c>
      <c r="G8149" s="14">
        <v>44720</v>
      </c>
      <c r="H8149" s="13" t="s">
        <v>35</v>
      </c>
    </row>
    <row r="8150" spans="1:8" ht="14.4" x14ac:dyDescent="0.3">
      <c r="A8150" s="8">
        <v>2041771</v>
      </c>
      <c r="B8150" s="11">
        <v>44715</v>
      </c>
      <c r="C8150" s="13" t="s">
        <v>1581</v>
      </c>
      <c r="D8150" s="13" t="s">
        <v>10109</v>
      </c>
      <c r="E8150" s="8">
        <v>4258.93</v>
      </c>
      <c r="F8150" s="13" t="s">
        <v>70</v>
      </c>
      <c r="G8150" s="14">
        <v>44721</v>
      </c>
      <c r="H8150" s="13" t="s">
        <v>35</v>
      </c>
    </row>
    <row r="8151" spans="1:8" ht="14.4" x14ac:dyDescent="0.3">
      <c r="A8151" s="8">
        <v>2041772</v>
      </c>
      <c r="B8151" s="11">
        <v>44715</v>
      </c>
      <c r="C8151" s="13" t="s">
        <v>52</v>
      </c>
      <c r="D8151" s="13" t="s">
        <v>10110</v>
      </c>
      <c r="E8151" s="8">
        <v>271564.28000000003</v>
      </c>
      <c r="F8151" s="13" t="s">
        <v>70</v>
      </c>
      <c r="G8151" s="14">
        <v>44719</v>
      </c>
      <c r="H8151" s="13" t="s">
        <v>35</v>
      </c>
    </row>
    <row r="8152" spans="1:8" ht="14.4" x14ac:dyDescent="0.3">
      <c r="A8152" s="8">
        <v>2041773</v>
      </c>
      <c r="B8152" s="11">
        <v>44715</v>
      </c>
      <c r="C8152" s="13" t="s">
        <v>1784</v>
      </c>
      <c r="D8152" s="13" t="s">
        <v>10111</v>
      </c>
      <c r="E8152" s="8">
        <v>40000</v>
      </c>
      <c r="F8152" s="13" t="s">
        <v>70</v>
      </c>
      <c r="G8152" s="14">
        <v>44719</v>
      </c>
      <c r="H8152" s="13" t="s">
        <v>35</v>
      </c>
    </row>
    <row r="8153" spans="1:8" ht="14.4" x14ac:dyDescent="0.3">
      <c r="A8153" s="8">
        <v>2041774</v>
      </c>
      <c r="B8153" s="11">
        <v>44715</v>
      </c>
      <c r="C8153" s="13" t="s">
        <v>1522</v>
      </c>
      <c r="D8153" s="13" t="s">
        <v>10112</v>
      </c>
      <c r="E8153" s="8">
        <v>17421.2</v>
      </c>
      <c r="F8153" s="13" t="s">
        <v>70</v>
      </c>
      <c r="G8153" s="14">
        <v>44719</v>
      </c>
      <c r="H8153" s="13" t="s">
        <v>35</v>
      </c>
    </row>
    <row r="8154" spans="1:8" ht="14.4" x14ac:dyDescent="0.3">
      <c r="A8154" s="8">
        <v>2041775</v>
      </c>
      <c r="B8154" s="11">
        <v>44715</v>
      </c>
      <c r="C8154" s="13" t="s">
        <v>405</v>
      </c>
      <c r="D8154" s="13" t="s">
        <v>10113</v>
      </c>
      <c r="E8154" s="8">
        <v>10097.31</v>
      </c>
      <c r="F8154" s="13" t="s">
        <v>70</v>
      </c>
      <c r="G8154" s="14">
        <v>44720</v>
      </c>
      <c r="H8154" s="13" t="s">
        <v>35</v>
      </c>
    </row>
    <row r="8155" spans="1:8" ht="14.4" x14ac:dyDescent="0.3">
      <c r="A8155" s="8">
        <v>2041776</v>
      </c>
      <c r="B8155" s="11">
        <v>44715</v>
      </c>
      <c r="C8155" s="13" t="s">
        <v>405</v>
      </c>
      <c r="D8155" s="13" t="s">
        <v>10114</v>
      </c>
      <c r="E8155" s="8">
        <v>22681.81</v>
      </c>
      <c r="F8155" s="13" t="s">
        <v>70</v>
      </c>
      <c r="G8155" s="14">
        <v>44720</v>
      </c>
      <c r="H8155" s="13" t="s">
        <v>35</v>
      </c>
    </row>
    <row r="8156" spans="1:8" ht="14.4" x14ac:dyDescent="0.3">
      <c r="A8156" s="8">
        <v>2041777</v>
      </c>
      <c r="B8156" s="11">
        <v>44715</v>
      </c>
      <c r="C8156" s="13" t="s">
        <v>201</v>
      </c>
      <c r="D8156" s="13" t="s">
        <v>10115</v>
      </c>
      <c r="E8156" s="8">
        <v>9098.81</v>
      </c>
      <c r="F8156" s="13" t="s">
        <v>70</v>
      </c>
      <c r="G8156" s="14">
        <v>44719</v>
      </c>
      <c r="H8156" s="13" t="s">
        <v>35</v>
      </c>
    </row>
    <row r="8157" spans="1:8" ht="14.4" x14ac:dyDescent="0.3">
      <c r="A8157" s="8">
        <v>2041778</v>
      </c>
      <c r="B8157" s="11">
        <v>44715</v>
      </c>
      <c r="C8157" s="13" t="s">
        <v>4466</v>
      </c>
      <c r="D8157" s="13" t="s">
        <v>10116</v>
      </c>
      <c r="E8157" s="8">
        <v>456789.85</v>
      </c>
      <c r="F8157" s="13" t="s">
        <v>70</v>
      </c>
      <c r="G8157" s="14">
        <v>44719</v>
      </c>
      <c r="H8157" s="13" t="s">
        <v>35</v>
      </c>
    </row>
    <row r="8158" spans="1:8" ht="14.4" x14ac:dyDescent="0.3">
      <c r="A8158" s="8">
        <v>2041779</v>
      </c>
      <c r="B8158" s="11">
        <v>44715</v>
      </c>
      <c r="C8158" s="13" t="s">
        <v>1941</v>
      </c>
      <c r="D8158" s="13" t="s">
        <v>10117</v>
      </c>
      <c r="E8158" s="8">
        <v>30661.69</v>
      </c>
      <c r="F8158" s="13" t="s">
        <v>70</v>
      </c>
      <c r="G8158" s="14">
        <v>44725</v>
      </c>
      <c r="H8158" s="13" t="s">
        <v>35</v>
      </c>
    </row>
    <row r="8159" spans="1:8" ht="14.4" x14ac:dyDescent="0.3">
      <c r="A8159" s="8">
        <v>2041780</v>
      </c>
      <c r="B8159" s="11">
        <v>44715</v>
      </c>
      <c r="C8159" s="13" t="s">
        <v>201</v>
      </c>
      <c r="D8159" s="13" t="s">
        <v>1779</v>
      </c>
      <c r="E8159" s="8">
        <v>54295.07</v>
      </c>
      <c r="F8159" s="13" t="s">
        <v>70</v>
      </c>
      <c r="G8159" s="14">
        <v>44719</v>
      </c>
      <c r="H8159" s="13" t="s">
        <v>35</v>
      </c>
    </row>
    <row r="8160" spans="1:8" ht="14.4" x14ac:dyDescent="0.3">
      <c r="A8160" s="8">
        <v>2041781</v>
      </c>
      <c r="B8160" s="11">
        <v>44715</v>
      </c>
      <c r="C8160" s="13" t="s">
        <v>4189</v>
      </c>
      <c r="D8160" s="13" t="s">
        <v>4190</v>
      </c>
      <c r="E8160" s="8">
        <v>38974.6</v>
      </c>
      <c r="F8160" s="13" t="s">
        <v>70</v>
      </c>
      <c r="G8160" s="14">
        <v>44725</v>
      </c>
      <c r="H8160" s="13" t="s">
        <v>35</v>
      </c>
    </row>
    <row r="8161" spans="1:8" ht="14.4" x14ac:dyDescent="0.3">
      <c r="A8161" s="8">
        <v>2041782</v>
      </c>
      <c r="B8161" s="11">
        <v>44715</v>
      </c>
      <c r="C8161" s="13" t="s">
        <v>10118</v>
      </c>
      <c r="D8161" s="13" t="s">
        <v>10119</v>
      </c>
      <c r="E8161" s="8">
        <v>198384.37</v>
      </c>
      <c r="F8161" s="13" t="s">
        <v>70</v>
      </c>
      <c r="G8161" s="14">
        <v>44735</v>
      </c>
      <c r="H8161" s="13" t="s">
        <v>35</v>
      </c>
    </row>
    <row r="8162" spans="1:8" ht="14.4" x14ac:dyDescent="0.3">
      <c r="A8162" s="8">
        <v>2041783</v>
      </c>
      <c r="B8162" s="11">
        <v>44715</v>
      </c>
      <c r="C8162" s="13" t="s">
        <v>37</v>
      </c>
      <c r="D8162" s="13" t="s">
        <v>10120</v>
      </c>
      <c r="E8162" s="8">
        <v>15900</v>
      </c>
      <c r="F8162" s="13" t="s">
        <v>70</v>
      </c>
      <c r="G8162" s="14">
        <v>44743</v>
      </c>
      <c r="H8162" s="13" t="s">
        <v>35</v>
      </c>
    </row>
    <row r="8163" spans="1:8" ht="14.4" x14ac:dyDescent="0.3">
      <c r="A8163" s="8">
        <v>2041784</v>
      </c>
      <c r="B8163" s="11">
        <v>44715</v>
      </c>
      <c r="C8163" s="13" t="s">
        <v>4181</v>
      </c>
      <c r="D8163" s="13" t="s">
        <v>10120</v>
      </c>
      <c r="E8163" s="8">
        <v>16562.5</v>
      </c>
      <c r="F8163" s="13" t="s">
        <v>70</v>
      </c>
      <c r="G8163" s="14">
        <v>44719</v>
      </c>
      <c r="H8163" s="13" t="s">
        <v>35</v>
      </c>
    </row>
    <row r="8164" spans="1:8" ht="14.4" x14ac:dyDescent="0.3">
      <c r="A8164" s="8">
        <v>2041785</v>
      </c>
      <c r="B8164" s="11">
        <v>44715</v>
      </c>
      <c r="C8164" s="13" t="s">
        <v>405</v>
      </c>
      <c r="D8164" s="13" t="s">
        <v>10121</v>
      </c>
      <c r="E8164" s="8">
        <v>28651.119999999999</v>
      </c>
      <c r="F8164" s="13" t="s">
        <v>70</v>
      </c>
      <c r="G8164" s="14">
        <v>44720</v>
      </c>
      <c r="H8164" s="13" t="s">
        <v>35</v>
      </c>
    </row>
    <row r="8165" spans="1:8" ht="14.4" x14ac:dyDescent="0.3">
      <c r="A8165" s="8">
        <v>2041786</v>
      </c>
      <c r="B8165" s="11">
        <v>44715</v>
      </c>
      <c r="C8165" s="13" t="s">
        <v>405</v>
      </c>
      <c r="D8165" s="13" t="s">
        <v>10122</v>
      </c>
      <c r="E8165" s="8">
        <v>16338.92</v>
      </c>
      <c r="F8165" s="13" t="s">
        <v>70</v>
      </c>
      <c r="G8165" s="14">
        <v>44720</v>
      </c>
      <c r="H8165" s="13" t="s">
        <v>35</v>
      </c>
    </row>
    <row r="8166" spans="1:8" ht="14.4" x14ac:dyDescent="0.3">
      <c r="A8166" s="8">
        <v>2041787</v>
      </c>
      <c r="B8166" s="11">
        <v>44715</v>
      </c>
      <c r="C8166" s="13" t="s">
        <v>1405</v>
      </c>
      <c r="D8166" s="13" t="s">
        <v>3494</v>
      </c>
      <c r="E8166" s="8">
        <v>9464.2800000000007</v>
      </c>
      <c r="F8166" s="13" t="s">
        <v>70</v>
      </c>
      <c r="G8166" s="14">
        <v>44720</v>
      </c>
      <c r="H8166" s="13" t="s">
        <v>35</v>
      </c>
    </row>
    <row r="8167" spans="1:8" ht="14.4" x14ac:dyDescent="0.3">
      <c r="A8167" s="8">
        <v>2041788</v>
      </c>
      <c r="B8167" s="11">
        <v>44715</v>
      </c>
      <c r="C8167" s="13" t="s">
        <v>52</v>
      </c>
      <c r="D8167" s="13" t="s">
        <v>10123</v>
      </c>
      <c r="E8167" s="8">
        <v>397982.15</v>
      </c>
      <c r="F8167" s="13" t="s">
        <v>70</v>
      </c>
      <c r="G8167" s="14">
        <v>44719</v>
      </c>
      <c r="H8167" s="13" t="s">
        <v>35</v>
      </c>
    </row>
    <row r="8168" spans="1:8" ht="14.4" x14ac:dyDescent="0.3">
      <c r="A8168" s="8">
        <v>2041789</v>
      </c>
      <c r="B8168" s="11">
        <v>44715</v>
      </c>
      <c r="C8168" s="13" t="s">
        <v>259</v>
      </c>
      <c r="D8168" s="13" t="s">
        <v>3173</v>
      </c>
      <c r="E8168" s="8">
        <v>8044.65</v>
      </c>
      <c r="F8168" s="13" t="s">
        <v>70</v>
      </c>
      <c r="G8168" s="14">
        <v>44719</v>
      </c>
      <c r="H8168" s="13" t="s">
        <v>35</v>
      </c>
    </row>
    <row r="8169" spans="1:8" ht="14.4" x14ac:dyDescent="0.3">
      <c r="A8169" s="8">
        <v>2041790</v>
      </c>
      <c r="B8169" s="11">
        <v>44715</v>
      </c>
      <c r="C8169" s="13" t="s">
        <v>2262</v>
      </c>
      <c r="D8169" s="13" t="s">
        <v>10124</v>
      </c>
      <c r="E8169" s="8">
        <v>17887.5</v>
      </c>
      <c r="F8169" s="13" t="s">
        <v>70</v>
      </c>
      <c r="G8169" s="14">
        <v>44720</v>
      </c>
      <c r="H8169" s="13" t="s">
        <v>35</v>
      </c>
    </row>
    <row r="8170" spans="1:8" ht="14.4" x14ac:dyDescent="0.3">
      <c r="A8170" s="8">
        <v>2041791</v>
      </c>
      <c r="B8170" s="11">
        <v>44715</v>
      </c>
      <c r="C8170" s="13" t="s">
        <v>405</v>
      </c>
      <c r="D8170" s="13" t="s">
        <v>10125</v>
      </c>
      <c r="E8170" s="8">
        <v>29056.080000000002</v>
      </c>
      <c r="F8170" s="13" t="s">
        <v>70</v>
      </c>
      <c r="G8170" s="14">
        <v>44720</v>
      </c>
      <c r="H8170" s="13" t="s">
        <v>35</v>
      </c>
    </row>
    <row r="8171" spans="1:8" ht="14.4" x14ac:dyDescent="0.3">
      <c r="A8171" s="8">
        <v>2041792</v>
      </c>
      <c r="B8171" s="11">
        <v>44715</v>
      </c>
      <c r="C8171" s="13" t="s">
        <v>405</v>
      </c>
      <c r="D8171" s="13" t="s">
        <v>10126</v>
      </c>
      <c r="E8171" s="8">
        <v>20246.61</v>
      </c>
      <c r="F8171" s="13" t="s">
        <v>70</v>
      </c>
      <c r="G8171" s="14">
        <v>44720</v>
      </c>
      <c r="H8171" s="13" t="s">
        <v>35</v>
      </c>
    </row>
    <row r="8172" spans="1:8" ht="14.4" x14ac:dyDescent="0.3">
      <c r="A8172" s="8">
        <v>2041793</v>
      </c>
      <c r="B8172" s="11">
        <v>44715</v>
      </c>
      <c r="C8172" s="13" t="s">
        <v>1596</v>
      </c>
      <c r="D8172" s="13" t="s">
        <v>10127</v>
      </c>
      <c r="E8172" s="8">
        <v>2410.8000000000002</v>
      </c>
      <c r="F8172" s="13" t="s">
        <v>70</v>
      </c>
      <c r="G8172" s="14">
        <v>44719</v>
      </c>
      <c r="H8172" s="13" t="s">
        <v>35</v>
      </c>
    </row>
    <row r="8173" spans="1:8" ht="14.4" x14ac:dyDescent="0.3">
      <c r="A8173" s="8">
        <v>2041794</v>
      </c>
      <c r="B8173" s="11">
        <v>44715</v>
      </c>
      <c r="C8173" s="13" t="s">
        <v>405</v>
      </c>
      <c r="D8173" s="13" t="s">
        <v>10128</v>
      </c>
      <c r="E8173" s="8">
        <v>35884.68</v>
      </c>
      <c r="F8173" s="13" t="s">
        <v>70</v>
      </c>
      <c r="G8173" s="14">
        <v>44720</v>
      </c>
      <c r="H8173" s="13" t="s">
        <v>35</v>
      </c>
    </row>
    <row r="8174" spans="1:8" ht="14.4" x14ac:dyDescent="0.3">
      <c r="A8174" s="8">
        <v>2041795</v>
      </c>
      <c r="B8174" s="11">
        <v>44715</v>
      </c>
      <c r="C8174" s="13" t="s">
        <v>1718</v>
      </c>
      <c r="D8174" s="13" t="s">
        <v>10129</v>
      </c>
      <c r="E8174" s="8">
        <v>42589.279999999999</v>
      </c>
      <c r="F8174" s="13" t="s">
        <v>70</v>
      </c>
      <c r="G8174" s="14">
        <v>44719</v>
      </c>
      <c r="H8174" s="13" t="s">
        <v>35</v>
      </c>
    </row>
    <row r="8175" spans="1:8" ht="14.4" x14ac:dyDescent="0.3">
      <c r="A8175" s="8">
        <v>2041796</v>
      </c>
      <c r="B8175" s="11">
        <v>44718</v>
      </c>
      <c r="C8175" s="13" t="s">
        <v>127</v>
      </c>
      <c r="D8175" s="13" t="s">
        <v>10130</v>
      </c>
      <c r="E8175" s="8">
        <v>3180</v>
      </c>
      <c r="F8175" s="13" t="s">
        <v>70</v>
      </c>
      <c r="G8175" s="14">
        <v>44729</v>
      </c>
      <c r="H8175" s="13" t="s">
        <v>35</v>
      </c>
    </row>
    <row r="8176" spans="1:8" ht="14.4" x14ac:dyDescent="0.3">
      <c r="A8176" s="8">
        <v>2041797</v>
      </c>
      <c r="B8176" s="11">
        <v>44718</v>
      </c>
      <c r="C8176" s="13" t="s">
        <v>1745</v>
      </c>
      <c r="D8176" s="13" t="s">
        <v>10131</v>
      </c>
      <c r="E8176" s="8">
        <v>2415.6999999999998</v>
      </c>
      <c r="F8176" s="13" t="s">
        <v>70</v>
      </c>
      <c r="G8176" s="14">
        <v>44720</v>
      </c>
      <c r="H8176" s="13" t="s">
        <v>35</v>
      </c>
    </row>
    <row r="8177" spans="1:8" ht="14.4" x14ac:dyDescent="0.3">
      <c r="A8177" s="8">
        <v>2041798</v>
      </c>
      <c r="B8177" s="11">
        <v>44718</v>
      </c>
      <c r="C8177" s="13" t="s">
        <v>127</v>
      </c>
      <c r="D8177" s="13" t="s">
        <v>10132</v>
      </c>
      <c r="E8177" s="8">
        <v>2366.0700000000002</v>
      </c>
      <c r="F8177" s="13" t="s">
        <v>70</v>
      </c>
      <c r="G8177" s="14">
        <v>44729</v>
      </c>
      <c r="H8177" s="13" t="s">
        <v>35</v>
      </c>
    </row>
    <row r="8178" spans="1:8" ht="14.4" x14ac:dyDescent="0.3">
      <c r="A8178" s="8">
        <v>2041800</v>
      </c>
      <c r="B8178" s="11">
        <v>44718</v>
      </c>
      <c r="C8178" s="13" t="s">
        <v>127</v>
      </c>
      <c r="D8178" s="13" t="s">
        <v>10133</v>
      </c>
      <c r="E8178" s="8">
        <v>3549.11</v>
      </c>
      <c r="F8178" s="13" t="s">
        <v>70</v>
      </c>
      <c r="G8178" s="14">
        <v>44729</v>
      </c>
      <c r="H8178" s="13" t="s">
        <v>35</v>
      </c>
    </row>
    <row r="8179" spans="1:8" ht="14.4" x14ac:dyDescent="0.3">
      <c r="A8179" s="8">
        <v>2041801</v>
      </c>
      <c r="B8179" s="11">
        <v>44718</v>
      </c>
      <c r="C8179" s="13" t="s">
        <v>1584</v>
      </c>
      <c r="D8179" s="13" t="s">
        <v>10134</v>
      </c>
      <c r="E8179" s="8">
        <v>7192.85</v>
      </c>
      <c r="F8179" s="13" t="s">
        <v>70</v>
      </c>
      <c r="G8179" s="14">
        <v>44719</v>
      </c>
      <c r="H8179" s="13" t="s">
        <v>35</v>
      </c>
    </row>
    <row r="8180" spans="1:8" ht="14.4" x14ac:dyDescent="0.3">
      <c r="A8180" s="8">
        <v>2041802</v>
      </c>
      <c r="B8180" s="11">
        <v>44718</v>
      </c>
      <c r="C8180" s="13" t="s">
        <v>1581</v>
      </c>
      <c r="D8180" s="13" t="s">
        <v>10135</v>
      </c>
      <c r="E8180" s="8">
        <v>136285.72</v>
      </c>
      <c r="F8180" s="13" t="s">
        <v>70</v>
      </c>
      <c r="G8180" s="14">
        <v>44721</v>
      </c>
      <c r="H8180" s="13" t="s">
        <v>35</v>
      </c>
    </row>
    <row r="8181" spans="1:8" ht="14.4" x14ac:dyDescent="0.3">
      <c r="A8181" s="8">
        <v>2041803</v>
      </c>
      <c r="B8181" s="11">
        <v>44718</v>
      </c>
      <c r="C8181" s="13" t="s">
        <v>1596</v>
      </c>
      <c r="D8181" s="13" t="s">
        <v>10136</v>
      </c>
      <c r="E8181" s="8">
        <v>441</v>
      </c>
      <c r="F8181" s="13" t="s">
        <v>70</v>
      </c>
      <c r="G8181" s="14">
        <v>44728</v>
      </c>
      <c r="H8181" s="13" t="s">
        <v>35</v>
      </c>
    </row>
    <row r="8182" spans="1:8" ht="14.4" x14ac:dyDescent="0.3">
      <c r="A8182" s="8">
        <v>2041804</v>
      </c>
      <c r="B8182" s="11">
        <v>44718</v>
      </c>
      <c r="C8182" s="13" t="s">
        <v>127</v>
      </c>
      <c r="D8182" s="13" t="s">
        <v>10137</v>
      </c>
      <c r="E8182" s="8">
        <v>25994.47</v>
      </c>
      <c r="F8182" s="13" t="s">
        <v>70</v>
      </c>
      <c r="G8182" s="14">
        <v>44729</v>
      </c>
      <c r="H8182" s="13" t="s">
        <v>35</v>
      </c>
    </row>
    <row r="8183" spans="1:8" ht="14.4" x14ac:dyDescent="0.3">
      <c r="A8183" s="8">
        <v>2041805</v>
      </c>
      <c r="B8183" s="11">
        <v>44718</v>
      </c>
      <c r="C8183" s="13" t="s">
        <v>1420</v>
      </c>
      <c r="D8183" s="13" t="s">
        <v>10138</v>
      </c>
      <c r="E8183" s="8">
        <v>159192.85</v>
      </c>
      <c r="F8183" s="13" t="s">
        <v>70</v>
      </c>
      <c r="G8183" s="14">
        <v>44720</v>
      </c>
      <c r="H8183" s="13" t="s">
        <v>35</v>
      </c>
    </row>
    <row r="8184" spans="1:8" ht="14.4" x14ac:dyDescent="0.3">
      <c r="A8184" s="8">
        <v>2041806</v>
      </c>
      <c r="B8184" s="11">
        <v>44718</v>
      </c>
      <c r="C8184" s="13" t="s">
        <v>10139</v>
      </c>
      <c r="D8184" s="13" t="s">
        <v>10140</v>
      </c>
      <c r="E8184" s="8">
        <v>124160</v>
      </c>
      <c r="F8184" s="13" t="s">
        <v>70</v>
      </c>
      <c r="G8184" s="14">
        <v>44719</v>
      </c>
      <c r="H8184" s="13" t="s">
        <v>35</v>
      </c>
    </row>
    <row r="8185" spans="1:8" ht="14.4" x14ac:dyDescent="0.3">
      <c r="A8185" s="8">
        <v>2041807</v>
      </c>
      <c r="B8185" s="11">
        <v>44718</v>
      </c>
      <c r="C8185" s="13" t="s">
        <v>1743</v>
      </c>
      <c r="D8185" s="13" t="s">
        <v>10141</v>
      </c>
      <c r="E8185" s="8">
        <v>11760</v>
      </c>
      <c r="F8185" s="13" t="s">
        <v>70</v>
      </c>
      <c r="G8185" s="14">
        <v>44721</v>
      </c>
      <c r="H8185" s="13" t="s">
        <v>35</v>
      </c>
    </row>
    <row r="8186" spans="1:8" ht="14.4" x14ac:dyDescent="0.3">
      <c r="A8186" s="8">
        <v>2041808</v>
      </c>
      <c r="B8186" s="11">
        <v>44718</v>
      </c>
      <c r="C8186" s="13" t="s">
        <v>67</v>
      </c>
      <c r="D8186" s="13" t="s">
        <v>10142</v>
      </c>
      <c r="E8186" s="8">
        <v>4732.1499999999996</v>
      </c>
      <c r="F8186" s="13" t="s">
        <v>70</v>
      </c>
      <c r="G8186" s="14">
        <v>44721</v>
      </c>
      <c r="H8186" s="13" t="s">
        <v>35</v>
      </c>
    </row>
    <row r="8187" spans="1:8" ht="14.4" x14ac:dyDescent="0.3">
      <c r="A8187" s="8">
        <v>2041809</v>
      </c>
      <c r="B8187" s="11">
        <v>44718</v>
      </c>
      <c r="C8187" s="13" t="s">
        <v>1581</v>
      </c>
      <c r="D8187" s="13" t="s">
        <v>10143</v>
      </c>
      <c r="E8187" s="8">
        <v>35491.07</v>
      </c>
      <c r="F8187" s="13" t="s">
        <v>70</v>
      </c>
      <c r="G8187" s="14">
        <v>44721</v>
      </c>
      <c r="H8187" s="13" t="s">
        <v>35</v>
      </c>
    </row>
    <row r="8188" spans="1:8" ht="14.4" x14ac:dyDescent="0.3">
      <c r="A8188" s="8">
        <v>2041810</v>
      </c>
      <c r="B8188" s="11">
        <v>44718</v>
      </c>
      <c r="C8188" s="13" t="s">
        <v>1581</v>
      </c>
      <c r="D8188" s="13" t="s">
        <v>10144</v>
      </c>
      <c r="E8188" s="8">
        <v>6625</v>
      </c>
      <c r="F8188" s="13" t="s">
        <v>70</v>
      </c>
      <c r="G8188" s="14">
        <v>44721</v>
      </c>
      <c r="H8188" s="13" t="s">
        <v>35</v>
      </c>
    </row>
    <row r="8189" spans="1:8" ht="14.4" x14ac:dyDescent="0.3">
      <c r="A8189" s="8">
        <v>2041811</v>
      </c>
      <c r="B8189" s="11">
        <v>44718</v>
      </c>
      <c r="C8189" s="13" t="s">
        <v>1581</v>
      </c>
      <c r="D8189" s="13" t="s">
        <v>10145</v>
      </c>
      <c r="E8189" s="8">
        <v>7453.13</v>
      </c>
      <c r="F8189" s="13" t="s">
        <v>70</v>
      </c>
      <c r="G8189" s="14">
        <v>44721</v>
      </c>
      <c r="H8189" s="13" t="s">
        <v>35</v>
      </c>
    </row>
    <row r="8190" spans="1:8" ht="14.4" x14ac:dyDescent="0.3">
      <c r="A8190" s="8">
        <v>2041812</v>
      </c>
      <c r="B8190" s="11">
        <v>44718</v>
      </c>
      <c r="C8190" s="13" t="s">
        <v>1581</v>
      </c>
      <c r="D8190" s="13" t="s">
        <v>10146</v>
      </c>
      <c r="E8190" s="8">
        <v>4258.93</v>
      </c>
      <c r="F8190" s="13" t="s">
        <v>70</v>
      </c>
      <c r="G8190" s="14">
        <v>44721</v>
      </c>
      <c r="H8190" s="13" t="s">
        <v>35</v>
      </c>
    </row>
    <row r="8191" spans="1:8" ht="14.4" x14ac:dyDescent="0.3">
      <c r="A8191" s="8">
        <v>2041813</v>
      </c>
      <c r="B8191" s="11">
        <v>44718</v>
      </c>
      <c r="C8191" s="13" t="s">
        <v>127</v>
      </c>
      <c r="D8191" s="13" t="s">
        <v>10147</v>
      </c>
      <c r="E8191" s="8">
        <v>1918.48</v>
      </c>
      <c r="F8191" s="13" t="s">
        <v>70</v>
      </c>
      <c r="G8191" s="14">
        <v>44729</v>
      </c>
      <c r="H8191" s="13" t="s">
        <v>35</v>
      </c>
    </row>
    <row r="8192" spans="1:8" ht="14.4" x14ac:dyDescent="0.3">
      <c r="A8192" s="8">
        <v>2041814</v>
      </c>
      <c r="B8192" s="11">
        <v>44718</v>
      </c>
      <c r="C8192" s="13" t="s">
        <v>1745</v>
      </c>
      <c r="D8192" s="13" t="s">
        <v>10148</v>
      </c>
      <c r="E8192" s="8">
        <v>5096</v>
      </c>
      <c r="F8192" s="13" t="s">
        <v>70</v>
      </c>
      <c r="G8192" s="14">
        <v>44719</v>
      </c>
      <c r="H8192" s="13" t="s">
        <v>35</v>
      </c>
    </row>
    <row r="8193" spans="1:8" ht="14.4" x14ac:dyDescent="0.3">
      <c r="A8193" s="8">
        <v>2041815</v>
      </c>
      <c r="B8193" s="11">
        <v>44718</v>
      </c>
      <c r="C8193" s="13" t="s">
        <v>127</v>
      </c>
      <c r="D8193" s="13" t="s">
        <v>10149</v>
      </c>
      <c r="E8193" s="8">
        <v>1490.63</v>
      </c>
      <c r="F8193" s="13" t="s">
        <v>70</v>
      </c>
      <c r="G8193" s="14">
        <v>44719</v>
      </c>
      <c r="H8193" s="13" t="s">
        <v>35</v>
      </c>
    </row>
    <row r="8194" spans="1:8" ht="14.4" x14ac:dyDescent="0.3">
      <c r="A8194" s="8">
        <v>2041816</v>
      </c>
      <c r="B8194" s="11">
        <v>44718</v>
      </c>
      <c r="C8194" s="13" t="s">
        <v>127</v>
      </c>
      <c r="D8194" s="13" t="s">
        <v>10150</v>
      </c>
      <c r="E8194" s="8">
        <v>13062.92</v>
      </c>
      <c r="F8194" s="13" t="s">
        <v>70</v>
      </c>
      <c r="G8194" s="14">
        <v>44729</v>
      </c>
      <c r="H8194" s="13" t="s">
        <v>35</v>
      </c>
    </row>
    <row r="8195" spans="1:8" ht="14.4" x14ac:dyDescent="0.3">
      <c r="A8195" s="8">
        <v>2041817</v>
      </c>
      <c r="B8195" s="11">
        <v>44718</v>
      </c>
      <c r="C8195" s="13" t="s">
        <v>1745</v>
      </c>
      <c r="D8195" s="13" t="s">
        <v>10151</v>
      </c>
      <c r="E8195" s="8">
        <v>5096</v>
      </c>
      <c r="F8195" s="13" t="s">
        <v>70</v>
      </c>
      <c r="G8195" s="14">
        <v>44719</v>
      </c>
      <c r="H8195" s="13" t="s">
        <v>35</v>
      </c>
    </row>
    <row r="8196" spans="1:8" ht="14.4" x14ac:dyDescent="0.3">
      <c r="A8196" s="8">
        <v>2041818</v>
      </c>
      <c r="B8196" s="11">
        <v>44718</v>
      </c>
      <c r="C8196" s="13" t="s">
        <v>1414</v>
      </c>
      <c r="D8196" s="13" t="s">
        <v>10152</v>
      </c>
      <c r="E8196" s="8">
        <v>38800</v>
      </c>
      <c r="F8196" s="13" t="s">
        <v>70</v>
      </c>
      <c r="G8196" s="14">
        <v>44719</v>
      </c>
      <c r="H8196" s="13" t="s">
        <v>35</v>
      </c>
    </row>
    <row r="8197" spans="1:8" ht="14.4" x14ac:dyDescent="0.3">
      <c r="A8197" s="8">
        <v>2041819</v>
      </c>
      <c r="B8197" s="11">
        <v>44718</v>
      </c>
      <c r="C8197" s="13" t="s">
        <v>1414</v>
      </c>
      <c r="D8197" s="13" t="s">
        <v>10153</v>
      </c>
      <c r="E8197" s="8">
        <v>87300</v>
      </c>
      <c r="F8197" s="13" t="s">
        <v>70</v>
      </c>
      <c r="G8197" s="14">
        <v>44719</v>
      </c>
      <c r="H8197" s="13" t="s">
        <v>35</v>
      </c>
    </row>
    <row r="8198" spans="1:8" ht="14.4" x14ac:dyDescent="0.3">
      <c r="A8198" s="8">
        <v>2041820</v>
      </c>
      <c r="B8198" s="11">
        <v>44718</v>
      </c>
      <c r="C8198" s="13" t="s">
        <v>1784</v>
      </c>
      <c r="D8198" s="13" t="s">
        <v>10154</v>
      </c>
      <c r="E8198" s="8">
        <v>10000</v>
      </c>
      <c r="F8198" s="13" t="s">
        <v>70</v>
      </c>
      <c r="G8198" s="14">
        <v>44722</v>
      </c>
      <c r="H8198" s="13" t="s">
        <v>35</v>
      </c>
    </row>
    <row r="8199" spans="1:8" ht="14.4" x14ac:dyDescent="0.3">
      <c r="A8199" s="8">
        <v>2041821</v>
      </c>
      <c r="B8199" s="11">
        <v>44718</v>
      </c>
      <c r="C8199" s="13" t="s">
        <v>127</v>
      </c>
      <c r="D8199" s="13" t="s">
        <v>10155</v>
      </c>
      <c r="E8199" s="8">
        <v>18218.740000000002</v>
      </c>
      <c r="F8199" s="13" t="s">
        <v>70</v>
      </c>
      <c r="G8199" s="14">
        <v>44729</v>
      </c>
      <c r="H8199" s="13" t="s">
        <v>35</v>
      </c>
    </row>
    <row r="8200" spans="1:8" ht="14.4" x14ac:dyDescent="0.3">
      <c r="A8200" s="8">
        <v>2041822</v>
      </c>
      <c r="B8200" s="11">
        <v>44718</v>
      </c>
      <c r="C8200" s="13" t="s">
        <v>1784</v>
      </c>
      <c r="D8200" s="13" t="s">
        <v>10156</v>
      </c>
      <c r="E8200" s="8">
        <v>6000</v>
      </c>
      <c r="F8200" s="13" t="s">
        <v>70</v>
      </c>
      <c r="G8200" s="14">
        <v>44719</v>
      </c>
      <c r="H8200" s="13" t="s">
        <v>35</v>
      </c>
    </row>
    <row r="8201" spans="1:8" ht="14.4" x14ac:dyDescent="0.3">
      <c r="A8201" s="8">
        <v>2041823</v>
      </c>
      <c r="B8201" s="11">
        <v>44718</v>
      </c>
      <c r="C8201" s="13" t="s">
        <v>405</v>
      </c>
      <c r="D8201" s="13" t="s">
        <v>10157</v>
      </c>
      <c r="E8201" s="8">
        <v>29056.080000000002</v>
      </c>
      <c r="F8201" s="13" t="s">
        <v>70</v>
      </c>
      <c r="G8201" s="14">
        <v>44720</v>
      </c>
      <c r="H8201" s="13" t="s">
        <v>35</v>
      </c>
    </row>
    <row r="8202" spans="1:8" ht="14.4" x14ac:dyDescent="0.3">
      <c r="A8202" s="8">
        <v>2041824</v>
      </c>
      <c r="B8202" s="11">
        <v>44718</v>
      </c>
      <c r="C8202" s="13" t="s">
        <v>1743</v>
      </c>
      <c r="D8202" s="13" t="s">
        <v>10158</v>
      </c>
      <c r="E8202" s="8">
        <v>1837.5</v>
      </c>
      <c r="F8202" s="13" t="s">
        <v>70</v>
      </c>
      <c r="G8202" s="14">
        <v>44721</v>
      </c>
      <c r="H8202" s="13" t="s">
        <v>35</v>
      </c>
    </row>
    <row r="8203" spans="1:8" ht="14.4" x14ac:dyDescent="0.3">
      <c r="A8203" s="8">
        <v>2041825</v>
      </c>
      <c r="B8203" s="11">
        <v>44718</v>
      </c>
      <c r="C8203" s="13" t="s">
        <v>2711</v>
      </c>
      <c r="D8203" s="13" t="s">
        <v>10159</v>
      </c>
      <c r="E8203" s="8">
        <v>3312.5</v>
      </c>
      <c r="F8203" s="13" t="s">
        <v>70</v>
      </c>
      <c r="G8203" s="14">
        <v>44727</v>
      </c>
      <c r="H8203" s="13" t="s">
        <v>35</v>
      </c>
    </row>
    <row r="8204" spans="1:8" ht="14.4" x14ac:dyDescent="0.3">
      <c r="A8204" s="8">
        <v>2041826</v>
      </c>
      <c r="B8204" s="11">
        <v>44718</v>
      </c>
      <c r="C8204" s="13" t="s">
        <v>405</v>
      </c>
      <c r="D8204" s="13" t="s">
        <v>10160</v>
      </c>
      <c r="E8204" s="8">
        <v>24796.54</v>
      </c>
      <c r="F8204" s="13" t="s">
        <v>70</v>
      </c>
      <c r="G8204" s="14">
        <v>44720</v>
      </c>
      <c r="H8204" s="13" t="s">
        <v>35</v>
      </c>
    </row>
    <row r="8205" spans="1:8" ht="14.4" x14ac:dyDescent="0.3">
      <c r="A8205" s="8">
        <v>2041827</v>
      </c>
      <c r="B8205" s="11">
        <v>44718</v>
      </c>
      <c r="C8205" s="13" t="s">
        <v>259</v>
      </c>
      <c r="D8205" s="13" t="s">
        <v>10161</v>
      </c>
      <c r="E8205" s="8">
        <v>24985.72</v>
      </c>
      <c r="F8205" s="13" t="s">
        <v>70</v>
      </c>
      <c r="G8205" s="14">
        <v>44719</v>
      </c>
      <c r="H8205" s="13" t="s">
        <v>35</v>
      </c>
    </row>
    <row r="8206" spans="1:8" ht="14.4" x14ac:dyDescent="0.3">
      <c r="A8206" s="8">
        <v>2041828</v>
      </c>
      <c r="B8206" s="11">
        <v>44718</v>
      </c>
      <c r="C8206" s="13" t="s">
        <v>405</v>
      </c>
      <c r="D8206" s="13" t="s">
        <v>10162</v>
      </c>
      <c r="E8206" s="8">
        <v>27118.43</v>
      </c>
      <c r="F8206" s="13" t="s">
        <v>70</v>
      </c>
      <c r="G8206" s="14">
        <v>44720</v>
      </c>
      <c r="H8206" s="13" t="s">
        <v>35</v>
      </c>
    </row>
    <row r="8207" spans="1:8" ht="14.4" x14ac:dyDescent="0.3">
      <c r="A8207" s="8">
        <v>2041829</v>
      </c>
      <c r="B8207" s="11">
        <v>44718</v>
      </c>
      <c r="C8207" s="13" t="s">
        <v>1542</v>
      </c>
      <c r="D8207" s="13" t="s">
        <v>10163</v>
      </c>
      <c r="E8207" s="8">
        <v>88773.43</v>
      </c>
      <c r="F8207" s="13" t="s">
        <v>70</v>
      </c>
      <c r="G8207" s="14">
        <v>44719</v>
      </c>
      <c r="H8207" s="13" t="s">
        <v>35</v>
      </c>
    </row>
    <row r="8208" spans="1:8" ht="14.4" x14ac:dyDescent="0.3">
      <c r="A8208" s="8">
        <v>2041830</v>
      </c>
      <c r="B8208" s="11">
        <v>44718</v>
      </c>
      <c r="C8208" s="13" t="s">
        <v>1745</v>
      </c>
      <c r="D8208" s="13" t="s">
        <v>10164</v>
      </c>
      <c r="E8208" s="8">
        <v>5390</v>
      </c>
      <c r="F8208" s="13" t="s">
        <v>70</v>
      </c>
      <c r="G8208" s="14">
        <v>44719</v>
      </c>
      <c r="H8208" s="13" t="s">
        <v>35</v>
      </c>
    </row>
    <row r="8209" spans="1:8" ht="14.4" x14ac:dyDescent="0.3">
      <c r="A8209" s="8">
        <v>2041831</v>
      </c>
      <c r="B8209" s="11">
        <v>44718</v>
      </c>
      <c r="C8209" s="13" t="s">
        <v>1941</v>
      </c>
      <c r="D8209" s="13" t="s">
        <v>10165</v>
      </c>
      <c r="E8209" s="8">
        <v>6625</v>
      </c>
      <c r="F8209" s="13" t="s">
        <v>70</v>
      </c>
      <c r="G8209" s="14">
        <v>44725</v>
      </c>
      <c r="H8209" s="13" t="s">
        <v>35</v>
      </c>
    </row>
    <row r="8210" spans="1:8" ht="14.4" x14ac:dyDescent="0.3">
      <c r="A8210" s="8">
        <v>2041832</v>
      </c>
      <c r="B8210" s="11">
        <v>44718</v>
      </c>
      <c r="C8210" s="13" t="s">
        <v>1596</v>
      </c>
      <c r="D8210" s="13" t="s">
        <v>10166</v>
      </c>
      <c r="E8210" s="8">
        <v>970.2</v>
      </c>
      <c r="F8210" s="13" t="s">
        <v>70</v>
      </c>
      <c r="G8210" s="14">
        <v>44719</v>
      </c>
      <c r="H8210" s="13" t="s">
        <v>35</v>
      </c>
    </row>
    <row r="8211" spans="1:8" ht="14.4" x14ac:dyDescent="0.3">
      <c r="A8211" s="8">
        <v>2041833</v>
      </c>
      <c r="B8211" s="11">
        <v>44718</v>
      </c>
      <c r="C8211" s="13" t="s">
        <v>1743</v>
      </c>
      <c r="D8211" s="13" t="s">
        <v>10167</v>
      </c>
      <c r="E8211" s="8">
        <v>9800</v>
      </c>
      <c r="F8211" s="13" t="s">
        <v>70</v>
      </c>
      <c r="G8211" s="14">
        <v>44721</v>
      </c>
      <c r="H8211" s="13" t="s">
        <v>35</v>
      </c>
    </row>
    <row r="8212" spans="1:8" ht="14.4" x14ac:dyDescent="0.3">
      <c r="A8212" s="8">
        <v>2041834</v>
      </c>
      <c r="B8212" s="11">
        <v>44718</v>
      </c>
      <c r="C8212" s="13" t="s">
        <v>1342</v>
      </c>
      <c r="D8212" s="13" t="s">
        <v>10168</v>
      </c>
      <c r="E8212" s="8">
        <v>48510</v>
      </c>
      <c r="F8212" s="13" t="s">
        <v>70</v>
      </c>
      <c r="G8212" s="14">
        <v>44719</v>
      </c>
      <c r="H8212" s="13" t="s">
        <v>35</v>
      </c>
    </row>
    <row r="8213" spans="1:8" ht="14.4" x14ac:dyDescent="0.3">
      <c r="A8213" s="8">
        <v>2041835</v>
      </c>
      <c r="B8213" s="11">
        <v>44718</v>
      </c>
      <c r="C8213" s="13" t="s">
        <v>405</v>
      </c>
      <c r="D8213" s="13" t="s">
        <v>10169</v>
      </c>
      <c r="E8213" s="8">
        <v>71661.22</v>
      </c>
      <c r="F8213" s="13" t="s">
        <v>70</v>
      </c>
      <c r="G8213" s="14">
        <v>44720</v>
      </c>
      <c r="H8213" s="13" t="s">
        <v>35</v>
      </c>
    </row>
    <row r="8214" spans="1:8" ht="14.4" x14ac:dyDescent="0.3">
      <c r="A8214" s="8">
        <v>2041836</v>
      </c>
      <c r="B8214" s="11">
        <v>44718</v>
      </c>
      <c r="C8214" s="13" t="s">
        <v>405</v>
      </c>
      <c r="D8214" s="13" t="s">
        <v>10170</v>
      </c>
      <c r="E8214" s="8">
        <v>19289.41</v>
      </c>
      <c r="F8214" s="13" t="s">
        <v>70</v>
      </c>
      <c r="G8214" s="14">
        <v>44720</v>
      </c>
      <c r="H8214" s="13" t="s">
        <v>35</v>
      </c>
    </row>
    <row r="8215" spans="1:8" ht="14.4" x14ac:dyDescent="0.3">
      <c r="A8215" s="8">
        <v>2041838</v>
      </c>
      <c r="B8215" s="11">
        <v>44718</v>
      </c>
      <c r="C8215" s="13" t="s">
        <v>405</v>
      </c>
      <c r="D8215" s="13" t="s">
        <v>10171</v>
      </c>
      <c r="E8215" s="8">
        <v>13436.99</v>
      </c>
      <c r="F8215" s="13" t="s">
        <v>70</v>
      </c>
      <c r="G8215" s="14">
        <v>44720</v>
      </c>
      <c r="H8215" s="13" t="s">
        <v>35</v>
      </c>
    </row>
    <row r="8216" spans="1:8" ht="14.4" x14ac:dyDescent="0.3">
      <c r="A8216" s="8">
        <v>2041839</v>
      </c>
      <c r="B8216" s="11">
        <v>44718</v>
      </c>
      <c r="C8216" s="13" t="s">
        <v>127</v>
      </c>
      <c r="D8216" s="13" t="s">
        <v>10172</v>
      </c>
      <c r="E8216" s="8">
        <v>11484.51</v>
      </c>
      <c r="F8216" s="13" t="s">
        <v>70</v>
      </c>
      <c r="G8216" s="14">
        <v>44719</v>
      </c>
      <c r="H8216" s="13" t="s">
        <v>35</v>
      </c>
    </row>
    <row r="8217" spans="1:8" ht="14.4" x14ac:dyDescent="0.3">
      <c r="A8217" s="8">
        <v>2041840</v>
      </c>
      <c r="B8217" s="11">
        <v>44718</v>
      </c>
      <c r="C8217" s="13" t="s">
        <v>1784</v>
      </c>
      <c r="D8217" s="13" t="s">
        <v>2402</v>
      </c>
      <c r="E8217" s="8">
        <v>49560</v>
      </c>
      <c r="F8217" s="13" t="s">
        <v>70</v>
      </c>
      <c r="G8217" s="14">
        <v>44719</v>
      </c>
      <c r="H8217" s="13" t="s">
        <v>35</v>
      </c>
    </row>
    <row r="8218" spans="1:8" ht="14.4" x14ac:dyDescent="0.3">
      <c r="A8218" s="8">
        <v>2041841</v>
      </c>
      <c r="B8218" s="11">
        <v>44718</v>
      </c>
      <c r="C8218" s="13" t="s">
        <v>25</v>
      </c>
      <c r="D8218" s="13" t="s">
        <v>10173</v>
      </c>
      <c r="E8218" s="8">
        <v>13507.43</v>
      </c>
      <c r="F8218" s="13" t="s">
        <v>70</v>
      </c>
      <c r="G8218" s="14">
        <v>44722</v>
      </c>
      <c r="H8218" s="13" t="s">
        <v>35</v>
      </c>
    </row>
    <row r="8219" spans="1:8" ht="14.4" x14ac:dyDescent="0.3">
      <c r="A8219" s="8">
        <v>2041842</v>
      </c>
      <c r="B8219" s="11">
        <v>44718</v>
      </c>
      <c r="C8219" s="13" t="s">
        <v>1420</v>
      </c>
      <c r="D8219" s="13" t="s">
        <v>10174</v>
      </c>
      <c r="E8219" s="8">
        <v>42586.92</v>
      </c>
      <c r="F8219" s="13" t="s">
        <v>70</v>
      </c>
      <c r="G8219" s="14">
        <v>44719</v>
      </c>
      <c r="H8219" s="13" t="s">
        <v>35</v>
      </c>
    </row>
    <row r="8220" spans="1:8" ht="14.4" x14ac:dyDescent="0.3">
      <c r="A8220" s="8">
        <v>2041843</v>
      </c>
      <c r="B8220" s="11">
        <v>44718</v>
      </c>
      <c r="C8220" s="13" t="s">
        <v>1420</v>
      </c>
      <c r="D8220" s="13" t="s">
        <v>10175</v>
      </c>
      <c r="E8220" s="8">
        <v>224077.99</v>
      </c>
      <c r="F8220" s="13" t="s">
        <v>70</v>
      </c>
      <c r="G8220" s="14">
        <v>44719</v>
      </c>
      <c r="H8220" s="13" t="s">
        <v>35</v>
      </c>
    </row>
    <row r="8221" spans="1:8" ht="14.4" x14ac:dyDescent="0.3">
      <c r="A8221" s="8">
        <v>2041844</v>
      </c>
      <c r="B8221" s="11">
        <v>44718</v>
      </c>
      <c r="C8221" s="13" t="s">
        <v>159</v>
      </c>
      <c r="D8221" s="13" t="s">
        <v>10176</v>
      </c>
      <c r="E8221" s="8">
        <v>197100</v>
      </c>
      <c r="F8221" s="13" t="s">
        <v>70</v>
      </c>
      <c r="G8221" s="14">
        <v>44719</v>
      </c>
      <c r="H8221" s="13" t="s">
        <v>35</v>
      </c>
    </row>
    <row r="8222" spans="1:8" ht="14.4" x14ac:dyDescent="0.3">
      <c r="A8222" s="8">
        <v>2041845</v>
      </c>
      <c r="B8222" s="11">
        <v>44718</v>
      </c>
      <c r="C8222" s="13" t="s">
        <v>127</v>
      </c>
      <c r="D8222" s="13" t="s">
        <v>1818</v>
      </c>
      <c r="E8222" s="8">
        <v>52957.64</v>
      </c>
      <c r="F8222" s="13" t="s">
        <v>70</v>
      </c>
      <c r="G8222" s="14">
        <v>44719</v>
      </c>
      <c r="H8222" s="13" t="s">
        <v>35</v>
      </c>
    </row>
    <row r="8223" spans="1:8" ht="14.4" x14ac:dyDescent="0.3">
      <c r="A8223" s="8">
        <v>2041846</v>
      </c>
      <c r="B8223" s="11">
        <v>44718</v>
      </c>
      <c r="C8223" s="13" t="s">
        <v>60</v>
      </c>
      <c r="D8223" s="13" t="s">
        <v>10177</v>
      </c>
      <c r="E8223" s="8">
        <v>1689805.96</v>
      </c>
      <c r="F8223" s="13" t="s">
        <v>70</v>
      </c>
      <c r="G8223" s="14">
        <v>44720</v>
      </c>
      <c r="H8223" s="13" t="s">
        <v>35</v>
      </c>
    </row>
    <row r="8224" spans="1:8" ht="14.4" x14ac:dyDescent="0.3">
      <c r="A8224" s="8">
        <v>2041847</v>
      </c>
      <c r="B8224" s="11">
        <v>44718</v>
      </c>
      <c r="C8224" s="13" t="s">
        <v>1286</v>
      </c>
      <c r="D8224" s="13" t="s">
        <v>9973</v>
      </c>
      <c r="E8224" s="8">
        <v>7950.71</v>
      </c>
      <c r="F8224" s="13" t="s">
        <v>70</v>
      </c>
      <c r="G8224" s="14">
        <v>44722</v>
      </c>
      <c r="H8224" s="13" t="s">
        <v>35</v>
      </c>
    </row>
    <row r="8225" spans="1:8" ht="14.4" x14ac:dyDescent="0.3">
      <c r="A8225" s="8">
        <v>2041848</v>
      </c>
      <c r="B8225" s="11">
        <v>44718</v>
      </c>
      <c r="C8225" s="13" t="s">
        <v>1286</v>
      </c>
      <c r="D8225" s="13" t="s">
        <v>10178</v>
      </c>
      <c r="E8225" s="8">
        <v>10356.42</v>
      </c>
      <c r="F8225" s="13" t="s">
        <v>70</v>
      </c>
      <c r="G8225" s="14">
        <v>44722</v>
      </c>
      <c r="H8225" s="13" t="s">
        <v>35</v>
      </c>
    </row>
    <row r="8226" spans="1:8" ht="14.4" x14ac:dyDescent="0.3">
      <c r="A8226" s="8">
        <v>2041849</v>
      </c>
      <c r="B8226" s="11">
        <v>44718</v>
      </c>
      <c r="C8226" s="13" t="s">
        <v>1286</v>
      </c>
      <c r="D8226" s="13" t="s">
        <v>2656</v>
      </c>
      <c r="E8226" s="8">
        <v>5878.8</v>
      </c>
      <c r="F8226" s="13" t="s">
        <v>70</v>
      </c>
      <c r="G8226" s="14">
        <v>44722</v>
      </c>
      <c r="H8226" s="13" t="s">
        <v>35</v>
      </c>
    </row>
    <row r="8227" spans="1:8" ht="14.4" x14ac:dyDescent="0.3">
      <c r="A8227" s="8">
        <v>2041850</v>
      </c>
      <c r="B8227" s="11">
        <v>44718</v>
      </c>
      <c r="C8227" s="13" t="s">
        <v>1286</v>
      </c>
      <c r="D8227" s="13" t="s">
        <v>10179</v>
      </c>
      <c r="E8227" s="8">
        <v>22544.51</v>
      </c>
      <c r="F8227" s="13" t="s">
        <v>70</v>
      </c>
      <c r="G8227" s="14">
        <v>44722</v>
      </c>
      <c r="H8227" s="13" t="s">
        <v>35</v>
      </c>
    </row>
    <row r="8228" spans="1:8" ht="14.4" x14ac:dyDescent="0.3">
      <c r="A8228" s="8">
        <v>2041851</v>
      </c>
      <c r="B8228" s="11">
        <v>44718</v>
      </c>
      <c r="C8228" s="13" t="s">
        <v>1286</v>
      </c>
      <c r="D8228" s="13" t="s">
        <v>10178</v>
      </c>
      <c r="E8228" s="8">
        <v>7642.41</v>
      </c>
      <c r="F8228" s="13" t="s">
        <v>70</v>
      </c>
      <c r="G8228" s="14">
        <v>44722</v>
      </c>
      <c r="H8228" s="13" t="s">
        <v>35</v>
      </c>
    </row>
    <row r="8229" spans="1:8" ht="14.4" x14ac:dyDescent="0.3">
      <c r="A8229" s="8">
        <v>2041852</v>
      </c>
      <c r="B8229" s="11">
        <v>44718</v>
      </c>
      <c r="C8229" s="13" t="s">
        <v>159</v>
      </c>
      <c r="D8229" s="13" t="s">
        <v>2314</v>
      </c>
      <c r="E8229" s="8">
        <v>191800</v>
      </c>
      <c r="F8229" s="13" t="s">
        <v>70</v>
      </c>
      <c r="G8229" s="14">
        <v>44719</v>
      </c>
      <c r="H8229" s="13" t="s">
        <v>35</v>
      </c>
    </row>
    <row r="8230" spans="1:8" ht="14.4" x14ac:dyDescent="0.3">
      <c r="A8230" s="8">
        <v>2041853</v>
      </c>
      <c r="B8230" s="11">
        <v>44718</v>
      </c>
      <c r="C8230" s="13" t="s">
        <v>180</v>
      </c>
      <c r="D8230" s="13" t="s">
        <v>33</v>
      </c>
      <c r="E8230" s="8">
        <v>146013.29</v>
      </c>
      <c r="F8230" s="13" t="s">
        <v>70</v>
      </c>
      <c r="G8230" s="14">
        <v>44719</v>
      </c>
      <c r="H8230" s="13" t="s">
        <v>35</v>
      </c>
    </row>
    <row r="8231" spans="1:8" ht="14.4" x14ac:dyDescent="0.3">
      <c r="A8231" s="8">
        <v>2041854</v>
      </c>
      <c r="B8231" s="11">
        <v>44719</v>
      </c>
      <c r="C8231" s="13" t="s">
        <v>44</v>
      </c>
      <c r="D8231" s="13" t="s">
        <v>10180</v>
      </c>
      <c r="E8231" s="8">
        <v>12890.62</v>
      </c>
      <c r="F8231" s="13" t="s">
        <v>70</v>
      </c>
      <c r="G8231" s="14">
        <v>44728</v>
      </c>
      <c r="H8231" s="13" t="s">
        <v>35</v>
      </c>
    </row>
    <row r="8232" spans="1:8" ht="14.4" x14ac:dyDescent="0.3">
      <c r="A8232" s="8">
        <v>2041855</v>
      </c>
      <c r="B8232" s="11">
        <v>44719</v>
      </c>
      <c r="C8232" s="13" t="s">
        <v>44</v>
      </c>
      <c r="D8232" s="13" t="s">
        <v>10181</v>
      </c>
      <c r="E8232" s="8">
        <v>12890.62</v>
      </c>
      <c r="F8232" s="13" t="s">
        <v>70</v>
      </c>
      <c r="G8232" s="14">
        <v>44728</v>
      </c>
      <c r="H8232" s="13" t="s">
        <v>35</v>
      </c>
    </row>
    <row r="8233" spans="1:8" ht="14.4" x14ac:dyDescent="0.3">
      <c r="A8233" s="8">
        <v>2041856</v>
      </c>
      <c r="B8233" s="11">
        <v>44719</v>
      </c>
      <c r="C8233" s="13" t="s">
        <v>10182</v>
      </c>
      <c r="D8233" s="13" t="s">
        <v>10183</v>
      </c>
      <c r="E8233" s="8">
        <v>4687.5</v>
      </c>
      <c r="F8233" s="13" t="s">
        <v>70</v>
      </c>
      <c r="G8233" s="14">
        <v>44722</v>
      </c>
      <c r="H8233" s="13" t="s">
        <v>35</v>
      </c>
    </row>
    <row r="8234" spans="1:8" ht="14.4" x14ac:dyDescent="0.3">
      <c r="A8234" s="8">
        <v>2041857</v>
      </c>
      <c r="B8234" s="11">
        <v>44719</v>
      </c>
      <c r="C8234" s="13" t="s">
        <v>844</v>
      </c>
      <c r="D8234" s="13" t="s">
        <v>10184</v>
      </c>
      <c r="E8234" s="8">
        <v>2000</v>
      </c>
      <c r="F8234" s="13" t="s">
        <v>70</v>
      </c>
      <c r="G8234" s="14">
        <v>44726</v>
      </c>
      <c r="H8234" s="13" t="s">
        <v>35</v>
      </c>
    </row>
    <row r="8235" spans="1:8" ht="14.4" x14ac:dyDescent="0.3">
      <c r="A8235" s="8">
        <v>2041858</v>
      </c>
      <c r="B8235" s="11">
        <v>44719</v>
      </c>
      <c r="C8235" s="13" t="s">
        <v>836</v>
      </c>
      <c r="D8235" s="13" t="s">
        <v>10185</v>
      </c>
      <c r="E8235" s="8">
        <v>2000</v>
      </c>
      <c r="F8235" s="13" t="s">
        <v>70</v>
      </c>
      <c r="G8235" s="14">
        <v>44726</v>
      </c>
      <c r="H8235" s="13" t="s">
        <v>35</v>
      </c>
    </row>
    <row r="8236" spans="1:8" ht="14.4" x14ac:dyDescent="0.3">
      <c r="A8236" s="8">
        <v>2041859</v>
      </c>
      <c r="B8236" s="11">
        <v>44719</v>
      </c>
      <c r="C8236" s="13" t="s">
        <v>846</v>
      </c>
      <c r="D8236" s="13" t="s">
        <v>10185</v>
      </c>
      <c r="E8236" s="8">
        <v>2000</v>
      </c>
      <c r="F8236" s="13" t="s">
        <v>70</v>
      </c>
      <c r="G8236" s="14">
        <v>44726</v>
      </c>
      <c r="H8236" s="13" t="s">
        <v>35</v>
      </c>
    </row>
    <row r="8237" spans="1:8" ht="14.4" x14ac:dyDescent="0.3">
      <c r="A8237" s="8">
        <v>2041860</v>
      </c>
      <c r="B8237" s="11">
        <v>44719</v>
      </c>
      <c r="C8237" s="13" t="s">
        <v>847</v>
      </c>
      <c r="D8237" s="13" t="s">
        <v>10185</v>
      </c>
      <c r="E8237" s="8">
        <v>2000</v>
      </c>
      <c r="F8237" s="13" t="s">
        <v>70</v>
      </c>
      <c r="G8237" s="14">
        <v>44726</v>
      </c>
      <c r="H8237" s="13" t="s">
        <v>35</v>
      </c>
    </row>
    <row r="8238" spans="1:8" ht="14.4" x14ac:dyDescent="0.3">
      <c r="A8238" s="8">
        <v>2041861</v>
      </c>
      <c r="B8238" s="11">
        <v>44719</v>
      </c>
      <c r="C8238" s="13" t="s">
        <v>848</v>
      </c>
      <c r="D8238" s="13" t="s">
        <v>10185</v>
      </c>
      <c r="E8238" s="8">
        <v>2000</v>
      </c>
      <c r="F8238" s="13" t="s">
        <v>70</v>
      </c>
      <c r="G8238" s="14">
        <v>44726</v>
      </c>
      <c r="H8238" s="13" t="s">
        <v>35</v>
      </c>
    </row>
    <row r="8239" spans="1:8" ht="14.4" x14ac:dyDescent="0.3">
      <c r="A8239" s="8">
        <v>2041862</v>
      </c>
      <c r="B8239" s="11">
        <v>44719</v>
      </c>
      <c r="C8239" s="13" t="s">
        <v>849</v>
      </c>
      <c r="D8239" s="13" t="s">
        <v>10185</v>
      </c>
      <c r="E8239" s="8">
        <v>2000</v>
      </c>
      <c r="F8239" s="13" t="s">
        <v>70</v>
      </c>
      <c r="G8239" s="14">
        <v>44726</v>
      </c>
      <c r="H8239" s="13" t="s">
        <v>35</v>
      </c>
    </row>
    <row r="8240" spans="1:8" ht="14.4" x14ac:dyDescent="0.3">
      <c r="A8240" s="8">
        <v>2041863</v>
      </c>
      <c r="B8240" s="11">
        <v>44719</v>
      </c>
      <c r="C8240" s="13" t="s">
        <v>850</v>
      </c>
      <c r="D8240" s="13" t="s">
        <v>10185</v>
      </c>
      <c r="E8240" s="8">
        <v>2000</v>
      </c>
      <c r="F8240" s="13" t="s">
        <v>70</v>
      </c>
      <c r="G8240" s="14">
        <v>44726</v>
      </c>
      <c r="H8240" s="13" t="s">
        <v>35</v>
      </c>
    </row>
    <row r="8241" spans="1:8" ht="14.4" x14ac:dyDescent="0.3">
      <c r="A8241" s="8">
        <v>2041864</v>
      </c>
      <c r="B8241" s="11">
        <v>44719</v>
      </c>
      <c r="C8241" s="13" t="s">
        <v>851</v>
      </c>
      <c r="D8241" s="13" t="s">
        <v>10185</v>
      </c>
      <c r="E8241" s="8">
        <v>2000</v>
      </c>
      <c r="F8241" s="13" t="s">
        <v>70</v>
      </c>
      <c r="G8241" s="14">
        <v>44726</v>
      </c>
      <c r="H8241" s="13" t="s">
        <v>35</v>
      </c>
    </row>
    <row r="8242" spans="1:8" ht="14.4" x14ac:dyDescent="0.3">
      <c r="A8242" s="8">
        <v>2041865</v>
      </c>
      <c r="B8242" s="11">
        <v>44719</v>
      </c>
      <c r="C8242" s="13" t="s">
        <v>2791</v>
      </c>
      <c r="D8242" s="13" t="s">
        <v>10185</v>
      </c>
      <c r="E8242" s="8">
        <v>2000</v>
      </c>
      <c r="F8242" s="13" t="s">
        <v>70</v>
      </c>
      <c r="G8242" s="14">
        <v>44726</v>
      </c>
      <c r="H8242" s="13" t="s">
        <v>35</v>
      </c>
    </row>
    <row r="8243" spans="1:8" ht="14.4" x14ac:dyDescent="0.3">
      <c r="A8243" s="8">
        <v>2041866</v>
      </c>
      <c r="B8243" s="11">
        <v>44719</v>
      </c>
      <c r="C8243" s="13" t="s">
        <v>2792</v>
      </c>
      <c r="D8243" s="13" t="s">
        <v>10185</v>
      </c>
      <c r="E8243" s="8">
        <v>2000</v>
      </c>
      <c r="F8243" s="13" t="s">
        <v>70</v>
      </c>
      <c r="G8243" s="14">
        <v>44726</v>
      </c>
      <c r="H8243" s="13" t="s">
        <v>35</v>
      </c>
    </row>
    <row r="8244" spans="1:8" ht="14.4" x14ac:dyDescent="0.3">
      <c r="A8244" s="8">
        <v>2041867</v>
      </c>
      <c r="B8244" s="11">
        <v>44719</v>
      </c>
      <c r="C8244" s="13" t="s">
        <v>854</v>
      </c>
      <c r="D8244" s="13" t="s">
        <v>10185</v>
      </c>
      <c r="E8244" s="8">
        <v>2000</v>
      </c>
      <c r="F8244" s="13" t="s">
        <v>70</v>
      </c>
      <c r="G8244" s="14">
        <v>44726</v>
      </c>
      <c r="H8244" s="13" t="s">
        <v>35</v>
      </c>
    </row>
    <row r="8245" spans="1:8" ht="14.4" x14ac:dyDescent="0.3">
      <c r="A8245" s="8">
        <v>2041868</v>
      </c>
      <c r="B8245" s="11">
        <v>44719</v>
      </c>
      <c r="C8245" s="13" t="s">
        <v>10186</v>
      </c>
      <c r="D8245" s="13" t="s">
        <v>10187</v>
      </c>
      <c r="E8245" s="8">
        <v>6000</v>
      </c>
      <c r="F8245" s="13" t="s">
        <v>70</v>
      </c>
      <c r="G8245" s="14">
        <v>44722</v>
      </c>
      <c r="H8245" s="13" t="s">
        <v>35</v>
      </c>
    </row>
    <row r="8246" spans="1:8" ht="14.4" x14ac:dyDescent="0.3">
      <c r="A8246" s="8">
        <v>2041869</v>
      </c>
      <c r="B8246" s="11">
        <v>44719</v>
      </c>
      <c r="C8246" s="13" t="s">
        <v>10186</v>
      </c>
      <c r="D8246" s="13" t="s">
        <v>10188</v>
      </c>
      <c r="E8246" s="8">
        <v>6000</v>
      </c>
      <c r="F8246" s="13" t="s">
        <v>70</v>
      </c>
      <c r="G8246" s="14">
        <v>44722</v>
      </c>
      <c r="H8246" s="13" t="s">
        <v>35</v>
      </c>
    </row>
    <row r="8247" spans="1:8" ht="14.4" x14ac:dyDescent="0.3">
      <c r="A8247" s="8">
        <v>2041870</v>
      </c>
      <c r="B8247" s="11">
        <v>44719</v>
      </c>
      <c r="C8247" s="13" t="s">
        <v>232</v>
      </c>
      <c r="D8247" s="13" t="s">
        <v>10189</v>
      </c>
      <c r="E8247" s="8">
        <v>1200</v>
      </c>
      <c r="F8247" s="13" t="s">
        <v>70</v>
      </c>
      <c r="G8247" s="14">
        <v>44720</v>
      </c>
      <c r="H8247" s="13" t="s">
        <v>35</v>
      </c>
    </row>
    <row r="8248" spans="1:8" ht="14.4" x14ac:dyDescent="0.3">
      <c r="A8248" s="8">
        <v>2041871</v>
      </c>
      <c r="B8248" s="11">
        <v>44719</v>
      </c>
      <c r="C8248" s="13" t="s">
        <v>51</v>
      </c>
      <c r="D8248" s="13" t="s">
        <v>10190</v>
      </c>
      <c r="E8248" s="8">
        <v>58200</v>
      </c>
      <c r="F8248" s="13" t="s">
        <v>70</v>
      </c>
      <c r="G8248" s="14">
        <v>44733</v>
      </c>
      <c r="H8248" s="13" t="s">
        <v>35</v>
      </c>
    </row>
    <row r="8249" spans="1:8" ht="14.4" x14ac:dyDescent="0.3">
      <c r="A8249" s="8">
        <v>2041872</v>
      </c>
      <c r="B8249" s="11">
        <v>44719</v>
      </c>
      <c r="C8249" s="13" t="s">
        <v>51</v>
      </c>
      <c r="D8249" s="13" t="s">
        <v>10191</v>
      </c>
      <c r="E8249" s="8">
        <v>64020</v>
      </c>
      <c r="F8249" s="13" t="s">
        <v>70</v>
      </c>
      <c r="G8249" s="14">
        <v>44733</v>
      </c>
      <c r="H8249" s="13" t="s">
        <v>35</v>
      </c>
    </row>
    <row r="8250" spans="1:8" ht="14.4" x14ac:dyDescent="0.3">
      <c r="A8250" s="8">
        <v>2041873</v>
      </c>
      <c r="B8250" s="11">
        <v>44719</v>
      </c>
      <c r="C8250" s="13" t="s">
        <v>51</v>
      </c>
      <c r="D8250" s="13" t="s">
        <v>10192</v>
      </c>
      <c r="E8250" s="8">
        <v>83420</v>
      </c>
      <c r="F8250" s="13" t="s">
        <v>70</v>
      </c>
      <c r="G8250" s="14">
        <v>44733</v>
      </c>
      <c r="H8250" s="13" t="s">
        <v>35</v>
      </c>
    </row>
    <row r="8251" spans="1:8" ht="14.4" x14ac:dyDescent="0.3">
      <c r="A8251" s="8">
        <v>2041874</v>
      </c>
      <c r="B8251" s="11">
        <v>44719</v>
      </c>
      <c r="C8251" s="13" t="s">
        <v>1286</v>
      </c>
      <c r="D8251" s="13" t="s">
        <v>10193</v>
      </c>
      <c r="E8251" s="8">
        <v>32315.64</v>
      </c>
      <c r="F8251" s="13" t="s">
        <v>70</v>
      </c>
      <c r="G8251" s="14">
        <v>44722</v>
      </c>
      <c r="H8251" s="13" t="s">
        <v>35</v>
      </c>
    </row>
    <row r="8252" spans="1:8" ht="14.4" x14ac:dyDescent="0.3">
      <c r="A8252" s="8">
        <v>2041875</v>
      </c>
      <c r="B8252" s="11">
        <v>44719</v>
      </c>
      <c r="C8252" s="13" t="s">
        <v>363</v>
      </c>
      <c r="D8252" s="13" t="s">
        <v>10194</v>
      </c>
      <c r="E8252" s="8">
        <v>33754</v>
      </c>
      <c r="F8252" s="13" t="s">
        <v>70</v>
      </c>
      <c r="G8252" s="14">
        <v>44720</v>
      </c>
      <c r="H8252" s="13" t="s">
        <v>35</v>
      </c>
    </row>
    <row r="8253" spans="1:8" ht="14.4" x14ac:dyDescent="0.3">
      <c r="A8253" s="8">
        <v>2041876</v>
      </c>
      <c r="B8253" s="11">
        <v>44719</v>
      </c>
      <c r="C8253" s="13" t="s">
        <v>279</v>
      </c>
      <c r="D8253" s="13" t="s">
        <v>10195</v>
      </c>
      <c r="E8253" s="8">
        <v>17973.580000000002</v>
      </c>
      <c r="F8253" s="13" t="s">
        <v>70</v>
      </c>
      <c r="G8253" s="14">
        <v>44722</v>
      </c>
      <c r="H8253" s="13" t="s">
        <v>35</v>
      </c>
    </row>
    <row r="8254" spans="1:8" ht="14.4" x14ac:dyDescent="0.3">
      <c r="A8254" s="8">
        <v>2041877</v>
      </c>
      <c r="B8254" s="11">
        <v>44719</v>
      </c>
      <c r="C8254" s="13" t="s">
        <v>1405</v>
      </c>
      <c r="D8254" s="13" t="s">
        <v>2092</v>
      </c>
      <c r="E8254" s="8">
        <v>17257686.960000001</v>
      </c>
      <c r="F8254" s="13" t="s">
        <v>70</v>
      </c>
      <c r="G8254" s="14">
        <v>44720</v>
      </c>
      <c r="H8254" s="13" t="s">
        <v>35</v>
      </c>
    </row>
    <row r="8255" spans="1:8" ht="14.4" x14ac:dyDescent="0.3">
      <c r="A8255" s="8">
        <v>2041878</v>
      </c>
      <c r="B8255" s="11">
        <v>44719</v>
      </c>
      <c r="C8255" s="13" t="s">
        <v>5786</v>
      </c>
      <c r="D8255" s="13" t="s">
        <v>10196</v>
      </c>
      <c r="E8255" s="8">
        <v>68449.94</v>
      </c>
      <c r="F8255" s="13" t="s">
        <v>70</v>
      </c>
      <c r="G8255" s="14">
        <v>44720</v>
      </c>
      <c r="H8255" s="13" t="s">
        <v>35</v>
      </c>
    </row>
    <row r="8256" spans="1:8" ht="14.4" x14ac:dyDescent="0.3">
      <c r="A8256" s="8">
        <v>2041879</v>
      </c>
      <c r="B8256" s="11">
        <v>44719</v>
      </c>
      <c r="C8256" s="13" t="s">
        <v>5786</v>
      </c>
      <c r="D8256" s="13" t="s">
        <v>10197</v>
      </c>
      <c r="E8256" s="8">
        <v>513945.31</v>
      </c>
      <c r="F8256" s="13" t="s">
        <v>70</v>
      </c>
      <c r="G8256" s="14">
        <v>44720</v>
      </c>
      <c r="H8256" s="13" t="s">
        <v>35</v>
      </c>
    </row>
    <row r="8257" spans="1:8" ht="14.4" x14ac:dyDescent="0.3">
      <c r="A8257" s="8">
        <v>2041880</v>
      </c>
      <c r="B8257" s="11">
        <v>44719</v>
      </c>
      <c r="C8257" s="13" t="s">
        <v>3514</v>
      </c>
      <c r="D8257" s="13" t="s">
        <v>10198</v>
      </c>
      <c r="E8257" s="8">
        <v>83946.32</v>
      </c>
      <c r="F8257" s="13" t="s">
        <v>70</v>
      </c>
      <c r="G8257" s="14">
        <v>44732</v>
      </c>
      <c r="H8257" s="13" t="s">
        <v>35</v>
      </c>
    </row>
    <row r="8258" spans="1:8" ht="14.4" x14ac:dyDescent="0.3">
      <c r="A8258" s="8">
        <v>2041881</v>
      </c>
      <c r="B8258" s="11">
        <v>44719</v>
      </c>
      <c r="C8258" s="13" t="s">
        <v>2425</v>
      </c>
      <c r="D8258" s="13" t="s">
        <v>10199</v>
      </c>
      <c r="E8258" s="8">
        <v>230166.73</v>
      </c>
      <c r="F8258" s="13" t="s">
        <v>70</v>
      </c>
      <c r="G8258" s="14">
        <v>44720</v>
      </c>
      <c r="H8258" s="13" t="s">
        <v>35</v>
      </c>
    </row>
    <row r="8259" spans="1:8" ht="14.4" x14ac:dyDescent="0.3">
      <c r="A8259" s="8">
        <v>2041882</v>
      </c>
      <c r="B8259" s="11">
        <v>44719</v>
      </c>
      <c r="C8259" s="13" t="s">
        <v>235</v>
      </c>
      <c r="D8259" s="13" t="s">
        <v>5963</v>
      </c>
      <c r="E8259" s="8">
        <v>419855</v>
      </c>
      <c r="F8259" s="13" t="s">
        <v>70</v>
      </c>
      <c r="G8259" s="14">
        <v>44720</v>
      </c>
      <c r="H8259" s="13" t="s">
        <v>35</v>
      </c>
    </row>
    <row r="8260" spans="1:8" ht="14.4" x14ac:dyDescent="0.3">
      <c r="A8260" s="8">
        <v>2041883</v>
      </c>
      <c r="B8260" s="11">
        <v>44719</v>
      </c>
      <c r="C8260" s="13" t="s">
        <v>361</v>
      </c>
      <c r="D8260" s="13" t="s">
        <v>10200</v>
      </c>
      <c r="E8260" s="8">
        <v>9714.36</v>
      </c>
      <c r="F8260" s="13" t="s">
        <v>70</v>
      </c>
      <c r="G8260" s="14">
        <v>44734</v>
      </c>
      <c r="H8260" s="13" t="s">
        <v>35</v>
      </c>
    </row>
    <row r="8261" spans="1:8" ht="14.4" x14ac:dyDescent="0.3">
      <c r="A8261" s="8">
        <v>2041884</v>
      </c>
      <c r="B8261" s="11">
        <v>44719</v>
      </c>
      <c r="C8261" s="13" t="s">
        <v>2395</v>
      </c>
      <c r="D8261" s="13" t="s">
        <v>10201</v>
      </c>
      <c r="E8261" s="8">
        <v>4116</v>
      </c>
      <c r="F8261" s="13" t="s">
        <v>70</v>
      </c>
      <c r="G8261" s="14">
        <v>44727</v>
      </c>
      <c r="H8261" s="13" t="s">
        <v>35</v>
      </c>
    </row>
    <row r="8262" spans="1:8" ht="14.4" x14ac:dyDescent="0.3">
      <c r="A8262" s="8">
        <v>2041885</v>
      </c>
      <c r="B8262" s="11">
        <v>44719</v>
      </c>
      <c r="C8262" s="13" t="s">
        <v>1420</v>
      </c>
      <c r="D8262" s="13" t="s">
        <v>10202</v>
      </c>
      <c r="E8262" s="8">
        <v>407346.43</v>
      </c>
      <c r="F8262" s="13" t="s">
        <v>70</v>
      </c>
      <c r="G8262" s="14">
        <v>44720</v>
      </c>
      <c r="H8262" s="13" t="s">
        <v>35</v>
      </c>
    </row>
    <row r="8263" spans="1:8" ht="14.4" x14ac:dyDescent="0.3">
      <c r="A8263" s="8">
        <v>2041886</v>
      </c>
      <c r="B8263" s="11">
        <v>44719</v>
      </c>
      <c r="C8263" s="13" t="s">
        <v>4567</v>
      </c>
      <c r="D8263" s="13" t="s">
        <v>10203</v>
      </c>
      <c r="E8263" s="8">
        <v>22275.15</v>
      </c>
      <c r="F8263" s="13" t="s">
        <v>70</v>
      </c>
      <c r="G8263" s="14">
        <v>44736</v>
      </c>
      <c r="H8263" s="13" t="s">
        <v>35</v>
      </c>
    </row>
    <row r="8264" spans="1:8" ht="14.4" x14ac:dyDescent="0.3">
      <c r="A8264" s="8">
        <v>2041887</v>
      </c>
      <c r="B8264" s="11">
        <v>44719</v>
      </c>
      <c r="C8264" s="13" t="s">
        <v>1420</v>
      </c>
      <c r="D8264" s="13" t="s">
        <v>10204</v>
      </c>
      <c r="E8264" s="8">
        <v>936124.23</v>
      </c>
      <c r="F8264" s="13" t="s">
        <v>70</v>
      </c>
      <c r="G8264" s="14">
        <v>44720</v>
      </c>
      <c r="H8264" s="13" t="s">
        <v>35</v>
      </c>
    </row>
    <row r="8265" spans="1:8" ht="14.4" x14ac:dyDescent="0.3">
      <c r="A8265" s="8">
        <v>2041888</v>
      </c>
      <c r="B8265" s="11">
        <v>44719</v>
      </c>
      <c r="C8265" s="13" t="s">
        <v>1420</v>
      </c>
      <c r="D8265" s="13" t="s">
        <v>10205</v>
      </c>
      <c r="E8265" s="8">
        <v>176460.6</v>
      </c>
      <c r="F8265" s="13" t="s">
        <v>70</v>
      </c>
      <c r="G8265" s="14">
        <v>44720</v>
      </c>
      <c r="H8265" s="13" t="s">
        <v>35</v>
      </c>
    </row>
    <row r="8266" spans="1:8" ht="14.4" x14ac:dyDescent="0.3">
      <c r="A8266" s="8">
        <v>2041889</v>
      </c>
      <c r="B8266" s="11">
        <v>44719</v>
      </c>
      <c r="C8266" s="13" t="s">
        <v>127</v>
      </c>
      <c r="D8266" s="13" t="s">
        <v>10206</v>
      </c>
      <c r="E8266" s="8">
        <v>4684.82</v>
      </c>
      <c r="F8266" s="13" t="s">
        <v>70</v>
      </c>
      <c r="G8266" s="14">
        <v>44729</v>
      </c>
      <c r="H8266" s="13" t="s">
        <v>35</v>
      </c>
    </row>
    <row r="8267" spans="1:8" ht="14.4" x14ac:dyDescent="0.3">
      <c r="A8267" s="8">
        <v>2041890</v>
      </c>
      <c r="B8267" s="11">
        <v>44719</v>
      </c>
      <c r="C8267" s="13" t="s">
        <v>1784</v>
      </c>
      <c r="D8267" s="13" t="s">
        <v>10207</v>
      </c>
      <c r="E8267" s="8">
        <v>22800</v>
      </c>
      <c r="F8267" s="13" t="s">
        <v>70</v>
      </c>
      <c r="G8267" s="14">
        <v>44722</v>
      </c>
      <c r="H8267" s="13" t="s">
        <v>35</v>
      </c>
    </row>
    <row r="8268" spans="1:8" ht="14.4" x14ac:dyDescent="0.3">
      <c r="A8268" s="8">
        <v>2041891</v>
      </c>
      <c r="B8268" s="11">
        <v>44719</v>
      </c>
      <c r="C8268" s="13" t="s">
        <v>10208</v>
      </c>
      <c r="D8268" s="13" t="s">
        <v>10209</v>
      </c>
      <c r="E8268" s="8">
        <v>256760</v>
      </c>
      <c r="F8268" s="13" t="s">
        <v>70</v>
      </c>
      <c r="G8268" s="14">
        <v>44720</v>
      </c>
      <c r="H8268" s="13" t="s">
        <v>35</v>
      </c>
    </row>
    <row r="8269" spans="1:8" ht="14.4" x14ac:dyDescent="0.3">
      <c r="A8269" s="8">
        <v>2041892</v>
      </c>
      <c r="B8269" s="11">
        <v>44720</v>
      </c>
      <c r="C8269" s="13" t="s">
        <v>59</v>
      </c>
      <c r="D8269" s="13" t="s">
        <v>10210</v>
      </c>
      <c r="E8269" s="8">
        <v>3785714.28</v>
      </c>
      <c r="F8269" s="13" t="s">
        <v>70</v>
      </c>
      <c r="G8269" s="14">
        <v>44725</v>
      </c>
      <c r="H8269" s="13" t="s">
        <v>35</v>
      </c>
    </row>
    <row r="8270" spans="1:8" ht="14.4" x14ac:dyDescent="0.3">
      <c r="A8270" s="8">
        <v>2041893</v>
      </c>
      <c r="B8270" s="11">
        <v>44720</v>
      </c>
      <c r="C8270" s="13" t="s">
        <v>7637</v>
      </c>
      <c r="D8270" s="13" t="s">
        <v>10211</v>
      </c>
      <c r="E8270" s="8">
        <v>605939.6</v>
      </c>
      <c r="F8270" s="13" t="s">
        <v>70</v>
      </c>
      <c r="G8270" s="14">
        <v>44728</v>
      </c>
      <c r="H8270" s="13" t="s">
        <v>35</v>
      </c>
    </row>
    <row r="8271" spans="1:8" ht="14.4" x14ac:dyDescent="0.3">
      <c r="A8271" s="8">
        <v>2041895</v>
      </c>
      <c r="B8271" s="11">
        <v>44722</v>
      </c>
      <c r="C8271" s="13" t="s">
        <v>9359</v>
      </c>
      <c r="D8271" s="13" t="s">
        <v>10212</v>
      </c>
      <c r="E8271" s="8">
        <v>1819271.86</v>
      </c>
      <c r="F8271" s="13" t="s">
        <v>70</v>
      </c>
      <c r="G8271" s="14">
        <v>44727</v>
      </c>
      <c r="H8271" s="13" t="s">
        <v>35</v>
      </c>
    </row>
    <row r="8272" spans="1:8" ht="14.4" x14ac:dyDescent="0.3">
      <c r="A8272" s="8">
        <v>2041896</v>
      </c>
      <c r="B8272" s="11">
        <v>44722</v>
      </c>
      <c r="C8272" s="13" t="s">
        <v>10213</v>
      </c>
      <c r="D8272" s="13" t="s">
        <v>10214</v>
      </c>
      <c r="E8272" s="8">
        <v>16000</v>
      </c>
      <c r="F8272" s="13" t="s">
        <v>70</v>
      </c>
      <c r="G8272" s="14">
        <v>44725</v>
      </c>
      <c r="H8272" s="13" t="s">
        <v>35</v>
      </c>
    </row>
    <row r="8273" spans="1:8" ht="14.4" x14ac:dyDescent="0.3">
      <c r="A8273" s="8">
        <v>2041897</v>
      </c>
      <c r="B8273" s="11">
        <v>44722</v>
      </c>
      <c r="C8273" s="13" t="s">
        <v>10215</v>
      </c>
      <c r="D8273" s="13" t="s">
        <v>10216</v>
      </c>
      <c r="E8273" s="8">
        <v>32708.639999999999</v>
      </c>
      <c r="F8273" s="13" t="s">
        <v>70</v>
      </c>
      <c r="G8273" s="14">
        <v>44725</v>
      </c>
      <c r="H8273" s="13" t="s">
        <v>35</v>
      </c>
    </row>
    <row r="8274" spans="1:8" ht="14.4" x14ac:dyDescent="0.3">
      <c r="A8274" s="8">
        <v>2041898</v>
      </c>
      <c r="B8274" s="11">
        <v>44727</v>
      </c>
      <c r="C8274" s="13" t="s">
        <v>5927</v>
      </c>
      <c r="D8274" s="13" t="s">
        <v>10217</v>
      </c>
      <c r="E8274" s="8">
        <v>2732543.09</v>
      </c>
      <c r="F8274" s="13" t="s">
        <v>70</v>
      </c>
      <c r="G8274" s="14">
        <v>44729</v>
      </c>
      <c r="H8274" s="13" t="s">
        <v>35</v>
      </c>
    </row>
    <row r="8275" spans="1:8" ht="14.4" x14ac:dyDescent="0.3">
      <c r="A8275" s="8">
        <v>2041899</v>
      </c>
      <c r="B8275" s="11">
        <v>44732</v>
      </c>
      <c r="C8275" s="13" t="s">
        <v>5920</v>
      </c>
      <c r="D8275" s="13" t="s">
        <v>10218</v>
      </c>
      <c r="E8275" s="8">
        <v>1820427.47</v>
      </c>
      <c r="F8275" s="13" t="s">
        <v>70</v>
      </c>
      <c r="G8275" s="14">
        <v>44733</v>
      </c>
      <c r="H8275" s="13" t="s">
        <v>35</v>
      </c>
    </row>
    <row r="8276" spans="1:8" ht="14.4" x14ac:dyDescent="0.3">
      <c r="A8276" s="8">
        <v>2041900</v>
      </c>
      <c r="B8276" s="11">
        <v>44739</v>
      </c>
      <c r="C8276" s="13" t="s">
        <v>1540</v>
      </c>
      <c r="D8276" s="13" t="s">
        <v>10219</v>
      </c>
      <c r="E8276" s="8">
        <v>1819483.66</v>
      </c>
      <c r="F8276" s="13" t="s">
        <v>70</v>
      </c>
      <c r="G8276" s="14">
        <v>44742</v>
      </c>
      <c r="H8276" s="13" t="s">
        <v>35</v>
      </c>
    </row>
    <row r="8277" spans="1:8" ht="14.4" x14ac:dyDescent="0.3">
      <c r="A8277" s="8">
        <v>2041901</v>
      </c>
      <c r="B8277" s="11">
        <v>44739</v>
      </c>
      <c r="C8277" s="13" t="s">
        <v>10220</v>
      </c>
      <c r="D8277" s="13" t="s">
        <v>10221</v>
      </c>
      <c r="E8277" s="8">
        <v>1088472.55</v>
      </c>
      <c r="F8277" s="13" t="s">
        <v>70</v>
      </c>
      <c r="G8277" s="14">
        <v>44742</v>
      </c>
      <c r="H8277" s="13" t="s">
        <v>35</v>
      </c>
    </row>
    <row r="8278" spans="1:8" ht="14.4" x14ac:dyDescent="0.3">
      <c r="A8278" s="8">
        <v>2041902</v>
      </c>
      <c r="B8278" s="11">
        <v>44742</v>
      </c>
      <c r="C8278" s="13" t="s">
        <v>10222</v>
      </c>
      <c r="D8278" s="13" t="s">
        <v>10223</v>
      </c>
      <c r="E8278" s="8">
        <v>10000</v>
      </c>
      <c r="F8278" s="13" t="s">
        <v>70</v>
      </c>
      <c r="G8278" s="14">
        <v>44743</v>
      </c>
      <c r="H8278" s="13" t="s">
        <v>35</v>
      </c>
    </row>
    <row r="8279" spans="1:8" ht="14.4" x14ac:dyDescent="0.3">
      <c r="A8279" s="8">
        <v>2041903</v>
      </c>
      <c r="B8279" s="11">
        <v>44742</v>
      </c>
      <c r="C8279" s="13" t="s">
        <v>10224</v>
      </c>
      <c r="D8279" s="13" t="s">
        <v>10225</v>
      </c>
      <c r="E8279" s="8">
        <v>30000</v>
      </c>
      <c r="F8279" s="13" t="s">
        <v>70</v>
      </c>
      <c r="G8279" s="14">
        <v>44743</v>
      </c>
      <c r="H8279" s="13" t="s">
        <v>35</v>
      </c>
    </row>
    <row r="8280" spans="1:8" ht="14.4" x14ac:dyDescent="0.3">
      <c r="A8280" s="8">
        <v>2041904</v>
      </c>
      <c r="B8280" s="11">
        <v>44742</v>
      </c>
      <c r="C8280" s="13" t="s">
        <v>10226</v>
      </c>
      <c r="D8280" s="13" t="s">
        <v>10227</v>
      </c>
      <c r="E8280" s="8">
        <v>10000</v>
      </c>
      <c r="F8280" s="13" t="s">
        <v>70</v>
      </c>
      <c r="G8280" s="14">
        <v>44746</v>
      </c>
      <c r="H8280" s="13" t="s">
        <v>35</v>
      </c>
    </row>
    <row r="8281" spans="1:8" ht="14.4" x14ac:dyDescent="0.3">
      <c r="A8281" s="8">
        <v>2041905</v>
      </c>
      <c r="B8281" s="11">
        <v>44742</v>
      </c>
      <c r="C8281" s="13" t="s">
        <v>10228</v>
      </c>
      <c r="D8281" s="13" t="s">
        <v>10229</v>
      </c>
      <c r="E8281" s="8">
        <v>15000</v>
      </c>
      <c r="F8281" s="13" t="s">
        <v>70</v>
      </c>
      <c r="G8281" s="14">
        <v>44743</v>
      </c>
      <c r="H8281" s="13" t="s">
        <v>35</v>
      </c>
    </row>
    <row r="8282" spans="1:8" ht="14.4" x14ac:dyDescent="0.3">
      <c r="A8282" s="8">
        <v>2041906</v>
      </c>
      <c r="B8282" s="11">
        <v>44742</v>
      </c>
      <c r="C8282" s="13" t="s">
        <v>10230</v>
      </c>
      <c r="D8282" s="13" t="s">
        <v>10231</v>
      </c>
      <c r="E8282" s="8">
        <v>10000</v>
      </c>
      <c r="F8282" s="13" t="s">
        <v>70</v>
      </c>
      <c r="G8282" s="14">
        <v>44746</v>
      </c>
      <c r="H8282" s="13" t="s">
        <v>35</v>
      </c>
    </row>
    <row r="8283" spans="1:8" ht="14.4" x14ac:dyDescent="0.3">
      <c r="A8283" s="8">
        <v>2041907</v>
      </c>
      <c r="B8283" s="11">
        <v>44742</v>
      </c>
      <c r="C8283" s="13" t="s">
        <v>10232</v>
      </c>
      <c r="D8283" s="13" t="s">
        <v>10233</v>
      </c>
      <c r="E8283" s="8">
        <v>25000</v>
      </c>
      <c r="F8283" s="13" t="s">
        <v>70</v>
      </c>
      <c r="G8283" s="14">
        <v>44743</v>
      </c>
      <c r="H8283" s="13" t="s">
        <v>35</v>
      </c>
    </row>
    <row r="8284" spans="1:8" ht="14.4" x14ac:dyDescent="0.3">
      <c r="A8284" s="8">
        <v>2041908</v>
      </c>
      <c r="B8284" s="11">
        <v>44742</v>
      </c>
      <c r="C8284" s="13" t="s">
        <v>10234</v>
      </c>
      <c r="D8284" s="13" t="s">
        <v>10235</v>
      </c>
      <c r="E8284" s="8">
        <v>26000</v>
      </c>
      <c r="F8284" s="13" t="s">
        <v>70</v>
      </c>
      <c r="G8284" s="14">
        <v>44743</v>
      </c>
      <c r="H8284" s="13" t="s">
        <v>35</v>
      </c>
    </row>
    <row r="8285" spans="1:8" ht="14.4" x14ac:dyDescent="0.3">
      <c r="A8285" s="8">
        <v>2041909</v>
      </c>
      <c r="B8285" s="11">
        <v>44742</v>
      </c>
      <c r="C8285" s="13" t="s">
        <v>10236</v>
      </c>
      <c r="D8285" s="13" t="s">
        <v>10237</v>
      </c>
      <c r="E8285" s="8">
        <v>12000</v>
      </c>
      <c r="F8285" s="13" t="s">
        <v>70</v>
      </c>
      <c r="G8285" s="14">
        <v>44743</v>
      </c>
      <c r="H8285" s="13" t="s">
        <v>35</v>
      </c>
    </row>
    <row r="8286" spans="1:8" ht="14.4" x14ac:dyDescent="0.3">
      <c r="A8286" s="8">
        <v>2041910</v>
      </c>
      <c r="B8286" s="11">
        <v>44742</v>
      </c>
      <c r="C8286" s="13" t="s">
        <v>10238</v>
      </c>
      <c r="D8286" s="13" t="s">
        <v>10239</v>
      </c>
      <c r="E8286" s="8">
        <v>10000</v>
      </c>
      <c r="F8286" s="13" t="s">
        <v>70</v>
      </c>
      <c r="G8286" s="14">
        <v>44743</v>
      </c>
      <c r="H8286" s="13" t="s">
        <v>35</v>
      </c>
    </row>
    <row r="8287" spans="1:8" ht="14.4" x14ac:dyDescent="0.3">
      <c r="A8287" s="8">
        <v>2041911</v>
      </c>
      <c r="B8287" s="11">
        <v>44742</v>
      </c>
      <c r="C8287" s="13" t="s">
        <v>99</v>
      </c>
      <c r="D8287" s="13" t="s">
        <v>10240</v>
      </c>
      <c r="E8287" s="8">
        <v>15000</v>
      </c>
      <c r="F8287" s="13" t="s">
        <v>70</v>
      </c>
      <c r="G8287" s="14">
        <v>44747</v>
      </c>
      <c r="H8287" s="13" t="s">
        <v>35</v>
      </c>
    </row>
    <row r="8288" spans="1:8" ht="14.4" x14ac:dyDescent="0.3">
      <c r="A8288" s="8">
        <v>2041912</v>
      </c>
      <c r="B8288" s="11">
        <v>44742</v>
      </c>
      <c r="C8288" s="13" t="s">
        <v>10241</v>
      </c>
      <c r="D8288" s="13" t="s">
        <v>10242</v>
      </c>
      <c r="E8288" s="8">
        <v>10000</v>
      </c>
      <c r="F8288" s="13" t="s">
        <v>70</v>
      </c>
      <c r="G8288" s="14">
        <v>44747</v>
      </c>
      <c r="H8288" s="13" t="s">
        <v>35</v>
      </c>
    </row>
    <row r="8289" spans="1:8" ht="14.4" x14ac:dyDescent="0.3">
      <c r="A8289" s="8">
        <v>2041913</v>
      </c>
      <c r="B8289" s="11">
        <v>44742</v>
      </c>
      <c r="C8289" s="13" t="s">
        <v>10243</v>
      </c>
      <c r="D8289" s="13" t="s">
        <v>10244</v>
      </c>
      <c r="E8289" s="8">
        <v>50000</v>
      </c>
      <c r="F8289" s="13" t="s">
        <v>70</v>
      </c>
      <c r="G8289" s="14">
        <v>44743</v>
      </c>
      <c r="H8289" s="13" t="s">
        <v>35</v>
      </c>
    </row>
    <row r="8290" spans="1:8" ht="14.4" x14ac:dyDescent="0.3">
      <c r="A8290" s="8">
        <v>2041914</v>
      </c>
      <c r="B8290" s="11">
        <v>44742</v>
      </c>
      <c r="C8290" s="13" t="s">
        <v>1276</v>
      </c>
      <c r="D8290" s="13" t="s">
        <v>10245</v>
      </c>
      <c r="E8290" s="8">
        <v>20000</v>
      </c>
      <c r="F8290" s="13" t="s">
        <v>70</v>
      </c>
      <c r="G8290" s="14">
        <v>44743</v>
      </c>
      <c r="H8290" s="13" t="s">
        <v>35</v>
      </c>
    </row>
    <row r="8291" spans="1:8" ht="14.4" x14ac:dyDescent="0.3">
      <c r="A8291" s="8">
        <v>2041915</v>
      </c>
      <c r="B8291" s="11">
        <v>44742</v>
      </c>
      <c r="C8291" s="13" t="s">
        <v>10246</v>
      </c>
      <c r="D8291" s="13" t="s">
        <v>10247</v>
      </c>
      <c r="E8291" s="8">
        <v>10000</v>
      </c>
      <c r="F8291" s="13" t="s">
        <v>70</v>
      </c>
      <c r="G8291" s="14">
        <v>44743</v>
      </c>
      <c r="H8291" s="13" t="s">
        <v>35</v>
      </c>
    </row>
    <row r="8292" spans="1:8" ht="14.4" x14ac:dyDescent="0.3">
      <c r="A8292" s="8">
        <v>2041916</v>
      </c>
      <c r="B8292" s="11">
        <v>44742</v>
      </c>
      <c r="C8292" s="13" t="s">
        <v>10248</v>
      </c>
      <c r="D8292" s="13" t="s">
        <v>10249</v>
      </c>
      <c r="E8292" s="8">
        <v>20000</v>
      </c>
      <c r="F8292" s="13" t="s">
        <v>70</v>
      </c>
      <c r="G8292" s="14">
        <v>44747</v>
      </c>
      <c r="H8292" s="13" t="s">
        <v>35</v>
      </c>
    </row>
    <row r="8293" spans="1:8" ht="14.4" x14ac:dyDescent="0.3">
      <c r="A8293" s="8">
        <v>2041917</v>
      </c>
      <c r="B8293" s="11">
        <v>44742</v>
      </c>
      <c r="C8293" s="13" t="s">
        <v>10250</v>
      </c>
      <c r="D8293" s="13" t="s">
        <v>10251</v>
      </c>
      <c r="E8293" s="8">
        <v>12000</v>
      </c>
      <c r="F8293" s="13" t="s">
        <v>70</v>
      </c>
      <c r="G8293" s="14">
        <v>44746</v>
      </c>
      <c r="H8293" s="13" t="s">
        <v>35</v>
      </c>
    </row>
    <row r="8294" spans="1:8" ht="14.4" x14ac:dyDescent="0.3">
      <c r="A8294" s="8">
        <v>2041918</v>
      </c>
      <c r="B8294" s="11">
        <v>44742</v>
      </c>
      <c r="C8294" s="13" t="s">
        <v>10252</v>
      </c>
      <c r="D8294" s="13" t="s">
        <v>10253</v>
      </c>
      <c r="E8294" s="8">
        <v>7000</v>
      </c>
      <c r="F8294" s="13" t="s">
        <v>70</v>
      </c>
      <c r="G8294" s="14">
        <v>44743</v>
      </c>
      <c r="H8294" s="13" t="s">
        <v>35</v>
      </c>
    </row>
    <row r="8295" spans="1:8" ht="14.4" x14ac:dyDescent="0.3">
      <c r="A8295" s="8">
        <v>2041919</v>
      </c>
      <c r="B8295" s="11">
        <v>44742</v>
      </c>
      <c r="C8295" s="13" t="s">
        <v>10254</v>
      </c>
      <c r="D8295" s="13" t="s">
        <v>10255</v>
      </c>
      <c r="E8295" s="8">
        <v>6000</v>
      </c>
      <c r="F8295" s="13" t="s">
        <v>70</v>
      </c>
      <c r="G8295" s="14">
        <v>44749</v>
      </c>
      <c r="H8295" s="13" t="s">
        <v>35</v>
      </c>
    </row>
    <row r="8296" spans="1:8" ht="14.4" x14ac:dyDescent="0.3">
      <c r="A8296" s="8">
        <v>2041920</v>
      </c>
      <c r="B8296" s="11">
        <v>44742</v>
      </c>
      <c r="C8296" s="13" t="s">
        <v>10256</v>
      </c>
      <c r="D8296" s="13" t="s">
        <v>10257</v>
      </c>
      <c r="E8296" s="8">
        <v>14700</v>
      </c>
      <c r="F8296" s="13" t="s">
        <v>70</v>
      </c>
      <c r="G8296" s="14">
        <v>44743</v>
      </c>
      <c r="H8296" s="13" t="s">
        <v>35</v>
      </c>
    </row>
    <row r="8297" spans="1:8" ht="14.4" x14ac:dyDescent="0.3">
      <c r="A8297" s="8">
        <v>2041921</v>
      </c>
      <c r="B8297" s="11">
        <v>44742</v>
      </c>
      <c r="C8297" s="13" t="s">
        <v>10230</v>
      </c>
      <c r="D8297" s="13" t="s">
        <v>10258</v>
      </c>
      <c r="E8297" s="8">
        <v>15300</v>
      </c>
      <c r="F8297" s="13" t="s">
        <v>70</v>
      </c>
      <c r="G8297" s="14">
        <v>44746</v>
      </c>
      <c r="H8297" s="13" t="s">
        <v>35</v>
      </c>
    </row>
    <row r="8298" spans="1:8" ht="14.4" x14ac:dyDescent="0.3">
      <c r="A8298" s="8">
        <v>2041922</v>
      </c>
      <c r="B8298" s="11">
        <v>44742</v>
      </c>
      <c r="C8298" s="13" t="s">
        <v>10259</v>
      </c>
      <c r="D8298" s="13" t="s">
        <v>10260</v>
      </c>
      <c r="E8298" s="8">
        <v>14700</v>
      </c>
      <c r="F8298" s="13" t="s">
        <v>70</v>
      </c>
      <c r="G8298" s="14">
        <v>44743</v>
      </c>
      <c r="H8298" s="13" t="s">
        <v>35</v>
      </c>
    </row>
    <row r="8299" spans="1:8" ht="14.4" x14ac:dyDescent="0.3">
      <c r="A8299" s="8">
        <v>2041923</v>
      </c>
      <c r="B8299" s="11">
        <v>44742</v>
      </c>
      <c r="C8299" s="13" t="s">
        <v>10261</v>
      </c>
      <c r="D8299" s="13" t="s">
        <v>10262</v>
      </c>
      <c r="E8299" s="8">
        <v>50000</v>
      </c>
      <c r="F8299" s="13" t="s">
        <v>70</v>
      </c>
      <c r="G8299" s="14">
        <v>44746</v>
      </c>
      <c r="H8299" s="13" t="s">
        <v>35</v>
      </c>
    </row>
    <row r="8300" spans="1:8" ht="14.4" x14ac:dyDescent="0.3">
      <c r="A8300" s="8">
        <v>2041924</v>
      </c>
      <c r="B8300" s="11">
        <v>44742</v>
      </c>
      <c r="C8300" s="13" t="s">
        <v>10263</v>
      </c>
      <c r="D8300" s="13" t="s">
        <v>10264</v>
      </c>
      <c r="E8300" s="8">
        <v>11300</v>
      </c>
      <c r="F8300" s="13" t="s">
        <v>70</v>
      </c>
      <c r="G8300" s="14">
        <v>44743</v>
      </c>
      <c r="H8300" s="13" t="s">
        <v>35</v>
      </c>
    </row>
    <row r="8301" spans="1:8" ht="14.4" x14ac:dyDescent="0.3">
      <c r="A8301" s="8">
        <v>2041925</v>
      </c>
      <c r="B8301" s="11">
        <v>44742</v>
      </c>
      <c r="C8301" s="13" t="s">
        <v>10265</v>
      </c>
      <c r="D8301" s="13" t="s">
        <v>10266</v>
      </c>
      <c r="E8301" s="8">
        <v>10000</v>
      </c>
      <c r="F8301" s="13" t="s">
        <v>70</v>
      </c>
      <c r="G8301" s="14">
        <v>44746</v>
      </c>
      <c r="H8301" s="13" t="s">
        <v>35</v>
      </c>
    </row>
    <row r="8302" spans="1:8" ht="14.4" x14ac:dyDescent="0.3">
      <c r="A8302" s="8">
        <v>2041926</v>
      </c>
      <c r="B8302" s="11">
        <v>44742</v>
      </c>
      <c r="C8302" s="13" t="s">
        <v>5851</v>
      </c>
      <c r="D8302" s="13" t="s">
        <v>10267</v>
      </c>
      <c r="E8302" s="8">
        <v>1826831.49</v>
      </c>
      <c r="F8302" s="13" t="s">
        <v>70</v>
      </c>
      <c r="G8302" s="14">
        <v>44746</v>
      </c>
      <c r="H8302" s="13" t="s">
        <v>35</v>
      </c>
    </row>
    <row r="8303" spans="1:8" ht="14.4" x14ac:dyDescent="0.3">
      <c r="A8303" s="8">
        <v>2041927</v>
      </c>
      <c r="B8303" s="11">
        <v>44742</v>
      </c>
      <c r="C8303" s="13" t="s">
        <v>10268</v>
      </c>
      <c r="D8303" s="13" t="s">
        <v>10269</v>
      </c>
      <c r="E8303" s="8">
        <v>27446.43</v>
      </c>
      <c r="F8303" s="13" t="s">
        <v>70</v>
      </c>
      <c r="G8303" s="14">
        <v>44749</v>
      </c>
      <c r="H8303" s="13" t="s">
        <v>35</v>
      </c>
    </row>
    <row r="8304" spans="1:8" ht="14.4" x14ac:dyDescent="0.3">
      <c r="A8304" s="8">
        <v>2041928</v>
      </c>
      <c r="B8304" s="11">
        <v>44742</v>
      </c>
      <c r="C8304" s="13" t="s">
        <v>361</v>
      </c>
      <c r="D8304" s="13" t="s">
        <v>10270</v>
      </c>
      <c r="E8304" s="8">
        <v>26585.72</v>
      </c>
      <c r="F8304" s="13" t="s">
        <v>70</v>
      </c>
      <c r="G8304" s="14">
        <v>44756</v>
      </c>
      <c r="H8304" s="13" t="s">
        <v>35</v>
      </c>
    </row>
    <row r="8305" spans="1:8" ht="14.4" x14ac:dyDescent="0.3">
      <c r="A8305" s="8">
        <v>2041929</v>
      </c>
      <c r="B8305" s="11">
        <v>44742</v>
      </c>
      <c r="C8305" s="13" t="s">
        <v>2842</v>
      </c>
      <c r="D8305" s="13" t="s">
        <v>10271</v>
      </c>
      <c r="E8305" s="8">
        <v>29547</v>
      </c>
      <c r="F8305" s="13" t="s">
        <v>70</v>
      </c>
      <c r="G8305" s="14">
        <v>44761</v>
      </c>
      <c r="H8305" s="13" t="s">
        <v>35</v>
      </c>
    </row>
    <row r="8306" spans="1:8" ht="14.4" x14ac:dyDescent="0.3">
      <c r="A8306" s="8">
        <v>2041930</v>
      </c>
      <c r="B8306" s="11">
        <v>44742</v>
      </c>
      <c r="C8306" s="13" t="s">
        <v>1946</v>
      </c>
      <c r="D8306" s="13" t="s">
        <v>10272</v>
      </c>
      <c r="E8306" s="8">
        <v>14433.04</v>
      </c>
      <c r="F8306" s="13" t="s">
        <v>70</v>
      </c>
      <c r="G8306" s="14">
        <v>44747</v>
      </c>
      <c r="H8306" s="13" t="s">
        <v>35</v>
      </c>
    </row>
    <row r="8307" spans="1:8" ht="14.4" x14ac:dyDescent="0.3">
      <c r="A8307" s="8">
        <v>2041931</v>
      </c>
      <c r="B8307" s="11">
        <v>44742</v>
      </c>
      <c r="C8307" s="13" t="s">
        <v>162</v>
      </c>
      <c r="D8307" s="13" t="s">
        <v>10273</v>
      </c>
      <c r="E8307" s="8">
        <v>1514.26</v>
      </c>
      <c r="F8307" s="13" t="s">
        <v>70</v>
      </c>
      <c r="G8307" s="14">
        <v>44749</v>
      </c>
      <c r="H8307" s="13" t="s">
        <v>35</v>
      </c>
    </row>
    <row r="8308" spans="1:8" ht="14.4" x14ac:dyDescent="0.3">
      <c r="A8308" s="8">
        <v>2041932</v>
      </c>
      <c r="B8308" s="11">
        <v>44742</v>
      </c>
      <c r="C8308" s="13" t="s">
        <v>162</v>
      </c>
      <c r="D8308" s="13" t="s">
        <v>10274</v>
      </c>
      <c r="E8308" s="8">
        <v>10024.67</v>
      </c>
      <c r="F8308" s="13" t="s">
        <v>70</v>
      </c>
      <c r="G8308" s="14">
        <v>44749</v>
      </c>
      <c r="H8308" s="13" t="s">
        <v>35</v>
      </c>
    </row>
    <row r="8309" spans="1:8" ht="14.4" x14ac:dyDescent="0.3">
      <c r="A8309" s="8">
        <v>2041933</v>
      </c>
      <c r="B8309" s="11">
        <v>44742</v>
      </c>
      <c r="C8309" s="13" t="s">
        <v>1569</v>
      </c>
      <c r="D8309" s="13" t="s">
        <v>10275</v>
      </c>
      <c r="E8309" s="8">
        <v>6100</v>
      </c>
      <c r="F8309" s="13" t="s">
        <v>70</v>
      </c>
      <c r="G8309" s="14">
        <v>44748</v>
      </c>
      <c r="H8309" s="13" t="s">
        <v>35</v>
      </c>
    </row>
    <row r="8310" spans="1:8" ht="14.4" x14ac:dyDescent="0.3">
      <c r="A8310" s="8">
        <v>2041934</v>
      </c>
      <c r="B8310" s="11">
        <v>44742</v>
      </c>
      <c r="C8310" s="13" t="s">
        <v>44</v>
      </c>
      <c r="D8310" s="13" t="s">
        <v>10276</v>
      </c>
      <c r="E8310" s="8">
        <v>12075</v>
      </c>
      <c r="F8310" s="13" t="s">
        <v>70</v>
      </c>
      <c r="G8310" s="14">
        <v>44771</v>
      </c>
      <c r="H8310" s="13" t="s">
        <v>35</v>
      </c>
    </row>
    <row r="8311" spans="1:8" ht="14.4" x14ac:dyDescent="0.3">
      <c r="A8311" s="8">
        <v>2041935</v>
      </c>
      <c r="B8311" s="11">
        <v>44742</v>
      </c>
      <c r="C8311" s="13" t="s">
        <v>1286</v>
      </c>
      <c r="D8311" s="13" t="s">
        <v>10277</v>
      </c>
      <c r="E8311" s="8">
        <v>11057.05</v>
      </c>
      <c r="F8311" s="13" t="s">
        <v>70</v>
      </c>
      <c r="G8311" s="14">
        <v>44746</v>
      </c>
      <c r="H8311" s="13" t="s">
        <v>35</v>
      </c>
    </row>
    <row r="8312" spans="1:8" ht="14.4" x14ac:dyDescent="0.3">
      <c r="A8312" s="8">
        <v>2041936</v>
      </c>
      <c r="B8312" s="11">
        <v>44742</v>
      </c>
      <c r="C8312" s="13" t="s">
        <v>1286</v>
      </c>
      <c r="D8312" s="13" t="s">
        <v>10278</v>
      </c>
      <c r="E8312" s="8">
        <v>5074.8100000000004</v>
      </c>
      <c r="F8312" s="13" t="s">
        <v>70</v>
      </c>
      <c r="G8312" s="14">
        <v>44746</v>
      </c>
      <c r="H8312" s="13" t="s">
        <v>35</v>
      </c>
    </row>
    <row r="8313" spans="1:8" ht="14.4" x14ac:dyDescent="0.3">
      <c r="A8313" s="8">
        <v>2041937</v>
      </c>
      <c r="B8313" s="11">
        <v>44742</v>
      </c>
      <c r="C8313" s="13" t="s">
        <v>1286</v>
      </c>
      <c r="D8313" s="13" t="s">
        <v>2751</v>
      </c>
      <c r="E8313" s="8">
        <v>12789.56</v>
      </c>
      <c r="F8313" s="13" t="s">
        <v>70</v>
      </c>
      <c r="G8313" s="14">
        <v>44746</v>
      </c>
      <c r="H8313" s="13" t="s">
        <v>35</v>
      </c>
    </row>
    <row r="8314" spans="1:8" ht="14.4" x14ac:dyDescent="0.3">
      <c r="A8314" s="8">
        <v>2041938</v>
      </c>
      <c r="B8314" s="11">
        <v>44742</v>
      </c>
      <c r="C8314" s="13" t="s">
        <v>10279</v>
      </c>
      <c r="D8314" s="13" t="s">
        <v>8755</v>
      </c>
      <c r="E8314" s="8">
        <v>414191.15</v>
      </c>
      <c r="F8314" s="13" t="s">
        <v>70</v>
      </c>
      <c r="G8314" s="14">
        <v>44743</v>
      </c>
      <c r="H8314" s="13" t="s">
        <v>35</v>
      </c>
    </row>
    <row r="8315" spans="1:8" ht="14.4" x14ac:dyDescent="0.3">
      <c r="A8315" s="8">
        <v>2041939</v>
      </c>
      <c r="B8315" s="11">
        <v>44742</v>
      </c>
      <c r="C8315" s="13" t="s">
        <v>1286</v>
      </c>
      <c r="D8315" s="13" t="s">
        <v>10280</v>
      </c>
      <c r="E8315" s="8">
        <v>7137.79</v>
      </c>
      <c r="F8315" s="13" t="s">
        <v>70</v>
      </c>
      <c r="G8315" s="14">
        <v>44746</v>
      </c>
      <c r="H8315" s="13" t="s">
        <v>35</v>
      </c>
    </row>
    <row r="8316" spans="1:8" ht="14.4" x14ac:dyDescent="0.3">
      <c r="A8316" s="8">
        <v>2041940</v>
      </c>
      <c r="B8316" s="11">
        <v>44742</v>
      </c>
      <c r="C8316" s="13" t="s">
        <v>1286</v>
      </c>
      <c r="D8316" s="13" t="s">
        <v>2874</v>
      </c>
      <c r="E8316" s="8">
        <v>11369.67</v>
      </c>
      <c r="F8316" s="13" t="s">
        <v>70</v>
      </c>
      <c r="G8316" s="14">
        <v>44746</v>
      </c>
      <c r="H8316" s="13" t="s">
        <v>35</v>
      </c>
    </row>
    <row r="8317" spans="1:8" ht="14.4" x14ac:dyDescent="0.3">
      <c r="A8317" s="8">
        <v>2041941</v>
      </c>
      <c r="B8317" s="11">
        <v>44742</v>
      </c>
      <c r="C8317" s="13" t="s">
        <v>1286</v>
      </c>
      <c r="D8317" s="13" t="s">
        <v>10281</v>
      </c>
      <c r="E8317" s="8">
        <v>271634.90000000002</v>
      </c>
      <c r="F8317" s="13" t="s">
        <v>70</v>
      </c>
      <c r="G8317" s="14">
        <v>44746</v>
      </c>
      <c r="H8317" s="13" t="s">
        <v>35</v>
      </c>
    </row>
    <row r="8318" spans="1:8" ht="14.4" x14ac:dyDescent="0.3">
      <c r="A8318" s="8">
        <v>2041943</v>
      </c>
      <c r="B8318" s="11">
        <v>44742</v>
      </c>
      <c r="C8318" s="13" t="s">
        <v>265</v>
      </c>
      <c r="D8318" s="13" t="s">
        <v>10282</v>
      </c>
      <c r="E8318" s="8">
        <v>39333</v>
      </c>
      <c r="F8318" s="13" t="s">
        <v>70</v>
      </c>
      <c r="G8318" s="14">
        <v>44743</v>
      </c>
      <c r="H8318" s="13" t="s">
        <v>35</v>
      </c>
    </row>
    <row r="8319" spans="1:8" ht="14.4" x14ac:dyDescent="0.3">
      <c r="A8319" s="8">
        <v>2041944</v>
      </c>
      <c r="B8319" s="11">
        <v>44742</v>
      </c>
      <c r="C8319" s="13" t="s">
        <v>265</v>
      </c>
      <c r="D8319" s="13" t="s">
        <v>10283</v>
      </c>
      <c r="E8319" s="8">
        <v>55798</v>
      </c>
      <c r="F8319" s="13" t="s">
        <v>70</v>
      </c>
      <c r="G8319" s="14">
        <v>44743</v>
      </c>
      <c r="H8319" s="13" t="s">
        <v>35</v>
      </c>
    </row>
    <row r="8320" spans="1:8" ht="14.4" x14ac:dyDescent="0.3">
      <c r="A8320" s="8">
        <v>2041945</v>
      </c>
      <c r="B8320" s="11">
        <v>44742</v>
      </c>
      <c r="C8320" s="13" t="s">
        <v>254</v>
      </c>
      <c r="D8320" s="13" t="s">
        <v>10284</v>
      </c>
      <c r="E8320" s="8">
        <v>19203.04</v>
      </c>
      <c r="F8320" s="13" t="s">
        <v>70</v>
      </c>
      <c r="G8320" s="14">
        <v>44746</v>
      </c>
      <c r="H8320" s="13" t="s">
        <v>35</v>
      </c>
    </row>
    <row r="8321" spans="1:8" ht="14.4" x14ac:dyDescent="0.3">
      <c r="A8321" s="8">
        <v>2041946</v>
      </c>
      <c r="B8321" s="11">
        <v>44742</v>
      </c>
      <c r="C8321" s="13" t="s">
        <v>10285</v>
      </c>
      <c r="D8321" s="13" t="s">
        <v>10286</v>
      </c>
      <c r="E8321" s="8">
        <v>290844.79999999999</v>
      </c>
      <c r="F8321" s="13" t="s">
        <v>70</v>
      </c>
      <c r="G8321" s="14">
        <v>44743</v>
      </c>
      <c r="H8321" s="13" t="s">
        <v>35</v>
      </c>
    </row>
    <row r="8322" spans="1:8" ht="14.4" x14ac:dyDescent="0.3">
      <c r="A8322" s="8">
        <v>2041947</v>
      </c>
      <c r="B8322" s="11">
        <v>44742</v>
      </c>
      <c r="C8322" s="13" t="s">
        <v>74</v>
      </c>
      <c r="D8322" s="13" t="s">
        <v>10287</v>
      </c>
      <c r="E8322" s="8">
        <v>7000</v>
      </c>
      <c r="F8322" s="13" t="s">
        <v>70</v>
      </c>
      <c r="G8322" s="14">
        <v>44761</v>
      </c>
      <c r="H8322" s="13" t="s">
        <v>35</v>
      </c>
    </row>
    <row r="8323" spans="1:8" ht="14.4" x14ac:dyDescent="0.3">
      <c r="A8323" s="8">
        <v>2041948</v>
      </c>
      <c r="B8323" s="11">
        <v>44742</v>
      </c>
      <c r="C8323" s="13" t="s">
        <v>506</v>
      </c>
      <c r="D8323" s="13" t="s">
        <v>10288</v>
      </c>
      <c r="E8323" s="8">
        <v>22000</v>
      </c>
      <c r="F8323" s="13" t="s">
        <v>70</v>
      </c>
      <c r="G8323" s="14">
        <v>44761</v>
      </c>
      <c r="H8323" s="13" t="s">
        <v>35</v>
      </c>
    </row>
    <row r="8324" spans="1:8" ht="14.4" x14ac:dyDescent="0.3">
      <c r="A8324" s="8">
        <v>2041949</v>
      </c>
      <c r="B8324" s="11">
        <v>44742</v>
      </c>
      <c r="C8324" s="13" t="s">
        <v>10289</v>
      </c>
      <c r="D8324" s="13" t="s">
        <v>10290</v>
      </c>
      <c r="E8324" s="8">
        <v>30000</v>
      </c>
      <c r="F8324" s="13" t="s">
        <v>70</v>
      </c>
      <c r="G8324" s="14">
        <v>44746</v>
      </c>
      <c r="H8324" s="13" t="s">
        <v>35</v>
      </c>
    </row>
    <row r="8325" spans="1:8" ht="14.4" x14ac:dyDescent="0.3">
      <c r="A8325" s="8">
        <v>2041950</v>
      </c>
      <c r="B8325" s="11">
        <v>44742</v>
      </c>
      <c r="C8325" s="13" t="s">
        <v>10291</v>
      </c>
      <c r="D8325" s="13" t="s">
        <v>10292</v>
      </c>
      <c r="E8325" s="8">
        <v>6000</v>
      </c>
      <c r="F8325" s="13" t="s">
        <v>70</v>
      </c>
      <c r="G8325" s="14">
        <v>44747</v>
      </c>
      <c r="H8325" s="13" t="s">
        <v>35</v>
      </c>
    </row>
    <row r="8326" spans="1:8" ht="14.4" x14ac:dyDescent="0.3">
      <c r="A8326" s="8">
        <v>2041951</v>
      </c>
      <c r="B8326" s="11">
        <v>44742</v>
      </c>
      <c r="C8326" s="13" t="s">
        <v>10293</v>
      </c>
      <c r="D8326" s="13" t="s">
        <v>10294</v>
      </c>
      <c r="E8326" s="8">
        <v>10000</v>
      </c>
      <c r="F8326" s="13" t="s">
        <v>70</v>
      </c>
      <c r="G8326" s="14">
        <v>44746</v>
      </c>
      <c r="H8326" s="13" t="s">
        <v>35</v>
      </c>
    </row>
    <row r="8327" spans="1:8" ht="14.4" x14ac:dyDescent="0.3">
      <c r="A8327" s="8">
        <v>2041952</v>
      </c>
      <c r="B8327" s="11">
        <v>44742</v>
      </c>
      <c r="C8327" s="13" t="s">
        <v>1193</v>
      </c>
      <c r="D8327" s="13" t="s">
        <v>10295</v>
      </c>
      <c r="E8327" s="8">
        <v>15000</v>
      </c>
      <c r="F8327" s="13" t="s">
        <v>70</v>
      </c>
      <c r="G8327" s="14">
        <v>44761</v>
      </c>
      <c r="H8327" s="13" t="s">
        <v>35</v>
      </c>
    </row>
    <row r="8328" spans="1:8" ht="14.4" x14ac:dyDescent="0.3">
      <c r="A8328" s="8">
        <v>2041953</v>
      </c>
      <c r="B8328" s="11">
        <v>44742</v>
      </c>
      <c r="C8328" s="13" t="s">
        <v>74</v>
      </c>
      <c r="D8328" s="13" t="s">
        <v>10296</v>
      </c>
      <c r="E8328" s="8">
        <v>20000</v>
      </c>
      <c r="F8328" s="13" t="s">
        <v>70</v>
      </c>
      <c r="G8328" s="14">
        <v>44761</v>
      </c>
      <c r="H8328" s="13" t="s">
        <v>35</v>
      </c>
    </row>
    <row r="8329" spans="1:8" ht="14.4" x14ac:dyDescent="0.3">
      <c r="A8329" s="8">
        <v>2041954</v>
      </c>
      <c r="B8329" s="11">
        <v>44742</v>
      </c>
      <c r="C8329" s="13" t="s">
        <v>162</v>
      </c>
      <c r="D8329" s="13" t="s">
        <v>10297</v>
      </c>
      <c r="E8329" s="8">
        <v>14470.68</v>
      </c>
      <c r="F8329" s="13" t="s">
        <v>70</v>
      </c>
      <c r="G8329" s="14">
        <v>44749</v>
      </c>
      <c r="H8329" s="13" t="s">
        <v>35</v>
      </c>
    </row>
    <row r="8330" spans="1:8" ht="14.4" x14ac:dyDescent="0.3">
      <c r="A8330" s="8">
        <v>2041955</v>
      </c>
      <c r="B8330" s="11">
        <v>44742</v>
      </c>
      <c r="C8330" s="13" t="s">
        <v>162</v>
      </c>
      <c r="D8330" s="13" t="s">
        <v>10298</v>
      </c>
      <c r="E8330" s="8">
        <v>19726.52</v>
      </c>
      <c r="F8330" s="13" t="s">
        <v>70</v>
      </c>
      <c r="G8330" s="14">
        <v>44749</v>
      </c>
      <c r="H8330" s="13" t="s">
        <v>35</v>
      </c>
    </row>
    <row r="8331" spans="1:8" ht="14.4" x14ac:dyDescent="0.3">
      <c r="A8331" s="8">
        <v>2041956</v>
      </c>
      <c r="B8331" s="11">
        <v>44742</v>
      </c>
      <c r="C8331" s="13" t="s">
        <v>162</v>
      </c>
      <c r="D8331" s="13" t="s">
        <v>10299</v>
      </c>
      <c r="E8331" s="8">
        <v>7342.34</v>
      </c>
      <c r="F8331" s="13" t="s">
        <v>70</v>
      </c>
      <c r="G8331" s="14">
        <v>44749</v>
      </c>
      <c r="H8331" s="13" t="s">
        <v>35</v>
      </c>
    </row>
    <row r="8332" spans="1:8" ht="14.4" x14ac:dyDescent="0.3">
      <c r="A8332" s="8">
        <v>2041957</v>
      </c>
      <c r="B8332" s="11">
        <v>44742</v>
      </c>
      <c r="C8332" s="13" t="s">
        <v>1380</v>
      </c>
      <c r="D8332" s="13" t="s">
        <v>10300</v>
      </c>
      <c r="E8332" s="8">
        <v>653.88</v>
      </c>
      <c r="F8332" s="13" t="s">
        <v>70</v>
      </c>
      <c r="G8332" s="14">
        <v>44783</v>
      </c>
      <c r="H8332" s="13" t="s">
        <v>35</v>
      </c>
    </row>
    <row r="8333" spans="1:8" ht="14.4" x14ac:dyDescent="0.3">
      <c r="A8333" s="8">
        <v>2041958</v>
      </c>
      <c r="B8333" s="11">
        <v>44742</v>
      </c>
      <c r="C8333" s="13" t="s">
        <v>162</v>
      </c>
      <c r="D8333" s="13" t="s">
        <v>10301</v>
      </c>
      <c r="E8333" s="8">
        <v>5696.4</v>
      </c>
      <c r="F8333" s="13" t="s">
        <v>70</v>
      </c>
      <c r="G8333" s="14">
        <v>44747</v>
      </c>
      <c r="H8333" s="13" t="s">
        <v>35</v>
      </c>
    </row>
    <row r="8334" spans="1:8" ht="14.4" x14ac:dyDescent="0.3">
      <c r="A8334" s="8">
        <v>2041959</v>
      </c>
      <c r="B8334" s="11">
        <v>44742</v>
      </c>
      <c r="C8334" s="13" t="s">
        <v>10302</v>
      </c>
      <c r="D8334" s="13" t="s">
        <v>10303</v>
      </c>
      <c r="E8334" s="8">
        <v>1572480</v>
      </c>
      <c r="F8334" s="13" t="s">
        <v>70</v>
      </c>
      <c r="G8334" s="14">
        <v>44803</v>
      </c>
      <c r="H8334" s="13" t="s">
        <v>35</v>
      </c>
    </row>
    <row r="8335" spans="1:8" ht="14.4" x14ac:dyDescent="0.3">
      <c r="A8335" s="8">
        <v>2041960</v>
      </c>
      <c r="B8335" s="11">
        <v>44742</v>
      </c>
      <c r="C8335" s="13" t="s">
        <v>10304</v>
      </c>
      <c r="D8335" s="13" t="s">
        <v>10305</v>
      </c>
      <c r="E8335" s="8">
        <v>20000</v>
      </c>
      <c r="F8335" s="13" t="s">
        <v>70</v>
      </c>
      <c r="G8335" s="14">
        <v>44749</v>
      </c>
      <c r="H8335" s="13" t="s">
        <v>35</v>
      </c>
    </row>
    <row r="8336" spans="1:8" ht="14.4" x14ac:dyDescent="0.3">
      <c r="A8336" s="8">
        <v>2041961</v>
      </c>
      <c r="B8336" s="11">
        <v>44742</v>
      </c>
      <c r="C8336" s="13" t="s">
        <v>10306</v>
      </c>
      <c r="D8336" s="13" t="s">
        <v>10307</v>
      </c>
      <c r="E8336" s="8">
        <v>20000</v>
      </c>
      <c r="F8336" s="13" t="s">
        <v>70</v>
      </c>
      <c r="G8336" s="14">
        <v>44748</v>
      </c>
      <c r="H8336" s="13" t="s">
        <v>35</v>
      </c>
    </row>
    <row r="8337" spans="1:8" ht="14.4" x14ac:dyDescent="0.3">
      <c r="A8337" s="8">
        <v>2041962</v>
      </c>
      <c r="B8337" s="11">
        <v>44742</v>
      </c>
      <c r="C8337" s="13" t="s">
        <v>10308</v>
      </c>
      <c r="D8337" s="13" t="s">
        <v>47</v>
      </c>
      <c r="E8337" s="8">
        <v>15000</v>
      </c>
      <c r="F8337" s="13" t="s">
        <v>70</v>
      </c>
      <c r="G8337" s="14">
        <v>44749</v>
      </c>
      <c r="H8337" s="13" t="s">
        <v>35</v>
      </c>
    </row>
    <row r="8338" spans="1:8" ht="14.4" x14ac:dyDescent="0.3">
      <c r="A8338" s="8">
        <v>2041963</v>
      </c>
      <c r="B8338" s="11">
        <v>44742</v>
      </c>
      <c r="C8338" s="13" t="s">
        <v>10309</v>
      </c>
      <c r="D8338" s="13" t="s">
        <v>10310</v>
      </c>
      <c r="E8338" s="8">
        <v>15000</v>
      </c>
      <c r="F8338" s="13" t="s">
        <v>70</v>
      </c>
      <c r="G8338" s="14">
        <v>44749</v>
      </c>
      <c r="H8338" s="13" t="s">
        <v>35</v>
      </c>
    </row>
    <row r="8339" spans="1:8" ht="14.4" x14ac:dyDescent="0.3">
      <c r="A8339" s="8">
        <v>2041964</v>
      </c>
      <c r="B8339" s="11">
        <v>44742</v>
      </c>
      <c r="C8339" s="13" t="s">
        <v>10311</v>
      </c>
      <c r="D8339" s="13" t="s">
        <v>10312</v>
      </c>
      <c r="E8339" s="8">
        <v>20000</v>
      </c>
      <c r="F8339" s="13" t="s">
        <v>70</v>
      </c>
      <c r="G8339" s="14">
        <v>44749</v>
      </c>
      <c r="H8339" s="13" t="s">
        <v>35</v>
      </c>
    </row>
    <row r="8340" spans="1:8" ht="14.4" x14ac:dyDescent="0.3">
      <c r="A8340" s="8">
        <v>2041965</v>
      </c>
      <c r="B8340" s="11">
        <v>44742</v>
      </c>
      <c r="C8340" s="13" t="s">
        <v>10313</v>
      </c>
      <c r="D8340" s="13" t="s">
        <v>10314</v>
      </c>
      <c r="E8340" s="8">
        <v>13000</v>
      </c>
      <c r="F8340" s="13" t="s">
        <v>70</v>
      </c>
      <c r="G8340" s="14">
        <v>44748</v>
      </c>
      <c r="H8340" s="13" t="s">
        <v>35</v>
      </c>
    </row>
    <row r="8341" spans="1:8" ht="14.4" x14ac:dyDescent="0.3">
      <c r="A8341" s="8">
        <v>2041966</v>
      </c>
      <c r="B8341" s="11">
        <v>44742</v>
      </c>
      <c r="C8341" s="13" t="s">
        <v>10315</v>
      </c>
      <c r="D8341" s="13" t="s">
        <v>10316</v>
      </c>
      <c r="E8341" s="8">
        <v>30000</v>
      </c>
      <c r="F8341" s="13" t="s">
        <v>70</v>
      </c>
      <c r="G8341" s="14">
        <v>44749</v>
      </c>
      <c r="H8341" s="13" t="s">
        <v>35</v>
      </c>
    </row>
    <row r="8342" spans="1:8" ht="14.4" x14ac:dyDescent="0.3">
      <c r="A8342" s="8">
        <v>2041967</v>
      </c>
      <c r="B8342" s="11">
        <v>44742</v>
      </c>
      <c r="C8342" s="13" t="s">
        <v>1369</v>
      </c>
      <c r="D8342" s="13" t="s">
        <v>10317</v>
      </c>
      <c r="E8342" s="8">
        <v>36000</v>
      </c>
      <c r="F8342" s="13" t="s">
        <v>70</v>
      </c>
      <c r="G8342" s="14">
        <v>44750</v>
      </c>
      <c r="H8342" s="13" t="s">
        <v>35</v>
      </c>
    </row>
    <row r="8343" spans="1:8" ht="14.4" x14ac:dyDescent="0.3">
      <c r="A8343" s="8">
        <v>2041968</v>
      </c>
      <c r="B8343" s="11">
        <v>44742</v>
      </c>
      <c r="C8343" s="13" t="s">
        <v>10318</v>
      </c>
      <c r="D8343" s="13" t="s">
        <v>47</v>
      </c>
      <c r="E8343" s="8">
        <v>14000</v>
      </c>
      <c r="F8343" s="13" t="s">
        <v>70</v>
      </c>
      <c r="G8343" s="14">
        <v>44749</v>
      </c>
      <c r="H8343" s="13" t="s">
        <v>35</v>
      </c>
    </row>
    <row r="8344" spans="1:8" ht="14.4" x14ac:dyDescent="0.3">
      <c r="A8344" s="8">
        <v>2041969</v>
      </c>
      <c r="B8344" s="11">
        <v>44742</v>
      </c>
      <c r="C8344" s="13" t="s">
        <v>893</v>
      </c>
      <c r="D8344" s="13" t="s">
        <v>10319</v>
      </c>
      <c r="E8344" s="8">
        <v>322000</v>
      </c>
      <c r="F8344" s="13" t="s">
        <v>70</v>
      </c>
      <c r="G8344" s="14">
        <v>44761</v>
      </c>
      <c r="H8344" s="13" t="s">
        <v>35</v>
      </c>
    </row>
    <row r="8345" spans="1:8" ht="14.4" x14ac:dyDescent="0.3">
      <c r="A8345" s="8">
        <v>2041970</v>
      </c>
      <c r="B8345" s="11">
        <v>44742</v>
      </c>
      <c r="C8345" s="13" t="s">
        <v>10320</v>
      </c>
      <c r="D8345" s="13" t="s">
        <v>10321</v>
      </c>
      <c r="E8345" s="8">
        <v>15000</v>
      </c>
      <c r="F8345" s="13" t="s">
        <v>70</v>
      </c>
      <c r="G8345" s="14">
        <v>44747</v>
      </c>
      <c r="H8345" s="13" t="s">
        <v>35</v>
      </c>
    </row>
    <row r="8346" spans="1:8" ht="14.4" x14ac:dyDescent="0.3">
      <c r="A8346" s="8">
        <v>2041971</v>
      </c>
      <c r="B8346" s="11">
        <v>44742</v>
      </c>
      <c r="C8346" s="13" t="s">
        <v>6186</v>
      </c>
      <c r="D8346" s="13" t="s">
        <v>10322</v>
      </c>
      <c r="E8346" s="8">
        <v>1820391.46</v>
      </c>
      <c r="F8346" s="13" t="s">
        <v>70</v>
      </c>
      <c r="G8346" s="14">
        <v>44743</v>
      </c>
      <c r="H8346" s="13" t="s">
        <v>35</v>
      </c>
    </row>
    <row r="8347" spans="1:8" ht="14.4" x14ac:dyDescent="0.3">
      <c r="A8347" s="8">
        <v>2041972</v>
      </c>
      <c r="B8347" s="11">
        <v>44742</v>
      </c>
      <c r="C8347" s="13" t="s">
        <v>10323</v>
      </c>
      <c r="D8347" s="13" t="s">
        <v>10324</v>
      </c>
      <c r="E8347" s="8">
        <v>30000</v>
      </c>
      <c r="F8347" s="13" t="s">
        <v>70</v>
      </c>
      <c r="G8347" s="14">
        <v>44754</v>
      </c>
      <c r="H8347" s="13" t="s">
        <v>35</v>
      </c>
    </row>
    <row r="8348" spans="1:8" ht="14.4" x14ac:dyDescent="0.3">
      <c r="A8348" s="8">
        <v>2041974</v>
      </c>
      <c r="B8348" s="11">
        <v>44742</v>
      </c>
      <c r="C8348" s="13" t="s">
        <v>7637</v>
      </c>
      <c r="D8348" s="13" t="s">
        <v>10325</v>
      </c>
      <c r="E8348" s="8">
        <v>410717.4</v>
      </c>
      <c r="F8348" s="13" t="s">
        <v>70</v>
      </c>
      <c r="G8348" s="14">
        <v>44747</v>
      </c>
      <c r="H8348" s="13" t="s">
        <v>35</v>
      </c>
    </row>
    <row r="8349" spans="1:8" ht="14.4" x14ac:dyDescent="0.3">
      <c r="A8349" s="8">
        <v>2041975</v>
      </c>
      <c r="B8349" s="11">
        <v>44742</v>
      </c>
      <c r="C8349" s="13" t="s">
        <v>10326</v>
      </c>
      <c r="D8349" s="13" t="s">
        <v>10327</v>
      </c>
      <c r="E8349" s="8">
        <v>133441.07</v>
      </c>
      <c r="F8349" s="13" t="s">
        <v>70</v>
      </c>
      <c r="G8349" s="14">
        <v>44753</v>
      </c>
      <c r="H8349" s="13" t="s">
        <v>35</v>
      </c>
    </row>
    <row r="8350" spans="1:8" ht="14.4" x14ac:dyDescent="0.3">
      <c r="A8350" s="8">
        <v>2041976</v>
      </c>
      <c r="B8350" s="11">
        <v>44742</v>
      </c>
      <c r="C8350" s="13" t="s">
        <v>9964</v>
      </c>
      <c r="D8350" s="13" t="s">
        <v>10328</v>
      </c>
      <c r="E8350" s="8">
        <v>738108.92</v>
      </c>
      <c r="F8350" s="13" t="s">
        <v>70</v>
      </c>
      <c r="G8350" s="14">
        <v>44747</v>
      </c>
      <c r="H8350" s="13" t="s">
        <v>35</v>
      </c>
    </row>
    <row r="8351" spans="1:8" ht="14.4" x14ac:dyDescent="0.3">
      <c r="A8351" s="8">
        <v>2041977</v>
      </c>
      <c r="B8351" s="11">
        <v>44748</v>
      </c>
      <c r="C8351" s="13" t="s">
        <v>10329</v>
      </c>
      <c r="D8351" s="13" t="s">
        <v>10330</v>
      </c>
      <c r="E8351" s="8">
        <v>9365586.3800000008</v>
      </c>
      <c r="F8351" s="13" t="s">
        <v>70</v>
      </c>
      <c r="G8351" s="14">
        <v>44749</v>
      </c>
      <c r="H8351" s="13" t="s">
        <v>35</v>
      </c>
    </row>
    <row r="8352" spans="1:8" ht="14.4" x14ac:dyDescent="0.3">
      <c r="A8352" s="8">
        <v>2041978</v>
      </c>
      <c r="B8352" s="11">
        <v>44748</v>
      </c>
      <c r="C8352" s="13" t="s">
        <v>7444</v>
      </c>
      <c r="D8352" s="13" t="s">
        <v>10331</v>
      </c>
      <c r="E8352" s="8">
        <v>2354.3200000000002</v>
      </c>
      <c r="F8352" s="13" t="s">
        <v>70</v>
      </c>
      <c r="G8352" s="14">
        <v>44749</v>
      </c>
      <c r="H8352" s="13" t="s">
        <v>35</v>
      </c>
    </row>
    <row r="8353" spans="1:8" ht="14.4" x14ac:dyDescent="0.3">
      <c r="A8353" s="8">
        <v>2041979</v>
      </c>
      <c r="B8353" s="11">
        <v>44750</v>
      </c>
      <c r="C8353" s="13" t="s">
        <v>9359</v>
      </c>
      <c r="D8353" s="13" t="s">
        <v>10332</v>
      </c>
      <c r="E8353" s="8">
        <v>1820177.88</v>
      </c>
      <c r="F8353" s="13" t="s">
        <v>70</v>
      </c>
      <c r="G8353" s="14">
        <v>44754</v>
      </c>
      <c r="H8353" s="13" t="s">
        <v>35</v>
      </c>
    </row>
    <row r="8354" spans="1:8" ht="14.4" x14ac:dyDescent="0.3">
      <c r="A8354" s="8">
        <v>2041980</v>
      </c>
      <c r="B8354" s="11">
        <v>44750</v>
      </c>
      <c r="C8354" s="13" t="s">
        <v>4591</v>
      </c>
      <c r="D8354" s="13" t="s">
        <v>10333</v>
      </c>
      <c r="E8354" s="8">
        <v>6149699.04</v>
      </c>
      <c r="F8354" s="13" t="s">
        <v>70</v>
      </c>
      <c r="G8354" s="14">
        <v>44753</v>
      </c>
      <c r="H8354" s="13" t="s">
        <v>35</v>
      </c>
    </row>
    <row r="8355" spans="1:8" ht="14.4" x14ac:dyDescent="0.3">
      <c r="A8355" s="8">
        <v>2041981</v>
      </c>
      <c r="B8355" s="11">
        <v>44750</v>
      </c>
      <c r="C8355" s="13" t="s">
        <v>5876</v>
      </c>
      <c r="D8355" s="13" t="s">
        <v>10334</v>
      </c>
      <c r="E8355" s="8">
        <v>1822973.41</v>
      </c>
      <c r="F8355" s="13" t="s">
        <v>70</v>
      </c>
      <c r="G8355" s="14">
        <v>44753</v>
      </c>
      <c r="H8355" s="13" t="s">
        <v>35</v>
      </c>
    </row>
    <row r="8356" spans="1:8" ht="14.4" x14ac:dyDescent="0.3">
      <c r="A8356" s="8">
        <v>2041982</v>
      </c>
      <c r="B8356" s="11">
        <v>44750</v>
      </c>
      <c r="C8356" s="13" t="s">
        <v>9357</v>
      </c>
      <c r="D8356" s="13" t="s">
        <v>10335</v>
      </c>
      <c r="E8356" s="8">
        <v>1817834.66</v>
      </c>
      <c r="F8356" s="13" t="s">
        <v>70</v>
      </c>
      <c r="G8356" s="14">
        <v>44753</v>
      </c>
      <c r="H8356" s="13" t="s">
        <v>35</v>
      </c>
    </row>
    <row r="8357" spans="1:8" ht="14.4" x14ac:dyDescent="0.3">
      <c r="A8357" s="8">
        <v>2041983</v>
      </c>
      <c r="B8357" s="11">
        <v>44750</v>
      </c>
      <c r="C8357" s="13" t="s">
        <v>9339</v>
      </c>
      <c r="D8357" s="13" t="s">
        <v>10336</v>
      </c>
      <c r="E8357" s="8">
        <v>1822029.28</v>
      </c>
      <c r="F8357" s="13" t="s">
        <v>70</v>
      </c>
      <c r="G8357" s="14">
        <v>44756</v>
      </c>
      <c r="H8357" s="13" t="s">
        <v>35</v>
      </c>
    </row>
    <row r="8358" spans="1:8" ht="14.4" x14ac:dyDescent="0.3">
      <c r="A8358" s="8">
        <v>2041984</v>
      </c>
      <c r="B8358" s="11">
        <v>44750</v>
      </c>
      <c r="C8358" s="13" t="s">
        <v>5952</v>
      </c>
      <c r="D8358" s="13" t="s">
        <v>10337</v>
      </c>
      <c r="E8358" s="8">
        <v>1822534.45</v>
      </c>
      <c r="F8358" s="13" t="s">
        <v>70</v>
      </c>
      <c r="G8358" s="14">
        <v>44753</v>
      </c>
      <c r="H8358" s="13" t="s">
        <v>35</v>
      </c>
    </row>
    <row r="8359" spans="1:8" ht="14.4" x14ac:dyDescent="0.3">
      <c r="A8359" s="8">
        <v>2041985</v>
      </c>
      <c r="B8359" s="11">
        <v>44750</v>
      </c>
      <c r="C8359" s="13" t="s">
        <v>5920</v>
      </c>
      <c r="D8359" s="13" t="s">
        <v>10338</v>
      </c>
      <c r="E8359" s="8">
        <v>2666472.4300000002</v>
      </c>
      <c r="F8359" s="13" t="s">
        <v>70</v>
      </c>
      <c r="G8359" s="14">
        <v>44753</v>
      </c>
      <c r="H8359" s="13" t="s">
        <v>35</v>
      </c>
    </row>
    <row r="8360" spans="1:8" ht="14.4" x14ac:dyDescent="0.3">
      <c r="A8360" s="8">
        <v>2041986</v>
      </c>
      <c r="B8360" s="11">
        <v>44757</v>
      </c>
      <c r="C8360" s="13" t="s">
        <v>10339</v>
      </c>
      <c r="D8360" s="13" t="s">
        <v>10340</v>
      </c>
      <c r="E8360" s="8">
        <v>323067.84999999998</v>
      </c>
      <c r="F8360" s="13" t="s">
        <v>70</v>
      </c>
      <c r="G8360" s="14">
        <v>44761</v>
      </c>
      <c r="H8360" s="13" t="s">
        <v>35</v>
      </c>
    </row>
    <row r="8361" spans="1:8" ht="14.4" x14ac:dyDescent="0.3">
      <c r="A8361" s="8">
        <v>2041987</v>
      </c>
      <c r="B8361" s="11">
        <v>44757</v>
      </c>
      <c r="C8361" s="13" t="s">
        <v>10341</v>
      </c>
      <c r="D8361" s="13" t="s">
        <v>10342</v>
      </c>
      <c r="E8361" s="8">
        <v>303803.57</v>
      </c>
      <c r="F8361" s="13" t="s">
        <v>70</v>
      </c>
      <c r="G8361" s="14">
        <v>44762</v>
      </c>
      <c r="H8361" s="13" t="s">
        <v>35</v>
      </c>
    </row>
    <row r="8362" spans="1:8" ht="14.4" x14ac:dyDescent="0.3">
      <c r="A8362" s="8">
        <v>2041988</v>
      </c>
      <c r="B8362" s="11">
        <v>44757</v>
      </c>
      <c r="C8362" s="13" t="s">
        <v>10343</v>
      </c>
      <c r="D8362" s="13" t="s">
        <v>10344</v>
      </c>
      <c r="E8362" s="8">
        <v>3325922.41</v>
      </c>
      <c r="F8362" s="13" t="s">
        <v>70</v>
      </c>
      <c r="G8362" s="14">
        <v>44761</v>
      </c>
      <c r="H8362" s="13" t="s">
        <v>35</v>
      </c>
    </row>
    <row r="8363" spans="1:8" ht="14.4" x14ac:dyDescent="0.3">
      <c r="A8363" s="8">
        <v>2041989</v>
      </c>
      <c r="B8363" s="11">
        <v>44757</v>
      </c>
      <c r="C8363" s="13" t="s">
        <v>10345</v>
      </c>
      <c r="D8363" s="13"/>
      <c r="E8363" s="8">
        <v>14586661.460000001</v>
      </c>
      <c r="F8363" s="13" t="s">
        <v>70</v>
      </c>
      <c r="G8363" s="14">
        <v>44760</v>
      </c>
      <c r="H8363" s="13" t="s">
        <v>35</v>
      </c>
    </row>
    <row r="8364" spans="1:8" ht="14.4" x14ac:dyDescent="0.3">
      <c r="A8364" s="8">
        <v>2041990</v>
      </c>
      <c r="B8364" s="11">
        <v>44760</v>
      </c>
      <c r="C8364" s="13" t="s">
        <v>1581</v>
      </c>
      <c r="D8364" s="13" t="s">
        <v>10346</v>
      </c>
      <c r="E8364" s="8">
        <v>511071.43</v>
      </c>
      <c r="F8364" s="13" t="s">
        <v>70</v>
      </c>
      <c r="G8364" s="14">
        <v>44762</v>
      </c>
      <c r="H8364" s="13" t="s">
        <v>35</v>
      </c>
    </row>
    <row r="8365" spans="1:8" ht="14.4" x14ac:dyDescent="0.3">
      <c r="A8365" s="8">
        <v>2041991</v>
      </c>
      <c r="B8365" s="11">
        <v>44760</v>
      </c>
      <c r="C8365" s="13" t="s">
        <v>1581</v>
      </c>
      <c r="D8365" s="13" t="s">
        <v>10347</v>
      </c>
      <c r="E8365" s="8">
        <v>83333.039999999994</v>
      </c>
      <c r="F8365" s="13" t="s">
        <v>70</v>
      </c>
      <c r="G8365" s="14">
        <v>44762</v>
      </c>
      <c r="H8365" s="13" t="s">
        <v>35</v>
      </c>
    </row>
    <row r="8366" spans="1:8" ht="14.4" x14ac:dyDescent="0.3">
      <c r="A8366" s="8">
        <v>2041992</v>
      </c>
      <c r="B8366" s="11">
        <v>44761</v>
      </c>
      <c r="C8366" s="13" t="s">
        <v>6186</v>
      </c>
      <c r="D8366" s="13" t="s">
        <v>10348</v>
      </c>
      <c r="E8366" s="8">
        <v>2049392.82</v>
      </c>
      <c r="F8366" s="13" t="s">
        <v>70</v>
      </c>
      <c r="G8366" s="14">
        <v>44763</v>
      </c>
      <c r="H8366" s="13" t="s">
        <v>35</v>
      </c>
    </row>
    <row r="8367" spans="1:8" ht="14.4" x14ac:dyDescent="0.3">
      <c r="A8367" s="8">
        <v>2041993</v>
      </c>
      <c r="B8367" s="11">
        <v>44762</v>
      </c>
      <c r="C8367" s="13" t="s">
        <v>5819</v>
      </c>
      <c r="D8367" s="13" t="s">
        <v>10349</v>
      </c>
      <c r="E8367" s="8">
        <v>1822589.61</v>
      </c>
      <c r="F8367" s="13" t="s">
        <v>70</v>
      </c>
      <c r="G8367" s="14">
        <v>44763</v>
      </c>
      <c r="H8367" s="13" t="s">
        <v>35</v>
      </c>
    </row>
    <row r="8368" spans="1:8" ht="14.4" x14ac:dyDescent="0.3">
      <c r="A8368" s="8">
        <v>2041994</v>
      </c>
      <c r="B8368" s="11">
        <v>44762</v>
      </c>
      <c r="C8368" s="13" t="s">
        <v>5797</v>
      </c>
      <c r="D8368" s="13" t="s">
        <v>10350</v>
      </c>
      <c r="E8368" s="8">
        <v>486472.3</v>
      </c>
      <c r="F8368" s="13" t="s">
        <v>70</v>
      </c>
      <c r="G8368" s="14">
        <v>44769</v>
      </c>
      <c r="H8368" s="13" t="s">
        <v>35</v>
      </c>
    </row>
    <row r="8369" spans="1:8" ht="14.4" x14ac:dyDescent="0.3">
      <c r="A8369" s="8">
        <v>2041996</v>
      </c>
      <c r="B8369" s="11">
        <v>44767</v>
      </c>
      <c r="C8369" s="13" t="s">
        <v>7101</v>
      </c>
      <c r="D8369" s="13" t="s">
        <v>10351</v>
      </c>
      <c r="E8369" s="8">
        <v>1407462.78</v>
      </c>
      <c r="F8369" s="13" t="s">
        <v>70</v>
      </c>
      <c r="G8369" s="14">
        <v>44768</v>
      </c>
      <c r="H8369" s="13" t="s">
        <v>35</v>
      </c>
    </row>
    <row r="8370" spans="1:8" ht="14.4" x14ac:dyDescent="0.3">
      <c r="A8370" s="8">
        <v>2041998</v>
      </c>
      <c r="B8370" s="11">
        <v>44768</v>
      </c>
      <c r="C8370" s="13" t="s">
        <v>5769</v>
      </c>
      <c r="D8370" s="13" t="s">
        <v>10352</v>
      </c>
      <c r="E8370" s="8">
        <v>1821616.44</v>
      </c>
      <c r="F8370" s="13" t="s">
        <v>70</v>
      </c>
      <c r="G8370" s="14">
        <v>44770</v>
      </c>
      <c r="H8370" s="13" t="s">
        <v>35</v>
      </c>
    </row>
    <row r="8371" spans="1:8" ht="14.4" x14ac:dyDescent="0.3">
      <c r="A8371" s="8">
        <v>2041999</v>
      </c>
      <c r="B8371" s="11">
        <v>44768</v>
      </c>
      <c r="C8371" s="13" t="s">
        <v>52</v>
      </c>
      <c r="D8371" s="13" t="s">
        <v>10353</v>
      </c>
      <c r="E8371" s="8">
        <v>418115.35</v>
      </c>
      <c r="F8371" s="13" t="s">
        <v>70</v>
      </c>
      <c r="G8371" s="14">
        <v>44769</v>
      </c>
      <c r="H8371" s="13" t="s">
        <v>35</v>
      </c>
    </row>
    <row r="8372" spans="1:8" ht="14.4" x14ac:dyDescent="0.3">
      <c r="A8372" s="8">
        <v>2042000</v>
      </c>
      <c r="B8372" s="11">
        <v>44774</v>
      </c>
      <c r="C8372" s="13" t="s">
        <v>10354</v>
      </c>
      <c r="D8372" s="13" t="s">
        <v>10355</v>
      </c>
      <c r="E8372" s="8">
        <v>1548784.83</v>
      </c>
      <c r="F8372" s="13" t="s">
        <v>70</v>
      </c>
      <c r="G8372" s="14">
        <v>44776</v>
      </c>
      <c r="H8372" s="13" t="s">
        <v>35</v>
      </c>
    </row>
    <row r="8373" spans="1:8" ht="14.4" x14ac:dyDescent="0.3">
      <c r="A8373" s="8">
        <v>2042002</v>
      </c>
      <c r="B8373" s="11">
        <v>44774</v>
      </c>
      <c r="C8373" s="13" t="s">
        <v>10356</v>
      </c>
      <c r="D8373" s="13"/>
      <c r="E8373" s="8">
        <v>10500</v>
      </c>
      <c r="F8373" s="13" t="s">
        <v>70</v>
      </c>
      <c r="G8373" s="14">
        <v>44776</v>
      </c>
      <c r="H8373" s="13" t="s">
        <v>35</v>
      </c>
    </row>
    <row r="8374" spans="1:8" ht="14.4" x14ac:dyDescent="0.3">
      <c r="A8374" s="8">
        <v>2042003</v>
      </c>
      <c r="B8374" s="11">
        <v>44775</v>
      </c>
      <c r="C8374" s="13" t="s">
        <v>7107</v>
      </c>
      <c r="D8374" s="13" t="s">
        <v>10357</v>
      </c>
      <c r="E8374" s="8">
        <v>1825033.78</v>
      </c>
      <c r="F8374" s="13" t="s">
        <v>70</v>
      </c>
      <c r="G8374" s="14">
        <v>44778</v>
      </c>
      <c r="H8374" s="13" t="s">
        <v>35</v>
      </c>
    </row>
    <row r="8375" spans="1:8" ht="14.4" x14ac:dyDescent="0.3">
      <c r="A8375" s="8">
        <v>2042004</v>
      </c>
      <c r="B8375" s="11">
        <v>44775</v>
      </c>
      <c r="C8375" s="13" t="s">
        <v>7101</v>
      </c>
      <c r="D8375" s="13" t="s">
        <v>10358</v>
      </c>
      <c r="E8375" s="8">
        <v>1820180.79</v>
      </c>
      <c r="F8375" s="13" t="s">
        <v>70</v>
      </c>
      <c r="G8375" s="14">
        <v>44776</v>
      </c>
      <c r="H8375" s="13" t="s">
        <v>35</v>
      </c>
    </row>
    <row r="8376" spans="1:8" ht="14.4" x14ac:dyDescent="0.3">
      <c r="A8376" s="8">
        <v>2042005</v>
      </c>
      <c r="B8376" s="11">
        <v>44775</v>
      </c>
      <c r="C8376" s="13" t="s">
        <v>9359</v>
      </c>
      <c r="D8376" s="13" t="s">
        <v>10359</v>
      </c>
      <c r="E8376" s="8">
        <v>1820752.23</v>
      </c>
      <c r="F8376" s="13" t="s">
        <v>70</v>
      </c>
      <c r="G8376" s="14">
        <v>44777</v>
      </c>
      <c r="H8376" s="13" t="s">
        <v>35</v>
      </c>
    </row>
    <row r="8377" spans="1:8" ht="14.4" x14ac:dyDescent="0.3">
      <c r="A8377" s="8">
        <v>2042006</v>
      </c>
      <c r="B8377" s="11">
        <v>44775</v>
      </c>
      <c r="C8377" s="13" t="s">
        <v>1286</v>
      </c>
      <c r="D8377" s="13" t="s">
        <v>10360</v>
      </c>
      <c r="E8377" s="8">
        <v>2580.35</v>
      </c>
      <c r="F8377" s="13" t="s">
        <v>70</v>
      </c>
      <c r="G8377" s="14">
        <v>44782</v>
      </c>
      <c r="H8377" s="13" t="s">
        <v>35</v>
      </c>
    </row>
    <row r="8378" spans="1:8" ht="14.4" x14ac:dyDescent="0.3">
      <c r="A8378" s="8">
        <v>2042007</v>
      </c>
      <c r="B8378" s="11">
        <v>44775</v>
      </c>
      <c r="C8378" s="13" t="s">
        <v>8313</v>
      </c>
      <c r="D8378" s="13" t="s">
        <v>3638</v>
      </c>
      <c r="E8378" s="8">
        <v>81558.19</v>
      </c>
      <c r="F8378" s="13" t="s">
        <v>70</v>
      </c>
      <c r="G8378" s="14">
        <v>44781</v>
      </c>
      <c r="H8378" s="13" t="s">
        <v>35</v>
      </c>
    </row>
    <row r="8379" spans="1:8" ht="14.4" x14ac:dyDescent="0.3">
      <c r="A8379" s="8">
        <v>2042008</v>
      </c>
      <c r="B8379" s="11">
        <v>44775</v>
      </c>
      <c r="C8379" s="13" t="s">
        <v>279</v>
      </c>
      <c r="D8379" s="13" t="s">
        <v>10361</v>
      </c>
      <c r="E8379" s="8">
        <v>24054.1</v>
      </c>
      <c r="F8379" s="13" t="s">
        <v>70</v>
      </c>
      <c r="G8379" s="14">
        <v>44788</v>
      </c>
      <c r="H8379" s="13" t="s">
        <v>35</v>
      </c>
    </row>
    <row r="8380" spans="1:8" ht="14.4" x14ac:dyDescent="0.3">
      <c r="A8380" s="8">
        <v>2042009</v>
      </c>
      <c r="B8380" s="11">
        <v>44775</v>
      </c>
      <c r="C8380" s="13" t="s">
        <v>10362</v>
      </c>
      <c r="D8380" s="13" t="s">
        <v>10363</v>
      </c>
      <c r="E8380" s="8">
        <v>20000</v>
      </c>
      <c r="F8380" s="13" t="s">
        <v>70</v>
      </c>
      <c r="G8380" s="14">
        <v>44788</v>
      </c>
      <c r="H8380" s="13" t="s">
        <v>35</v>
      </c>
    </row>
    <row r="8381" spans="1:8" ht="14.4" x14ac:dyDescent="0.3">
      <c r="A8381" s="8">
        <v>2042010</v>
      </c>
      <c r="B8381" s="11">
        <v>44775</v>
      </c>
      <c r="C8381" s="13" t="s">
        <v>10364</v>
      </c>
      <c r="D8381" s="13" t="s">
        <v>10365</v>
      </c>
      <c r="E8381" s="8">
        <v>20000</v>
      </c>
      <c r="F8381" s="13" t="s">
        <v>70</v>
      </c>
      <c r="G8381" s="14">
        <v>44788</v>
      </c>
      <c r="H8381" s="13" t="s">
        <v>35</v>
      </c>
    </row>
    <row r="8382" spans="1:8" ht="14.4" x14ac:dyDescent="0.3">
      <c r="A8382" s="8">
        <v>2042011</v>
      </c>
      <c r="B8382" s="11">
        <v>44775</v>
      </c>
      <c r="C8382" s="13" t="s">
        <v>10366</v>
      </c>
      <c r="D8382" s="13" t="s">
        <v>10367</v>
      </c>
      <c r="E8382" s="8">
        <v>20000</v>
      </c>
      <c r="F8382" s="13" t="s">
        <v>70</v>
      </c>
      <c r="G8382" s="14">
        <v>44777</v>
      </c>
      <c r="H8382" s="13" t="s">
        <v>35</v>
      </c>
    </row>
    <row r="8383" spans="1:8" ht="14.4" x14ac:dyDescent="0.3">
      <c r="A8383" s="8">
        <v>2042012</v>
      </c>
      <c r="B8383" s="11">
        <v>44775</v>
      </c>
      <c r="C8383" s="13" t="s">
        <v>1286</v>
      </c>
      <c r="D8383" s="13" t="s">
        <v>10368</v>
      </c>
      <c r="E8383" s="8">
        <v>5544.51</v>
      </c>
      <c r="F8383" s="13" t="s">
        <v>70</v>
      </c>
      <c r="G8383" s="14">
        <v>44782</v>
      </c>
      <c r="H8383" s="13" t="s">
        <v>35</v>
      </c>
    </row>
    <row r="8384" spans="1:8" ht="14.4" x14ac:dyDescent="0.3">
      <c r="A8384" s="8">
        <v>2042013</v>
      </c>
      <c r="B8384" s="11">
        <v>44775</v>
      </c>
      <c r="C8384" s="13" t="s">
        <v>1286</v>
      </c>
      <c r="D8384" s="13" t="s">
        <v>10369</v>
      </c>
      <c r="E8384" s="8">
        <v>8115.25</v>
      </c>
      <c r="F8384" s="13" t="s">
        <v>70</v>
      </c>
      <c r="G8384" s="14">
        <v>44782</v>
      </c>
      <c r="H8384" s="13" t="s">
        <v>35</v>
      </c>
    </row>
    <row r="8385" spans="1:8" ht="14.4" x14ac:dyDescent="0.3">
      <c r="A8385" s="8">
        <v>2042014</v>
      </c>
      <c r="B8385" s="11">
        <v>44775</v>
      </c>
      <c r="C8385" s="13" t="s">
        <v>10370</v>
      </c>
      <c r="D8385" s="13" t="s">
        <v>10371</v>
      </c>
      <c r="E8385" s="8">
        <v>46090</v>
      </c>
      <c r="F8385" s="13" t="s">
        <v>70</v>
      </c>
      <c r="G8385" s="14">
        <v>44776</v>
      </c>
      <c r="H8385" s="13" t="s">
        <v>35</v>
      </c>
    </row>
    <row r="8386" spans="1:8" ht="14.4" x14ac:dyDescent="0.3">
      <c r="A8386" s="8">
        <v>2042015</v>
      </c>
      <c r="B8386" s="11">
        <v>44775</v>
      </c>
      <c r="C8386" s="13" t="s">
        <v>363</v>
      </c>
      <c r="D8386" s="13" t="s">
        <v>10372</v>
      </c>
      <c r="E8386" s="8">
        <v>30674.5</v>
      </c>
      <c r="F8386" s="13" t="s">
        <v>70</v>
      </c>
      <c r="G8386" s="14">
        <v>44776</v>
      </c>
      <c r="H8386" s="13" t="s">
        <v>35</v>
      </c>
    </row>
    <row r="8387" spans="1:8" ht="14.4" x14ac:dyDescent="0.3">
      <c r="A8387" s="8">
        <v>2042016</v>
      </c>
      <c r="B8387" s="11">
        <v>44775</v>
      </c>
      <c r="C8387" s="13" t="s">
        <v>10370</v>
      </c>
      <c r="D8387" s="13" t="s">
        <v>10373</v>
      </c>
      <c r="E8387" s="8">
        <v>28974</v>
      </c>
      <c r="F8387" s="13" t="s">
        <v>70</v>
      </c>
      <c r="G8387" s="14">
        <v>44776</v>
      </c>
      <c r="H8387" s="13" t="s">
        <v>35</v>
      </c>
    </row>
    <row r="8388" spans="1:8" ht="14.4" x14ac:dyDescent="0.3">
      <c r="A8388" s="8">
        <v>2042017</v>
      </c>
      <c r="B8388" s="11">
        <v>44775</v>
      </c>
      <c r="C8388" s="13" t="s">
        <v>265</v>
      </c>
      <c r="D8388" s="13" t="s">
        <v>10374</v>
      </c>
      <c r="E8388" s="8">
        <v>65333</v>
      </c>
      <c r="F8388" s="13" t="s">
        <v>70</v>
      </c>
      <c r="G8388" s="14">
        <v>44776</v>
      </c>
      <c r="H8388" s="13" t="s">
        <v>35</v>
      </c>
    </row>
    <row r="8389" spans="1:8" ht="14.4" x14ac:dyDescent="0.3">
      <c r="A8389" s="8">
        <v>2042018</v>
      </c>
      <c r="B8389" s="11">
        <v>44775</v>
      </c>
      <c r="C8389" s="13" t="s">
        <v>265</v>
      </c>
      <c r="D8389" s="13" t="s">
        <v>10375</v>
      </c>
      <c r="E8389" s="8">
        <v>160859.9</v>
      </c>
      <c r="F8389" s="13" t="s">
        <v>70</v>
      </c>
      <c r="G8389" s="14">
        <v>44776</v>
      </c>
      <c r="H8389" s="13" t="s">
        <v>35</v>
      </c>
    </row>
    <row r="8390" spans="1:8" ht="14.4" x14ac:dyDescent="0.3">
      <c r="A8390" s="8">
        <v>2042019</v>
      </c>
      <c r="B8390" s="11">
        <v>44775</v>
      </c>
      <c r="C8390" s="13" t="s">
        <v>4591</v>
      </c>
      <c r="D8390" s="13" t="s">
        <v>10376</v>
      </c>
      <c r="E8390" s="8">
        <v>9109739.6199999992</v>
      </c>
      <c r="F8390" s="13" t="s">
        <v>70</v>
      </c>
      <c r="G8390" s="14">
        <v>44776</v>
      </c>
      <c r="H8390" s="13" t="s">
        <v>35</v>
      </c>
    </row>
    <row r="8391" spans="1:8" ht="14.4" x14ac:dyDescent="0.3">
      <c r="A8391" s="8">
        <v>2042020</v>
      </c>
      <c r="B8391" s="11">
        <v>44775</v>
      </c>
      <c r="C8391" s="13" t="s">
        <v>1956</v>
      </c>
      <c r="D8391" s="13" t="s">
        <v>10377</v>
      </c>
      <c r="E8391" s="8">
        <v>4197814.26</v>
      </c>
      <c r="F8391" s="13" t="s">
        <v>70</v>
      </c>
      <c r="G8391" s="14">
        <v>44776</v>
      </c>
      <c r="H8391" s="13" t="s">
        <v>35</v>
      </c>
    </row>
    <row r="8392" spans="1:8" ht="14.4" x14ac:dyDescent="0.3">
      <c r="A8392" s="8">
        <v>2042021</v>
      </c>
      <c r="B8392" s="11">
        <v>44775</v>
      </c>
      <c r="C8392" s="13" t="s">
        <v>1956</v>
      </c>
      <c r="D8392" s="13" t="s">
        <v>10378</v>
      </c>
      <c r="E8392" s="8">
        <v>1647973.48</v>
      </c>
      <c r="F8392" s="13" t="s">
        <v>70</v>
      </c>
      <c r="G8392" s="14">
        <v>44776</v>
      </c>
      <c r="H8392" s="13" t="s">
        <v>35</v>
      </c>
    </row>
    <row r="8393" spans="1:8" ht="14.4" x14ac:dyDescent="0.3">
      <c r="A8393" s="8">
        <v>2042022</v>
      </c>
      <c r="B8393" s="11">
        <v>44775</v>
      </c>
      <c r="C8393" s="13" t="s">
        <v>1286</v>
      </c>
      <c r="D8393" s="13" t="s">
        <v>10379</v>
      </c>
      <c r="E8393" s="8">
        <v>9006.0300000000007</v>
      </c>
      <c r="F8393" s="13" t="s">
        <v>70</v>
      </c>
      <c r="G8393" s="14">
        <v>44782</v>
      </c>
      <c r="H8393" s="13" t="s">
        <v>35</v>
      </c>
    </row>
    <row r="8394" spans="1:8" ht="14.4" x14ac:dyDescent="0.3">
      <c r="A8394" s="8">
        <v>2042023</v>
      </c>
      <c r="B8394" s="11">
        <v>44775</v>
      </c>
      <c r="C8394" s="13" t="s">
        <v>265</v>
      </c>
      <c r="D8394" s="13" t="s">
        <v>10380</v>
      </c>
      <c r="E8394" s="8">
        <v>160905.45000000001</v>
      </c>
      <c r="F8394" s="13" t="s">
        <v>70</v>
      </c>
      <c r="G8394" s="14">
        <v>44777</v>
      </c>
      <c r="H8394" s="13" t="s">
        <v>35</v>
      </c>
    </row>
    <row r="8395" spans="1:8" ht="14.4" x14ac:dyDescent="0.3">
      <c r="A8395" s="8">
        <v>2042024</v>
      </c>
      <c r="B8395" s="11">
        <v>44775</v>
      </c>
      <c r="C8395" s="13" t="s">
        <v>152</v>
      </c>
      <c r="D8395" s="13" t="s">
        <v>10381</v>
      </c>
      <c r="E8395" s="8">
        <v>44505</v>
      </c>
      <c r="F8395" s="13" t="s">
        <v>70</v>
      </c>
      <c r="G8395" s="14">
        <v>44785</v>
      </c>
      <c r="H8395" s="13" t="s">
        <v>35</v>
      </c>
    </row>
    <row r="8396" spans="1:8" ht="14.4" x14ac:dyDescent="0.3">
      <c r="A8396" s="8">
        <v>2042025</v>
      </c>
      <c r="B8396" s="11">
        <v>44775</v>
      </c>
      <c r="C8396" s="13" t="s">
        <v>10006</v>
      </c>
      <c r="D8396" s="13" t="s">
        <v>10382</v>
      </c>
      <c r="E8396" s="8">
        <v>10850</v>
      </c>
      <c r="F8396" s="13" t="s">
        <v>70</v>
      </c>
      <c r="G8396" s="14">
        <v>44783</v>
      </c>
      <c r="H8396" s="13" t="s">
        <v>35</v>
      </c>
    </row>
    <row r="8397" spans="1:8" ht="14.4" x14ac:dyDescent="0.3">
      <c r="A8397" s="8">
        <v>2042026</v>
      </c>
      <c r="B8397" s="11">
        <v>44775</v>
      </c>
      <c r="C8397" s="13" t="s">
        <v>10006</v>
      </c>
      <c r="D8397" s="13" t="s">
        <v>10383</v>
      </c>
      <c r="E8397" s="8">
        <v>6605</v>
      </c>
      <c r="F8397" s="13" t="s">
        <v>70</v>
      </c>
      <c r="G8397" s="14">
        <v>44783</v>
      </c>
      <c r="H8397" s="13" t="s">
        <v>35</v>
      </c>
    </row>
    <row r="8398" spans="1:8" ht="14.4" x14ac:dyDescent="0.3">
      <c r="A8398" s="8">
        <v>2042027</v>
      </c>
      <c r="B8398" s="11">
        <v>44775</v>
      </c>
      <c r="C8398" s="13" t="s">
        <v>1286</v>
      </c>
      <c r="D8398" s="13" t="s">
        <v>10384</v>
      </c>
      <c r="E8398" s="8">
        <v>167130.06</v>
      </c>
      <c r="F8398" s="13" t="s">
        <v>70</v>
      </c>
      <c r="G8398" s="14">
        <v>44782</v>
      </c>
      <c r="H8398" s="13" t="s">
        <v>35</v>
      </c>
    </row>
    <row r="8399" spans="1:8" ht="14.4" x14ac:dyDescent="0.3">
      <c r="A8399" s="8">
        <v>2042028</v>
      </c>
      <c r="B8399" s="11">
        <v>44775</v>
      </c>
      <c r="C8399" s="13" t="s">
        <v>1286</v>
      </c>
      <c r="D8399" s="13" t="s">
        <v>10385</v>
      </c>
      <c r="E8399" s="8">
        <v>22038.12</v>
      </c>
      <c r="F8399" s="13" t="s">
        <v>70</v>
      </c>
      <c r="G8399" s="14">
        <v>44782</v>
      </c>
      <c r="H8399" s="13" t="s">
        <v>35</v>
      </c>
    </row>
    <row r="8400" spans="1:8" ht="14.4" x14ac:dyDescent="0.3">
      <c r="A8400" s="8">
        <v>2042029</v>
      </c>
      <c r="B8400" s="11">
        <v>44775</v>
      </c>
      <c r="C8400" s="13" t="s">
        <v>1286</v>
      </c>
      <c r="D8400" s="13" t="s">
        <v>10386</v>
      </c>
      <c r="E8400" s="8">
        <v>77208.789999999994</v>
      </c>
      <c r="F8400" s="13" t="s">
        <v>70</v>
      </c>
      <c r="G8400" s="14">
        <v>44782</v>
      </c>
      <c r="H8400" s="13" t="s">
        <v>35</v>
      </c>
    </row>
    <row r="8401" spans="1:8" ht="14.4" x14ac:dyDescent="0.3">
      <c r="A8401" s="8">
        <v>2042030</v>
      </c>
      <c r="B8401" s="11">
        <v>44775</v>
      </c>
      <c r="C8401" s="13" t="s">
        <v>1286</v>
      </c>
      <c r="D8401" s="13" t="s">
        <v>10387</v>
      </c>
      <c r="E8401" s="8">
        <v>13886.27</v>
      </c>
      <c r="F8401" s="13" t="s">
        <v>70</v>
      </c>
      <c r="G8401" s="14">
        <v>44782</v>
      </c>
      <c r="H8401" s="13" t="s">
        <v>35</v>
      </c>
    </row>
    <row r="8402" spans="1:8" ht="14.4" x14ac:dyDescent="0.3">
      <c r="A8402" s="8">
        <v>2042031</v>
      </c>
      <c r="B8402" s="11">
        <v>44775</v>
      </c>
      <c r="C8402" s="13" t="s">
        <v>202</v>
      </c>
      <c r="D8402" s="13" t="s">
        <v>2570</v>
      </c>
      <c r="E8402" s="8">
        <v>314958.38</v>
      </c>
      <c r="F8402" s="13" t="s">
        <v>70</v>
      </c>
      <c r="G8402" s="14">
        <v>44777</v>
      </c>
      <c r="H8402" s="13" t="s">
        <v>35</v>
      </c>
    </row>
    <row r="8403" spans="1:8" ht="14.4" x14ac:dyDescent="0.3">
      <c r="A8403" s="8">
        <v>2042032</v>
      </c>
      <c r="B8403" s="11">
        <v>44775</v>
      </c>
      <c r="C8403" s="13" t="s">
        <v>1924</v>
      </c>
      <c r="D8403" s="13" t="s">
        <v>4896</v>
      </c>
      <c r="E8403" s="8">
        <v>151487.22</v>
      </c>
      <c r="F8403" s="13" t="s">
        <v>70</v>
      </c>
      <c r="G8403" s="14">
        <v>44781</v>
      </c>
      <c r="H8403" s="13" t="s">
        <v>35</v>
      </c>
    </row>
    <row r="8404" spans="1:8" ht="14.4" x14ac:dyDescent="0.3">
      <c r="A8404" s="8">
        <v>2042033</v>
      </c>
      <c r="B8404" s="11">
        <v>44775</v>
      </c>
      <c r="C8404" s="13" t="s">
        <v>65</v>
      </c>
      <c r="D8404" s="13" t="s">
        <v>10388</v>
      </c>
      <c r="E8404" s="8">
        <v>141719.1</v>
      </c>
      <c r="F8404" s="13" t="s">
        <v>70</v>
      </c>
      <c r="G8404" s="14">
        <v>44777</v>
      </c>
      <c r="H8404" s="13" t="s">
        <v>35</v>
      </c>
    </row>
    <row r="8405" spans="1:8" ht="14.4" x14ac:dyDescent="0.3">
      <c r="A8405" s="8">
        <v>2042034</v>
      </c>
      <c r="B8405" s="11">
        <v>44775</v>
      </c>
      <c r="C8405" s="13" t="s">
        <v>10389</v>
      </c>
      <c r="D8405" s="13" t="s">
        <v>10390</v>
      </c>
      <c r="E8405" s="8">
        <v>182337.77</v>
      </c>
      <c r="F8405" s="13" t="s">
        <v>70</v>
      </c>
      <c r="G8405" s="14">
        <v>44783</v>
      </c>
      <c r="H8405" s="13" t="s">
        <v>35</v>
      </c>
    </row>
    <row r="8406" spans="1:8" ht="14.4" x14ac:dyDescent="0.3">
      <c r="A8406" s="8">
        <v>2042035</v>
      </c>
      <c r="B8406" s="11">
        <v>44775</v>
      </c>
      <c r="C8406" s="13" t="s">
        <v>1946</v>
      </c>
      <c r="D8406" s="13" t="s">
        <v>10391</v>
      </c>
      <c r="E8406" s="8">
        <v>119098.57</v>
      </c>
      <c r="F8406" s="13" t="s">
        <v>70</v>
      </c>
      <c r="G8406" s="14">
        <v>44777</v>
      </c>
      <c r="H8406" s="13" t="s">
        <v>35</v>
      </c>
    </row>
    <row r="8407" spans="1:8" ht="14.4" x14ac:dyDescent="0.3">
      <c r="A8407" s="8">
        <v>2042036</v>
      </c>
      <c r="B8407" s="11">
        <v>44775</v>
      </c>
      <c r="C8407" s="13" t="s">
        <v>405</v>
      </c>
      <c r="D8407" s="13" t="s">
        <v>10392</v>
      </c>
      <c r="E8407" s="8">
        <v>15518.69</v>
      </c>
      <c r="F8407" s="13" t="s">
        <v>70</v>
      </c>
      <c r="G8407" s="14">
        <v>44778</v>
      </c>
      <c r="H8407" s="13" t="s">
        <v>35</v>
      </c>
    </row>
    <row r="8408" spans="1:8" ht="14.4" x14ac:dyDescent="0.3">
      <c r="A8408" s="8">
        <v>2042037</v>
      </c>
      <c r="B8408" s="11">
        <v>44775</v>
      </c>
      <c r="C8408" s="13" t="s">
        <v>4156</v>
      </c>
      <c r="D8408" s="13" t="s">
        <v>10393</v>
      </c>
      <c r="E8408" s="8">
        <v>1018500</v>
      </c>
      <c r="F8408" s="13" t="s">
        <v>70</v>
      </c>
      <c r="G8408" s="14">
        <v>44788</v>
      </c>
      <c r="H8408" s="13" t="s">
        <v>35</v>
      </c>
    </row>
    <row r="8409" spans="1:8" ht="14.4" x14ac:dyDescent="0.3">
      <c r="A8409" s="8">
        <v>2042038</v>
      </c>
      <c r="B8409" s="11">
        <v>44775</v>
      </c>
      <c r="C8409" s="13" t="s">
        <v>1941</v>
      </c>
      <c r="D8409" s="13" t="s">
        <v>10394</v>
      </c>
      <c r="E8409" s="8">
        <v>59812.5</v>
      </c>
      <c r="F8409" s="13" t="s">
        <v>70</v>
      </c>
      <c r="G8409" s="14">
        <v>44777</v>
      </c>
      <c r="H8409" s="13" t="s">
        <v>35</v>
      </c>
    </row>
    <row r="8410" spans="1:8" ht="14.4" x14ac:dyDescent="0.3">
      <c r="A8410" s="8">
        <v>2042039</v>
      </c>
      <c r="B8410" s="11">
        <v>44775</v>
      </c>
      <c r="C8410" s="13" t="s">
        <v>1581</v>
      </c>
      <c r="D8410" s="13" t="s">
        <v>10395</v>
      </c>
      <c r="E8410" s="8">
        <v>9227.68</v>
      </c>
      <c r="F8410" s="13" t="s">
        <v>70</v>
      </c>
      <c r="G8410" s="14">
        <v>44778</v>
      </c>
      <c r="H8410" s="13" t="s">
        <v>35</v>
      </c>
    </row>
    <row r="8411" spans="1:8" ht="14.4" x14ac:dyDescent="0.3">
      <c r="A8411" s="8">
        <v>2042040</v>
      </c>
      <c r="B8411" s="11">
        <v>44775</v>
      </c>
      <c r="C8411" s="13" t="s">
        <v>1412</v>
      </c>
      <c r="D8411" s="13" t="s">
        <v>10396</v>
      </c>
      <c r="E8411" s="15">
        <v>6656.25</v>
      </c>
      <c r="F8411" s="13" t="s">
        <v>70</v>
      </c>
      <c r="G8411" s="14">
        <v>44792</v>
      </c>
      <c r="H8411" s="13" t="s">
        <v>35</v>
      </c>
    </row>
    <row r="8412" spans="1:8" ht="14.4" x14ac:dyDescent="0.3">
      <c r="A8412" s="8">
        <v>2042041</v>
      </c>
      <c r="B8412" s="11">
        <v>44775</v>
      </c>
      <c r="C8412" s="13" t="s">
        <v>1941</v>
      </c>
      <c r="D8412" s="13" t="s">
        <v>10397</v>
      </c>
      <c r="E8412" s="8">
        <v>32287.68</v>
      </c>
      <c r="F8412" s="13" t="s">
        <v>70</v>
      </c>
      <c r="G8412" s="14">
        <v>44777</v>
      </c>
      <c r="H8412" s="13" t="s">
        <v>35</v>
      </c>
    </row>
    <row r="8413" spans="1:8" ht="14.4" x14ac:dyDescent="0.3">
      <c r="A8413" s="8">
        <v>2042042</v>
      </c>
      <c r="B8413" s="11">
        <v>44775</v>
      </c>
      <c r="C8413" s="13" t="s">
        <v>2711</v>
      </c>
      <c r="D8413" s="13" t="s">
        <v>10398</v>
      </c>
      <c r="E8413" s="8">
        <v>17830.72</v>
      </c>
      <c r="F8413" s="13" t="s">
        <v>70</v>
      </c>
      <c r="G8413" s="14">
        <v>44777</v>
      </c>
      <c r="H8413" s="13" t="s">
        <v>35</v>
      </c>
    </row>
    <row r="8414" spans="1:8" ht="14.4" x14ac:dyDescent="0.3">
      <c r="A8414" s="8">
        <v>2042043</v>
      </c>
      <c r="B8414" s="11">
        <v>44775</v>
      </c>
      <c r="C8414" s="13" t="s">
        <v>2262</v>
      </c>
      <c r="D8414" s="13" t="s">
        <v>10399</v>
      </c>
      <c r="E8414" s="8">
        <v>33783.03</v>
      </c>
      <c r="F8414" s="13" t="s">
        <v>70</v>
      </c>
      <c r="G8414" s="14">
        <v>44778</v>
      </c>
      <c r="H8414" s="13" t="s">
        <v>35</v>
      </c>
    </row>
    <row r="8415" spans="1:8" ht="14.4" x14ac:dyDescent="0.3">
      <c r="A8415" s="8">
        <v>2042044</v>
      </c>
      <c r="B8415" s="11">
        <v>44775</v>
      </c>
      <c r="C8415" s="13" t="s">
        <v>201</v>
      </c>
      <c r="D8415" s="13" t="s">
        <v>3199</v>
      </c>
      <c r="E8415" s="8">
        <v>494827.18</v>
      </c>
      <c r="F8415" s="13" t="s">
        <v>70</v>
      </c>
      <c r="G8415" s="14">
        <v>44777</v>
      </c>
      <c r="H8415" s="13" t="s">
        <v>35</v>
      </c>
    </row>
    <row r="8416" spans="1:8" ht="14.4" x14ac:dyDescent="0.3">
      <c r="A8416" s="8">
        <v>2042045</v>
      </c>
      <c r="B8416" s="11">
        <v>44776</v>
      </c>
      <c r="C8416" s="13" t="s">
        <v>184</v>
      </c>
      <c r="D8416" s="13" t="s">
        <v>10400</v>
      </c>
      <c r="E8416" s="8">
        <v>181500</v>
      </c>
      <c r="F8416" s="13" t="s">
        <v>70</v>
      </c>
      <c r="G8416" s="14">
        <v>44777</v>
      </c>
      <c r="H8416" s="13" t="s">
        <v>35</v>
      </c>
    </row>
    <row r="8417" spans="1:8" ht="14.4" x14ac:dyDescent="0.3">
      <c r="A8417" s="8">
        <v>2042046</v>
      </c>
      <c r="B8417" s="11">
        <v>44776</v>
      </c>
      <c r="C8417" s="13" t="s">
        <v>10118</v>
      </c>
      <c r="D8417" s="13" t="s">
        <v>3191</v>
      </c>
      <c r="E8417" s="8">
        <v>154054.68</v>
      </c>
      <c r="F8417" s="13" t="s">
        <v>70</v>
      </c>
      <c r="G8417" s="14">
        <v>44777</v>
      </c>
      <c r="H8417" s="13" t="s">
        <v>35</v>
      </c>
    </row>
    <row r="8418" spans="1:8" ht="14.4" x14ac:dyDescent="0.3">
      <c r="A8418" s="8">
        <v>2042047</v>
      </c>
      <c r="B8418" s="11">
        <v>44776</v>
      </c>
      <c r="C8418" s="13" t="s">
        <v>202</v>
      </c>
      <c r="D8418" s="13" t="s">
        <v>10401</v>
      </c>
      <c r="E8418" s="8">
        <v>5650.18</v>
      </c>
      <c r="F8418" s="13" t="s">
        <v>70</v>
      </c>
      <c r="G8418" s="14">
        <v>44777</v>
      </c>
      <c r="H8418" s="13" t="s">
        <v>35</v>
      </c>
    </row>
    <row r="8419" spans="1:8" ht="14.4" x14ac:dyDescent="0.3">
      <c r="A8419" s="8">
        <v>2042048</v>
      </c>
      <c r="B8419" s="11">
        <v>44776</v>
      </c>
      <c r="C8419" s="13" t="s">
        <v>2571</v>
      </c>
      <c r="D8419" s="13" t="s">
        <v>10401</v>
      </c>
      <c r="E8419" s="8">
        <v>2366.0700000000002</v>
      </c>
      <c r="F8419" s="13" t="s">
        <v>70</v>
      </c>
      <c r="G8419" s="14">
        <v>44778</v>
      </c>
      <c r="H8419" s="13" t="s">
        <v>35</v>
      </c>
    </row>
    <row r="8420" spans="1:8" ht="14.4" x14ac:dyDescent="0.3">
      <c r="A8420" s="8">
        <v>2042049</v>
      </c>
      <c r="B8420" s="11">
        <v>44776</v>
      </c>
      <c r="C8420" s="13" t="s">
        <v>5497</v>
      </c>
      <c r="D8420" s="13" t="s">
        <v>10402</v>
      </c>
      <c r="E8420" s="8">
        <v>33717.06</v>
      </c>
      <c r="F8420" s="13" t="s">
        <v>70</v>
      </c>
      <c r="G8420" s="14">
        <v>44777</v>
      </c>
      <c r="H8420" s="13" t="s">
        <v>35</v>
      </c>
    </row>
    <row r="8421" spans="1:8" ht="14.4" x14ac:dyDescent="0.3">
      <c r="A8421" s="8">
        <v>2042050</v>
      </c>
      <c r="B8421" s="11">
        <v>44776</v>
      </c>
      <c r="C8421" s="13" t="s">
        <v>1286</v>
      </c>
      <c r="D8421" s="13" t="s">
        <v>10403</v>
      </c>
      <c r="E8421" s="8">
        <v>35388.74</v>
      </c>
      <c r="F8421" s="13" t="s">
        <v>70</v>
      </c>
      <c r="G8421" s="14">
        <v>44782</v>
      </c>
      <c r="H8421" s="13" t="s">
        <v>35</v>
      </c>
    </row>
    <row r="8422" spans="1:8" ht="14.4" x14ac:dyDescent="0.3">
      <c r="A8422" s="8">
        <v>2042051</v>
      </c>
      <c r="B8422" s="11">
        <v>44776</v>
      </c>
      <c r="C8422" s="13" t="s">
        <v>1286</v>
      </c>
      <c r="D8422" s="13" t="s">
        <v>10404</v>
      </c>
      <c r="E8422" s="8">
        <v>2451.44</v>
      </c>
      <c r="F8422" s="13" t="s">
        <v>70</v>
      </c>
      <c r="G8422" s="14">
        <v>44782</v>
      </c>
      <c r="H8422" s="13" t="s">
        <v>35</v>
      </c>
    </row>
    <row r="8423" spans="1:8" ht="14.4" x14ac:dyDescent="0.3">
      <c r="A8423" s="8">
        <v>2042052</v>
      </c>
      <c r="B8423" s="11">
        <v>44776</v>
      </c>
      <c r="C8423" s="13" t="s">
        <v>405</v>
      </c>
      <c r="D8423" s="13" t="s">
        <v>10405</v>
      </c>
      <c r="E8423" s="8">
        <v>60069.86</v>
      </c>
      <c r="F8423" s="13" t="s">
        <v>70</v>
      </c>
      <c r="G8423" s="14">
        <v>44778</v>
      </c>
      <c r="H8423" s="13" t="s">
        <v>35</v>
      </c>
    </row>
    <row r="8424" spans="1:8" ht="14.4" x14ac:dyDescent="0.3">
      <c r="A8424" s="8">
        <v>2042053</v>
      </c>
      <c r="B8424" s="11">
        <v>44776</v>
      </c>
      <c r="C8424" s="13" t="s">
        <v>1941</v>
      </c>
      <c r="D8424" s="13" t="s">
        <v>10406</v>
      </c>
      <c r="E8424" s="8">
        <v>10978.57</v>
      </c>
      <c r="F8424" s="13" t="s">
        <v>70</v>
      </c>
      <c r="G8424" s="14">
        <v>44778</v>
      </c>
      <c r="H8424" s="13" t="s">
        <v>35</v>
      </c>
    </row>
    <row r="8425" spans="1:8" ht="14.4" x14ac:dyDescent="0.3">
      <c r="A8425" s="8">
        <v>2042054</v>
      </c>
      <c r="B8425" s="11">
        <v>44776</v>
      </c>
      <c r="C8425" s="13" t="s">
        <v>405</v>
      </c>
      <c r="D8425" s="13" t="s">
        <v>10407</v>
      </c>
      <c r="E8425" s="8">
        <v>20621.53</v>
      </c>
      <c r="F8425" s="13" t="s">
        <v>70</v>
      </c>
      <c r="G8425" s="14">
        <v>44778</v>
      </c>
      <c r="H8425" s="13" t="s">
        <v>35</v>
      </c>
    </row>
    <row r="8426" spans="1:8" ht="14.4" x14ac:dyDescent="0.3">
      <c r="A8426" s="8">
        <v>2042055</v>
      </c>
      <c r="B8426" s="11">
        <v>44776</v>
      </c>
      <c r="C8426" s="13" t="s">
        <v>405</v>
      </c>
      <c r="D8426" s="13" t="s">
        <v>10408</v>
      </c>
      <c r="E8426" s="8">
        <v>25119.1</v>
      </c>
      <c r="F8426" s="13" t="s">
        <v>70</v>
      </c>
      <c r="G8426" s="14">
        <v>44778</v>
      </c>
      <c r="H8426" s="13" t="s">
        <v>35</v>
      </c>
    </row>
    <row r="8427" spans="1:8" ht="14.4" x14ac:dyDescent="0.3">
      <c r="A8427" s="8">
        <v>2042056</v>
      </c>
      <c r="B8427" s="11">
        <v>44776</v>
      </c>
      <c r="C8427" s="13" t="s">
        <v>10409</v>
      </c>
      <c r="D8427" s="13" t="s">
        <v>10410</v>
      </c>
      <c r="E8427" s="8">
        <v>30575.51</v>
      </c>
      <c r="F8427" s="13" t="s">
        <v>70</v>
      </c>
      <c r="G8427" s="14">
        <v>44875</v>
      </c>
      <c r="H8427" s="13" t="s">
        <v>35</v>
      </c>
    </row>
    <row r="8428" spans="1:8" ht="14.4" x14ac:dyDescent="0.3">
      <c r="A8428" s="8">
        <v>2042057</v>
      </c>
      <c r="B8428" s="11">
        <v>44776</v>
      </c>
      <c r="C8428" s="13" t="s">
        <v>8938</v>
      </c>
      <c r="D8428" s="13" t="s">
        <v>10411</v>
      </c>
      <c r="E8428" s="8">
        <v>77794</v>
      </c>
      <c r="F8428" s="13" t="s">
        <v>70</v>
      </c>
      <c r="G8428" s="14">
        <v>44785</v>
      </c>
      <c r="H8428" s="13" t="s">
        <v>35</v>
      </c>
    </row>
    <row r="8429" spans="1:8" ht="14.4" x14ac:dyDescent="0.3">
      <c r="A8429" s="8">
        <v>2042058</v>
      </c>
      <c r="B8429" s="11">
        <v>44776</v>
      </c>
      <c r="C8429" s="13" t="s">
        <v>2262</v>
      </c>
      <c r="D8429" s="13" t="s">
        <v>10412</v>
      </c>
      <c r="E8429" s="8">
        <v>5300</v>
      </c>
      <c r="F8429" s="13" t="s">
        <v>70</v>
      </c>
      <c r="G8429" s="14">
        <v>44778</v>
      </c>
      <c r="H8429" s="13" t="s">
        <v>35</v>
      </c>
    </row>
    <row r="8430" spans="1:8" ht="14.4" x14ac:dyDescent="0.3">
      <c r="A8430" s="8">
        <v>2042059</v>
      </c>
      <c r="B8430" s="11">
        <v>44776</v>
      </c>
      <c r="C8430" s="13" t="s">
        <v>1405</v>
      </c>
      <c r="D8430" s="13" t="s">
        <v>10413</v>
      </c>
      <c r="E8430" s="8">
        <v>34186.28</v>
      </c>
      <c r="F8430" s="13" t="s">
        <v>70</v>
      </c>
      <c r="G8430" s="14">
        <v>44782</v>
      </c>
      <c r="H8430" s="13" t="s">
        <v>35</v>
      </c>
    </row>
    <row r="8431" spans="1:8" ht="14.4" x14ac:dyDescent="0.3">
      <c r="A8431" s="8">
        <v>2042060</v>
      </c>
      <c r="B8431" s="11">
        <v>44776</v>
      </c>
      <c r="C8431" s="13" t="s">
        <v>1414</v>
      </c>
      <c r="D8431" s="13" t="s">
        <v>10414</v>
      </c>
      <c r="E8431" s="8">
        <v>89240</v>
      </c>
      <c r="F8431" s="13" t="s">
        <v>70</v>
      </c>
      <c r="G8431" s="14">
        <v>44781</v>
      </c>
      <c r="H8431" s="13" t="s">
        <v>35</v>
      </c>
    </row>
    <row r="8432" spans="1:8" ht="14.4" x14ac:dyDescent="0.3">
      <c r="A8432" s="8">
        <v>2042061</v>
      </c>
      <c r="B8432" s="11">
        <v>44776</v>
      </c>
      <c r="C8432" s="13" t="s">
        <v>1941</v>
      </c>
      <c r="D8432" s="13" t="s">
        <v>10415</v>
      </c>
      <c r="E8432" s="8">
        <v>7177.85</v>
      </c>
      <c r="F8432" s="13" t="s">
        <v>70</v>
      </c>
      <c r="G8432" s="14">
        <v>44778</v>
      </c>
      <c r="H8432" s="13" t="s">
        <v>35</v>
      </c>
    </row>
    <row r="8433" spans="1:8" ht="14.4" x14ac:dyDescent="0.3">
      <c r="A8433" s="8">
        <v>2042062</v>
      </c>
      <c r="B8433" s="11">
        <v>44776</v>
      </c>
      <c r="C8433" s="13" t="s">
        <v>1524</v>
      </c>
      <c r="D8433" s="13" t="s">
        <v>10416</v>
      </c>
      <c r="E8433" s="8">
        <v>29345.91</v>
      </c>
      <c r="F8433" s="13" t="s">
        <v>70</v>
      </c>
      <c r="G8433" s="14">
        <v>44777</v>
      </c>
      <c r="H8433" s="13" t="s">
        <v>35</v>
      </c>
    </row>
    <row r="8434" spans="1:8" ht="14.4" x14ac:dyDescent="0.3">
      <c r="A8434" s="8">
        <v>2042063</v>
      </c>
      <c r="B8434" s="11">
        <v>44776</v>
      </c>
      <c r="C8434" s="13" t="s">
        <v>2711</v>
      </c>
      <c r="D8434" s="13" t="s">
        <v>10417</v>
      </c>
      <c r="E8434" s="8">
        <v>17262.849999999999</v>
      </c>
      <c r="F8434" s="13" t="s">
        <v>70</v>
      </c>
      <c r="G8434" s="14">
        <v>44777</v>
      </c>
      <c r="H8434" s="13" t="s">
        <v>35</v>
      </c>
    </row>
    <row r="8435" spans="1:8" ht="14.4" x14ac:dyDescent="0.3">
      <c r="A8435" s="8">
        <v>2042064</v>
      </c>
      <c r="B8435" s="11">
        <v>44776</v>
      </c>
      <c r="C8435" s="13" t="s">
        <v>2711</v>
      </c>
      <c r="D8435" s="13" t="s">
        <v>10418</v>
      </c>
      <c r="E8435" s="8">
        <v>17262.849999999999</v>
      </c>
      <c r="F8435" s="13" t="s">
        <v>70</v>
      </c>
      <c r="G8435" s="14">
        <v>44777</v>
      </c>
      <c r="H8435" s="13" t="s">
        <v>35</v>
      </c>
    </row>
    <row r="8436" spans="1:8" ht="14.4" x14ac:dyDescent="0.3">
      <c r="A8436" s="8">
        <v>2042065</v>
      </c>
      <c r="B8436" s="11">
        <v>44776</v>
      </c>
      <c r="C8436" s="13" t="s">
        <v>1941</v>
      </c>
      <c r="D8436" s="13" t="s">
        <v>10419</v>
      </c>
      <c r="E8436" s="8">
        <v>37047.050000000003</v>
      </c>
      <c r="F8436" s="13" t="s">
        <v>70</v>
      </c>
      <c r="G8436" s="14">
        <v>44778</v>
      </c>
      <c r="H8436" s="13" t="s">
        <v>35</v>
      </c>
    </row>
    <row r="8437" spans="1:8" ht="14.4" x14ac:dyDescent="0.3">
      <c r="A8437" s="8">
        <v>2042066</v>
      </c>
      <c r="B8437" s="11">
        <v>44776</v>
      </c>
      <c r="C8437" s="13" t="s">
        <v>3838</v>
      </c>
      <c r="D8437" s="13" t="s">
        <v>10420</v>
      </c>
      <c r="E8437" s="8">
        <v>23989</v>
      </c>
      <c r="F8437" s="13" t="s">
        <v>70</v>
      </c>
      <c r="G8437" s="14">
        <v>44777</v>
      </c>
      <c r="H8437" s="13" t="s">
        <v>35</v>
      </c>
    </row>
    <row r="8438" spans="1:8" ht="14.4" x14ac:dyDescent="0.3">
      <c r="A8438" s="8">
        <v>2042067</v>
      </c>
      <c r="B8438" s="11">
        <v>44776</v>
      </c>
      <c r="C8438" s="13" t="s">
        <v>201</v>
      </c>
      <c r="D8438" s="13" t="s">
        <v>10421</v>
      </c>
      <c r="E8438" s="8">
        <v>72868.570000000007</v>
      </c>
      <c r="F8438" s="13" t="s">
        <v>70</v>
      </c>
      <c r="G8438" s="14">
        <v>44781</v>
      </c>
      <c r="H8438" s="13" t="s">
        <v>35</v>
      </c>
    </row>
    <row r="8439" spans="1:8" ht="14.4" x14ac:dyDescent="0.3">
      <c r="A8439" s="8">
        <v>2042068</v>
      </c>
      <c r="B8439" s="11">
        <v>44776</v>
      </c>
      <c r="C8439" s="13" t="s">
        <v>1941</v>
      </c>
      <c r="D8439" s="13" t="s">
        <v>10422</v>
      </c>
      <c r="E8439" s="8">
        <v>9271.43</v>
      </c>
      <c r="F8439" s="13" t="s">
        <v>70</v>
      </c>
      <c r="G8439" s="14">
        <v>44777</v>
      </c>
      <c r="H8439" s="13" t="s">
        <v>35</v>
      </c>
    </row>
    <row r="8440" spans="1:8" ht="14.4" x14ac:dyDescent="0.3">
      <c r="A8440" s="8">
        <v>2042069</v>
      </c>
      <c r="B8440" s="11">
        <v>44776</v>
      </c>
      <c r="C8440" s="13" t="s">
        <v>2074</v>
      </c>
      <c r="D8440" s="13" t="s">
        <v>10423</v>
      </c>
      <c r="E8440" s="8">
        <v>46375</v>
      </c>
      <c r="F8440" s="13" t="s">
        <v>70</v>
      </c>
      <c r="G8440" s="14">
        <v>44791</v>
      </c>
      <c r="H8440" s="13" t="s">
        <v>35</v>
      </c>
    </row>
    <row r="8441" spans="1:8" ht="14.4" x14ac:dyDescent="0.3">
      <c r="A8441" s="8">
        <v>2042070</v>
      </c>
      <c r="B8441" s="11">
        <v>44776</v>
      </c>
      <c r="C8441" s="13" t="s">
        <v>1581</v>
      </c>
      <c r="D8441" s="13" t="s">
        <v>10424</v>
      </c>
      <c r="E8441" s="8">
        <v>7571.43</v>
      </c>
      <c r="F8441" s="13" t="s">
        <v>70</v>
      </c>
      <c r="G8441" s="14">
        <v>44778</v>
      </c>
      <c r="H8441" s="13" t="s">
        <v>35</v>
      </c>
    </row>
    <row r="8442" spans="1:8" ht="14.4" x14ac:dyDescent="0.3">
      <c r="A8442" s="8">
        <v>2042071</v>
      </c>
      <c r="B8442" s="11">
        <v>44776</v>
      </c>
      <c r="C8442" s="13" t="s">
        <v>1743</v>
      </c>
      <c r="D8442" s="13" t="s">
        <v>10425</v>
      </c>
      <c r="E8442" s="8">
        <v>4900</v>
      </c>
      <c r="F8442" s="13" t="s">
        <v>70</v>
      </c>
      <c r="G8442" s="14">
        <v>44777</v>
      </c>
      <c r="H8442" s="13" t="s">
        <v>35</v>
      </c>
    </row>
    <row r="8443" spans="1:8" ht="14.4" x14ac:dyDescent="0.3">
      <c r="A8443" s="8">
        <v>2042072</v>
      </c>
      <c r="B8443" s="11">
        <v>44776</v>
      </c>
      <c r="C8443" s="13" t="s">
        <v>1743</v>
      </c>
      <c r="D8443" s="13" t="s">
        <v>10426</v>
      </c>
      <c r="E8443" s="8">
        <v>1764</v>
      </c>
      <c r="F8443" s="13" t="s">
        <v>70</v>
      </c>
      <c r="G8443" s="14">
        <v>44777</v>
      </c>
      <c r="H8443" s="13" t="s">
        <v>35</v>
      </c>
    </row>
    <row r="8444" spans="1:8" ht="14.4" x14ac:dyDescent="0.3">
      <c r="A8444" s="8">
        <v>2042073</v>
      </c>
      <c r="B8444" s="11">
        <v>44776</v>
      </c>
      <c r="C8444" s="13" t="s">
        <v>1584</v>
      </c>
      <c r="D8444" s="13" t="s">
        <v>10427</v>
      </c>
      <c r="E8444" s="8">
        <v>8517.85</v>
      </c>
      <c r="F8444" s="13" t="s">
        <v>70</v>
      </c>
      <c r="G8444" s="14">
        <v>44789</v>
      </c>
      <c r="H8444" s="13" t="s">
        <v>35</v>
      </c>
    </row>
    <row r="8445" spans="1:8" ht="14.4" x14ac:dyDescent="0.3">
      <c r="A8445" s="8">
        <v>2042074</v>
      </c>
      <c r="B8445" s="11">
        <v>44776</v>
      </c>
      <c r="C8445" s="13" t="s">
        <v>1941</v>
      </c>
      <c r="D8445" s="13" t="s">
        <v>10428</v>
      </c>
      <c r="E8445" s="8">
        <v>25797.95</v>
      </c>
      <c r="F8445" s="13" t="s">
        <v>70</v>
      </c>
      <c r="G8445" s="14">
        <v>44777</v>
      </c>
      <c r="H8445" s="13" t="s">
        <v>35</v>
      </c>
    </row>
    <row r="8446" spans="1:8" ht="14.4" x14ac:dyDescent="0.3">
      <c r="A8446" s="8">
        <v>2042075</v>
      </c>
      <c r="B8446" s="11">
        <v>44776</v>
      </c>
      <c r="C8446" s="13" t="s">
        <v>1941</v>
      </c>
      <c r="D8446" s="13" t="s">
        <v>10429</v>
      </c>
      <c r="E8446" s="8">
        <v>32287.68</v>
      </c>
      <c r="F8446" s="13" t="s">
        <v>70</v>
      </c>
      <c r="G8446" s="14">
        <v>44777</v>
      </c>
      <c r="H8446" s="13" t="s">
        <v>35</v>
      </c>
    </row>
    <row r="8447" spans="1:8" ht="14.4" x14ac:dyDescent="0.3">
      <c r="A8447" s="8">
        <v>2042076</v>
      </c>
      <c r="B8447" s="11">
        <v>44776</v>
      </c>
      <c r="C8447" s="13" t="s">
        <v>1941</v>
      </c>
      <c r="D8447" s="13" t="s">
        <v>10430</v>
      </c>
      <c r="E8447" s="8">
        <v>6238.57</v>
      </c>
      <c r="F8447" s="13" t="s">
        <v>70</v>
      </c>
      <c r="G8447" s="14">
        <v>44777</v>
      </c>
      <c r="H8447" s="13" t="s">
        <v>35</v>
      </c>
    </row>
    <row r="8448" spans="1:8" ht="14.4" x14ac:dyDescent="0.3">
      <c r="A8448" s="8">
        <v>2042077</v>
      </c>
      <c r="B8448" s="11">
        <v>44776</v>
      </c>
      <c r="C8448" s="13" t="s">
        <v>25</v>
      </c>
      <c r="D8448" s="13" t="s">
        <v>10431</v>
      </c>
      <c r="E8448" s="8">
        <v>11167.85</v>
      </c>
      <c r="F8448" s="13" t="s">
        <v>70</v>
      </c>
      <c r="G8448" s="14">
        <v>44778</v>
      </c>
      <c r="H8448" s="13" t="s">
        <v>35</v>
      </c>
    </row>
    <row r="8449" spans="1:8" ht="14.4" x14ac:dyDescent="0.3">
      <c r="A8449" s="8">
        <v>2042078</v>
      </c>
      <c r="B8449" s="11">
        <v>44776</v>
      </c>
      <c r="C8449" s="13" t="s">
        <v>8938</v>
      </c>
      <c r="D8449" s="13" t="s">
        <v>10432</v>
      </c>
      <c r="E8449" s="8">
        <v>42581</v>
      </c>
      <c r="F8449" s="13" t="s">
        <v>70</v>
      </c>
      <c r="G8449" s="14">
        <v>44785</v>
      </c>
      <c r="H8449" s="13" t="s">
        <v>35</v>
      </c>
    </row>
    <row r="8450" spans="1:8" ht="14.4" x14ac:dyDescent="0.3">
      <c r="A8450" s="8">
        <v>2042079</v>
      </c>
      <c r="B8450" s="11">
        <v>44776</v>
      </c>
      <c r="C8450" s="13" t="s">
        <v>259</v>
      </c>
      <c r="D8450" s="13" t="s">
        <v>128</v>
      </c>
      <c r="E8450" s="8">
        <v>33787.5</v>
      </c>
      <c r="F8450" s="13" t="s">
        <v>70</v>
      </c>
      <c r="G8450" s="14">
        <v>44777</v>
      </c>
      <c r="H8450" s="13" t="s">
        <v>35</v>
      </c>
    </row>
    <row r="8451" spans="1:8" ht="14.4" x14ac:dyDescent="0.3">
      <c r="A8451" s="8">
        <v>2042080</v>
      </c>
      <c r="B8451" s="11">
        <v>44776</v>
      </c>
      <c r="C8451" s="13" t="s">
        <v>1581</v>
      </c>
      <c r="D8451" s="13" t="s">
        <v>10433</v>
      </c>
      <c r="E8451" s="8">
        <v>33598.22</v>
      </c>
      <c r="F8451" s="13" t="s">
        <v>70</v>
      </c>
      <c r="G8451" s="14">
        <v>44778</v>
      </c>
      <c r="H8451" s="13" t="s">
        <v>35</v>
      </c>
    </row>
    <row r="8452" spans="1:8" ht="14.4" x14ac:dyDescent="0.3">
      <c r="A8452" s="8">
        <v>2042081</v>
      </c>
      <c r="B8452" s="11">
        <v>44776</v>
      </c>
      <c r="C8452" s="13" t="s">
        <v>405</v>
      </c>
      <c r="D8452" s="13" t="s">
        <v>10434</v>
      </c>
      <c r="E8452" s="8">
        <v>18271.72</v>
      </c>
      <c r="F8452" s="13" t="s">
        <v>70</v>
      </c>
      <c r="G8452" s="14">
        <v>44778</v>
      </c>
      <c r="H8452" s="13" t="s">
        <v>35</v>
      </c>
    </row>
    <row r="8453" spans="1:8" ht="14.4" x14ac:dyDescent="0.3">
      <c r="A8453" s="8">
        <v>2042082</v>
      </c>
      <c r="B8453" s="11">
        <v>44776</v>
      </c>
      <c r="C8453" s="13" t="s">
        <v>1524</v>
      </c>
      <c r="D8453" s="13" t="s">
        <v>10435</v>
      </c>
      <c r="E8453" s="8">
        <v>46848.22</v>
      </c>
      <c r="F8453" s="13" t="s">
        <v>70</v>
      </c>
      <c r="G8453" s="14">
        <v>44777</v>
      </c>
      <c r="H8453" s="13" t="s">
        <v>35</v>
      </c>
    </row>
    <row r="8454" spans="1:8" ht="14.4" x14ac:dyDescent="0.3">
      <c r="A8454" s="8">
        <v>2042083</v>
      </c>
      <c r="B8454" s="11">
        <v>44776</v>
      </c>
      <c r="C8454" s="13" t="s">
        <v>1524</v>
      </c>
      <c r="D8454" s="13" t="s">
        <v>10436</v>
      </c>
      <c r="E8454" s="8">
        <v>6689.35</v>
      </c>
      <c r="F8454" s="13" t="s">
        <v>70</v>
      </c>
      <c r="G8454" s="14">
        <v>44777</v>
      </c>
      <c r="H8454" s="13" t="s">
        <v>35</v>
      </c>
    </row>
    <row r="8455" spans="1:8" ht="14.4" x14ac:dyDescent="0.3">
      <c r="A8455" s="8">
        <v>2042085</v>
      </c>
      <c r="B8455" s="11">
        <v>44776</v>
      </c>
      <c r="C8455" s="13" t="s">
        <v>1524</v>
      </c>
      <c r="D8455" s="13" t="s">
        <v>10437</v>
      </c>
      <c r="E8455" s="8">
        <v>23741.63</v>
      </c>
      <c r="F8455" s="13" t="s">
        <v>70</v>
      </c>
      <c r="G8455" s="14">
        <v>44777</v>
      </c>
      <c r="H8455" s="13" t="s">
        <v>35</v>
      </c>
    </row>
    <row r="8456" spans="1:8" ht="14.4" x14ac:dyDescent="0.3">
      <c r="A8456" s="8">
        <v>2042086</v>
      </c>
      <c r="B8456" s="11">
        <v>44776</v>
      </c>
      <c r="C8456" s="13" t="s">
        <v>3210</v>
      </c>
      <c r="D8456" s="13" t="s">
        <v>10438</v>
      </c>
      <c r="E8456" s="8">
        <v>18928.57</v>
      </c>
      <c r="F8456" s="13" t="s">
        <v>70</v>
      </c>
      <c r="G8456" s="14">
        <v>44778</v>
      </c>
      <c r="H8456" s="13" t="s">
        <v>35</v>
      </c>
    </row>
    <row r="8457" spans="1:8" ht="14.4" x14ac:dyDescent="0.3">
      <c r="A8457" s="8">
        <v>2042087</v>
      </c>
      <c r="B8457" s="11">
        <v>44776</v>
      </c>
      <c r="C8457" s="13" t="s">
        <v>3210</v>
      </c>
      <c r="D8457" s="13" t="s">
        <v>10439</v>
      </c>
      <c r="E8457" s="8">
        <v>20821.43</v>
      </c>
      <c r="F8457" s="13" t="s">
        <v>70</v>
      </c>
      <c r="G8457" s="14">
        <v>44778</v>
      </c>
      <c r="H8457" s="13" t="s">
        <v>35</v>
      </c>
    </row>
    <row r="8458" spans="1:8" ht="14.4" x14ac:dyDescent="0.3">
      <c r="A8458" s="8">
        <v>2042088</v>
      </c>
      <c r="B8458" s="11">
        <v>44776</v>
      </c>
      <c r="C8458" s="13" t="s">
        <v>4567</v>
      </c>
      <c r="D8458" s="13" t="s">
        <v>10440</v>
      </c>
      <c r="E8458" s="8">
        <v>52483.08</v>
      </c>
      <c r="F8458" s="13" t="s">
        <v>70</v>
      </c>
      <c r="G8458" s="14">
        <v>44782</v>
      </c>
      <c r="H8458" s="13" t="s">
        <v>35</v>
      </c>
    </row>
    <row r="8459" spans="1:8" ht="14.4" x14ac:dyDescent="0.3">
      <c r="A8459" s="8">
        <v>2042089</v>
      </c>
      <c r="B8459" s="11">
        <v>44776</v>
      </c>
      <c r="C8459" s="13" t="s">
        <v>127</v>
      </c>
      <c r="D8459" s="13" t="s">
        <v>4844</v>
      </c>
      <c r="E8459" s="8">
        <v>5186.43</v>
      </c>
      <c r="F8459" s="13" t="s">
        <v>70</v>
      </c>
      <c r="G8459" s="14">
        <v>44781</v>
      </c>
      <c r="H8459" s="13" t="s">
        <v>35</v>
      </c>
    </row>
    <row r="8460" spans="1:8" ht="14.4" x14ac:dyDescent="0.3">
      <c r="A8460" s="8">
        <v>2042090</v>
      </c>
      <c r="B8460" s="11">
        <v>44776</v>
      </c>
      <c r="C8460" s="13" t="s">
        <v>245</v>
      </c>
      <c r="D8460" s="13" t="s">
        <v>10441</v>
      </c>
      <c r="E8460" s="8">
        <v>795964.28</v>
      </c>
      <c r="F8460" s="13" t="s">
        <v>70</v>
      </c>
      <c r="G8460" s="14">
        <v>44777</v>
      </c>
      <c r="H8460" s="13" t="s">
        <v>35</v>
      </c>
    </row>
    <row r="8461" spans="1:8" ht="14.4" x14ac:dyDescent="0.3">
      <c r="A8461" s="8">
        <v>2042091</v>
      </c>
      <c r="B8461" s="11">
        <v>44776</v>
      </c>
      <c r="C8461" s="13" t="s">
        <v>10442</v>
      </c>
      <c r="D8461" s="13" t="s">
        <v>10443</v>
      </c>
      <c r="E8461" s="8">
        <v>20821.43</v>
      </c>
      <c r="F8461" s="13" t="s">
        <v>70</v>
      </c>
      <c r="G8461" s="14">
        <v>44778</v>
      </c>
      <c r="H8461" s="13" t="s">
        <v>35</v>
      </c>
    </row>
    <row r="8462" spans="1:8" ht="14.4" x14ac:dyDescent="0.3">
      <c r="A8462" s="8">
        <v>2042092</v>
      </c>
      <c r="B8462" s="11">
        <v>44776</v>
      </c>
      <c r="C8462" s="13" t="s">
        <v>2074</v>
      </c>
      <c r="D8462" s="13" t="s">
        <v>10444</v>
      </c>
      <c r="E8462" s="8">
        <v>5625</v>
      </c>
      <c r="F8462" s="13" t="s">
        <v>70</v>
      </c>
      <c r="G8462" s="14">
        <v>44791</v>
      </c>
      <c r="H8462" s="13" t="s">
        <v>35</v>
      </c>
    </row>
    <row r="8463" spans="1:8" ht="14.4" x14ac:dyDescent="0.3">
      <c r="A8463" s="8">
        <v>2042093</v>
      </c>
      <c r="B8463" s="11">
        <v>44776</v>
      </c>
      <c r="C8463" s="13" t="s">
        <v>2074</v>
      </c>
      <c r="D8463" s="13" t="s">
        <v>10445</v>
      </c>
      <c r="E8463" s="8">
        <v>16875</v>
      </c>
      <c r="F8463" s="13" t="s">
        <v>70</v>
      </c>
      <c r="G8463" s="14">
        <v>44791</v>
      </c>
      <c r="H8463" s="13" t="s">
        <v>35</v>
      </c>
    </row>
    <row r="8464" spans="1:8" ht="14.4" x14ac:dyDescent="0.3">
      <c r="A8464" s="8">
        <v>2042094</v>
      </c>
      <c r="B8464" s="11">
        <v>44776</v>
      </c>
      <c r="C8464" s="13" t="s">
        <v>1743</v>
      </c>
      <c r="D8464" s="13" t="s">
        <v>10446</v>
      </c>
      <c r="E8464" s="8">
        <v>11760</v>
      </c>
      <c r="F8464" s="13" t="s">
        <v>70</v>
      </c>
      <c r="G8464" s="14">
        <v>44777</v>
      </c>
      <c r="H8464" s="13" t="s">
        <v>35</v>
      </c>
    </row>
    <row r="8465" spans="1:8" ht="14.4" x14ac:dyDescent="0.3">
      <c r="A8465" s="8">
        <v>2042095</v>
      </c>
      <c r="B8465" s="11">
        <v>44776</v>
      </c>
      <c r="C8465" s="13" t="s">
        <v>1941</v>
      </c>
      <c r="D8465" s="13" t="s">
        <v>10447</v>
      </c>
      <c r="E8465" s="8">
        <v>14160.72</v>
      </c>
      <c r="F8465" s="13" t="s">
        <v>70</v>
      </c>
      <c r="G8465" s="14">
        <v>44778</v>
      </c>
      <c r="H8465" s="13" t="s">
        <v>35</v>
      </c>
    </row>
    <row r="8466" spans="1:8" ht="14.4" x14ac:dyDescent="0.3">
      <c r="A8466" s="8">
        <v>2042096</v>
      </c>
      <c r="B8466" s="11">
        <v>44776</v>
      </c>
      <c r="C8466" s="13" t="s">
        <v>1784</v>
      </c>
      <c r="D8466" s="13" t="s">
        <v>10448</v>
      </c>
      <c r="E8466" s="8">
        <v>2250</v>
      </c>
      <c r="F8466" s="13" t="s">
        <v>70</v>
      </c>
      <c r="G8466" s="14">
        <v>44783</v>
      </c>
      <c r="H8466" s="13" t="s">
        <v>35</v>
      </c>
    </row>
    <row r="8467" spans="1:8" ht="14.4" x14ac:dyDescent="0.3">
      <c r="A8467" s="8">
        <v>2042097</v>
      </c>
      <c r="B8467" s="11">
        <v>44776</v>
      </c>
      <c r="C8467" s="13" t="s">
        <v>127</v>
      </c>
      <c r="D8467" s="13" t="s">
        <v>10449</v>
      </c>
      <c r="E8467" s="8">
        <v>17035.72</v>
      </c>
      <c r="F8467" s="13" t="s">
        <v>70</v>
      </c>
      <c r="G8467" s="14">
        <v>44781</v>
      </c>
      <c r="H8467" s="13" t="s">
        <v>35</v>
      </c>
    </row>
    <row r="8468" spans="1:8" ht="14.4" x14ac:dyDescent="0.3">
      <c r="A8468" s="8">
        <v>2042098</v>
      </c>
      <c r="B8468" s="11">
        <v>44776</v>
      </c>
      <c r="C8468" s="13" t="s">
        <v>59</v>
      </c>
      <c r="D8468" s="13" t="s">
        <v>10450</v>
      </c>
      <c r="E8468" s="8">
        <v>586785.72</v>
      </c>
      <c r="F8468" s="13" t="s">
        <v>70</v>
      </c>
      <c r="G8468" s="14">
        <v>44785</v>
      </c>
      <c r="H8468" s="13" t="s">
        <v>35</v>
      </c>
    </row>
    <row r="8469" spans="1:8" ht="14.4" x14ac:dyDescent="0.3">
      <c r="A8469" s="8">
        <v>2042099</v>
      </c>
      <c r="B8469" s="11">
        <v>44776</v>
      </c>
      <c r="C8469" s="13" t="s">
        <v>202</v>
      </c>
      <c r="D8469" s="13" t="s">
        <v>9971</v>
      </c>
      <c r="E8469" s="8">
        <v>125327.86</v>
      </c>
      <c r="F8469" s="13" t="s">
        <v>70</v>
      </c>
      <c r="G8469" s="14">
        <v>44777</v>
      </c>
      <c r="H8469" s="13" t="s">
        <v>35</v>
      </c>
    </row>
    <row r="8470" spans="1:8" ht="14.4" x14ac:dyDescent="0.3">
      <c r="A8470" s="8">
        <v>2042100</v>
      </c>
      <c r="B8470" s="11">
        <v>44776</v>
      </c>
      <c r="C8470" s="13" t="s">
        <v>1522</v>
      </c>
      <c r="D8470" s="13" t="s">
        <v>10451</v>
      </c>
      <c r="E8470" s="8">
        <v>4900</v>
      </c>
      <c r="F8470" s="13" t="s">
        <v>70</v>
      </c>
      <c r="G8470" s="14">
        <v>44789</v>
      </c>
      <c r="H8470" s="13" t="s">
        <v>35</v>
      </c>
    </row>
    <row r="8471" spans="1:8" ht="14.4" x14ac:dyDescent="0.3">
      <c r="A8471" s="8">
        <v>2042101</v>
      </c>
      <c r="B8471" s="11">
        <v>44776</v>
      </c>
      <c r="C8471" s="13" t="s">
        <v>1569</v>
      </c>
      <c r="D8471" s="13" t="s">
        <v>10452</v>
      </c>
      <c r="E8471" s="8">
        <v>85185.24</v>
      </c>
      <c r="F8471" s="13" t="s">
        <v>70</v>
      </c>
      <c r="G8471" s="14">
        <v>44805</v>
      </c>
      <c r="H8471" s="13" t="s">
        <v>35</v>
      </c>
    </row>
    <row r="8472" spans="1:8" ht="14.4" x14ac:dyDescent="0.3">
      <c r="A8472" s="8">
        <v>2042102</v>
      </c>
      <c r="B8472" s="11">
        <v>44776</v>
      </c>
      <c r="C8472" s="13" t="s">
        <v>1592</v>
      </c>
      <c r="D8472" s="13" t="s">
        <v>10453</v>
      </c>
      <c r="E8472" s="8">
        <v>20000</v>
      </c>
      <c r="F8472" s="13" t="s">
        <v>70</v>
      </c>
      <c r="G8472" s="14">
        <v>44781</v>
      </c>
      <c r="H8472" s="13" t="s">
        <v>35</v>
      </c>
    </row>
    <row r="8473" spans="1:8" ht="14.4" x14ac:dyDescent="0.3">
      <c r="A8473" s="8">
        <v>2042103</v>
      </c>
      <c r="B8473" s="11">
        <v>44776</v>
      </c>
      <c r="C8473" s="13" t="s">
        <v>60</v>
      </c>
      <c r="D8473" s="13" t="s">
        <v>10454</v>
      </c>
      <c r="E8473" s="8">
        <v>95850</v>
      </c>
      <c r="F8473" s="13" t="s">
        <v>70</v>
      </c>
      <c r="G8473" s="14">
        <v>44798</v>
      </c>
      <c r="H8473" s="13" t="s">
        <v>35</v>
      </c>
    </row>
    <row r="8474" spans="1:8" ht="14.4" x14ac:dyDescent="0.3">
      <c r="A8474" s="8">
        <v>2042104</v>
      </c>
      <c r="B8474" s="11">
        <v>44776</v>
      </c>
      <c r="C8474" s="13" t="s">
        <v>159</v>
      </c>
      <c r="D8474" s="13" t="s">
        <v>10455</v>
      </c>
      <c r="E8474" s="8">
        <v>262400</v>
      </c>
      <c r="F8474" s="13" t="s">
        <v>70</v>
      </c>
      <c r="G8474" s="14">
        <v>44777</v>
      </c>
      <c r="H8474" s="13" t="s">
        <v>35</v>
      </c>
    </row>
    <row r="8475" spans="1:8" ht="14.4" x14ac:dyDescent="0.3">
      <c r="A8475" s="8">
        <v>2042105</v>
      </c>
      <c r="B8475" s="11">
        <v>44776</v>
      </c>
      <c r="C8475" s="13" t="s">
        <v>44</v>
      </c>
      <c r="D8475" s="13" t="s">
        <v>10456</v>
      </c>
      <c r="E8475" s="8">
        <v>76260.56</v>
      </c>
      <c r="F8475" s="13" t="s">
        <v>70</v>
      </c>
      <c r="G8475" s="14">
        <v>44778</v>
      </c>
      <c r="H8475" s="13" t="s">
        <v>35</v>
      </c>
    </row>
    <row r="8476" spans="1:8" ht="14.4" x14ac:dyDescent="0.3">
      <c r="A8476" s="8">
        <v>2042106</v>
      </c>
      <c r="B8476" s="11">
        <v>44776</v>
      </c>
      <c r="C8476" s="13" t="s">
        <v>1286</v>
      </c>
      <c r="D8476" s="13" t="s">
        <v>10457</v>
      </c>
      <c r="E8476" s="8">
        <v>363490.41</v>
      </c>
      <c r="F8476" s="13" t="s">
        <v>70</v>
      </c>
      <c r="G8476" s="14">
        <v>44782</v>
      </c>
      <c r="H8476" s="13" t="s">
        <v>35</v>
      </c>
    </row>
    <row r="8477" spans="1:8" ht="14.4" x14ac:dyDescent="0.3">
      <c r="A8477" s="8">
        <v>2042107</v>
      </c>
      <c r="B8477" s="11">
        <v>44776</v>
      </c>
      <c r="C8477" s="13" t="s">
        <v>748</v>
      </c>
      <c r="D8477" s="13" t="s">
        <v>10458</v>
      </c>
      <c r="E8477" s="8">
        <v>4687.5</v>
      </c>
      <c r="F8477" s="13" t="s">
        <v>70</v>
      </c>
      <c r="G8477" s="14">
        <v>44778</v>
      </c>
      <c r="H8477" s="13" t="s">
        <v>35</v>
      </c>
    </row>
    <row r="8478" spans="1:8" ht="14.4" x14ac:dyDescent="0.3">
      <c r="A8478" s="8">
        <v>2042108</v>
      </c>
      <c r="B8478" s="11">
        <v>44776</v>
      </c>
      <c r="C8478" s="13" t="s">
        <v>1286</v>
      </c>
      <c r="D8478" s="13" t="s">
        <v>10459</v>
      </c>
      <c r="E8478" s="8">
        <v>3352.75</v>
      </c>
      <c r="F8478" s="13" t="s">
        <v>70</v>
      </c>
      <c r="G8478" s="14">
        <v>44782</v>
      </c>
      <c r="H8478" s="13" t="s">
        <v>35</v>
      </c>
    </row>
    <row r="8479" spans="1:8" ht="14.4" x14ac:dyDescent="0.3">
      <c r="A8479" s="8">
        <v>2042109</v>
      </c>
      <c r="B8479" s="11">
        <v>44776</v>
      </c>
      <c r="C8479" s="13" t="s">
        <v>188</v>
      </c>
      <c r="D8479" s="13" t="s">
        <v>3287</v>
      </c>
      <c r="E8479" s="8">
        <v>2178.92</v>
      </c>
      <c r="F8479" s="13" t="s">
        <v>70</v>
      </c>
      <c r="G8479" s="14">
        <v>44778</v>
      </c>
      <c r="H8479" s="13" t="s">
        <v>35</v>
      </c>
    </row>
    <row r="8480" spans="1:8" ht="14.4" x14ac:dyDescent="0.3">
      <c r="A8480" s="8">
        <v>2042110</v>
      </c>
      <c r="B8480" s="11">
        <v>44776</v>
      </c>
      <c r="C8480" s="13" t="s">
        <v>188</v>
      </c>
      <c r="D8480" s="13" t="s">
        <v>10460</v>
      </c>
      <c r="E8480" s="8">
        <v>999.72</v>
      </c>
      <c r="F8480" s="13" t="s">
        <v>70</v>
      </c>
      <c r="G8480" s="14">
        <v>44778</v>
      </c>
      <c r="H8480" s="13" t="s">
        <v>35</v>
      </c>
    </row>
    <row r="8481" spans="1:8" ht="14.4" x14ac:dyDescent="0.3">
      <c r="A8481" s="8">
        <v>2042111</v>
      </c>
      <c r="B8481" s="11">
        <v>44776</v>
      </c>
      <c r="C8481" s="13" t="s">
        <v>197</v>
      </c>
      <c r="D8481" s="13" t="s">
        <v>10461</v>
      </c>
      <c r="E8481" s="8">
        <v>1696337.98</v>
      </c>
      <c r="F8481" s="13" t="s">
        <v>70</v>
      </c>
      <c r="G8481" s="14">
        <v>44777</v>
      </c>
      <c r="H8481" s="13" t="s">
        <v>35</v>
      </c>
    </row>
    <row r="8482" spans="1:8" ht="14.4" x14ac:dyDescent="0.3">
      <c r="A8482" s="8">
        <v>2042112</v>
      </c>
      <c r="B8482" s="11">
        <v>44776</v>
      </c>
      <c r="C8482" s="13" t="s">
        <v>186</v>
      </c>
      <c r="D8482" s="13" t="s">
        <v>10461</v>
      </c>
      <c r="E8482" s="8">
        <v>2698200.18</v>
      </c>
      <c r="F8482" s="13" t="s">
        <v>70</v>
      </c>
      <c r="G8482" s="14">
        <v>44777</v>
      </c>
      <c r="H8482" s="13" t="s">
        <v>35</v>
      </c>
    </row>
    <row r="8483" spans="1:8" ht="14.4" x14ac:dyDescent="0.3">
      <c r="A8483" s="8">
        <v>2042113</v>
      </c>
      <c r="B8483" s="11">
        <v>44776</v>
      </c>
      <c r="C8483" s="13" t="s">
        <v>1645</v>
      </c>
      <c r="D8483" s="13" t="s">
        <v>10461</v>
      </c>
      <c r="E8483" s="8">
        <v>473935.98</v>
      </c>
      <c r="F8483" s="13" t="s">
        <v>70</v>
      </c>
      <c r="G8483" s="14">
        <v>44777</v>
      </c>
      <c r="H8483" s="13" t="s">
        <v>35</v>
      </c>
    </row>
    <row r="8484" spans="1:8" ht="14.4" x14ac:dyDescent="0.3">
      <c r="A8484" s="8">
        <v>2042114</v>
      </c>
      <c r="B8484" s="11">
        <v>44776</v>
      </c>
      <c r="C8484" s="13" t="s">
        <v>189</v>
      </c>
      <c r="D8484" s="13" t="s">
        <v>10462</v>
      </c>
      <c r="E8484" s="8">
        <v>8133358.04</v>
      </c>
      <c r="F8484" s="13" t="s">
        <v>70</v>
      </c>
      <c r="G8484" s="14">
        <v>44778</v>
      </c>
      <c r="H8484" s="13" t="s">
        <v>35</v>
      </c>
    </row>
    <row r="8485" spans="1:8" ht="14.4" x14ac:dyDescent="0.3">
      <c r="A8485" s="8">
        <v>2042115</v>
      </c>
      <c r="B8485" s="11">
        <v>44776</v>
      </c>
      <c r="C8485" s="13" t="s">
        <v>395</v>
      </c>
      <c r="D8485" s="13" t="s">
        <v>10463</v>
      </c>
      <c r="E8485" s="8">
        <v>34402</v>
      </c>
      <c r="F8485" s="13" t="s">
        <v>70</v>
      </c>
      <c r="G8485" s="14">
        <v>44778</v>
      </c>
      <c r="H8485" s="13" t="s">
        <v>35</v>
      </c>
    </row>
    <row r="8486" spans="1:8" ht="14.4" x14ac:dyDescent="0.3">
      <c r="A8486" s="8">
        <v>2042116</v>
      </c>
      <c r="B8486" s="11">
        <v>44776</v>
      </c>
      <c r="C8486" s="13" t="s">
        <v>1716</v>
      </c>
      <c r="D8486" s="13" t="s">
        <v>10464</v>
      </c>
      <c r="E8486" s="8">
        <v>91826</v>
      </c>
      <c r="F8486" s="13" t="s">
        <v>70</v>
      </c>
      <c r="G8486" s="14">
        <v>44781</v>
      </c>
      <c r="H8486" s="13" t="s">
        <v>35</v>
      </c>
    </row>
    <row r="8487" spans="1:8" ht="14.4" x14ac:dyDescent="0.3">
      <c r="A8487" s="8">
        <v>2042117</v>
      </c>
      <c r="B8487" s="11">
        <v>44776</v>
      </c>
      <c r="C8487" s="13" t="s">
        <v>7147</v>
      </c>
      <c r="D8487" s="13" t="s">
        <v>10465</v>
      </c>
      <c r="E8487" s="8">
        <v>10000</v>
      </c>
      <c r="F8487" s="13" t="s">
        <v>70</v>
      </c>
      <c r="G8487" s="14">
        <v>44781</v>
      </c>
      <c r="H8487" s="13" t="s">
        <v>35</v>
      </c>
    </row>
    <row r="8488" spans="1:8" ht="14.4" x14ac:dyDescent="0.3">
      <c r="A8488" s="8">
        <v>2042118</v>
      </c>
      <c r="B8488" s="11">
        <v>44776</v>
      </c>
      <c r="C8488" s="13" t="s">
        <v>10466</v>
      </c>
      <c r="D8488" s="13" t="s">
        <v>10467</v>
      </c>
      <c r="E8488" s="8">
        <v>38000</v>
      </c>
      <c r="F8488" s="13" t="s">
        <v>70</v>
      </c>
      <c r="G8488" s="14">
        <v>44781</v>
      </c>
      <c r="H8488" s="13" t="s">
        <v>35</v>
      </c>
    </row>
    <row r="8489" spans="1:8" ht="14.4" x14ac:dyDescent="0.3">
      <c r="A8489" s="8">
        <v>2042119</v>
      </c>
      <c r="B8489" s="11">
        <v>44776</v>
      </c>
      <c r="C8489" s="13" t="s">
        <v>10468</v>
      </c>
      <c r="D8489" s="13" t="s">
        <v>10469</v>
      </c>
      <c r="E8489" s="8">
        <v>8000</v>
      </c>
      <c r="F8489" s="13" t="s">
        <v>70</v>
      </c>
      <c r="G8489" s="14">
        <v>44782</v>
      </c>
      <c r="H8489" s="13" t="s">
        <v>35</v>
      </c>
    </row>
    <row r="8490" spans="1:8" ht="14.4" x14ac:dyDescent="0.3">
      <c r="A8490" s="8">
        <v>2042120</v>
      </c>
      <c r="B8490" s="11">
        <v>44776</v>
      </c>
      <c r="C8490" s="13" t="s">
        <v>1653</v>
      </c>
      <c r="D8490" s="13" t="s">
        <v>10470</v>
      </c>
      <c r="E8490" s="8">
        <v>48394.29</v>
      </c>
      <c r="F8490" s="13" t="s">
        <v>70</v>
      </c>
      <c r="G8490" s="14">
        <v>44778</v>
      </c>
      <c r="H8490" s="13" t="s">
        <v>35</v>
      </c>
    </row>
    <row r="8491" spans="1:8" ht="14.4" x14ac:dyDescent="0.3">
      <c r="A8491" s="8">
        <v>2042121</v>
      </c>
      <c r="B8491" s="11">
        <v>44776</v>
      </c>
      <c r="C8491" s="13" t="s">
        <v>1596</v>
      </c>
      <c r="D8491" s="13" t="s">
        <v>10471</v>
      </c>
      <c r="E8491" s="8">
        <v>705.6</v>
      </c>
      <c r="F8491" s="13" t="s">
        <v>70</v>
      </c>
      <c r="G8491" s="14">
        <v>44778</v>
      </c>
      <c r="H8491" s="13" t="s">
        <v>35</v>
      </c>
    </row>
    <row r="8492" spans="1:8" ht="14.4" x14ac:dyDescent="0.3">
      <c r="A8492" s="8">
        <v>2042122</v>
      </c>
      <c r="B8492" s="11">
        <v>44776</v>
      </c>
      <c r="C8492" s="13" t="s">
        <v>1784</v>
      </c>
      <c r="D8492" s="13" t="s">
        <v>10472</v>
      </c>
      <c r="E8492" s="8">
        <v>5200</v>
      </c>
      <c r="F8492" s="13" t="s">
        <v>70</v>
      </c>
      <c r="G8492" s="14">
        <v>44783</v>
      </c>
      <c r="H8492" s="13" t="s">
        <v>35</v>
      </c>
    </row>
    <row r="8493" spans="1:8" ht="14.4" x14ac:dyDescent="0.3">
      <c r="A8493" s="8">
        <v>2042123</v>
      </c>
      <c r="B8493" s="11">
        <v>44776</v>
      </c>
      <c r="C8493" s="13" t="s">
        <v>3273</v>
      </c>
      <c r="D8493" s="13" t="s">
        <v>10473</v>
      </c>
      <c r="E8493" s="8">
        <v>1411.2</v>
      </c>
      <c r="F8493" s="13" t="s">
        <v>70</v>
      </c>
      <c r="G8493" s="14">
        <v>44811</v>
      </c>
      <c r="H8493" s="13" t="s">
        <v>35</v>
      </c>
    </row>
    <row r="8494" spans="1:8" ht="14.4" x14ac:dyDescent="0.3">
      <c r="A8494" s="8">
        <v>2042124</v>
      </c>
      <c r="B8494" s="11">
        <v>44776</v>
      </c>
      <c r="C8494" s="13" t="s">
        <v>8089</v>
      </c>
      <c r="D8494" s="13" t="s">
        <v>10474</v>
      </c>
      <c r="E8494" s="8">
        <v>46278.92</v>
      </c>
      <c r="F8494" s="13" t="s">
        <v>70</v>
      </c>
      <c r="G8494" s="14">
        <v>44778</v>
      </c>
      <c r="H8494" s="13" t="s">
        <v>35</v>
      </c>
    </row>
    <row r="8495" spans="1:8" ht="14.4" x14ac:dyDescent="0.3">
      <c r="A8495" s="8">
        <v>2042125</v>
      </c>
      <c r="B8495" s="11">
        <v>44776</v>
      </c>
      <c r="C8495" s="13" t="s">
        <v>265</v>
      </c>
      <c r="D8495" s="13" t="s">
        <v>10475</v>
      </c>
      <c r="E8495" s="8">
        <v>56434</v>
      </c>
      <c r="F8495" s="13" t="s">
        <v>70</v>
      </c>
      <c r="G8495" s="14">
        <v>44782</v>
      </c>
      <c r="H8495" s="13" t="s">
        <v>35</v>
      </c>
    </row>
    <row r="8496" spans="1:8" ht="14.4" x14ac:dyDescent="0.3">
      <c r="A8496" s="8">
        <v>2042126</v>
      </c>
      <c r="B8496" s="11">
        <v>44776</v>
      </c>
      <c r="C8496" s="13" t="s">
        <v>1424</v>
      </c>
      <c r="D8496" s="13" t="s">
        <v>2562</v>
      </c>
      <c r="E8496" s="8">
        <v>17083.04</v>
      </c>
      <c r="F8496" s="13" t="s">
        <v>70</v>
      </c>
      <c r="G8496" s="14">
        <v>44795</v>
      </c>
      <c r="H8496" s="13" t="s">
        <v>35</v>
      </c>
    </row>
    <row r="8497" spans="1:8" ht="14.4" x14ac:dyDescent="0.3">
      <c r="A8497" s="8">
        <v>2042127</v>
      </c>
      <c r="B8497" s="11">
        <v>44776</v>
      </c>
      <c r="C8497" s="13" t="s">
        <v>1596</v>
      </c>
      <c r="D8497" s="13" t="s">
        <v>10476</v>
      </c>
      <c r="E8497" s="8">
        <v>882</v>
      </c>
      <c r="F8497" s="13" t="s">
        <v>70</v>
      </c>
      <c r="G8497" s="14">
        <v>44778</v>
      </c>
      <c r="H8497" s="13" t="s">
        <v>35</v>
      </c>
    </row>
    <row r="8498" spans="1:8" ht="14.4" x14ac:dyDescent="0.3">
      <c r="A8498" s="8">
        <v>2042128</v>
      </c>
      <c r="B8498" s="11">
        <v>44776</v>
      </c>
      <c r="C8498" s="13" t="s">
        <v>405</v>
      </c>
      <c r="D8498" s="13" t="s">
        <v>10477</v>
      </c>
      <c r="E8498" s="8">
        <v>29028.37</v>
      </c>
      <c r="F8498" s="13" t="s">
        <v>70</v>
      </c>
      <c r="G8498" s="14">
        <v>44778</v>
      </c>
      <c r="H8498" s="13" t="s">
        <v>35</v>
      </c>
    </row>
    <row r="8499" spans="1:8" ht="14.4" x14ac:dyDescent="0.3">
      <c r="A8499" s="8">
        <v>2042129</v>
      </c>
      <c r="B8499" s="11">
        <v>44776</v>
      </c>
      <c r="C8499" s="13" t="s">
        <v>405</v>
      </c>
      <c r="D8499" s="13" t="s">
        <v>10478</v>
      </c>
      <c r="E8499" s="8">
        <v>14161.25</v>
      </c>
      <c r="F8499" s="13" t="s">
        <v>70</v>
      </c>
      <c r="G8499" s="14">
        <v>44778</v>
      </c>
      <c r="H8499" s="13" t="s">
        <v>35</v>
      </c>
    </row>
    <row r="8500" spans="1:8" ht="14.4" x14ac:dyDescent="0.3">
      <c r="A8500" s="8">
        <v>2042130</v>
      </c>
      <c r="B8500" s="11">
        <v>44776</v>
      </c>
      <c r="C8500" s="13" t="s">
        <v>876</v>
      </c>
      <c r="D8500" s="13"/>
      <c r="E8500" s="8">
        <v>97039.56</v>
      </c>
      <c r="F8500" s="13" t="s">
        <v>70</v>
      </c>
      <c r="G8500" s="14">
        <v>44778</v>
      </c>
      <c r="H8500" s="13" t="s">
        <v>35</v>
      </c>
    </row>
    <row r="8501" spans="1:8" ht="14.4" x14ac:dyDescent="0.3">
      <c r="A8501" s="8">
        <v>2042131</v>
      </c>
      <c r="B8501" s="11">
        <v>44776</v>
      </c>
      <c r="C8501" s="13" t="s">
        <v>154</v>
      </c>
      <c r="D8501" s="13" t="s">
        <v>10479</v>
      </c>
      <c r="E8501" s="8">
        <v>107114.35</v>
      </c>
      <c r="F8501" s="13" t="s">
        <v>70</v>
      </c>
      <c r="G8501" s="14">
        <v>44778</v>
      </c>
      <c r="H8501" s="13" t="s">
        <v>35</v>
      </c>
    </row>
    <row r="8502" spans="1:8" ht="14.4" x14ac:dyDescent="0.3">
      <c r="A8502" s="8">
        <v>2042132</v>
      </c>
      <c r="B8502" s="11">
        <v>44776</v>
      </c>
      <c r="C8502" s="13" t="s">
        <v>10480</v>
      </c>
      <c r="D8502" s="13" t="s">
        <v>10479</v>
      </c>
      <c r="E8502" s="8">
        <v>107114.35</v>
      </c>
      <c r="F8502" s="13" t="s">
        <v>70</v>
      </c>
      <c r="G8502" s="14">
        <v>44778</v>
      </c>
      <c r="H8502" s="13" t="s">
        <v>35</v>
      </c>
    </row>
    <row r="8503" spans="1:8" ht="14.4" x14ac:dyDescent="0.3">
      <c r="A8503" s="8">
        <v>2042134</v>
      </c>
      <c r="B8503" s="11">
        <v>44776</v>
      </c>
      <c r="C8503" s="13" t="s">
        <v>10481</v>
      </c>
      <c r="D8503" s="13" t="s">
        <v>10479</v>
      </c>
      <c r="E8503" s="8">
        <v>116985.73</v>
      </c>
      <c r="F8503" s="13" t="s">
        <v>70</v>
      </c>
      <c r="G8503" s="14">
        <v>44778</v>
      </c>
      <c r="H8503" s="13" t="s">
        <v>35</v>
      </c>
    </row>
    <row r="8504" spans="1:8" ht="14.4" x14ac:dyDescent="0.3">
      <c r="A8504" s="8">
        <v>2042135</v>
      </c>
      <c r="B8504" s="11">
        <v>44776</v>
      </c>
      <c r="C8504" s="13" t="s">
        <v>10482</v>
      </c>
      <c r="D8504" s="13" t="s">
        <v>10479</v>
      </c>
      <c r="E8504" s="8">
        <v>107114.35</v>
      </c>
      <c r="F8504" s="13" t="s">
        <v>70</v>
      </c>
      <c r="G8504" s="14">
        <v>44778</v>
      </c>
      <c r="H8504" s="13" t="s">
        <v>35</v>
      </c>
    </row>
    <row r="8505" spans="1:8" ht="14.4" x14ac:dyDescent="0.3">
      <c r="A8505" s="8">
        <v>2042137</v>
      </c>
      <c r="B8505" s="11">
        <v>44778</v>
      </c>
      <c r="C8505" s="13" t="s">
        <v>235</v>
      </c>
      <c r="D8505" s="13" t="s">
        <v>6069</v>
      </c>
      <c r="E8505" s="8">
        <v>398010</v>
      </c>
      <c r="F8505" s="13" t="s">
        <v>70</v>
      </c>
      <c r="G8505" s="14">
        <v>44778</v>
      </c>
      <c r="H8505" s="13" t="s">
        <v>35</v>
      </c>
    </row>
    <row r="8506" spans="1:8" ht="14.4" x14ac:dyDescent="0.3">
      <c r="A8506" s="8">
        <v>2042138</v>
      </c>
      <c r="B8506" s="11">
        <v>44778</v>
      </c>
      <c r="C8506" s="13" t="s">
        <v>188</v>
      </c>
      <c r="D8506" s="13" t="s">
        <v>6070</v>
      </c>
      <c r="E8506" s="8">
        <v>732702.27</v>
      </c>
      <c r="F8506" s="13" t="s">
        <v>70</v>
      </c>
      <c r="G8506" s="14">
        <v>44778</v>
      </c>
      <c r="H8506" s="13" t="s">
        <v>35</v>
      </c>
    </row>
    <row r="8507" spans="1:8" ht="14.4" x14ac:dyDescent="0.3">
      <c r="A8507" s="8">
        <v>2042139</v>
      </c>
      <c r="B8507" s="11">
        <v>44778</v>
      </c>
      <c r="C8507" s="13" t="s">
        <v>10483</v>
      </c>
      <c r="D8507" s="13" t="s">
        <v>10484</v>
      </c>
      <c r="E8507" s="8">
        <v>33120</v>
      </c>
      <c r="F8507" s="13" t="s">
        <v>70</v>
      </c>
      <c r="G8507" s="14">
        <v>44788</v>
      </c>
      <c r="H8507" s="13" t="s">
        <v>35</v>
      </c>
    </row>
    <row r="8508" spans="1:8" ht="14.4" x14ac:dyDescent="0.3">
      <c r="A8508" s="8">
        <v>2042140</v>
      </c>
      <c r="B8508" s="11">
        <v>44778</v>
      </c>
      <c r="C8508" s="13" t="s">
        <v>10485</v>
      </c>
      <c r="D8508" s="13" t="s">
        <v>10486</v>
      </c>
      <c r="E8508" s="8">
        <v>20000</v>
      </c>
      <c r="F8508" s="13" t="s">
        <v>70</v>
      </c>
      <c r="G8508" s="14">
        <v>44778</v>
      </c>
      <c r="H8508" s="13" t="s">
        <v>35</v>
      </c>
    </row>
    <row r="8509" spans="1:8" ht="14.4" x14ac:dyDescent="0.3">
      <c r="A8509" s="8">
        <v>2042141</v>
      </c>
      <c r="B8509" s="11">
        <v>44778</v>
      </c>
      <c r="C8509" s="13" t="s">
        <v>154</v>
      </c>
      <c r="D8509" s="13" t="s">
        <v>10487</v>
      </c>
      <c r="E8509" s="8">
        <v>20000</v>
      </c>
      <c r="F8509" s="13" t="s">
        <v>70</v>
      </c>
      <c r="G8509" s="14">
        <v>44778</v>
      </c>
      <c r="H8509" s="13" t="s">
        <v>35</v>
      </c>
    </row>
    <row r="8510" spans="1:8" ht="14.4" x14ac:dyDescent="0.3">
      <c r="A8510" s="8">
        <v>2042142</v>
      </c>
      <c r="B8510" s="11">
        <v>44778</v>
      </c>
      <c r="C8510" s="13" t="s">
        <v>186</v>
      </c>
      <c r="D8510" s="13" t="s">
        <v>6068</v>
      </c>
      <c r="E8510" s="8">
        <v>240751.91</v>
      </c>
      <c r="F8510" s="13" t="s">
        <v>70</v>
      </c>
      <c r="G8510" s="14">
        <v>44778</v>
      </c>
      <c r="H8510" s="13" t="s">
        <v>35</v>
      </c>
    </row>
    <row r="8511" spans="1:8" ht="14.4" x14ac:dyDescent="0.3">
      <c r="A8511" s="8">
        <v>2042143</v>
      </c>
      <c r="B8511" s="11">
        <v>44778</v>
      </c>
      <c r="C8511" s="13" t="s">
        <v>10488</v>
      </c>
      <c r="D8511" s="13" t="s">
        <v>10489</v>
      </c>
      <c r="E8511" s="8">
        <v>10000</v>
      </c>
      <c r="F8511" s="13" t="s">
        <v>70</v>
      </c>
      <c r="G8511" s="14">
        <v>44784</v>
      </c>
      <c r="H8511" s="13" t="s">
        <v>35</v>
      </c>
    </row>
    <row r="8512" spans="1:8" ht="14.4" x14ac:dyDescent="0.3">
      <c r="A8512" s="8">
        <v>2042144</v>
      </c>
      <c r="B8512" s="11">
        <v>44778</v>
      </c>
      <c r="C8512" s="13" t="s">
        <v>10490</v>
      </c>
      <c r="D8512" s="13" t="s">
        <v>10491</v>
      </c>
      <c r="E8512" s="8">
        <v>27000</v>
      </c>
      <c r="F8512" s="13" t="s">
        <v>70</v>
      </c>
      <c r="G8512" s="14">
        <v>44784</v>
      </c>
      <c r="H8512" s="13" t="s">
        <v>35</v>
      </c>
    </row>
    <row r="8513" spans="1:8" ht="14.4" x14ac:dyDescent="0.3">
      <c r="A8513" s="8">
        <v>2042145</v>
      </c>
      <c r="B8513" s="11">
        <v>44778</v>
      </c>
      <c r="C8513" s="13" t="s">
        <v>10492</v>
      </c>
      <c r="D8513" s="13" t="s">
        <v>10493</v>
      </c>
      <c r="E8513" s="8">
        <v>9000</v>
      </c>
      <c r="F8513" s="13" t="s">
        <v>70</v>
      </c>
      <c r="G8513" s="14">
        <v>44785</v>
      </c>
      <c r="H8513" s="13" t="s">
        <v>35</v>
      </c>
    </row>
    <row r="8514" spans="1:8" ht="14.4" x14ac:dyDescent="0.3">
      <c r="A8514" s="8">
        <v>2042146</v>
      </c>
      <c r="B8514" s="11">
        <v>44778</v>
      </c>
      <c r="C8514" s="13" t="s">
        <v>10494</v>
      </c>
      <c r="D8514" s="13" t="s">
        <v>10495</v>
      </c>
      <c r="E8514" s="8">
        <v>10000</v>
      </c>
      <c r="F8514" s="13" t="s">
        <v>70</v>
      </c>
      <c r="G8514" s="14">
        <v>44784</v>
      </c>
      <c r="H8514" s="13" t="s">
        <v>35</v>
      </c>
    </row>
    <row r="8515" spans="1:8" ht="14.4" x14ac:dyDescent="0.3">
      <c r="A8515" s="8">
        <v>2042147</v>
      </c>
      <c r="B8515" s="11">
        <v>44778</v>
      </c>
      <c r="C8515" s="13" t="s">
        <v>10496</v>
      </c>
      <c r="D8515" s="13" t="s">
        <v>10497</v>
      </c>
      <c r="E8515" s="8">
        <v>50000</v>
      </c>
      <c r="F8515" s="13" t="s">
        <v>70</v>
      </c>
      <c r="G8515" s="14">
        <v>44790</v>
      </c>
      <c r="H8515" s="13" t="s">
        <v>35</v>
      </c>
    </row>
    <row r="8516" spans="1:8" ht="14.4" x14ac:dyDescent="0.3">
      <c r="A8516" s="8">
        <v>2042148</v>
      </c>
      <c r="B8516" s="11">
        <v>44778</v>
      </c>
      <c r="C8516" s="13" t="s">
        <v>10498</v>
      </c>
      <c r="D8516" s="13" t="s">
        <v>10499</v>
      </c>
      <c r="E8516" s="8">
        <v>13000</v>
      </c>
      <c r="F8516" s="13" t="s">
        <v>70</v>
      </c>
      <c r="G8516" s="14">
        <v>44784</v>
      </c>
      <c r="H8516" s="13" t="s">
        <v>35</v>
      </c>
    </row>
    <row r="8517" spans="1:8" ht="14.4" x14ac:dyDescent="0.3">
      <c r="A8517" s="8">
        <v>2042149</v>
      </c>
      <c r="B8517" s="11">
        <v>44778</v>
      </c>
      <c r="C8517" s="13" t="s">
        <v>10500</v>
      </c>
      <c r="D8517" s="13" t="s">
        <v>10501</v>
      </c>
      <c r="E8517" s="8">
        <v>14000</v>
      </c>
      <c r="F8517" s="13" t="s">
        <v>70</v>
      </c>
      <c r="G8517" s="14">
        <v>44784</v>
      </c>
      <c r="H8517" s="13" t="s">
        <v>35</v>
      </c>
    </row>
    <row r="8518" spans="1:8" ht="14.4" x14ac:dyDescent="0.3">
      <c r="A8518" s="8">
        <v>2042150</v>
      </c>
      <c r="B8518" s="11">
        <v>44778</v>
      </c>
      <c r="C8518" s="13" t="s">
        <v>10502</v>
      </c>
      <c r="D8518" s="13" t="s">
        <v>10503</v>
      </c>
      <c r="E8518" s="8">
        <v>27000</v>
      </c>
      <c r="F8518" s="13" t="s">
        <v>70</v>
      </c>
      <c r="G8518" s="14">
        <v>44783</v>
      </c>
      <c r="H8518" s="13" t="s">
        <v>35</v>
      </c>
    </row>
    <row r="8519" spans="1:8" ht="14.4" x14ac:dyDescent="0.3">
      <c r="A8519" s="8">
        <v>2042151</v>
      </c>
      <c r="B8519" s="11">
        <v>44778</v>
      </c>
      <c r="C8519" s="13" t="s">
        <v>180</v>
      </c>
      <c r="D8519" s="13" t="s">
        <v>901</v>
      </c>
      <c r="E8519" s="8">
        <v>147198.24</v>
      </c>
      <c r="F8519" s="13" t="s">
        <v>70</v>
      </c>
      <c r="G8519" s="14">
        <v>44781</v>
      </c>
      <c r="H8519" s="13" t="s">
        <v>35</v>
      </c>
    </row>
    <row r="8520" spans="1:8" ht="14.4" x14ac:dyDescent="0.3">
      <c r="A8520" s="8">
        <v>2042152</v>
      </c>
      <c r="B8520" s="11">
        <v>44778</v>
      </c>
      <c r="C8520" s="13" t="s">
        <v>1956</v>
      </c>
      <c r="D8520" s="13" t="s">
        <v>10504</v>
      </c>
      <c r="E8520" s="8">
        <v>4236214.76</v>
      </c>
      <c r="F8520" s="13" t="s">
        <v>70</v>
      </c>
      <c r="G8520" s="14">
        <v>44782</v>
      </c>
      <c r="H8520" s="13" t="s">
        <v>35</v>
      </c>
    </row>
    <row r="8521" spans="1:8" ht="14.4" x14ac:dyDescent="0.3">
      <c r="A8521" s="8">
        <v>2042153</v>
      </c>
      <c r="B8521" s="11">
        <v>44778</v>
      </c>
      <c r="C8521" s="13" t="s">
        <v>1784</v>
      </c>
      <c r="D8521" s="13" t="s">
        <v>10505</v>
      </c>
      <c r="E8521" s="8">
        <v>1800</v>
      </c>
      <c r="F8521" s="13" t="s">
        <v>70</v>
      </c>
      <c r="G8521" s="14">
        <v>44783</v>
      </c>
      <c r="H8521" s="13" t="s">
        <v>35</v>
      </c>
    </row>
    <row r="8522" spans="1:8" ht="14.4" x14ac:dyDescent="0.3">
      <c r="A8522" s="8">
        <v>2042154</v>
      </c>
      <c r="B8522" s="11">
        <v>44778</v>
      </c>
      <c r="C8522" s="13" t="s">
        <v>1941</v>
      </c>
      <c r="D8522" s="13" t="s">
        <v>10506</v>
      </c>
      <c r="E8522" s="8">
        <v>34730.35</v>
      </c>
      <c r="F8522" s="13" t="s">
        <v>70</v>
      </c>
      <c r="G8522" s="14">
        <v>44788</v>
      </c>
      <c r="H8522" s="13" t="s">
        <v>35</v>
      </c>
    </row>
    <row r="8523" spans="1:8" ht="14.4" x14ac:dyDescent="0.3">
      <c r="A8523" s="8">
        <v>2042155</v>
      </c>
      <c r="B8523" s="11">
        <v>44778</v>
      </c>
      <c r="C8523" s="13" t="s">
        <v>1941</v>
      </c>
      <c r="D8523" s="13" t="s">
        <v>10507</v>
      </c>
      <c r="E8523" s="8">
        <v>6544.64</v>
      </c>
      <c r="F8523" s="13" t="s">
        <v>70</v>
      </c>
      <c r="G8523" s="14">
        <v>44788</v>
      </c>
      <c r="H8523" s="13" t="s">
        <v>35</v>
      </c>
    </row>
    <row r="8524" spans="1:8" ht="14.4" x14ac:dyDescent="0.3">
      <c r="A8524" s="8">
        <v>2042156</v>
      </c>
      <c r="B8524" s="11">
        <v>44778</v>
      </c>
      <c r="C8524" s="13" t="s">
        <v>1946</v>
      </c>
      <c r="D8524" s="13" t="s">
        <v>10508</v>
      </c>
      <c r="E8524" s="8">
        <v>9275</v>
      </c>
      <c r="F8524" s="13" t="s">
        <v>70</v>
      </c>
      <c r="G8524" s="14">
        <v>44788</v>
      </c>
      <c r="H8524" s="13" t="s">
        <v>35</v>
      </c>
    </row>
    <row r="8525" spans="1:8" ht="14.4" x14ac:dyDescent="0.3">
      <c r="A8525" s="8">
        <v>2042157</v>
      </c>
      <c r="B8525" s="11">
        <v>44778</v>
      </c>
      <c r="C8525" s="13" t="s">
        <v>405</v>
      </c>
      <c r="D8525" s="13" t="s">
        <v>10509</v>
      </c>
      <c r="E8525" s="8">
        <v>14058.8</v>
      </c>
      <c r="F8525" s="13" t="s">
        <v>70</v>
      </c>
      <c r="G8525" s="14">
        <v>44782</v>
      </c>
      <c r="H8525" s="13" t="s">
        <v>35</v>
      </c>
    </row>
    <row r="8526" spans="1:8" ht="14.4" x14ac:dyDescent="0.3">
      <c r="A8526" s="8">
        <v>2042158</v>
      </c>
      <c r="B8526" s="11">
        <v>44778</v>
      </c>
      <c r="C8526" s="13" t="s">
        <v>3702</v>
      </c>
      <c r="D8526" s="13" t="s">
        <v>10510</v>
      </c>
      <c r="E8526" s="8">
        <v>18281.25</v>
      </c>
      <c r="F8526" s="13" t="s">
        <v>70</v>
      </c>
      <c r="G8526" s="14">
        <v>44791</v>
      </c>
      <c r="H8526" s="13" t="s">
        <v>35</v>
      </c>
    </row>
    <row r="8527" spans="1:8" ht="14.4" x14ac:dyDescent="0.3">
      <c r="A8527" s="8">
        <v>2042159</v>
      </c>
      <c r="B8527" s="11">
        <v>44778</v>
      </c>
      <c r="C8527" s="13" t="s">
        <v>201</v>
      </c>
      <c r="D8527" s="13" t="s">
        <v>10511</v>
      </c>
      <c r="E8527" s="8">
        <v>70853</v>
      </c>
      <c r="F8527" s="13" t="s">
        <v>70</v>
      </c>
      <c r="G8527" s="14">
        <v>44783</v>
      </c>
      <c r="H8527" s="13" t="s">
        <v>35</v>
      </c>
    </row>
    <row r="8528" spans="1:8" ht="14.4" x14ac:dyDescent="0.3">
      <c r="A8528" s="8">
        <v>2042160</v>
      </c>
      <c r="B8528" s="11">
        <v>44778</v>
      </c>
      <c r="C8528" s="13" t="s">
        <v>1993</v>
      </c>
      <c r="D8528" s="13" t="s">
        <v>10512</v>
      </c>
      <c r="E8528" s="8">
        <v>31470.55</v>
      </c>
      <c r="F8528" s="13" t="s">
        <v>70</v>
      </c>
      <c r="G8528" s="14">
        <v>44791</v>
      </c>
      <c r="H8528" s="13" t="s">
        <v>35</v>
      </c>
    </row>
    <row r="8529" spans="1:8" ht="14.4" x14ac:dyDescent="0.3">
      <c r="A8529" s="8">
        <v>2042161</v>
      </c>
      <c r="B8529" s="11">
        <v>44778</v>
      </c>
      <c r="C8529" s="13" t="s">
        <v>10513</v>
      </c>
      <c r="D8529" s="13" t="s">
        <v>10514</v>
      </c>
      <c r="E8529" s="8">
        <v>37801.279999999999</v>
      </c>
      <c r="F8529" s="13" t="s">
        <v>70</v>
      </c>
      <c r="G8529" s="14">
        <v>44781</v>
      </c>
      <c r="H8529" s="13" t="s">
        <v>35</v>
      </c>
    </row>
    <row r="8530" spans="1:8" ht="14.4" x14ac:dyDescent="0.3">
      <c r="A8530" s="8">
        <v>2042162</v>
      </c>
      <c r="B8530" s="11">
        <v>44778</v>
      </c>
      <c r="C8530" s="13" t="s">
        <v>10515</v>
      </c>
      <c r="D8530" s="13" t="s">
        <v>10516</v>
      </c>
      <c r="E8530" s="8">
        <v>71741.25</v>
      </c>
      <c r="F8530" s="13" t="s">
        <v>70</v>
      </c>
      <c r="G8530" s="14">
        <v>44784</v>
      </c>
      <c r="H8530" s="13" t="s">
        <v>35</v>
      </c>
    </row>
    <row r="8531" spans="1:8" ht="14.4" x14ac:dyDescent="0.3">
      <c r="A8531" s="8">
        <v>2042163</v>
      </c>
      <c r="B8531" s="11">
        <v>44778</v>
      </c>
      <c r="C8531" s="13" t="s">
        <v>10515</v>
      </c>
      <c r="D8531" s="13" t="s">
        <v>10517</v>
      </c>
      <c r="E8531" s="8">
        <v>75000</v>
      </c>
      <c r="F8531" s="13" t="s">
        <v>70</v>
      </c>
      <c r="G8531" s="14">
        <v>44784</v>
      </c>
      <c r="H8531" s="13" t="s">
        <v>35</v>
      </c>
    </row>
    <row r="8532" spans="1:8" ht="14.4" x14ac:dyDescent="0.3">
      <c r="A8532" s="8">
        <v>2042164</v>
      </c>
      <c r="B8532" s="11">
        <v>44778</v>
      </c>
      <c r="C8532" s="13" t="s">
        <v>1430</v>
      </c>
      <c r="D8532" s="13" t="s">
        <v>10518</v>
      </c>
      <c r="E8532" s="8">
        <v>8799</v>
      </c>
      <c r="F8532" s="13" t="s">
        <v>70</v>
      </c>
      <c r="G8532" s="14">
        <v>44781</v>
      </c>
      <c r="H8532" s="13" t="s">
        <v>35</v>
      </c>
    </row>
    <row r="8533" spans="1:8" ht="14.4" x14ac:dyDescent="0.3">
      <c r="A8533" s="8">
        <v>2042165</v>
      </c>
      <c r="B8533" s="11">
        <v>44778</v>
      </c>
      <c r="C8533" s="13" t="s">
        <v>124</v>
      </c>
      <c r="D8533" s="13" t="s">
        <v>10519</v>
      </c>
      <c r="E8533" s="8">
        <v>8921.0400000000009</v>
      </c>
      <c r="F8533" s="13" t="s">
        <v>70</v>
      </c>
      <c r="G8533" s="14">
        <v>44785</v>
      </c>
      <c r="H8533" s="13" t="s">
        <v>35</v>
      </c>
    </row>
    <row r="8534" spans="1:8" ht="14.4" x14ac:dyDescent="0.3">
      <c r="A8534" s="8">
        <v>2042166</v>
      </c>
      <c r="B8534" s="11">
        <v>44778</v>
      </c>
      <c r="C8534" s="13" t="s">
        <v>2842</v>
      </c>
      <c r="D8534" s="13" t="s">
        <v>10520</v>
      </c>
      <c r="E8534" s="8">
        <v>10000</v>
      </c>
      <c r="F8534" s="13" t="s">
        <v>70</v>
      </c>
      <c r="G8534" s="14">
        <v>44785</v>
      </c>
      <c r="H8534" s="13" t="s">
        <v>35</v>
      </c>
    </row>
    <row r="8535" spans="1:8" ht="14.4" x14ac:dyDescent="0.3">
      <c r="A8535" s="8">
        <v>2042167</v>
      </c>
      <c r="B8535" s="11">
        <v>44778</v>
      </c>
      <c r="C8535" s="13" t="s">
        <v>10521</v>
      </c>
      <c r="D8535" s="13" t="s">
        <v>7705</v>
      </c>
      <c r="E8535" s="8">
        <v>6000</v>
      </c>
      <c r="F8535" s="13" t="s">
        <v>70</v>
      </c>
      <c r="G8535" s="14">
        <v>44781</v>
      </c>
      <c r="H8535" s="13" t="s">
        <v>35</v>
      </c>
    </row>
    <row r="8536" spans="1:8" ht="14.4" x14ac:dyDescent="0.3">
      <c r="A8536" s="8">
        <v>2042168</v>
      </c>
      <c r="B8536" s="11">
        <v>44778</v>
      </c>
      <c r="C8536" s="13" t="s">
        <v>1286</v>
      </c>
      <c r="D8536" s="13" t="s">
        <v>10522</v>
      </c>
      <c r="E8536" s="8">
        <v>46385.279999999999</v>
      </c>
      <c r="F8536" s="13" t="s">
        <v>70</v>
      </c>
      <c r="G8536" s="14">
        <v>44782</v>
      </c>
      <c r="H8536" s="13" t="s">
        <v>35</v>
      </c>
    </row>
    <row r="8537" spans="1:8" ht="14.4" x14ac:dyDescent="0.3">
      <c r="A8537" s="8">
        <v>2042169</v>
      </c>
      <c r="B8537" s="11">
        <v>44778</v>
      </c>
      <c r="C8537" s="13" t="s">
        <v>1286</v>
      </c>
      <c r="D8537" s="13" t="s">
        <v>10523</v>
      </c>
      <c r="E8537" s="8">
        <v>41182.26</v>
      </c>
      <c r="F8537" s="13" t="s">
        <v>70</v>
      </c>
      <c r="G8537" s="14">
        <v>44782</v>
      </c>
      <c r="H8537" s="13" t="s">
        <v>35</v>
      </c>
    </row>
    <row r="8538" spans="1:8" ht="14.4" x14ac:dyDescent="0.3">
      <c r="A8538" s="8">
        <v>2042170</v>
      </c>
      <c r="B8538" s="11">
        <v>44778</v>
      </c>
      <c r="C8538" s="13" t="s">
        <v>10524</v>
      </c>
      <c r="D8538" s="13" t="s">
        <v>10525</v>
      </c>
      <c r="E8538" s="8">
        <v>25164.28</v>
      </c>
      <c r="F8538" s="13" t="s">
        <v>70</v>
      </c>
      <c r="G8538" s="14">
        <v>44785</v>
      </c>
      <c r="H8538" s="13" t="s">
        <v>35</v>
      </c>
    </row>
    <row r="8539" spans="1:8" ht="14.4" x14ac:dyDescent="0.3">
      <c r="A8539" s="8">
        <v>2042171</v>
      </c>
      <c r="B8539" s="11">
        <v>44778</v>
      </c>
      <c r="C8539" s="13" t="s">
        <v>1342</v>
      </c>
      <c r="D8539" s="13" t="s">
        <v>10526</v>
      </c>
      <c r="E8539" s="8">
        <v>4508</v>
      </c>
      <c r="F8539" s="13" t="s">
        <v>70</v>
      </c>
      <c r="G8539" s="14">
        <v>44791</v>
      </c>
      <c r="H8539" s="13" t="s">
        <v>35</v>
      </c>
    </row>
    <row r="8540" spans="1:8" ht="14.4" x14ac:dyDescent="0.3">
      <c r="A8540" s="8">
        <v>2042172</v>
      </c>
      <c r="B8540" s="11">
        <v>44778</v>
      </c>
      <c r="C8540" s="13" t="s">
        <v>10527</v>
      </c>
      <c r="D8540" s="13" t="s">
        <v>10528</v>
      </c>
      <c r="E8540" s="8">
        <v>15132</v>
      </c>
      <c r="F8540" s="13" t="s">
        <v>70</v>
      </c>
      <c r="G8540" s="14">
        <v>44791</v>
      </c>
      <c r="H8540" s="13" t="s">
        <v>35</v>
      </c>
    </row>
    <row r="8541" spans="1:8" ht="14.4" x14ac:dyDescent="0.3">
      <c r="A8541" s="8">
        <v>2042173</v>
      </c>
      <c r="B8541" s="11">
        <v>44778</v>
      </c>
      <c r="C8541" s="13" t="s">
        <v>201</v>
      </c>
      <c r="D8541" s="13" t="s">
        <v>10529</v>
      </c>
      <c r="E8541" s="8">
        <v>18193.669999999998</v>
      </c>
      <c r="F8541" s="13" t="s">
        <v>70</v>
      </c>
      <c r="G8541" s="14">
        <v>44783</v>
      </c>
      <c r="H8541" s="13" t="s">
        <v>35</v>
      </c>
    </row>
    <row r="8542" spans="1:8" ht="14.4" x14ac:dyDescent="0.3">
      <c r="A8542" s="8">
        <v>2042174</v>
      </c>
      <c r="B8542" s="11">
        <v>44778</v>
      </c>
      <c r="C8542" s="13" t="s">
        <v>1784</v>
      </c>
      <c r="D8542" s="13" t="s">
        <v>10530</v>
      </c>
      <c r="E8542" s="8">
        <v>7500</v>
      </c>
      <c r="F8542" s="13" t="s">
        <v>70</v>
      </c>
      <c r="G8542" s="14">
        <v>44783</v>
      </c>
      <c r="H8542" s="13" t="s">
        <v>35</v>
      </c>
    </row>
    <row r="8543" spans="1:8" ht="14.4" x14ac:dyDescent="0.3">
      <c r="A8543" s="8">
        <v>2042175</v>
      </c>
      <c r="B8543" s="11">
        <v>44778</v>
      </c>
      <c r="C8543" s="13" t="s">
        <v>127</v>
      </c>
      <c r="D8543" s="13" t="s">
        <v>10531</v>
      </c>
      <c r="E8543" s="8">
        <v>8517.85</v>
      </c>
      <c r="F8543" s="13" t="s">
        <v>70</v>
      </c>
      <c r="G8543" s="14">
        <v>44785</v>
      </c>
      <c r="H8543" s="13" t="s">
        <v>35</v>
      </c>
    </row>
    <row r="8544" spans="1:8" ht="14.4" x14ac:dyDescent="0.3">
      <c r="A8544" s="8">
        <v>2042176</v>
      </c>
      <c r="B8544" s="11">
        <v>44778</v>
      </c>
      <c r="C8544" s="13" t="s">
        <v>1784</v>
      </c>
      <c r="D8544" s="13" t="s">
        <v>10532</v>
      </c>
      <c r="E8544" s="8">
        <v>900</v>
      </c>
      <c r="F8544" s="13" t="s">
        <v>70</v>
      </c>
      <c r="G8544" s="14">
        <v>44783</v>
      </c>
      <c r="H8544" s="13" t="s">
        <v>35</v>
      </c>
    </row>
    <row r="8545" spans="1:8" ht="14.4" x14ac:dyDescent="0.3">
      <c r="A8545" s="8">
        <v>2042177</v>
      </c>
      <c r="B8545" s="11">
        <v>44778</v>
      </c>
      <c r="C8545" s="13" t="s">
        <v>2403</v>
      </c>
      <c r="D8545" s="13" t="s">
        <v>10533</v>
      </c>
      <c r="E8545" s="8">
        <v>206240.9</v>
      </c>
      <c r="F8545" s="13" t="s">
        <v>70</v>
      </c>
      <c r="G8545" s="14">
        <v>44783</v>
      </c>
      <c r="H8545" s="13" t="s">
        <v>35</v>
      </c>
    </row>
    <row r="8546" spans="1:8" ht="14.4" x14ac:dyDescent="0.3">
      <c r="A8546" s="8">
        <v>2042178</v>
      </c>
      <c r="B8546" s="11">
        <v>44778</v>
      </c>
      <c r="C8546" s="13" t="s">
        <v>1784</v>
      </c>
      <c r="D8546" s="13" t="s">
        <v>10534</v>
      </c>
      <c r="E8546" s="8">
        <v>17500</v>
      </c>
      <c r="F8546" s="13" t="s">
        <v>70</v>
      </c>
      <c r="G8546" s="14">
        <v>44783</v>
      </c>
      <c r="H8546" s="13" t="s">
        <v>35</v>
      </c>
    </row>
    <row r="8547" spans="1:8" ht="14.4" x14ac:dyDescent="0.3">
      <c r="A8547" s="8">
        <v>2042179</v>
      </c>
      <c r="B8547" s="11">
        <v>44778</v>
      </c>
      <c r="C8547" s="13" t="s">
        <v>1784</v>
      </c>
      <c r="D8547" s="13" t="s">
        <v>10535</v>
      </c>
      <c r="E8547" s="8">
        <v>10000</v>
      </c>
      <c r="F8547" s="13" t="s">
        <v>70</v>
      </c>
      <c r="G8547" s="14">
        <v>44783</v>
      </c>
      <c r="H8547" s="13" t="s">
        <v>35</v>
      </c>
    </row>
    <row r="8548" spans="1:8" ht="14.4" x14ac:dyDescent="0.3">
      <c r="A8548" s="8">
        <v>2042180</v>
      </c>
      <c r="B8548" s="11">
        <v>44778</v>
      </c>
      <c r="C8548" s="13" t="s">
        <v>1784</v>
      </c>
      <c r="D8548" s="13" t="s">
        <v>10536</v>
      </c>
      <c r="E8548" s="8">
        <v>17500</v>
      </c>
      <c r="F8548" s="13" t="s">
        <v>70</v>
      </c>
      <c r="G8548" s="14">
        <v>44783</v>
      </c>
      <c r="H8548" s="13" t="s">
        <v>35</v>
      </c>
    </row>
    <row r="8549" spans="1:8" ht="14.4" x14ac:dyDescent="0.3">
      <c r="A8549" s="8">
        <v>2042181</v>
      </c>
      <c r="B8549" s="11">
        <v>44778</v>
      </c>
      <c r="C8549" s="13" t="s">
        <v>10537</v>
      </c>
      <c r="D8549" s="13" t="s">
        <v>10538</v>
      </c>
      <c r="E8549" s="8">
        <v>37968.75</v>
      </c>
      <c r="F8549" s="13" t="s">
        <v>70</v>
      </c>
      <c r="G8549" s="14">
        <v>44805</v>
      </c>
      <c r="H8549" s="13" t="s">
        <v>35</v>
      </c>
    </row>
    <row r="8550" spans="1:8" ht="14.4" x14ac:dyDescent="0.3">
      <c r="A8550" s="8">
        <v>2042182</v>
      </c>
      <c r="B8550" s="11">
        <v>44778</v>
      </c>
      <c r="C8550" s="13" t="s">
        <v>1784</v>
      </c>
      <c r="D8550" s="13" t="s">
        <v>10505</v>
      </c>
      <c r="E8550" s="8">
        <v>10000</v>
      </c>
      <c r="F8550" s="13" t="s">
        <v>70</v>
      </c>
      <c r="G8550" s="14">
        <v>44783</v>
      </c>
      <c r="H8550" s="13" t="s">
        <v>35</v>
      </c>
    </row>
    <row r="8551" spans="1:8" ht="14.4" x14ac:dyDescent="0.3">
      <c r="A8551" s="8">
        <v>2042183</v>
      </c>
      <c r="B8551" s="11">
        <v>44778</v>
      </c>
      <c r="C8551" s="13" t="s">
        <v>1584</v>
      </c>
      <c r="D8551" s="13" t="s">
        <v>10539</v>
      </c>
      <c r="E8551" s="8">
        <v>26963.74</v>
      </c>
      <c r="F8551" s="13" t="s">
        <v>70</v>
      </c>
      <c r="G8551" s="14">
        <v>44789</v>
      </c>
      <c r="H8551" s="13" t="s">
        <v>35</v>
      </c>
    </row>
    <row r="8552" spans="1:8" ht="14.4" x14ac:dyDescent="0.3">
      <c r="A8552" s="8">
        <v>2042184</v>
      </c>
      <c r="B8552" s="11">
        <v>44778</v>
      </c>
      <c r="C8552" s="13" t="s">
        <v>673</v>
      </c>
      <c r="D8552" s="13" t="s">
        <v>10540</v>
      </c>
      <c r="E8552" s="8">
        <v>48020</v>
      </c>
      <c r="F8552" s="13" t="s">
        <v>70</v>
      </c>
      <c r="G8552" s="14">
        <v>44789</v>
      </c>
      <c r="H8552" s="13" t="s">
        <v>35</v>
      </c>
    </row>
    <row r="8553" spans="1:8" ht="14.4" x14ac:dyDescent="0.3">
      <c r="A8553" s="8">
        <v>2042185</v>
      </c>
      <c r="B8553" s="11">
        <v>44778</v>
      </c>
      <c r="C8553" s="13" t="s">
        <v>1941</v>
      </c>
      <c r="D8553" s="13" t="s">
        <v>10541</v>
      </c>
      <c r="E8553" s="8">
        <v>36805.449999999997</v>
      </c>
      <c r="F8553" s="13" t="s">
        <v>70</v>
      </c>
      <c r="G8553" s="14">
        <v>44788</v>
      </c>
      <c r="H8553" s="13" t="s">
        <v>35</v>
      </c>
    </row>
    <row r="8554" spans="1:8" ht="14.4" x14ac:dyDescent="0.3">
      <c r="A8554" s="8">
        <v>2042186</v>
      </c>
      <c r="B8554" s="11">
        <v>44778</v>
      </c>
      <c r="C8554" s="13" t="s">
        <v>202</v>
      </c>
      <c r="D8554" s="13" t="s">
        <v>10542</v>
      </c>
      <c r="E8554" s="8">
        <v>1801594.93</v>
      </c>
      <c r="F8554" s="13" t="s">
        <v>70</v>
      </c>
      <c r="G8554" s="14">
        <v>44781</v>
      </c>
      <c r="H8554" s="13" t="s">
        <v>35</v>
      </c>
    </row>
    <row r="8555" spans="1:8" ht="14.4" x14ac:dyDescent="0.3">
      <c r="A8555" s="8">
        <v>2042187</v>
      </c>
      <c r="B8555" s="11">
        <v>44781</v>
      </c>
      <c r="C8555" s="13" t="s">
        <v>10543</v>
      </c>
      <c r="D8555" s="13" t="s">
        <v>10544</v>
      </c>
      <c r="E8555" s="8">
        <v>50226.81</v>
      </c>
      <c r="F8555" s="13" t="s">
        <v>70</v>
      </c>
      <c r="G8555" s="14">
        <v>44783</v>
      </c>
      <c r="H8555" s="13" t="s">
        <v>35</v>
      </c>
    </row>
    <row r="8556" spans="1:8" ht="14.4" x14ac:dyDescent="0.3">
      <c r="A8556" s="8">
        <v>2042188</v>
      </c>
      <c r="B8556" s="11">
        <v>44781</v>
      </c>
      <c r="C8556" s="13" t="s">
        <v>10545</v>
      </c>
      <c r="D8556" s="13" t="s">
        <v>10546</v>
      </c>
      <c r="E8556" s="8">
        <v>20000</v>
      </c>
      <c r="F8556" s="13" t="s">
        <v>70</v>
      </c>
      <c r="G8556" s="14">
        <v>44789</v>
      </c>
      <c r="H8556" s="13" t="s">
        <v>35</v>
      </c>
    </row>
    <row r="8557" spans="1:8" ht="14.4" x14ac:dyDescent="0.3">
      <c r="A8557" s="8">
        <v>2042189</v>
      </c>
      <c r="B8557" s="11">
        <v>44781</v>
      </c>
      <c r="C8557" s="13" t="s">
        <v>2378</v>
      </c>
      <c r="D8557" s="13" t="s">
        <v>10547</v>
      </c>
      <c r="E8557" s="8">
        <v>1355000</v>
      </c>
      <c r="F8557" s="13" t="s">
        <v>70</v>
      </c>
      <c r="G8557" s="14">
        <v>44789</v>
      </c>
      <c r="H8557" s="13" t="s">
        <v>35</v>
      </c>
    </row>
    <row r="8558" spans="1:8" ht="14.4" x14ac:dyDescent="0.3">
      <c r="A8558" s="8">
        <v>2042190</v>
      </c>
      <c r="B8558" s="11">
        <v>44781</v>
      </c>
      <c r="C8558" s="13" t="s">
        <v>2419</v>
      </c>
      <c r="D8558" s="13" t="s">
        <v>10548</v>
      </c>
      <c r="E8558" s="8">
        <v>2439000</v>
      </c>
      <c r="F8558" s="13" t="s">
        <v>70</v>
      </c>
      <c r="G8558" s="14">
        <v>44785</v>
      </c>
      <c r="H8558" s="13" t="s">
        <v>35</v>
      </c>
    </row>
    <row r="8559" spans="1:8" ht="14.4" x14ac:dyDescent="0.3">
      <c r="A8559" s="8">
        <v>2042191</v>
      </c>
      <c r="B8559" s="11">
        <v>44781</v>
      </c>
      <c r="C8559" s="13" t="s">
        <v>265</v>
      </c>
      <c r="D8559" s="13" t="s">
        <v>10549</v>
      </c>
      <c r="E8559" s="8">
        <v>161012.71</v>
      </c>
      <c r="F8559" s="13" t="s">
        <v>70</v>
      </c>
      <c r="G8559" s="14">
        <v>44782</v>
      </c>
      <c r="H8559" s="13" t="s">
        <v>35</v>
      </c>
    </row>
    <row r="8560" spans="1:8" ht="14.4" x14ac:dyDescent="0.3">
      <c r="A8560" s="8">
        <v>2042192</v>
      </c>
      <c r="B8560" s="11">
        <v>44781</v>
      </c>
      <c r="C8560" s="13" t="s">
        <v>10550</v>
      </c>
      <c r="D8560" s="13"/>
      <c r="E8560" s="8">
        <v>9303.2900000000009</v>
      </c>
      <c r="F8560" s="13" t="s">
        <v>70</v>
      </c>
      <c r="G8560" s="14">
        <v>44782</v>
      </c>
      <c r="H8560" s="13" t="s">
        <v>35</v>
      </c>
    </row>
    <row r="8561" spans="1:8" ht="14.4" x14ac:dyDescent="0.3">
      <c r="A8561" s="8">
        <v>2042193</v>
      </c>
      <c r="B8561" s="11">
        <v>44781</v>
      </c>
      <c r="C8561" s="13" t="s">
        <v>2382</v>
      </c>
      <c r="D8561" s="13" t="s">
        <v>10551</v>
      </c>
      <c r="E8561" s="8">
        <v>131000</v>
      </c>
      <c r="F8561" s="13" t="s">
        <v>70</v>
      </c>
      <c r="G8561" s="14">
        <v>44795</v>
      </c>
      <c r="H8561" s="13" t="s">
        <v>35</v>
      </c>
    </row>
    <row r="8562" spans="1:8" ht="14.4" x14ac:dyDescent="0.3">
      <c r="A8562" s="8">
        <v>2042194</v>
      </c>
      <c r="B8562" s="11">
        <v>44781</v>
      </c>
      <c r="C8562" s="13" t="s">
        <v>2378</v>
      </c>
      <c r="D8562" s="13" t="s">
        <v>10552</v>
      </c>
      <c r="E8562" s="8">
        <v>1558000</v>
      </c>
      <c r="F8562" s="13" t="s">
        <v>70</v>
      </c>
      <c r="G8562" s="14">
        <v>44789</v>
      </c>
      <c r="H8562" s="13" t="s">
        <v>35</v>
      </c>
    </row>
    <row r="8563" spans="1:8" ht="14.4" x14ac:dyDescent="0.3">
      <c r="A8563" s="8">
        <v>2042195</v>
      </c>
      <c r="B8563" s="11">
        <v>44781</v>
      </c>
      <c r="C8563" s="13" t="s">
        <v>10553</v>
      </c>
      <c r="D8563" s="13" t="s">
        <v>10554</v>
      </c>
      <c r="E8563" s="8">
        <v>53000</v>
      </c>
      <c r="F8563" s="13" t="s">
        <v>70</v>
      </c>
      <c r="G8563" s="14">
        <v>44788</v>
      </c>
      <c r="H8563" s="13" t="s">
        <v>35</v>
      </c>
    </row>
    <row r="8564" spans="1:8" ht="14.4" x14ac:dyDescent="0.3">
      <c r="A8564" s="8">
        <v>2042196</v>
      </c>
      <c r="B8564" s="11">
        <v>44781</v>
      </c>
      <c r="C8564" s="13" t="s">
        <v>2378</v>
      </c>
      <c r="D8564" s="13" t="s">
        <v>10555</v>
      </c>
      <c r="E8564" s="8">
        <v>109000</v>
      </c>
      <c r="F8564" s="13" t="s">
        <v>70</v>
      </c>
      <c r="G8564" s="14">
        <v>44789</v>
      </c>
      <c r="H8564" s="13" t="s">
        <v>35</v>
      </c>
    </row>
    <row r="8565" spans="1:8" ht="14.4" x14ac:dyDescent="0.3">
      <c r="A8565" s="8">
        <v>2042197</v>
      </c>
      <c r="B8565" s="11">
        <v>44781</v>
      </c>
      <c r="C8565" s="13" t="s">
        <v>2453</v>
      </c>
      <c r="D8565" s="13" t="s">
        <v>10556</v>
      </c>
      <c r="E8565" s="8">
        <v>70000</v>
      </c>
      <c r="F8565" s="13" t="s">
        <v>70</v>
      </c>
      <c r="G8565" s="14">
        <v>44785</v>
      </c>
      <c r="H8565" s="13" t="s">
        <v>35</v>
      </c>
    </row>
    <row r="8566" spans="1:8" ht="14.4" x14ac:dyDescent="0.3">
      <c r="A8566" s="8">
        <v>2042198</v>
      </c>
      <c r="B8566" s="11">
        <v>44781</v>
      </c>
      <c r="C8566" s="13" t="s">
        <v>2388</v>
      </c>
      <c r="D8566" s="13" t="s">
        <v>10557</v>
      </c>
      <c r="E8566" s="8">
        <v>158000</v>
      </c>
      <c r="F8566" s="13" t="s">
        <v>70</v>
      </c>
      <c r="G8566" s="14">
        <v>44783</v>
      </c>
      <c r="H8566" s="13" t="s">
        <v>35</v>
      </c>
    </row>
    <row r="8567" spans="1:8" ht="14.4" x14ac:dyDescent="0.3">
      <c r="A8567" s="8">
        <v>2042199</v>
      </c>
      <c r="B8567" s="11">
        <v>44781</v>
      </c>
      <c r="C8567" s="13" t="s">
        <v>2453</v>
      </c>
      <c r="D8567" s="13" t="s">
        <v>10558</v>
      </c>
      <c r="E8567" s="8">
        <v>60000</v>
      </c>
      <c r="F8567" s="13" t="s">
        <v>70</v>
      </c>
      <c r="G8567" s="14">
        <v>44790</v>
      </c>
      <c r="H8567" s="13" t="s">
        <v>35</v>
      </c>
    </row>
    <row r="8568" spans="1:8" ht="14.4" x14ac:dyDescent="0.3">
      <c r="A8568" s="8">
        <v>2042200</v>
      </c>
      <c r="B8568" s="11">
        <v>44781</v>
      </c>
      <c r="C8568" s="13" t="s">
        <v>345</v>
      </c>
      <c r="D8568" s="13" t="s">
        <v>10559</v>
      </c>
      <c r="E8568" s="8">
        <v>10000</v>
      </c>
      <c r="F8568" s="13" t="s">
        <v>70</v>
      </c>
      <c r="G8568" s="14">
        <v>44783</v>
      </c>
      <c r="H8568" s="13" t="s">
        <v>35</v>
      </c>
    </row>
    <row r="8569" spans="1:8" ht="14.4" x14ac:dyDescent="0.3">
      <c r="A8569" s="8">
        <v>2042201</v>
      </c>
      <c r="B8569" s="11">
        <v>44781</v>
      </c>
      <c r="C8569" s="13" t="s">
        <v>159</v>
      </c>
      <c r="D8569" s="13" t="s">
        <v>10560</v>
      </c>
      <c r="E8569" s="8">
        <v>339300</v>
      </c>
      <c r="F8569" s="13" t="s">
        <v>70</v>
      </c>
      <c r="G8569" s="14">
        <v>44781</v>
      </c>
      <c r="H8569" s="13" t="s">
        <v>35</v>
      </c>
    </row>
    <row r="8570" spans="1:8" ht="14.4" x14ac:dyDescent="0.3">
      <c r="A8570" s="8">
        <v>2042202</v>
      </c>
      <c r="B8570" s="11">
        <v>44781</v>
      </c>
      <c r="C8570" s="13" t="s">
        <v>184</v>
      </c>
      <c r="D8570" s="13" t="s">
        <v>6078</v>
      </c>
      <c r="E8570" s="8">
        <v>193450.67</v>
      </c>
      <c r="F8570" s="13" t="s">
        <v>70</v>
      </c>
      <c r="G8570" s="14">
        <v>44783</v>
      </c>
      <c r="H8570" s="13" t="s">
        <v>35</v>
      </c>
    </row>
    <row r="8571" spans="1:8" ht="14.4" x14ac:dyDescent="0.3">
      <c r="A8571" s="8">
        <v>2042203</v>
      </c>
      <c r="B8571" s="11">
        <v>44781</v>
      </c>
      <c r="C8571" s="13" t="s">
        <v>184</v>
      </c>
      <c r="D8571" s="13" t="s">
        <v>6079</v>
      </c>
      <c r="E8571" s="8">
        <v>260179.41</v>
      </c>
      <c r="F8571" s="13" t="s">
        <v>70</v>
      </c>
      <c r="G8571" s="14">
        <v>44783</v>
      </c>
      <c r="H8571" s="13" t="s">
        <v>35</v>
      </c>
    </row>
    <row r="8572" spans="1:8" ht="14.4" x14ac:dyDescent="0.3">
      <c r="A8572" s="8">
        <v>2042204</v>
      </c>
      <c r="B8572" s="11">
        <v>44781</v>
      </c>
      <c r="C8572" s="13" t="s">
        <v>346</v>
      </c>
      <c r="D8572" s="13" t="s">
        <v>10559</v>
      </c>
      <c r="E8572" s="8">
        <v>5000</v>
      </c>
      <c r="F8572" s="13" t="s">
        <v>70</v>
      </c>
      <c r="G8572" s="14">
        <v>44783</v>
      </c>
      <c r="H8572" s="13" t="s">
        <v>35</v>
      </c>
    </row>
    <row r="8573" spans="1:8" ht="14.4" x14ac:dyDescent="0.3">
      <c r="A8573" s="8">
        <v>2042205</v>
      </c>
      <c r="B8573" s="11">
        <v>44781</v>
      </c>
      <c r="C8573" s="13" t="s">
        <v>347</v>
      </c>
      <c r="D8573" s="13" t="s">
        <v>10559</v>
      </c>
      <c r="E8573" s="8">
        <v>3000</v>
      </c>
      <c r="F8573" s="13" t="s">
        <v>70</v>
      </c>
      <c r="G8573" s="14">
        <v>44783</v>
      </c>
      <c r="H8573" s="13" t="s">
        <v>35</v>
      </c>
    </row>
    <row r="8574" spans="1:8" ht="14.4" x14ac:dyDescent="0.3">
      <c r="A8574" s="8">
        <v>2042206</v>
      </c>
      <c r="B8574" s="11">
        <v>44781</v>
      </c>
      <c r="C8574" s="13" t="s">
        <v>318</v>
      </c>
      <c r="D8574" s="13" t="s">
        <v>10561</v>
      </c>
      <c r="E8574" s="8">
        <v>10000</v>
      </c>
      <c r="F8574" s="13" t="s">
        <v>70</v>
      </c>
      <c r="G8574" s="14">
        <v>44785</v>
      </c>
      <c r="H8574" s="13" t="s">
        <v>35</v>
      </c>
    </row>
    <row r="8575" spans="1:8" ht="14.4" x14ac:dyDescent="0.3">
      <c r="A8575" s="8">
        <v>2042208</v>
      </c>
      <c r="B8575" s="11">
        <v>44781</v>
      </c>
      <c r="C8575" s="13" t="s">
        <v>314</v>
      </c>
      <c r="D8575" s="13" t="s">
        <v>10561</v>
      </c>
      <c r="E8575" s="8">
        <v>10000</v>
      </c>
      <c r="F8575" s="13" t="s">
        <v>70</v>
      </c>
      <c r="G8575" s="14">
        <v>44785</v>
      </c>
      <c r="H8575" s="13" t="s">
        <v>35</v>
      </c>
    </row>
    <row r="8576" spans="1:8" ht="14.4" x14ac:dyDescent="0.3">
      <c r="A8576" s="8">
        <v>2042209</v>
      </c>
      <c r="B8576" s="11">
        <v>44781</v>
      </c>
      <c r="C8576" s="13" t="s">
        <v>323</v>
      </c>
      <c r="D8576" s="13" t="s">
        <v>10561</v>
      </c>
      <c r="E8576" s="8">
        <v>12000</v>
      </c>
      <c r="F8576" s="13" t="s">
        <v>70</v>
      </c>
      <c r="G8576" s="14">
        <v>44785</v>
      </c>
      <c r="H8576" s="13" t="s">
        <v>35</v>
      </c>
    </row>
    <row r="8577" spans="1:8" ht="14.4" x14ac:dyDescent="0.3">
      <c r="A8577" s="8">
        <v>2042210</v>
      </c>
      <c r="B8577" s="11">
        <v>44781</v>
      </c>
      <c r="C8577" s="13" t="s">
        <v>316</v>
      </c>
      <c r="D8577" s="13" t="s">
        <v>10561</v>
      </c>
      <c r="E8577" s="8">
        <v>10000</v>
      </c>
      <c r="F8577" s="13" t="s">
        <v>70</v>
      </c>
      <c r="G8577" s="14">
        <v>44785</v>
      </c>
      <c r="H8577" s="13" t="s">
        <v>35</v>
      </c>
    </row>
    <row r="8578" spans="1:8" ht="14.4" x14ac:dyDescent="0.3">
      <c r="A8578" s="8">
        <v>2042211</v>
      </c>
      <c r="B8578" s="11">
        <v>44781</v>
      </c>
      <c r="C8578" s="13" t="s">
        <v>324</v>
      </c>
      <c r="D8578" s="13" t="s">
        <v>10561</v>
      </c>
      <c r="E8578" s="8">
        <v>12000</v>
      </c>
      <c r="F8578" s="13" t="s">
        <v>70</v>
      </c>
      <c r="G8578" s="14">
        <v>44785</v>
      </c>
      <c r="H8578" s="13" t="s">
        <v>35</v>
      </c>
    </row>
    <row r="8579" spans="1:8" ht="14.4" x14ac:dyDescent="0.3">
      <c r="A8579" s="8">
        <v>2042212</v>
      </c>
      <c r="B8579" s="11">
        <v>44781</v>
      </c>
      <c r="C8579" s="13" t="s">
        <v>320</v>
      </c>
      <c r="D8579" s="13" t="s">
        <v>10561</v>
      </c>
      <c r="E8579" s="8">
        <v>10000</v>
      </c>
      <c r="F8579" s="13" t="s">
        <v>70</v>
      </c>
      <c r="G8579" s="14">
        <v>44785</v>
      </c>
      <c r="H8579" s="13" t="s">
        <v>35</v>
      </c>
    </row>
    <row r="8580" spans="1:8" ht="14.4" x14ac:dyDescent="0.3">
      <c r="A8580" s="8">
        <v>2042213</v>
      </c>
      <c r="B8580" s="11">
        <v>44781</v>
      </c>
      <c r="C8580" s="13" t="s">
        <v>321</v>
      </c>
      <c r="D8580" s="13" t="s">
        <v>10561</v>
      </c>
      <c r="E8580" s="8">
        <v>12000</v>
      </c>
      <c r="F8580" s="13" t="s">
        <v>70</v>
      </c>
      <c r="G8580" s="14">
        <v>44785</v>
      </c>
      <c r="H8580" s="13" t="s">
        <v>35</v>
      </c>
    </row>
    <row r="8581" spans="1:8" ht="14.4" x14ac:dyDescent="0.3">
      <c r="A8581" s="8">
        <v>2042214</v>
      </c>
      <c r="B8581" s="11">
        <v>44781</v>
      </c>
      <c r="C8581" s="13" t="s">
        <v>254</v>
      </c>
      <c r="D8581" s="13" t="s">
        <v>10562</v>
      </c>
      <c r="E8581" s="8">
        <v>1756950.7</v>
      </c>
      <c r="F8581" s="13" t="s">
        <v>70</v>
      </c>
      <c r="G8581" s="14">
        <v>44783</v>
      </c>
      <c r="H8581" s="13" t="s">
        <v>35</v>
      </c>
    </row>
    <row r="8582" spans="1:8" ht="14.4" x14ac:dyDescent="0.3">
      <c r="A8582" s="8">
        <v>2042215</v>
      </c>
      <c r="B8582" s="11">
        <v>44781</v>
      </c>
      <c r="C8582" s="13" t="s">
        <v>317</v>
      </c>
      <c r="D8582" s="13" t="s">
        <v>10561</v>
      </c>
      <c r="E8582" s="8">
        <v>10000</v>
      </c>
      <c r="F8582" s="13" t="s">
        <v>70</v>
      </c>
      <c r="G8582" s="14">
        <v>44785</v>
      </c>
      <c r="H8582" s="13" t="s">
        <v>35</v>
      </c>
    </row>
    <row r="8583" spans="1:8" ht="14.4" x14ac:dyDescent="0.3">
      <c r="A8583" s="8">
        <v>2042216</v>
      </c>
      <c r="B8583" s="11">
        <v>44781</v>
      </c>
      <c r="C8583" s="13" t="s">
        <v>127</v>
      </c>
      <c r="D8583" s="13" t="s">
        <v>2083</v>
      </c>
      <c r="E8583" s="8">
        <v>45262.95</v>
      </c>
      <c r="F8583" s="13" t="s">
        <v>70</v>
      </c>
      <c r="G8583" s="14">
        <v>44785</v>
      </c>
      <c r="H8583" s="13" t="s">
        <v>35</v>
      </c>
    </row>
    <row r="8584" spans="1:8" ht="14.4" x14ac:dyDescent="0.3">
      <c r="A8584" s="8">
        <v>2042217</v>
      </c>
      <c r="B8584" s="11">
        <v>44781</v>
      </c>
      <c r="C8584" s="13" t="s">
        <v>10563</v>
      </c>
      <c r="D8584" s="13" t="s">
        <v>10564</v>
      </c>
      <c r="E8584" s="8">
        <v>368016.43</v>
      </c>
      <c r="F8584" s="13" t="s">
        <v>70</v>
      </c>
      <c r="G8584" s="14">
        <v>44783</v>
      </c>
      <c r="H8584" s="13" t="s">
        <v>35</v>
      </c>
    </row>
    <row r="8585" spans="1:8" ht="14.4" x14ac:dyDescent="0.3">
      <c r="A8585" s="8">
        <v>2042218</v>
      </c>
      <c r="B8585" s="11">
        <v>44781</v>
      </c>
      <c r="C8585" s="13" t="s">
        <v>6600</v>
      </c>
      <c r="D8585" s="13" t="s">
        <v>10565</v>
      </c>
      <c r="E8585" s="8">
        <v>4500</v>
      </c>
      <c r="F8585" s="13" t="s">
        <v>70</v>
      </c>
      <c r="G8585" s="14">
        <v>44792</v>
      </c>
      <c r="H8585" s="13" t="s">
        <v>35</v>
      </c>
    </row>
    <row r="8586" spans="1:8" ht="14.4" x14ac:dyDescent="0.3">
      <c r="A8586" s="8">
        <v>2042219</v>
      </c>
      <c r="B8586" s="11">
        <v>44781</v>
      </c>
      <c r="C8586" s="13" t="s">
        <v>1584</v>
      </c>
      <c r="D8586" s="13" t="s">
        <v>10566</v>
      </c>
      <c r="E8586" s="8">
        <v>105564.65</v>
      </c>
      <c r="F8586" s="13" t="s">
        <v>70</v>
      </c>
      <c r="G8586" s="14">
        <v>44789</v>
      </c>
      <c r="H8586" s="13" t="s">
        <v>35</v>
      </c>
    </row>
    <row r="8587" spans="1:8" ht="14.4" x14ac:dyDescent="0.3">
      <c r="A8587" s="8">
        <v>2042220</v>
      </c>
      <c r="B8587" s="11">
        <v>44781</v>
      </c>
      <c r="C8587" s="13" t="s">
        <v>37</v>
      </c>
      <c r="D8587" s="13" t="s">
        <v>10567</v>
      </c>
      <c r="E8587" s="8">
        <v>14481.3</v>
      </c>
      <c r="F8587" s="13" t="s">
        <v>70</v>
      </c>
      <c r="G8587" s="14">
        <v>44820</v>
      </c>
      <c r="H8587" s="13" t="s">
        <v>35</v>
      </c>
    </row>
    <row r="8588" spans="1:8" ht="14.4" x14ac:dyDescent="0.3">
      <c r="A8588" s="8">
        <v>2042221</v>
      </c>
      <c r="B8588" s="11">
        <v>44781</v>
      </c>
      <c r="C8588" s="13" t="s">
        <v>10568</v>
      </c>
      <c r="D8588" s="13" t="s">
        <v>10569</v>
      </c>
      <c r="E8588" s="8">
        <v>24000</v>
      </c>
      <c r="F8588" s="13" t="s">
        <v>70</v>
      </c>
      <c r="G8588" s="14">
        <v>44783</v>
      </c>
      <c r="H8588" s="13" t="s">
        <v>35</v>
      </c>
    </row>
    <row r="8589" spans="1:8" ht="14.4" x14ac:dyDescent="0.3">
      <c r="A8589" s="8">
        <v>2042222</v>
      </c>
      <c r="B8589" s="11">
        <v>44781</v>
      </c>
      <c r="C8589" s="13" t="s">
        <v>10570</v>
      </c>
      <c r="D8589" s="13" t="s">
        <v>10571</v>
      </c>
      <c r="E8589" s="8">
        <v>15700</v>
      </c>
      <c r="F8589" s="13" t="s">
        <v>70</v>
      </c>
      <c r="G8589" s="14">
        <v>44788</v>
      </c>
      <c r="H8589" s="13" t="s">
        <v>35</v>
      </c>
    </row>
    <row r="8590" spans="1:8" ht="14.4" x14ac:dyDescent="0.3">
      <c r="A8590" s="8">
        <v>2042223</v>
      </c>
      <c r="B8590" s="11">
        <v>44781</v>
      </c>
      <c r="C8590" s="13" t="s">
        <v>10572</v>
      </c>
      <c r="D8590" s="13" t="s">
        <v>10573</v>
      </c>
      <c r="E8590" s="8">
        <v>25000</v>
      </c>
      <c r="F8590" s="13" t="s">
        <v>70</v>
      </c>
      <c r="G8590" s="14">
        <v>44783</v>
      </c>
      <c r="H8590" s="13" t="s">
        <v>35</v>
      </c>
    </row>
    <row r="8591" spans="1:8" ht="14.4" x14ac:dyDescent="0.3">
      <c r="A8591" s="8">
        <v>2042224</v>
      </c>
      <c r="B8591" s="11">
        <v>44781</v>
      </c>
      <c r="C8591" s="13" t="s">
        <v>10574</v>
      </c>
      <c r="D8591" s="13" t="s">
        <v>10575</v>
      </c>
      <c r="E8591" s="8">
        <v>8000</v>
      </c>
      <c r="F8591" s="13" t="s">
        <v>70</v>
      </c>
      <c r="G8591" s="14">
        <v>44785</v>
      </c>
      <c r="H8591" s="13" t="s">
        <v>35</v>
      </c>
    </row>
    <row r="8592" spans="1:8" ht="14.4" x14ac:dyDescent="0.3">
      <c r="A8592" s="8">
        <v>2042225</v>
      </c>
      <c r="B8592" s="11">
        <v>44781</v>
      </c>
      <c r="C8592" s="13" t="s">
        <v>10576</v>
      </c>
      <c r="D8592" s="13" t="s">
        <v>10577</v>
      </c>
      <c r="E8592" s="8">
        <v>16000</v>
      </c>
      <c r="F8592" s="13" t="s">
        <v>70</v>
      </c>
      <c r="G8592" s="14">
        <v>44783</v>
      </c>
      <c r="H8592" s="13" t="s">
        <v>35</v>
      </c>
    </row>
    <row r="8593" spans="1:8" ht="14.4" x14ac:dyDescent="0.3">
      <c r="A8593" s="8">
        <v>2042226</v>
      </c>
      <c r="B8593" s="11">
        <v>44781</v>
      </c>
      <c r="C8593" s="13" t="s">
        <v>10578</v>
      </c>
      <c r="D8593" s="13" t="s">
        <v>10579</v>
      </c>
      <c r="E8593" s="8">
        <v>25000</v>
      </c>
      <c r="F8593" s="13" t="s">
        <v>70</v>
      </c>
      <c r="G8593" s="14">
        <v>44784</v>
      </c>
      <c r="H8593" s="13" t="s">
        <v>35</v>
      </c>
    </row>
    <row r="8594" spans="1:8" ht="14.4" x14ac:dyDescent="0.3">
      <c r="A8594" s="8">
        <v>2042227</v>
      </c>
      <c r="B8594" s="11">
        <v>44781</v>
      </c>
      <c r="C8594" s="13" t="s">
        <v>10580</v>
      </c>
      <c r="D8594" s="13" t="s">
        <v>10581</v>
      </c>
      <c r="E8594" s="8">
        <v>16000</v>
      </c>
      <c r="F8594" s="13" t="s">
        <v>70</v>
      </c>
      <c r="G8594" s="14">
        <v>44783</v>
      </c>
      <c r="H8594" s="13" t="s">
        <v>35</v>
      </c>
    </row>
    <row r="8595" spans="1:8" ht="14.4" x14ac:dyDescent="0.3">
      <c r="A8595" s="8">
        <v>2042228</v>
      </c>
      <c r="B8595" s="11">
        <v>44781</v>
      </c>
      <c r="C8595" s="13" t="s">
        <v>9648</v>
      </c>
      <c r="D8595" s="13" t="s">
        <v>10582</v>
      </c>
      <c r="E8595" s="8">
        <v>8600</v>
      </c>
      <c r="F8595" s="13" t="s">
        <v>70</v>
      </c>
      <c r="G8595" s="14">
        <v>44783</v>
      </c>
      <c r="H8595" s="13" t="s">
        <v>35</v>
      </c>
    </row>
    <row r="8596" spans="1:8" ht="14.4" x14ac:dyDescent="0.3">
      <c r="A8596" s="8">
        <v>2042229</v>
      </c>
      <c r="B8596" s="11">
        <v>44781</v>
      </c>
      <c r="C8596" s="13" t="s">
        <v>10583</v>
      </c>
      <c r="D8596" s="13" t="s">
        <v>10584</v>
      </c>
      <c r="E8596" s="8">
        <v>10000</v>
      </c>
      <c r="F8596" s="13" t="s">
        <v>70</v>
      </c>
      <c r="G8596" s="14">
        <v>44783</v>
      </c>
      <c r="H8596" s="13" t="s">
        <v>35</v>
      </c>
    </row>
    <row r="8597" spans="1:8" ht="14.4" x14ac:dyDescent="0.3">
      <c r="A8597" s="8">
        <v>2042230</v>
      </c>
      <c r="B8597" s="11">
        <v>44781</v>
      </c>
      <c r="C8597" s="13" t="s">
        <v>10585</v>
      </c>
      <c r="D8597" s="13" t="s">
        <v>10586</v>
      </c>
      <c r="E8597" s="8">
        <v>25000</v>
      </c>
      <c r="F8597" s="13" t="s">
        <v>70</v>
      </c>
      <c r="G8597" s="14">
        <v>44785</v>
      </c>
      <c r="H8597" s="13" t="s">
        <v>35</v>
      </c>
    </row>
    <row r="8598" spans="1:8" ht="14.4" x14ac:dyDescent="0.3">
      <c r="A8598" s="8">
        <v>2042231</v>
      </c>
      <c r="B8598" s="11">
        <v>44781</v>
      </c>
      <c r="C8598" s="13" t="s">
        <v>10587</v>
      </c>
      <c r="D8598" s="13" t="s">
        <v>10588</v>
      </c>
      <c r="E8598" s="8">
        <v>16000</v>
      </c>
      <c r="F8598" s="13" t="s">
        <v>70</v>
      </c>
      <c r="G8598" s="14">
        <v>44783</v>
      </c>
      <c r="H8598" s="13" t="s">
        <v>35</v>
      </c>
    </row>
    <row r="8599" spans="1:8" ht="14.4" x14ac:dyDescent="0.3">
      <c r="A8599" s="8">
        <v>2042232</v>
      </c>
      <c r="B8599" s="11">
        <v>44781</v>
      </c>
      <c r="C8599" s="13" t="s">
        <v>10589</v>
      </c>
      <c r="D8599" s="13" t="s">
        <v>10590</v>
      </c>
      <c r="E8599" s="8">
        <v>11000</v>
      </c>
      <c r="F8599" s="13" t="s">
        <v>70</v>
      </c>
      <c r="G8599" s="14">
        <v>44783</v>
      </c>
      <c r="H8599" s="13" t="s">
        <v>35</v>
      </c>
    </row>
    <row r="8600" spans="1:8" ht="14.4" x14ac:dyDescent="0.3">
      <c r="A8600" s="8">
        <v>2042233</v>
      </c>
      <c r="B8600" s="11">
        <v>44781</v>
      </c>
      <c r="C8600" s="13" t="s">
        <v>10591</v>
      </c>
      <c r="D8600" s="13" t="s">
        <v>10592</v>
      </c>
      <c r="E8600" s="8">
        <v>10000</v>
      </c>
      <c r="F8600" s="13" t="s">
        <v>70</v>
      </c>
      <c r="G8600" s="14">
        <v>44784</v>
      </c>
      <c r="H8600" s="13" t="s">
        <v>35</v>
      </c>
    </row>
    <row r="8601" spans="1:8" ht="14.4" x14ac:dyDescent="0.3">
      <c r="A8601" s="8">
        <v>2042234</v>
      </c>
      <c r="B8601" s="11">
        <v>44781</v>
      </c>
      <c r="C8601" s="13" t="s">
        <v>10593</v>
      </c>
      <c r="D8601" s="13" t="s">
        <v>10594</v>
      </c>
      <c r="E8601" s="8">
        <v>18000</v>
      </c>
      <c r="F8601" s="13" t="s">
        <v>70</v>
      </c>
      <c r="G8601" s="14">
        <v>44783</v>
      </c>
      <c r="H8601" s="13" t="s">
        <v>35</v>
      </c>
    </row>
    <row r="8602" spans="1:8" ht="14.4" x14ac:dyDescent="0.3">
      <c r="A8602" s="8">
        <v>2042235</v>
      </c>
      <c r="B8602" s="11">
        <v>44781</v>
      </c>
      <c r="C8602" s="13" t="s">
        <v>10595</v>
      </c>
      <c r="D8602" s="13" t="s">
        <v>10596</v>
      </c>
      <c r="E8602" s="8">
        <v>10000</v>
      </c>
      <c r="F8602" s="13" t="s">
        <v>70</v>
      </c>
      <c r="G8602" s="14">
        <v>44784</v>
      </c>
      <c r="H8602" s="13" t="s">
        <v>35</v>
      </c>
    </row>
    <row r="8603" spans="1:8" ht="14.4" x14ac:dyDescent="0.3">
      <c r="A8603" s="8">
        <v>2042236</v>
      </c>
      <c r="B8603" s="11">
        <v>44781</v>
      </c>
      <c r="C8603" s="13" t="s">
        <v>10597</v>
      </c>
      <c r="D8603" s="13" t="s">
        <v>10598</v>
      </c>
      <c r="E8603" s="8">
        <v>18000</v>
      </c>
      <c r="F8603" s="13" t="s">
        <v>70</v>
      </c>
      <c r="G8603" s="14">
        <v>44783</v>
      </c>
      <c r="H8603" s="13" t="s">
        <v>35</v>
      </c>
    </row>
    <row r="8604" spans="1:8" ht="14.4" x14ac:dyDescent="0.3">
      <c r="A8604" s="8">
        <v>2042237</v>
      </c>
      <c r="B8604" s="11">
        <v>44781</v>
      </c>
      <c r="C8604" s="13" t="s">
        <v>10599</v>
      </c>
      <c r="D8604" s="13" t="s">
        <v>10600</v>
      </c>
      <c r="E8604" s="8">
        <v>18000</v>
      </c>
      <c r="F8604" s="13" t="s">
        <v>70</v>
      </c>
      <c r="G8604" s="14">
        <v>44783</v>
      </c>
      <c r="H8604" s="13" t="s">
        <v>35</v>
      </c>
    </row>
    <row r="8605" spans="1:8" ht="14.4" x14ac:dyDescent="0.3">
      <c r="A8605" s="8">
        <v>2042238</v>
      </c>
      <c r="B8605" s="11">
        <v>44781</v>
      </c>
      <c r="C8605" s="13" t="s">
        <v>10601</v>
      </c>
      <c r="D8605" s="13" t="s">
        <v>10602</v>
      </c>
      <c r="E8605" s="8">
        <v>40000</v>
      </c>
      <c r="F8605" s="13" t="s">
        <v>70</v>
      </c>
      <c r="G8605" s="14">
        <v>44789</v>
      </c>
      <c r="H8605" s="13" t="s">
        <v>35</v>
      </c>
    </row>
    <row r="8606" spans="1:8" ht="14.4" x14ac:dyDescent="0.3">
      <c r="A8606" s="8">
        <v>2042239</v>
      </c>
      <c r="B8606" s="11">
        <v>44781</v>
      </c>
      <c r="C8606" s="13" t="s">
        <v>9018</v>
      </c>
      <c r="D8606" s="13" t="s">
        <v>10603</v>
      </c>
      <c r="E8606" s="8">
        <v>11000</v>
      </c>
      <c r="F8606" s="13" t="s">
        <v>70</v>
      </c>
      <c r="G8606" s="14">
        <v>44784</v>
      </c>
      <c r="H8606" s="13" t="s">
        <v>35</v>
      </c>
    </row>
    <row r="8607" spans="1:8" ht="14.4" x14ac:dyDescent="0.3">
      <c r="A8607" s="8">
        <v>2042240</v>
      </c>
      <c r="B8607" s="11">
        <v>44781</v>
      </c>
      <c r="C8607" s="13" t="s">
        <v>2711</v>
      </c>
      <c r="D8607" s="13" t="s">
        <v>10604</v>
      </c>
      <c r="E8607" s="8">
        <v>16183.93</v>
      </c>
      <c r="F8607" s="13" t="s">
        <v>70</v>
      </c>
      <c r="G8607" s="14">
        <v>44783</v>
      </c>
      <c r="H8607" s="13" t="s">
        <v>35</v>
      </c>
    </row>
    <row r="8608" spans="1:8" ht="14.4" x14ac:dyDescent="0.3">
      <c r="A8608" s="8">
        <v>2042241</v>
      </c>
      <c r="B8608" s="11">
        <v>44781</v>
      </c>
      <c r="C8608" s="13" t="s">
        <v>265</v>
      </c>
      <c r="D8608" s="13" t="s">
        <v>10605</v>
      </c>
      <c r="E8608" s="8">
        <v>37859</v>
      </c>
      <c r="F8608" s="13" t="s">
        <v>70</v>
      </c>
      <c r="G8608" s="14">
        <v>44782</v>
      </c>
      <c r="H8608" s="13" t="s">
        <v>35</v>
      </c>
    </row>
    <row r="8609" spans="1:8" ht="14.4" x14ac:dyDescent="0.3">
      <c r="A8609" s="8">
        <v>2042242</v>
      </c>
      <c r="B8609" s="11">
        <v>44781</v>
      </c>
      <c r="C8609" s="13" t="s">
        <v>26</v>
      </c>
      <c r="D8609" s="13" t="s">
        <v>10606</v>
      </c>
      <c r="E8609" s="8">
        <v>14062.5</v>
      </c>
      <c r="F8609" s="13" t="s">
        <v>70</v>
      </c>
      <c r="G8609" s="14">
        <v>44784</v>
      </c>
      <c r="H8609" s="13" t="s">
        <v>35</v>
      </c>
    </row>
    <row r="8610" spans="1:8" ht="14.4" x14ac:dyDescent="0.3">
      <c r="A8610" s="8">
        <v>2042243</v>
      </c>
      <c r="B8610" s="11">
        <v>44781</v>
      </c>
      <c r="C8610" s="13" t="s">
        <v>748</v>
      </c>
      <c r="D8610" s="13" t="s">
        <v>10607</v>
      </c>
      <c r="E8610" s="8">
        <v>129097.61</v>
      </c>
      <c r="F8610" s="13" t="s">
        <v>70</v>
      </c>
      <c r="G8610" s="14">
        <v>44784</v>
      </c>
      <c r="H8610" s="13" t="s">
        <v>35</v>
      </c>
    </row>
    <row r="8611" spans="1:8" ht="14.4" x14ac:dyDescent="0.3">
      <c r="A8611" s="8">
        <v>2042244</v>
      </c>
      <c r="B8611" s="11">
        <v>44781</v>
      </c>
      <c r="C8611" s="13" t="s">
        <v>1380</v>
      </c>
      <c r="D8611" s="13" t="s">
        <v>10608</v>
      </c>
      <c r="E8611" s="8">
        <v>660.45</v>
      </c>
      <c r="F8611" s="13" t="s">
        <v>70</v>
      </c>
      <c r="G8611" s="14">
        <v>44783</v>
      </c>
      <c r="H8611" s="13" t="s">
        <v>35</v>
      </c>
    </row>
    <row r="8612" spans="1:8" ht="14.4" x14ac:dyDescent="0.3">
      <c r="A8612" s="8">
        <v>2042245</v>
      </c>
      <c r="B8612" s="11">
        <v>44781</v>
      </c>
      <c r="C8612" s="13" t="s">
        <v>298</v>
      </c>
      <c r="D8612" s="13" t="s">
        <v>10609</v>
      </c>
      <c r="E8612" s="8">
        <v>2500</v>
      </c>
      <c r="F8612" s="13" t="s">
        <v>70</v>
      </c>
      <c r="G8612" s="14">
        <v>44785</v>
      </c>
      <c r="H8612" s="13" t="s">
        <v>35</v>
      </c>
    </row>
    <row r="8613" spans="1:8" ht="14.4" x14ac:dyDescent="0.3">
      <c r="A8613" s="8">
        <v>2042246</v>
      </c>
      <c r="B8613" s="11">
        <v>44781</v>
      </c>
      <c r="C8613" s="13" t="s">
        <v>3651</v>
      </c>
      <c r="D8613" s="13" t="s">
        <v>10610</v>
      </c>
      <c r="E8613" s="8">
        <v>6000</v>
      </c>
      <c r="F8613" s="13" t="s">
        <v>70</v>
      </c>
      <c r="G8613" s="14">
        <v>44782</v>
      </c>
      <c r="H8613" s="13" t="s">
        <v>35</v>
      </c>
    </row>
    <row r="8614" spans="1:8" ht="14.4" x14ac:dyDescent="0.3">
      <c r="A8614" s="8">
        <v>2042247</v>
      </c>
      <c r="B8614" s="11">
        <v>44781</v>
      </c>
      <c r="C8614" s="13" t="s">
        <v>541</v>
      </c>
      <c r="D8614" s="13" t="s">
        <v>10610</v>
      </c>
      <c r="E8614" s="8">
        <v>4500</v>
      </c>
      <c r="F8614" s="13" t="s">
        <v>70</v>
      </c>
      <c r="G8614" s="14">
        <v>44782</v>
      </c>
      <c r="H8614" s="13" t="s">
        <v>35</v>
      </c>
    </row>
    <row r="8615" spans="1:8" ht="14.4" x14ac:dyDescent="0.3">
      <c r="A8615" s="8">
        <v>2042248</v>
      </c>
      <c r="B8615" s="11">
        <v>44781</v>
      </c>
      <c r="C8615" s="13" t="s">
        <v>543</v>
      </c>
      <c r="D8615" s="13" t="s">
        <v>10610</v>
      </c>
      <c r="E8615" s="8">
        <v>4500</v>
      </c>
      <c r="F8615" s="13" t="s">
        <v>70</v>
      </c>
      <c r="G8615" s="14">
        <v>44782</v>
      </c>
      <c r="H8615" s="13" t="s">
        <v>35</v>
      </c>
    </row>
    <row r="8616" spans="1:8" ht="14.4" x14ac:dyDescent="0.3">
      <c r="A8616" s="8">
        <v>2042249</v>
      </c>
      <c r="B8616" s="11">
        <v>44781</v>
      </c>
      <c r="C8616" s="13" t="s">
        <v>542</v>
      </c>
      <c r="D8616" s="13" t="s">
        <v>10610</v>
      </c>
      <c r="E8616" s="8">
        <v>4500</v>
      </c>
      <c r="F8616" s="13" t="s">
        <v>70</v>
      </c>
      <c r="G8616" s="14">
        <v>44782</v>
      </c>
      <c r="H8616" s="13" t="s">
        <v>35</v>
      </c>
    </row>
    <row r="8617" spans="1:8" ht="14.4" x14ac:dyDescent="0.3">
      <c r="A8617" s="8">
        <v>2042250</v>
      </c>
      <c r="B8617" s="11">
        <v>44781</v>
      </c>
      <c r="C8617" s="13" t="s">
        <v>544</v>
      </c>
      <c r="D8617" s="13" t="s">
        <v>10610</v>
      </c>
      <c r="E8617" s="8">
        <v>4500</v>
      </c>
      <c r="F8617" s="13" t="s">
        <v>70</v>
      </c>
      <c r="G8617" s="14">
        <v>44782</v>
      </c>
      <c r="H8617" s="13" t="s">
        <v>35</v>
      </c>
    </row>
    <row r="8618" spans="1:8" ht="14.4" x14ac:dyDescent="0.3">
      <c r="A8618" s="8">
        <v>2042251</v>
      </c>
      <c r="B8618" s="11">
        <v>44781</v>
      </c>
      <c r="C8618" s="13" t="s">
        <v>2363</v>
      </c>
      <c r="D8618" s="13" t="s">
        <v>10561</v>
      </c>
      <c r="E8618" s="8">
        <v>15000</v>
      </c>
      <c r="F8618" s="13" t="s">
        <v>70</v>
      </c>
      <c r="G8618" s="14">
        <v>44785</v>
      </c>
      <c r="H8618" s="13" t="s">
        <v>35</v>
      </c>
    </row>
    <row r="8619" spans="1:8" ht="14.4" x14ac:dyDescent="0.3">
      <c r="A8619" s="8">
        <v>2042252</v>
      </c>
      <c r="B8619" s="11">
        <v>44781</v>
      </c>
      <c r="C8619" s="13" t="s">
        <v>308</v>
      </c>
      <c r="D8619" s="13" t="s">
        <v>10561</v>
      </c>
      <c r="E8619" s="8">
        <v>10000</v>
      </c>
      <c r="F8619" s="13" t="s">
        <v>70</v>
      </c>
      <c r="G8619" s="14">
        <v>44785</v>
      </c>
      <c r="H8619" s="13" t="s">
        <v>35</v>
      </c>
    </row>
    <row r="8620" spans="1:8" ht="14.4" x14ac:dyDescent="0.3">
      <c r="A8620" s="8">
        <v>2042253</v>
      </c>
      <c r="B8620" s="11">
        <v>44781</v>
      </c>
      <c r="C8620" s="13" t="s">
        <v>309</v>
      </c>
      <c r="D8620" s="13" t="s">
        <v>10561</v>
      </c>
      <c r="E8620" s="8">
        <v>10000</v>
      </c>
      <c r="F8620" s="13" t="s">
        <v>70</v>
      </c>
      <c r="G8620" s="14">
        <v>44785</v>
      </c>
      <c r="H8620" s="13" t="s">
        <v>35</v>
      </c>
    </row>
    <row r="8621" spans="1:8" ht="14.4" x14ac:dyDescent="0.3">
      <c r="A8621" s="8">
        <v>2042254</v>
      </c>
      <c r="B8621" s="11">
        <v>44781</v>
      </c>
      <c r="C8621" s="13" t="s">
        <v>310</v>
      </c>
      <c r="D8621" s="13" t="s">
        <v>10561</v>
      </c>
      <c r="E8621" s="8">
        <v>10000</v>
      </c>
      <c r="F8621" s="13" t="s">
        <v>70</v>
      </c>
      <c r="G8621" s="14">
        <v>44785</v>
      </c>
      <c r="H8621" s="13" t="s">
        <v>35</v>
      </c>
    </row>
    <row r="8622" spans="1:8" ht="14.4" x14ac:dyDescent="0.3">
      <c r="A8622" s="8">
        <v>2042255</v>
      </c>
      <c r="B8622" s="11">
        <v>44781</v>
      </c>
      <c r="C8622" s="13" t="s">
        <v>311</v>
      </c>
      <c r="D8622" s="13" t="s">
        <v>10561</v>
      </c>
      <c r="E8622" s="8">
        <v>10000</v>
      </c>
      <c r="F8622" s="13" t="s">
        <v>70</v>
      </c>
      <c r="G8622" s="14">
        <v>44785</v>
      </c>
      <c r="H8622" s="13" t="s">
        <v>35</v>
      </c>
    </row>
    <row r="8623" spans="1:8" ht="14.4" x14ac:dyDescent="0.3">
      <c r="A8623" s="8">
        <v>2042256</v>
      </c>
      <c r="B8623" s="11">
        <v>44781</v>
      </c>
      <c r="C8623" s="13" t="s">
        <v>312</v>
      </c>
      <c r="D8623" s="13" t="s">
        <v>10561</v>
      </c>
      <c r="E8623" s="8">
        <v>10000</v>
      </c>
      <c r="F8623" s="13" t="s">
        <v>70</v>
      </c>
      <c r="G8623" s="14">
        <v>44785</v>
      </c>
      <c r="H8623" s="13" t="s">
        <v>35</v>
      </c>
    </row>
    <row r="8624" spans="1:8" ht="14.4" x14ac:dyDescent="0.3">
      <c r="A8624" s="8">
        <v>2042257</v>
      </c>
      <c r="B8624" s="11">
        <v>44781</v>
      </c>
      <c r="C8624" s="13" t="s">
        <v>337</v>
      </c>
      <c r="D8624" s="13" t="s">
        <v>10561</v>
      </c>
      <c r="E8624" s="8">
        <v>10000</v>
      </c>
      <c r="F8624" s="13" t="s">
        <v>70</v>
      </c>
      <c r="G8624" s="14">
        <v>44785</v>
      </c>
      <c r="H8624" s="13" t="s">
        <v>35</v>
      </c>
    </row>
    <row r="8625" spans="1:8" ht="14.4" x14ac:dyDescent="0.3">
      <c r="A8625" s="8">
        <v>2042258</v>
      </c>
      <c r="B8625" s="11">
        <v>44781</v>
      </c>
      <c r="C8625" s="13" t="s">
        <v>313</v>
      </c>
      <c r="D8625" s="13" t="s">
        <v>10561</v>
      </c>
      <c r="E8625" s="8">
        <v>10000</v>
      </c>
      <c r="F8625" s="13" t="s">
        <v>70</v>
      </c>
      <c r="G8625" s="14">
        <v>44785</v>
      </c>
      <c r="H8625" s="13" t="s">
        <v>35</v>
      </c>
    </row>
    <row r="8626" spans="1:8" ht="14.4" x14ac:dyDescent="0.3">
      <c r="A8626" s="8">
        <v>2042259</v>
      </c>
      <c r="B8626" s="11">
        <v>44781</v>
      </c>
      <c r="C8626" s="13" t="s">
        <v>315</v>
      </c>
      <c r="D8626" s="13" t="s">
        <v>10561</v>
      </c>
      <c r="E8626" s="8">
        <v>10000</v>
      </c>
      <c r="F8626" s="13" t="s">
        <v>70</v>
      </c>
      <c r="G8626" s="14">
        <v>44785</v>
      </c>
      <c r="H8626" s="13" t="s">
        <v>35</v>
      </c>
    </row>
    <row r="8627" spans="1:8" ht="14.4" x14ac:dyDescent="0.3">
      <c r="A8627" s="8">
        <v>2042260</v>
      </c>
      <c r="B8627" s="11">
        <v>44781</v>
      </c>
      <c r="C8627" s="13" t="s">
        <v>7350</v>
      </c>
      <c r="D8627" s="13" t="s">
        <v>10611</v>
      </c>
      <c r="E8627" s="8">
        <v>17000</v>
      </c>
      <c r="F8627" s="13" t="s">
        <v>70</v>
      </c>
      <c r="G8627" s="14">
        <v>44782</v>
      </c>
      <c r="H8627" s="13" t="s">
        <v>35</v>
      </c>
    </row>
    <row r="8628" spans="1:8" ht="14.4" x14ac:dyDescent="0.3">
      <c r="A8628" s="8">
        <v>2042261</v>
      </c>
      <c r="B8628" s="11">
        <v>44781</v>
      </c>
      <c r="C8628" s="13" t="s">
        <v>44</v>
      </c>
      <c r="D8628" s="13" t="s">
        <v>10612</v>
      </c>
      <c r="E8628" s="8">
        <v>105125.15</v>
      </c>
      <c r="F8628" s="13" t="s">
        <v>70</v>
      </c>
      <c r="G8628" s="14">
        <v>44782</v>
      </c>
      <c r="H8628" s="13" t="s">
        <v>35</v>
      </c>
    </row>
    <row r="8629" spans="1:8" ht="14.4" x14ac:dyDescent="0.3">
      <c r="A8629" s="8">
        <v>2042262</v>
      </c>
      <c r="B8629" s="11">
        <v>44781</v>
      </c>
      <c r="C8629" s="13" t="s">
        <v>2384</v>
      </c>
      <c r="D8629" s="13" t="s">
        <v>10556</v>
      </c>
      <c r="E8629" s="8">
        <v>76000</v>
      </c>
      <c r="F8629" s="13" t="s">
        <v>70</v>
      </c>
      <c r="G8629" s="14">
        <v>44789</v>
      </c>
      <c r="H8629" s="13" t="s">
        <v>35</v>
      </c>
    </row>
    <row r="8630" spans="1:8" ht="14.4" x14ac:dyDescent="0.3">
      <c r="A8630" s="8">
        <v>2042263</v>
      </c>
      <c r="B8630" s="11">
        <v>44781</v>
      </c>
      <c r="C8630" s="13" t="s">
        <v>606</v>
      </c>
      <c r="D8630" s="13" t="s">
        <v>10613</v>
      </c>
      <c r="E8630" s="8">
        <v>10000</v>
      </c>
      <c r="F8630" s="13" t="s">
        <v>70</v>
      </c>
      <c r="G8630" s="14">
        <v>44791</v>
      </c>
      <c r="H8630" s="13" t="s">
        <v>35</v>
      </c>
    </row>
    <row r="8631" spans="1:8" ht="14.4" x14ac:dyDescent="0.3">
      <c r="A8631" s="8">
        <v>2042264</v>
      </c>
      <c r="B8631" s="11">
        <v>44781</v>
      </c>
      <c r="C8631" s="13" t="s">
        <v>528</v>
      </c>
      <c r="D8631" s="13" t="s">
        <v>10613</v>
      </c>
      <c r="E8631" s="8">
        <v>5000</v>
      </c>
      <c r="F8631" s="13" t="s">
        <v>70</v>
      </c>
      <c r="G8631" s="14">
        <v>44791</v>
      </c>
      <c r="H8631" s="13" t="s">
        <v>35</v>
      </c>
    </row>
    <row r="8632" spans="1:8" ht="14.4" x14ac:dyDescent="0.3">
      <c r="A8632" s="8">
        <v>2042265</v>
      </c>
      <c r="B8632" s="11">
        <v>44781</v>
      </c>
      <c r="C8632" s="13" t="s">
        <v>530</v>
      </c>
      <c r="D8632" s="13" t="s">
        <v>10613</v>
      </c>
      <c r="E8632" s="8">
        <v>3000</v>
      </c>
      <c r="F8632" s="13" t="s">
        <v>70</v>
      </c>
      <c r="G8632" s="14">
        <v>44791</v>
      </c>
      <c r="H8632" s="13" t="s">
        <v>35</v>
      </c>
    </row>
    <row r="8633" spans="1:8" ht="14.4" x14ac:dyDescent="0.3">
      <c r="A8633" s="8">
        <v>2042266</v>
      </c>
      <c r="B8633" s="11">
        <v>44781</v>
      </c>
      <c r="C8633" s="13" t="s">
        <v>834</v>
      </c>
      <c r="D8633" s="13" t="s">
        <v>10614</v>
      </c>
      <c r="E8633" s="8">
        <v>10000</v>
      </c>
      <c r="F8633" s="13" t="s">
        <v>70</v>
      </c>
      <c r="G8633" s="14">
        <v>44784</v>
      </c>
      <c r="H8633" s="13" t="s">
        <v>35</v>
      </c>
    </row>
    <row r="8634" spans="1:8" ht="14.4" x14ac:dyDescent="0.3">
      <c r="A8634" s="8">
        <v>2042267</v>
      </c>
      <c r="B8634" s="11">
        <v>44781</v>
      </c>
      <c r="C8634" s="13" t="s">
        <v>838</v>
      </c>
      <c r="D8634" s="13" t="s">
        <v>10615</v>
      </c>
      <c r="E8634" s="8">
        <v>10000</v>
      </c>
      <c r="F8634" s="13" t="s">
        <v>70</v>
      </c>
      <c r="G8634" s="14">
        <v>44784</v>
      </c>
      <c r="H8634" s="13" t="s">
        <v>35</v>
      </c>
    </row>
    <row r="8635" spans="1:8" ht="14.4" x14ac:dyDescent="0.3">
      <c r="A8635" s="8">
        <v>2042268</v>
      </c>
      <c r="B8635" s="11">
        <v>44781</v>
      </c>
      <c r="C8635" s="13" t="s">
        <v>839</v>
      </c>
      <c r="D8635" s="13" t="s">
        <v>3528</v>
      </c>
      <c r="E8635" s="8">
        <v>10000</v>
      </c>
      <c r="F8635" s="13" t="s">
        <v>70</v>
      </c>
      <c r="G8635" s="14">
        <v>44784</v>
      </c>
      <c r="H8635" s="13" t="s">
        <v>35</v>
      </c>
    </row>
    <row r="8636" spans="1:8" ht="14.4" x14ac:dyDescent="0.3">
      <c r="A8636" s="8">
        <v>2042269</v>
      </c>
      <c r="B8636" s="11">
        <v>44781</v>
      </c>
      <c r="C8636" s="13" t="s">
        <v>840</v>
      </c>
      <c r="D8636" s="13" t="s">
        <v>3528</v>
      </c>
      <c r="E8636" s="8">
        <v>10000</v>
      </c>
      <c r="F8636" s="13" t="s">
        <v>70</v>
      </c>
      <c r="G8636" s="14">
        <v>44784</v>
      </c>
      <c r="H8636" s="13" t="s">
        <v>35</v>
      </c>
    </row>
    <row r="8637" spans="1:8" ht="14.4" x14ac:dyDescent="0.3">
      <c r="A8637" s="8">
        <v>2042270</v>
      </c>
      <c r="B8637" s="11">
        <v>44781</v>
      </c>
      <c r="C8637" s="13" t="s">
        <v>10616</v>
      </c>
      <c r="D8637" s="13" t="s">
        <v>3528</v>
      </c>
      <c r="E8637" s="8">
        <v>10000</v>
      </c>
      <c r="F8637" s="13" t="s">
        <v>70</v>
      </c>
      <c r="G8637" s="14">
        <v>44784</v>
      </c>
      <c r="H8637" s="13" t="s">
        <v>35</v>
      </c>
    </row>
    <row r="8638" spans="1:8" ht="14.4" x14ac:dyDescent="0.3">
      <c r="A8638" s="8">
        <v>2042271</v>
      </c>
      <c r="B8638" s="11">
        <v>44781</v>
      </c>
      <c r="C8638" s="13" t="s">
        <v>10617</v>
      </c>
      <c r="D8638" s="13" t="s">
        <v>10614</v>
      </c>
      <c r="E8638" s="8">
        <v>10000</v>
      </c>
      <c r="F8638" s="13" t="s">
        <v>70</v>
      </c>
      <c r="G8638" s="14">
        <v>44784</v>
      </c>
      <c r="H8638" s="13" t="s">
        <v>35</v>
      </c>
    </row>
    <row r="8639" spans="1:8" ht="14.4" x14ac:dyDescent="0.3">
      <c r="A8639" s="8">
        <v>2042272</v>
      </c>
      <c r="B8639" s="11">
        <v>44781</v>
      </c>
      <c r="C8639" s="13" t="s">
        <v>833</v>
      </c>
      <c r="D8639" s="13" t="s">
        <v>10614</v>
      </c>
      <c r="E8639" s="8">
        <v>10000</v>
      </c>
      <c r="F8639" s="13" t="s">
        <v>70</v>
      </c>
      <c r="G8639" s="14">
        <v>44784</v>
      </c>
      <c r="H8639" s="13" t="s">
        <v>35</v>
      </c>
    </row>
    <row r="8640" spans="1:8" ht="14.4" x14ac:dyDescent="0.3">
      <c r="A8640" s="8">
        <v>2042273</v>
      </c>
      <c r="B8640" s="11">
        <v>44781</v>
      </c>
      <c r="C8640" s="13" t="s">
        <v>180</v>
      </c>
      <c r="D8640" s="13" t="s">
        <v>10618</v>
      </c>
      <c r="E8640" s="8">
        <v>63887.08</v>
      </c>
      <c r="F8640" s="13" t="s">
        <v>70</v>
      </c>
      <c r="G8640" s="14">
        <v>44781</v>
      </c>
      <c r="H8640" s="13" t="s">
        <v>35</v>
      </c>
    </row>
    <row r="8641" spans="1:8" ht="14.4" x14ac:dyDescent="0.3">
      <c r="A8641" s="8">
        <v>2042274</v>
      </c>
      <c r="B8641" s="11">
        <v>44781</v>
      </c>
      <c r="C8641" s="13" t="s">
        <v>2380</v>
      </c>
      <c r="D8641" s="13" t="s">
        <v>10619</v>
      </c>
      <c r="E8641" s="8">
        <v>311000</v>
      </c>
      <c r="F8641" s="13" t="s">
        <v>70</v>
      </c>
      <c r="G8641" s="14">
        <v>44785</v>
      </c>
      <c r="H8641" s="13" t="s">
        <v>35</v>
      </c>
    </row>
    <row r="8642" spans="1:8" ht="14.4" x14ac:dyDescent="0.3">
      <c r="A8642" s="8">
        <v>2042275</v>
      </c>
      <c r="B8642" s="11">
        <v>44781</v>
      </c>
      <c r="C8642" s="13" t="s">
        <v>2450</v>
      </c>
      <c r="D8642" s="13" t="s">
        <v>10620</v>
      </c>
      <c r="E8642" s="8">
        <v>371700</v>
      </c>
      <c r="F8642" s="13" t="s">
        <v>70</v>
      </c>
      <c r="G8642" s="14">
        <v>44789</v>
      </c>
      <c r="H8642" s="13" t="s">
        <v>35</v>
      </c>
    </row>
    <row r="8643" spans="1:8" ht="14.4" x14ac:dyDescent="0.3">
      <c r="A8643" s="8">
        <v>2042276</v>
      </c>
      <c r="B8643" s="11">
        <v>44781</v>
      </c>
      <c r="C8643" s="13" t="s">
        <v>2447</v>
      </c>
      <c r="D8643" s="13" t="s">
        <v>3528</v>
      </c>
      <c r="E8643" s="8">
        <v>15000</v>
      </c>
      <c r="F8643" s="13" t="s">
        <v>70</v>
      </c>
      <c r="G8643" s="14">
        <v>44784</v>
      </c>
      <c r="H8643" s="13" t="s">
        <v>35</v>
      </c>
    </row>
    <row r="8644" spans="1:8" ht="14.4" x14ac:dyDescent="0.3">
      <c r="A8644" s="8">
        <v>2042277</v>
      </c>
      <c r="B8644" s="11">
        <v>44781</v>
      </c>
      <c r="C8644" s="13" t="s">
        <v>671</v>
      </c>
      <c r="D8644" s="13" t="s">
        <v>10613</v>
      </c>
      <c r="E8644" s="8">
        <v>20000</v>
      </c>
      <c r="F8644" s="13" t="s">
        <v>70</v>
      </c>
      <c r="G8644" s="14">
        <v>44791</v>
      </c>
      <c r="H8644" s="13" t="s">
        <v>35</v>
      </c>
    </row>
    <row r="8645" spans="1:8" ht="14.4" x14ac:dyDescent="0.3">
      <c r="A8645" s="8">
        <v>2042278</v>
      </c>
      <c r="B8645" s="11">
        <v>44781</v>
      </c>
      <c r="C8645" s="13" t="s">
        <v>390</v>
      </c>
      <c r="D8645" s="13" t="s">
        <v>10621</v>
      </c>
      <c r="E8645" s="8">
        <v>20000</v>
      </c>
      <c r="F8645" s="13" t="s">
        <v>70</v>
      </c>
      <c r="G8645" s="14">
        <v>44784</v>
      </c>
      <c r="H8645" s="13" t="s">
        <v>35</v>
      </c>
    </row>
    <row r="8646" spans="1:8" ht="14.4" x14ac:dyDescent="0.3">
      <c r="A8646" s="8">
        <v>2042279</v>
      </c>
      <c r="B8646" s="11">
        <v>44781</v>
      </c>
      <c r="C8646" s="13" t="s">
        <v>392</v>
      </c>
      <c r="D8646" s="13" t="s">
        <v>10621</v>
      </c>
      <c r="E8646" s="8">
        <v>10000</v>
      </c>
      <c r="F8646" s="13" t="s">
        <v>70</v>
      </c>
      <c r="G8646" s="14">
        <v>44784</v>
      </c>
      <c r="H8646" s="13" t="s">
        <v>35</v>
      </c>
    </row>
    <row r="8647" spans="1:8" ht="14.4" x14ac:dyDescent="0.3">
      <c r="A8647" s="8">
        <v>2042280</v>
      </c>
      <c r="B8647" s="11">
        <v>44781</v>
      </c>
      <c r="C8647" s="13" t="s">
        <v>393</v>
      </c>
      <c r="D8647" s="13" t="s">
        <v>10621</v>
      </c>
      <c r="E8647" s="8">
        <v>5000</v>
      </c>
      <c r="F8647" s="13" t="s">
        <v>70</v>
      </c>
      <c r="G8647" s="14">
        <v>44799</v>
      </c>
      <c r="H8647" s="13" t="s">
        <v>35</v>
      </c>
    </row>
    <row r="8648" spans="1:8" ht="14.4" x14ac:dyDescent="0.3">
      <c r="A8648" s="8">
        <v>2042281</v>
      </c>
      <c r="B8648" s="11">
        <v>44781</v>
      </c>
      <c r="C8648" s="13" t="s">
        <v>394</v>
      </c>
      <c r="D8648" s="13" t="s">
        <v>10621</v>
      </c>
      <c r="E8648" s="8">
        <v>3000</v>
      </c>
      <c r="F8648" s="13" t="s">
        <v>70</v>
      </c>
      <c r="G8648" s="14">
        <v>44784</v>
      </c>
      <c r="H8648" s="13" t="s">
        <v>35</v>
      </c>
    </row>
    <row r="8649" spans="1:8" ht="14.4" x14ac:dyDescent="0.3">
      <c r="A8649" s="8">
        <v>2042282</v>
      </c>
      <c r="B8649" s="11">
        <v>44781</v>
      </c>
      <c r="C8649" s="13" t="s">
        <v>334</v>
      </c>
      <c r="D8649" s="13" t="s">
        <v>10559</v>
      </c>
      <c r="E8649" s="8">
        <v>10000</v>
      </c>
      <c r="F8649" s="13" t="s">
        <v>70</v>
      </c>
      <c r="G8649" s="14">
        <v>44788</v>
      </c>
      <c r="H8649" s="13" t="s">
        <v>35</v>
      </c>
    </row>
    <row r="8650" spans="1:8" ht="14.4" x14ac:dyDescent="0.3">
      <c r="A8650" s="8">
        <v>2042283</v>
      </c>
      <c r="B8650" s="11">
        <v>44781</v>
      </c>
      <c r="C8650" s="13" t="s">
        <v>8382</v>
      </c>
      <c r="D8650" s="13" t="s">
        <v>10559</v>
      </c>
      <c r="E8650" s="8">
        <v>20000</v>
      </c>
      <c r="F8650" s="13" t="s">
        <v>70</v>
      </c>
      <c r="G8650" s="14">
        <v>44788</v>
      </c>
      <c r="H8650" s="13" t="s">
        <v>35</v>
      </c>
    </row>
    <row r="8651" spans="1:8" ht="14.4" x14ac:dyDescent="0.3">
      <c r="A8651" s="8">
        <v>2042284</v>
      </c>
      <c r="B8651" s="11">
        <v>44781</v>
      </c>
      <c r="C8651" s="13" t="s">
        <v>2355</v>
      </c>
      <c r="D8651" s="13" t="s">
        <v>10559</v>
      </c>
      <c r="E8651" s="8">
        <v>6000</v>
      </c>
      <c r="F8651" s="13" t="s">
        <v>70</v>
      </c>
      <c r="G8651" s="14">
        <v>44788</v>
      </c>
      <c r="H8651" s="13" t="s">
        <v>35</v>
      </c>
    </row>
    <row r="8652" spans="1:8" ht="14.4" x14ac:dyDescent="0.3">
      <c r="A8652" s="8">
        <v>2042285</v>
      </c>
      <c r="B8652" s="11">
        <v>44781</v>
      </c>
      <c r="C8652" s="13" t="s">
        <v>339</v>
      </c>
      <c r="D8652" s="13" t="s">
        <v>10559</v>
      </c>
      <c r="E8652" s="8">
        <v>5000</v>
      </c>
      <c r="F8652" s="13" t="s">
        <v>70</v>
      </c>
      <c r="G8652" s="14">
        <v>44788</v>
      </c>
      <c r="H8652" s="13" t="s">
        <v>35</v>
      </c>
    </row>
    <row r="8653" spans="1:8" ht="14.4" x14ac:dyDescent="0.3">
      <c r="A8653" s="8">
        <v>2042286</v>
      </c>
      <c r="B8653" s="11">
        <v>44781</v>
      </c>
      <c r="C8653" s="13" t="s">
        <v>340</v>
      </c>
      <c r="D8653" s="13" t="s">
        <v>10559</v>
      </c>
      <c r="E8653" s="8">
        <v>5000</v>
      </c>
      <c r="F8653" s="13" t="s">
        <v>70</v>
      </c>
      <c r="G8653" s="14">
        <v>44788</v>
      </c>
      <c r="H8653" s="13" t="s">
        <v>35</v>
      </c>
    </row>
    <row r="8654" spans="1:8" ht="14.4" x14ac:dyDescent="0.3">
      <c r="A8654" s="8">
        <v>2042287</v>
      </c>
      <c r="B8654" s="11">
        <v>44781</v>
      </c>
      <c r="C8654" s="13" t="s">
        <v>341</v>
      </c>
      <c r="D8654" s="13" t="s">
        <v>10559</v>
      </c>
      <c r="E8654" s="8">
        <v>5000</v>
      </c>
      <c r="F8654" s="13" t="s">
        <v>70</v>
      </c>
      <c r="G8654" s="14">
        <v>44788</v>
      </c>
      <c r="H8654" s="13" t="s">
        <v>35</v>
      </c>
    </row>
    <row r="8655" spans="1:8" ht="14.4" x14ac:dyDescent="0.3">
      <c r="A8655" s="8">
        <v>2042288</v>
      </c>
      <c r="B8655" s="11">
        <v>44781</v>
      </c>
      <c r="C8655" s="13" t="s">
        <v>342</v>
      </c>
      <c r="D8655" s="13" t="s">
        <v>10559</v>
      </c>
      <c r="E8655" s="8">
        <v>3000</v>
      </c>
      <c r="F8655" s="13" t="s">
        <v>70</v>
      </c>
      <c r="G8655" s="14">
        <v>44788</v>
      </c>
      <c r="H8655" s="13" t="s">
        <v>35</v>
      </c>
    </row>
    <row r="8656" spans="1:8" ht="14.4" x14ac:dyDescent="0.3">
      <c r="A8656" s="8">
        <v>2042289</v>
      </c>
      <c r="B8656" s="11">
        <v>44782</v>
      </c>
      <c r="C8656" s="13" t="s">
        <v>344</v>
      </c>
      <c r="D8656" s="13" t="s">
        <v>10559</v>
      </c>
      <c r="E8656" s="8">
        <v>3000</v>
      </c>
      <c r="F8656" s="13" t="s">
        <v>70</v>
      </c>
      <c r="G8656" s="14">
        <v>44788</v>
      </c>
      <c r="H8656" s="13" t="s">
        <v>35</v>
      </c>
    </row>
    <row r="8657" spans="1:8" ht="14.4" x14ac:dyDescent="0.3">
      <c r="A8657" s="8">
        <v>2042290</v>
      </c>
      <c r="B8657" s="11">
        <v>44782</v>
      </c>
      <c r="C8657" s="13" t="s">
        <v>3647</v>
      </c>
      <c r="D8657" s="13" t="s">
        <v>10622</v>
      </c>
      <c r="E8657" s="8">
        <v>10000</v>
      </c>
      <c r="F8657" s="13" t="s">
        <v>70</v>
      </c>
      <c r="G8657" s="14">
        <v>44785</v>
      </c>
      <c r="H8657" s="13" t="s">
        <v>35</v>
      </c>
    </row>
    <row r="8658" spans="1:8" ht="14.4" x14ac:dyDescent="0.3">
      <c r="A8658" s="8">
        <v>2042291</v>
      </c>
      <c r="B8658" s="11">
        <v>44782</v>
      </c>
      <c r="C8658" s="13" t="s">
        <v>2359</v>
      </c>
      <c r="D8658" s="13" t="s">
        <v>10622</v>
      </c>
      <c r="E8658" s="8">
        <v>10000</v>
      </c>
      <c r="F8658" s="13" t="s">
        <v>70</v>
      </c>
      <c r="G8658" s="14">
        <v>44790</v>
      </c>
      <c r="H8658" s="13" t="s">
        <v>35</v>
      </c>
    </row>
    <row r="8659" spans="1:8" ht="14.4" x14ac:dyDescent="0.3">
      <c r="A8659" s="8">
        <v>2042292</v>
      </c>
      <c r="B8659" s="11">
        <v>44782</v>
      </c>
      <c r="C8659" s="13" t="s">
        <v>97</v>
      </c>
      <c r="D8659" s="13" t="s">
        <v>10622</v>
      </c>
      <c r="E8659" s="8">
        <v>5000</v>
      </c>
      <c r="F8659" s="13" t="s">
        <v>70</v>
      </c>
      <c r="G8659" s="14">
        <v>44791</v>
      </c>
      <c r="H8659" s="13" t="s">
        <v>35</v>
      </c>
    </row>
    <row r="8660" spans="1:8" ht="14.4" x14ac:dyDescent="0.3">
      <c r="A8660" s="8">
        <v>2042293</v>
      </c>
      <c r="B8660" s="11">
        <v>44782</v>
      </c>
      <c r="C8660" s="13" t="s">
        <v>533</v>
      </c>
      <c r="D8660" s="13" t="s">
        <v>10622</v>
      </c>
      <c r="E8660" s="8">
        <v>3000</v>
      </c>
      <c r="F8660" s="13" t="s">
        <v>70</v>
      </c>
      <c r="G8660" s="14">
        <v>44785</v>
      </c>
      <c r="H8660" s="13" t="s">
        <v>35</v>
      </c>
    </row>
    <row r="8661" spans="1:8" ht="14.4" x14ac:dyDescent="0.3">
      <c r="A8661" s="8">
        <v>2042294</v>
      </c>
      <c r="B8661" s="11">
        <v>44782</v>
      </c>
      <c r="C8661" s="13" t="s">
        <v>295</v>
      </c>
      <c r="D8661" s="13" t="s">
        <v>10609</v>
      </c>
      <c r="E8661" s="8">
        <v>20000</v>
      </c>
      <c r="F8661" s="13" t="s">
        <v>70</v>
      </c>
      <c r="G8661" s="14">
        <v>44790</v>
      </c>
      <c r="H8661" s="13" t="s">
        <v>35</v>
      </c>
    </row>
    <row r="8662" spans="1:8" ht="14.4" x14ac:dyDescent="0.3">
      <c r="A8662" s="8">
        <v>2042295</v>
      </c>
      <c r="B8662" s="11">
        <v>44782</v>
      </c>
      <c r="C8662" s="13" t="s">
        <v>2401</v>
      </c>
      <c r="D8662" s="13" t="s">
        <v>10609</v>
      </c>
      <c r="E8662" s="8">
        <v>6000</v>
      </c>
      <c r="F8662" s="13" t="s">
        <v>70</v>
      </c>
      <c r="G8662" s="14">
        <v>44785</v>
      </c>
      <c r="H8662" s="13" t="s">
        <v>35</v>
      </c>
    </row>
    <row r="8663" spans="1:8" ht="14.4" x14ac:dyDescent="0.3">
      <c r="A8663" s="8">
        <v>2042296</v>
      </c>
      <c r="B8663" s="11">
        <v>44782</v>
      </c>
      <c r="C8663" s="13" t="s">
        <v>299</v>
      </c>
      <c r="D8663" s="13" t="s">
        <v>10609</v>
      </c>
      <c r="E8663" s="8">
        <v>3000</v>
      </c>
      <c r="F8663" s="13" t="s">
        <v>70</v>
      </c>
      <c r="G8663" s="14">
        <v>44785</v>
      </c>
      <c r="H8663" s="13" t="s">
        <v>35</v>
      </c>
    </row>
    <row r="8664" spans="1:8" ht="14.4" x14ac:dyDescent="0.3">
      <c r="A8664" s="8">
        <v>2042297</v>
      </c>
      <c r="B8664" s="11">
        <v>44782</v>
      </c>
      <c r="C8664" s="13" t="s">
        <v>10623</v>
      </c>
      <c r="D8664" s="13" t="s">
        <v>63</v>
      </c>
      <c r="E8664" s="8">
        <v>11000</v>
      </c>
      <c r="F8664" s="13" t="s">
        <v>70</v>
      </c>
      <c r="G8664" s="14">
        <v>44791</v>
      </c>
      <c r="H8664" s="13" t="s">
        <v>35</v>
      </c>
    </row>
    <row r="8665" spans="1:8" ht="14.4" x14ac:dyDescent="0.3">
      <c r="A8665" s="8">
        <v>2042298</v>
      </c>
      <c r="B8665" s="11">
        <v>44782</v>
      </c>
      <c r="C8665" s="13" t="s">
        <v>10624</v>
      </c>
      <c r="D8665" s="13" t="s">
        <v>10625</v>
      </c>
      <c r="E8665" s="8">
        <v>11000</v>
      </c>
      <c r="F8665" s="13" t="s">
        <v>70</v>
      </c>
      <c r="G8665" s="14">
        <v>44784</v>
      </c>
      <c r="H8665" s="13" t="s">
        <v>35</v>
      </c>
    </row>
    <row r="8666" spans="1:8" ht="14.4" x14ac:dyDescent="0.3">
      <c r="A8666" s="8">
        <v>2042299</v>
      </c>
      <c r="B8666" s="11">
        <v>44782</v>
      </c>
      <c r="C8666" s="13" t="s">
        <v>10626</v>
      </c>
      <c r="D8666" s="13" t="s">
        <v>10625</v>
      </c>
      <c r="E8666" s="8">
        <v>11000</v>
      </c>
      <c r="F8666" s="13" t="s">
        <v>70</v>
      </c>
      <c r="G8666" s="14">
        <v>44784</v>
      </c>
      <c r="H8666" s="13" t="s">
        <v>35</v>
      </c>
    </row>
    <row r="8667" spans="1:8" ht="14.4" x14ac:dyDescent="0.3">
      <c r="A8667" s="8">
        <v>2042300</v>
      </c>
      <c r="B8667" s="11">
        <v>44782</v>
      </c>
      <c r="C8667" s="13" t="s">
        <v>2480</v>
      </c>
      <c r="D8667" s="13" t="s">
        <v>10627</v>
      </c>
      <c r="E8667" s="8">
        <v>89000</v>
      </c>
      <c r="F8667" s="13" t="s">
        <v>70</v>
      </c>
      <c r="G8667" s="14">
        <v>44782</v>
      </c>
      <c r="H8667" s="13" t="s">
        <v>35</v>
      </c>
    </row>
    <row r="8668" spans="1:8" ht="14.4" x14ac:dyDescent="0.3">
      <c r="A8668" s="8">
        <v>2042301</v>
      </c>
      <c r="B8668" s="11">
        <v>44782</v>
      </c>
      <c r="C8668" s="13" t="s">
        <v>361</v>
      </c>
      <c r="D8668" s="13" t="s">
        <v>10628</v>
      </c>
      <c r="E8668" s="8">
        <v>40357</v>
      </c>
      <c r="F8668" s="13" t="s">
        <v>70</v>
      </c>
      <c r="G8668" s="14">
        <v>44784</v>
      </c>
      <c r="H8668" s="13" t="s">
        <v>35</v>
      </c>
    </row>
    <row r="8669" spans="1:8" ht="14.4" x14ac:dyDescent="0.3">
      <c r="A8669" s="8">
        <v>2042302</v>
      </c>
      <c r="B8669" s="11">
        <v>44782</v>
      </c>
      <c r="C8669" s="13" t="s">
        <v>10629</v>
      </c>
      <c r="D8669" s="13" t="s">
        <v>10630</v>
      </c>
      <c r="E8669" s="8">
        <v>20000</v>
      </c>
      <c r="F8669" s="13" t="s">
        <v>70</v>
      </c>
      <c r="G8669" s="14">
        <v>44811</v>
      </c>
      <c r="H8669" s="13" t="s">
        <v>35</v>
      </c>
    </row>
    <row r="8670" spans="1:8" ht="14.4" x14ac:dyDescent="0.3">
      <c r="A8670" s="8">
        <v>2042303</v>
      </c>
      <c r="B8670" s="11">
        <v>44782</v>
      </c>
      <c r="C8670" s="13" t="s">
        <v>10631</v>
      </c>
      <c r="D8670" s="13" t="s">
        <v>10632</v>
      </c>
      <c r="E8670" s="8">
        <v>5000</v>
      </c>
      <c r="F8670" s="13" t="s">
        <v>70</v>
      </c>
      <c r="G8670" s="14">
        <v>44806</v>
      </c>
      <c r="H8670" s="13" t="s">
        <v>35</v>
      </c>
    </row>
    <row r="8671" spans="1:8" ht="14.4" x14ac:dyDescent="0.3">
      <c r="A8671" s="8">
        <v>2042304</v>
      </c>
      <c r="B8671" s="11">
        <v>44782</v>
      </c>
      <c r="C8671" s="13" t="s">
        <v>10633</v>
      </c>
      <c r="D8671" s="13" t="s">
        <v>10634</v>
      </c>
      <c r="E8671" s="8">
        <v>10000</v>
      </c>
      <c r="F8671" s="13" t="s">
        <v>70</v>
      </c>
      <c r="G8671" s="14">
        <v>44783</v>
      </c>
      <c r="H8671" s="13" t="s">
        <v>35</v>
      </c>
    </row>
    <row r="8672" spans="1:8" ht="14.4" x14ac:dyDescent="0.3">
      <c r="A8672" s="8">
        <v>2042305</v>
      </c>
      <c r="B8672" s="11">
        <v>44782</v>
      </c>
      <c r="C8672" s="13" t="s">
        <v>127</v>
      </c>
      <c r="D8672" s="13" t="s">
        <v>10635</v>
      </c>
      <c r="E8672" s="8">
        <v>9789.15</v>
      </c>
      <c r="F8672" s="13" t="s">
        <v>70</v>
      </c>
      <c r="G8672" s="14">
        <v>44785</v>
      </c>
      <c r="H8672" s="13" t="s">
        <v>35</v>
      </c>
    </row>
    <row r="8673" spans="1:8" ht="14.4" x14ac:dyDescent="0.3">
      <c r="A8673" s="8">
        <v>2042306</v>
      </c>
      <c r="B8673" s="11">
        <v>44782</v>
      </c>
      <c r="C8673" s="13" t="s">
        <v>10636</v>
      </c>
      <c r="D8673" s="13" t="s">
        <v>10637</v>
      </c>
      <c r="E8673" s="8">
        <v>13000</v>
      </c>
      <c r="F8673" s="13" t="s">
        <v>70</v>
      </c>
      <c r="G8673" s="14">
        <v>44795</v>
      </c>
      <c r="H8673" s="13" t="s">
        <v>35</v>
      </c>
    </row>
    <row r="8674" spans="1:8" ht="14.4" x14ac:dyDescent="0.3">
      <c r="A8674" s="8">
        <v>2042307</v>
      </c>
      <c r="B8674" s="11">
        <v>44782</v>
      </c>
      <c r="C8674" s="13" t="s">
        <v>10638</v>
      </c>
      <c r="D8674" s="13" t="s">
        <v>10639</v>
      </c>
      <c r="E8674" s="8">
        <v>50000</v>
      </c>
      <c r="F8674" s="13" t="s">
        <v>70</v>
      </c>
      <c r="G8674" s="14">
        <v>44784</v>
      </c>
      <c r="H8674" s="13" t="s">
        <v>35</v>
      </c>
    </row>
    <row r="8675" spans="1:8" ht="14.4" x14ac:dyDescent="0.3">
      <c r="A8675" s="8">
        <v>2042308</v>
      </c>
      <c r="B8675" s="11">
        <v>44782</v>
      </c>
      <c r="C8675" s="13" t="s">
        <v>10640</v>
      </c>
      <c r="D8675" s="13" t="s">
        <v>10641</v>
      </c>
      <c r="E8675" s="8">
        <v>25000</v>
      </c>
      <c r="F8675" s="13" t="s">
        <v>70</v>
      </c>
      <c r="G8675" s="14">
        <v>44784</v>
      </c>
      <c r="H8675" s="13" t="s">
        <v>35</v>
      </c>
    </row>
    <row r="8676" spans="1:8" ht="14.4" x14ac:dyDescent="0.3">
      <c r="A8676" s="8">
        <v>2042309</v>
      </c>
      <c r="B8676" s="11">
        <v>44782</v>
      </c>
      <c r="C8676" s="13" t="s">
        <v>2687</v>
      </c>
      <c r="D8676" s="13" t="s">
        <v>10642</v>
      </c>
      <c r="E8676" s="8">
        <v>8000</v>
      </c>
      <c r="F8676" s="13" t="s">
        <v>70</v>
      </c>
      <c r="G8676" s="14">
        <v>44782</v>
      </c>
      <c r="H8676" s="13" t="s">
        <v>35</v>
      </c>
    </row>
    <row r="8677" spans="1:8" ht="14.4" x14ac:dyDescent="0.3">
      <c r="A8677" s="8">
        <v>2042310</v>
      </c>
      <c r="B8677" s="11">
        <v>44782</v>
      </c>
      <c r="C8677" s="13" t="s">
        <v>10643</v>
      </c>
      <c r="D8677" s="13" t="s">
        <v>10644</v>
      </c>
      <c r="E8677" s="8">
        <v>18000</v>
      </c>
      <c r="F8677" s="13" t="s">
        <v>70</v>
      </c>
      <c r="G8677" s="14">
        <v>44784</v>
      </c>
      <c r="H8677" s="13" t="s">
        <v>35</v>
      </c>
    </row>
    <row r="8678" spans="1:8" ht="14.4" x14ac:dyDescent="0.3">
      <c r="A8678" s="8">
        <v>2042311</v>
      </c>
      <c r="B8678" s="11">
        <v>44782</v>
      </c>
      <c r="C8678" s="13" t="s">
        <v>10645</v>
      </c>
      <c r="D8678" s="13" t="s">
        <v>10646</v>
      </c>
      <c r="E8678" s="8">
        <v>22000</v>
      </c>
      <c r="F8678" s="13" t="s">
        <v>70</v>
      </c>
      <c r="G8678" s="14">
        <v>44784</v>
      </c>
      <c r="H8678" s="13" t="s">
        <v>35</v>
      </c>
    </row>
    <row r="8679" spans="1:8" ht="14.4" x14ac:dyDescent="0.3">
      <c r="A8679" s="8">
        <v>2042312</v>
      </c>
      <c r="B8679" s="11">
        <v>44782</v>
      </c>
      <c r="C8679" s="13" t="s">
        <v>10647</v>
      </c>
      <c r="D8679" s="13" t="s">
        <v>10648</v>
      </c>
      <c r="E8679" s="8">
        <v>10000</v>
      </c>
      <c r="F8679" s="13" t="s">
        <v>70</v>
      </c>
      <c r="G8679" s="14">
        <v>44785</v>
      </c>
      <c r="H8679" s="13" t="s">
        <v>35</v>
      </c>
    </row>
    <row r="8680" spans="1:8" ht="14.4" x14ac:dyDescent="0.3">
      <c r="A8680" s="8">
        <v>2042313</v>
      </c>
      <c r="B8680" s="11">
        <v>44782</v>
      </c>
      <c r="C8680" s="13" t="s">
        <v>10649</v>
      </c>
      <c r="D8680" s="13" t="s">
        <v>10650</v>
      </c>
      <c r="E8680" s="8">
        <v>8000</v>
      </c>
      <c r="F8680" s="13" t="s">
        <v>70</v>
      </c>
      <c r="G8680" s="14">
        <v>44788</v>
      </c>
      <c r="H8680" s="13" t="s">
        <v>35</v>
      </c>
    </row>
    <row r="8681" spans="1:8" ht="14.4" x14ac:dyDescent="0.3">
      <c r="A8681" s="8">
        <v>2042314</v>
      </c>
      <c r="B8681" s="11">
        <v>44782</v>
      </c>
      <c r="C8681" s="13" t="s">
        <v>8140</v>
      </c>
      <c r="D8681" s="13" t="s">
        <v>10651</v>
      </c>
      <c r="E8681" s="8">
        <v>15000</v>
      </c>
      <c r="F8681" s="13" t="s">
        <v>70</v>
      </c>
      <c r="G8681" s="14">
        <v>44785</v>
      </c>
      <c r="H8681" s="13" t="s">
        <v>35</v>
      </c>
    </row>
    <row r="8682" spans="1:8" ht="14.4" x14ac:dyDescent="0.3">
      <c r="A8682" s="8">
        <v>2042315</v>
      </c>
      <c r="B8682" s="11">
        <v>44782</v>
      </c>
      <c r="C8682" s="13" t="s">
        <v>10652</v>
      </c>
      <c r="D8682" s="13" t="s">
        <v>10653</v>
      </c>
      <c r="E8682" s="8">
        <v>20000</v>
      </c>
      <c r="F8682" s="13" t="s">
        <v>70</v>
      </c>
      <c r="G8682" s="14">
        <v>44784</v>
      </c>
      <c r="H8682" s="13" t="s">
        <v>35</v>
      </c>
    </row>
    <row r="8683" spans="1:8" ht="14.4" x14ac:dyDescent="0.3">
      <c r="A8683" s="8">
        <v>2042316</v>
      </c>
      <c r="B8683" s="11">
        <v>44782</v>
      </c>
      <c r="C8683" s="13" t="s">
        <v>10654</v>
      </c>
      <c r="D8683" s="13" t="s">
        <v>10655</v>
      </c>
      <c r="E8683" s="8">
        <v>11500</v>
      </c>
      <c r="F8683" s="13" t="s">
        <v>70</v>
      </c>
      <c r="G8683" s="14">
        <v>44784</v>
      </c>
      <c r="H8683" s="13" t="s">
        <v>35</v>
      </c>
    </row>
    <row r="8684" spans="1:8" ht="14.4" x14ac:dyDescent="0.3">
      <c r="A8684" s="8">
        <v>2042317</v>
      </c>
      <c r="B8684" s="11">
        <v>44782</v>
      </c>
      <c r="C8684" s="13" t="s">
        <v>10656</v>
      </c>
      <c r="D8684" s="13" t="s">
        <v>10657</v>
      </c>
      <c r="E8684" s="8">
        <v>387000</v>
      </c>
      <c r="F8684" s="13" t="s">
        <v>70</v>
      </c>
      <c r="G8684" s="14">
        <v>44785</v>
      </c>
      <c r="H8684" s="13" t="s">
        <v>35</v>
      </c>
    </row>
    <row r="8685" spans="1:8" ht="14.4" x14ac:dyDescent="0.3">
      <c r="A8685" s="8">
        <v>2042318</v>
      </c>
      <c r="B8685" s="11">
        <v>44782</v>
      </c>
      <c r="C8685" s="13" t="s">
        <v>10658</v>
      </c>
      <c r="D8685" s="13" t="s">
        <v>10659</v>
      </c>
      <c r="E8685" s="8">
        <v>1792000</v>
      </c>
      <c r="F8685" s="13" t="s">
        <v>70</v>
      </c>
      <c r="G8685" s="14">
        <v>44785</v>
      </c>
      <c r="H8685" s="13" t="s">
        <v>35</v>
      </c>
    </row>
    <row r="8686" spans="1:8" ht="14.4" x14ac:dyDescent="0.3">
      <c r="A8686" s="8">
        <v>2042319</v>
      </c>
      <c r="B8686" s="11">
        <v>44782</v>
      </c>
      <c r="C8686" s="13" t="s">
        <v>10660</v>
      </c>
      <c r="D8686" s="13" t="s">
        <v>63</v>
      </c>
      <c r="E8686" s="8">
        <v>11000</v>
      </c>
      <c r="F8686" s="13" t="s">
        <v>70</v>
      </c>
      <c r="G8686" s="14">
        <v>44784</v>
      </c>
      <c r="H8686" s="13" t="s">
        <v>35</v>
      </c>
    </row>
    <row r="8687" spans="1:8" ht="14.4" x14ac:dyDescent="0.3">
      <c r="A8687" s="8">
        <v>2042320</v>
      </c>
      <c r="B8687" s="11">
        <v>44782</v>
      </c>
      <c r="C8687" s="13" t="s">
        <v>10661</v>
      </c>
      <c r="D8687" s="13" t="s">
        <v>63</v>
      </c>
      <c r="E8687" s="8">
        <v>11000</v>
      </c>
      <c r="F8687" s="13" t="s">
        <v>70</v>
      </c>
      <c r="G8687" s="14">
        <v>44783</v>
      </c>
      <c r="H8687" s="13" t="s">
        <v>35</v>
      </c>
    </row>
    <row r="8688" spans="1:8" ht="14.4" x14ac:dyDescent="0.3">
      <c r="A8688" s="8">
        <v>2042321</v>
      </c>
      <c r="B8688" s="11">
        <v>44782</v>
      </c>
      <c r="C8688" s="13" t="s">
        <v>10662</v>
      </c>
      <c r="D8688" s="13" t="s">
        <v>63</v>
      </c>
      <c r="E8688" s="8">
        <v>11000</v>
      </c>
      <c r="F8688" s="13" t="s">
        <v>70</v>
      </c>
      <c r="G8688" s="14">
        <v>44783</v>
      </c>
      <c r="H8688" s="13" t="s">
        <v>35</v>
      </c>
    </row>
    <row r="8689" spans="1:8" ht="14.4" x14ac:dyDescent="0.3">
      <c r="A8689" s="8">
        <v>2042322</v>
      </c>
      <c r="B8689" s="11">
        <v>44782</v>
      </c>
      <c r="C8689" s="13" t="s">
        <v>10663</v>
      </c>
      <c r="D8689" s="13" t="s">
        <v>10664</v>
      </c>
      <c r="E8689" s="8">
        <v>12500</v>
      </c>
      <c r="F8689" s="13" t="s">
        <v>70</v>
      </c>
      <c r="G8689" s="14">
        <v>44783</v>
      </c>
      <c r="H8689" s="13" t="s">
        <v>35</v>
      </c>
    </row>
    <row r="8690" spans="1:8" ht="14.4" x14ac:dyDescent="0.3">
      <c r="A8690" s="8">
        <v>2042323</v>
      </c>
      <c r="B8690" s="11">
        <v>44782</v>
      </c>
      <c r="C8690" s="13" t="s">
        <v>10665</v>
      </c>
      <c r="D8690" s="13" t="s">
        <v>63</v>
      </c>
      <c r="E8690" s="8">
        <v>11000</v>
      </c>
      <c r="F8690" s="13" t="s">
        <v>70</v>
      </c>
      <c r="G8690" s="14">
        <v>44783</v>
      </c>
      <c r="H8690" s="13" t="s">
        <v>35</v>
      </c>
    </row>
    <row r="8691" spans="1:8" ht="14.4" x14ac:dyDescent="0.3">
      <c r="A8691" s="8">
        <v>2042324</v>
      </c>
      <c r="B8691" s="11">
        <v>44782</v>
      </c>
      <c r="C8691" s="13" t="s">
        <v>10666</v>
      </c>
      <c r="D8691" s="13" t="s">
        <v>10667</v>
      </c>
      <c r="E8691" s="8">
        <v>262500</v>
      </c>
      <c r="F8691" s="13" t="s">
        <v>70</v>
      </c>
      <c r="G8691" s="14">
        <v>44795</v>
      </c>
      <c r="H8691" s="13" t="s">
        <v>35</v>
      </c>
    </row>
    <row r="8692" spans="1:8" ht="14.4" x14ac:dyDescent="0.3">
      <c r="A8692" s="8">
        <v>2042325</v>
      </c>
      <c r="B8692" s="11">
        <v>44782</v>
      </c>
      <c r="C8692" s="13" t="s">
        <v>2388</v>
      </c>
      <c r="D8692" s="13" t="s">
        <v>10668</v>
      </c>
      <c r="E8692" s="8">
        <v>37000</v>
      </c>
      <c r="F8692" s="13" t="s">
        <v>70</v>
      </c>
      <c r="G8692" s="14">
        <v>44783</v>
      </c>
      <c r="H8692" s="13" t="s">
        <v>35</v>
      </c>
    </row>
    <row r="8693" spans="1:8" ht="14.4" x14ac:dyDescent="0.3">
      <c r="A8693" s="8">
        <v>2042326</v>
      </c>
      <c r="B8693" s="11">
        <v>44782</v>
      </c>
      <c r="C8693" s="13" t="s">
        <v>2386</v>
      </c>
      <c r="D8693" s="13" t="s">
        <v>10668</v>
      </c>
      <c r="E8693" s="8">
        <v>43000</v>
      </c>
      <c r="F8693" s="13" t="s">
        <v>70</v>
      </c>
      <c r="G8693" s="14">
        <v>44788</v>
      </c>
      <c r="H8693" s="13" t="s">
        <v>35</v>
      </c>
    </row>
    <row r="8694" spans="1:8" ht="14.4" x14ac:dyDescent="0.3">
      <c r="A8694" s="8">
        <v>2042327</v>
      </c>
      <c r="B8694" s="11">
        <v>44782</v>
      </c>
      <c r="C8694" s="13" t="s">
        <v>10656</v>
      </c>
      <c r="D8694" s="13" t="s">
        <v>10669</v>
      </c>
      <c r="E8694" s="8">
        <v>17000</v>
      </c>
      <c r="F8694" s="13" t="s">
        <v>70</v>
      </c>
      <c r="G8694" s="14">
        <v>44785</v>
      </c>
      <c r="H8694" s="13" t="s">
        <v>35</v>
      </c>
    </row>
    <row r="8695" spans="1:8" ht="14.4" x14ac:dyDescent="0.3">
      <c r="A8695" s="8">
        <v>2042328</v>
      </c>
      <c r="B8695" s="11">
        <v>44782</v>
      </c>
      <c r="C8695" s="13" t="s">
        <v>2453</v>
      </c>
      <c r="D8695" s="13" t="s">
        <v>10670</v>
      </c>
      <c r="E8695" s="8">
        <v>15000</v>
      </c>
      <c r="F8695" s="13" t="s">
        <v>70</v>
      </c>
      <c r="G8695" s="14">
        <v>44790</v>
      </c>
      <c r="H8695" s="13" t="s">
        <v>35</v>
      </c>
    </row>
    <row r="8696" spans="1:8" ht="14.4" x14ac:dyDescent="0.3">
      <c r="A8696" s="8">
        <v>2042329</v>
      </c>
      <c r="B8696" s="11">
        <v>44782</v>
      </c>
      <c r="C8696" s="13" t="s">
        <v>2384</v>
      </c>
      <c r="D8696" s="13" t="s">
        <v>10671</v>
      </c>
      <c r="E8696" s="8">
        <v>20000</v>
      </c>
      <c r="F8696" s="13" t="s">
        <v>70</v>
      </c>
      <c r="G8696" s="14">
        <v>44789</v>
      </c>
      <c r="H8696" s="13" t="s">
        <v>35</v>
      </c>
    </row>
    <row r="8697" spans="1:8" ht="14.4" x14ac:dyDescent="0.3">
      <c r="A8697" s="8">
        <v>2042330</v>
      </c>
      <c r="B8697" s="11">
        <v>44782</v>
      </c>
      <c r="C8697" s="13" t="s">
        <v>2419</v>
      </c>
      <c r="D8697" s="13" t="s">
        <v>10672</v>
      </c>
      <c r="E8697" s="8">
        <v>115000</v>
      </c>
      <c r="F8697" s="13" t="s">
        <v>70</v>
      </c>
      <c r="G8697" s="14">
        <v>44785</v>
      </c>
      <c r="H8697" s="13" t="s">
        <v>35</v>
      </c>
    </row>
    <row r="8698" spans="1:8" ht="14.4" x14ac:dyDescent="0.3">
      <c r="A8698" s="8">
        <v>2042331</v>
      </c>
      <c r="B8698" s="11">
        <v>44782</v>
      </c>
      <c r="C8698" s="13" t="s">
        <v>2388</v>
      </c>
      <c r="D8698" s="13" t="s">
        <v>10673</v>
      </c>
      <c r="E8698" s="8">
        <v>10000</v>
      </c>
      <c r="F8698" s="13" t="s">
        <v>70</v>
      </c>
      <c r="G8698" s="14">
        <v>44783</v>
      </c>
      <c r="H8698" s="13" t="s">
        <v>35</v>
      </c>
    </row>
    <row r="8699" spans="1:8" ht="14.4" x14ac:dyDescent="0.3">
      <c r="A8699" s="8">
        <v>2042332</v>
      </c>
      <c r="B8699" s="11">
        <v>44782</v>
      </c>
      <c r="C8699" s="13" t="s">
        <v>265</v>
      </c>
      <c r="D8699" s="13" t="s">
        <v>10674</v>
      </c>
      <c r="E8699" s="8">
        <v>31850</v>
      </c>
      <c r="F8699" s="13" t="s">
        <v>70</v>
      </c>
      <c r="G8699" s="14">
        <v>44785</v>
      </c>
      <c r="H8699" s="13" t="s">
        <v>35</v>
      </c>
    </row>
    <row r="8700" spans="1:8" ht="14.4" x14ac:dyDescent="0.3">
      <c r="A8700" s="8">
        <v>2042333</v>
      </c>
      <c r="B8700" s="11">
        <v>44782</v>
      </c>
      <c r="C8700" s="13" t="s">
        <v>10675</v>
      </c>
      <c r="D8700" s="13" t="s">
        <v>10676</v>
      </c>
      <c r="E8700" s="8">
        <v>50000</v>
      </c>
      <c r="F8700" s="13" t="s">
        <v>70</v>
      </c>
      <c r="G8700" s="14">
        <v>44784</v>
      </c>
      <c r="H8700" s="13" t="s">
        <v>35</v>
      </c>
    </row>
    <row r="8701" spans="1:8" ht="14.4" x14ac:dyDescent="0.3">
      <c r="A8701" s="8">
        <v>2042334</v>
      </c>
      <c r="B8701" s="11">
        <v>44782</v>
      </c>
      <c r="C8701" s="13" t="s">
        <v>10677</v>
      </c>
      <c r="D8701" s="13" t="s">
        <v>10678</v>
      </c>
      <c r="E8701" s="8">
        <v>10000</v>
      </c>
      <c r="F8701" s="13" t="s">
        <v>70</v>
      </c>
      <c r="G8701" s="14">
        <v>44792</v>
      </c>
      <c r="H8701" s="13" t="s">
        <v>35</v>
      </c>
    </row>
    <row r="8702" spans="1:8" ht="14.4" x14ac:dyDescent="0.3">
      <c r="A8702" s="8">
        <v>2042335</v>
      </c>
      <c r="B8702" s="11">
        <v>44782</v>
      </c>
      <c r="C8702" s="13" t="s">
        <v>10679</v>
      </c>
      <c r="D8702" s="13" t="s">
        <v>10680</v>
      </c>
      <c r="E8702" s="8">
        <v>30000</v>
      </c>
      <c r="F8702" s="13" t="s">
        <v>70</v>
      </c>
      <c r="G8702" s="14">
        <v>44784</v>
      </c>
      <c r="H8702" s="13" t="s">
        <v>35</v>
      </c>
    </row>
    <row r="8703" spans="1:8" ht="14.4" x14ac:dyDescent="0.3">
      <c r="A8703" s="8">
        <v>2042336</v>
      </c>
      <c r="B8703" s="11">
        <v>44782</v>
      </c>
      <c r="C8703" s="13" t="s">
        <v>9409</v>
      </c>
      <c r="D8703" s="13" t="s">
        <v>10681</v>
      </c>
      <c r="E8703" s="8">
        <v>21000</v>
      </c>
      <c r="F8703" s="13" t="s">
        <v>70</v>
      </c>
      <c r="G8703" s="14">
        <v>44784</v>
      </c>
      <c r="H8703" s="13" t="s">
        <v>35</v>
      </c>
    </row>
    <row r="8704" spans="1:8" ht="14.4" x14ac:dyDescent="0.3">
      <c r="A8704" s="8">
        <v>2042337</v>
      </c>
      <c r="B8704" s="11">
        <v>44782</v>
      </c>
      <c r="C8704" s="13" t="s">
        <v>10682</v>
      </c>
      <c r="D8704" s="13" t="s">
        <v>10683</v>
      </c>
      <c r="E8704" s="8">
        <v>9000</v>
      </c>
      <c r="F8704" s="13" t="s">
        <v>70</v>
      </c>
      <c r="G8704" s="14">
        <v>44792</v>
      </c>
      <c r="H8704" s="13" t="s">
        <v>35</v>
      </c>
    </row>
    <row r="8705" spans="1:8" ht="14.4" x14ac:dyDescent="0.3">
      <c r="A8705" s="8">
        <v>2042338</v>
      </c>
      <c r="B8705" s="11">
        <v>44782</v>
      </c>
      <c r="C8705" s="13" t="s">
        <v>10684</v>
      </c>
      <c r="D8705" s="13" t="s">
        <v>10685</v>
      </c>
      <c r="E8705" s="8">
        <v>12000</v>
      </c>
      <c r="F8705" s="13" t="s">
        <v>70</v>
      </c>
      <c r="G8705" s="14">
        <v>44783</v>
      </c>
      <c r="H8705" s="13" t="s">
        <v>35</v>
      </c>
    </row>
    <row r="8706" spans="1:8" ht="14.4" x14ac:dyDescent="0.3">
      <c r="A8706" s="8">
        <v>2042339</v>
      </c>
      <c r="B8706" s="11">
        <v>44782</v>
      </c>
      <c r="C8706" s="13" t="s">
        <v>10686</v>
      </c>
      <c r="D8706" s="13" t="s">
        <v>10687</v>
      </c>
      <c r="E8706" s="8">
        <v>10000</v>
      </c>
      <c r="F8706" s="13" t="s">
        <v>70</v>
      </c>
      <c r="G8706" s="14">
        <v>44784</v>
      </c>
      <c r="H8706" s="13" t="s">
        <v>35</v>
      </c>
    </row>
    <row r="8707" spans="1:8" ht="14.4" x14ac:dyDescent="0.3">
      <c r="A8707" s="8">
        <v>2042340</v>
      </c>
      <c r="B8707" s="11">
        <v>44782</v>
      </c>
      <c r="C8707" s="13" t="s">
        <v>10688</v>
      </c>
      <c r="D8707" s="13" t="s">
        <v>10689</v>
      </c>
      <c r="E8707" s="8">
        <v>10000</v>
      </c>
      <c r="F8707" s="13" t="s">
        <v>70</v>
      </c>
      <c r="G8707" s="14">
        <v>44784</v>
      </c>
      <c r="H8707" s="13" t="s">
        <v>35</v>
      </c>
    </row>
    <row r="8708" spans="1:8" ht="14.4" x14ac:dyDescent="0.3">
      <c r="A8708" s="8">
        <v>2042342</v>
      </c>
      <c r="B8708" s="11">
        <v>44782</v>
      </c>
      <c r="C8708" s="13" t="s">
        <v>10690</v>
      </c>
      <c r="D8708" s="13" t="s">
        <v>10691</v>
      </c>
      <c r="E8708" s="8">
        <v>15000</v>
      </c>
      <c r="F8708" s="13" t="s">
        <v>70</v>
      </c>
      <c r="G8708" s="14">
        <v>44784</v>
      </c>
      <c r="H8708" s="13" t="s">
        <v>35</v>
      </c>
    </row>
    <row r="8709" spans="1:8" ht="14.4" x14ac:dyDescent="0.3">
      <c r="A8709" s="8">
        <v>2042343</v>
      </c>
      <c r="B8709" s="11">
        <v>44782</v>
      </c>
      <c r="C8709" s="13" t="s">
        <v>10692</v>
      </c>
      <c r="D8709" s="13" t="s">
        <v>10693</v>
      </c>
      <c r="E8709" s="8">
        <v>15000</v>
      </c>
      <c r="F8709" s="13" t="s">
        <v>70</v>
      </c>
      <c r="G8709" s="14">
        <v>44784</v>
      </c>
      <c r="H8709" s="13" t="s">
        <v>35</v>
      </c>
    </row>
    <row r="8710" spans="1:8" ht="14.4" x14ac:dyDescent="0.3">
      <c r="A8710" s="8">
        <v>2042344</v>
      </c>
      <c r="B8710" s="11">
        <v>44782</v>
      </c>
      <c r="C8710" s="13" t="s">
        <v>10694</v>
      </c>
      <c r="D8710" s="13" t="s">
        <v>10695</v>
      </c>
      <c r="E8710" s="8">
        <v>6500</v>
      </c>
      <c r="F8710" s="13" t="s">
        <v>70</v>
      </c>
      <c r="G8710" s="14">
        <v>44784</v>
      </c>
      <c r="H8710" s="13" t="s">
        <v>35</v>
      </c>
    </row>
    <row r="8711" spans="1:8" ht="14.4" x14ac:dyDescent="0.3">
      <c r="A8711" s="8">
        <v>2042345</v>
      </c>
      <c r="B8711" s="11">
        <v>44782</v>
      </c>
      <c r="C8711" s="13" t="s">
        <v>10696</v>
      </c>
      <c r="D8711" s="13" t="s">
        <v>10697</v>
      </c>
      <c r="E8711" s="8">
        <v>9000</v>
      </c>
      <c r="F8711" s="13" t="s">
        <v>70</v>
      </c>
      <c r="G8711" s="14">
        <v>44785</v>
      </c>
      <c r="H8711" s="13" t="s">
        <v>35</v>
      </c>
    </row>
    <row r="8712" spans="1:8" ht="14.4" x14ac:dyDescent="0.3">
      <c r="A8712" s="8">
        <v>2042346</v>
      </c>
      <c r="B8712" s="11">
        <v>44782</v>
      </c>
      <c r="C8712" s="13" t="s">
        <v>10698</v>
      </c>
      <c r="D8712" s="13" t="s">
        <v>10699</v>
      </c>
      <c r="E8712" s="8">
        <v>8000</v>
      </c>
      <c r="F8712" s="13" t="s">
        <v>70</v>
      </c>
      <c r="G8712" s="14">
        <v>44784</v>
      </c>
      <c r="H8712" s="13" t="s">
        <v>35</v>
      </c>
    </row>
    <row r="8713" spans="1:8" ht="14.4" x14ac:dyDescent="0.3">
      <c r="A8713" s="8">
        <v>2042348</v>
      </c>
      <c r="B8713" s="11">
        <v>44782</v>
      </c>
      <c r="C8713" s="13" t="s">
        <v>10700</v>
      </c>
      <c r="D8713" s="13" t="s">
        <v>10701</v>
      </c>
      <c r="E8713" s="8">
        <v>6000</v>
      </c>
      <c r="F8713" s="13" t="s">
        <v>70</v>
      </c>
      <c r="G8713" s="14">
        <v>44784</v>
      </c>
      <c r="H8713" s="13" t="s">
        <v>35</v>
      </c>
    </row>
    <row r="8714" spans="1:8" ht="14.4" x14ac:dyDescent="0.3">
      <c r="A8714" s="8">
        <v>2042349</v>
      </c>
      <c r="B8714" s="11">
        <v>44782</v>
      </c>
      <c r="C8714" s="13" t="s">
        <v>10702</v>
      </c>
      <c r="D8714" s="13" t="s">
        <v>10703</v>
      </c>
      <c r="E8714" s="8">
        <v>9800</v>
      </c>
      <c r="F8714" s="13" t="s">
        <v>70</v>
      </c>
      <c r="G8714" s="14">
        <v>44783</v>
      </c>
      <c r="H8714" s="13" t="s">
        <v>35</v>
      </c>
    </row>
    <row r="8715" spans="1:8" ht="14.4" x14ac:dyDescent="0.3">
      <c r="A8715" s="8">
        <v>2042350</v>
      </c>
      <c r="B8715" s="11">
        <v>44782</v>
      </c>
      <c r="C8715" s="13" t="s">
        <v>10704</v>
      </c>
      <c r="D8715" s="13" t="s">
        <v>10705</v>
      </c>
      <c r="E8715" s="8">
        <v>28000</v>
      </c>
      <c r="F8715" s="13" t="s">
        <v>70</v>
      </c>
      <c r="G8715" s="14">
        <v>44785</v>
      </c>
      <c r="H8715" s="13" t="s">
        <v>35</v>
      </c>
    </row>
    <row r="8716" spans="1:8" ht="14.4" x14ac:dyDescent="0.3">
      <c r="A8716" s="8">
        <v>2042351</v>
      </c>
      <c r="B8716" s="11">
        <v>44782</v>
      </c>
      <c r="C8716" s="13" t="s">
        <v>10706</v>
      </c>
      <c r="D8716" s="13" t="s">
        <v>10707</v>
      </c>
      <c r="E8716" s="8">
        <v>22600</v>
      </c>
      <c r="F8716" s="13" t="s">
        <v>70</v>
      </c>
      <c r="G8716" s="14">
        <v>44784</v>
      </c>
      <c r="H8716" s="13" t="s">
        <v>35</v>
      </c>
    </row>
    <row r="8717" spans="1:8" ht="14.4" x14ac:dyDescent="0.3">
      <c r="A8717" s="8">
        <v>2042352</v>
      </c>
      <c r="B8717" s="11">
        <v>44782</v>
      </c>
      <c r="C8717" s="13" t="s">
        <v>10708</v>
      </c>
      <c r="D8717" s="13" t="s">
        <v>10709</v>
      </c>
      <c r="E8717" s="8">
        <v>11000</v>
      </c>
      <c r="F8717" s="13" t="s">
        <v>70</v>
      </c>
      <c r="G8717" s="14">
        <v>44785</v>
      </c>
      <c r="H8717" s="13" t="s">
        <v>35</v>
      </c>
    </row>
    <row r="8718" spans="1:8" ht="14.4" x14ac:dyDescent="0.3">
      <c r="A8718" s="8">
        <v>2042353</v>
      </c>
      <c r="B8718" s="11">
        <v>44782</v>
      </c>
      <c r="C8718" s="13" t="s">
        <v>10710</v>
      </c>
      <c r="D8718" s="13" t="s">
        <v>10711</v>
      </c>
      <c r="E8718" s="8">
        <v>35000</v>
      </c>
      <c r="F8718" s="13" t="s">
        <v>70</v>
      </c>
      <c r="G8718" s="14">
        <v>44784</v>
      </c>
      <c r="H8718" s="13" t="s">
        <v>35</v>
      </c>
    </row>
    <row r="8719" spans="1:8" ht="14.4" x14ac:dyDescent="0.3">
      <c r="A8719" s="8">
        <v>2042354</v>
      </c>
      <c r="B8719" s="11">
        <v>44782</v>
      </c>
      <c r="C8719" s="13" t="s">
        <v>10712</v>
      </c>
      <c r="D8719" s="13" t="s">
        <v>10713</v>
      </c>
      <c r="E8719" s="8">
        <v>23000</v>
      </c>
      <c r="F8719" s="13" t="s">
        <v>70</v>
      </c>
      <c r="G8719" s="14">
        <v>44784</v>
      </c>
      <c r="H8719" s="13" t="s">
        <v>35</v>
      </c>
    </row>
    <row r="8720" spans="1:8" ht="14.4" x14ac:dyDescent="0.3">
      <c r="A8720" s="8">
        <v>2042355</v>
      </c>
      <c r="B8720" s="11">
        <v>44782</v>
      </c>
      <c r="C8720" s="13" t="s">
        <v>405</v>
      </c>
      <c r="D8720" s="13" t="s">
        <v>10714</v>
      </c>
      <c r="E8720" s="8">
        <v>24679.26</v>
      </c>
      <c r="F8720" s="13" t="s">
        <v>70</v>
      </c>
      <c r="G8720" s="14">
        <v>44784</v>
      </c>
      <c r="H8720" s="13" t="s">
        <v>35</v>
      </c>
    </row>
    <row r="8721" spans="1:8" ht="14.4" x14ac:dyDescent="0.3">
      <c r="A8721" s="8">
        <v>2042356</v>
      </c>
      <c r="B8721" s="11">
        <v>44782</v>
      </c>
      <c r="C8721" s="13" t="s">
        <v>1941</v>
      </c>
      <c r="D8721" s="13" t="s">
        <v>10715</v>
      </c>
      <c r="E8721" s="8">
        <v>9331.7800000000007</v>
      </c>
      <c r="F8721" s="13" t="s">
        <v>70</v>
      </c>
      <c r="G8721" s="14">
        <v>44788</v>
      </c>
      <c r="H8721" s="13" t="s">
        <v>35</v>
      </c>
    </row>
    <row r="8722" spans="1:8" ht="14.4" x14ac:dyDescent="0.3">
      <c r="A8722" s="8">
        <v>2042357</v>
      </c>
      <c r="B8722" s="11">
        <v>44782</v>
      </c>
      <c r="C8722" s="13" t="s">
        <v>1941</v>
      </c>
      <c r="D8722" s="13" t="s">
        <v>10716</v>
      </c>
      <c r="E8722" s="8">
        <v>26933.66</v>
      </c>
      <c r="F8722" s="13" t="s">
        <v>70</v>
      </c>
      <c r="G8722" s="14">
        <v>44788</v>
      </c>
      <c r="H8722" s="13" t="s">
        <v>35</v>
      </c>
    </row>
    <row r="8723" spans="1:8" ht="14.4" x14ac:dyDescent="0.3">
      <c r="A8723" s="8">
        <v>2042358</v>
      </c>
      <c r="B8723" s="11">
        <v>44782</v>
      </c>
      <c r="C8723" s="13" t="s">
        <v>2711</v>
      </c>
      <c r="D8723" s="13" t="s">
        <v>10717</v>
      </c>
      <c r="E8723" s="8">
        <v>20584.82</v>
      </c>
      <c r="F8723" s="13" t="s">
        <v>70</v>
      </c>
      <c r="G8723" s="14">
        <v>44783</v>
      </c>
      <c r="H8723" s="13" t="s">
        <v>35</v>
      </c>
    </row>
    <row r="8724" spans="1:8" ht="14.4" x14ac:dyDescent="0.3">
      <c r="A8724" s="8">
        <v>2042359</v>
      </c>
      <c r="B8724" s="11">
        <v>44782</v>
      </c>
      <c r="C8724" s="13" t="s">
        <v>1522</v>
      </c>
      <c r="D8724" s="13" t="s">
        <v>10718</v>
      </c>
      <c r="E8724" s="8">
        <v>7350</v>
      </c>
      <c r="F8724" s="13" t="s">
        <v>70</v>
      </c>
      <c r="G8724" s="14">
        <v>44789</v>
      </c>
      <c r="H8724" s="13" t="s">
        <v>35</v>
      </c>
    </row>
    <row r="8725" spans="1:8" ht="14.4" x14ac:dyDescent="0.3">
      <c r="A8725" s="8">
        <v>2042360</v>
      </c>
      <c r="B8725" s="11">
        <v>44782</v>
      </c>
      <c r="C8725" s="13" t="s">
        <v>1581</v>
      </c>
      <c r="D8725" s="13" t="s">
        <v>10719</v>
      </c>
      <c r="E8725" s="8">
        <v>3194.2</v>
      </c>
      <c r="F8725" s="13" t="s">
        <v>70</v>
      </c>
      <c r="G8725" s="14">
        <v>44795</v>
      </c>
      <c r="H8725" s="13" t="s">
        <v>35</v>
      </c>
    </row>
    <row r="8726" spans="1:8" ht="14.4" x14ac:dyDescent="0.3">
      <c r="A8726" s="8">
        <v>2042361</v>
      </c>
      <c r="B8726" s="11">
        <v>44782</v>
      </c>
      <c r="C8726" s="13" t="s">
        <v>2711</v>
      </c>
      <c r="D8726" s="13" t="s">
        <v>10720</v>
      </c>
      <c r="E8726" s="8">
        <v>8091.96</v>
      </c>
      <c r="F8726" s="13" t="s">
        <v>70</v>
      </c>
      <c r="G8726" s="14">
        <v>44783</v>
      </c>
      <c r="H8726" s="13" t="s">
        <v>35</v>
      </c>
    </row>
    <row r="8727" spans="1:8" ht="14.4" x14ac:dyDescent="0.3">
      <c r="A8727" s="8">
        <v>2042362</v>
      </c>
      <c r="B8727" s="11">
        <v>44782</v>
      </c>
      <c r="C8727" s="13" t="s">
        <v>1524</v>
      </c>
      <c r="D8727" s="13" t="s">
        <v>10721</v>
      </c>
      <c r="E8727" s="8">
        <v>48493.88</v>
      </c>
      <c r="F8727" s="13" t="s">
        <v>70</v>
      </c>
      <c r="G8727" s="14">
        <v>44784</v>
      </c>
      <c r="H8727" s="13" t="s">
        <v>35</v>
      </c>
    </row>
    <row r="8728" spans="1:8" ht="14.4" x14ac:dyDescent="0.3">
      <c r="A8728" s="8">
        <v>2042363</v>
      </c>
      <c r="B8728" s="11">
        <v>44782</v>
      </c>
      <c r="C8728" s="13" t="s">
        <v>405</v>
      </c>
      <c r="D8728" s="13" t="s">
        <v>10722</v>
      </c>
      <c r="E8728" s="8">
        <v>13773.86</v>
      </c>
      <c r="F8728" s="13" t="s">
        <v>70</v>
      </c>
      <c r="G8728" s="14">
        <v>44784</v>
      </c>
      <c r="H8728" s="13" t="s">
        <v>35</v>
      </c>
    </row>
    <row r="8729" spans="1:8" ht="14.4" x14ac:dyDescent="0.3">
      <c r="A8729" s="8">
        <v>2042364</v>
      </c>
      <c r="B8729" s="11">
        <v>44782</v>
      </c>
      <c r="C8729" s="13" t="s">
        <v>2262</v>
      </c>
      <c r="D8729" s="13" t="s">
        <v>10723</v>
      </c>
      <c r="E8729" s="8">
        <v>15483.93</v>
      </c>
      <c r="F8729" s="13" t="s">
        <v>70</v>
      </c>
      <c r="G8729" s="14">
        <v>44785</v>
      </c>
      <c r="H8729" s="13" t="s">
        <v>35</v>
      </c>
    </row>
    <row r="8730" spans="1:8" ht="14.4" x14ac:dyDescent="0.3">
      <c r="A8730" s="8">
        <v>2042365</v>
      </c>
      <c r="B8730" s="11">
        <v>44782</v>
      </c>
      <c r="C8730" s="13" t="s">
        <v>405</v>
      </c>
      <c r="D8730" s="13" t="s">
        <v>10724</v>
      </c>
      <c r="E8730" s="8">
        <v>38016.620000000003</v>
      </c>
      <c r="F8730" s="13" t="s">
        <v>70</v>
      </c>
      <c r="G8730" s="14">
        <v>44784</v>
      </c>
      <c r="H8730" s="13" t="s">
        <v>35</v>
      </c>
    </row>
    <row r="8731" spans="1:8" ht="14.4" x14ac:dyDescent="0.3">
      <c r="A8731" s="8">
        <v>2042366</v>
      </c>
      <c r="B8731" s="11">
        <v>44782</v>
      </c>
      <c r="C8731" s="13" t="s">
        <v>405</v>
      </c>
      <c r="D8731" s="13" t="s">
        <v>10725</v>
      </c>
      <c r="E8731" s="8">
        <v>111559.64</v>
      </c>
      <c r="F8731" s="13" t="s">
        <v>70</v>
      </c>
      <c r="G8731" s="14">
        <v>44784</v>
      </c>
      <c r="H8731" s="13" t="s">
        <v>35</v>
      </c>
    </row>
    <row r="8732" spans="1:8" ht="14.4" x14ac:dyDescent="0.3">
      <c r="A8732" s="8">
        <v>2042367</v>
      </c>
      <c r="B8732" s="11">
        <v>44782</v>
      </c>
      <c r="C8732" s="13" t="s">
        <v>1581</v>
      </c>
      <c r="D8732" s="13" t="s">
        <v>10726</v>
      </c>
      <c r="E8732" s="8">
        <v>28392.85</v>
      </c>
      <c r="F8732" s="13" t="s">
        <v>70</v>
      </c>
      <c r="G8732" s="14">
        <v>44795</v>
      </c>
      <c r="H8732" s="13" t="s">
        <v>35</v>
      </c>
    </row>
    <row r="8733" spans="1:8" ht="14.4" x14ac:dyDescent="0.3">
      <c r="A8733" s="8">
        <v>2042368</v>
      </c>
      <c r="B8733" s="11">
        <v>44782</v>
      </c>
      <c r="C8733" s="13" t="s">
        <v>1581</v>
      </c>
      <c r="D8733" s="13" t="s">
        <v>10727</v>
      </c>
      <c r="E8733" s="8">
        <v>15970.98</v>
      </c>
      <c r="F8733" s="13" t="s">
        <v>70</v>
      </c>
      <c r="G8733" s="14">
        <v>44795</v>
      </c>
      <c r="H8733" s="13" t="s">
        <v>35</v>
      </c>
    </row>
    <row r="8734" spans="1:8" ht="14.4" x14ac:dyDescent="0.3">
      <c r="A8734" s="8">
        <v>2042370</v>
      </c>
      <c r="B8734" s="11">
        <v>44782</v>
      </c>
      <c r="C8734" s="13" t="s">
        <v>3838</v>
      </c>
      <c r="D8734" s="13" t="s">
        <v>10728</v>
      </c>
      <c r="E8734" s="8">
        <v>23890</v>
      </c>
      <c r="F8734" s="13" t="s">
        <v>70</v>
      </c>
      <c r="G8734" s="14">
        <v>44788</v>
      </c>
      <c r="H8734" s="13" t="s">
        <v>35</v>
      </c>
    </row>
    <row r="8735" spans="1:8" ht="14.4" x14ac:dyDescent="0.3">
      <c r="A8735" s="8">
        <v>2042371</v>
      </c>
      <c r="B8735" s="11">
        <v>44782</v>
      </c>
      <c r="C8735" s="13" t="s">
        <v>10729</v>
      </c>
      <c r="D8735" s="13" t="s">
        <v>10730</v>
      </c>
      <c r="E8735" s="8">
        <v>9000</v>
      </c>
      <c r="F8735" s="13" t="s">
        <v>70</v>
      </c>
      <c r="G8735" s="14">
        <v>44785</v>
      </c>
      <c r="H8735" s="13" t="s">
        <v>35</v>
      </c>
    </row>
    <row r="8736" spans="1:8" ht="14.4" x14ac:dyDescent="0.3">
      <c r="A8736" s="8">
        <v>2042372</v>
      </c>
      <c r="B8736" s="11">
        <v>44782</v>
      </c>
      <c r="C8736" s="13" t="s">
        <v>10731</v>
      </c>
      <c r="D8736" s="13" t="s">
        <v>10732</v>
      </c>
      <c r="E8736" s="8">
        <v>139680</v>
      </c>
      <c r="F8736" s="13" t="s">
        <v>70</v>
      </c>
      <c r="G8736" s="14">
        <v>44785</v>
      </c>
      <c r="H8736" s="13" t="s">
        <v>35</v>
      </c>
    </row>
    <row r="8737" spans="1:8" ht="14.4" x14ac:dyDescent="0.3">
      <c r="A8737" s="8">
        <v>2042373</v>
      </c>
      <c r="B8737" s="11">
        <v>44782</v>
      </c>
      <c r="C8737" s="13" t="s">
        <v>6186</v>
      </c>
      <c r="D8737" s="13" t="s">
        <v>10733</v>
      </c>
      <c r="E8737" s="8">
        <v>1819832.37</v>
      </c>
      <c r="F8737" s="13" t="s">
        <v>70</v>
      </c>
      <c r="G8737" s="14">
        <v>44784</v>
      </c>
      <c r="H8737" s="13" t="s">
        <v>35</v>
      </c>
    </row>
    <row r="8738" spans="1:8" ht="14.4" x14ac:dyDescent="0.3">
      <c r="A8738" s="8">
        <v>2042374</v>
      </c>
      <c r="B8738" s="11">
        <v>44782</v>
      </c>
      <c r="C8738" s="13" t="s">
        <v>4084</v>
      </c>
      <c r="D8738" s="13" t="s">
        <v>10734</v>
      </c>
      <c r="E8738" s="8">
        <v>508277</v>
      </c>
      <c r="F8738" s="13" t="s">
        <v>70</v>
      </c>
      <c r="G8738" s="14">
        <v>44784</v>
      </c>
      <c r="H8738" s="13" t="s">
        <v>35</v>
      </c>
    </row>
    <row r="8739" spans="1:8" ht="14.4" x14ac:dyDescent="0.3">
      <c r="A8739" s="8">
        <v>2042375</v>
      </c>
      <c r="B8739" s="11">
        <v>44782</v>
      </c>
      <c r="C8739" s="13" t="s">
        <v>52</v>
      </c>
      <c r="D8739" s="13" t="s">
        <v>10735</v>
      </c>
      <c r="E8739" s="8">
        <v>98428.57</v>
      </c>
      <c r="F8739" s="13" t="s">
        <v>70</v>
      </c>
      <c r="G8739" s="14">
        <v>44783</v>
      </c>
      <c r="H8739" s="13" t="s">
        <v>35</v>
      </c>
    </row>
    <row r="8740" spans="1:8" ht="14.4" x14ac:dyDescent="0.3">
      <c r="A8740" s="8">
        <v>2042376</v>
      </c>
      <c r="B8740" s="11">
        <v>44782</v>
      </c>
      <c r="C8740" s="13" t="s">
        <v>52</v>
      </c>
      <c r="D8740" s="13" t="s">
        <v>10736</v>
      </c>
      <c r="E8740" s="8">
        <v>34654.43</v>
      </c>
      <c r="F8740" s="13" t="s">
        <v>70</v>
      </c>
      <c r="G8740" s="14">
        <v>44783</v>
      </c>
      <c r="H8740" s="13" t="s">
        <v>35</v>
      </c>
    </row>
    <row r="8741" spans="1:8" ht="14.4" x14ac:dyDescent="0.3">
      <c r="A8741" s="8">
        <v>2042377</v>
      </c>
      <c r="B8741" s="11">
        <v>44782</v>
      </c>
      <c r="C8741" s="13" t="s">
        <v>52</v>
      </c>
      <c r="D8741" s="13" t="s">
        <v>10737</v>
      </c>
      <c r="E8741" s="8">
        <v>34654.43</v>
      </c>
      <c r="F8741" s="13" t="s">
        <v>70</v>
      </c>
      <c r="G8741" s="14">
        <v>44783</v>
      </c>
      <c r="H8741" s="13" t="s">
        <v>35</v>
      </c>
    </row>
    <row r="8742" spans="1:8" ht="14.4" x14ac:dyDescent="0.3">
      <c r="A8742" s="8">
        <v>2042378</v>
      </c>
      <c r="B8742" s="11">
        <v>44782</v>
      </c>
      <c r="C8742" s="13" t="s">
        <v>376</v>
      </c>
      <c r="D8742" s="13" t="s">
        <v>10738</v>
      </c>
      <c r="E8742" s="8">
        <v>69580</v>
      </c>
      <c r="F8742" s="13" t="s">
        <v>70</v>
      </c>
      <c r="G8742" s="14">
        <v>44784</v>
      </c>
      <c r="H8742" s="13" t="s">
        <v>35</v>
      </c>
    </row>
    <row r="8743" spans="1:8" ht="14.4" x14ac:dyDescent="0.3">
      <c r="A8743" s="8">
        <v>2042379</v>
      </c>
      <c r="B8743" s="11">
        <v>44782</v>
      </c>
      <c r="C8743" s="13" t="s">
        <v>10739</v>
      </c>
      <c r="D8743" s="13" t="s">
        <v>10740</v>
      </c>
      <c r="E8743" s="8">
        <v>10000</v>
      </c>
      <c r="F8743" s="13" t="s">
        <v>70</v>
      </c>
      <c r="G8743" s="14">
        <v>44785</v>
      </c>
      <c r="H8743" s="13" t="s">
        <v>35</v>
      </c>
    </row>
    <row r="8744" spans="1:8" ht="14.4" x14ac:dyDescent="0.3">
      <c r="A8744" s="8">
        <v>2042380</v>
      </c>
      <c r="B8744" s="11">
        <v>44782</v>
      </c>
      <c r="C8744" s="13" t="s">
        <v>10741</v>
      </c>
      <c r="D8744" s="13" t="s">
        <v>10742</v>
      </c>
      <c r="E8744" s="8">
        <v>30000</v>
      </c>
      <c r="F8744" s="13" t="s">
        <v>70</v>
      </c>
      <c r="G8744" s="14">
        <v>44783</v>
      </c>
      <c r="H8744" s="13" t="s">
        <v>35</v>
      </c>
    </row>
    <row r="8745" spans="1:8" ht="14.4" x14ac:dyDescent="0.3">
      <c r="A8745" s="8">
        <v>2042381</v>
      </c>
      <c r="B8745" s="11">
        <v>44782</v>
      </c>
      <c r="C8745" s="13" t="s">
        <v>669</v>
      </c>
      <c r="D8745" s="13" t="s">
        <v>10743</v>
      </c>
      <c r="E8745" s="8">
        <v>45000</v>
      </c>
      <c r="F8745" s="13" t="s">
        <v>70</v>
      </c>
      <c r="G8745" s="14">
        <v>44788</v>
      </c>
      <c r="H8745" s="13" t="s">
        <v>35</v>
      </c>
    </row>
    <row r="8746" spans="1:8" ht="14.4" x14ac:dyDescent="0.3">
      <c r="A8746" s="8">
        <v>2042382</v>
      </c>
      <c r="B8746" s="11">
        <v>44782</v>
      </c>
      <c r="C8746" s="13" t="s">
        <v>506</v>
      </c>
      <c r="D8746" s="13" t="s">
        <v>10744</v>
      </c>
      <c r="E8746" s="8">
        <v>103894.8</v>
      </c>
      <c r="F8746" s="13" t="s">
        <v>70</v>
      </c>
      <c r="G8746" s="14">
        <v>44788</v>
      </c>
      <c r="H8746" s="13" t="s">
        <v>35</v>
      </c>
    </row>
    <row r="8747" spans="1:8" ht="14.4" x14ac:dyDescent="0.3">
      <c r="A8747" s="8">
        <v>2042383</v>
      </c>
      <c r="B8747" s="11">
        <v>44782</v>
      </c>
      <c r="C8747" s="13" t="s">
        <v>1193</v>
      </c>
      <c r="D8747" s="13" t="s">
        <v>10745</v>
      </c>
      <c r="E8747" s="8">
        <v>52000</v>
      </c>
      <c r="F8747" s="13" t="s">
        <v>70</v>
      </c>
      <c r="G8747" s="14">
        <v>44788</v>
      </c>
      <c r="H8747" s="13" t="s">
        <v>35</v>
      </c>
    </row>
    <row r="8748" spans="1:8" ht="14.4" x14ac:dyDescent="0.3">
      <c r="A8748" s="8">
        <v>2042384</v>
      </c>
      <c r="B8748" s="11">
        <v>44782</v>
      </c>
      <c r="C8748" s="13" t="s">
        <v>4145</v>
      </c>
      <c r="D8748" s="13" t="s">
        <v>10746</v>
      </c>
      <c r="E8748" s="8">
        <v>17297.45</v>
      </c>
      <c r="F8748" s="13" t="s">
        <v>70</v>
      </c>
      <c r="G8748" s="14">
        <v>44783</v>
      </c>
      <c r="H8748" s="13" t="s">
        <v>35</v>
      </c>
    </row>
    <row r="8749" spans="1:8" ht="14.4" x14ac:dyDescent="0.3">
      <c r="A8749" s="8">
        <v>2042385</v>
      </c>
      <c r="B8749" s="11">
        <v>44782</v>
      </c>
      <c r="C8749" s="13" t="s">
        <v>10747</v>
      </c>
      <c r="D8749" s="13" t="s">
        <v>10748</v>
      </c>
      <c r="E8749" s="8">
        <v>52623.15</v>
      </c>
      <c r="F8749" s="13" t="s">
        <v>70</v>
      </c>
      <c r="G8749" s="14">
        <v>44783</v>
      </c>
      <c r="H8749" s="13" t="s">
        <v>35</v>
      </c>
    </row>
    <row r="8750" spans="1:8" ht="14.4" x14ac:dyDescent="0.3">
      <c r="A8750" s="8">
        <v>2042386</v>
      </c>
      <c r="B8750" s="11">
        <v>44782</v>
      </c>
      <c r="C8750" s="13" t="s">
        <v>1296</v>
      </c>
      <c r="D8750" s="13" t="s">
        <v>10749</v>
      </c>
      <c r="E8750" s="8">
        <v>12613.92</v>
      </c>
      <c r="F8750" s="13" t="s">
        <v>70</v>
      </c>
      <c r="G8750" s="14">
        <v>44783</v>
      </c>
      <c r="H8750" s="13" t="s">
        <v>35</v>
      </c>
    </row>
    <row r="8751" spans="1:8" ht="14.4" x14ac:dyDescent="0.3">
      <c r="A8751" s="8">
        <v>2042387</v>
      </c>
      <c r="B8751" s="11">
        <v>44782</v>
      </c>
      <c r="C8751" s="13" t="s">
        <v>10750</v>
      </c>
      <c r="D8751" s="13" t="s">
        <v>10751</v>
      </c>
      <c r="E8751" s="8">
        <v>11700.04</v>
      </c>
      <c r="F8751" s="13" t="s">
        <v>70</v>
      </c>
      <c r="G8751" s="14">
        <v>44789</v>
      </c>
      <c r="H8751" s="13" t="s">
        <v>35</v>
      </c>
    </row>
    <row r="8752" spans="1:8" ht="14.4" x14ac:dyDescent="0.3">
      <c r="A8752" s="8">
        <v>2042388</v>
      </c>
      <c r="B8752" s="11">
        <v>44782</v>
      </c>
      <c r="C8752" s="13" t="s">
        <v>2382</v>
      </c>
      <c r="D8752" s="13" t="s">
        <v>10752</v>
      </c>
      <c r="E8752" s="8">
        <v>10000</v>
      </c>
      <c r="F8752" s="13" t="s">
        <v>70</v>
      </c>
      <c r="G8752" s="14">
        <v>44795</v>
      </c>
      <c r="H8752" s="13" t="s">
        <v>35</v>
      </c>
    </row>
    <row r="8753" spans="1:8" ht="14.4" x14ac:dyDescent="0.3">
      <c r="A8753" s="8">
        <v>2042389</v>
      </c>
      <c r="B8753" s="11">
        <v>44782</v>
      </c>
      <c r="C8753" s="13" t="s">
        <v>10753</v>
      </c>
      <c r="D8753" s="13" t="s">
        <v>10754</v>
      </c>
      <c r="E8753" s="8">
        <v>20000</v>
      </c>
      <c r="F8753" s="13" t="s">
        <v>70</v>
      </c>
      <c r="G8753" s="14">
        <v>44783</v>
      </c>
      <c r="H8753" s="13" t="s">
        <v>35</v>
      </c>
    </row>
    <row r="8754" spans="1:8" ht="14.4" x14ac:dyDescent="0.3">
      <c r="A8754" s="8">
        <v>2042390</v>
      </c>
      <c r="B8754" s="11">
        <v>44782</v>
      </c>
      <c r="C8754" s="13" t="s">
        <v>121</v>
      </c>
      <c r="D8754" s="13" t="s">
        <v>10755</v>
      </c>
      <c r="E8754" s="8">
        <v>15000</v>
      </c>
      <c r="F8754" s="13" t="s">
        <v>70</v>
      </c>
      <c r="G8754" s="14">
        <v>44803</v>
      </c>
      <c r="H8754" s="13" t="s">
        <v>35</v>
      </c>
    </row>
    <row r="8755" spans="1:8" ht="14.4" x14ac:dyDescent="0.3">
      <c r="A8755" s="8">
        <v>2042391</v>
      </c>
      <c r="B8755" s="11">
        <v>44782</v>
      </c>
      <c r="C8755" s="13" t="s">
        <v>1552</v>
      </c>
      <c r="D8755" s="13" t="s">
        <v>10755</v>
      </c>
      <c r="E8755" s="8">
        <v>15000</v>
      </c>
      <c r="F8755" s="13" t="s">
        <v>70</v>
      </c>
      <c r="G8755" s="14">
        <v>44792</v>
      </c>
      <c r="H8755" s="13" t="s">
        <v>35</v>
      </c>
    </row>
    <row r="8756" spans="1:8" ht="14.4" x14ac:dyDescent="0.3">
      <c r="A8756" s="8">
        <v>2042392</v>
      </c>
      <c r="B8756" s="11">
        <v>44782</v>
      </c>
      <c r="C8756" s="13" t="s">
        <v>1554</v>
      </c>
      <c r="D8756" s="13" t="s">
        <v>10755</v>
      </c>
      <c r="E8756" s="8">
        <v>15000</v>
      </c>
      <c r="F8756" s="13" t="s">
        <v>70</v>
      </c>
      <c r="G8756" s="14">
        <v>44798</v>
      </c>
      <c r="H8756" s="13" t="s">
        <v>35</v>
      </c>
    </row>
    <row r="8757" spans="1:8" ht="14.4" x14ac:dyDescent="0.3">
      <c r="A8757" s="8">
        <v>2042393</v>
      </c>
      <c r="B8757" s="11">
        <v>44782</v>
      </c>
      <c r="C8757" s="13" t="s">
        <v>399</v>
      </c>
      <c r="D8757" s="13" t="s">
        <v>10755</v>
      </c>
      <c r="E8757" s="8">
        <v>15000</v>
      </c>
      <c r="F8757" s="13" t="s">
        <v>70</v>
      </c>
      <c r="G8757" s="14">
        <v>44789</v>
      </c>
      <c r="H8757" s="13" t="s">
        <v>35</v>
      </c>
    </row>
    <row r="8758" spans="1:8" ht="14.4" x14ac:dyDescent="0.3">
      <c r="A8758" s="8">
        <v>2042394</v>
      </c>
      <c r="B8758" s="11">
        <v>44782</v>
      </c>
      <c r="C8758" s="13" t="s">
        <v>120</v>
      </c>
      <c r="D8758" s="13" t="s">
        <v>10755</v>
      </c>
      <c r="E8758" s="8">
        <v>15000</v>
      </c>
      <c r="F8758" s="13" t="s">
        <v>70</v>
      </c>
      <c r="G8758" s="14">
        <v>44792</v>
      </c>
      <c r="H8758" s="13" t="s">
        <v>35</v>
      </c>
    </row>
    <row r="8759" spans="1:8" ht="14.4" x14ac:dyDescent="0.3">
      <c r="A8759" s="8">
        <v>2042395</v>
      </c>
      <c r="B8759" s="11">
        <v>44782</v>
      </c>
      <c r="C8759" s="13" t="s">
        <v>400</v>
      </c>
      <c r="D8759" s="13" t="s">
        <v>10755</v>
      </c>
      <c r="E8759" s="8">
        <v>15000</v>
      </c>
      <c r="F8759" s="13" t="s">
        <v>70</v>
      </c>
      <c r="G8759" s="14">
        <v>44790</v>
      </c>
      <c r="H8759" s="13" t="s">
        <v>35</v>
      </c>
    </row>
    <row r="8760" spans="1:8" ht="14.4" x14ac:dyDescent="0.3">
      <c r="A8760" s="8">
        <v>2042396</v>
      </c>
      <c r="B8760" s="11">
        <v>44782</v>
      </c>
      <c r="C8760" s="13" t="s">
        <v>1551</v>
      </c>
      <c r="D8760" s="13" t="s">
        <v>10755</v>
      </c>
      <c r="E8760" s="8">
        <v>15000</v>
      </c>
      <c r="F8760" s="13" t="s">
        <v>70</v>
      </c>
      <c r="G8760" s="14">
        <v>44792</v>
      </c>
      <c r="H8760" s="13" t="s">
        <v>35</v>
      </c>
    </row>
    <row r="8761" spans="1:8" ht="14.4" x14ac:dyDescent="0.3">
      <c r="A8761" s="8">
        <v>2042397</v>
      </c>
      <c r="B8761" s="11">
        <v>44782</v>
      </c>
      <c r="C8761" s="13" t="s">
        <v>402</v>
      </c>
      <c r="D8761" s="13" t="s">
        <v>10755</v>
      </c>
      <c r="E8761" s="8">
        <v>15000</v>
      </c>
      <c r="F8761" s="13" t="s">
        <v>70</v>
      </c>
      <c r="G8761" s="14">
        <v>44789</v>
      </c>
      <c r="H8761" s="13" t="s">
        <v>35</v>
      </c>
    </row>
    <row r="8762" spans="1:8" ht="14.4" x14ac:dyDescent="0.3">
      <c r="A8762" s="8">
        <v>2042398</v>
      </c>
      <c r="B8762" s="11">
        <v>44782</v>
      </c>
      <c r="C8762" s="13" t="s">
        <v>10756</v>
      </c>
      <c r="D8762" s="13" t="s">
        <v>10757</v>
      </c>
      <c r="E8762" s="8">
        <v>20000</v>
      </c>
      <c r="F8762" s="13" t="s">
        <v>70</v>
      </c>
      <c r="G8762" s="14">
        <v>44784</v>
      </c>
      <c r="H8762" s="13" t="s">
        <v>35</v>
      </c>
    </row>
    <row r="8763" spans="1:8" ht="14.4" x14ac:dyDescent="0.3">
      <c r="A8763" s="8">
        <v>2042399</v>
      </c>
      <c r="B8763" s="11">
        <v>44782</v>
      </c>
      <c r="C8763" s="13" t="s">
        <v>387</v>
      </c>
      <c r="D8763" s="13" t="s">
        <v>10757</v>
      </c>
      <c r="E8763" s="8">
        <v>10000</v>
      </c>
      <c r="F8763" s="13" t="s">
        <v>70</v>
      </c>
      <c r="G8763" s="14">
        <v>44784</v>
      </c>
      <c r="H8763" s="13" t="s">
        <v>35</v>
      </c>
    </row>
    <row r="8764" spans="1:8" ht="14.4" x14ac:dyDescent="0.3">
      <c r="A8764" s="8">
        <v>2042400</v>
      </c>
      <c r="B8764" s="11">
        <v>44782</v>
      </c>
      <c r="C8764" s="13" t="s">
        <v>389</v>
      </c>
      <c r="D8764" s="13" t="s">
        <v>10757</v>
      </c>
      <c r="E8764" s="8">
        <v>5000</v>
      </c>
      <c r="F8764" s="13" t="s">
        <v>70</v>
      </c>
      <c r="G8764" s="14">
        <v>44784</v>
      </c>
      <c r="H8764" s="13" t="s">
        <v>35</v>
      </c>
    </row>
    <row r="8765" spans="1:8" ht="14.4" x14ac:dyDescent="0.3">
      <c r="A8765" s="8">
        <v>2042401</v>
      </c>
      <c r="B8765" s="11">
        <v>44782</v>
      </c>
      <c r="C8765" s="13" t="s">
        <v>10758</v>
      </c>
      <c r="D8765" s="13" t="s">
        <v>10759</v>
      </c>
      <c r="E8765" s="8">
        <v>3600</v>
      </c>
      <c r="F8765" s="13" t="s">
        <v>70</v>
      </c>
      <c r="G8765" s="14">
        <v>44782</v>
      </c>
      <c r="H8765" s="13" t="s">
        <v>35</v>
      </c>
    </row>
    <row r="8766" spans="1:8" ht="14.4" x14ac:dyDescent="0.3">
      <c r="A8766" s="8">
        <v>2042402</v>
      </c>
      <c r="B8766" s="11">
        <v>44782</v>
      </c>
      <c r="C8766" s="13" t="s">
        <v>95</v>
      </c>
      <c r="D8766" s="13" t="s">
        <v>10760</v>
      </c>
      <c r="E8766" s="8">
        <v>25522.33</v>
      </c>
      <c r="F8766" s="13" t="s">
        <v>70</v>
      </c>
      <c r="G8766" s="14">
        <v>44785</v>
      </c>
      <c r="H8766" s="13" t="s">
        <v>35</v>
      </c>
    </row>
    <row r="8767" spans="1:8" ht="14.4" x14ac:dyDescent="0.3">
      <c r="A8767" s="8">
        <v>2042403</v>
      </c>
      <c r="B8767" s="11">
        <v>44782</v>
      </c>
      <c r="C8767" s="13" t="s">
        <v>96</v>
      </c>
      <c r="D8767" s="13" t="s">
        <v>10760</v>
      </c>
      <c r="E8767" s="8">
        <v>23508.67</v>
      </c>
      <c r="F8767" s="13" t="s">
        <v>70</v>
      </c>
      <c r="G8767" s="14">
        <v>44790</v>
      </c>
      <c r="H8767" s="13" t="s">
        <v>35</v>
      </c>
    </row>
    <row r="8768" spans="1:8" ht="14.4" x14ac:dyDescent="0.3">
      <c r="A8768" s="8">
        <v>2042404</v>
      </c>
      <c r="B8768" s="11">
        <v>44782</v>
      </c>
      <c r="C8768" s="13" t="s">
        <v>1509</v>
      </c>
      <c r="D8768" s="13" t="s">
        <v>10760</v>
      </c>
      <c r="E8768" s="8">
        <v>25021.67</v>
      </c>
      <c r="F8768" s="13" t="s">
        <v>70</v>
      </c>
      <c r="G8768" s="14">
        <v>44783</v>
      </c>
      <c r="H8768" s="13" t="s">
        <v>35</v>
      </c>
    </row>
    <row r="8769" spans="1:8" ht="14.4" x14ac:dyDescent="0.3">
      <c r="A8769" s="8">
        <v>2042405</v>
      </c>
      <c r="B8769" s="11">
        <v>44782</v>
      </c>
      <c r="C8769" s="13" t="s">
        <v>1513</v>
      </c>
      <c r="D8769" s="13" t="s">
        <v>10760</v>
      </c>
      <c r="E8769" s="8">
        <v>25408.67</v>
      </c>
      <c r="F8769" s="13" t="s">
        <v>70</v>
      </c>
      <c r="G8769" s="14">
        <v>44783</v>
      </c>
      <c r="H8769" s="13" t="s">
        <v>35</v>
      </c>
    </row>
    <row r="8770" spans="1:8" ht="14.4" x14ac:dyDescent="0.3">
      <c r="A8770" s="8">
        <v>2042406</v>
      </c>
      <c r="B8770" s="11">
        <v>44782</v>
      </c>
      <c r="C8770" s="13" t="s">
        <v>1507</v>
      </c>
      <c r="D8770" s="13" t="s">
        <v>10760</v>
      </c>
      <c r="E8770" s="8">
        <v>11008.8</v>
      </c>
      <c r="F8770" s="13" t="s">
        <v>70</v>
      </c>
      <c r="G8770" s="14">
        <v>44791</v>
      </c>
      <c r="H8770" s="13" t="s">
        <v>35</v>
      </c>
    </row>
    <row r="8771" spans="1:8" ht="14.4" x14ac:dyDescent="0.3">
      <c r="A8771" s="8">
        <v>2042407</v>
      </c>
      <c r="B8771" s="11">
        <v>44782</v>
      </c>
      <c r="C8771" s="13" t="s">
        <v>1514</v>
      </c>
      <c r="D8771" s="13" t="s">
        <v>10760</v>
      </c>
      <c r="E8771" s="8">
        <v>23420.400000000001</v>
      </c>
      <c r="F8771" s="13" t="s">
        <v>70</v>
      </c>
      <c r="G8771" s="14">
        <v>44783</v>
      </c>
      <c r="H8771" s="13" t="s">
        <v>35</v>
      </c>
    </row>
    <row r="8772" spans="1:8" ht="14.4" x14ac:dyDescent="0.3">
      <c r="A8772" s="8">
        <v>2042408</v>
      </c>
      <c r="B8772" s="11">
        <v>44782</v>
      </c>
      <c r="C8772" s="13" t="s">
        <v>1510</v>
      </c>
      <c r="D8772" s="13" t="s">
        <v>10760</v>
      </c>
      <c r="E8772" s="8">
        <v>22686.33</v>
      </c>
      <c r="F8772" s="13" t="s">
        <v>70</v>
      </c>
      <c r="G8772" s="14">
        <v>44784</v>
      </c>
      <c r="H8772" s="13" t="s">
        <v>35</v>
      </c>
    </row>
    <row r="8773" spans="1:8" ht="14.4" x14ac:dyDescent="0.3">
      <c r="A8773" s="8">
        <v>2042409</v>
      </c>
      <c r="B8773" s="11">
        <v>44782</v>
      </c>
      <c r="C8773" s="13" t="s">
        <v>93</v>
      </c>
      <c r="D8773" s="13" t="s">
        <v>10760</v>
      </c>
      <c r="E8773" s="8">
        <v>26022.67</v>
      </c>
      <c r="F8773" s="13" t="s">
        <v>70</v>
      </c>
      <c r="G8773" s="14">
        <v>44799</v>
      </c>
      <c r="H8773" s="13" t="s">
        <v>35</v>
      </c>
    </row>
    <row r="8774" spans="1:8" ht="14.4" x14ac:dyDescent="0.3">
      <c r="A8774" s="8">
        <v>2042410</v>
      </c>
      <c r="B8774" s="11">
        <v>44782</v>
      </c>
      <c r="C8774" s="13" t="s">
        <v>10758</v>
      </c>
      <c r="D8774" s="13" t="s">
        <v>10759</v>
      </c>
      <c r="E8774" s="8">
        <v>1800</v>
      </c>
      <c r="F8774" s="13" t="s">
        <v>70</v>
      </c>
      <c r="G8774" s="14">
        <v>44782</v>
      </c>
      <c r="H8774" s="13" t="s">
        <v>35</v>
      </c>
    </row>
    <row r="8775" spans="1:8" ht="14.4" x14ac:dyDescent="0.3">
      <c r="A8775" s="8">
        <v>2042412</v>
      </c>
      <c r="B8775" s="11">
        <v>44783</v>
      </c>
      <c r="C8775" s="13" t="s">
        <v>275</v>
      </c>
      <c r="D8775" s="13" t="s">
        <v>10761</v>
      </c>
      <c r="E8775" s="8">
        <v>231404.79999999999</v>
      </c>
      <c r="F8775" s="13" t="s">
        <v>70</v>
      </c>
      <c r="G8775" s="14">
        <v>44784</v>
      </c>
      <c r="H8775" s="13" t="s">
        <v>35</v>
      </c>
    </row>
    <row r="8776" spans="1:8" ht="14.4" x14ac:dyDescent="0.3">
      <c r="A8776" s="8">
        <v>2042413</v>
      </c>
      <c r="B8776" s="11">
        <v>44783</v>
      </c>
      <c r="C8776" s="13" t="s">
        <v>319</v>
      </c>
      <c r="D8776" s="13" t="s">
        <v>10561</v>
      </c>
      <c r="E8776" s="8">
        <v>10000</v>
      </c>
      <c r="F8776" s="13" t="s">
        <v>70</v>
      </c>
      <c r="G8776" s="14">
        <v>44785</v>
      </c>
      <c r="H8776" s="13" t="s">
        <v>35</v>
      </c>
    </row>
    <row r="8777" spans="1:8" ht="14.4" x14ac:dyDescent="0.3">
      <c r="A8777" s="8">
        <v>2042414</v>
      </c>
      <c r="B8777" s="11">
        <v>44783</v>
      </c>
      <c r="C8777" s="13" t="s">
        <v>2382</v>
      </c>
      <c r="D8777" s="13" t="s">
        <v>10762</v>
      </c>
      <c r="E8777" s="8">
        <v>109000</v>
      </c>
      <c r="F8777" s="13" t="s">
        <v>70</v>
      </c>
      <c r="G8777" s="14">
        <v>44795</v>
      </c>
      <c r="H8777" s="13" t="s">
        <v>35</v>
      </c>
    </row>
    <row r="8778" spans="1:8" ht="14.4" x14ac:dyDescent="0.3">
      <c r="A8778" s="8">
        <v>2042415</v>
      </c>
      <c r="B8778" s="11">
        <v>44783</v>
      </c>
      <c r="C8778" s="13" t="s">
        <v>2399</v>
      </c>
      <c r="D8778" s="13" t="s">
        <v>10757</v>
      </c>
      <c r="E8778" s="8">
        <v>3000</v>
      </c>
      <c r="F8778" s="13" t="s">
        <v>70</v>
      </c>
      <c r="G8778" s="14">
        <v>44784</v>
      </c>
      <c r="H8778" s="13" t="s">
        <v>35</v>
      </c>
    </row>
    <row r="8779" spans="1:8" ht="14.4" x14ac:dyDescent="0.3">
      <c r="A8779" s="8">
        <v>2042416</v>
      </c>
      <c r="B8779" s="11">
        <v>44783</v>
      </c>
      <c r="C8779" s="13" t="s">
        <v>10617</v>
      </c>
      <c r="D8779" s="13" t="s">
        <v>10763</v>
      </c>
      <c r="E8779" s="8">
        <v>10000</v>
      </c>
      <c r="F8779" s="13" t="s">
        <v>70</v>
      </c>
      <c r="G8779" s="14">
        <v>44784</v>
      </c>
      <c r="H8779" s="13" t="s">
        <v>35</v>
      </c>
    </row>
    <row r="8780" spans="1:8" ht="14.4" x14ac:dyDescent="0.3">
      <c r="A8780" s="8">
        <v>2042417</v>
      </c>
      <c r="B8780" s="11">
        <v>44783</v>
      </c>
      <c r="C8780" s="13" t="s">
        <v>833</v>
      </c>
      <c r="D8780" s="13" t="s">
        <v>10763</v>
      </c>
      <c r="E8780" s="8">
        <v>10000</v>
      </c>
      <c r="F8780" s="13" t="s">
        <v>70</v>
      </c>
      <c r="G8780" s="14">
        <v>44784</v>
      </c>
      <c r="H8780" s="13" t="s">
        <v>35</v>
      </c>
    </row>
    <row r="8781" spans="1:8" ht="14.4" x14ac:dyDescent="0.3">
      <c r="A8781" s="8">
        <v>2042418</v>
      </c>
      <c r="B8781" s="11">
        <v>44783</v>
      </c>
      <c r="C8781" s="13" t="s">
        <v>834</v>
      </c>
      <c r="D8781" s="13" t="s">
        <v>10763</v>
      </c>
      <c r="E8781" s="8">
        <v>10000</v>
      </c>
      <c r="F8781" s="13" t="s">
        <v>70</v>
      </c>
      <c r="G8781" s="14">
        <v>44784</v>
      </c>
      <c r="H8781" s="13" t="s">
        <v>35</v>
      </c>
    </row>
    <row r="8782" spans="1:8" ht="14.4" x14ac:dyDescent="0.3">
      <c r="A8782" s="8">
        <v>2042419</v>
      </c>
      <c r="B8782" s="11">
        <v>44783</v>
      </c>
      <c r="C8782" s="13" t="s">
        <v>838</v>
      </c>
      <c r="D8782" s="13" t="s">
        <v>10622</v>
      </c>
      <c r="E8782" s="8">
        <v>10000</v>
      </c>
      <c r="F8782" s="13" t="s">
        <v>70</v>
      </c>
      <c r="G8782" s="14">
        <v>44784</v>
      </c>
      <c r="H8782" s="13" t="s">
        <v>35</v>
      </c>
    </row>
    <row r="8783" spans="1:8" ht="14.4" x14ac:dyDescent="0.3">
      <c r="A8783" s="8">
        <v>2042420</v>
      </c>
      <c r="B8783" s="11">
        <v>44783</v>
      </c>
      <c r="C8783" s="13" t="s">
        <v>839</v>
      </c>
      <c r="D8783" s="13" t="s">
        <v>10622</v>
      </c>
      <c r="E8783" s="8">
        <v>10000</v>
      </c>
      <c r="F8783" s="13" t="s">
        <v>70</v>
      </c>
      <c r="G8783" s="14">
        <v>44784</v>
      </c>
      <c r="H8783" s="13" t="s">
        <v>35</v>
      </c>
    </row>
    <row r="8784" spans="1:8" ht="14.4" x14ac:dyDescent="0.3">
      <c r="A8784" s="8">
        <v>2042421</v>
      </c>
      <c r="B8784" s="11">
        <v>44783</v>
      </c>
      <c r="C8784" s="13" t="s">
        <v>840</v>
      </c>
      <c r="D8784" s="13" t="s">
        <v>10622</v>
      </c>
      <c r="E8784" s="8">
        <v>10000</v>
      </c>
      <c r="F8784" s="13" t="s">
        <v>70</v>
      </c>
      <c r="G8784" s="14">
        <v>44784</v>
      </c>
      <c r="H8784" s="13" t="s">
        <v>35</v>
      </c>
    </row>
    <row r="8785" spans="1:8" ht="14.4" x14ac:dyDescent="0.3">
      <c r="A8785" s="8">
        <v>2042422</v>
      </c>
      <c r="B8785" s="11">
        <v>44783</v>
      </c>
      <c r="C8785" s="13" t="s">
        <v>841</v>
      </c>
      <c r="D8785" s="13" t="s">
        <v>10622</v>
      </c>
      <c r="E8785" s="8">
        <v>10000</v>
      </c>
      <c r="F8785" s="13" t="s">
        <v>70</v>
      </c>
      <c r="G8785" s="14">
        <v>44784</v>
      </c>
      <c r="H8785" s="13" t="s">
        <v>35</v>
      </c>
    </row>
    <row r="8786" spans="1:8" ht="14.4" x14ac:dyDescent="0.3">
      <c r="A8786" s="8">
        <v>2042423</v>
      </c>
      <c r="B8786" s="11">
        <v>44783</v>
      </c>
      <c r="C8786" s="13" t="s">
        <v>2447</v>
      </c>
      <c r="D8786" s="13" t="s">
        <v>10622</v>
      </c>
      <c r="E8786" s="8">
        <v>15000</v>
      </c>
      <c r="F8786" s="13" t="s">
        <v>70</v>
      </c>
      <c r="G8786" s="14">
        <v>44784</v>
      </c>
      <c r="H8786" s="13" t="s">
        <v>35</v>
      </c>
    </row>
    <row r="8787" spans="1:8" ht="14.4" x14ac:dyDescent="0.3">
      <c r="A8787" s="8">
        <v>2042424</v>
      </c>
      <c r="B8787" s="11">
        <v>44783</v>
      </c>
      <c r="C8787" s="13" t="s">
        <v>75</v>
      </c>
      <c r="D8787" s="13" t="s">
        <v>10622</v>
      </c>
      <c r="E8787" s="8">
        <v>15000</v>
      </c>
      <c r="F8787" s="13" t="s">
        <v>70</v>
      </c>
      <c r="G8787" s="14">
        <v>44789</v>
      </c>
      <c r="H8787" s="13" t="s">
        <v>35</v>
      </c>
    </row>
    <row r="8788" spans="1:8" ht="14.4" x14ac:dyDescent="0.3">
      <c r="A8788" s="8">
        <v>2042425</v>
      </c>
      <c r="B8788" s="11">
        <v>44783</v>
      </c>
      <c r="C8788" s="13" t="s">
        <v>77</v>
      </c>
      <c r="D8788" s="13" t="s">
        <v>10622</v>
      </c>
      <c r="E8788" s="8">
        <v>10000</v>
      </c>
      <c r="F8788" s="13" t="s">
        <v>70</v>
      </c>
      <c r="G8788" s="14">
        <v>44789</v>
      </c>
      <c r="H8788" s="13" t="s">
        <v>35</v>
      </c>
    </row>
    <row r="8789" spans="1:8" ht="14.4" x14ac:dyDescent="0.3">
      <c r="A8789" s="8">
        <v>2042426</v>
      </c>
      <c r="B8789" s="11">
        <v>44783</v>
      </c>
      <c r="C8789" s="13" t="s">
        <v>78</v>
      </c>
      <c r="D8789" s="13" t="s">
        <v>10622</v>
      </c>
      <c r="E8789" s="8">
        <v>10000</v>
      </c>
      <c r="F8789" s="13" t="s">
        <v>70</v>
      </c>
      <c r="G8789" s="14">
        <v>44789</v>
      </c>
      <c r="H8789" s="13" t="s">
        <v>35</v>
      </c>
    </row>
    <row r="8790" spans="1:8" ht="14.4" x14ac:dyDescent="0.3">
      <c r="A8790" s="8">
        <v>2042427</v>
      </c>
      <c r="B8790" s="11">
        <v>44783</v>
      </c>
      <c r="C8790" s="13" t="s">
        <v>10764</v>
      </c>
      <c r="D8790" s="13" t="s">
        <v>4781</v>
      </c>
      <c r="E8790" s="8">
        <v>10000</v>
      </c>
      <c r="F8790" s="13" t="s">
        <v>70</v>
      </c>
      <c r="G8790" s="14">
        <v>44789</v>
      </c>
      <c r="H8790" s="13" t="s">
        <v>35</v>
      </c>
    </row>
    <row r="8791" spans="1:8" ht="14.4" x14ac:dyDescent="0.3">
      <c r="A8791" s="8">
        <v>2042428</v>
      </c>
      <c r="B8791" s="11">
        <v>44783</v>
      </c>
      <c r="C8791" s="13" t="s">
        <v>300</v>
      </c>
      <c r="D8791" s="13" t="s">
        <v>4781</v>
      </c>
      <c r="E8791" s="8">
        <v>6000</v>
      </c>
      <c r="F8791" s="13" t="s">
        <v>70</v>
      </c>
      <c r="G8791" s="14">
        <v>44789</v>
      </c>
      <c r="H8791" s="13" t="s">
        <v>35</v>
      </c>
    </row>
    <row r="8792" spans="1:8" ht="14.4" x14ac:dyDescent="0.3">
      <c r="A8792" s="8">
        <v>2042429</v>
      </c>
      <c r="B8792" s="11">
        <v>44783</v>
      </c>
      <c r="C8792" s="13" t="s">
        <v>330</v>
      </c>
      <c r="D8792" s="13" t="s">
        <v>10622</v>
      </c>
      <c r="E8792" s="8">
        <v>20000</v>
      </c>
      <c r="F8792" s="13" t="s">
        <v>70</v>
      </c>
      <c r="G8792" s="14">
        <v>44783</v>
      </c>
      <c r="H8792" s="13" t="s">
        <v>35</v>
      </c>
    </row>
    <row r="8793" spans="1:8" ht="14.4" x14ac:dyDescent="0.3">
      <c r="A8793" s="8">
        <v>2042430</v>
      </c>
      <c r="B8793" s="11">
        <v>44783</v>
      </c>
      <c r="C8793" s="13" t="s">
        <v>331</v>
      </c>
      <c r="D8793" s="13" t="s">
        <v>10622</v>
      </c>
      <c r="E8793" s="8">
        <v>10000</v>
      </c>
      <c r="F8793" s="13" t="s">
        <v>70</v>
      </c>
      <c r="G8793" s="14">
        <v>44783</v>
      </c>
      <c r="H8793" s="13" t="s">
        <v>35</v>
      </c>
    </row>
    <row r="8794" spans="1:8" ht="14.4" x14ac:dyDescent="0.3">
      <c r="A8794" s="8">
        <v>2042431</v>
      </c>
      <c r="B8794" s="11">
        <v>44783</v>
      </c>
      <c r="C8794" s="13" t="s">
        <v>332</v>
      </c>
      <c r="D8794" s="13" t="s">
        <v>10622</v>
      </c>
      <c r="E8794" s="8">
        <v>5000</v>
      </c>
      <c r="F8794" s="13" t="s">
        <v>70</v>
      </c>
      <c r="G8794" s="14">
        <v>44783</v>
      </c>
      <c r="H8794" s="13" t="s">
        <v>35</v>
      </c>
    </row>
    <row r="8795" spans="1:8" ht="14.4" x14ac:dyDescent="0.3">
      <c r="A8795" s="8">
        <v>2042432</v>
      </c>
      <c r="B8795" s="11">
        <v>44783</v>
      </c>
      <c r="C8795" s="13" t="s">
        <v>333</v>
      </c>
      <c r="D8795" s="13" t="s">
        <v>10622</v>
      </c>
      <c r="E8795" s="8">
        <v>3000</v>
      </c>
      <c r="F8795" s="13" t="s">
        <v>70</v>
      </c>
      <c r="G8795" s="14">
        <v>44783</v>
      </c>
      <c r="H8795" s="13" t="s">
        <v>35</v>
      </c>
    </row>
    <row r="8796" spans="1:8" ht="14.4" x14ac:dyDescent="0.3">
      <c r="A8796" s="8">
        <v>2042433</v>
      </c>
      <c r="B8796" s="11">
        <v>44783</v>
      </c>
      <c r="C8796" s="13" t="s">
        <v>295</v>
      </c>
      <c r="D8796" s="13" t="s">
        <v>10622</v>
      </c>
      <c r="E8796" s="8">
        <v>20000</v>
      </c>
      <c r="F8796" s="13" t="s">
        <v>70</v>
      </c>
      <c r="G8796" s="14">
        <v>44790</v>
      </c>
      <c r="H8796" s="13" t="s">
        <v>35</v>
      </c>
    </row>
    <row r="8797" spans="1:8" ht="14.4" x14ac:dyDescent="0.3">
      <c r="A8797" s="8">
        <v>2042434</v>
      </c>
      <c r="B8797" s="11">
        <v>44783</v>
      </c>
      <c r="C8797" s="13" t="s">
        <v>303</v>
      </c>
      <c r="D8797" s="13" t="s">
        <v>10622</v>
      </c>
      <c r="E8797" s="8">
        <v>6000</v>
      </c>
      <c r="F8797" s="13" t="s">
        <v>70</v>
      </c>
      <c r="G8797" s="14">
        <v>44790</v>
      </c>
      <c r="H8797" s="13" t="s">
        <v>35</v>
      </c>
    </row>
    <row r="8798" spans="1:8" ht="14.4" x14ac:dyDescent="0.3">
      <c r="A8798" s="8">
        <v>2042435</v>
      </c>
      <c r="B8798" s="11">
        <v>44783</v>
      </c>
      <c r="C8798" s="13" t="s">
        <v>304</v>
      </c>
      <c r="D8798" s="13" t="s">
        <v>10622</v>
      </c>
      <c r="E8798" s="8">
        <v>5000</v>
      </c>
      <c r="F8798" s="13" t="s">
        <v>70</v>
      </c>
      <c r="G8798" s="14">
        <v>44791</v>
      </c>
      <c r="H8798" s="13" t="s">
        <v>35</v>
      </c>
    </row>
    <row r="8799" spans="1:8" ht="14.4" x14ac:dyDescent="0.3">
      <c r="A8799" s="8">
        <v>2042436</v>
      </c>
      <c r="B8799" s="11">
        <v>44783</v>
      </c>
      <c r="C8799" s="13" t="s">
        <v>305</v>
      </c>
      <c r="D8799" s="13" t="s">
        <v>10622</v>
      </c>
      <c r="E8799" s="8">
        <v>3000</v>
      </c>
      <c r="F8799" s="13" t="s">
        <v>70</v>
      </c>
      <c r="G8799" s="14">
        <v>44790</v>
      </c>
      <c r="H8799" s="13" t="s">
        <v>35</v>
      </c>
    </row>
    <row r="8800" spans="1:8" ht="14.4" x14ac:dyDescent="0.3">
      <c r="A8800" s="8">
        <v>2042437</v>
      </c>
      <c r="B8800" s="11">
        <v>44783</v>
      </c>
      <c r="C8800" s="13" t="s">
        <v>186</v>
      </c>
      <c r="D8800" s="13" t="s">
        <v>10765</v>
      </c>
      <c r="E8800" s="8">
        <v>1575</v>
      </c>
      <c r="F8800" s="13" t="s">
        <v>70</v>
      </c>
      <c r="G8800" s="14">
        <v>44791</v>
      </c>
      <c r="H8800" s="13" t="s">
        <v>35</v>
      </c>
    </row>
    <row r="8801" spans="1:8" ht="14.4" x14ac:dyDescent="0.3">
      <c r="A8801" s="8">
        <v>2042438</v>
      </c>
      <c r="B8801" s="11">
        <v>44783</v>
      </c>
      <c r="C8801" s="13" t="s">
        <v>10766</v>
      </c>
      <c r="D8801" s="13" t="s">
        <v>10767</v>
      </c>
      <c r="E8801" s="8">
        <v>6000</v>
      </c>
      <c r="F8801" s="13" t="s">
        <v>70</v>
      </c>
      <c r="G8801" s="14">
        <v>44855</v>
      </c>
      <c r="H8801" s="13" t="s">
        <v>35</v>
      </c>
    </row>
    <row r="8802" spans="1:8" ht="14.4" x14ac:dyDescent="0.3">
      <c r="A8802" s="8">
        <v>2042439</v>
      </c>
      <c r="B8802" s="11">
        <v>44783</v>
      </c>
      <c r="C8802" s="13" t="s">
        <v>10768</v>
      </c>
      <c r="D8802" s="13" t="s">
        <v>10769</v>
      </c>
      <c r="E8802" s="8">
        <v>10000</v>
      </c>
      <c r="F8802" s="13" t="s">
        <v>70</v>
      </c>
      <c r="G8802" s="14">
        <v>44792</v>
      </c>
      <c r="H8802" s="13" t="s">
        <v>35</v>
      </c>
    </row>
    <row r="8803" spans="1:8" ht="14.4" x14ac:dyDescent="0.3">
      <c r="A8803" s="8">
        <v>2042440</v>
      </c>
      <c r="B8803" s="11">
        <v>44783</v>
      </c>
      <c r="C8803" s="13" t="s">
        <v>10770</v>
      </c>
      <c r="D8803" s="13" t="s">
        <v>10771</v>
      </c>
      <c r="E8803" s="8">
        <v>10000</v>
      </c>
      <c r="F8803" s="13" t="s">
        <v>70</v>
      </c>
      <c r="G8803" s="14">
        <v>44789</v>
      </c>
      <c r="H8803" s="13" t="s">
        <v>35</v>
      </c>
    </row>
    <row r="8804" spans="1:8" ht="14.4" x14ac:dyDescent="0.3">
      <c r="A8804" s="8">
        <v>2042441</v>
      </c>
      <c r="B8804" s="11">
        <v>44783</v>
      </c>
      <c r="C8804" s="13" t="s">
        <v>153</v>
      </c>
      <c r="D8804" s="13" t="s">
        <v>10772</v>
      </c>
      <c r="E8804" s="8">
        <v>87649.5</v>
      </c>
      <c r="F8804" s="13" t="s">
        <v>70</v>
      </c>
      <c r="G8804" s="14">
        <v>44788</v>
      </c>
      <c r="H8804" s="13" t="s">
        <v>35</v>
      </c>
    </row>
    <row r="8805" spans="1:8" ht="14.4" x14ac:dyDescent="0.3">
      <c r="A8805" s="8">
        <v>2042442</v>
      </c>
      <c r="B8805" s="11">
        <v>44783</v>
      </c>
      <c r="C8805" s="13" t="s">
        <v>395</v>
      </c>
      <c r="D8805" s="13" t="s">
        <v>10773</v>
      </c>
      <c r="E8805" s="8">
        <v>39697</v>
      </c>
      <c r="F8805" s="13" t="s">
        <v>70</v>
      </c>
      <c r="G8805" s="14">
        <v>44788</v>
      </c>
      <c r="H8805" s="13" t="s">
        <v>35</v>
      </c>
    </row>
    <row r="8806" spans="1:8" ht="14.4" x14ac:dyDescent="0.3">
      <c r="A8806" s="8">
        <v>2042443</v>
      </c>
      <c r="B8806" s="11">
        <v>44783</v>
      </c>
      <c r="C8806" s="13" t="s">
        <v>2425</v>
      </c>
      <c r="D8806" s="13" t="s">
        <v>10774</v>
      </c>
      <c r="E8806" s="8">
        <v>525</v>
      </c>
      <c r="F8806" s="13" t="s">
        <v>70</v>
      </c>
      <c r="G8806" s="14">
        <v>44791</v>
      </c>
      <c r="H8806" s="13" t="s">
        <v>35</v>
      </c>
    </row>
    <row r="8807" spans="1:8" ht="14.4" x14ac:dyDescent="0.3">
      <c r="A8807" s="8">
        <v>2042444</v>
      </c>
      <c r="B8807" s="11">
        <v>44783</v>
      </c>
      <c r="C8807" s="13" t="s">
        <v>10775</v>
      </c>
      <c r="D8807" s="13" t="s">
        <v>10776</v>
      </c>
      <c r="E8807" s="8">
        <v>20000</v>
      </c>
      <c r="F8807" s="13" t="s">
        <v>70</v>
      </c>
      <c r="G8807" s="14">
        <v>44789</v>
      </c>
      <c r="H8807" s="13" t="s">
        <v>35</v>
      </c>
    </row>
    <row r="8808" spans="1:8" ht="14.4" x14ac:dyDescent="0.3">
      <c r="A8808" s="8">
        <v>2042445</v>
      </c>
      <c r="B8808" s="11">
        <v>44783</v>
      </c>
      <c r="C8808" s="13" t="s">
        <v>10777</v>
      </c>
      <c r="D8808" s="13" t="s">
        <v>10778</v>
      </c>
      <c r="E8808" s="8">
        <v>18000</v>
      </c>
      <c r="F8808" s="13" t="s">
        <v>70</v>
      </c>
      <c r="G8808" s="14">
        <v>44789</v>
      </c>
      <c r="H8808" s="13" t="s">
        <v>35</v>
      </c>
    </row>
    <row r="8809" spans="1:8" ht="14.4" x14ac:dyDescent="0.3">
      <c r="A8809" s="8">
        <v>2042446</v>
      </c>
      <c r="B8809" s="11">
        <v>44783</v>
      </c>
      <c r="C8809" s="13" t="s">
        <v>10779</v>
      </c>
      <c r="D8809" s="13" t="s">
        <v>10780</v>
      </c>
      <c r="E8809" s="8">
        <v>15000</v>
      </c>
      <c r="F8809" s="13" t="s">
        <v>70</v>
      </c>
      <c r="G8809" s="14">
        <v>44784</v>
      </c>
      <c r="H8809" s="13" t="s">
        <v>35</v>
      </c>
    </row>
    <row r="8810" spans="1:8" ht="14.4" x14ac:dyDescent="0.3">
      <c r="A8810" s="8">
        <v>2042447</v>
      </c>
      <c r="B8810" s="11">
        <v>44783</v>
      </c>
      <c r="C8810" s="13" t="s">
        <v>10781</v>
      </c>
      <c r="D8810" s="13" t="s">
        <v>10782</v>
      </c>
      <c r="E8810" s="8">
        <v>8000</v>
      </c>
      <c r="F8810" s="13" t="s">
        <v>70</v>
      </c>
      <c r="G8810" s="14">
        <v>44784</v>
      </c>
      <c r="H8810" s="13" t="s">
        <v>35</v>
      </c>
    </row>
    <row r="8811" spans="1:8" ht="14.4" x14ac:dyDescent="0.3">
      <c r="A8811" s="8">
        <v>2042448</v>
      </c>
      <c r="B8811" s="11">
        <v>44783</v>
      </c>
      <c r="C8811" s="13" t="s">
        <v>10783</v>
      </c>
      <c r="D8811" s="13" t="s">
        <v>10784</v>
      </c>
      <c r="E8811" s="8">
        <v>8000</v>
      </c>
      <c r="F8811" s="13" t="s">
        <v>70</v>
      </c>
      <c r="G8811" s="14">
        <v>44788</v>
      </c>
      <c r="H8811" s="13" t="s">
        <v>35</v>
      </c>
    </row>
    <row r="8812" spans="1:8" ht="14.4" x14ac:dyDescent="0.3">
      <c r="A8812" s="8">
        <v>2042449</v>
      </c>
      <c r="B8812" s="11">
        <v>44783</v>
      </c>
      <c r="C8812" s="13" t="s">
        <v>10785</v>
      </c>
      <c r="D8812" s="13" t="s">
        <v>10786</v>
      </c>
      <c r="E8812" s="8">
        <v>8000</v>
      </c>
      <c r="F8812" s="13" t="s">
        <v>70</v>
      </c>
      <c r="G8812" s="14">
        <v>44788</v>
      </c>
      <c r="H8812" s="13" t="s">
        <v>35</v>
      </c>
    </row>
    <row r="8813" spans="1:8" ht="14.4" x14ac:dyDescent="0.3">
      <c r="A8813" s="8">
        <v>2042450</v>
      </c>
      <c r="B8813" s="11">
        <v>44783</v>
      </c>
      <c r="C8813" s="13" t="s">
        <v>10787</v>
      </c>
      <c r="D8813" s="13" t="s">
        <v>10788</v>
      </c>
      <c r="E8813" s="8">
        <v>13000</v>
      </c>
      <c r="F8813" s="13" t="s">
        <v>70</v>
      </c>
      <c r="G8813" s="14">
        <v>44784</v>
      </c>
      <c r="H8813" s="13" t="s">
        <v>35</v>
      </c>
    </row>
    <row r="8814" spans="1:8" ht="14.4" x14ac:dyDescent="0.3">
      <c r="A8814" s="8">
        <v>2042451</v>
      </c>
      <c r="B8814" s="11">
        <v>44783</v>
      </c>
      <c r="C8814" s="13" t="s">
        <v>10789</v>
      </c>
      <c r="D8814" s="13" t="s">
        <v>10790</v>
      </c>
      <c r="E8814" s="8">
        <v>26000</v>
      </c>
      <c r="F8814" s="13" t="s">
        <v>70</v>
      </c>
      <c r="G8814" s="14">
        <v>44795</v>
      </c>
      <c r="H8814" s="13" t="s">
        <v>35</v>
      </c>
    </row>
    <row r="8815" spans="1:8" ht="14.4" x14ac:dyDescent="0.3">
      <c r="A8815" s="8">
        <v>2042452</v>
      </c>
      <c r="B8815" s="11">
        <v>44783</v>
      </c>
      <c r="C8815" s="13" t="s">
        <v>10791</v>
      </c>
      <c r="D8815" s="13" t="s">
        <v>10792</v>
      </c>
      <c r="E8815" s="8">
        <v>13000</v>
      </c>
      <c r="F8815" s="13" t="s">
        <v>70</v>
      </c>
      <c r="G8815" s="14">
        <v>44784</v>
      </c>
      <c r="H8815" s="13" t="s">
        <v>35</v>
      </c>
    </row>
    <row r="8816" spans="1:8" ht="14.4" x14ac:dyDescent="0.3">
      <c r="A8816" s="8">
        <v>2042453</v>
      </c>
      <c r="B8816" s="11">
        <v>44783</v>
      </c>
      <c r="C8816" s="13" t="s">
        <v>1584</v>
      </c>
      <c r="D8816" s="13" t="s">
        <v>10793</v>
      </c>
      <c r="E8816" s="8">
        <v>44141.43</v>
      </c>
      <c r="F8816" s="13" t="s">
        <v>70</v>
      </c>
      <c r="G8816" s="14">
        <v>44789</v>
      </c>
      <c r="H8816" s="13" t="s">
        <v>35</v>
      </c>
    </row>
    <row r="8817" spans="1:8" ht="14.4" x14ac:dyDescent="0.3">
      <c r="A8817" s="8">
        <v>2042454</v>
      </c>
      <c r="B8817" s="11">
        <v>44783</v>
      </c>
      <c r="C8817" s="13" t="s">
        <v>669</v>
      </c>
      <c r="D8817" s="13" t="s">
        <v>10794</v>
      </c>
      <c r="E8817" s="8">
        <v>132000</v>
      </c>
      <c r="F8817" s="13" t="s">
        <v>70</v>
      </c>
      <c r="G8817" s="14">
        <v>44788</v>
      </c>
      <c r="H8817" s="13" t="s">
        <v>35</v>
      </c>
    </row>
    <row r="8818" spans="1:8" ht="14.4" x14ac:dyDescent="0.3">
      <c r="A8818" s="8">
        <v>2042455</v>
      </c>
      <c r="B8818" s="11">
        <v>44783</v>
      </c>
      <c r="C8818" s="13" t="s">
        <v>1193</v>
      </c>
      <c r="D8818" s="13" t="s">
        <v>10795</v>
      </c>
      <c r="E8818" s="8">
        <v>11000</v>
      </c>
      <c r="F8818" s="13" t="s">
        <v>70</v>
      </c>
      <c r="G8818" s="14">
        <v>44788</v>
      </c>
      <c r="H8818" s="13" t="s">
        <v>35</v>
      </c>
    </row>
    <row r="8819" spans="1:8" ht="14.4" x14ac:dyDescent="0.3">
      <c r="A8819" s="8">
        <v>2042456</v>
      </c>
      <c r="B8819" s="11">
        <v>44783</v>
      </c>
      <c r="C8819" s="13" t="s">
        <v>176</v>
      </c>
      <c r="D8819" s="13" t="s">
        <v>10796</v>
      </c>
      <c r="E8819" s="8">
        <v>68000</v>
      </c>
      <c r="F8819" s="13" t="s">
        <v>70</v>
      </c>
      <c r="G8819" s="14">
        <v>44789</v>
      </c>
      <c r="H8819" s="13" t="s">
        <v>35</v>
      </c>
    </row>
    <row r="8820" spans="1:8" ht="14.4" x14ac:dyDescent="0.3">
      <c r="A8820" s="8">
        <v>2042457</v>
      </c>
      <c r="B8820" s="11">
        <v>44783</v>
      </c>
      <c r="C8820" s="13" t="s">
        <v>363</v>
      </c>
      <c r="D8820" s="13" t="s">
        <v>10797</v>
      </c>
      <c r="E8820" s="8">
        <v>41828.75</v>
      </c>
      <c r="F8820" s="13" t="s">
        <v>70</v>
      </c>
      <c r="G8820" s="14">
        <v>44788</v>
      </c>
      <c r="H8820" s="13" t="s">
        <v>35</v>
      </c>
    </row>
    <row r="8821" spans="1:8" ht="14.4" x14ac:dyDescent="0.3">
      <c r="A8821" s="8">
        <v>2042458</v>
      </c>
      <c r="B8821" s="11">
        <v>44783</v>
      </c>
      <c r="C8821" s="13" t="s">
        <v>492</v>
      </c>
      <c r="D8821" s="13" t="s">
        <v>10798</v>
      </c>
      <c r="E8821" s="8">
        <v>31849.200000000001</v>
      </c>
      <c r="F8821" s="13" t="s">
        <v>70</v>
      </c>
      <c r="G8821" s="14">
        <v>44788</v>
      </c>
      <c r="H8821" s="13" t="s">
        <v>35</v>
      </c>
    </row>
    <row r="8822" spans="1:8" ht="14.4" x14ac:dyDescent="0.3">
      <c r="A8822" s="8">
        <v>2042459</v>
      </c>
      <c r="B8822" s="11">
        <v>44783</v>
      </c>
      <c r="C8822" s="13" t="s">
        <v>186</v>
      </c>
      <c r="D8822" s="13" t="s">
        <v>10799</v>
      </c>
      <c r="E8822" s="8">
        <v>525</v>
      </c>
      <c r="F8822" s="13" t="s">
        <v>70</v>
      </c>
      <c r="G8822" s="14">
        <v>44791</v>
      </c>
      <c r="H8822" s="13" t="s">
        <v>35</v>
      </c>
    </row>
    <row r="8823" spans="1:8" ht="14.4" x14ac:dyDescent="0.3">
      <c r="A8823" s="8">
        <v>2042460</v>
      </c>
      <c r="B8823" s="11">
        <v>44783</v>
      </c>
      <c r="C8823" s="13" t="s">
        <v>265</v>
      </c>
      <c r="D8823" s="13" t="s">
        <v>10800</v>
      </c>
      <c r="E8823" s="8">
        <v>162168.07</v>
      </c>
      <c r="F8823" s="13" t="s">
        <v>70</v>
      </c>
      <c r="G8823" s="14">
        <v>44785</v>
      </c>
      <c r="H8823" s="13" t="s">
        <v>35</v>
      </c>
    </row>
    <row r="8824" spans="1:8" ht="14.4" x14ac:dyDescent="0.3">
      <c r="A8824" s="8">
        <v>2042461</v>
      </c>
      <c r="B8824" s="11">
        <v>44783</v>
      </c>
      <c r="C8824" s="13" t="s">
        <v>1286</v>
      </c>
      <c r="D8824" s="13" t="s">
        <v>10801</v>
      </c>
      <c r="E8824" s="8">
        <v>103875.27</v>
      </c>
      <c r="F8824" s="13" t="s">
        <v>70</v>
      </c>
      <c r="G8824" s="14">
        <v>44790</v>
      </c>
      <c r="H8824" s="13" t="s">
        <v>35</v>
      </c>
    </row>
    <row r="8825" spans="1:8" ht="14.4" x14ac:dyDescent="0.3">
      <c r="A8825" s="8">
        <v>2042462</v>
      </c>
      <c r="B8825" s="11">
        <v>44783</v>
      </c>
      <c r="C8825" s="13" t="s">
        <v>159</v>
      </c>
      <c r="D8825" s="13" t="s">
        <v>10802</v>
      </c>
      <c r="E8825" s="8">
        <v>280700</v>
      </c>
      <c r="F8825" s="13" t="s">
        <v>70</v>
      </c>
      <c r="G8825" s="14">
        <v>44784</v>
      </c>
      <c r="H8825" s="13" t="s">
        <v>35</v>
      </c>
    </row>
    <row r="8826" spans="1:8" ht="14.4" x14ac:dyDescent="0.3">
      <c r="A8826" s="8">
        <v>2042463</v>
      </c>
      <c r="B8826" s="11">
        <v>44783</v>
      </c>
      <c r="C8826" s="13" t="s">
        <v>155</v>
      </c>
      <c r="D8826" s="13" t="s">
        <v>10803</v>
      </c>
      <c r="E8826" s="8">
        <v>20000</v>
      </c>
      <c r="F8826" s="13" t="s">
        <v>70</v>
      </c>
      <c r="G8826" s="14">
        <v>44785</v>
      </c>
      <c r="H8826" s="13" t="s">
        <v>35</v>
      </c>
    </row>
    <row r="8827" spans="1:8" ht="14.4" x14ac:dyDescent="0.3">
      <c r="A8827" s="8">
        <v>2042464</v>
      </c>
      <c r="B8827" s="11">
        <v>44783</v>
      </c>
      <c r="C8827" s="13" t="s">
        <v>158</v>
      </c>
      <c r="D8827" s="13" t="s">
        <v>10804</v>
      </c>
      <c r="E8827" s="8">
        <v>20000</v>
      </c>
      <c r="F8827" s="13" t="s">
        <v>70</v>
      </c>
      <c r="G8827" s="14">
        <v>44785</v>
      </c>
      <c r="H8827" s="13" t="s">
        <v>35</v>
      </c>
    </row>
    <row r="8828" spans="1:8" ht="14.4" x14ac:dyDescent="0.3">
      <c r="A8828" s="8">
        <v>2042465</v>
      </c>
      <c r="B8828" s="11">
        <v>44783</v>
      </c>
      <c r="C8828" s="13" t="s">
        <v>2307</v>
      </c>
      <c r="D8828" s="13" t="s">
        <v>10805</v>
      </c>
      <c r="E8828" s="8">
        <v>20000</v>
      </c>
      <c r="F8828" s="13" t="s">
        <v>70</v>
      </c>
      <c r="G8828" s="14">
        <v>44785</v>
      </c>
      <c r="H8828" s="13" t="s">
        <v>35</v>
      </c>
    </row>
    <row r="8829" spans="1:8" ht="14.4" x14ac:dyDescent="0.3">
      <c r="A8829" s="8">
        <v>2042466</v>
      </c>
      <c r="B8829" s="11">
        <v>44783</v>
      </c>
      <c r="C8829" s="13" t="s">
        <v>189</v>
      </c>
      <c r="D8829" s="13" t="s">
        <v>10806</v>
      </c>
      <c r="E8829" s="8">
        <v>64426.25</v>
      </c>
      <c r="F8829" s="13" t="s">
        <v>70</v>
      </c>
      <c r="G8829" s="14">
        <v>44792</v>
      </c>
      <c r="H8829" s="13" t="s">
        <v>35</v>
      </c>
    </row>
    <row r="8830" spans="1:8" ht="14.4" x14ac:dyDescent="0.3">
      <c r="A8830" s="8">
        <v>2042467</v>
      </c>
      <c r="B8830" s="11">
        <v>44783</v>
      </c>
      <c r="C8830" s="13" t="s">
        <v>19</v>
      </c>
      <c r="D8830" s="13" t="s">
        <v>10807</v>
      </c>
      <c r="E8830" s="8">
        <v>9516.34</v>
      </c>
      <c r="F8830" s="13" t="s">
        <v>70</v>
      </c>
      <c r="G8830" s="14">
        <v>44790</v>
      </c>
      <c r="H8830" s="13" t="s">
        <v>35</v>
      </c>
    </row>
    <row r="8831" spans="1:8" ht="14.4" x14ac:dyDescent="0.3">
      <c r="A8831" s="8">
        <v>2042468</v>
      </c>
      <c r="B8831" s="11">
        <v>44783</v>
      </c>
      <c r="C8831" s="13" t="s">
        <v>19</v>
      </c>
      <c r="D8831" s="13" t="s">
        <v>10808</v>
      </c>
      <c r="E8831" s="8">
        <v>5145</v>
      </c>
      <c r="F8831" s="13" t="s">
        <v>70</v>
      </c>
      <c r="G8831" s="14">
        <v>44790</v>
      </c>
      <c r="H8831" s="13" t="s">
        <v>35</v>
      </c>
    </row>
    <row r="8832" spans="1:8" ht="14.4" x14ac:dyDescent="0.3">
      <c r="A8832" s="8">
        <v>2042469</v>
      </c>
      <c r="B8832" s="11">
        <v>44783</v>
      </c>
      <c r="C8832" s="13" t="s">
        <v>186</v>
      </c>
      <c r="D8832" s="13" t="s">
        <v>10774</v>
      </c>
      <c r="E8832" s="8">
        <v>525</v>
      </c>
      <c r="F8832" s="13" t="s">
        <v>70</v>
      </c>
      <c r="G8832" s="14">
        <v>44791</v>
      </c>
      <c r="H8832" s="13" t="s">
        <v>35</v>
      </c>
    </row>
    <row r="8833" spans="1:8" ht="14.4" x14ac:dyDescent="0.3">
      <c r="A8833" s="8">
        <v>2042470</v>
      </c>
      <c r="B8833" s="11">
        <v>44783</v>
      </c>
      <c r="C8833" s="13" t="s">
        <v>20</v>
      </c>
      <c r="D8833" s="13" t="s">
        <v>4781</v>
      </c>
      <c r="E8833" s="8">
        <v>10000</v>
      </c>
      <c r="F8833" s="13" t="s">
        <v>70</v>
      </c>
      <c r="G8833" s="14">
        <v>44818</v>
      </c>
      <c r="H8833" s="13" t="s">
        <v>35</v>
      </c>
    </row>
    <row r="8834" spans="1:8" ht="14.4" x14ac:dyDescent="0.3">
      <c r="A8834" s="8">
        <v>2042471</v>
      </c>
      <c r="B8834" s="11">
        <v>44783</v>
      </c>
      <c r="C8834" s="13" t="s">
        <v>113</v>
      </c>
      <c r="D8834" s="13" t="s">
        <v>10622</v>
      </c>
      <c r="E8834" s="8">
        <v>20000</v>
      </c>
      <c r="F8834" s="13" t="s">
        <v>70</v>
      </c>
      <c r="G8834" s="14">
        <v>44791</v>
      </c>
      <c r="H8834" s="13" t="s">
        <v>35</v>
      </c>
    </row>
    <row r="8835" spans="1:8" ht="14.4" x14ac:dyDescent="0.3">
      <c r="A8835" s="8">
        <v>2042472</v>
      </c>
      <c r="B8835" s="11">
        <v>44783</v>
      </c>
      <c r="C8835" s="13" t="s">
        <v>114</v>
      </c>
      <c r="D8835" s="13" t="s">
        <v>10622</v>
      </c>
      <c r="E8835" s="8">
        <v>10000</v>
      </c>
      <c r="F8835" s="13" t="s">
        <v>70</v>
      </c>
      <c r="G8835" s="14">
        <v>44798</v>
      </c>
      <c r="H8835" s="13" t="s">
        <v>35</v>
      </c>
    </row>
    <row r="8836" spans="1:8" ht="14.4" x14ac:dyDescent="0.3">
      <c r="A8836" s="8">
        <v>2042473</v>
      </c>
      <c r="B8836" s="11">
        <v>44783</v>
      </c>
      <c r="C8836" s="13" t="s">
        <v>115</v>
      </c>
      <c r="D8836" s="13" t="s">
        <v>10622</v>
      </c>
      <c r="E8836" s="8">
        <v>5000</v>
      </c>
      <c r="F8836" s="13" t="s">
        <v>70</v>
      </c>
      <c r="G8836" s="14">
        <v>44798</v>
      </c>
      <c r="H8836" s="13" t="s">
        <v>35</v>
      </c>
    </row>
    <row r="8837" spans="1:8" ht="14.4" x14ac:dyDescent="0.3">
      <c r="A8837" s="8">
        <v>2042474</v>
      </c>
      <c r="B8837" s="11">
        <v>44783</v>
      </c>
      <c r="C8837" s="13" t="s">
        <v>116</v>
      </c>
      <c r="D8837" s="13" t="s">
        <v>10622</v>
      </c>
      <c r="E8837" s="8">
        <v>5000</v>
      </c>
      <c r="F8837" s="13" t="s">
        <v>70</v>
      </c>
      <c r="G8837" s="14">
        <v>44798</v>
      </c>
      <c r="H8837" s="13" t="s">
        <v>35</v>
      </c>
    </row>
    <row r="8838" spans="1:8" ht="14.4" x14ac:dyDescent="0.3">
      <c r="A8838" s="8">
        <v>2042475</v>
      </c>
      <c r="B8838" s="11">
        <v>44783</v>
      </c>
      <c r="C8838" s="13" t="s">
        <v>117</v>
      </c>
      <c r="D8838" s="13" t="s">
        <v>10622</v>
      </c>
      <c r="E8838" s="8">
        <v>3000</v>
      </c>
      <c r="F8838" s="13" t="s">
        <v>70</v>
      </c>
      <c r="G8838" s="14">
        <v>44791</v>
      </c>
      <c r="H8838" s="13" t="s">
        <v>35</v>
      </c>
    </row>
    <row r="8839" spans="1:8" ht="14.4" x14ac:dyDescent="0.3">
      <c r="A8839" s="8">
        <v>2042476</v>
      </c>
      <c r="B8839" s="11">
        <v>44783</v>
      </c>
      <c r="C8839" s="13" t="s">
        <v>534</v>
      </c>
      <c r="D8839" s="13" t="s">
        <v>10621</v>
      </c>
      <c r="E8839" s="8">
        <v>20000</v>
      </c>
      <c r="F8839" s="13" t="s">
        <v>70</v>
      </c>
      <c r="G8839" s="14">
        <v>44792</v>
      </c>
      <c r="H8839" s="13" t="s">
        <v>35</v>
      </c>
    </row>
    <row r="8840" spans="1:8" ht="14.4" x14ac:dyDescent="0.3">
      <c r="A8840" s="8">
        <v>2042477</v>
      </c>
      <c r="B8840" s="11">
        <v>44783</v>
      </c>
      <c r="C8840" s="13" t="s">
        <v>535</v>
      </c>
      <c r="D8840" s="13" t="s">
        <v>10621</v>
      </c>
      <c r="E8840" s="8">
        <v>10000</v>
      </c>
      <c r="F8840" s="13" t="s">
        <v>70</v>
      </c>
      <c r="G8840" s="14">
        <v>44792</v>
      </c>
      <c r="H8840" s="13" t="s">
        <v>35</v>
      </c>
    </row>
    <row r="8841" spans="1:8" ht="14.4" x14ac:dyDescent="0.3">
      <c r="A8841" s="8">
        <v>2042478</v>
      </c>
      <c r="B8841" s="11">
        <v>44783</v>
      </c>
      <c r="C8841" s="13" t="s">
        <v>536</v>
      </c>
      <c r="D8841" s="13" t="s">
        <v>10621</v>
      </c>
      <c r="E8841" s="8">
        <v>5000</v>
      </c>
      <c r="F8841" s="13" t="s">
        <v>70</v>
      </c>
      <c r="G8841" s="14">
        <v>44792</v>
      </c>
      <c r="H8841" s="13" t="s">
        <v>35</v>
      </c>
    </row>
    <row r="8842" spans="1:8" ht="14.4" x14ac:dyDescent="0.3">
      <c r="A8842" s="8">
        <v>2042479</v>
      </c>
      <c r="B8842" s="11">
        <v>44783</v>
      </c>
      <c r="C8842" s="13" t="s">
        <v>526</v>
      </c>
      <c r="D8842" s="13" t="s">
        <v>10621</v>
      </c>
      <c r="E8842" s="8">
        <v>3000</v>
      </c>
      <c r="F8842" s="13" t="s">
        <v>70</v>
      </c>
      <c r="G8842" s="14">
        <v>44791</v>
      </c>
      <c r="H8842" s="13" t="s">
        <v>35</v>
      </c>
    </row>
    <row r="8843" spans="1:8" ht="14.4" x14ac:dyDescent="0.3">
      <c r="A8843" s="8">
        <v>2042480</v>
      </c>
      <c r="B8843" s="11">
        <v>44783</v>
      </c>
      <c r="C8843" s="13" t="s">
        <v>189</v>
      </c>
      <c r="D8843" s="13" t="s">
        <v>10806</v>
      </c>
      <c r="E8843" s="8">
        <v>47277.34</v>
      </c>
      <c r="F8843" s="13" t="s">
        <v>70</v>
      </c>
      <c r="G8843" s="14">
        <v>44792</v>
      </c>
      <c r="H8843" s="13" t="s">
        <v>35</v>
      </c>
    </row>
    <row r="8844" spans="1:8" ht="14.4" x14ac:dyDescent="0.3">
      <c r="A8844" s="8">
        <v>2042481</v>
      </c>
      <c r="B8844" s="11">
        <v>44783</v>
      </c>
      <c r="C8844" s="13" t="s">
        <v>19</v>
      </c>
      <c r="D8844" s="13" t="s">
        <v>10809</v>
      </c>
      <c r="E8844" s="8">
        <v>8148.74</v>
      </c>
      <c r="F8844" s="13" t="s">
        <v>70</v>
      </c>
      <c r="G8844" s="14">
        <v>44790</v>
      </c>
      <c r="H8844" s="13" t="s">
        <v>35</v>
      </c>
    </row>
    <row r="8845" spans="1:8" ht="14.4" x14ac:dyDescent="0.3">
      <c r="A8845" s="8">
        <v>2042482</v>
      </c>
      <c r="B8845" s="11">
        <v>44783</v>
      </c>
      <c r="C8845" s="13" t="s">
        <v>175</v>
      </c>
      <c r="D8845" s="13" t="s">
        <v>10810</v>
      </c>
      <c r="E8845" s="8">
        <v>23467.5</v>
      </c>
      <c r="F8845" s="13" t="s">
        <v>70</v>
      </c>
      <c r="G8845" s="14">
        <v>44796</v>
      </c>
      <c r="H8845" s="13" t="s">
        <v>35</v>
      </c>
    </row>
    <row r="8846" spans="1:8" ht="14.4" x14ac:dyDescent="0.3">
      <c r="A8846" s="8">
        <v>2042483</v>
      </c>
      <c r="B8846" s="11">
        <v>44783</v>
      </c>
      <c r="C8846" s="13" t="s">
        <v>5930</v>
      </c>
      <c r="D8846" s="13" t="s">
        <v>10811</v>
      </c>
      <c r="E8846" s="8">
        <v>1820445.09</v>
      </c>
      <c r="F8846" s="13" t="s">
        <v>70</v>
      </c>
      <c r="G8846" s="14">
        <v>44784</v>
      </c>
      <c r="H8846" s="13" t="s">
        <v>35</v>
      </c>
    </row>
    <row r="8847" spans="1:8" ht="14.4" x14ac:dyDescent="0.3">
      <c r="A8847" s="8">
        <v>2042484</v>
      </c>
      <c r="B8847" s="11">
        <v>44783</v>
      </c>
      <c r="C8847" s="13" t="s">
        <v>10812</v>
      </c>
      <c r="D8847" s="13" t="s">
        <v>10813</v>
      </c>
      <c r="E8847" s="8">
        <v>9000</v>
      </c>
      <c r="F8847" s="13" t="s">
        <v>70</v>
      </c>
      <c r="G8847" s="14">
        <v>44785</v>
      </c>
      <c r="H8847" s="13" t="s">
        <v>35</v>
      </c>
    </row>
    <row r="8848" spans="1:8" ht="14.4" x14ac:dyDescent="0.3">
      <c r="A8848" s="8">
        <v>2042485</v>
      </c>
      <c r="B8848" s="11">
        <v>44783</v>
      </c>
      <c r="C8848" s="13" t="s">
        <v>1832</v>
      </c>
      <c r="D8848" s="13" t="s">
        <v>10814</v>
      </c>
      <c r="E8848" s="8">
        <v>11000</v>
      </c>
      <c r="F8848" s="13" t="s">
        <v>70</v>
      </c>
      <c r="G8848" s="14">
        <v>44788</v>
      </c>
      <c r="H8848" s="13" t="s">
        <v>35</v>
      </c>
    </row>
    <row r="8849" spans="1:8" ht="14.4" x14ac:dyDescent="0.3">
      <c r="A8849" s="8">
        <v>2042486</v>
      </c>
      <c r="B8849" s="11">
        <v>44783</v>
      </c>
      <c r="C8849" s="13" t="s">
        <v>10815</v>
      </c>
      <c r="D8849" s="13" t="s">
        <v>10816</v>
      </c>
      <c r="E8849" s="8">
        <v>11000</v>
      </c>
      <c r="F8849" s="13" t="s">
        <v>70</v>
      </c>
      <c r="G8849" s="14">
        <v>44788</v>
      </c>
      <c r="H8849" s="13" t="s">
        <v>35</v>
      </c>
    </row>
    <row r="8850" spans="1:8" ht="14.4" x14ac:dyDescent="0.3">
      <c r="A8850" s="8">
        <v>2042487</v>
      </c>
      <c r="B8850" s="11">
        <v>44783</v>
      </c>
      <c r="C8850" s="13" t="s">
        <v>127</v>
      </c>
      <c r="D8850" s="13" t="s">
        <v>10817</v>
      </c>
      <c r="E8850" s="8">
        <v>5394.65</v>
      </c>
      <c r="F8850" s="13" t="s">
        <v>70</v>
      </c>
      <c r="G8850" s="14">
        <v>44785</v>
      </c>
      <c r="H8850" s="13" t="s">
        <v>35</v>
      </c>
    </row>
    <row r="8851" spans="1:8" ht="14.4" x14ac:dyDescent="0.3">
      <c r="A8851" s="8">
        <v>2042488</v>
      </c>
      <c r="B8851" s="11">
        <v>44783</v>
      </c>
      <c r="C8851" s="13" t="s">
        <v>1420</v>
      </c>
      <c r="D8851" s="13" t="s">
        <v>10818</v>
      </c>
      <c r="E8851" s="8">
        <v>78375</v>
      </c>
      <c r="F8851" s="13" t="s">
        <v>70</v>
      </c>
      <c r="G8851" s="14">
        <v>44788</v>
      </c>
      <c r="H8851" s="13" t="s">
        <v>35</v>
      </c>
    </row>
    <row r="8852" spans="1:8" ht="14.4" x14ac:dyDescent="0.3">
      <c r="A8852" s="8">
        <v>2042489</v>
      </c>
      <c r="B8852" s="11">
        <v>44783</v>
      </c>
      <c r="C8852" s="13" t="s">
        <v>1342</v>
      </c>
      <c r="D8852" s="13" t="s">
        <v>10819</v>
      </c>
      <c r="E8852" s="8">
        <v>7350</v>
      </c>
      <c r="F8852" s="13" t="s">
        <v>70</v>
      </c>
      <c r="G8852" s="14">
        <v>44791</v>
      </c>
      <c r="H8852" s="13" t="s">
        <v>35</v>
      </c>
    </row>
    <row r="8853" spans="1:8" ht="14.4" x14ac:dyDescent="0.3">
      <c r="A8853" s="8">
        <v>2042490</v>
      </c>
      <c r="B8853" s="11">
        <v>44783</v>
      </c>
      <c r="C8853" s="13" t="s">
        <v>10820</v>
      </c>
      <c r="D8853" s="13" t="s">
        <v>10821</v>
      </c>
      <c r="E8853" s="8">
        <v>6246.43</v>
      </c>
      <c r="F8853" s="13" t="s">
        <v>70</v>
      </c>
      <c r="G8853" s="14">
        <v>44798</v>
      </c>
      <c r="H8853" s="13" t="s">
        <v>35</v>
      </c>
    </row>
    <row r="8854" spans="1:8" ht="14.4" x14ac:dyDescent="0.3">
      <c r="A8854" s="8">
        <v>2042491</v>
      </c>
      <c r="B8854" s="11">
        <v>44783</v>
      </c>
      <c r="C8854" s="13" t="s">
        <v>10822</v>
      </c>
      <c r="D8854" s="13" t="s">
        <v>10823</v>
      </c>
      <c r="E8854" s="8">
        <v>24314.28</v>
      </c>
      <c r="F8854" s="13" t="s">
        <v>70</v>
      </c>
      <c r="G8854" s="14">
        <v>44785</v>
      </c>
      <c r="H8854" s="13" t="s">
        <v>35</v>
      </c>
    </row>
    <row r="8855" spans="1:8" ht="14.4" x14ac:dyDescent="0.3">
      <c r="A8855" s="8">
        <v>2042492</v>
      </c>
      <c r="B8855" s="11">
        <v>44783</v>
      </c>
      <c r="C8855" s="13" t="s">
        <v>25</v>
      </c>
      <c r="D8855" s="13" t="s">
        <v>10824</v>
      </c>
      <c r="E8855" s="8">
        <v>3312.5</v>
      </c>
      <c r="F8855" s="13" t="s">
        <v>70</v>
      </c>
      <c r="G8855" s="14">
        <v>44791</v>
      </c>
      <c r="H8855" s="13" t="s">
        <v>35</v>
      </c>
    </row>
    <row r="8856" spans="1:8" ht="14.4" x14ac:dyDescent="0.3">
      <c r="A8856" s="8">
        <v>2042493</v>
      </c>
      <c r="B8856" s="11">
        <v>44783</v>
      </c>
      <c r="C8856" s="13" t="s">
        <v>4567</v>
      </c>
      <c r="D8856" s="13" t="s">
        <v>10825</v>
      </c>
      <c r="E8856" s="8">
        <v>9704.68</v>
      </c>
      <c r="F8856" s="13" t="s">
        <v>70</v>
      </c>
      <c r="G8856" s="14">
        <v>44798</v>
      </c>
      <c r="H8856" s="13" t="s">
        <v>35</v>
      </c>
    </row>
    <row r="8857" spans="1:8" ht="14.4" x14ac:dyDescent="0.3">
      <c r="A8857" s="8">
        <v>2042494</v>
      </c>
      <c r="B8857" s="11">
        <v>44783</v>
      </c>
      <c r="C8857" s="13" t="s">
        <v>1584</v>
      </c>
      <c r="D8857" s="13" t="s">
        <v>10826</v>
      </c>
      <c r="E8857" s="8">
        <v>27796.61</v>
      </c>
      <c r="F8857" s="13" t="s">
        <v>70</v>
      </c>
      <c r="G8857" s="14">
        <v>44789</v>
      </c>
      <c r="H8857" s="13" t="s">
        <v>35</v>
      </c>
    </row>
    <row r="8858" spans="1:8" ht="14.4" x14ac:dyDescent="0.3">
      <c r="A8858" s="8">
        <v>2042495</v>
      </c>
      <c r="B8858" s="11">
        <v>44783</v>
      </c>
      <c r="C8858" s="13" t="s">
        <v>1342</v>
      </c>
      <c r="D8858" s="13" t="s">
        <v>10827</v>
      </c>
      <c r="E8858" s="8">
        <v>44590</v>
      </c>
      <c r="F8858" s="13" t="s">
        <v>70</v>
      </c>
      <c r="G8858" s="14">
        <v>44791</v>
      </c>
      <c r="H8858" s="13" t="s">
        <v>35</v>
      </c>
    </row>
    <row r="8859" spans="1:8" ht="14.4" x14ac:dyDescent="0.3">
      <c r="A8859" s="8">
        <v>2042496</v>
      </c>
      <c r="B8859" s="11">
        <v>44783</v>
      </c>
      <c r="C8859" s="13" t="s">
        <v>1581</v>
      </c>
      <c r="D8859" s="13" t="s">
        <v>10828</v>
      </c>
      <c r="E8859" s="8">
        <v>19875</v>
      </c>
      <c r="F8859" s="13" t="s">
        <v>70</v>
      </c>
      <c r="G8859" s="14">
        <v>44795</v>
      </c>
      <c r="H8859" s="13" t="s">
        <v>35</v>
      </c>
    </row>
    <row r="8860" spans="1:8" ht="14.4" x14ac:dyDescent="0.3">
      <c r="A8860" s="8">
        <v>2042497</v>
      </c>
      <c r="B8860" s="11">
        <v>44783</v>
      </c>
      <c r="C8860" s="13" t="s">
        <v>245</v>
      </c>
      <c r="D8860" s="13" t="s">
        <v>3715</v>
      </c>
      <c r="E8860" s="8">
        <v>61165</v>
      </c>
      <c r="F8860" s="13" t="s">
        <v>70</v>
      </c>
      <c r="G8860" s="14">
        <v>44791</v>
      </c>
      <c r="H8860" s="13" t="s">
        <v>35</v>
      </c>
    </row>
    <row r="8861" spans="1:8" ht="14.4" x14ac:dyDescent="0.3">
      <c r="A8861" s="8">
        <v>2042498</v>
      </c>
      <c r="B8861" s="11">
        <v>44783</v>
      </c>
      <c r="C8861" s="13" t="s">
        <v>1784</v>
      </c>
      <c r="D8861" s="13" t="s">
        <v>8700</v>
      </c>
      <c r="E8861" s="8">
        <v>8500</v>
      </c>
      <c r="F8861" s="13" t="s">
        <v>70</v>
      </c>
      <c r="G8861" s="14">
        <v>44792</v>
      </c>
      <c r="H8861" s="13" t="s">
        <v>35</v>
      </c>
    </row>
    <row r="8862" spans="1:8" ht="14.4" x14ac:dyDescent="0.3">
      <c r="A8862" s="8">
        <v>2042499</v>
      </c>
      <c r="B8862" s="11">
        <v>44783</v>
      </c>
      <c r="C8862" s="13" t="s">
        <v>1420</v>
      </c>
      <c r="D8862" s="13" t="s">
        <v>10829</v>
      </c>
      <c r="E8862" s="8">
        <v>129158.16</v>
      </c>
      <c r="F8862" s="13" t="s">
        <v>70</v>
      </c>
      <c r="G8862" s="14">
        <v>44788</v>
      </c>
      <c r="H8862" s="13" t="s">
        <v>35</v>
      </c>
    </row>
    <row r="8863" spans="1:8" ht="14.4" x14ac:dyDescent="0.3">
      <c r="A8863" s="8">
        <v>2042500</v>
      </c>
      <c r="B8863" s="11">
        <v>44783</v>
      </c>
      <c r="C8863" s="13" t="s">
        <v>10822</v>
      </c>
      <c r="D8863" s="13" t="s">
        <v>10830</v>
      </c>
      <c r="E8863" s="8">
        <v>24314.28</v>
      </c>
      <c r="F8863" s="13" t="s">
        <v>70</v>
      </c>
      <c r="G8863" s="14">
        <v>44785</v>
      </c>
      <c r="H8863" s="13" t="s">
        <v>35</v>
      </c>
    </row>
    <row r="8864" spans="1:8" ht="14.4" x14ac:dyDescent="0.3">
      <c r="A8864" s="8">
        <v>2042501</v>
      </c>
      <c r="B8864" s="11">
        <v>44783</v>
      </c>
      <c r="C8864" s="13" t="s">
        <v>10822</v>
      </c>
      <c r="D8864" s="13" t="s">
        <v>10831</v>
      </c>
      <c r="E8864" s="8">
        <v>22137.5</v>
      </c>
      <c r="F8864" s="13" t="s">
        <v>70</v>
      </c>
      <c r="G8864" s="14">
        <v>44785</v>
      </c>
      <c r="H8864" s="13" t="s">
        <v>35</v>
      </c>
    </row>
    <row r="8865" spans="1:8" ht="14.4" x14ac:dyDescent="0.3">
      <c r="A8865" s="8">
        <v>2042502</v>
      </c>
      <c r="B8865" s="11">
        <v>44783</v>
      </c>
      <c r="C8865" s="13" t="s">
        <v>2711</v>
      </c>
      <c r="D8865" s="13" t="s">
        <v>10832</v>
      </c>
      <c r="E8865" s="8">
        <v>8091.96</v>
      </c>
      <c r="F8865" s="13" t="s">
        <v>70</v>
      </c>
      <c r="G8865" s="14">
        <v>44788</v>
      </c>
      <c r="H8865" s="13" t="s">
        <v>35</v>
      </c>
    </row>
    <row r="8866" spans="1:8" ht="14.4" x14ac:dyDescent="0.3">
      <c r="A8866" s="8">
        <v>2042503</v>
      </c>
      <c r="B8866" s="11">
        <v>44783</v>
      </c>
      <c r="C8866" s="13" t="s">
        <v>10822</v>
      </c>
      <c r="D8866" s="13" t="s">
        <v>10833</v>
      </c>
      <c r="E8866" s="8">
        <v>9216.9699999999993</v>
      </c>
      <c r="F8866" s="13" t="s">
        <v>70</v>
      </c>
      <c r="G8866" s="14">
        <v>44785</v>
      </c>
      <c r="H8866" s="13" t="s">
        <v>35</v>
      </c>
    </row>
    <row r="8867" spans="1:8" ht="14.4" x14ac:dyDescent="0.3">
      <c r="A8867" s="8">
        <v>2042504</v>
      </c>
      <c r="B8867" s="11">
        <v>44783</v>
      </c>
      <c r="C8867" s="13" t="s">
        <v>1718</v>
      </c>
      <c r="D8867" s="13" t="s">
        <v>10834</v>
      </c>
      <c r="E8867" s="8">
        <v>16875</v>
      </c>
      <c r="F8867" s="13" t="s">
        <v>70</v>
      </c>
      <c r="G8867" s="14">
        <v>44788</v>
      </c>
      <c r="H8867" s="13" t="s">
        <v>35</v>
      </c>
    </row>
    <row r="8868" spans="1:8" ht="14.4" x14ac:dyDescent="0.3">
      <c r="A8868" s="8">
        <v>2042505</v>
      </c>
      <c r="B8868" s="11">
        <v>44783</v>
      </c>
      <c r="C8868" s="13" t="s">
        <v>127</v>
      </c>
      <c r="D8868" s="13" t="s">
        <v>10835</v>
      </c>
      <c r="E8868" s="8">
        <v>1797877.42</v>
      </c>
      <c r="F8868" s="13" t="s">
        <v>70</v>
      </c>
      <c r="G8868" s="14">
        <v>44785</v>
      </c>
      <c r="H8868" s="13" t="s">
        <v>35</v>
      </c>
    </row>
    <row r="8869" spans="1:8" ht="14.4" x14ac:dyDescent="0.3">
      <c r="A8869" s="8">
        <v>2042506</v>
      </c>
      <c r="B8869" s="11">
        <v>44783</v>
      </c>
      <c r="C8869" s="13" t="s">
        <v>2204</v>
      </c>
      <c r="D8869" s="13" t="s">
        <v>10836</v>
      </c>
      <c r="E8869" s="8">
        <v>2407.8000000000002</v>
      </c>
      <c r="F8869" s="13" t="s">
        <v>70</v>
      </c>
      <c r="G8869" s="14">
        <v>44784</v>
      </c>
      <c r="H8869" s="13" t="s">
        <v>35</v>
      </c>
    </row>
    <row r="8870" spans="1:8" ht="14.4" x14ac:dyDescent="0.3">
      <c r="A8870" s="8">
        <v>2042507</v>
      </c>
      <c r="B8870" s="11">
        <v>44783</v>
      </c>
      <c r="C8870" s="13" t="s">
        <v>176</v>
      </c>
      <c r="D8870" s="13" t="s">
        <v>10745</v>
      </c>
      <c r="E8870" s="8">
        <v>105000</v>
      </c>
      <c r="F8870" s="13" t="s">
        <v>70</v>
      </c>
      <c r="G8870" s="14">
        <v>44788</v>
      </c>
      <c r="H8870" s="13" t="s">
        <v>35</v>
      </c>
    </row>
    <row r="8871" spans="1:8" ht="14.4" x14ac:dyDescent="0.3">
      <c r="A8871" s="8">
        <v>2042508</v>
      </c>
      <c r="B8871" s="11">
        <v>44783</v>
      </c>
      <c r="C8871" s="13" t="s">
        <v>37</v>
      </c>
      <c r="D8871" s="13" t="s">
        <v>10837</v>
      </c>
      <c r="E8871" s="8">
        <v>4732.1499999999996</v>
      </c>
      <c r="F8871" s="13" t="s">
        <v>70</v>
      </c>
      <c r="G8871" s="14">
        <v>44820</v>
      </c>
      <c r="H8871" s="13" t="s">
        <v>35</v>
      </c>
    </row>
    <row r="8872" spans="1:8" ht="14.4" x14ac:dyDescent="0.3">
      <c r="A8872" s="8">
        <v>2042509</v>
      </c>
      <c r="B8872" s="11">
        <v>44783</v>
      </c>
      <c r="C8872" s="13" t="s">
        <v>180</v>
      </c>
      <c r="D8872" s="13" t="s">
        <v>901</v>
      </c>
      <c r="E8872" s="8">
        <v>32355.15</v>
      </c>
      <c r="F8872" s="13" t="s">
        <v>70</v>
      </c>
      <c r="G8872" s="14">
        <v>44784</v>
      </c>
      <c r="H8872" s="13" t="s">
        <v>35</v>
      </c>
    </row>
    <row r="8873" spans="1:8" ht="14.4" x14ac:dyDescent="0.3">
      <c r="A8873" s="8">
        <v>2042510</v>
      </c>
      <c r="B8873" s="11">
        <v>44784</v>
      </c>
      <c r="C8873" s="13" t="s">
        <v>159</v>
      </c>
      <c r="D8873" s="13" t="s">
        <v>10838</v>
      </c>
      <c r="E8873" s="8">
        <v>260800</v>
      </c>
      <c r="F8873" s="13" t="s">
        <v>70</v>
      </c>
      <c r="G8873" s="14">
        <v>44785</v>
      </c>
      <c r="H8873" s="13" t="s">
        <v>35</v>
      </c>
    </row>
    <row r="8874" spans="1:8" ht="14.4" x14ac:dyDescent="0.3">
      <c r="A8874" s="8">
        <v>2042512</v>
      </c>
      <c r="B8874" s="11">
        <v>44784</v>
      </c>
      <c r="C8874" s="13" t="s">
        <v>10839</v>
      </c>
      <c r="D8874" s="13" t="s">
        <v>10840</v>
      </c>
      <c r="E8874" s="8">
        <v>15000</v>
      </c>
      <c r="F8874" s="13" t="s">
        <v>70</v>
      </c>
      <c r="G8874" s="14">
        <v>44784</v>
      </c>
      <c r="H8874" s="13" t="s">
        <v>35</v>
      </c>
    </row>
    <row r="8875" spans="1:8" ht="14.4" x14ac:dyDescent="0.3">
      <c r="A8875" s="8">
        <v>2042513</v>
      </c>
      <c r="B8875" s="11">
        <v>44784</v>
      </c>
      <c r="C8875" s="13" t="s">
        <v>10841</v>
      </c>
      <c r="D8875" s="13" t="s">
        <v>10842</v>
      </c>
      <c r="E8875" s="8">
        <v>10000</v>
      </c>
      <c r="F8875" s="13" t="s">
        <v>70</v>
      </c>
      <c r="G8875" s="14">
        <v>44792</v>
      </c>
      <c r="H8875" s="13" t="s">
        <v>35</v>
      </c>
    </row>
    <row r="8876" spans="1:8" ht="14.4" x14ac:dyDescent="0.3">
      <c r="A8876" s="8">
        <v>2042514</v>
      </c>
      <c r="B8876" s="11">
        <v>44784</v>
      </c>
      <c r="C8876" s="13" t="s">
        <v>125</v>
      </c>
      <c r="D8876" s="13" t="s">
        <v>10843</v>
      </c>
      <c r="E8876" s="8">
        <v>32886</v>
      </c>
      <c r="F8876" s="13" t="s">
        <v>70</v>
      </c>
      <c r="G8876" s="14">
        <v>44804</v>
      </c>
      <c r="H8876" s="13" t="s">
        <v>35</v>
      </c>
    </row>
    <row r="8877" spans="1:8" ht="14.4" x14ac:dyDescent="0.3">
      <c r="A8877" s="8">
        <v>2042515</v>
      </c>
      <c r="B8877" s="11">
        <v>44784</v>
      </c>
      <c r="C8877" s="13" t="s">
        <v>1286</v>
      </c>
      <c r="D8877" s="13" t="s">
        <v>10844</v>
      </c>
      <c r="E8877" s="8">
        <v>21650.33</v>
      </c>
      <c r="F8877" s="13" t="s">
        <v>70</v>
      </c>
      <c r="G8877" s="14">
        <v>44790</v>
      </c>
      <c r="H8877" s="13" t="s">
        <v>35</v>
      </c>
    </row>
    <row r="8878" spans="1:8" ht="14.4" x14ac:dyDescent="0.3">
      <c r="A8878" s="8">
        <v>2042516</v>
      </c>
      <c r="B8878" s="11">
        <v>44784</v>
      </c>
      <c r="C8878" s="13" t="s">
        <v>10845</v>
      </c>
      <c r="D8878" s="13" t="s">
        <v>10846</v>
      </c>
      <c r="E8878" s="8">
        <v>8000</v>
      </c>
      <c r="F8878" s="13" t="s">
        <v>70</v>
      </c>
      <c r="G8878" s="14">
        <v>44806</v>
      </c>
      <c r="H8878" s="13" t="s">
        <v>35</v>
      </c>
    </row>
    <row r="8879" spans="1:8" ht="14.4" x14ac:dyDescent="0.3">
      <c r="A8879" s="8">
        <v>2042517</v>
      </c>
      <c r="B8879" s="11">
        <v>44784</v>
      </c>
      <c r="C8879" s="13" t="s">
        <v>502</v>
      </c>
      <c r="D8879" s="13" t="s">
        <v>10847</v>
      </c>
      <c r="E8879" s="8">
        <v>20000</v>
      </c>
      <c r="F8879" s="13" t="s">
        <v>70</v>
      </c>
      <c r="G8879" s="14">
        <v>44785</v>
      </c>
      <c r="H8879" s="13" t="s">
        <v>35</v>
      </c>
    </row>
    <row r="8880" spans="1:8" ht="14.4" x14ac:dyDescent="0.3">
      <c r="A8880" s="8">
        <v>2042518</v>
      </c>
      <c r="B8880" s="11">
        <v>44784</v>
      </c>
      <c r="C8880" s="13" t="s">
        <v>282</v>
      </c>
      <c r="D8880" s="13" t="s">
        <v>10848</v>
      </c>
      <c r="E8880" s="8">
        <v>20000</v>
      </c>
      <c r="F8880" s="13" t="s">
        <v>70</v>
      </c>
      <c r="G8880" s="14">
        <v>44784</v>
      </c>
      <c r="H8880" s="13" t="s">
        <v>35</v>
      </c>
    </row>
    <row r="8881" spans="1:8" ht="14.4" x14ac:dyDescent="0.3">
      <c r="A8881" s="8">
        <v>2042520</v>
      </c>
      <c r="B8881" s="11">
        <v>44784</v>
      </c>
      <c r="C8881" s="13" t="s">
        <v>748</v>
      </c>
      <c r="D8881" s="13" t="s">
        <v>10849</v>
      </c>
      <c r="E8881" s="8">
        <v>30212.12</v>
      </c>
      <c r="F8881" s="13" t="s">
        <v>70</v>
      </c>
      <c r="G8881" s="14">
        <v>44790</v>
      </c>
      <c r="H8881" s="13" t="s">
        <v>35</v>
      </c>
    </row>
    <row r="8882" spans="1:8" ht="14.4" x14ac:dyDescent="0.3">
      <c r="A8882" s="8">
        <v>2042521</v>
      </c>
      <c r="B8882" s="11">
        <v>44784</v>
      </c>
      <c r="C8882" s="13" t="s">
        <v>2395</v>
      </c>
      <c r="D8882" s="13" t="s">
        <v>10850</v>
      </c>
      <c r="E8882" s="8">
        <v>19159</v>
      </c>
      <c r="F8882" s="13" t="s">
        <v>70</v>
      </c>
      <c r="G8882" s="14">
        <v>44789</v>
      </c>
      <c r="H8882" s="13" t="s">
        <v>35</v>
      </c>
    </row>
    <row r="8883" spans="1:8" ht="14.4" x14ac:dyDescent="0.3">
      <c r="A8883" s="8">
        <v>2042522</v>
      </c>
      <c r="B8883" s="11">
        <v>44784</v>
      </c>
      <c r="C8883" s="13" t="s">
        <v>1745</v>
      </c>
      <c r="D8883" s="13" t="s">
        <v>10851</v>
      </c>
      <c r="E8883" s="8">
        <v>4140.5</v>
      </c>
      <c r="F8883" s="13" t="s">
        <v>70</v>
      </c>
      <c r="G8883" s="14">
        <v>44796</v>
      </c>
      <c r="H8883" s="13" t="s">
        <v>35</v>
      </c>
    </row>
    <row r="8884" spans="1:8" ht="14.4" x14ac:dyDescent="0.3">
      <c r="A8884" s="8">
        <v>2042523</v>
      </c>
      <c r="B8884" s="11">
        <v>44784</v>
      </c>
      <c r="C8884" s="13" t="s">
        <v>1784</v>
      </c>
      <c r="D8884" s="13" t="s">
        <v>10852</v>
      </c>
      <c r="E8884" s="8">
        <v>3000</v>
      </c>
      <c r="F8884" s="13" t="s">
        <v>70</v>
      </c>
      <c r="G8884" s="14">
        <v>44792</v>
      </c>
      <c r="H8884" s="13" t="s">
        <v>35</v>
      </c>
    </row>
    <row r="8885" spans="1:8" ht="14.4" x14ac:dyDescent="0.3">
      <c r="A8885" s="8">
        <v>2042524</v>
      </c>
      <c r="B8885" s="11">
        <v>44784</v>
      </c>
      <c r="C8885" s="13" t="s">
        <v>10853</v>
      </c>
      <c r="D8885" s="13" t="s">
        <v>10854</v>
      </c>
      <c r="E8885" s="8">
        <v>50000</v>
      </c>
      <c r="F8885" s="13" t="s">
        <v>70</v>
      </c>
      <c r="G8885" s="14">
        <v>44792</v>
      </c>
      <c r="H8885" s="13" t="s">
        <v>35</v>
      </c>
    </row>
    <row r="8886" spans="1:8" ht="14.4" x14ac:dyDescent="0.3">
      <c r="A8886" s="8">
        <v>2042525</v>
      </c>
      <c r="B8886" s="11">
        <v>44784</v>
      </c>
      <c r="C8886" s="13" t="s">
        <v>10855</v>
      </c>
      <c r="D8886" s="13" t="s">
        <v>10856</v>
      </c>
      <c r="E8886" s="8">
        <v>10000</v>
      </c>
      <c r="F8886" s="13" t="s">
        <v>70</v>
      </c>
      <c r="G8886" s="14">
        <v>44789</v>
      </c>
      <c r="H8886" s="13" t="s">
        <v>35</v>
      </c>
    </row>
    <row r="8887" spans="1:8" ht="14.4" x14ac:dyDescent="0.3">
      <c r="A8887" s="8">
        <v>2042526</v>
      </c>
      <c r="B8887" s="11">
        <v>44784</v>
      </c>
      <c r="C8887" s="13" t="s">
        <v>10857</v>
      </c>
      <c r="D8887" s="13" t="s">
        <v>10858</v>
      </c>
      <c r="E8887" s="8">
        <v>50000</v>
      </c>
      <c r="F8887" s="13" t="s">
        <v>70</v>
      </c>
      <c r="G8887" s="14">
        <v>44792</v>
      </c>
      <c r="H8887" s="13" t="s">
        <v>35</v>
      </c>
    </row>
    <row r="8888" spans="1:8" ht="14.4" x14ac:dyDescent="0.3">
      <c r="A8888" s="8">
        <v>2042527</v>
      </c>
      <c r="B8888" s="11">
        <v>44784</v>
      </c>
      <c r="C8888" s="13" t="s">
        <v>10859</v>
      </c>
      <c r="D8888" s="13" t="s">
        <v>10860</v>
      </c>
      <c r="E8888" s="8">
        <v>10000</v>
      </c>
      <c r="F8888" s="13" t="s">
        <v>70</v>
      </c>
      <c r="G8888" s="14">
        <v>44784</v>
      </c>
      <c r="H8888" s="13" t="s">
        <v>35</v>
      </c>
    </row>
    <row r="8889" spans="1:8" ht="14.4" x14ac:dyDescent="0.3">
      <c r="A8889" s="8">
        <v>2042528</v>
      </c>
      <c r="B8889" s="11">
        <v>44784</v>
      </c>
      <c r="C8889" s="13" t="s">
        <v>10861</v>
      </c>
      <c r="D8889" s="13" t="s">
        <v>10862</v>
      </c>
      <c r="E8889" s="8">
        <v>20000</v>
      </c>
      <c r="F8889" s="13" t="s">
        <v>70</v>
      </c>
      <c r="G8889" s="14">
        <v>44792</v>
      </c>
      <c r="H8889" s="13" t="s">
        <v>35</v>
      </c>
    </row>
    <row r="8890" spans="1:8" ht="14.4" x14ac:dyDescent="0.3">
      <c r="A8890" s="8">
        <v>2042529</v>
      </c>
      <c r="B8890" s="11">
        <v>44784</v>
      </c>
      <c r="C8890" s="13" t="s">
        <v>10863</v>
      </c>
      <c r="D8890" s="13" t="s">
        <v>10864</v>
      </c>
      <c r="E8890" s="8">
        <v>8000</v>
      </c>
      <c r="F8890" s="13" t="s">
        <v>70</v>
      </c>
      <c r="G8890" s="14">
        <v>44792</v>
      </c>
      <c r="H8890" s="13" t="s">
        <v>35</v>
      </c>
    </row>
    <row r="8891" spans="1:8" ht="14.4" x14ac:dyDescent="0.3">
      <c r="A8891" s="8">
        <v>2042530</v>
      </c>
      <c r="B8891" s="11">
        <v>44784</v>
      </c>
      <c r="C8891" s="13" t="s">
        <v>10865</v>
      </c>
      <c r="D8891" s="13" t="s">
        <v>10866</v>
      </c>
      <c r="E8891" s="8">
        <v>10000</v>
      </c>
      <c r="F8891" s="13" t="s">
        <v>70</v>
      </c>
      <c r="G8891" s="14">
        <v>44792</v>
      </c>
      <c r="H8891" s="13" t="s">
        <v>35</v>
      </c>
    </row>
    <row r="8892" spans="1:8" ht="14.4" x14ac:dyDescent="0.3">
      <c r="A8892" s="8">
        <v>2042531</v>
      </c>
      <c r="B8892" s="11">
        <v>44784</v>
      </c>
      <c r="C8892" s="13" t="s">
        <v>10867</v>
      </c>
      <c r="D8892" s="13" t="s">
        <v>10868</v>
      </c>
      <c r="E8892" s="8">
        <v>10000</v>
      </c>
      <c r="F8892" s="13" t="s">
        <v>70</v>
      </c>
      <c r="G8892" s="14">
        <v>44792</v>
      </c>
      <c r="H8892" s="13" t="s">
        <v>35</v>
      </c>
    </row>
    <row r="8893" spans="1:8" ht="14.4" x14ac:dyDescent="0.3">
      <c r="A8893" s="8">
        <v>2042532</v>
      </c>
      <c r="B8893" s="11">
        <v>44784</v>
      </c>
      <c r="C8893" s="13" t="s">
        <v>10869</v>
      </c>
      <c r="D8893" s="13" t="s">
        <v>10870</v>
      </c>
      <c r="E8893" s="8">
        <v>20000</v>
      </c>
      <c r="F8893" s="13" t="s">
        <v>70</v>
      </c>
      <c r="G8893" s="14">
        <v>44792</v>
      </c>
      <c r="H8893" s="13" t="s">
        <v>35</v>
      </c>
    </row>
    <row r="8894" spans="1:8" ht="14.4" x14ac:dyDescent="0.3">
      <c r="A8894" s="8">
        <v>2042533</v>
      </c>
      <c r="B8894" s="11">
        <v>44784</v>
      </c>
      <c r="C8894" s="13" t="s">
        <v>990</v>
      </c>
      <c r="D8894" s="13" t="s">
        <v>10871</v>
      </c>
      <c r="E8894" s="8">
        <v>3046.87</v>
      </c>
      <c r="F8894" s="13" t="s">
        <v>70</v>
      </c>
      <c r="G8894" s="14">
        <v>44791</v>
      </c>
      <c r="H8894" s="13" t="s">
        <v>35</v>
      </c>
    </row>
    <row r="8895" spans="1:8" ht="14.4" x14ac:dyDescent="0.3">
      <c r="A8895" s="8">
        <v>2042534</v>
      </c>
      <c r="B8895" s="11">
        <v>44784</v>
      </c>
      <c r="C8895" s="13" t="s">
        <v>44</v>
      </c>
      <c r="D8895" s="13" t="s">
        <v>10872</v>
      </c>
      <c r="E8895" s="8">
        <v>776.67</v>
      </c>
      <c r="F8895" s="13" t="s">
        <v>70</v>
      </c>
      <c r="G8895" s="14">
        <v>44791</v>
      </c>
      <c r="H8895" s="13" t="s">
        <v>35</v>
      </c>
    </row>
    <row r="8896" spans="1:8" ht="14.4" x14ac:dyDescent="0.3">
      <c r="A8896" s="8">
        <v>2042535</v>
      </c>
      <c r="B8896" s="11">
        <v>44784</v>
      </c>
      <c r="C8896" s="13" t="s">
        <v>893</v>
      </c>
      <c r="D8896" s="13" t="s">
        <v>10873</v>
      </c>
      <c r="E8896" s="8">
        <v>391500</v>
      </c>
      <c r="F8896" s="13" t="s">
        <v>70</v>
      </c>
      <c r="G8896" s="14">
        <v>44789</v>
      </c>
      <c r="H8896" s="13" t="s">
        <v>35</v>
      </c>
    </row>
    <row r="8897" spans="1:8" ht="14.4" x14ac:dyDescent="0.3">
      <c r="A8897" s="8">
        <v>2042536</v>
      </c>
      <c r="B8897" s="11">
        <v>44784</v>
      </c>
      <c r="C8897" s="13" t="s">
        <v>405</v>
      </c>
      <c r="D8897" s="13" t="s">
        <v>10874</v>
      </c>
      <c r="E8897" s="8">
        <v>9145.1200000000008</v>
      </c>
      <c r="F8897" s="13" t="s">
        <v>70</v>
      </c>
      <c r="G8897" s="14">
        <v>44790</v>
      </c>
      <c r="H8897" s="13" t="s">
        <v>35</v>
      </c>
    </row>
    <row r="8898" spans="1:8" ht="14.4" x14ac:dyDescent="0.3">
      <c r="A8898" s="8">
        <v>2042537</v>
      </c>
      <c r="B8898" s="11">
        <v>44784</v>
      </c>
      <c r="C8898" s="13" t="s">
        <v>376</v>
      </c>
      <c r="D8898" s="13" t="s">
        <v>10875</v>
      </c>
      <c r="E8898" s="8">
        <v>61691</v>
      </c>
      <c r="F8898" s="13" t="s">
        <v>70</v>
      </c>
      <c r="G8898" s="14">
        <v>44790</v>
      </c>
      <c r="H8898" s="13" t="s">
        <v>35</v>
      </c>
    </row>
    <row r="8899" spans="1:8" ht="14.4" x14ac:dyDescent="0.3">
      <c r="A8899" s="8">
        <v>2042538</v>
      </c>
      <c r="B8899" s="11">
        <v>44784</v>
      </c>
      <c r="C8899" s="13" t="s">
        <v>7350</v>
      </c>
      <c r="D8899" s="13" t="s">
        <v>10876</v>
      </c>
      <c r="E8899" s="8">
        <v>7700</v>
      </c>
      <c r="F8899" s="13" t="s">
        <v>70</v>
      </c>
      <c r="G8899" s="14">
        <v>44785</v>
      </c>
      <c r="H8899" s="13" t="s">
        <v>35</v>
      </c>
    </row>
    <row r="8900" spans="1:8" ht="14.4" x14ac:dyDescent="0.3">
      <c r="A8900" s="8">
        <v>2042539</v>
      </c>
      <c r="B8900" s="11">
        <v>44784</v>
      </c>
      <c r="C8900" s="13" t="s">
        <v>201</v>
      </c>
      <c r="D8900" s="13" t="s">
        <v>10635</v>
      </c>
      <c r="E8900" s="8">
        <v>11049.22</v>
      </c>
      <c r="F8900" s="13" t="s">
        <v>70</v>
      </c>
      <c r="G8900" s="14">
        <v>44789</v>
      </c>
      <c r="H8900" s="13" t="s">
        <v>35</v>
      </c>
    </row>
    <row r="8901" spans="1:8" ht="14.4" x14ac:dyDescent="0.3">
      <c r="A8901" s="8">
        <v>2042540</v>
      </c>
      <c r="B8901" s="11">
        <v>44784</v>
      </c>
      <c r="C8901" s="13" t="s">
        <v>405</v>
      </c>
      <c r="D8901" s="13" t="s">
        <v>10877</v>
      </c>
      <c r="E8901" s="8">
        <v>65283.98</v>
      </c>
      <c r="F8901" s="13" t="s">
        <v>70</v>
      </c>
      <c r="G8901" s="14">
        <v>44790</v>
      </c>
      <c r="H8901" s="13" t="s">
        <v>35</v>
      </c>
    </row>
    <row r="8902" spans="1:8" ht="14.4" x14ac:dyDescent="0.3">
      <c r="A8902" s="8">
        <v>2042541</v>
      </c>
      <c r="B8902" s="11">
        <v>44785</v>
      </c>
      <c r="C8902" s="13" t="s">
        <v>4828</v>
      </c>
      <c r="D8902" s="13" t="s">
        <v>10878</v>
      </c>
      <c r="E8902" s="8">
        <v>87878.55</v>
      </c>
      <c r="F8902" s="13" t="s">
        <v>70</v>
      </c>
      <c r="G8902" s="14">
        <v>44785</v>
      </c>
      <c r="H8902" s="13" t="s">
        <v>35</v>
      </c>
    </row>
    <row r="8903" spans="1:8" ht="14.4" x14ac:dyDescent="0.3">
      <c r="A8903" s="8">
        <v>2042542</v>
      </c>
      <c r="B8903" s="11">
        <v>44785</v>
      </c>
      <c r="C8903" s="13" t="s">
        <v>2571</v>
      </c>
      <c r="D8903" s="13" t="s">
        <v>10879</v>
      </c>
      <c r="E8903" s="8">
        <v>20000</v>
      </c>
      <c r="F8903" s="13" t="s">
        <v>70</v>
      </c>
      <c r="G8903" s="14">
        <v>44791</v>
      </c>
      <c r="H8903" s="13" t="s">
        <v>35</v>
      </c>
    </row>
    <row r="8904" spans="1:8" ht="14.4" x14ac:dyDescent="0.3">
      <c r="A8904" s="8">
        <v>2042543</v>
      </c>
      <c r="B8904" s="11">
        <v>44785</v>
      </c>
      <c r="C8904" s="13" t="s">
        <v>202</v>
      </c>
      <c r="D8904" s="13" t="s">
        <v>34</v>
      </c>
      <c r="E8904" s="8">
        <v>14116.53</v>
      </c>
      <c r="F8904" s="13" t="s">
        <v>70</v>
      </c>
      <c r="G8904" s="14">
        <v>44791</v>
      </c>
      <c r="H8904" s="13" t="s">
        <v>35</v>
      </c>
    </row>
    <row r="8905" spans="1:8" ht="14.4" x14ac:dyDescent="0.3">
      <c r="A8905" s="8">
        <v>2042544</v>
      </c>
      <c r="B8905" s="11">
        <v>44785</v>
      </c>
      <c r="C8905" s="13" t="s">
        <v>1670</v>
      </c>
      <c r="D8905" s="13" t="s">
        <v>10880</v>
      </c>
      <c r="E8905" s="8">
        <v>22428</v>
      </c>
      <c r="F8905" s="13" t="s">
        <v>70</v>
      </c>
      <c r="G8905" s="14">
        <v>44809</v>
      </c>
      <c r="H8905" s="13" t="s">
        <v>35</v>
      </c>
    </row>
    <row r="8906" spans="1:8" ht="14.4" x14ac:dyDescent="0.3">
      <c r="A8906" s="8">
        <v>2042545</v>
      </c>
      <c r="B8906" s="11">
        <v>44785</v>
      </c>
      <c r="C8906" s="13" t="s">
        <v>265</v>
      </c>
      <c r="D8906" s="13" t="s">
        <v>10881</v>
      </c>
      <c r="E8906" s="8">
        <v>71640</v>
      </c>
      <c r="F8906" s="13" t="s">
        <v>70</v>
      </c>
      <c r="G8906" s="14">
        <v>44789</v>
      </c>
      <c r="H8906" s="13" t="s">
        <v>35</v>
      </c>
    </row>
    <row r="8907" spans="1:8" ht="14.4" x14ac:dyDescent="0.3">
      <c r="A8907" s="8">
        <v>2042546</v>
      </c>
      <c r="B8907" s="11">
        <v>44785</v>
      </c>
      <c r="C8907" s="13" t="s">
        <v>10882</v>
      </c>
      <c r="D8907" s="13" t="s">
        <v>10883</v>
      </c>
      <c r="E8907" s="8">
        <v>25000</v>
      </c>
      <c r="F8907" s="13" t="s">
        <v>70</v>
      </c>
      <c r="G8907" s="14">
        <v>44792</v>
      </c>
      <c r="H8907" s="13" t="s">
        <v>35</v>
      </c>
    </row>
    <row r="8908" spans="1:8" ht="14.4" x14ac:dyDescent="0.3">
      <c r="A8908" s="8">
        <v>2042547</v>
      </c>
      <c r="B8908" s="11">
        <v>44785</v>
      </c>
      <c r="C8908" s="13" t="s">
        <v>10884</v>
      </c>
      <c r="D8908" s="13" t="s">
        <v>10885</v>
      </c>
      <c r="E8908" s="8">
        <v>14000</v>
      </c>
      <c r="F8908" s="13" t="s">
        <v>70</v>
      </c>
      <c r="G8908" s="14">
        <v>44788</v>
      </c>
      <c r="H8908" s="13" t="s">
        <v>35</v>
      </c>
    </row>
    <row r="8909" spans="1:8" ht="14.4" x14ac:dyDescent="0.3">
      <c r="A8909" s="8">
        <v>2042548</v>
      </c>
      <c r="B8909" s="11">
        <v>44785</v>
      </c>
      <c r="C8909" s="13" t="s">
        <v>10886</v>
      </c>
      <c r="D8909" s="13" t="s">
        <v>10887</v>
      </c>
      <c r="E8909" s="8">
        <v>15000</v>
      </c>
      <c r="F8909" s="13" t="s">
        <v>70</v>
      </c>
      <c r="G8909" s="14">
        <v>44792</v>
      </c>
      <c r="H8909" s="13" t="s">
        <v>35</v>
      </c>
    </row>
    <row r="8910" spans="1:8" ht="14.4" x14ac:dyDescent="0.3">
      <c r="A8910" s="8">
        <v>2042549</v>
      </c>
      <c r="B8910" s="11">
        <v>44785</v>
      </c>
      <c r="C8910" s="13" t="s">
        <v>2987</v>
      </c>
      <c r="D8910" s="13" t="s">
        <v>10888</v>
      </c>
      <c r="E8910" s="8">
        <v>10000</v>
      </c>
      <c r="F8910" s="13" t="s">
        <v>70</v>
      </c>
      <c r="G8910" s="14">
        <v>44789</v>
      </c>
      <c r="H8910" s="13" t="s">
        <v>35</v>
      </c>
    </row>
    <row r="8911" spans="1:8" ht="14.4" x14ac:dyDescent="0.3">
      <c r="A8911" s="8">
        <v>2042550</v>
      </c>
      <c r="B8911" s="11">
        <v>44785</v>
      </c>
      <c r="C8911" s="13" t="s">
        <v>2987</v>
      </c>
      <c r="D8911" s="13" t="s">
        <v>10889</v>
      </c>
      <c r="E8911" s="8">
        <v>10500</v>
      </c>
      <c r="F8911" s="13" t="s">
        <v>70</v>
      </c>
      <c r="G8911" s="14">
        <v>44789</v>
      </c>
      <c r="H8911" s="13" t="s">
        <v>35</v>
      </c>
    </row>
    <row r="8912" spans="1:8" ht="14.4" x14ac:dyDescent="0.3">
      <c r="A8912" s="8">
        <v>2042551</v>
      </c>
      <c r="B8912" s="11">
        <v>44785</v>
      </c>
      <c r="C8912" s="13" t="s">
        <v>10890</v>
      </c>
      <c r="D8912" s="13" t="s">
        <v>10891</v>
      </c>
      <c r="E8912" s="8">
        <v>9000</v>
      </c>
      <c r="F8912" s="13" t="s">
        <v>70</v>
      </c>
      <c r="G8912" s="14">
        <v>44788</v>
      </c>
      <c r="H8912" s="13" t="s">
        <v>35</v>
      </c>
    </row>
    <row r="8913" spans="1:8" ht="14.4" x14ac:dyDescent="0.3">
      <c r="A8913" s="8">
        <v>2042552</v>
      </c>
      <c r="B8913" s="11">
        <v>44785</v>
      </c>
      <c r="C8913" s="13" t="s">
        <v>10892</v>
      </c>
      <c r="D8913" s="13" t="s">
        <v>10893</v>
      </c>
      <c r="E8913" s="8">
        <v>15000</v>
      </c>
      <c r="F8913" s="13" t="s">
        <v>70</v>
      </c>
      <c r="G8913" s="14">
        <v>44789</v>
      </c>
      <c r="H8913" s="13" t="s">
        <v>35</v>
      </c>
    </row>
    <row r="8914" spans="1:8" ht="14.4" x14ac:dyDescent="0.3">
      <c r="A8914" s="8">
        <v>2042553</v>
      </c>
      <c r="B8914" s="11">
        <v>44785</v>
      </c>
      <c r="C8914" s="13" t="s">
        <v>10894</v>
      </c>
      <c r="D8914" s="13" t="s">
        <v>10895</v>
      </c>
      <c r="E8914" s="8">
        <v>11000</v>
      </c>
      <c r="F8914" s="13" t="s">
        <v>70</v>
      </c>
      <c r="G8914" s="14">
        <v>44809</v>
      </c>
      <c r="H8914" s="13" t="s">
        <v>35</v>
      </c>
    </row>
    <row r="8915" spans="1:8" ht="14.4" x14ac:dyDescent="0.3">
      <c r="A8915" s="8">
        <v>2042554</v>
      </c>
      <c r="B8915" s="11">
        <v>44785</v>
      </c>
      <c r="C8915" s="13" t="s">
        <v>10896</v>
      </c>
      <c r="D8915" s="13" t="s">
        <v>10897</v>
      </c>
      <c r="E8915" s="8">
        <v>15000</v>
      </c>
      <c r="F8915" s="13" t="s">
        <v>70</v>
      </c>
      <c r="G8915" s="14">
        <v>44789</v>
      </c>
      <c r="H8915" s="13" t="s">
        <v>35</v>
      </c>
    </row>
    <row r="8916" spans="1:8" ht="14.4" x14ac:dyDescent="0.3">
      <c r="A8916" s="8">
        <v>2042555</v>
      </c>
      <c r="B8916" s="11">
        <v>44785</v>
      </c>
      <c r="C8916" s="13" t="s">
        <v>10898</v>
      </c>
      <c r="D8916" s="13" t="s">
        <v>10899</v>
      </c>
      <c r="E8916" s="8">
        <v>14900</v>
      </c>
      <c r="F8916" s="13" t="s">
        <v>70</v>
      </c>
      <c r="G8916" s="14">
        <v>44789</v>
      </c>
      <c r="H8916" s="13" t="s">
        <v>35</v>
      </c>
    </row>
    <row r="8917" spans="1:8" ht="14.4" x14ac:dyDescent="0.3">
      <c r="A8917" s="8">
        <v>2042556</v>
      </c>
      <c r="B8917" s="11">
        <v>44785</v>
      </c>
      <c r="C8917" s="13" t="s">
        <v>10900</v>
      </c>
      <c r="D8917" s="13" t="s">
        <v>10901</v>
      </c>
      <c r="E8917" s="8">
        <v>15000</v>
      </c>
      <c r="F8917" s="13" t="s">
        <v>70</v>
      </c>
      <c r="G8917" s="14">
        <v>44788</v>
      </c>
      <c r="H8917" s="13" t="s">
        <v>35</v>
      </c>
    </row>
    <row r="8918" spans="1:8" ht="14.4" x14ac:dyDescent="0.3">
      <c r="A8918" s="8">
        <v>2042557</v>
      </c>
      <c r="B8918" s="11">
        <v>44785</v>
      </c>
      <c r="C8918" s="13" t="s">
        <v>10902</v>
      </c>
      <c r="D8918" s="13" t="s">
        <v>10903</v>
      </c>
      <c r="E8918" s="8">
        <v>14700</v>
      </c>
      <c r="F8918" s="13" t="s">
        <v>70</v>
      </c>
      <c r="G8918" s="14">
        <v>44792</v>
      </c>
      <c r="H8918" s="13" t="s">
        <v>35</v>
      </c>
    </row>
    <row r="8919" spans="1:8" ht="14.4" x14ac:dyDescent="0.3">
      <c r="A8919" s="8">
        <v>2042558</v>
      </c>
      <c r="B8919" s="11">
        <v>44785</v>
      </c>
      <c r="C8919" s="13" t="s">
        <v>10904</v>
      </c>
      <c r="D8919" s="13" t="s">
        <v>10905</v>
      </c>
      <c r="E8919" s="8">
        <v>11000</v>
      </c>
      <c r="F8919" s="13" t="s">
        <v>70</v>
      </c>
      <c r="G8919" s="14">
        <v>44792</v>
      </c>
      <c r="H8919" s="13" t="s">
        <v>35</v>
      </c>
    </row>
    <row r="8920" spans="1:8" ht="14.4" x14ac:dyDescent="0.3">
      <c r="A8920" s="8">
        <v>2042559</v>
      </c>
      <c r="B8920" s="11">
        <v>44785</v>
      </c>
      <c r="C8920" s="13" t="s">
        <v>2432</v>
      </c>
      <c r="D8920" s="13" t="s">
        <v>10906</v>
      </c>
      <c r="E8920" s="8">
        <v>6000</v>
      </c>
      <c r="F8920" s="13" t="s">
        <v>70</v>
      </c>
      <c r="G8920" s="14">
        <v>44788</v>
      </c>
      <c r="H8920" s="13" t="s">
        <v>35</v>
      </c>
    </row>
    <row r="8921" spans="1:8" ht="14.4" x14ac:dyDescent="0.3">
      <c r="A8921" s="8">
        <v>2042560</v>
      </c>
      <c r="B8921" s="11">
        <v>44785</v>
      </c>
      <c r="C8921" s="13" t="s">
        <v>10907</v>
      </c>
      <c r="D8921" s="13" t="s">
        <v>10908</v>
      </c>
      <c r="E8921" s="8">
        <v>25000</v>
      </c>
      <c r="F8921" s="13" t="s">
        <v>70</v>
      </c>
      <c r="G8921" s="14">
        <v>44790</v>
      </c>
      <c r="H8921" s="13" t="s">
        <v>35</v>
      </c>
    </row>
    <row r="8922" spans="1:8" ht="14.4" x14ac:dyDescent="0.3">
      <c r="A8922" s="8">
        <v>2042561</v>
      </c>
      <c r="B8922" s="11">
        <v>44785</v>
      </c>
      <c r="C8922" s="13" t="s">
        <v>10909</v>
      </c>
      <c r="D8922" s="13" t="s">
        <v>10910</v>
      </c>
      <c r="E8922" s="8">
        <v>12000</v>
      </c>
      <c r="F8922" s="13" t="s">
        <v>70</v>
      </c>
      <c r="G8922" s="14">
        <v>44790</v>
      </c>
      <c r="H8922" s="13" t="s">
        <v>35</v>
      </c>
    </row>
    <row r="8923" spans="1:8" ht="14.4" x14ac:dyDescent="0.3">
      <c r="A8923" s="8">
        <v>2042562</v>
      </c>
      <c r="B8923" s="11">
        <v>44785</v>
      </c>
      <c r="C8923" s="13" t="s">
        <v>10911</v>
      </c>
      <c r="D8923" s="13" t="s">
        <v>10912</v>
      </c>
      <c r="E8923" s="8">
        <v>11000</v>
      </c>
      <c r="F8923" s="13" t="s">
        <v>70</v>
      </c>
      <c r="G8923" s="14">
        <v>44790</v>
      </c>
      <c r="H8923" s="13" t="s">
        <v>35</v>
      </c>
    </row>
    <row r="8924" spans="1:8" ht="14.4" x14ac:dyDescent="0.3">
      <c r="A8924" s="8">
        <v>2042563</v>
      </c>
      <c r="B8924" s="11">
        <v>44785</v>
      </c>
      <c r="C8924" s="13" t="s">
        <v>361</v>
      </c>
      <c r="D8924" s="13" t="s">
        <v>10913</v>
      </c>
      <c r="E8924" s="8">
        <v>12281.25</v>
      </c>
      <c r="F8924" s="13" t="s">
        <v>70</v>
      </c>
      <c r="G8924" s="14">
        <v>44791</v>
      </c>
      <c r="H8924" s="13" t="s">
        <v>35</v>
      </c>
    </row>
    <row r="8925" spans="1:8" ht="14.4" x14ac:dyDescent="0.3">
      <c r="A8925" s="8">
        <v>2042564</v>
      </c>
      <c r="B8925" s="11">
        <v>44785</v>
      </c>
      <c r="C8925" s="13" t="s">
        <v>10914</v>
      </c>
      <c r="D8925" s="13" t="s">
        <v>10915</v>
      </c>
      <c r="E8925" s="8">
        <v>2948.13</v>
      </c>
      <c r="F8925" s="13" t="s">
        <v>70</v>
      </c>
      <c r="G8925" s="14">
        <v>44789</v>
      </c>
      <c r="H8925" s="13" t="s">
        <v>35</v>
      </c>
    </row>
    <row r="8926" spans="1:8" ht="14.4" x14ac:dyDescent="0.3">
      <c r="A8926" s="8">
        <v>2042565</v>
      </c>
      <c r="B8926" s="11">
        <v>44785</v>
      </c>
      <c r="C8926" s="13" t="s">
        <v>10914</v>
      </c>
      <c r="D8926" s="13" t="s">
        <v>10916</v>
      </c>
      <c r="E8926" s="8">
        <v>2252.5</v>
      </c>
      <c r="F8926" s="13" t="s">
        <v>70</v>
      </c>
      <c r="G8926" s="14">
        <v>44789</v>
      </c>
      <c r="H8926" s="13" t="s">
        <v>35</v>
      </c>
    </row>
    <row r="8927" spans="1:8" ht="14.4" x14ac:dyDescent="0.3">
      <c r="A8927" s="8">
        <v>2042566</v>
      </c>
      <c r="B8927" s="11">
        <v>44785</v>
      </c>
      <c r="C8927" s="13" t="s">
        <v>1342</v>
      </c>
      <c r="D8927" s="13" t="s">
        <v>10917</v>
      </c>
      <c r="E8927" s="8">
        <v>23520</v>
      </c>
      <c r="F8927" s="13" t="s">
        <v>70</v>
      </c>
      <c r="G8927" s="14">
        <v>44791</v>
      </c>
      <c r="H8927" s="13" t="s">
        <v>35</v>
      </c>
    </row>
    <row r="8928" spans="1:8" ht="14.4" x14ac:dyDescent="0.3">
      <c r="A8928" s="8">
        <v>2042567</v>
      </c>
      <c r="B8928" s="11">
        <v>44785</v>
      </c>
      <c r="C8928" s="13" t="s">
        <v>10918</v>
      </c>
      <c r="D8928" s="13" t="s">
        <v>10919</v>
      </c>
      <c r="E8928" s="8">
        <v>4575468.05</v>
      </c>
      <c r="F8928" s="13" t="s">
        <v>70</v>
      </c>
      <c r="G8928" s="14">
        <v>44791</v>
      </c>
      <c r="H8928" s="13" t="s">
        <v>35</v>
      </c>
    </row>
    <row r="8929" spans="1:8" ht="14.4" x14ac:dyDescent="0.3">
      <c r="A8929" s="8">
        <v>2042568</v>
      </c>
      <c r="B8929" s="11">
        <v>44785</v>
      </c>
      <c r="C8929" s="13" t="s">
        <v>1581</v>
      </c>
      <c r="D8929" s="13" t="s">
        <v>10920</v>
      </c>
      <c r="E8929" s="8">
        <v>14196.43</v>
      </c>
      <c r="F8929" s="13" t="s">
        <v>70</v>
      </c>
      <c r="G8929" s="14">
        <v>44795</v>
      </c>
      <c r="H8929" s="13" t="s">
        <v>35</v>
      </c>
    </row>
    <row r="8930" spans="1:8" ht="14.4" x14ac:dyDescent="0.3">
      <c r="A8930" s="8">
        <v>2042569</v>
      </c>
      <c r="B8930" s="11">
        <v>44785</v>
      </c>
      <c r="C8930" s="13" t="s">
        <v>1743</v>
      </c>
      <c r="D8930" s="13" t="s">
        <v>10921</v>
      </c>
      <c r="E8930" s="8">
        <v>5145</v>
      </c>
      <c r="F8930" s="13" t="s">
        <v>70</v>
      </c>
      <c r="G8930" s="14">
        <v>44788</v>
      </c>
      <c r="H8930" s="13" t="s">
        <v>35</v>
      </c>
    </row>
    <row r="8931" spans="1:8" ht="14.4" x14ac:dyDescent="0.3">
      <c r="A8931" s="8">
        <v>2042570</v>
      </c>
      <c r="B8931" s="11">
        <v>44785</v>
      </c>
      <c r="C8931" s="13" t="s">
        <v>127</v>
      </c>
      <c r="D8931" s="13" t="s">
        <v>10922</v>
      </c>
      <c r="E8931" s="8">
        <v>5024.59</v>
      </c>
      <c r="F8931" s="13" t="s">
        <v>70</v>
      </c>
      <c r="G8931" s="14">
        <v>44798</v>
      </c>
      <c r="H8931" s="13" t="s">
        <v>35</v>
      </c>
    </row>
    <row r="8932" spans="1:8" ht="14.4" x14ac:dyDescent="0.3">
      <c r="A8932" s="8">
        <v>2042571</v>
      </c>
      <c r="B8932" s="11">
        <v>44785</v>
      </c>
      <c r="C8932" s="13" t="s">
        <v>127</v>
      </c>
      <c r="D8932" s="13" t="s">
        <v>10923</v>
      </c>
      <c r="E8932" s="8">
        <v>416.43</v>
      </c>
      <c r="F8932" s="13" t="s">
        <v>70</v>
      </c>
      <c r="G8932" s="14">
        <v>44798</v>
      </c>
      <c r="H8932" s="13" t="s">
        <v>35</v>
      </c>
    </row>
    <row r="8933" spans="1:8" ht="14.4" x14ac:dyDescent="0.3">
      <c r="A8933" s="8">
        <v>2042572</v>
      </c>
      <c r="B8933" s="11">
        <v>44785</v>
      </c>
      <c r="C8933" s="13" t="s">
        <v>4084</v>
      </c>
      <c r="D8933" s="13" t="s">
        <v>10924</v>
      </c>
      <c r="E8933" s="8">
        <v>602945</v>
      </c>
      <c r="F8933" s="13" t="s">
        <v>70</v>
      </c>
      <c r="G8933" s="14">
        <v>44790</v>
      </c>
      <c r="H8933" s="13" t="s">
        <v>35</v>
      </c>
    </row>
    <row r="8934" spans="1:8" ht="14.4" x14ac:dyDescent="0.3">
      <c r="A8934" s="8">
        <v>2042573</v>
      </c>
      <c r="B8934" s="11">
        <v>44785</v>
      </c>
      <c r="C8934" s="13" t="s">
        <v>405</v>
      </c>
      <c r="D8934" s="13" t="s">
        <v>10925</v>
      </c>
      <c r="E8934" s="8">
        <v>18899.48</v>
      </c>
      <c r="F8934" s="13" t="s">
        <v>70</v>
      </c>
      <c r="G8934" s="14">
        <v>44790</v>
      </c>
      <c r="H8934" s="13" t="s">
        <v>35</v>
      </c>
    </row>
    <row r="8935" spans="1:8" ht="14.4" x14ac:dyDescent="0.3">
      <c r="A8935" s="8">
        <v>2042574</v>
      </c>
      <c r="B8935" s="11">
        <v>44785</v>
      </c>
      <c r="C8935" s="13" t="s">
        <v>1784</v>
      </c>
      <c r="D8935" s="13" t="s">
        <v>10926</v>
      </c>
      <c r="E8935" s="8">
        <v>1500</v>
      </c>
      <c r="F8935" s="13" t="s">
        <v>70</v>
      </c>
      <c r="G8935" s="14">
        <v>44792</v>
      </c>
      <c r="H8935" s="13" t="s">
        <v>35</v>
      </c>
    </row>
    <row r="8936" spans="1:8" ht="14.4" x14ac:dyDescent="0.3">
      <c r="A8936" s="8">
        <v>2042575</v>
      </c>
      <c r="B8936" s="11">
        <v>44785</v>
      </c>
      <c r="C8936" s="13" t="s">
        <v>1424</v>
      </c>
      <c r="D8936" s="13" t="s">
        <v>10401</v>
      </c>
      <c r="E8936" s="8">
        <v>7547.76</v>
      </c>
      <c r="F8936" s="13" t="s">
        <v>70</v>
      </c>
      <c r="G8936" s="14">
        <v>44795</v>
      </c>
      <c r="H8936" s="13" t="s">
        <v>35</v>
      </c>
    </row>
    <row r="8937" spans="1:8" ht="14.4" x14ac:dyDescent="0.3">
      <c r="A8937" s="8">
        <v>2042576</v>
      </c>
      <c r="B8937" s="11">
        <v>44785</v>
      </c>
      <c r="C8937" s="13" t="s">
        <v>1941</v>
      </c>
      <c r="D8937" s="13" t="s">
        <v>10927</v>
      </c>
      <c r="E8937" s="8">
        <v>31733.93</v>
      </c>
      <c r="F8937" s="13" t="s">
        <v>70</v>
      </c>
      <c r="G8937" s="14">
        <v>44788</v>
      </c>
      <c r="H8937" s="13" t="s">
        <v>35</v>
      </c>
    </row>
    <row r="8938" spans="1:8" ht="14.4" x14ac:dyDescent="0.3">
      <c r="A8938" s="8">
        <v>2042577</v>
      </c>
      <c r="B8938" s="11">
        <v>44785</v>
      </c>
      <c r="C8938" s="13" t="s">
        <v>3111</v>
      </c>
      <c r="D8938" s="13" t="s">
        <v>10928</v>
      </c>
      <c r="E8938" s="8">
        <v>43062.5</v>
      </c>
      <c r="F8938" s="13" t="s">
        <v>70</v>
      </c>
      <c r="G8938" s="14">
        <v>44791</v>
      </c>
      <c r="H8938" s="13" t="s">
        <v>35</v>
      </c>
    </row>
    <row r="8939" spans="1:8" ht="14.4" x14ac:dyDescent="0.3">
      <c r="A8939" s="8">
        <v>2042578</v>
      </c>
      <c r="B8939" s="11">
        <v>44785</v>
      </c>
      <c r="C8939" s="13" t="s">
        <v>52</v>
      </c>
      <c r="D8939" s="13" t="s">
        <v>10929</v>
      </c>
      <c r="E8939" s="8">
        <v>140464.28</v>
      </c>
      <c r="F8939" s="13" t="s">
        <v>70</v>
      </c>
      <c r="G8939" s="14">
        <v>44790</v>
      </c>
      <c r="H8939" s="13" t="s">
        <v>35</v>
      </c>
    </row>
    <row r="8940" spans="1:8" ht="14.4" x14ac:dyDescent="0.3">
      <c r="A8940" s="8">
        <v>2042579</v>
      </c>
      <c r="B8940" s="11">
        <v>44785</v>
      </c>
      <c r="C8940" s="13" t="s">
        <v>1536</v>
      </c>
      <c r="D8940" s="13" t="s">
        <v>10930</v>
      </c>
      <c r="E8940" s="8">
        <v>11994.74</v>
      </c>
      <c r="F8940" s="13" t="s">
        <v>70</v>
      </c>
      <c r="G8940" s="14">
        <v>44788</v>
      </c>
      <c r="H8940" s="13" t="s">
        <v>35</v>
      </c>
    </row>
    <row r="8941" spans="1:8" ht="14.4" x14ac:dyDescent="0.3">
      <c r="A8941" s="8">
        <v>2042580</v>
      </c>
      <c r="B8941" s="11">
        <v>44785</v>
      </c>
      <c r="C8941" s="13" t="s">
        <v>567</v>
      </c>
      <c r="D8941" s="13" t="s">
        <v>4781</v>
      </c>
      <c r="E8941" s="8">
        <v>6000</v>
      </c>
      <c r="F8941" s="13" t="s">
        <v>70</v>
      </c>
      <c r="G8941" s="14">
        <v>44788</v>
      </c>
      <c r="H8941" s="13" t="s">
        <v>35</v>
      </c>
    </row>
    <row r="8942" spans="1:8" ht="14.4" x14ac:dyDescent="0.3">
      <c r="A8942" s="8">
        <v>2042581</v>
      </c>
      <c r="B8942" s="11">
        <v>44785</v>
      </c>
      <c r="C8942" s="13" t="s">
        <v>161</v>
      </c>
      <c r="D8942" s="13" t="s">
        <v>4781</v>
      </c>
      <c r="E8942" s="8">
        <v>6000</v>
      </c>
      <c r="F8942" s="13" t="s">
        <v>70</v>
      </c>
      <c r="G8942" s="14">
        <v>44798</v>
      </c>
      <c r="H8942" s="13" t="s">
        <v>35</v>
      </c>
    </row>
    <row r="8943" spans="1:8" ht="14.4" x14ac:dyDescent="0.3">
      <c r="A8943" s="8">
        <v>2042582</v>
      </c>
      <c r="B8943" s="11">
        <v>44785</v>
      </c>
      <c r="C8943" s="13" t="s">
        <v>563</v>
      </c>
      <c r="D8943" s="13" t="s">
        <v>4781</v>
      </c>
      <c r="E8943" s="8">
        <v>5000</v>
      </c>
      <c r="F8943" s="13" t="s">
        <v>70</v>
      </c>
      <c r="G8943" s="14">
        <v>44792</v>
      </c>
      <c r="H8943" s="13" t="s">
        <v>35</v>
      </c>
    </row>
    <row r="8944" spans="1:8" ht="14.4" x14ac:dyDescent="0.3">
      <c r="A8944" s="8">
        <v>2042583</v>
      </c>
      <c r="B8944" s="11">
        <v>44785</v>
      </c>
      <c r="C8944" s="13" t="s">
        <v>789</v>
      </c>
      <c r="D8944" s="13" t="s">
        <v>4781</v>
      </c>
      <c r="E8944" s="8">
        <v>6000</v>
      </c>
      <c r="F8944" s="13" t="s">
        <v>70</v>
      </c>
      <c r="G8944" s="14">
        <v>44798</v>
      </c>
      <c r="H8944" s="13" t="s">
        <v>35</v>
      </c>
    </row>
    <row r="8945" spans="1:8" ht="14.4" x14ac:dyDescent="0.3">
      <c r="A8945" s="8">
        <v>2042584</v>
      </c>
      <c r="B8945" s="11">
        <v>44785</v>
      </c>
      <c r="C8945" s="13" t="s">
        <v>562</v>
      </c>
      <c r="D8945" s="13" t="s">
        <v>4781</v>
      </c>
      <c r="E8945" s="8">
        <v>6000</v>
      </c>
      <c r="F8945" s="13" t="s">
        <v>70</v>
      </c>
      <c r="G8945" s="14">
        <v>44789</v>
      </c>
      <c r="H8945" s="13" t="s">
        <v>35</v>
      </c>
    </row>
    <row r="8946" spans="1:8" ht="14.4" x14ac:dyDescent="0.3">
      <c r="A8946" s="8">
        <v>2042585</v>
      </c>
      <c r="B8946" s="11">
        <v>44785</v>
      </c>
      <c r="C8946" s="13" t="s">
        <v>2445</v>
      </c>
      <c r="D8946" s="13" t="s">
        <v>10931</v>
      </c>
      <c r="E8946" s="8">
        <v>20000</v>
      </c>
      <c r="F8946" s="13" t="s">
        <v>70</v>
      </c>
      <c r="G8946" s="14">
        <v>44791</v>
      </c>
      <c r="H8946" s="13" t="s">
        <v>35</v>
      </c>
    </row>
    <row r="8947" spans="1:8" ht="14.4" x14ac:dyDescent="0.3">
      <c r="A8947" s="8">
        <v>2042586</v>
      </c>
      <c r="B8947" s="11">
        <v>44785</v>
      </c>
      <c r="C8947" s="13" t="s">
        <v>2449</v>
      </c>
      <c r="D8947" s="13" t="s">
        <v>10622</v>
      </c>
      <c r="E8947" s="8">
        <v>10000</v>
      </c>
      <c r="F8947" s="13" t="s">
        <v>70</v>
      </c>
      <c r="G8947" s="14">
        <v>44791</v>
      </c>
      <c r="H8947" s="13" t="s">
        <v>35</v>
      </c>
    </row>
    <row r="8948" spans="1:8" ht="14.4" x14ac:dyDescent="0.3">
      <c r="A8948" s="8">
        <v>2042587</v>
      </c>
      <c r="B8948" s="11">
        <v>44785</v>
      </c>
      <c r="C8948" s="13" t="s">
        <v>398</v>
      </c>
      <c r="D8948" s="13" t="s">
        <v>10622</v>
      </c>
      <c r="E8948" s="8">
        <v>3000</v>
      </c>
      <c r="F8948" s="13" t="s">
        <v>70</v>
      </c>
      <c r="G8948" s="14">
        <v>44791</v>
      </c>
      <c r="H8948" s="13" t="s">
        <v>35</v>
      </c>
    </row>
    <row r="8949" spans="1:8" ht="14.4" x14ac:dyDescent="0.3">
      <c r="A8949" s="8">
        <v>2042588</v>
      </c>
      <c r="B8949" s="11">
        <v>44785</v>
      </c>
      <c r="C8949" s="13" t="s">
        <v>79</v>
      </c>
      <c r="D8949" s="13" t="s">
        <v>10932</v>
      </c>
      <c r="E8949" s="8">
        <v>20000</v>
      </c>
      <c r="F8949" s="13" t="s">
        <v>70</v>
      </c>
      <c r="G8949" s="14">
        <v>44788</v>
      </c>
      <c r="H8949" s="13" t="s">
        <v>35</v>
      </c>
    </row>
    <row r="8950" spans="1:8" ht="14.4" x14ac:dyDescent="0.3">
      <c r="A8950" s="8">
        <v>2042589</v>
      </c>
      <c r="B8950" s="11">
        <v>44785</v>
      </c>
      <c r="C8950" s="13" t="s">
        <v>80</v>
      </c>
      <c r="D8950" s="13" t="s">
        <v>10622</v>
      </c>
      <c r="E8950" s="8">
        <v>10000</v>
      </c>
      <c r="F8950" s="13" t="s">
        <v>70</v>
      </c>
      <c r="G8950" s="14">
        <v>44788</v>
      </c>
      <c r="H8950" s="13" t="s">
        <v>35</v>
      </c>
    </row>
    <row r="8951" spans="1:8" ht="14.4" x14ac:dyDescent="0.3">
      <c r="A8951" s="8">
        <v>2042590</v>
      </c>
      <c r="B8951" s="11">
        <v>44785</v>
      </c>
      <c r="C8951" s="13" t="s">
        <v>7480</v>
      </c>
      <c r="D8951" s="13" t="s">
        <v>10622</v>
      </c>
      <c r="E8951" s="8">
        <v>3000</v>
      </c>
      <c r="F8951" s="13" t="s">
        <v>70</v>
      </c>
      <c r="G8951" s="14">
        <v>44788</v>
      </c>
      <c r="H8951" s="13" t="s">
        <v>35</v>
      </c>
    </row>
    <row r="8952" spans="1:8" ht="14.4" x14ac:dyDescent="0.3">
      <c r="A8952" s="8">
        <v>2042591</v>
      </c>
      <c r="B8952" s="11">
        <v>44785</v>
      </c>
      <c r="C8952" s="13" t="s">
        <v>10933</v>
      </c>
      <c r="D8952" s="13" t="s">
        <v>10622</v>
      </c>
      <c r="E8952" s="8">
        <v>5000</v>
      </c>
      <c r="F8952" s="13" t="s">
        <v>70</v>
      </c>
      <c r="G8952" s="14">
        <v>44788</v>
      </c>
      <c r="H8952" s="13" t="s">
        <v>35</v>
      </c>
    </row>
    <row r="8953" spans="1:8" ht="14.4" x14ac:dyDescent="0.3">
      <c r="A8953" s="8">
        <v>2042592</v>
      </c>
      <c r="B8953" s="11">
        <v>44785</v>
      </c>
      <c r="C8953" s="13" t="s">
        <v>82</v>
      </c>
      <c r="D8953" s="13" t="s">
        <v>10622</v>
      </c>
      <c r="E8953" s="8">
        <v>5000</v>
      </c>
      <c r="F8953" s="13" t="s">
        <v>70</v>
      </c>
      <c r="G8953" s="14">
        <v>44799</v>
      </c>
      <c r="H8953" s="13" t="s">
        <v>35</v>
      </c>
    </row>
    <row r="8954" spans="1:8" ht="14.4" x14ac:dyDescent="0.3">
      <c r="A8954" s="8">
        <v>2042593</v>
      </c>
      <c r="B8954" s="11">
        <v>44785</v>
      </c>
      <c r="C8954" s="13" t="s">
        <v>356</v>
      </c>
      <c r="D8954" s="13" t="s">
        <v>10622</v>
      </c>
      <c r="E8954" s="8">
        <v>3000</v>
      </c>
      <c r="F8954" s="13" t="s">
        <v>70</v>
      </c>
      <c r="G8954" s="14">
        <v>44788</v>
      </c>
      <c r="H8954" s="13" t="s">
        <v>35</v>
      </c>
    </row>
    <row r="8955" spans="1:8" ht="14.4" x14ac:dyDescent="0.3">
      <c r="A8955" s="8">
        <v>2042594</v>
      </c>
      <c r="B8955" s="11">
        <v>44785</v>
      </c>
      <c r="C8955" s="13" t="s">
        <v>350</v>
      </c>
      <c r="D8955" s="13" t="s">
        <v>10934</v>
      </c>
      <c r="E8955" s="8">
        <v>10000</v>
      </c>
      <c r="F8955" s="13" t="s">
        <v>70</v>
      </c>
      <c r="G8955" s="14">
        <v>44788</v>
      </c>
      <c r="H8955" s="13" t="s">
        <v>35</v>
      </c>
    </row>
    <row r="8956" spans="1:8" ht="14.4" x14ac:dyDescent="0.3">
      <c r="A8956" s="8">
        <v>2042596</v>
      </c>
      <c r="B8956" s="11">
        <v>44785</v>
      </c>
      <c r="C8956" s="13" t="s">
        <v>10935</v>
      </c>
      <c r="D8956" s="13" t="s">
        <v>10936</v>
      </c>
      <c r="E8956" s="8">
        <v>40000</v>
      </c>
      <c r="F8956" s="13" t="s">
        <v>70</v>
      </c>
      <c r="G8956" s="14">
        <v>44795</v>
      </c>
      <c r="H8956" s="13" t="s">
        <v>35</v>
      </c>
    </row>
    <row r="8957" spans="1:8" ht="14.4" x14ac:dyDescent="0.3">
      <c r="A8957" s="8">
        <v>2042597</v>
      </c>
      <c r="B8957" s="11">
        <v>44785</v>
      </c>
      <c r="C8957" s="13" t="s">
        <v>10937</v>
      </c>
      <c r="D8957" s="13" t="s">
        <v>10938</v>
      </c>
      <c r="E8957" s="8">
        <v>7000</v>
      </c>
      <c r="F8957" s="13" t="s">
        <v>70</v>
      </c>
      <c r="G8957" s="14">
        <v>44788</v>
      </c>
      <c r="H8957" s="13" t="s">
        <v>35</v>
      </c>
    </row>
    <row r="8958" spans="1:8" ht="14.4" x14ac:dyDescent="0.3">
      <c r="A8958" s="8">
        <v>2042598</v>
      </c>
      <c r="B8958" s="11">
        <v>44785</v>
      </c>
      <c r="C8958" s="13" t="s">
        <v>122</v>
      </c>
      <c r="D8958" s="13" t="s">
        <v>10939</v>
      </c>
      <c r="E8958" s="8">
        <v>6000</v>
      </c>
      <c r="F8958" s="13" t="s">
        <v>70</v>
      </c>
      <c r="G8958" s="14">
        <v>44791</v>
      </c>
      <c r="H8958" s="13" t="s">
        <v>35</v>
      </c>
    </row>
    <row r="8959" spans="1:8" ht="14.4" x14ac:dyDescent="0.3">
      <c r="A8959" s="8">
        <v>2042599</v>
      </c>
      <c r="B8959" s="11">
        <v>44785</v>
      </c>
      <c r="C8959" s="13" t="s">
        <v>10940</v>
      </c>
      <c r="D8959" s="13" t="s">
        <v>10941</v>
      </c>
      <c r="E8959" s="8">
        <v>20000</v>
      </c>
      <c r="F8959" s="13" t="s">
        <v>70</v>
      </c>
      <c r="G8959" s="14">
        <v>44792</v>
      </c>
      <c r="H8959" s="13" t="s">
        <v>35</v>
      </c>
    </row>
    <row r="8960" spans="1:8" ht="14.4" x14ac:dyDescent="0.3">
      <c r="A8960" s="8">
        <v>2042600</v>
      </c>
      <c r="B8960" s="11">
        <v>44785</v>
      </c>
      <c r="C8960" s="13" t="s">
        <v>2445</v>
      </c>
      <c r="D8960" s="13" t="s">
        <v>10931</v>
      </c>
      <c r="E8960" s="8">
        <v>20000</v>
      </c>
      <c r="F8960" s="13" t="s">
        <v>70</v>
      </c>
      <c r="G8960" s="14">
        <v>44788</v>
      </c>
      <c r="H8960" s="13" t="s">
        <v>35</v>
      </c>
    </row>
    <row r="8961" spans="1:8" ht="14.4" x14ac:dyDescent="0.3">
      <c r="A8961" s="8">
        <v>2042601</v>
      </c>
      <c r="B8961" s="11">
        <v>44785</v>
      </c>
      <c r="C8961" s="13" t="s">
        <v>10942</v>
      </c>
      <c r="D8961" s="13" t="s">
        <v>10943</v>
      </c>
      <c r="E8961" s="8">
        <v>13000</v>
      </c>
      <c r="F8961" s="13" t="s">
        <v>70</v>
      </c>
      <c r="G8961" s="14">
        <v>44792</v>
      </c>
      <c r="H8961" s="13" t="s">
        <v>35</v>
      </c>
    </row>
    <row r="8962" spans="1:8" ht="14.4" x14ac:dyDescent="0.3">
      <c r="A8962" s="8">
        <v>2042602</v>
      </c>
      <c r="B8962" s="11">
        <v>44785</v>
      </c>
      <c r="C8962" s="13" t="s">
        <v>10944</v>
      </c>
      <c r="D8962" s="13" t="s">
        <v>10945</v>
      </c>
      <c r="E8962" s="8">
        <v>11500</v>
      </c>
      <c r="F8962" s="13" t="s">
        <v>70</v>
      </c>
      <c r="G8962" s="14">
        <v>44789</v>
      </c>
      <c r="H8962" s="13" t="s">
        <v>35</v>
      </c>
    </row>
    <row r="8963" spans="1:8" ht="14.4" x14ac:dyDescent="0.3">
      <c r="A8963" s="8">
        <v>2042603</v>
      </c>
      <c r="B8963" s="11">
        <v>44785</v>
      </c>
      <c r="C8963" s="13" t="s">
        <v>99</v>
      </c>
      <c r="D8963" s="13" t="s">
        <v>10946</v>
      </c>
      <c r="E8963" s="8">
        <v>21000</v>
      </c>
      <c r="F8963" s="13" t="s">
        <v>70</v>
      </c>
      <c r="G8963" s="14">
        <v>44792</v>
      </c>
      <c r="H8963" s="13" t="s">
        <v>35</v>
      </c>
    </row>
    <row r="8964" spans="1:8" ht="14.4" x14ac:dyDescent="0.3">
      <c r="A8964" s="8">
        <v>2042604</v>
      </c>
      <c r="B8964" s="11">
        <v>44785</v>
      </c>
      <c r="C8964" s="13" t="s">
        <v>10947</v>
      </c>
      <c r="D8964" s="13" t="s">
        <v>10948</v>
      </c>
      <c r="E8964" s="8">
        <v>11000</v>
      </c>
      <c r="F8964" s="13" t="s">
        <v>70</v>
      </c>
      <c r="G8964" s="14">
        <v>44789</v>
      </c>
      <c r="H8964" s="13" t="s">
        <v>35</v>
      </c>
    </row>
    <row r="8965" spans="1:8" ht="14.4" x14ac:dyDescent="0.3">
      <c r="A8965" s="8">
        <v>2042605</v>
      </c>
      <c r="B8965" s="11">
        <v>44785</v>
      </c>
      <c r="C8965" s="13" t="s">
        <v>10949</v>
      </c>
      <c r="D8965" s="13" t="s">
        <v>10950</v>
      </c>
      <c r="E8965" s="8">
        <v>6000</v>
      </c>
      <c r="F8965" s="13" t="s">
        <v>70</v>
      </c>
      <c r="G8965" s="14">
        <v>44792</v>
      </c>
      <c r="H8965" s="13" t="s">
        <v>35</v>
      </c>
    </row>
    <row r="8966" spans="1:8" ht="14.4" x14ac:dyDescent="0.3">
      <c r="A8966" s="8">
        <v>2042606</v>
      </c>
      <c r="B8966" s="11">
        <v>44785</v>
      </c>
      <c r="C8966" s="13" t="s">
        <v>10951</v>
      </c>
      <c r="D8966" s="13" t="s">
        <v>10952</v>
      </c>
      <c r="E8966" s="8">
        <v>17000</v>
      </c>
      <c r="F8966" s="13" t="s">
        <v>70</v>
      </c>
      <c r="G8966" s="14">
        <v>44788</v>
      </c>
      <c r="H8966" s="13" t="s">
        <v>35</v>
      </c>
    </row>
    <row r="8967" spans="1:8" ht="14.4" x14ac:dyDescent="0.3">
      <c r="A8967" s="8">
        <v>2042607</v>
      </c>
      <c r="B8967" s="11">
        <v>44785</v>
      </c>
      <c r="C8967" s="13" t="s">
        <v>10953</v>
      </c>
      <c r="D8967" s="13" t="s">
        <v>10954</v>
      </c>
      <c r="E8967" s="8">
        <v>9000</v>
      </c>
      <c r="F8967" s="13" t="s">
        <v>70</v>
      </c>
      <c r="G8967" s="14">
        <v>44790</v>
      </c>
      <c r="H8967" s="13" t="s">
        <v>35</v>
      </c>
    </row>
    <row r="8968" spans="1:8" ht="14.4" x14ac:dyDescent="0.3">
      <c r="A8968" s="8">
        <v>2042608</v>
      </c>
      <c r="B8968" s="11">
        <v>44785</v>
      </c>
      <c r="C8968" s="13" t="s">
        <v>10955</v>
      </c>
      <c r="D8968" s="13" t="s">
        <v>10956</v>
      </c>
      <c r="E8968" s="8">
        <v>9000</v>
      </c>
      <c r="F8968" s="13" t="s">
        <v>70</v>
      </c>
      <c r="G8968" s="14">
        <v>44792</v>
      </c>
      <c r="H8968" s="13" t="s">
        <v>35</v>
      </c>
    </row>
    <row r="8969" spans="1:8" ht="14.4" x14ac:dyDescent="0.3">
      <c r="A8969" s="8">
        <v>2042609</v>
      </c>
      <c r="B8969" s="11">
        <v>44785</v>
      </c>
      <c r="C8969" s="13" t="s">
        <v>10677</v>
      </c>
      <c r="D8969" s="13" t="s">
        <v>10957</v>
      </c>
      <c r="E8969" s="8">
        <v>36000</v>
      </c>
      <c r="F8969" s="13" t="s">
        <v>70</v>
      </c>
      <c r="G8969" s="14">
        <v>44789</v>
      </c>
      <c r="H8969" s="13" t="s">
        <v>35</v>
      </c>
    </row>
    <row r="8970" spans="1:8" ht="14.4" x14ac:dyDescent="0.3">
      <c r="A8970" s="8">
        <v>2042610</v>
      </c>
      <c r="B8970" s="11">
        <v>44785</v>
      </c>
      <c r="C8970" s="13" t="s">
        <v>85</v>
      </c>
      <c r="D8970" s="13" t="s">
        <v>10958</v>
      </c>
      <c r="E8970" s="8">
        <v>5253.75</v>
      </c>
      <c r="F8970" s="13" t="s">
        <v>70</v>
      </c>
      <c r="G8970" s="14">
        <v>44790</v>
      </c>
      <c r="H8970" s="13" t="s">
        <v>35</v>
      </c>
    </row>
    <row r="8971" spans="1:8" ht="14.4" x14ac:dyDescent="0.3">
      <c r="A8971" s="8">
        <v>2042611</v>
      </c>
      <c r="B8971" s="11">
        <v>44785</v>
      </c>
      <c r="C8971" s="13" t="s">
        <v>85</v>
      </c>
      <c r="D8971" s="13" t="s">
        <v>10959</v>
      </c>
      <c r="E8971" s="8">
        <v>7500</v>
      </c>
      <c r="F8971" s="13" t="s">
        <v>70</v>
      </c>
      <c r="G8971" s="14">
        <v>44789</v>
      </c>
      <c r="H8971" s="13" t="s">
        <v>35</v>
      </c>
    </row>
    <row r="8972" spans="1:8" ht="14.4" x14ac:dyDescent="0.3">
      <c r="A8972" s="8">
        <v>2042612</v>
      </c>
      <c r="B8972" s="11">
        <v>44788</v>
      </c>
      <c r="C8972" s="13" t="s">
        <v>1784</v>
      </c>
      <c r="D8972" s="13" t="s">
        <v>10960</v>
      </c>
      <c r="E8972" s="8">
        <v>2500</v>
      </c>
      <c r="F8972" s="13" t="s">
        <v>70</v>
      </c>
      <c r="G8972" s="14">
        <v>44792</v>
      </c>
      <c r="H8972" s="13" t="s">
        <v>35</v>
      </c>
    </row>
    <row r="8973" spans="1:8" ht="14.4" x14ac:dyDescent="0.3">
      <c r="A8973" s="8">
        <v>2042613</v>
      </c>
      <c r="B8973" s="11">
        <v>44788</v>
      </c>
      <c r="C8973" s="13" t="s">
        <v>1596</v>
      </c>
      <c r="D8973" s="13" t="s">
        <v>10961</v>
      </c>
      <c r="E8973" s="8">
        <v>1764</v>
      </c>
      <c r="F8973" s="13" t="s">
        <v>70</v>
      </c>
      <c r="G8973" s="14">
        <v>44798</v>
      </c>
      <c r="H8973" s="13" t="s">
        <v>35</v>
      </c>
    </row>
    <row r="8974" spans="1:8" ht="14.4" x14ac:dyDescent="0.3">
      <c r="A8974" s="8">
        <v>2042614</v>
      </c>
      <c r="B8974" s="11">
        <v>44788</v>
      </c>
      <c r="C8974" s="13" t="s">
        <v>1596</v>
      </c>
      <c r="D8974" s="13" t="s">
        <v>10962</v>
      </c>
      <c r="E8974" s="8">
        <v>470.4</v>
      </c>
      <c r="F8974" s="13" t="s">
        <v>70</v>
      </c>
      <c r="G8974" s="14">
        <v>44798</v>
      </c>
      <c r="H8974" s="13" t="s">
        <v>35</v>
      </c>
    </row>
    <row r="8975" spans="1:8" ht="14.4" x14ac:dyDescent="0.3">
      <c r="A8975" s="8">
        <v>2042615</v>
      </c>
      <c r="B8975" s="11">
        <v>44788</v>
      </c>
      <c r="C8975" s="13" t="s">
        <v>2074</v>
      </c>
      <c r="D8975" s="13" t="s">
        <v>10963</v>
      </c>
      <c r="E8975" s="8">
        <v>110347.32</v>
      </c>
      <c r="F8975" s="13" t="s">
        <v>70</v>
      </c>
      <c r="G8975" s="14">
        <v>44791</v>
      </c>
      <c r="H8975" s="13" t="s">
        <v>35</v>
      </c>
    </row>
    <row r="8976" spans="1:8" ht="14.4" x14ac:dyDescent="0.3">
      <c r="A8976" s="8">
        <v>2042616</v>
      </c>
      <c r="B8976" s="11">
        <v>44788</v>
      </c>
      <c r="C8976" s="13" t="s">
        <v>1743</v>
      </c>
      <c r="D8976" s="13" t="s">
        <v>10964</v>
      </c>
      <c r="E8976" s="8">
        <v>10290</v>
      </c>
      <c r="F8976" s="13" t="s">
        <v>70</v>
      </c>
      <c r="G8976" s="14">
        <v>44798</v>
      </c>
      <c r="H8976" s="13" t="s">
        <v>35</v>
      </c>
    </row>
    <row r="8977" spans="1:8" ht="14.4" x14ac:dyDescent="0.3">
      <c r="A8977" s="8">
        <v>2042617</v>
      </c>
      <c r="B8977" s="11">
        <v>44788</v>
      </c>
      <c r="C8977" s="13" t="s">
        <v>775</v>
      </c>
      <c r="D8977" s="13" t="s">
        <v>10965</v>
      </c>
      <c r="E8977" s="8">
        <v>99350</v>
      </c>
      <c r="F8977" s="13" t="s">
        <v>70</v>
      </c>
      <c r="G8977" s="14">
        <v>44789</v>
      </c>
      <c r="H8977" s="13" t="s">
        <v>35</v>
      </c>
    </row>
    <row r="8978" spans="1:8" ht="14.4" x14ac:dyDescent="0.3">
      <c r="A8978" s="8">
        <v>2042618</v>
      </c>
      <c r="B8978" s="11">
        <v>44788</v>
      </c>
      <c r="C8978" s="13" t="s">
        <v>10966</v>
      </c>
      <c r="D8978" s="13" t="s">
        <v>10967</v>
      </c>
      <c r="E8978" s="8">
        <v>95686.62</v>
      </c>
      <c r="F8978" s="13" t="s">
        <v>70</v>
      </c>
      <c r="G8978" s="14">
        <v>44791</v>
      </c>
      <c r="H8978" s="13" t="s">
        <v>35</v>
      </c>
    </row>
    <row r="8979" spans="1:8" ht="14.4" x14ac:dyDescent="0.3">
      <c r="A8979" s="8">
        <v>2042619</v>
      </c>
      <c r="B8979" s="11">
        <v>44788</v>
      </c>
      <c r="C8979" s="13" t="s">
        <v>2410</v>
      </c>
      <c r="D8979" s="13" t="s">
        <v>10968</v>
      </c>
      <c r="E8979" s="8">
        <v>34221.58</v>
      </c>
      <c r="F8979" s="13" t="s">
        <v>70</v>
      </c>
      <c r="G8979" s="14">
        <v>44799</v>
      </c>
      <c r="H8979" s="13" t="s">
        <v>35</v>
      </c>
    </row>
    <row r="8980" spans="1:8" ht="14.4" x14ac:dyDescent="0.3">
      <c r="A8980" s="8">
        <v>2042620</v>
      </c>
      <c r="B8980" s="11">
        <v>44788</v>
      </c>
      <c r="C8980" s="13" t="s">
        <v>10969</v>
      </c>
      <c r="D8980" s="13" t="s">
        <v>10970</v>
      </c>
      <c r="E8980" s="8">
        <v>3000</v>
      </c>
      <c r="F8980" s="13" t="s">
        <v>70</v>
      </c>
      <c r="G8980" s="14">
        <v>44791</v>
      </c>
      <c r="H8980" s="13" t="s">
        <v>35</v>
      </c>
    </row>
    <row r="8981" spans="1:8" ht="14.4" x14ac:dyDescent="0.3">
      <c r="A8981" s="8">
        <v>2042621</v>
      </c>
      <c r="B8981" s="11">
        <v>44788</v>
      </c>
      <c r="C8981" s="13" t="s">
        <v>10971</v>
      </c>
      <c r="D8981" s="13" t="s">
        <v>10972</v>
      </c>
      <c r="E8981" s="8">
        <v>200000</v>
      </c>
      <c r="F8981" s="13" t="s">
        <v>70</v>
      </c>
      <c r="G8981" s="14">
        <v>44792</v>
      </c>
      <c r="H8981" s="13" t="s">
        <v>35</v>
      </c>
    </row>
    <row r="8982" spans="1:8" ht="14.4" x14ac:dyDescent="0.3">
      <c r="A8982" s="8">
        <v>2042622</v>
      </c>
      <c r="B8982" s="11">
        <v>44788</v>
      </c>
      <c r="C8982" s="13" t="s">
        <v>3725</v>
      </c>
      <c r="D8982" s="13" t="s">
        <v>10973</v>
      </c>
      <c r="E8982" s="8">
        <v>50000</v>
      </c>
      <c r="F8982" s="13" t="s">
        <v>70</v>
      </c>
      <c r="G8982" s="14">
        <v>44790</v>
      </c>
      <c r="H8982" s="13" t="s">
        <v>35</v>
      </c>
    </row>
    <row r="8983" spans="1:8" ht="14.4" x14ac:dyDescent="0.3">
      <c r="A8983" s="8">
        <v>2042623</v>
      </c>
      <c r="B8983" s="11">
        <v>44788</v>
      </c>
      <c r="C8983" s="13" t="s">
        <v>1536</v>
      </c>
      <c r="D8983" s="13" t="s">
        <v>8755</v>
      </c>
      <c r="E8983" s="8">
        <v>543014.49</v>
      </c>
      <c r="F8983" s="13" t="s">
        <v>70</v>
      </c>
      <c r="G8983" s="14">
        <v>44789</v>
      </c>
      <c r="H8983" s="13" t="s">
        <v>35</v>
      </c>
    </row>
    <row r="8984" spans="1:8" ht="14.4" x14ac:dyDescent="0.3">
      <c r="A8984" s="8">
        <v>2042624</v>
      </c>
      <c r="B8984" s="11">
        <v>44788</v>
      </c>
      <c r="C8984" s="13" t="s">
        <v>361</v>
      </c>
      <c r="D8984" s="13" t="s">
        <v>10974</v>
      </c>
      <c r="E8984" s="8">
        <v>22203.97</v>
      </c>
      <c r="F8984" s="13" t="s">
        <v>70</v>
      </c>
      <c r="G8984" s="14">
        <v>44791</v>
      </c>
      <c r="H8984" s="13" t="s">
        <v>35</v>
      </c>
    </row>
    <row r="8985" spans="1:8" ht="14.4" x14ac:dyDescent="0.3">
      <c r="A8985" s="8">
        <v>2042625</v>
      </c>
      <c r="B8985" s="11">
        <v>44788</v>
      </c>
      <c r="C8985" s="13" t="s">
        <v>506</v>
      </c>
      <c r="D8985" s="13" t="s">
        <v>10975</v>
      </c>
      <c r="E8985" s="8">
        <v>100000</v>
      </c>
      <c r="F8985" s="13" t="s">
        <v>70</v>
      </c>
      <c r="G8985" s="14">
        <v>44799</v>
      </c>
      <c r="H8985" s="13" t="s">
        <v>35</v>
      </c>
    </row>
    <row r="8986" spans="1:8" ht="14.4" x14ac:dyDescent="0.3">
      <c r="A8986" s="8">
        <v>2042626</v>
      </c>
      <c r="B8986" s="11">
        <v>44788</v>
      </c>
      <c r="C8986" s="13" t="s">
        <v>10976</v>
      </c>
      <c r="D8986" s="13" t="s">
        <v>10977</v>
      </c>
      <c r="E8986" s="8">
        <v>15000</v>
      </c>
      <c r="F8986" s="13" t="s">
        <v>70</v>
      </c>
      <c r="G8986" s="14">
        <v>44798</v>
      </c>
      <c r="H8986" s="13" t="s">
        <v>35</v>
      </c>
    </row>
    <row r="8987" spans="1:8" ht="14.4" x14ac:dyDescent="0.3">
      <c r="A8987" s="8">
        <v>2042627</v>
      </c>
      <c r="B8987" s="11">
        <v>44788</v>
      </c>
      <c r="C8987" s="13" t="s">
        <v>10978</v>
      </c>
      <c r="D8987" s="13" t="s">
        <v>10979</v>
      </c>
      <c r="E8987" s="8">
        <v>10000</v>
      </c>
      <c r="F8987" s="13" t="s">
        <v>70</v>
      </c>
      <c r="G8987" s="14">
        <v>44805</v>
      </c>
      <c r="H8987" s="13" t="s">
        <v>35</v>
      </c>
    </row>
    <row r="8988" spans="1:8" ht="14.4" x14ac:dyDescent="0.3">
      <c r="A8988" s="8">
        <v>2042628</v>
      </c>
      <c r="B8988" s="11">
        <v>44788</v>
      </c>
      <c r="C8988" s="13" t="s">
        <v>10980</v>
      </c>
      <c r="D8988" s="13" t="s">
        <v>10981</v>
      </c>
      <c r="E8988" s="8">
        <v>5000</v>
      </c>
      <c r="F8988" s="13" t="s">
        <v>70</v>
      </c>
      <c r="G8988" s="14">
        <v>44810</v>
      </c>
      <c r="H8988" s="13" t="s">
        <v>35</v>
      </c>
    </row>
    <row r="8989" spans="1:8" ht="14.4" x14ac:dyDescent="0.3">
      <c r="A8989" s="8">
        <v>2042629</v>
      </c>
      <c r="B8989" s="11">
        <v>44788</v>
      </c>
      <c r="C8989" s="13" t="s">
        <v>10982</v>
      </c>
      <c r="D8989" s="13" t="s">
        <v>10981</v>
      </c>
      <c r="E8989" s="8">
        <v>5000</v>
      </c>
      <c r="F8989" s="13" t="s">
        <v>70</v>
      </c>
      <c r="G8989" s="14">
        <v>44804</v>
      </c>
      <c r="H8989" s="13" t="s">
        <v>35</v>
      </c>
    </row>
    <row r="8990" spans="1:8" ht="14.4" x14ac:dyDescent="0.3">
      <c r="A8990" s="8">
        <v>2042630</v>
      </c>
      <c r="B8990" s="11">
        <v>44788</v>
      </c>
      <c r="C8990" s="13" t="s">
        <v>10983</v>
      </c>
      <c r="D8990" s="13" t="s">
        <v>10979</v>
      </c>
      <c r="E8990" s="8">
        <v>10000</v>
      </c>
      <c r="F8990" s="13" t="s">
        <v>70</v>
      </c>
      <c r="G8990" s="14">
        <v>44798</v>
      </c>
      <c r="H8990" s="13" t="s">
        <v>35</v>
      </c>
    </row>
    <row r="8991" spans="1:8" ht="14.4" x14ac:dyDescent="0.3">
      <c r="A8991" s="8">
        <v>2042631</v>
      </c>
      <c r="B8991" s="11">
        <v>44788</v>
      </c>
      <c r="C8991" s="13" t="s">
        <v>10984</v>
      </c>
      <c r="D8991" s="13" t="s">
        <v>10985</v>
      </c>
      <c r="E8991" s="8">
        <v>10000</v>
      </c>
      <c r="F8991" s="13" t="s">
        <v>70</v>
      </c>
      <c r="G8991" s="14">
        <v>44810</v>
      </c>
      <c r="H8991" s="13" t="s">
        <v>35</v>
      </c>
    </row>
    <row r="8992" spans="1:8" ht="14.4" x14ac:dyDescent="0.3">
      <c r="A8992" s="8">
        <v>2042632</v>
      </c>
      <c r="B8992" s="11">
        <v>44788</v>
      </c>
      <c r="C8992" s="13" t="s">
        <v>10986</v>
      </c>
      <c r="D8992" s="13" t="s">
        <v>10987</v>
      </c>
      <c r="E8992" s="8">
        <v>15000</v>
      </c>
      <c r="F8992" s="13" t="s">
        <v>70</v>
      </c>
      <c r="G8992" s="14">
        <v>44816</v>
      </c>
      <c r="H8992" s="13" t="s">
        <v>35</v>
      </c>
    </row>
    <row r="8993" spans="1:8" ht="14.4" x14ac:dyDescent="0.3">
      <c r="A8993" s="8">
        <v>2042633</v>
      </c>
      <c r="B8993" s="11">
        <v>44788</v>
      </c>
      <c r="C8993" s="13" t="s">
        <v>247</v>
      </c>
      <c r="D8993" s="13" t="s">
        <v>10988</v>
      </c>
      <c r="E8993" s="8">
        <v>10000</v>
      </c>
      <c r="F8993" s="13" t="s">
        <v>70</v>
      </c>
      <c r="G8993" s="14">
        <v>44832</v>
      </c>
      <c r="H8993" s="13" t="s">
        <v>35</v>
      </c>
    </row>
    <row r="8994" spans="1:8" ht="14.4" x14ac:dyDescent="0.3">
      <c r="A8994" s="8">
        <v>2042634</v>
      </c>
      <c r="B8994" s="11">
        <v>44788</v>
      </c>
      <c r="C8994" s="13" t="s">
        <v>10989</v>
      </c>
      <c r="D8994" s="13" t="s">
        <v>10990</v>
      </c>
      <c r="E8994" s="8">
        <v>5000</v>
      </c>
      <c r="F8994" s="13" t="s">
        <v>70</v>
      </c>
      <c r="G8994" s="14">
        <v>44861</v>
      </c>
      <c r="H8994" s="13" t="s">
        <v>35</v>
      </c>
    </row>
    <row r="8995" spans="1:8" ht="14.4" x14ac:dyDescent="0.3">
      <c r="A8995" s="8">
        <v>2042635</v>
      </c>
      <c r="B8995" s="11">
        <v>44788</v>
      </c>
      <c r="C8995" s="13" t="s">
        <v>10991</v>
      </c>
      <c r="D8995" s="13" t="s">
        <v>10992</v>
      </c>
      <c r="E8995" s="8">
        <v>15000</v>
      </c>
      <c r="F8995" s="13" t="s">
        <v>70</v>
      </c>
      <c r="G8995" s="14">
        <v>44813</v>
      </c>
      <c r="H8995" s="13" t="s">
        <v>35</v>
      </c>
    </row>
    <row r="8996" spans="1:8" ht="14.4" x14ac:dyDescent="0.3">
      <c r="A8996" s="8">
        <v>2042636</v>
      </c>
      <c r="B8996" s="11">
        <v>44788</v>
      </c>
      <c r="C8996" s="13" t="s">
        <v>10993</v>
      </c>
      <c r="D8996" s="13" t="s">
        <v>10994</v>
      </c>
      <c r="E8996" s="8">
        <v>15000</v>
      </c>
      <c r="F8996" s="13" t="s">
        <v>70</v>
      </c>
      <c r="G8996" s="14">
        <v>44799</v>
      </c>
      <c r="H8996" s="13" t="s">
        <v>35</v>
      </c>
    </row>
    <row r="8997" spans="1:8" ht="14.4" x14ac:dyDescent="0.3">
      <c r="A8997" s="8">
        <v>2042637</v>
      </c>
      <c r="B8997" s="11">
        <v>44788</v>
      </c>
      <c r="C8997" s="13" t="s">
        <v>10995</v>
      </c>
      <c r="D8997" s="13" t="s">
        <v>10996</v>
      </c>
      <c r="E8997" s="8">
        <v>10000</v>
      </c>
      <c r="F8997" s="13" t="s">
        <v>70</v>
      </c>
      <c r="G8997" s="14">
        <v>44803</v>
      </c>
      <c r="H8997" s="13" t="s">
        <v>35</v>
      </c>
    </row>
    <row r="8998" spans="1:8" ht="14.4" x14ac:dyDescent="0.3">
      <c r="A8998" s="8">
        <v>2042638</v>
      </c>
      <c r="B8998" s="11">
        <v>44788</v>
      </c>
      <c r="C8998" s="13" t="s">
        <v>10997</v>
      </c>
      <c r="D8998" s="13" t="s">
        <v>10998</v>
      </c>
      <c r="E8998" s="8">
        <v>5000</v>
      </c>
      <c r="F8998" s="13" t="s">
        <v>70</v>
      </c>
      <c r="G8998" s="14">
        <v>44816</v>
      </c>
      <c r="H8998" s="13" t="s">
        <v>35</v>
      </c>
    </row>
    <row r="8999" spans="1:8" ht="14.4" x14ac:dyDescent="0.3">
      <c r="A8999" s="8">
        <v>2042639</v>
      </c>
      <c r="B8999" s="11">
        <v>44788</v>
      </c>
      <c r="C8999" s="13" t="s">
        <v>10999</v>
      </c>
      <c r="D8999" s="13" t="s">
        <v>11000</v>
      </c>
      <c r="E8999" s="8">
        <v>15000</v>
      </c>
      <c r="F8999" s="13" t="s">
        <v>70</v>
      </c>
      <c r="G8999" s="14">
        <v>44844</v>
      </c>
      <c r="H8999" s="13" t="s">
        <v>35</v>
      </c>
    </row>
    <row r="9000" spans="1:8" ht="14.4" x14ac:dyDescent="0.3">
      <c r="A9000" s="8">
        <v>2042641</v>
      </c>
      <c r="B9000" s="11">
        <v>44788</v>
      </c>
      <c r="C9000" s="13" t="s">
        <v>11001</v>
      </c>
      <c r="D9000" s="13" t="s">
        <v>11002</v>
      </c>
      <c r="E9000" s="8">
        <v>15000</v>
      </c>
      <c r="F9000" s="13" t="s">
        <v>70</v>
      </c>
      <c r="G9000" s="14">
        <v>44833</v>
      </c>
      <c r="H9000" s="13" t="s">
        <v>35</v>
      </c>
    </row>
    <row r="9001" spans="1:8" ht="14.4" x14ac:dyDescent="0.3">
      <c r="A9001" s="8">
        <v>2042642</v>
      </c>
      <c r="B9001" s="11">
        <v>44788</v>
      </c>
      <c r="C9001" s="13" t="s">
        <v>11003</v>
      </c>
      <c r="D9001" s="13" t="s">
        <v>11004</v>
      </c>
      <c r="E9001" s="8">
        <v>10000</v>
      </c>
      <c r="F9001" s="13" t="s">
        <v>70</v>
      </c>
      <c r="G9001" s="14">
        <v>44791</v>
      </c>
      <c r="H9001" s="13" t="s">
        <v>35</v>
      </c>
    </row>
    <row r="9002" spans="1:8" ht="14.4" x14ac:dyDescent="0.3">
      <c r="A9002" s="8">
        <v>2042643</v>
      </c>
      <c r="B9002" s="11">
        <v>44788</v>
      </c>
      <c r="C9002" s="13" t="s">
        <v>11005</v>
      </c>
      <c r="D9002" s="13" t="s">
        <v>11006</v>
      </c>
      <c r="E9002" s="8">
        <v>5000</v>
      </c>
      <c r="F9002" s="13" t="s">
        <v>70</v>
      </c>
      <c r="G9002" s="14">
        <v>44796</v>
      </c>
      <c r="H9002" s="13" t="s">
        <v>35</v>
      </c>
    </row>
    <row r="9003" spans="1:8" ht="14.4" x14ac:dyDescent="0.3">
      <c r="A9003" s="8">
        <v>2042644</v>
      </c>
      <c r="B9003" s="11">
        <v>44788</v>
      </c>
      <c r="C9003" s="13" t="s">
        <v>11007</v>
      </c>
      <c r="D9003" s="13" t="s">
        <v>11008</v>
      </c>
      <c r="E9003" s="8">
        <v>15000</v>
      </c>
      <c r="F9003" s="13" t="s">
        <v>70</v>
      </c>
      <c r="G9003" s="14">
        <v>44803</v>
      </c>
      <c r="H9003" s="13" t="s">
        <v>35</v>
      </c>
    </row>
    <row r="9004" spans="1:8" ht="14.4" x14ac:dyDescent="0.3">
      <c r="A9004" s="8">
        <v>2042645</v>
      </c>
      <c r="B9004" s="11">
        <v>44788</v>
      </c>
      <c r="C9004" s="13" t="s">
        <v>60</v>
      </c>
      <c r="D9004" s="13" t="s">
        <v>11009</v>
      </c>
      <c r="E9004" s="8">
        <v>2097708.9900000002</v>
      </c>
      <c r="F9004" s="13" t="s">
        <v>70</v>
      </c>
      <c r="G9004" s="14">
        <v>44798</v>
      </c>
      <c r="H9004" s="13" t="s">
        <v>35</v>
      </c>
    </row>
    <row r="9005" spans="1:8" ht="14.4" x14ac:dyDescent="0.3">
      <c r="A9005" s="8">
        <v>2042646</v>
      </c>
      <c r="B9005" s="11">
        <v>44788</v>
      </c>
      <c r="C9005" s="13" t="s">
        <v>11010</v>
      </c>
      <c r="D9005" s="13" t="s">
        <v>11011</v>
      </c>
      <c r="E9005" s="8">
        <v>10000</v>
      </c>
      <c r="F9005" s="13" t="s">
        <v>70</v>
      </c>
      <c r="G9005" s="14">
        <v>44799</v>
      </c>
      <c r="H9005" s="13" t="s">
        <v>35</v>
      </c>
    </row>
    <row r="9006" spans="1:8" ht="14.4" x14ac:dyDescent="0.3">
      <c r="A9006" s="8">
        <v>2042647</v>
      </c>
      <c r="B9006" s="11">
        <v>44789</v>
      </c>
      <c r="C9006" s="13" t="s">
        <v>159</v>
      </c>
      <c r="D9006" s="13" t="s">
        <v>11012</v>
      </c>
      <c r="E9006" s="8">
        <v>334500</v>
      </c>
      <c r="F9006" s="13" t="s">
        <v>70</v>
      </c>
      <c r="G9006" s="14">
        <v>44789</v>
      </c>
      <c r="H9006" s="13" t="s">
        <v>35</v>
      </c>
    </row>
    <row r="9007" spans="1:8" ht="14.4" x14ac:dyDescent="0.3">
      <c r="A9007" s="8">
        <v>2042648</v>
      </c>
      <c r="B9007" s="11">
        <v>44789</v>
      </c>
      <c r="C9007" s="13" t="s">
        <v>11013</v>
      </c>
      <c r="D9007" s="13" t="s">
        <v>11014</v>
      </c>
      <c r="E9007" s="8">
        <v>5000</v>
      </c>
      <c r="F9007" s="13" t="s">
        <v>70</v>
      </c>
      <c r="G9007" s="14">
        <v>44810</v>
      </c>
      <c r="H9007" s="13" t="s">
        <v>35</v>
      </c>
    </row>
    <row r="9008" spans="1:8" ht="14.4" x14ac:dyDescent="0.3">
      <c r="A9008" s="8">
        <v>2042649</v>
      </c>
      <c r="B9008" s="11">
        <v>44789</v>
      </c>
      <c r="C9008" s="13" t="s">
        <v>11015</v>
      </c>
      <c r="D9008" s="13" t="s">
        <v>11016</v>
      </c>
      <c r="E9008" s="8">
        <v>10000</v>
      </c>
      <c r="F9008" s="13" t="s">
        <v>70</v>
      </c>
      <c r="G9008" s="14">
        <v>44791</v>
      </c>
      <c r="H9008" s="13" t="s">
        <v>35</v>
      </c>
    </row>
    <row r="9009" spans="1:8" ht="14.4" x14ac:dyDescent="0.3">
      <c r="A9009" s="8">
        <v>2042650</v>
      </c>
      <c r="B9009" s="11">
        <v>44789</v>
      </c>
      <c r="C9009" s="13" t="s">
        <v>11017</v>
      </c>
      <c r="D9009" s="13" t="s">
        <v>11018</v>
      </c>
      <c r="E9009" s="8">
        <v>15000</v>
      </c>
      <c r="F9009" s="13" t="s">
        <v>70</v>
      </c>
      <c r="G9009" s="14">
        <v>44804</v>
      </c>
      <c r="H9009" s="13" t="s">
        <v>35</v>
      </c>
    </row>
    <row r="9010" spans="1:8" ht="14.4" x14ac:dyDescent="0.3">
      <c r="A9010" s="8">
        <v>2042651</v>
      </c>
      <c r="B9010" s="11">
        <v>44789</v>
      </c>
      <c r="C9010" s="13" t="s">
        <v>189</v>
      </c>
      <c r="D9010" s="13" t="s">
        <v>11019</v>
      </c>
      <c r="E9010" s="8">
        <v>38883.199999999997</v>
      </c>
      <c r="F9010" s="13" t="s">
        <v>70</v>
      </c>
      <c r="G9010" s="14">
        <v>44796</v>
      </c>
      <c r="H9010" s="13" t="s">
        <v>35</v>
      </c>
    </row>
    <row r="9011" spans="1:8" ht="14.4" x14ac:dyDescent="0.3">
      <c r="A9011" s="8">
        <v>2042652</v>
      </c>
      <c r="B9011" s="11">
        <v>44789</v>
      </c>
      <c r="C9011" s="13" t="s">
        <v>189</v>
      </c>
      <c r="D9011" s="13" t="s">
        <v>11019</v>
      </c>
      <c r="E9011" s="8">
        <v>95459.520000000004</v>
      </c>
      <c r="F9011" s="13" t="s">
        <v>70</v>
      </c>
      <c r="G9011" s="14">
        <v>44792</v>
      </c>
      <c r="H9011" s="13" t="s">
        <v>35</v>
      </c>
    </row>
    <row r="9012" spans="1:8" ht="14.4" x14ac:dyDescent="0.3">
      <c r="A9012" s="8">
        <v>2042653</v>
      </c>
      <c r="B9012" s="11">
        <v>44789</v>
      </c>
      <c r="C9012" s="13" t="s">
        <v>189</v>
      </c>
      <c r="D9012" s="13" t="s">
        <v>11020</v>
      </c>
      <c r="E9012" s="8">
        <v>162099.35999999999</v>
      </c>
      <c r="F9012" s="13" t="s">
        <v>70</v>
      </c>
      <c r="G9012" s="14">
        <v>44799</v>
      </c>
      <c r="H9012" s="13" t="s">
        <v>35</v>
      </c>
    </row>
    <row r="9013" spans="1:8" ht="14.4" x14ac:dyDescent="0.3">
      <c r="A9013" s="8">
        <v>2042654</v>
      </c>
      <c r="B9013" s="11">
        <v>44789</v>
      </c>
      <c r="C9013" s="13" t="s">
        <v>189</v>
      </c>
      <c r="D9013" s="13" t="s">
        <v>11021</v>
      </c>
      <c r="E9013" s="8">
        <v>94626.63</v>
      </c>
      <c r="F9013" s="13" t="s">
        <v>70</v>
      </c>
      <c r="G9013" s="14">
        <v>44803</v>
      </c>
      <c r="H9013" s="13" t="s">
        <v>35</v>
      </c>
    </row>
    <row r="9014" spans="1:8" ht="14.4" x14ac:dyDescent="0.3">
      <c r="A9014" s="8">
        <v>2042655</v>
      </c>
      <c r="B9014" s="11">
        <v>44789</v>
      </c>
      <c r="C9014" s="13" t="s">
        <v>189</v>
      </c>
      <c r="D9014" s="13" t="s">
        <v>11022</v>
      </c>
      <c r="E9014" s="8">
        <v>10086.780000000001</v>
      </c>
      <c r="F9014" s="13" t="s">
        <v>70</v>
      </c>
      <c r="G9014" s="14">
        <v>44803</v>
      </c>
      <c r="H9014" s="13" t="s">
        <v>35</v>
      </c>
    </row>
    <row r="9015" spans="1:8" ht="14.4" x14ac:dyDescent="0.3">
      <c r="A9015" s="8">
        <v>2042656</v>
      </c>
      <c r="B9015" s="11">
        <v>44789</v>
      </c>
      <c r="C9015" s="13" t="s">
        <v>71</v>
      </c>
      <c r="D9015" s="13" t="s">
        <v>11023</v>
      </c>
      <c r="E9015" s="8">
        <v>206448.2</v>
      </c>
      <c r="F9015" s="13" t="s">
        <v>70</v>
      </c>
      <c r="G9015" s="14">
        <v>44798</v>
      </c>
      <c r="H9015" s="13" t="s">
        <v>35</v>
      </c>
    </row>
    <row r="9016" spans="1:8" ht="14.4" x14ac:dyDescent="0.3">
      <c r="A9016" s="8">
        <v>2042657</v>
      </c>
      <c r="B9016" s="11">
        <v>44789</v>
      </c>
      <c r="C9016" s="13" t="s">
        <v>6518</v>
      </c>
      <c r="D9016" s="13" t="s">
        <v>11024</v>
      </c>
      <c r="E9016" s="8">
        <v>5000</v>
      </c>
      <c r="F9016" s="13" t="s">
        <v>70</v>
      </c>
      <c r="G9016" s="14">
        <v>44805</v>
      </c>
      <c r="H9016" s="13" t="s">
        <v>35</v>
      </c>
    </row>
    <row r="9017" spans="1:8" ht="14.4" x14ac:dyDescent="0.3">
      <c r="A9017" s="8">
        <v>2042658</v>
      </c>
      <c r="B9017" s="11">
        <v>44789</v>
      </c>
      <c r="C9017" s="13" t="s">
        <v>44</v>
      </c>
      <c r="D9017" s="13" t="s">
        <v>11025</v>
      </c>
      <c r="E9017" s="8">
        <v>3043.73</v>
      </c>
      <c r="F9017" s="13" t="s">
        <v>70</v>
      </c>
      <c r="G9017" s="14">
        <v>44791</v>
      </c>
      <c r="H9017" s="13" t="s">
        <v>35</v>
      </c>
    </row>
    <row r="9018" spans="1:8" ht="14.4" x14ac:dyDescent="0.3">
      <c r="A9018" s="8">
        <v>2042659</v>
      </c>
      <c r="B9018" s="11">
        <v>44789</v>
      </c>
      <c r="C9018" s="13" t="s">
        <v>4308</v>
      </c>
      <c r="D9018" s="13" t="s">
        <v>11026</v>
      </c>
      <c r="E9018" s="8">
        <v>10000</v>
      </c>
      <c r="F9018" s="13" t="s">
        <v>70</v>
      </c>
      <c r="G9018" s="14">
        <v>44791</v>
      </c>
      <c r="H9018" s="13" t="s">
        <v>35</v>
      </c>
    </row>
    <row r="9019" spans="1:8" ht="14.4" x14ac:dyDescent="0.3">
      <c r="A9019" s="8">
        <v>2042660</v>
      </c>
      <c r="B9019" s="11">
        <v>44789</v>
      </c>
      <c r="C9019" s="13" t="s">
        <v>1286</v>
      </c>
      <c r="D9019" s="13" t="s">
        <v>11027</v>
      </c>
      <c r="E9019" s="8">
        <v>7019.47</v>
      </c>
      <c r="F9019" s="13" t="s">
        <v>70</v>
      </c>
      <c r="G9019" s="14">
        <v>44790</v>
      </c>
      <c r="H9019" s="13" t="s">
        <v>35</v>
      </c>
    </row>
    <row r="9020" spans="1:8" ht="14.4" x14ac:dyDescent="0.3">
      <c r="A9020" s="8">
        <v>2042661</v>
      </c>
      <c r="B9020" s="11">
        <v>44789</v>
      </c>
      <c r="C9020" s="13" t="s">
        <v>9357</v>
      </c>
      <c r="D9020" s="13" t="s">
        <v>11028</v>
      </c>
      <c r="E9020" s="8">
        <v>319228.5</v>
      </c>
      <c r="F9020" s="13" t="s">
        <v>70</v>
      </c>
      <c r="G9020" s="14">
        <v>44813</v>
      </c>
      <c r="H9020" s="13" t="s">
        <v>35</v>
      </c>
    </row>
    <row r="9021" spans="1:8" ht="14.4" x14ac:dyDescent="0.3">
      <c r="A9021" s="8">
        <v>2042662</v>
      </c>
      <c r="B9021" s="11">
        <v>44789</v>
      </c>
      <c r="C9021" s="13" t="s">
        <v>127</v>
      </c>
      <c r="D9021" s="13" t="s">
        <v>11029</v>
      </c>
      <c r="E9021" s="8">
        <v>16895.169999999998</v>
      </c>
      <c r="F9021" s="13" t="s">
        <v>70</v>
      </c>
      <c r="G9021" s="14">
        <v>44798</v>
      </c>
      <c r="H9021" s="13" t="s">
        <v>35</v>
      </c>
    </row>
    <row r="9022" spans="1:8" ht="14.4" x14ac:dyDescent="0.3">
      <c r="A9022" s="8">
        <v>2042663</v>
      </c>
      <c r="B9022" s="11">
        <v>44789</v>
      </c>
      <c r="C9022" s="13" t="s">
        <v>127</v>
      </c>
      <c r="D9022" s="13" t="s">
        <v>11030</v>
      </c>
      <c r="E9022" s="8">
        <v>8924.82</v>
      </c>
      <c r="F9022" s="13" t="s">
        <v>70</v>
      </c>
      <c r="G9022" s="14">
        <v>44798</v>
      </c>
      <c r="H9022" s="13" t="s">
        <v>35</v>
      </c>
    </row>
    <row r="9023" spans="1:8" ht="14.4" x14ac:dyDescent="0.3">
      <c r="A9023" s="8">
        <v>2042664</v>
      </c>
      <c r="B9023" s="11">
        <v>44789</v>
      </c>
      <c r="C9023" s="13" t="s">
        <v>52</v>
      </c>
      <c r="D9023" s="13" t="s">
        <v>11031</v>
      </c>
      <c r="E9023" s="8">
        <v>13250</v>
      </c>
      <c r="F9023" s="13" t="s">
        <v>70</v>
      </c>
      <c r="G9023" s="14">
        <v>44798</v>
      </c>
      <c r="H9023" s="13" t="s">
        <v>35</v>
      </c>
    </row>
    <row r="9024" spans="1:8" ht="14.4" x14ac:dyDescent="0.3">
      <c r="A9024" s="8">
        <v>2042665</v>
      </c>
      <c r="B9024" s="11">
        <v>44789</v>
      </c>
      <c r="C9024" s="13" t="s">
        <v>1524</v>
      </c>
      <c r="D9024" s="13" t="s">
        <v>11032</v>
      </c>
      <c r="E9024" s="8">
        <v>194056.09</v>
      </c>
      <c r="F9024" s="13" t="s">
        <v>70</v>
      </c>
      <c r="G9024" s="14">
        <v>44792</v>
      </c>
      <c r="H9024" s="13" t="s">
        <v>35</v>
      </c>
    </row>
    <row r="9025" spans="1:8" ht="14.4" x14ac:dyDescent="0.3">
      <c r="A9025" s="8">
        <v>2042666</v>
      </c>
      <c r="B9025" s="11">
        <v>44789</v>
      </c>
      <c r="C9025" s="13" t="s">
        <v>1941</v>
      </c>
      <c r="D9025" s="13" t="s">
        <v>11033</v>
      </c>
      <c r="E9025" s="8">
        <v>8044.65</v>
      </c>
      <c r="F9025" s="13" t="s">
        <v>70</v>
      </c>
      <c r="G9025" s="14">
        <v>44803</v>
      </c>
      <c r="H9025" s="13" t="s">
        <v>35</v>
      </c>
    </row>
    <row r="9026" spans="1:8" ht="14.4" x14ac:dyDescent="0.3">
      <c r="A9026" s="8">
        <v>2042667</v>
      </c>
      <c r="B9026" s="11">
        <v>44789</v>
      </c>
      <c r="C9026" s="13" t="s">
        <v>1937</v>
      </c>
      <c r="D9026" s="13" t="s">
        <v>11034</v>
      </c>
      <c r="E9026" s="8">
        <v>20712.59</v>
      </c>
      <c r="F9026" s="13" t="s">
        <v>70</v>
      </c>
      <c r="G9026" s="14">
        <v>44805</v>
      </c>
      <c r="H9026" s="13" t="s">
        <v>35</v>
      </c>
    </row>
    <row r="9027" spans="1:8" ht="14.4" x14ac:dyDescent="0.3">
      <c r="A9027" s="8">
        <v>2042668</v>
      </c>
      <c r="B9027" s="11">
        <v>44789</v>
      </c>
      <c r="C9027" s="13" t="s">
        <v>53</v>
      </c>
      <c r="D9027" s="13" t="s">
        <v>11035</v>
      </c>
      <c r="E9027" s="8">
        <v>305441.5</v>
      </c>
      <c r="F9027" s="13" t="s">
        <v>70</v>
      </c>
      <c r="G9027" s="14">
        <v>44795</v>
      </c>
      <c r="H9027" s="13" t="s">
        <v>35</v>
      </c>
    </row>
    <row r="9028" spans="1:8" ht="14.4" x14ac:dyDescent="0.3">
      <c r="A9028" s="8">
        <v>2042669</v>
      </c>
      <c r="B9028" s="11">
        <v>44789</v>
      </c>
      <c r="C9028" s="13" t="s">
        <v>53</v>
      </c>
      <c r="D9028" s="13" t="s">
        <v>11036</v>
      </c>
      <c r="E9028" s="8">
        <v>281132.59999999998</v>
      </c>
      <c r="F9028" s="13" t="s">
        <v>70</v>
      </c>
      <c r="G9028" s="14">
        <v>44795</v>
      </c>
      <c r="H9028" s="13" t="s">
        <v>35</v>
      </c>
    </row>
    <row r="9029" spans="1:8" ht="14.4" x14ac:dyDescent="0.3">
      <c r="A9029" s="8">
        <v>2042670</v>
      </c>
      <c r="B9029" s="11">
        <v>44789</v>
      </c>
      <c r="C9029" s="13" t="s">
        <v>11037</v>
      </c>
      <c r="D9029" s="13" t="s">
        <v>11038</v>
      </c>
      <c r="E9029" s="8">
        <v>23589.74</v>
      </c>
      <c r="F9029" s="13" t="s">
        <v>70</v>
      </c>
      <c r="G9029" s="14">
        <v>44791</v>
      </c>
      <c r="H9029" s="13" t="s">
        <v>35</v>
      </c>
    </row>
    <row r="9030" spans="1:8" ht="14.4" x14ac:dyDescent="0.3">
      <c r="A9030" s="8">
        <v>2042671</v>
      </c>
      <c r="B9030" s="11">
        <v>44789</v>
      </c>
      <c r="C9030" s="13" t="s">
        <v>1286</v>
      </c>
      <c r="D9030" s="13" t="s">
        <v>11039</v>
      </c>
      <c r="E9030" s="8">
        <v>18602.77</v>
      </c>
      <c r="F9030" s="13" t="s">
        <v>70</v>
      </c>
      <c r="G9030" s="14">
        <v>44790</v>
      </c>
      <c r="H9030" s="13" t="s">
        <v>35</v>
      </c>
    </row>
    <row r="9031" spans="1:8" ht="14.4" x14ac:dyDescent="0.3">
      <c r="A9031" s="8">
        <v>2042672</v>
      </c>
      <c r="B9031" s="11">
        <v>44789</v>
      </c>
      <c r="C9031" s="13" t="s">
        <v>3838</v>
      </c>
      <c r="D9031" s="13" t="s">
        <v>11040</v>
      </c>
      <c r="E9031" s="8">
        <v>46560</v>
      </c>
      <c r="F9031" s="13" t="s">
        <v>70</v>
      </c>
      <c r="G9031" s="14">
        <v>44798</v>
      </c>
      <c r="H9031" s="13" t="s">
        <v>35</v>
      </c>
    </row>
    <row r="9032" spans="1:8" ht="14.4" x14ac:dyDescent="0.3">
      <c r="A9032" s="8">
        <v>2042673</v>
      </c>
      <c r="B9032" s="11">
        <v>44789</v>
      </c>
      <c r="C9032" s="13" t="s">
        <v>11041</v>
      </c>
      <c r="D9032" s="13" t="s">
        <v>11042</v>
      </c>
      <c r="E9032" s="8">
        <v>5906.25</v>
      </c>
      <c r="F9032" s="13" t="s">
        <v>70</v>
      </c>
      <c r="G9032" s="14">
        <v>44792</v>
      </c>
      <c r="H9032" s="13" t="s">
        <v>35</v>
      </c>
    </row>
    <row r="9033" spans="1:8" ht="14.4" x14ac:dyDescent="0.3">
      <c r="A9033" s="8">
        <v>2042674</v>
      </c>
      <c r="B9033" s="11">
        <v>44789</v>
      </c>
      <c r="C9033" s="13" t="s">
        <v>1946</v>
      </c>
      <c r="D9033" s="13" t="s">
        <v>11043</v>
      </c>
      <c r="E9033" s="8">
        <v>15900</v>
      </c>
      <c r="F9033" s="13" t="s">
        <v>70</v>
      </c>
      <c r="G9033" s="14">
        <v>44796</v>
      </c>
      <c r="H9033" s="13" t="s">
        <v>35</v>
      </c>
    </row>
    <row r="9034" spans="1:8" ht="14.4" x14ac:dyDescent="0.3">
      <c r="A9034" s="8">
        <v>2042675</v>
      </c>
      <c r="B9034" s="11">
        <v>44789</v>
      </c>
      <c r="C9034" s="13" t="s">
        <v>1286</v>
      </c>
      <c r="D9034" s="13" t="s">
        <v>11044</v>
      </c>
      <c r="E9034" s="8">
        <v>173069.97</v>
      </c>
      <c r="F9034" s="13" t="s">
        <v>70</v>
      </c>
      <c r="G9034" s="14">
        <v>44790</v>
      </c>
      <c r="H9034" s="13" t="s">
        <v>35</v>
      </c>
    </row>
    <row r="9035" spans="1:8" ht="14.4" x14ac:dyDescent="0.3">
      <c r="A9035" s="8">
        <v>2042676</v>
      </c>
      <c r="B9035" s="11">
        <v>44789</v>
      </c>
      <c r="C9035" s="13" t="s">
        <v>275</v>
      </c>
      <c r="D9035" s="13" t="s">
        <v>11045</v>
      </c>
      <c r="E9035" s="8">
        <v>266559.98</v>
      </c>
      <c r="F9035" s="13" t="s">
        <v>70</v>
      </c>
      <c r="G9035" s="14">
        <v>44790</v>
      </c>
      <c r="H9035" s="13" t="s">
        <v>35</v>
      </c>
    </row>
    <row r="9036" spans="1:8" ht="14.4" x14ac:dyDescent="0.3">
      <c r="A9036" s="8">
        <v>2042678</v>
      </c>
      <c r="B9036" s="11">
        <v>44789</v>
      </c>
      <c r="C9036" s="13" t="s">
        <v>492</v>
      </c>
      <c r="D9036" s="13" t="s">
        <v>11046</v>
      </c>
      <c r="E9036" s="8">
        <v>32373.5</v>
      </c>
      <c r="F9036" s="13" t="s">
        <v>70</v>
      </c>
      <c r="G9036" s="14">
        <v>44792</v>
      </c>
      <c r="H9036" s="13" t="s">
        <v>35</v>
      </c>
    </row>
    <row r="9037" spans="1:8" ht="14.4" x14ac:dyDescent="0.3">
      <c r="A9037" s="8">
        <v>2042679</v>
      </c>
      <c r="B9037" s="11">
        <v>44789</v>
      </c>
      <c r="C9037" s="13" t="s">
        <v>279</v>
      </c>
      <c r="D9037" s="13" t="s">
        <v>11047</v>
      </c>
      <c r="E9037" s="8">
        <v>42086.87</v>
      </c>
      <c r="F9037" s="13" t="s">
        <v>70</v>
      </c>
      <c r="G9037" s="14">
        <v>44798</v>
      </c>
      <c r="H9037" s="13" t="s">
        <v>35</v>
      </c>
    </row>
    <row r="9038" spans="1:8" ht="14.4" x14ac:dyDescent="0.3">
      <c r="A9038" s="8">
        <v>2042680</v>
      </c>
      <c r="B9038" s="11">
        <v>44789</v>
      </c>
      <c r="C9038" s="13" t="s">
        <v>1286</v>
      </c>
      <c r="D9038" s="13" t="s">
        <v>11048</v>
      </c>
      <c r="E9038" s="8">
        <v>83897.29</v>
      </c>
      <c r="F9038" s="13" t="s">
        <v>70</v>
      </c>
      <c r="G9038" s="14">
        <v>44790</v>
      </c>
      <c r="H9038" s="13" t="s">
        <v>35</v>
      </c>
    </row>
    <row r="9039" spans="1:8" ht="14.4" x14ac:dyDescent="0.3">
      <c r="A9039" s="8">
        <v>2042681</v>
      </c>
      <c r="B9039" s="11">
        <v>44789</v>
      </c>
      <c r="C9039" s="13" t="s">
        <v>1286</v>
      </c>
      <c r="D9039" s="13" t="s">
        <v>11049</v>
      </c>
      <c r="E9039" s="8">
        <v>12665.03</v>
      </c>
      <c r="F9039" s="13" t="s">
        <v>70</v>
      </c>
      <c r="G9039" s="14">
        <v>44790</v>
      </c>
      <c r="H9039" s="13" t="s">
        <v>35</v>
      </c>
    </row>
    <row r="9040" spans="1:8" ht="14.4" x14ac:dyDescent="0.3">
      <c r="A9040" s="8">
        <v>2042682</v>
      </c>
      <c r="B9040" s="11">
        <v>44789</v>
      </c>
      <c r="C9040" s="13" t="s">
        <v>10480</v>
      </c>
      <c r="D9040" s="13" t="s">
        <v>11050</v>
      </c>
      <c r="E9040" s="8">
        <v>20000</v>
      </c>
      <c r="F9040" s="13" t="s">
        <v>70</v>
      </c>
      <c r="G9040" s="14">
        <v>44795</v>
      </c>
      <c r="H9040" s="13" t="s">
        <v>35</v>
      </c>
    </row>
    <row r="9041" spans="1:8" ht="14.4" x14ac:dyDescent="0.3">
      <c r="A9041" s="8">
        <v>2042683</v>
      </c>
      <c r="B9041" s="11">
        <v>44789</v>
      </c>
      <c r="C9041" s="13" t="s">
        <v>1716</v>
      </c>
      <c r="D9041" s="13" t="s">
        <v>11051</v>
      </c>
      <c r="E9041" s="8">
        <v>71050</v>
      </c>
      <c r="F9041" s="13" t="s">
        <v>70</v>
      </c>
      <c r="G9041" s="14">
        <v>44795</v>
      </c>
      <c r="H9041" s="13" t="s">
        <v>35</v>
      </c>
    </row>
    <row r="9042" spans="1:8" ht="14.4" x14ac:dyDescent="0.3">
      <c r="A9042" s="8">
        <v>2042684</v>
      </c>
      <c r="B9042" s="11">
        <v>44789</v>
      </c>
      <c r="C9042" s="13" t="s">
        <v>176</v>
      </c>
      <c r="D9042" s="13" t="s">
        <v>11052</v>
      </c>
      <c r="E9042" s="8">
        <v>100500</v>
      </c>
      <c r="F9042" s="13" t="s">
        <v>70</v>
      </c>
      <c r="G9042" s="14">
        <v>44799</v>
      </c>
      <c r="H9042" s="13" t="s">
        <v>35</v>
      </c>
    </row>
    <row r="9043" spans="1:8" ht="14.4" x14ac:dyDescent="0.3">
      <c r="A9043" s="8">
        <v>2042685</v>
      </c>
      <c r="B9043" s="11">
        <v>44789</v>
      </c>
      <c r="C9043" s="13" t="s">
        <v>2906</v>
      </c>
      <c r="D9043" s="13" t="s">
        <v>11052</v>
      </c>
      <c r="E9043" s="8">
        <v>138000</v>
      </c>
      <c r="F9043" s="13" t="s">
        <v>70</v>
      </c>
      <c r="G9043" s="14">
        <v>44799</v>
      </c>
      <c r="H9043" s="13" t="s">
        <v>35</v>
      </c>
    </row>
    <row r="9044" spans="1:8" ht="14.4" x14ac:dyDescent="0.3">
      <c r="A9044" s="8">
        <v>2042686</v>
      </c>
      <c r="B9044" s="11">
        <v>44789</v>
      </c>
      <c r="C9044" s="13" t="s">
        <v>74</v>
      </c>
      <c r="D9044" s="13" t="s">
        <v>11053</v>
      </c>
      <c r="E9044" s="8">
        <v>5000</v>
      </c>
      <c r="F9044" s="13" t="s">
        <v>70</v>
      </c>
      <c r="G9044" s="14">
        <v>44799</v>
      </c>
      <c r="H9044" s="13" t="s">
        <v>35</v>
      </c>
    </row>
    <row r="9045" spans="1:8" ht="14.4" x14ac:dyDescent="0.3">
      <c r="A9045" s="8">
        <v>2042687</v>
      </c>
      <c r="B9045" s="11">
        <v>44789</v>
      </c>
      <c r="C9045" s="13" t="s">
        <v>1193</v>
      </c>
      <c r="D9045" s="13" t="s">
        <v>11054</v>
      </c>
      <c r="E9045" s="8">
        <v>10000</v>
      </c>
      <c r="F9045" s="13" t="s">
        <v>70</v>
      </c>
      <c r="G9045" s="14">
        <v>44796</v>
      </c>
      <c r="H9045" s="13" t="s">
        <v>35</v>
      </c>
    </row>
    <row r="9046" spans="1:8" ht="14.4" x14ac:dyDescent="0.3">
      <c r="A9046" s="8">
        <v>2042688</v>
      </c>
      <c r="B9046" s="11">
        <v>44790</v>
      </c>
      <c r="C9046" s="13" t="s">
        <v>11055</v>
      </c>
      <c r="D9046" s="13" t="s">
        <v>11056</v>
      </c>
      <c r="E9046" s="8">
        <v>16000</v>
      </c>
      <c r="F9046" s="13" t="s">
        <v>70</v>
      </c>
      <c r="G9046" s="14">
        <v>44792</v>
      </c>
      <c r="H9046" s="13" t="s">
        <v>35</v>
      </c>
    </row>
    <row r="9047" spans="1:8" ht="14.4" x14ac:dyDescent="0.3">
      <c r="A9047" s="8">
        <v>2042689</v>
      </c>
      <c r="B9047" s="11">
        <v>44790</v>
      </c>
      <c r="C9047" s="13" t="s">
        <v>11057</v>
      </c>
      <c r="D9047" s="13" t="s">
        <v>11058</v>
      </c>
      <c r="E9047" s="8">
        <v>9000</v>
      </c>
      <c r="F9047" s="13" t="s">
        <v>70</v>
      </c>
      <c r="G9047" s="14">
        <v>44795</v>
      </c>
      <c r="H9047" s="13" t="s">
        <v>35</v>
      </c>
    </row>
    <row r="9048" spans="1:8" ht="14.4" x14ac:dyDescent="0.3">
      <c r="A9048" s="8">
        <v>2042690</v>
      </c>
      <c r="B9048" s="11">
        <v>44790</v>
      </c>
      <c r="C9048" s="13" t="s">
        <v>11059</v>
      </c>
      <c r="D9048" s="13" t="s">
        <v>11060</v>
      </c>
      <c r="E9048" s="8">
        <v>9000</v>
      </c>
      <c r="F9048" s="13" t="s">
        <v>70</v>
      </c>
      <c r="G9048" s="14">
        <v>44792</v>
      </c>
      <c r="H9048" s="13" t="s">
        <v>35</v>
      </c>
    </row>
    <row r="9049" spans="1:8" ht="14.4" x14ac:dyDescent="0.3">
      <c r="A9049" s="8">
        <v>2042691</v>
      </c>
      <c r="B9049" s="11">
        <v>44790</v>
      </c>
      <c r="C9049" s="13" t="s">
        <v>11061</v>
      </c>
      <c r="D9049" s="13" t="s">
        <v>11062</v>
      </c>
      <c r="E9049" s="8">
        <v>11000</v>
      </c>
      <c r="F9049" s="13" t="s">
        <v>70</v>
      </c>
      <c r="G9049" s="14">
        <v>44803</v>
      </c>
      <c r="H9049" s="13" t="s">
        <v>35</v>
      </c>
    </row>
    <row r="9050" spans="1:8" ht="14.4" x14ac:dyDescent="0.3">
      <c r="A9050" s="8">
        <v>2042692</v>
      </c>
      <c r="B9050" s="11">
        <v>44790</v>
      </c>
      <c r="C9050" s="13" t="s">
        <v>11063</v>
      </c>
      <c r="D9050" s="13" t="s">
        <v>11064</v>
      </c>
      <c r="E9050" s="8">
        <v>10000</v>
      </c>
      <c r="F9050" s="13" t="s">
        <v>70</v>
      </c>
      <c r="G9050" s="14">
        <v>44792</v>
      </c>
      <c r="H9050" s="13" t="s">
        <v>35</v>
      </c>
    </row>
    <row r="9051" spans="1:8" ht="14.4" x14ac:dyDescent="0.3">
      <c r="A9051" s="8">
        <v>2042693</v>
      </c>
      <c r="B9051" s="11">
        <v>44790</v>
      </c>
      <c r="C9051" s="13" t="s">
        <v>11065</v>
      </c>
      <c r="D9051" s="13" t="s">
        <v>11066</v>
      </c>
      <c r="E9051" s="8">
        <v>15000</v>
      </c>
      <c r="F9051" s="13" t="s">
        <v>70</v>
      </c>
      <c r="G9051" s="14">
        <v>44792</v>
      </c>
      <c r="H9051" s="13" t="s">
        <v>35</v>
      </c>
    </row>
    <row r="9052" spans="1:8" ht="14.4" x14ac:dyDescent="0.3">
      <c r="A9052" s="8">
        <v>2042694</v>
      </c>
      <c r="B9052" s="11">
        <v>44790</v>
      </c>
      <c r="C9052" s="13" t="s">
        <v>11067</v>
      </c>
      <c r="D9052" s="13" t="s">
        <v>11068</v>
      </c>
      <c r="E9052" s="8">
        <v>10000</v>
      </c>
      <c r="F9052" s="13" t="s">
        <v>70</v>
      </c>
      <c r="G9052" s="14">
        <v>44792</v>
      </c>
      <c r="H9052" s="13" t="s">
        <v>35</v>
      </c>
    </row>
    <row r="9053" spans="1:8" ht="14.4" x14ac:dyDescent="0.3">
      <c r="A9053" s="8">
        <v>2042695</v>
      </c>
      <c r="B9053" s="11">
        <v>44790</v>
      </c>
      <c r="C9053" s="13" t="s">
        <v>8428</v>
      </c>
      <c r="D9053" s="13" t="s">
        <v>11069</v>
      </c>
      <c r="E9053" s="8">
        <v>12000</v>
      </c>
      <c r="F9053" s="13" t="s">
        <v>70</v>
      </c>
      <c r="G9053" s="14">
        <v>44792</v>
      </c>
      <c r="H9053" s="13" t="s">
        <v>35</v>
      </c>
    </row>
    <row r="9054" spans="1:8" ht="14.4" x14ac:dyDescent="0.3">
      <c r="A9054" s="8">
        <v>2042696</v>
      </c>
      <c r="B9054" s="11">
        <v>44790</v>
      </c>
      <c r="C9054" s="13" t="s">
        <v>11070</v>
      </c>
      <c r="D9054" s="13" t="s">
        <v>11071</v>
      </c>
      <c r="E9054" s="8">
        <v>15000</v>
      </c>
      <c r="F9054" s="13" t="s">
        <v>70</v>
      </c>
      <c r="G9054" s="14">
        <v>44792</v>
      </c>
      <c r="H9054" s="13" t="s">
        <v>35</v>
      </c>
    </row>
    <row r="9055" spans="1:8" ht="14.4" x14ac:dyDescent="0.3">
      <c r="A9055" s="8">
        <v>2042697</v>
      </c>
      <c r="B9055" s="11">
        <v>44790</v>
      </c>
      <c r="C9055" s="13" t="s">
        <v>11072</v>
      </c>
      <c r="D9055" s="13" t="s">
        <v>11073</v>
      </c>
      <c r="E9055" s="8">
        <v>10800</v>
      </c>
      <c r="F9055" s="13" t="s">
        <v>70</v>
      </c>
      <c r="G9055" s="14">
        <v>44795</v>
      </c>
      <c r="H9055" s="13" t="s">
        <v>35</v>
      </c>
    </row>
    <row r="9056" spans="1:8" ht="14.4" x14ac:dyDescent="0.3">
      <c r="A9056" s="8">
        <v>2042698</v>
      </c>
      <c r="B9056" s="11">
        <v>44790</v>
      </c>
      <c r="C9056" s="13" t="s">
        <v>11074</v>
      </c>
      <c r="D9056" s="13" t="s">
        <v>11075</v>
      </c>
      <c r="E9056" s="8">
        <v>50000</v>
      </c>
      <c r="F9056" s="13" t="s">
        <v>70</v>
      </c>
      <c r="G9056" s="14">
        <v>44792</v>
      </c>
      <c r="H9056" s="13" t="s">
        <v>35</v>
      </c>
    </row>
    <row r="9057" spans="1:8" ht="14.4" x14ac:dyDescent="0.3">
      <c r="A9057" s="8">
        <v>2042699</v>
      </c>
      <c r="B9057" s="11">
        <v>44790</v>
      </c>
      <c r="C9057" s="13" t="s">
        <v>11076</v>
      </c>
      <c r="D9057" s="13" t="s">
        <v>11077</v>
      </c>
      <c r="E9057" s="8">
        <v>50000</v>
      </c>
      <c r="F9057" s="13" t="s">
        <v>70</v>
      </c>
      <c r="G9057" s="14">
        <v>44791</v>
      </c>
      <c r="H9057" s="13" t="s">
        <v>35</v>
      </c>
    </row>
    <row r="9058" spans="1:8" ht="14.4" x14ac:dyDescent="0.3">
      <c r="A9058" s="8">
        <v>2042700</v>
      </c>
      <c r="B9058" s="11">
        <v>44790</v>
      </c>
      <c r="C9058" s="13" t="s">
        <v>11078</v>
      </c>
      <c r="D9058" s="13" t="s">
        <v>11079</v>
      </c>
      <c r="E9058" s="8">
        <v>14700</v>
      </c>
      <c r="F9058" s="13" t="s">
        <v>70</v>
      </c>
      <c r="G9058" s="14">
        <v>44792</v>
      </c>
      <c r="H9058" s="13" t="s">
        <v>35</v>
      </c>
    </row>
    <row r="9059" spans="1:8" ht="14.4" x14ac:dyDescent="0.3">
      <c r="A9059" s="8">
        <v>2042701</v>
      </c>
      <c r="B9059" s="11">
        <v>44790</v>
      </c>
      <c r="C9059" s="13" t="s">
        <v>11080</v>
      </c>
      <c r="D9059" s="13" t="s">
        <v>11081</v>
      </c>
      <c r="E9059" s="8">
        <v>10000</v>
      </c>
      <c r="F9059" s="13" t="s">
        <v>70</v>
      </c>
      <c r="G9059" s="14">
        <v>44792</v>
      </c>
      <c r="H9059" s="13" t="s">
        <v>35</v>
      </c>
    </row>
    <row r="9060" spans="1:8" ht="14.4" x14ac:dyDescent="0.3">
      <c r="A9060" s="8">
        <v>2042702</v>
      </c>
      <c r="B9060" s="11">
        <v>44790</v>
      </c>
      <c r="C9060" s="13" t="s">
        <v>11082</v>
      </c>
      <c r="D9060" s="13" t="s">
        <v>11083</v>
      </c>
      <c r="E9060" s="8">
        <v>30000</v>
      </c>
      <c r="F9060" s="13" t="s">
        <v>70</v>
      </c>
      <c r="G9060" s="14">
        <v>44792</v>
      </c>
      <c r="H9060" s="13" t="s">
        <v>35</v>
      </c>
    </row>
    <row r="9061" spans="1:8" ht="14.4" x14ac:dyDescent="0.3">
      <c r="A9061" s="8">
        <v>2042703</v>
      </c>
      <c r="B9061" s="11">
        <v>44790</v>
      </c>
      <c r="C9061" s="13" t="s">
        <v>11084</v>
      </c>
      <c r="D9061" s="13" t="s">
        <v>11085</v>
      </c>
      <c r="E9061" s="8">
        <v>18000</v>
      </c>
      <c r="F9061" s="13" t="s">
        <v>70</v>
      </c>
      <c r="G9061" s="14">
        <v>44792</v>
      </c>
      <c r="H9061" s="13" t="s">
        <v>35</v>
      </c>
    </row>
    <row r="9062" spans="1:8" ht="14.4" x14ac:dyDescent="0.3">
      <c r="A9062" s="8">
        <v>2042704</v>
      </c>
      <c r="B9062" s="11">
        <v>44790</v>
      </c>
      <c r="C9062" s="13" t="s">
        <v>11086</v>
      </c>
      <c r="D9062" s="13" t="s">
        <v>11087</v>
      </c>
      <c r="E9062" s="8">
        <v>10000</v>
      </c>
      <c r="F9062" s="13" t="s">
        <v>70</v>
      </c>
      <c r="G9062" s="14">
        <v>44792</v>
      </c>
      <c r="H9062" s="13" t="s">
        <v>35</v>
      </c>
    </row>
    <row r="9063" spans="1:8" ht="14.4" x14ac:dyDescent="0.3">
      <c r="A9063" s="8">
        <v>2042705</v>
      </c>
      <c r="B9063" s="11">
        <v>44790</v>
      </c>
      <c r="C9063" s="13" t="s">
        <v>11088</v>
      </c>
      <c r="D9063" s="13" t="s">
        <v>11089</v>
      </c>
      <c r="E9063" s="8">
        <v>15000</v>
      </c>
      <c r="F9063" s="13" t="s">
        <v>70</v>
      </c>
      <c r="G9063" s="14">
        <v>44792</v>
      </c>
      <c r="H9063" s="13" t="s">
        <v>35</v>
      </c>
    </row>
    <row r="9064" spans="1:8" ht="14.4" x14ac:dyDescent="0.3">
      <c r="A9064" s="8">
        <v>2042706</v>
      </c>
      <c r="B9064" s="11">
        <v>44790</v>
      </c>
      <c r="C9064" s="13" t="s">
        <v>11090</v>
      </c>
      <c r="D9064" s="13" t="s">
        <v>11091</v>
      </c>
      <c r="E9064" s="8">
        <v>8000</v>
      </c>
      <c r="F9064" s="13" t="s">
        <v>70</v>
      </c>
      <c r="G9064" s="14">
        <v>44792</v>
      </c>
      <c r="H9064" s="13" t="s">
        <v>35</v>
      </c>
    </row>
    <row r="9065" spans="1:8" ht="14.4" x14ac:dyDescent="0.3">
      <c r="A9065" s="8">
        <v>2042707</v>
      </c>
      <c r="B9065" s="11">
        <v>44790</v>
      </c>
      <c r="C9065" s="13" t="s">
        <v>11092</v>
      </c>
      <c r="D9065" s="13" t="s">
        <v>11093</v>
      </c>
      <c r="E9065" s="8">
        <v>12000</v>
      </c>
      <c r="F9065" s="13" t="s">
        <v>70</v>
      </c>
      <c r="G9065" s="14">
        <v>44792</v>
      </c>
      <c r="H9065" s="13" t="s">
        <v>35</v>
      </c>
    </row>
    <row r="9066" spans="1:8" ht="14.4" x14ac:dyDescent="0.3">
      <c r="A9066" s="8">
        <v>2042708</v>
      </c>
      <c r="B9066" s="11">
        <v>44790</v>
      </c>
      <c r="C9066" s="13" t="s">
        <v>7830</v>
      </c>
      <c r="D9066" s="13" t="s">
        <v>11094</v>
      </c>
      <c r="E9066" s="8">
        <v>50000</v>
      </c>
      <c r="F9066" s="13" t="s">
        <v>70</v>
      </c>
      <c r="G9066" s="14">
        <v>44795</v>
      </c>
      <c r="H9066" s="13" t="s">
        <v>35</v>
      </c>
    </row>
    <row r="9067" spans="1:8" ht="14.4" x14ac:dyDescent="0.3">
      <c r="A9067" s="8">
        <v>2042709</v>
      </c>
      <c r="B9067" s="11">
        <v>44790</v>
      </c>
      <c r="C9067" s="13" t="s">
        <v>159</v>
      </c>
      <c r="D9067" s="13" t="s">
        <v>11095</v>
      </c>
      <c r="E9067" s="8">
        <v>298000</v>
      </c>
      <c r="F9067" s="13" t="s">
        <v>70</v>
      </c>
      <c r="G9067" s="14">
        <v>44791</v>
      </c>
      <c r="H9067" s="13" t="s">
        <v>35</v>
      </c>
    </row>
    <row r="9068" spans="1:8" ht="14.4" x14ac:dyDescent="0.3">
      <c r="A9068" s="8">
        <v>2042710</v>
      </c>
      <c r="B9068" s="11">
        <v>44790</v>
      </c>
      <c r="C9068" s="13" t="s">
        <v>1716</v>
      </c>
      <c r="D9068" s="13" t="s">
        <v>11096</v>
      </c>
      <c r="E9068" s="8">
        <v>19400</v>
      </c>
      <c r="F9068" s="13" t="s">
        <v>70</v>
      </c>
      <c r="G9068" s="14">
        <v>44795</v>
      </c>
      <c r="H9068" s="13" t="s">
        <v>35</v>
      </c>
    </row>
    <row r="9069" spans="1:8" ht="14.4" x14ac:dyDescent="0.3">
      <c r="A9069" s="8">
        <v>2042711</v>
      </c>
      <c r="B9069" s="11">
        <v>44790</v>
      </c>
      <c r="C9069" s="13" t="s">
        <v>4765</v>
      </c>
      <c r="D9069" s="13" t="s">
        <v>11097</v>
      </c>
      <c r="E9069" s="8">
        <v>15108</v>
      </c>
      <c r="F9069" s="13" t="s">
        <v>70</v>
      </c>
      <c r="G9069" s="14">
        <v>44804</v>
      </c>
      <c r="H9069" s="13" t="s">
        <v>35</v>
      </c>
    </row>
    <row r="9070" spans="1:8" ht="14.4" x14ac:dyDescent="0.3">
      <c r="A9070" s="8">
        <v>2042712</v>
      </c>
      <c r="B9070" s="11">
        <v>44790</v>
      </c>
      <c r="C9070" s="13" t="s">
        <v>1581</v>
      </c>
      <c r="D9070" s="13" t="s">
        <v>11098</v>
      </c>
      <c r="E9070" s="8">
        <v>4258.93</v>
      </c>
      <c r="F9070" s="13" t="s">
        <v>70</v>
      </c>
      <c r="G9070" s="14">
        <v>44795</v>
      </c>
      <c r="H9070" s="13" t="s">
        <v>35</v>
      </c>
    </row>
    <row r="9071" spans="1:8" ht="14.4" x14ac:dyDescent="0.3">
      <c r="A9071" s="8">
        <v>2042713</v>
      </c>
      <c r="B9071" s="11">
        <v>44790</v>
      </c>
      <c r="C9071" s="13" t="s">
        <v>1581</v>
      </c>
      <c r="D9071" s="13" t="s">
        <v>11099</v>
      </c>
      <c r="E9071" s="8">
        <v>6388.39</v>
      </c>
      <c r="F9071" s="13" t="s">
        <v>70</v>
      </c>
      <c r="G9071" s="14">
        <v>44795</v>
      </c>
      <c r="H9071" s="13" t="s">
        <v>35</v>
      </c>
    </row>
    <row r="9072" spans="1:8" ht="14.4" x14ac:dyDescent="0.3">
      <c r="A9072" s="8">
        <v>2042714</v>
      </c>
      <c r="B9072" s="11">
        <v>44790</v>
      </c>
      <c r="C9072" s="13" t="s">
        <v>673</v>
      </c>
      <c r="D9072" s="13" t="s">
        <v>11100</v>
      </c>
      <c r="E9072" s="8">
        <v>10290</v>
      </c>
      <c r="F9072" s="13" t="s">
        <v>70</v>
      </c>
      <c r="G9072" s="14">
        <v>44798</v>
      </c>
      <c r="H9072" s="13" t="s">
        <v>35</v>
      </c>
    </row>
    <row r="9073" spans="1:8" ht="14.4" x14ac:dyDescent="0.3">
      <c r="A9073" s="8">
        <v>2042715</v>
      </c>
      <c r="B9073" s="11">
        <v>44790</v>
      </c>
      <c r="C9073" s="13" t="s">
        <v>25</v>
      </c>
      <c r="D9073" s="13" t="s">
        <v>62</v>
      </c>
      <c r="E9073" s="8">
        <v>15616.07</v>
      </c>
      <c r="F9073" s="13" t="s">
        <v>70</v>
      </c>
      <c r="G9073" s="14">
        <v>44791</v>
      </c>
      <c r="H9073" s="13" t="s">
        <v>35</v>
      </c>
    </row>
    <row r="9074" spans="1:8" ht="14.4" x14ac:dyDescent="0.3">
      <c r="A9074" s="8">
        <v>2042716</v>
      </c>
      <c r="B9074" s="11">
        <v>44790</v>
      </c>
      <c r="C9074" s="13" t="s">
        <v>405</v>
      </c>
      <c r="D9074" s="13" t="s">
        <v>11101</v>
      </c>
      <c r="E9074" s="8">
        <v>14386.15</v>
      </c>
      <c r="F9074" s="13" t="s">
        <v>70</v>
      </c>
      <c r="G9074" s="14">
        <v>44792</v>
      </c>
      <c r="H9074" s="13" t="s">
        <v>35</v>
      </c>
    </row>
    <row r="9075" spans="1:8" ht="14.4" x14ac:dyDescent="0.3">
      <c r="A9075" s="8">
        <v>2042717</v>
      </c>
      <c r="B9075" s="11">
        <v>44790</v>
      </c>
      <c r="C9075" s="13" t="s">
        <v>11102</v>
      </c>
      <c r="D9075" s="13" t="s">
        <v>11103</v>
      </c>
      <c r="E9075" s="8">
        <v>2500</v>
      </c>
      <c r="F9075" s="13" t="s">
        <v>70</v>
      </c>
      <c r="G9075" s="14">
        <v>44804</v>
      </c>
      <c r="H9075" s="13" t="s">
        <v>35</v>
      </c>
    </row>
    <row r="9076" spans="1:8" ht="14.4" x14ac:dyDescent="0.3">
      <c r="A9076" s="8">
        <v>2042718</v>
      </c>
      <c r="B9076" s="11">
        <v>44790</v>
      </c>
      <c r="C9076" s="13" t="s">
        <v>1286</v>
      </c>
      <c r="D9076" s="13" t="s">
        <v>11104</v>
      </c>
      <c r="E9076" s="8">
        <v>4173.93</v>
      </c>
      <c r="F9076" s="13" t="s">
        <v>70</v>
      </c>
      <c r="G9076" s="14">
        <v>44795</v>
      </c>
      <c r="H9076" s="13" t="s">
        <v>35</v>
      </c>
    </row>
    <row r="9077" spans="1:8" ht="14.4" x14ac:dyDescent="0.3">
      <c r="A9077" s="8">
        <v>2042719</v>
      </c>
      <c r="B9077" s="11">
        <v>44790</v>
      </c>
      <c r="C9077" s="13" t="s">
        <v>1286</v>
      </c>
      <c r="D9077" s="13" t="s">
        <v>11105</v>
      </c>
      <c r="E9077" s="8">
        <v>8498.85</v>
      </c>
      <c r="F9077" s="13" t="s">
        <v>70</v>
      </c>
      <c r="G9077" s="14">
        <v>44795</v>
      </c>
      <c r="H9077" s="13" t="s">
        <v>35</v>
      </c>
    </row>
    <row r="9078" spans="1:8" ht="14.4" x14ac:dyDescent="0.3">
      <c r="A9078" s="8">
        <v>2042720</v>
      </c>
      <c r="B9078" s="11">
        <v>44790</v>
      </c>
      <c r="C9078" s="13" t="s">
        <v>988</v>
      </c>
      <c r="D9078" s="13" t="s">
        <v>11106</v>
      </c>
      <c r="E9078" s="8">
        <v>102900</v>
      </c>
      <c r="F9078" s="13" t="s">
        <v>70</v>
      </c>
      <c r="G9078" s="14">
        <v>44819</v>
      </c>
      <c r="H9078" s="13" t="s">
        <v>35</v>
      </c>
    </row>
    <row r="9079" spans="1:8" ht="14.4" x14ac:dyDescent="0.3">
      <c r="A9079" s="8">
        <v>2042721</v>
      </c>
      <c r="B9079" s="11">
        <v>44790</v>
      </c>
      <c r="C9079" s="13" t="s">
        <v>523</v>
      </c>
      <c r="D9079" s="13" t="s">
        <v>11107</v>
      </c>
      <c r="E9079" s="8">
        <v>29158.97</v>
      </c>
      <c r="F9079" s="13" t="s">
        <v>70</v>
      </c>
      <c r="G9079" s="14">
        <v>44827</v>
      </c>
      <c r="H9079" s="13" t="s">
        <v>35</v>
      </c>
    </row>
    <row r="9080" spans="1:8" ht="14.4" x14ac:dyDescent="0.3">
      <c r="A9080" s="8">
        <v>2042722</v>
      </c>
      <c r="B9080" s="11">
        <v>44790</v>
      </c>
      <c r="C9080" s="13" t="s">
        <v>208</v>
      </c>
      <c r="D9080" s="13" t="s">
        <v>34</v>
      </c>
      <c r="E9080" s="8">
        <v>14118.48</v>
      </c>
      <c r="F9080" s="13" t="s">
        <v>70</v>
      </c>
      <c r="G9080" s="14">
        <v>44845</v>
      </c>
      <c r="H9080" s="13" t="s">
        <v>35</v>
      </c>
    </row>
    <row r="9081" spans="1:8" ht="14.4" x14ac:dyDescent="0.3">
      <c r="A9081" s="8">
        <v>2042723</v>
      </c>
      <c r="B9081" s="11">
        <v>44790</v>
      </c>
      <c r="C9081" s="13" t="s">
        <v>1286</v>
      </c>
      <c r="D9081" s="13" t="s">
        <v>11108</v>
      </c>
      <c r="E9081" s="8">
        <v>309092.84000000003</v>
      </c>
      <c r="F9081" s="13" t="s">
        <v>70</v>
      </c>
      <c r="G9081" s="14">
        <v>44795</v>
      </c>
      <c r="H9081" s="13" t="s">
        <v>35</v>
      </c>
    </row>
    <row r="9082" spans="1:8" ht="14.4" x14ac:dyDescent="0.3">
      <c r="A9082" s="8">
        <v>2042724</v>
      </c>
      <c r="B9082" s="11">
        <v>44790</v>
      </c>
      <c r="C9082" s="13" t="s">
        <v>405</v>
      </c>
      <c r="D9082" s="13" t="s">
        <v>11109</v>
      </c>
      <c r="E9082" s="8">
        <v>24988.36</v>
      </c>
      <c r="F9082" s="13" t="s">
        <v>70</v>
      </c>
      <c r="G9082" s="14">
        <v>44792</v>
      </c>
      <c r="H9082" s="13" t="s">
        <v>35</v>
      </c>
    </row>
    <row r="9083" spans="1:8" ht="14.4" x14ac:dyDescent="0.3">
      <c r="A9083" s="8">
        <v>2042725</v>
      </c>
      <c r="B9083" s="11">
        <v>44790</v>
      </c>
      <c r="C9083" s="13" t="s">
        <v>11110</v>
      </c>
      <c r="D9083" s="13" t="s">
        <v>11111</v>
      </c>
      <c r="E9083" s="8">
        <v>12900</v>
      </c>
      <c r="F9083" s="13" t="s">
        <v>70</v>
      </c>
      <c r="G9083" s="14">
        <v>44790</v>
      </c>
      <c r="H9083" s="13" t="s">
        <v>35</v>
      </c>
    </row>
    <row r="9084" spans="1:8" ht="14.4" x14ac:dyDescent="0.3">
      <c r="A9084" s="8">
        <v>2042726</v>
      </c>
      <c r="B9084" s="11">
        <v>44790</v>
      </c>
      <c r="C9084" s="13" t="s">
        <v>775</v>
      </c>
      <c r="D9084" s="13" t="s">
        <v>11112</v>
      </c>
      <c r="E9084" s="8">
        <v>30000</v>
      </c>
      <c r="F9084" s="13" t="s">
        <v>70</v>
      </c>
      <c r="G9084" s="14">
        <v>44795</v>
      </c>
      <c r="H9084" s="13" t="s">
        <v>35</v>
      </c>
    </row>
    <row r="9085" spans="1:8" ht="14.4" x14ac:dyDescent="0.3">
      <c r="A9085" s="8">
        <v>2042727</v>
      </c>
      <c r="B9085" s="11">
        <v>44790</v>
      </c>
      <c r="C9085" s="13" t="s">
        <v>677</v>
      </c>
      <c r="D9085" s="13" t="s">
        <v>11113</v>
      </c>
      <c r="E9085" s="8">
        <v>20000</v>
      </c>
      <c r="F9085" s="13" t="s">
        <v>70</v>
      </c>
      <c r="G9085" s="14">
        <v>44795</v>
      </c>
      <c r="H9085" s="13" t="s">
        <v>35</v>
      </c>
    </row>
    <row r="9086" spans="1:8" ht="14.4" x14ac:dyDescent="0.3">
      <c r="A9086" s="8">
        <v>2042728</v>
      </c>
      <c r="B9086" s="11">
        <v>44790</v>
      </c>
      <c r="C9086" s="13" t="s">
        <v>876</v>
      </c>
      <c r="D9086" s="13" t="s">
        <v>11114</v>
      </c>
      <c r="E9086" s="8">
        <v>20000</v>
      </c>
      <c r="F9086" s="13" t="s">
        <v>70</v>
      </c>
      <c r="G9086" s="14">
        <v>44795</v>
      </c>
      <c r="H9086" s="13" t="s">
        <v>35</v>
      </c>
    </row>
    <row r="9087" spans="1:8" ht="14.4" x14ac:dyDescent="0.3">
      <c r="A9087" s="8">
        <v>2042729</v>
      </c>
      <c r="B9087" s="11">
        <v>44790</v>
      </c>
      <c r="C9087" s="13" t="s">
        <v>3108</v>
      </c>
      <c r="D9087" s="13" t="s">
        <v>11115</v>
      </c>
      <c r="E9087" s="8">
        <v>20000</v>
      </c>
      <c r="F9087" s="13" t="s">
        <v>70</v>
      </c>
      <c r="G9087" s="14">
        <v>44795</v>
      </c>
      <c r="H9087" s="13" t="s">
        <v>35</v>
      </c>
    </row>
    <row r="9088" spans="1:8" ht="14.4" x14ac:dyDescent="0.3">
      <c r="A9088" s="8">
        <v>2042730</v>
      </c>
      <c r="B9088" s="11">
        <v>44790</v>
      </c>
      <c r="C9088" s="13" t="s">
        <v>265</v>
      </c>
      <c r="D9088" s="13" t="s">
        <v>11116</v>
      </c>
      <c r="E9088" s="8">
        <v>27740</v>
      </c>
      <c r="F9088" s="13" t="s">
        <v>70</v>
      </c>
      <c r="G9088" s="14">
        <v>44792</v>
      </c>
      <c r="H9088" s="13" t="s">
        <v>35</v>
      </c>
    </row>
    <row r="9089" spans="1:8" ht="14.4" x14ac:dyDescent="0.3">
      <c r="A9089" s="8">
        <v>2042731</v>
      </c>
      <c r="B9089" s="11">
        <v>44790</v>
      </c>
      <c r="C9089" s="13" t="s">
        <v>1286</v>
      </c>
      <c r="D9089" s="13" t="s">
        <v>11117</v>
      </c>
      <c r="E9089" s="8">
        <v>46068.26</v>
      </c>
      <c r="F9089" s="13" t="s">
        <v>70</v>
      </c>
      <c r="G9089" s="14">
        <v>44795</v>
      </c>
      <c r="H9089" s="13" t="s">
        <v>35</v>
      </c>
    </row>
    <row r="9090" spans="1:8" ht="14.4" x14ac:dyDescent="0.3">
      <c r="A9090" s="8">
        <v>2042732</v>
      </c>
      <c r="B9090" s="11">
        <v>44790</v>
      </c>
      <c r="C9090" s="13" t="s">
        <v>1322</v>
      </c>
      <c r="D9090" s="13" t="s">
        <v>11118</v>
      </c>
      <c r="E9090" s="8">
        <v>333.68</v>
      </c>
      <c r="F9090" s="13" t="s">
        <v>70</v>
      </c>
      <c r="G9090" s="14">
        <v>44810</v>
      </c>
      <c r="H9090" s="13" t="s">
        <v>35</v>
      </c>
    </row>
    <row r="9091" spans="1:8" ht="14.4" x14ac:dyDescent="0.3">
      <c r="A9091" s="8">
        <v>2042733</v>
      </c>
      <c r="B9091" s="11">
        <v>44790</v>
      </c>
      <c r="C9091" s="13" t="s">
        <v>26</v>
      </c>
      <c r="D9091" s="13" t="s">
        <v>11119</v>
      </c>
      <c r="E9091" s="8">
        <v>4031.25</v>
      </c>
      <c r="F9091" s="13" t="s">
        <v>70</v>
      </c>
      <c r="G9091" s="14">
        <v>44798</v>
      </c>
      <c r="H9091" s="13" t="s">
        <v>35</v>
      </c>
    </row>
    <row r="9092" spans="1:8" ht="14.4" x14ac:dyDescent="0.3">
      <c r="A9092" s="8">
        <v>2042734</v>
      </c>
      <c r="B9092" s="11">
        <v>44790</v>
      </c>
      <c r="C9092" s="13" t="s">
        <v>1286</v>
      </c>
      <c r="D9092" s="13" t="s">
        <v>11120</v>
      </c>
      <c r="E9092" s="8">
        <v>6674.75</v>
      </c>
      <c r="F9092" s="13" t="s">
        <v>70</v>
      </c>
      <c r="G9092" s="14">
        <v>44795</v>
      </c>
      <c r="H9092" s="13" t="s">
        <v>35</v>
      </c>
    </row>
    <row r="9093" spans="1:8" ht="14.4" x14ac:dyDescent="0.3">
      <c r="A9093" s="8">
        <v>2042735</v>
      </c>
      <c r="B9093" s="11">
        <v>44790</v>
      </c>
      <c r="C9093" s="13" t="s">
        <v>2334</v>
      </c>
      <c r="D9093" s="13" t="s">
        <v>11121</v>
      </c>
      <c r="E9093" s="8">
        <v>102300</v>
      </c>
      <c r="F9093" s="13" t="s">
        <v>70</v>
      </c>
      <c r="G9093" s="14">
        <v>44796</v>
      </c>
      <c r="H9093" s="13" t="s">
        <v>35</v>
      </c>
    </row>
    <row r="9094" spans="1:8" ht="14.4" x14ac:dyDescent="0.3">
      <c r="A9094" s="8">
        <v>2042736</v>
      </c>
      <c r="B9094" s="11">
        <v>44790</v>
      </c>
      <c r="C9094" s="13" t="s">
        <v>202</v>
      </c>
      <c r="D9094" s="13" t="s">
        <v>34</v>
      </c>
      <c r="E9094" s="8">
        <v>21325.57</v>
      </c>
      <c r="F9094" s="13" t="s">
        <v>70</v>
      </c>
      <c r="G9094" s="14">
        <v>44791</v>
      </c>
      <c r="H9094" s="13" t="s">
        <v>35</v>
      </c>
    </row>
    <row r="9095" spans="1:8" ht="14.4" x14ac:dyDescent="0.3">
      <c r="A9095" s="8">
        <v>2042737</v>
      </c>
      <c r="B9095" s="11">
        <v>44790</v>
      </c>
      <c r="C9095" s="13" t="s">
        <v>11122</v>
      </c>
      <c r="D9095" s="13" t="s">
        <v>16</v>
      </c>
      <c r="E9095" s="8">
        <v>20000</v>
      </c>
      <c r="F9095" s="13" t="s">
        <v>70</v>
      </c>
      <c r="G9095" s="14">
        <v>44792</v>
      </c>
      <c r="H9095" s="13" t="s">
        <v>35</v>
      </c>
    </row>
    <row r="9096" spans="1:8" ht="14.4" x14ac:dyDescent="0.3">
      <c r="A9096" s="8">
        <v>2042738</v>
      </c>
      <c r="B9096" s="11">
        <v>44790</v>
      </c>
      <c r="C9096" s="13" t="s">
        <v>11123</v>
      </c>
      <c r="D9096" s="13" t="s">
        <v>11124</v>
      </c>
      <c r="E9096" s="8">
        <v>20000</v>
      </c>
      <c r="F9096" s="13" t="s">
        <v>70</v>
      </c>
      <c r="G9096" s="14">
        <v>44792</v>
      </c>
      <c r="H9096" s="13" t="s">
        <v>35</v>
      </c>
    </row>
    <row r="9097" spans="1:8" ht="14.4" x14ac:dyDescent="0.3">
      <c r="A9097" s="8">
        <v>2042739</v>
      </c>
      <c r="B9097" s="11">
        <v>44790</v>
      </c>
      <c r="C9097" s="13" t="s">
        <v>11125</v>
      </c>
      <c r="D9097" s="13" t="s">
        <v>11126</v>
      </c>
      <c r="E9097" s="8">
        <v>18000</v>
      </c>
      <c r="F9097" s="13" t="s">
        <v>70</v>
      </c>
      <c r="G9097" s="14">
        <v>44792</v>
      </c>
      <c r="H9097" s="13" t="s">
        <v>35</v>
      </c>
    </row>
    <row r="9098" spans="1:8" ht="14.4" x14ac:dyDescent="0.3">
      <c r="A9098" s="8">
        <v>2042740</v>
      </c>
      <c r="B9098" s="11">
        <v>44790</v>
      </c>
      <c r="C9098" s="13" t="s">
        <v>11127</v>
      </c>
      <c r="D9098" s="13" t="s">
        <v>11128</v>
      </c>
      <c r="E9098" s="8">
        <v>10000</v>
      </c>
      <c r="F9098" s="13" t="s">
        <v>70</v>
      </c>
      <c r="G9098" s="14">
        <v>44795</v>
      </c>
      <c r="H9098" s="13" t="s">
        <v>35</v>
      </c>
    </row>
    <row r="9099" spans="1:8" ht="14.4" x14ac:dyDescent="0.3">
      <c r="A9099" s="8">
        <v>2042741</v>
      </c>
      <c r="B9099" s="11">
        <v>44790</v>
      </c>
      <c r="C9099" s="13" t="s">
        <v>11129</v>
      </c>
      <c r="D9099" s="13" t="s">
        <v>11130</v>
      </c>
      <c r="E9099" s="8">
        <v>20000</v>
      </c>
      <c r="F9099" s="13" t="s">
        <v>70</v>
      </c>
      <c r="G9099" s="14">
        <v>44792</v>
      </c>
      <c r="H9099" s="13" t="s">
        <v>35</v>
      </c>
    </row>
    <row r="9100" spans="1:8" ht="14.4" x14ac:dyDescent="0.3">
      <c r="A9100" s="8">
        <v>2042742</v>
      </c>
      <c r="B9100" s="11">
        <v>44790</v>
      </c>
      <c r="C9100" s="13" t="s">
        <v>11131</v>
      </c>
      <c r="D9100" s="13" t="s">
        <v>11132</v>
      </c>
      <c r="E9100" s="8">
        <v>12000</v>
      </c>
      <c r="F9100" s="13" t="s">
        <v>70</v>
      </c>
      <c r="G9100" s="14">
        <v>44792</v>
      </c>
      <c r="H9100" s="13" t="s">
        <v>35</v>
      </c>
    </row>
    <row r="9101" spans="1:8" ht="14.4" x14ac:dyDescent="0.3">
      <c r="A9101" s="8">
        <v>2042743</v>
      </c>
      <c r="B9101" s="11">
        <v>44790</v>
      </c>
      <c r="C9101" s="13" t="s">
        <v>11133</v>
      </c>
      <c r="D9101" s="13" t="s">
        <v>11134</v>
      </c>
      <c r="E9101" s="8">
        <v>15000</v>
      </c>
      <c r="F9101" s="13" t="s">
        <v>70</v>
      </c>
      <c r="G9101" s="14">
        <v>44795</v>
      </c>
      <c r="H9101" s="13" t="s">
        <v>35</v>
      </c>
    </row>
    <row r="9102" spans="1:8" ht="14.4" x14ac:dyDescent="0.3">
      <c r="A9102" s="8">
        <v>2042744</v>
      </c>
      <c r="B9102" s="11">
        <v>44790</v>
      </c>
      <c r="C9102" s="13" t="s">
        <v>11135</v>
      </c>
      <c r="D9102" s="13" t="s">
        <v>11136</v>
      </c>
      <c r="E9102" s="8">
        <v>9000</v>
      </c>
      <c r="F9102" s="13" t="s">
        <v>70</v>
      </c>
      <c r="G9102" s="14">
        <v>44792</v>
      </c>
      <c r="H9102" s="13" t="s">
        <v>35</v>
      </c>
    </row>
    <row r="9103" spans="1:8" ht="14.4" x14ac:dyDescent="0.3">
      <c r="A9103" s="8">
        <v>2042745</v>
      </c>
      <c r="B9103" s="11">
        <v>44790</v>
      </c>
      <c r="C9103" s="13" t="s">
        <v>11137</v>
      </c>
      <c r="D9103" s="13" t="s">
        <v>150</v>
      </c>
      <c r="E9103" s="8">
        <v>7000</v>
      </c>
      <c r="F9103" s="13" t="s">
        <v>70</v>
      </c>
      <c r="G9103" s="14">
        <v>44804</v>
      </c>
      <c r="H9103" s="13" t="s">
        <v>35</v>
      </c>
    </row>
    <row r="9104" spans="1:8" ht="14.4" x14ac:dyDescent="0.3">
      <c r="A9104" s="8">
        <v>2042746</v>
      </c>
      <c r="B9104" s="11">
        <v>44790</v>
      </c>
      <c r="C9104" s="13" t="s">
        <v>11138</v>
      </c>
      <c r="D9104" s="13" t="s">
        <v>3638</v>
      </c>
      <c r="E9104" s="8">
        <v>2093762.43</v>
      </c>
      <c r="F9104" s="13" t="s">
        <v>70</v>
      </c>
      <c r="G9104" s="14">
        <v>44792</v>
      </c>
      <c r="H9104" s="13" t="s">
        <v>35</v>
      </c>
    </row>
    <row r="9105" spans="1:8" ht="14.4" x14ac:dyDescent="0.3">
      <c r="A9105" s="8">
        <v>2042747</v>
      </c>
      <c r="B9105" s="11">
        <v>44790</v>
      </c>
      <c r="C9105" s="13" t="s">
        <v>506</v>
      </c>
      <c r="D9105" s="13" t="s">
        <v>11052</v>
      </c>
      <c r="E9105" s="8">
        <v>94500</v>
      </c>
      <c r="F9105" s="13" t="s">
        <v>70</v>
      </c>
      <c r="G9105" s="14">
        <v>44799</v>
      </c>
      <c r="H9105" s="13" t="s">
        <v>35</v>
      </c>
    </row>
    <row r="9106" spans="1:8" ht="14.4" x14ac:dyDescent="0.3">
      <c r="A9106" s="8">
        <v>2042748</v>
      </c>
      <c r="B9106" s="11">
        <v>44790</v>
      </c>
      <c r="C9106" s="13" t="s">
        <v>893</v>
      </c>
      <c r="D9106" s="13" t="s">
        <v>11052</v>
      </c>
      <c r="E9106" s="8">
        <v>270000</v>
      </c>
      <c r="F9106" s="13" t="s">
        <v>70</v>
      </c>
      <c r="G9106" s="14">
        <v>44799</v>
      </c>
      <c r="H9106" s="13" t="s">
        <v>35</v>
      </c>
    </row>
    <row r="9107" spans="1:8" ht="14.4" x14ac:dyDescent="0.3">
      <c r="A9107" s="8">
        <v>2042749</v>
      </c>
      <c r="B9107" s="11">
        <v>44790</v>
      </c>
      <c r="C9107" s="13" t="s">
        <v>893</v>
      </c>
      <c r="D9107" s="13" t="s">
        <v>10975</v>
      </c>
      <c r="E9107" s="8">
        <v>237558.88</v>
      </c>
      <c r="F9107" s="13" t="s">
        <v>70</v>
      </c>
      <c r="G9107" s="14">
        <v>44799</v>
      </c>
      <c r="H9107" s="13" t="s">
        <v>35</v>
      </c>
    </row>
    <row r="9108" spans="1:8" ht="14.4" x14ac:dyDescent="0.3">
      <c r="A9108" s="8">
        <v>2042750</v>
      </c>
      <c r="B9108" s="11">
        <v>44790</v>
      </c>
      <c r="C9108" s="13" t="s">
        <v>259</v>
      </c>
      <c r="D9108" s="13" t="s">
        <v>34</v>
      </c>
      <c r="E9108" s="8">
        <v>3795</v>
      </c>
      <c r="F9108" s="13" t="s">
        <v>70</v>
      </c>
      <c r="G9108" s="14">
        <v>44805</v>
      </c>
      <c r="H9108" s="13" t="s">
        <v>35</v>
      </c>
    </row>
    <row r="9109" spans="1:8" ht="14.4" x14ac:dyDescent="0.3">
      <c r="A9109" s="8">
        <v>2042756</v>
      </c>
      <c r="B9109" s="11">
        <v>44790</v>
      </c>
      <c r="C9109" s="13" t="s">
        <v>1344</v>
      </c>
      <c r="D9109" s="13"/>
      <c r="E9109" s="8">
        <v>19520</v>
      </c>
      <c r="F9109" s="13" t="s">
        <v>70</v>
      </c>
      <c r="G9109" s="14">
        <v>44792</v>
      </c>
      <c r="H9109" s="13" t="s">
        <v>35</v>
      </c>
    </row>
    <row r="9110" spans="1:8" ht="14.4" x14ac:dyDescent="0.3">
      <c r="A9110" s="8">
        <v>2042757</v>
      </c>
      <c r="B9110" s="11">
        <v>44790</v>
      </c>
      <c r="C9110" s="13" t="s">
        <v>4110</v>
      </c>
      <c r="D9110" s="13" t="s">
        <v>4781</v>
      </c>
      <c r="E9110" s="8">
        <v>6000</v>
      </c>
      <c r="F9110" s="13" t="s">
        <v>70</v>
      </c>
      <c r="G9110" s="14">
        <v>44792</v>
      </c>
      <c r="H9110" s="13" t="s">
        <v>35</v>
      </c>
    </row>
    <row r="9111" spans="1:8" ht="14.4" x14ac:dyDescent="0.3">
      <c r="A9111" s="8">
        <v>2042758</v>
      </c>
      <c r="B9111" s="11">
        <v>44790</v>
      </c>
      <c r="C9111" s="13" t="s">
        <v>565</v>
      </c>
      <c r="D9111" s="13" t="s">
        <v>4781</v>
      </c>
      <c r="E9111" s="8">
        <v>6000</v>
      </c>
      <c r="F9111" s="13" t="s">
        <v>70</v>
      </c>
      <c r="G9111" s="14">
        <v>44803</v>
      </c>
      <c r="H9111" s="13" t="s">
        <v>35</v>
      </c>
    </row>
    <row r="9112" spans="1:8" ht="14.4" x14ac:dyDescent="0.3">
      <c r="A9112" s="8">
        <v>2042759</v>
      </c>
      <c r="B9112" s="11">
        <v>44790</v>
      </c>
      <c r="C9112" s="13" t="s">
        <v>1286</v>
      </c>
      <c r="D9112" s="13" t="s">
        <v>11139</v>
      </c>
      <c r="E9112" s="8">
        <v>68191.759999999995</v>
      </c>
      <c r="F9112" s="13" t="s">
        <v>70</v>
      </c>
      <c r="G9112" s="14">
        <v>44795</v>
      </c>
      <c r="H9112" s="13" t="s">
        <v>35</v>
      </c>
    </row>
    <row r="9113" spans="1:8" ht="14.4" x14ac:dyDescent="0.3">
      <c r="A9113" s="8">
        <v>2042760</v>
      </c>
      <c r="B9113" s="11">
        <v>44791</v>
      </c>
      <c r="C9113" s="13" t="s">
        <v>180</v>
      </c>
      <c r="D9113" s="13" t="s">
        <v>181</v>
      </c>
      <c r="E9113" s="8">
        <v>38996.9</v>
      </c>
      <c r="F9113" s="13" t="s">
        <v>70</v>
      </c>
      <c r="G9113" s="14">
        <v>44796</v>
      </c>
      <c r="H9113" s="13" t="s">
        <v>35</v>
      </c>
    </row>
    <row r="9114" spans="1:8" ht="14.4" x14ac:dyDescent="0.3">
      <c r="A9114" s="8">
        <v>2042761</v>
      </c>
      <c r="B9114" s="11">
        <v>44792</v>
      </c>
      <c r="C9114" s="13" t="s">
        <v>1596</v>
      </c>
      <c r="D9114" s="13" t="s">
        <v>11140</v>
      </c>
      <c r="E9114" s="8">
        <v>470.4</v>
      </c>
      <c r="F9114" s="13" t="s">
        <v>70</v>
      </c>
      <c r="G9114" s="14">
        <v>44798</v>
      </c>
      <c r="H9114" s="13" t="s">
        <v>35</v>
      </c>
    </row>
    <row r="9115" spans="1:8" ht="14.4" x14ac:dyDescent="0.3">
      <c r="A9115" s="8">
        <v>2042762</v>
      </c>
      <c r="B9115" s="11">
        <v>44792</v>
      </c>
      <c r="C9115" s="13" t="s">
        <v>1581</v>
      </c>
      <c r="D9115" s="13" t="s">
        <v>11141</v>
      </c>
      <c r="E9115" s="8">
        <v>57353.57</v>
      </c>
      <c r="F9115" s="13" t="s">
        <v>70</v>
      </c>
      <c r="G9115" s="14">
        <v>44795</v>
      </c>
      <c r="H9115" s="13" t="s">
        <v>35</v>
      </c>
    </row>
    <row r="9116" spans="1:8" ht="14.4" x14ac:dyDescent="0.3">
      <c r="A9116" s="8">
        <v>2042763</v>
      </c>
      <c r="B9116" s="11">
        <v>44803</v>
      </c>
      <c r="C9116" s="13" t="s">
        <v>180</v>
      </c>
      <c r="D9116" s="13" t="s">
        <v>11142</v>
      </c>
      <c r="E9116" s="8">
        <v>21819.7</v>
      </c>
      <c r="F9116" s="13" t="s">
        <v>70</v>
      </c>
      <c r="G9116" s="14">
        <v>44803</v>
      </c>
      <c r="H9116" s="13" t="s">
        <v>35</v>
      </c>
    </row>
    <row r="9117" spans="1:8" ht="14.4" x14ac:dyDescent="0.3">
      <c r="A9117" s="8">
        <v>2042764</v>
      </c>
      <c r="B9117" s="11">
        <v>44803</v>
      </c>
      <c r="C9117" s="13" t="s">
        <v>44</v>
      </c>
      <c r="D9117" s="13" t="s">
        <v>11143</v>
      </c>
      <c r="E9117" s="8">
        <v>99307.29</v>
      </c>
      <c r="F9117" s="13" t="s">
        <v>70</v>
      </c>
      <c r="G9117" s="14">
        <v>44805</v>
      </c>
      <c r="H9117" s="13" t="s">
        <v>35</v>
      </c>
    </row>
    <row r="9118" spans="1:8" ht="14.4" x14ac:dyDescent="0.3">
      <c r="A9118" s="8">
        <v>2042765</v>
      </c>
      <c r="B9118" s="11">
        <v>44803</v>
      </c>
      <c r="C9118" s="13" t="s">
        <v>11144</v>
      </c>
      <c r="D9118" s="13" t="s">
        <v>11145</v>
      </c>
      <c r="E9118" s="8">
        <v>500000</v>
      </c>
      <c r="F9118" s="13" t="s">
        <v>70</v>
      </c>
      <c r="G9118" s="14">
        <v>44806</v>
      </c>
      <c r="H9118" s="13" t="s">
        <v>35</v>
      </c>
    </row>
    <row r="9119" spans="1:8" ht="14.4" x14ac:dyDescent="0.3">
      <c r="A9119" s="8">
        <v>2042766</v>
      </c>
      <c r="B9119" s="11">
        <v>44803</v>
      </c>
      <c r="C9119" s="13" t="s">
        <v>162</v>
      </c>
      <c r="D9119" s="13" t="s">
        <v>11146</v>
      </c>
      <c r="E9119" s="8">
        <v>663094.34</v>
      </c>
      <c r="F9119" s="13" t="s">
        <v>70</v>
      </c>
      <c r="G9119" s="14">
        <v>44804</v>
      </c>
      <c r="H9119" s="13" t="s">
        <v>35</v>
      </c>
    </row>
    <row r="9120" spans="1:8" ht="14.4" x14ac:dyDescent="0.3">
      <c r="A9120" s="8">
        <v>2042767</v>
      </c>
      <c r="B9120" s="11">
        <v>44803</v>
      </c>
      <c r="C9120" s="13" t="s">
        <v>1286</v>
      </c>
      <c r="D9120" s="13" t="s">
        <v>11147</v>
      </c>
      <c r="E9120" s="8">
        <v>10995.23</v>
      </c>
      <c r="F9120" s="13" t="s">
        <v>70</v>
      </c>
      <c r="G9120" s="14">
        <v>44803</v>
      </c>
      <c r="H9120" s="13" t="s">
        <v>35</v>
      </c>
    </row>
    <row r="9121" spans="1:8" ht="14.4" x14ac:dyDescent="0.3">
      <c r="A9121" s="8">
        <v>2042768</v>
      </c>
      <c r="B9121" s="11">
        <v>44803</v>
      </c>
      <c r="C9121" s="13" t="s">
        <v>123</v>
      </c>
      <c r="D9121" s="13" t="s">
        <v>11148</v>
      </c>
      <c r="E9121" s="8">
        <v>10000</v>
      </c>
      <c r="F9121" s="13" t="s">
        <v>70</v>
      </c>
      <c r="G9121" s="14">
        <v>44804</v>
      </c>
      <c r="H9121" s="13" t="s">
        <v>35</v>
      </c>
    </row>
    <row r="9122" spans="1:8" ht="14.4" x14ac:dyDescent="0.3">
      <c r="A9122" s="8">
        <v>2042769</v>
      </c>
      <c r="B9122" s="11">
        <v>44803</v>
      </c>
      <c r="C9122" s="13" t="s">
        <v>1584</v>
      </c>
      <c r="D9122" s="13" t="s">
        <v>11149</v>
      </c>
      <c r="E9122" s="8">
        <v>51145</v>
      </c>
      <c r="F9122" s="13" t="s">
        <v>70</v>
      </c>
      <c r="G9122" s="14">
        <v>44811</v>
      </c>
      <c r="H9122" s="13" t="s">
        <v>35</v>
      </c>
    </row>
    <row r="9123" spans="1:8" ht="14.4" x14ac:dyDescent="0.3">
      <c r="A9123" s="8">
        <v>2042770</v>
      </c>
      <c r="B9123" s="11">
        <v>44803</v>
      </c>
      <c r="C9123" s="13" t="s">
        <v>844</v>
      </c>
      <c r="D9123" s="13" t="s">
        <v>11150</v>
      </c>
      <c r="E9123" s="8">
        <v>2000</v>
      </c>
      <c r="F9123" s="13" t="s">
        <v>70</v>
      </c>
      <c r="G9123" s="14">
        <v>44820</v>
      </c>
      <c r="H9123" s="13" t="s">
        <v>35</v>
      </c>
    </row>
    <row r="9124" spans="1:8" ht="14.4" x14ac:dyDescent="0.3">
      <c r="A9124" s="8">
        <v>2042771</v>
      </c>
      <c r="B9124" s="11">
        <v>44803</v>
      </c>
      <c r="C9124" s="13" t="s">
        <v>836</v>
      </c>
      <c r="D9124" s="13" t="s">
        <v>11151</v>
      </c>
      <c r="E9124" s="8">
        <v>2000</v>
      </c>
      <c r="F9124" s="13" t="s">
        <v>70</v>
      </c>
      <c r="G9124" s="14">
        <v>44820</v>
      </c>
      <c r="H9124" s="13" t="s">
        <v>35</v>
      </c>
    </row>
    <row r="9125" spans="1:8" ht="14.4" x14ac:dyDescent="0.3">
      <c r="A9125" s="8">
        <v>2042772</v>
      </c>
      <c r="B9125" s="11">
        <v>44803</v>
      </c>
      <c r="C9125" s="13" t="s">
        <v>846</v>
      </c>
      <c r="D9125" s="13" t="s">
        <v>11151</v>
      </c>
      <c r="E9125" s="8">
        <v>2000</v>
      </c>
      <c r="F9125" s="13" t="s">
        <v>70</v>
      </c>
      <c r="G9125" s="14">
        <v>44820</v>
      </c>
      <c r="H9125" s="13" t="s">
        <v>35</v>
      </c>
    </row>
    <row r="9126" spans="1:8" ht="14.4" x14ac:dyDescent="0.3">
      <c r="A9126" s="8">
        <v>2042773</v>
      </c>
      <c r="B9126" s="11">
        <v>44803</v>
      </c>
      <c r="C9126" s="13" t="s">
        <v>847</v>
      </c>
      <c r="D9126" s="13" t="s">
        <v>11151</v>
      </c>
      <c r="E9126" s="8">
        <v>2000</v>
      </c>
      <c r="F9126" s="13" t="s">
        <v>70</v>
      </c>
      <c r="G9126" s="14">
        <v>44820</v>
      </c>
      <c r="H9126" s="13" t="s">
        <v>35</v>
      </c>
    </row>
    <row r="9127" spans="1:8" ht="14.4" x14ac:dyDescent="0.3">
      <c r="A9127" s="8">
        <v>2042774</v>
      </c>
      <c r="B9127" s="11">
        <v>44803</v>
      </c>
      <c r="C9127" s="13" t="s">
        <v>848</v>
      </c>
      <c r="D9127" s="13" t="s">
        <v>11151</v>
      </c>
      <c r="E9127" s="8">
        <v>2000</v>
      </c>
      <c r="F9127" s="13" t="s">
        <v>70</v>
      </c>
      <c r="G9127" s="14">
        <v>44820</v>
      </c>
      <c r="H9127" s="13" t="s">
        <v>35</v>
      </c>
    </row>
    <row r="9128" spans="1:8" ht="14.4" x14ac:dyDescent="0.3">
      <c r="A9128" s="8">
        <v>2042775</v>
      </c>
      <c r="B9128" s="11">
        <v>44803</v>
      </c>
      <c r="C9128" s="13" t="s">
        <v>849</v>
      </c>
      <c r="D9128" s="13" t="s">
        <v>11151</v>
      </c>
      <c r="E9128" s="8">
        <v>2000</v>
      </c>
      <c r="F9128" s="13" t="s">
        <v>70</v>
      </c>
      <c r="G9128" s="14">
        <v>44820</v>
      </c>
      <c r="H9128" s="13" t="s">
        <v>35</v>
      </c>
    </row>
    <row r="9129" spans="1:8" ht="14.4" x14ac:dyDescent="0.3">
      <c r="A9129" s="8">
        <v>2042776</v>
      </c>
      <c r="B9129" s="11">
        <v>44803</v>
      </c>
      <c r="C9129" s="13" t="s">
        <v>850</v>
      </c>
      <c r="D9129" s="13" t="s">
        <v>11151</v>
      </c>
      <c r="E9129" s="8">
        <v>2000</v>
      </c>
      <c r="F9129" s="13" t="s">
        <v>70</v>
      </c>
      <c r="G9129" s="14">
        <v>44820</v>
      </c>
      <c r="H9129" s="13" t="s">
        <v>35</v>
      </c>
    </row>
    <row r="9130" spans="1:8" ht="14.4" x14ac:dyDescent="0.3">
      <c r="A9130" s="8">
        <v>2042777</v>
      </c>
      <c r="B9130" s="11">
        <v>44803</v>
      </c>
      <c r="C9130" s="13" t="s">
        <v>851</v>
      </c>
      <c r="D9130" s="13" t="s">
        <v>11151</v>
      </c>
      <c r="E9130" s="8">
        <v>2000</v>
      </c>
      <c r="F9130" s="13" t="s">
        <v>70</v>
      </c>
      <c r="G9130" s="14">
        <v>44820</v>
      </c>
      <c r="H9130" s="13" t="s">
        <v>35</v>
      </c>
    </row>
    <row r="9131" spans="1:8" ht="14.4" x14ac:dyDescent="0.3">
      <c r="A9131" s="8">
        <v>2042778</v>
      </c>
      <c r="B9131" s="11">
        <v>44803</v>
      </c>
      <c r="C9131" s="13" t="s">
        <v>2791</v>
      </c>
      <c r="D9131" s="13" t="s">
        <v>11151</v>
      </c>
      <c r="E9131" s="8">
        <v>2000</v>
      </c>
      <c r="F9131" s="13" t="s">
        <v>70</v>
      </c>
      <c r="G9131" s="14">
        <v>44820</v>
      </c>
      <c r="H9131" s="13" t="s">
        <v>35</v>
      </c>
    </row>
    <row r="9132" spans="1:8" ht="14.4" x14ac:dyDescent="0.3">
      <c r="A9132" s="8">
        <v>2042779</v>
      </c>
      <c r="B9132" s="11">
        <v>44803</v>
      </c>
      <c r="C9132" s="13" t="s">
        <v>2792</v>
      </c>
      <c r="D9132" s="13" t="s">
        <v>11151</v>
      </c>
      <c r="E9132" s="8">
        <v>2000</v>
      </c>
      <c r="F9132" s="13" t="s">
        <v>70</v>
      </c>
      <c r="G9132" s="14">
        <v>44820</v>
      </c>
      <c r="H9132" s="13" t="s">
        <v>35</v>
      </c>
    </row>
    <row r="9133" spans="1:8" ht="14.4" x14ac:dyDescent="0.3">
      <c r="A9133" s="8">
        <v>2042780</v>
      </c>
      <c r="B9133" s="11">
        <v>44803</v>
      </c>
      <c r="C9133" s="13" t="s">
        <v>854</v>
      </c>
      <c r="D9133" s="13" t="s">
        <v>11151</v>
      </c>
      <c r="E9133" s="8">
        <v>2000</v>
      </c>
      <c r="F9133" s="13" t="s">
        <v>70</v>
      </c>
      <c r="G9133" s="14">
        <v>44820</v>
      </c>
      <c r="H9133" s="13" t="s">
        <v>35</v>
      </c>
    </row>
    <row r="9134" spans="1:8" ht="14.4" x14ac:dyDescent="0.3">
      <c r="A9134" s="8">
        <v>2042781</v>
      </c>
      <c r="B9134" s="11">
        <v>44803</v>
      </c>
      <c r="C9134" s="13" t="s">
        <v>11152</v>
      </c>
      <c r="D9134" s="13" t="s">
        <v>11153</v>
      </c>
      <c r="E9134" s="8">
        <v>6000</v>
      </c>
      <c r="F9134" s="13" t="s">
        <v>70</v>
      </c>
      <c r="G9134" s="14">
        <v>44868</v>
      </c>
      <c r="H9134" s="13" t="s">
        <v>35</v>
      </c>
    </row>
    <row r="9135" spans="1:8" ht="14.4" x14ac:dyDescent="0.3">
      <c r="A9135" s="8">
        <v>2042782</v>
      </c>
      <c r="B9135" s="11">
        <v>44803</v>
      </c>
      <c r="C9135" s="13" t="s">
        <v>85</v>
      </c>
      <c r="D9135" s="13" t="s">
        <v>11154</v>
      </c>
      <c r="E9135" s="8">
        <v>7500</v>
      </c>
      <c r="F9135" s="13" t="s">
        <v>70</v>
      </c>
      <c r="G9135" s="14">
        <v>44809</v>
      </c>
      <c r="H9135" s="13" t="s">
        <v>35</v>
      </c>
    </row>
    <row r="9136" spans="1:8" ht="14.4" x14ac:dyDescent="0.3">
      <c r="A9136" s="8">
        <v>2042783</v>
      </c>
      <c r="B9136" s="11">
        <v>44803</v>
      </c>
      <c r="C9136" s="13" t="s">
        <v>3350</v>
      </c>
      <c r="D9136" s="13" t="s">
        <v>11155</v>
      </c>
      <c r="E9136" s="8">
        <v>2343.75</v>
      </c>
      <c r="F9136" s="13" t="s">
        <v>70</v>
      </c>
      <c r="G9136" s="14">
        <v>44844</v>
      </c>
      <c r="H9136" s="13" t="s">
        <v>35</v>
      </c>
    </row>
    <row r="9137" spans="1:8" ht="14.4" x14ac:dyDescent="0.3">
      <c r="A9137" s="8">
        <v>2042784</v>
      </c>
      <c r="B9137" s="11">
        <v>44803</v>
      </c>
      <c r="C9137" s="13" t="s">
        <v>697</v>
      </c>
      <c r="D9137" s="13" t="s">
        <v>11156</v>
      </c>
      <c r="E9137" s="8">
        <v>2623.85</v>
      </c>
      <c r="F9137" s="13" t="s">
        <v>70</v>
      </c>
      <c r="G9137" s="14">
        <v>44812</v>
      </c>
      <c r="H9137" s="13" t="s">
        <v>35</v>
      </c>
    </row>
    <row r="9138" spans="1:8" ht="14.4" x14ac:dyDescent="0.3">
      <c r="A9138" s="8">
        <v>2042785</v>
      </c>
      <c r="B9138" s="11">
        <v>44803</v>
      </c>
      <c r="C9138" s="13" t="s">
        <v>697</v>
      </c>
      <c r="D9138" s="13" t="s">
        <v>11157</v>
      </c>
      <c r="E9138" s="8">
        <v>2798.45</v>
      </c>
      <c r="F9138" s="13" t="s">
        <v>70</v>
      </c>
      <c r="G9138" s="14">
        <v>44812</v>
      </c>
      <c r="H9138" s="13" t="s">
        <v>35</v>
      </c>
    </row>
    <row r="9139" spans="1:8" ht="14.4" x14ac:dyDescent="0.3">
      <c r="A9139" s="8">
        <v>2042786</v>
      </c>
      <c r="B9139" s="11">
        <v>44803</v>
      </c>
      <c r="C9139" s="13" t="s">
        <v>124</v>
      </c>
      <c r="D9139" s="13" t="s">
        <v>11158</v>
      </c>
      <c r="E9139" s="8">
        <v>151.9</v>
      </c>
      <c r="F9139" s="13" t="s">
        <v>70</v>
      </c>
      <c r="G9139" s="14">
        <v>44812</v>
      </c>
      <c r="H9139" s="13" t="s">
        <v>35</v>
      </c>
    </row>
    <row r="9140" spans="1:8" ht="14.4" x14ac:dyDescent="0.3">
      <c r="A9140" s="8">
        <v>2042787</v>
      </c>
      <c r="B9140" s="11">
        <v>44803</v>
      </c>
      <c r="C9140" s="13" t="s">
        <v>748</v>
      </c>
      <c r="D9140" s="13" t="s">
        <v>11159</v>
      </c>
      <c r="E9140" s="8">
        <v>26626.26</v>
      </c>
      <c r="F9140" s="13" t="s">
        <v>70</v>
      </c>
      <c r="G9140" s="14">
        <v>44811</v>
      </c>
      <c r="H9140" s="13" t="s">
        <v>35</v>
      </c>
    </row>
    <row r="9141" spans="1:8" ht="14.4" x14ac:dyDescent="0.3">
      <c r="A9141" s="8">
        <v>2042788</v>
      </c>
      <c r="B9141" s="11">
        <v>44803</v>
      </c>
      <c r="C9141" s="13" t="s">
        <v>71</v>
      </c>
      <c r="D9141" s="13" t="s">
        <v>11160</v>
      </c>
      <c r="E9141" s="8">
        <v>1568.48</v>
      </c>
      <c r="F9141" s="13" t="s">
        <v>70</v>
      </c>
      <c r="G9141" s="14">
        <v>44812</v>
      </c>
      <c r="H9141" s="13" t="s">
        <v>35</v>
      </c>
    </row>
    <row r="9142" spans="1:8" ht="14.4" x14ac:dyDescent="0.3">
      <c r="A9142" s="8">
        <v>2042789</v>
      </c>
      <c r="B9142" s="11">
        <v>44803</v>
      </c>
      <c r="C9142" s="13" t="s">
        <v>523</v>
      </c>
      <c r="D9142" s="13" t="s">
        <v>11161</v>
      </c>
      <c r="E9142" s="8">
        <v>154064.71</v>
      </c>
      <c r="F9142" s="13" t="s">
        <v>70</v>
      </c>
      <c r="G9142" s="14">
        <v>44810</v>
      </c>
      <c r="H9142" s="13" t="s">
        <v>35</v>
      </c>
    </row>
    <row r="9143" spans="1:8" ht="14.4" x14ac:dyDescent="0.3">
      <c r="A9143" s="8">
        <v>2042790</v>
      </c>
      <c r="B9143" s="11">
        <v>44803</v>
      </c>
      <c r="C9143" s="13" t="s">
        <v>162</v>
      </c>
      <c r="D9143" s="13" t="s">
        <v>11162</v>
      </c>
      <c r="E9143" s="8">
        <v>5310.41</v>
      </c>
      <c r="F9143" s="13" t="s">
        <v>70</v>
      </c>
      <c r="G9143" s="14">
        <v>44812</v>
      </c>
      <c r="H9143" s="13" t="s">
        <v>35</v>
      </c>
    </row>
    <row r="9144" spans="1:8" ht="14.4" x14ac:dyDescent="0.3">
      <c r="A9144" s="8">
        <v>2042791</v>
      </c>
      <c r="B9144" s="11">
        <v>44805</v>
      </c>
      <c r="C9144" s="13" t="s">
        <v>19</v>
      </c>
      <c r="D9144" s="13" t="s">
        <v>11163</v>
      </c>
      <c r="E9144" s="8">
        <v>8000000</v>
      </c>
      <c r="F9144" s="13" t="s">
        <v>70</v>
      </c>
      <c r="G9144" s="14">
        <v>44805</v>
      </c>
      <c r="H9144" s="13" t="s">
        <v>35</v>
      </c>
    </row>
    <row r="9145" spans="1:8" ht="14.4" x14ac:dyDescent="0.3">
      <c r="A9145" s="8">
        <v>2042792</v>
      </c>
      <c r="B9145" s="11">
        <v>44805</v>
      </c>
      <c r="C9145" s="13" t="s">
        <v>152</v>
      </c>
      <c r="D9145" s="13" t="s">
        <v>11164</v>
      </c>
      <c r="E9145" s="8">
        <v>10570</v>
      </c>
      <c r="F9145" s="13" t="s">
        <v>70</v>
      </c>
      <c r="G9145" s="14">
        <v>44812</v>
      </c>
      <c r="H9145" s="13" t="s">
        <v>35</v>
      </c>
    </row>
    <row r="9146" spans="1:8" ht="14.4" x14ac:dyDescent="0.3">
      <c r="A9146" s="8">
        <v>2042793</v>
      </c>
      <c r="B9146" s="11">
        <v>44805</v>
      </c>
      <c r="C9146" s="13" t="s">
        <v>3725</v>
      </c>
      <c r="D9146" s="13" t="s">
        <v>11165</v>
      </c>
      <c r="E9146" s="8">
        <v>8000</v>
      </c>
      <c r="F9146" s="13" t="s">
        <v>70</v>
      </c>
      <c r="G9146" s="14">
        <v>44809</v>
      </c>
      <c r="H9146" s="13" t="s">
        <v>35</v>
      </c>
    </row>
    <row r="9147" spans="1:8" ht="14.4" x14ac:dyDescent="0.3">
      <c r="A9147" s="8">
        <v>2042794</v>
      </c>
      <c r="B9147" s="11">
        <v>44805</v>
      </c>
      <c r="C9147" s="13" t="s">
        <v>72</v>
      </c>
      <c r="D9147" s="13" t="s">
        <v>11166</v>
      </c>
      <c r="E9147" s="8">
        <v>41315.4</v>
      </c>
      <c r="F9147" s="13" t="s">
        <v>70</v>
      </c>
      <c r="G9147" s="14">
        <v>44813</v>
      </c>
      <c r="H9147" s="13" t="s">
        <v>35</v>
      </c>
    </row>
    <row r="9148" spans="1:8" ht="14.4" x14ac:dyDescent="0.3">
      <c r="A9148" s="8">
        <v>2042795</v>
      </c>
      <c r="B9148" s="11">
        <v>44805</v>
      </c>
      <c r="C9148" s="13" t="s">
        <v>3725</v>
      </c>
      <c r="D9148" s="13" t="s">
        <v>11167</v>
      </c>
      <c r="E9148" s="8">
        <v>12500</v>
      </c>
      <c r="F9148" s="13" t="s">
        <v>70</v>
      </c>
      <c r="G9148" s="14">
        <v>44809</v>
      </c>
      <c r="H9148" s="13" t="s">
        <v>35</v>
      </c>
    </row>
    <row r="9149" spans="1:8" ht="14.4" x14ac:dyDescent="0.3">
      <c r="A9149" s="8">
        <v>2042796</v>
      </c>
      <c r="B9149" s="11">
        <v>44805</v>
      </c>
      <c r="C9149" s="13" t="s">
        <v>11168</v>
      </c>
      <c r="D9149" s="13" t="s">
        <v>11169</v>
      </c>
      <c r="E9149" s="8">
        <v>20000</v>
      </c>
      <c r="F9149" s="13" t="s">
        <v>70</v>
      </c>
      <c r="G9149" s="14">
        <v>44806</v>
      </c>
      <c r="H9149" s="13" t="s">
        <v>35</v>
      </c>
    </row>
    <row r="9150" spans="1:8" ht="14.4" x14ac:dyDescent="0.3">
      <c r="A9150" s="8">
        <v>2042797</v>
      </c>
      <c r="B9150" s="11">
        <v>44805</v>
      </c>
      <c r="C9150" s="13" t="s">
        <v>2080</v>
      </c>
      <c r="D9150" s="13" t="s">
        <v>11170</v>
      </c>
      <c r="E9150" s="8">
        <v>41406.239999999998</v>
      </c>
      <c r="F9150" s="13" t="s">
        <v>70</v>
      </c>
      <c r="G9150" s="14">
        <v>44806</v>
      </c>
      <c r="H9150" s="13" t="s">
        <v>35</v>
      </c>
    </row>
    <row r="9151" spans="1:8" ht="14.4" x14ac:dyDescent="0.3">
      <c r="A9151" s="8">
        <v>2042798</v>
      </c>
      <c r="B9151" s="11">
        <v>44805</v>
      </c>
      <c r="C9151" s="13" t="s">
        <v>2080</v>
      </c>
      <c r="D9151" s="13" t="s">
        <v>11171</v>
      </c>
      <c r="E9151" s="8">
        <v>41642.85</v>
      </c>
      <c r="F9151" s="13" t="s">
        <v>70</v>
      </c>
      <c r="G9151" s="14">
        <v>44806</v>
      </c>
      <c r="H9151" s="13" t="s">
        <v>35</v>
      </c>
    </row>
    <row r="9152" spans="1:8" ht="14.4" x14ac:dyDescent="0.3">
      <c r="A9152" s="8">
        <v>2042799</v>
      </c>
      <c r="B9152" s="11">
        <v>44805</v>
      </c>
      <c r="C9152" s="13" t="s">
        <v>884</v>
      </c>
      <c r="D9152" s="13" t="s">
        <v>11172</v>
      </c>
      <c r="E9152" s="8">
        <v>8250</v>
      </c>
      <c r="F9152" s="13" t="s">
        <v>70</v>
      </c>
      <c r="G9152" s="14">
        <v>44805</v>
      </c>
      <c r="H9152" s="13" t="s">
        <v>35</v>
      </c>
    </row>
    <row r="9153" spans="1:8" ht="14.4" x14ac:dyDescent="0.3">
      <c r="A9153" s="8">
        <v>2042800</v>
      </c>
      <c r="B9153" s="11">
        <v>44805</v>
      </c>
      <c r="C9153" s="13" t="s">
        <v>718</v>
      </c>
      <c r="D9153" s="13" t="s">
        <v>11173</v>
      </c>
      <c r="E9153" s="8">
        <v>28000</v>
      </c>
      <c r="F9153" s="13" t="s">
        <v>70</v>
      </c>
      <c r="G9153" s="14">
        <v>44832</v>
      </c>
      <c r="H9153" s="13" t="s">
        <v>35</v>
      </c>
    </row>
    <row r="9154" spans="1:8" ht="14.4" x14ac:dyDescent="0.3">
      <c r="A9154" s="8">
        <v>2042801</v>
      </c>
      <c r="B9154" s="11">
        <v>44805</v>
      </c>
      <c r="C9154" s="13" t="s">
        <v>11174</v>
      </c>
      <c r="D9154" s="13" t="s">
        <v>11175</v>
      </c>
      <c r="E9154" s="8">
        <v>40000</v>
      </c>
      <c r="F9154" s="13" t="s">
        <v>70</v>
      </c>
      <c r="G9154" s="14">
        <v>44810</v>
      </c>
      <c r="H9154" s="13" t="s">
        <v>35</v>
      </c>
    </row>
    <row r="9155" spans="1:8" ht="14.4" x14ac:dyDescent="0.3">
      <c r="A9155" s="8">
        <v>2042802</v>
      </c>
      <c r="B9155" s="11">
        <v>44805</v>
      </c>
      <c r="C9155" s="13" t="s">
        <v>11176</v>
      </c>
      <c r="D9155" s="13" t="s">
        <v>11177</v>
      </c>
      <c r="E9155" s="8">
        <v>50000</v>
      </c>
      <c r="F9155" s="13" t="s">
        <v>70</v>
      </c>
      <c r="G9155" s="14">
        <v>44809</v>
      </c>
      <c r="H9155" s="13" t="s">
        <v>35</v>
      </c>
    </row>
    <row r="9156" spans="1:8" ht="14.4" x14ac:dyDescent="0.3">
      <c r="A9156" s="8">
        <v>2042803</v>
      </c>
      <c r="B9156" s="11">
        <v>44805</v>
      </c>
      <c r="C9156" s="13" t="s">
        <v>11178</v>
      </c>
      <c r="D9156" s="13" t="s">
        <v>11179</v>
      </c>
      <c r="E9156" s="8">
        <v>12000</v>
      </c>
      <c r="F9156" s="13" t="s">
        <v>70</v>
      </c>
      <c r="G9156" s="14">
        <v>44809</v>
      </c>
      <c r="H9156" s="13" t="s">
        <v>35</v>
      </c>
    </row>
    <row r="9157" spans="1:8" ht="14.4" x14ac:dyDescent="0.3">
      <c r="A9157" s="8">
        <v>2042804</v>
      </c>
      <c r="B9157" s="11">
        <v>44805</v>
      </c>
      <c r="C9157" s="13" t="s">
        <v>11180</v>
      </c>
      <c r="D9157" s="13" t="s">
        <v>11181</v>
      </c>
      <c r="E9157" s="8">
        <v>11000</v>
      </c>
      <c r="F9157" s="13" t="s">
        <v>70</v>
      </c>
      <c r="G9157" s="14">
        <v>44809</v>
      </c>
      <c r="H9157" s="13" t="s">
        <v>35</v>
      </c>
    </row>
    <row r="9158" spans="1:8" ht="14.4" x14ac:dyDescent="0.3">
      <c r="A9158" s="8">
        <v>2042805</v>
      </c>
      <c r="B9158" s="11">
        <v>44805</v>
      </c>
      <c r="C9158" s="13" t="s">
        <v>11182</v>
      </c>
      <c r="D9158" s="13" t="s">
        <v>11183</v>
      </c>
      <c r="E9158" s="8">
        <v>20000</v>
      </c>
      <c r="F9158" s="13" t="s">
        <v>70</v>
      </c>
      <c r="G9158" s="14">
        <v>44810</v>
      </c>
      <c r="H9158" s="13" t="s">
        <v>35</v>
      </c>
    </row>
    <row r="9159" spans="1:8" ht="14.4" x14ac:dyDescent="0.3">
      <c r="A9159" s="8">
        <v>2042806</v>
      </c>
      <c r="B9159" s="11">
        <v>44805</v>
      </c>
      <c r="C9159" s="13" t="s">
        <v>11184</v>
      </c>
      <c r="D9159" s="13" t="s">
        <v>11185</v>
      </c>
      <c r="E9159" s="8">
        <v>24000</v>
      </c>
      <c r="F9159" s="13" t="s">
        <v>70</v>
      </c>
      <c r="G9159" s="14">
        <v>44806</v>
      </c>
      <c r="H9159" s="13" t="s">
        <v>35</v>
      </c>
    </row>
    <row r="9160" spans="1:8" ht="14.4" x14ac:dyDescent="0.3">
      <c r="A9160" s="8">
        <v>2042807</v>
      </c>
      <c r="B9160" s="11">
        <v>44805</v>
      </c>
      <c r="C9160" s="13" t="s">
        <v>11186</v>
      </c>
      <c r="D9160" s="13" t="s">
        <v>11187</v>
      </c>
      <c r="E9160" s="8">
        <v>32000</v>
      </c>
      <c r="F9160" s="13" t="s">
        <v>70</v>
      </c>
      <c r="G9160" s="14">
        <v>44806</v>
      </c>
      <c r="H9160" s="13" t="s">
        <v>35</v>
      </c>
    </row>
    <row r="9161" spans="1:8" ht="14.4" x14ac:dyDescent="0.3">
      <c r="A9161" s="8">
        <v>2042808</v>
      </c>
      <c r="B9161" s="11">
        <v>44805</v>
      </c>
      <c r="C9161" s="13" t="s">
        <v>11188</v>
      </c>
      <c r="D9161" s="13" t="s">
        <v>11189</v>
      </c>
      <c r="E9161" s="8">
        <v>50000</v>
      </c>
      <c r="F9161" s="13" t="s">
        <v>70</v>
      </c>
      <c r="G9161" s="14">
        <v>44806</v>
      </c>
      <c r="H9161" s="13" t="s">
        <v>35</v>
      </c>
    </row>
    <row r="9162" spans="1:8" ht="14.4" x14ac:dyDescent="0.3">
      <c r="A9162" s="8">
        <v>2042809</v>
      </c>
      <c r="B9162" s="11">
        <v>44805</v>
      </c>
      <c r="C9162" s="13" t="s">
        <v>1286</v>
      </c>
      <c r="D9162" s="13" t="s">
        <v>11190</v>
      </c>
      <c r="E9162" s="8">
        <v>30716.97</v>
      </c>
      <c r="F9162" s="13" t="s">
        <v>70</v>
      </c>
      <c r="G9162" s="14">
        <v>44809</v>
      </c>
      <c r="H9162" s="13" t="s">
        <v>35</v>
      </c>
    </row>
    <row r="9163" spans="1:8" ht="14.4" x14ac:dyDescent="0.3">
      <c r="A9163" s="8">
        <v>2042810</v>
      </c>
      <c r="B9163" s="11">
        <v>44805</v>
      </c>
      <c r="C9163" s="13" t="s">
        <v>1286</v>
      </c>
      <c r="D9163" s="13" t="s">
        <v>11191</v>
      </c>
      <c r="E9163" s="8">
        <v>13375.78</v>
      </c>
      <c r="F9163" s="13" t="s">
        <v>70</v>
      </c>
      <c r="G9163" s="14">
        <v>44809</v>
      </c>
      <c r="H9163" s="13" t="s">
        <v>35</v>
      </c>
    </row>
    <row r="9164" spans="1:8" ht="14.4" x14ac:dyDescent="0.3">
      <c r="A9164" s="8">
        <v>2042811</v>
      </c>
      <c r="B9164" s="11">
        <v>44805</v>
      </c>
      <c r="C9164" s="13" t="s">
        <v>1286</v>
      </c>
      <c r="D9164" s="13" t="s">
        <v>11192</v>
      </c>
      <c r="E9164" s="8">
        <v>1754.86</v>
      </c>
      <c r="F9164" s="13" t="s">
        <v>70</v>
      </c>
      <c r="G9164" s="14">
        <v>44809</v>
      </c>
      <c r="H9164" s="13" t="s">
        <v>35</v>
      </c>
    </row>
    <row r="9165" spans="1:8" ht="14.4" x14ac:dyDescent="0.3">
      <c r="A9165" s="8">
        <v>2042812</v>
      </c>
      <c r="B9165" s="11">
        <v>44805</v>
      </c>
      <c r="C9165" s="13" t="s">
        <v>1286</v>
      </c>
      <c r="D9165" s="13" t="s">
        <v>11193</v>
      </c>
      <c r="E9165" s="8">
        <v>3863.32</v>
      </c>
      <c r="F9165" s="13" t="s">
        <v>70</v>
      </c>
      <c r="G9165" s="14">
        <v>44809</v>
      </c>
      <c r="H9165" s="13" t="s">
        <v>35</v>
      </c>
    </row>
    <row r="9166" spans="1:8" ht="14.4" x14ac:dyDescent="0.3">
      <c r="A9166" s="8">
        <v>2042813</v>
      </c>
      <c r="B9166" s="11">
        <v>44805</v>
      </c>
      <c r="C9166" s="13" t="s">
        <v>1286</v>
      </c>
      <c r="D9166" s="13" t="s">
        <v>11194</v>
      </c>
      <c r="E9166" s="8">
        <v>12680.53</v>
      </c>
      <c r="F9166" s="13" t="s">
        <v>70</v>
      </c>
      <c r="G9166" s="14">
        <v>44809</v>
      </c>
      <c r="H9166" s="13" t="s">
        <v>35</v>
      </c>
    </row>
    <row r="9167" spans="1:8" ht="14.4" x14ac:dyDescent="0.3">
      <c r="A9167" s="8">
        <v>2042814</v>
      </c>
      <c r="B9167" s="11">
        <v>44805</v>
      </c>
      <c r="C9167" s="13" t="s">
        <v>1286</v>
      </c>
      <c r="D9167" s="13" t="s">
        <v>11195</v>
      </c>
      <c r="E9167" s="8">
        <v>4902.88</v>
      </c>
      <c r="F9167" s="13" t="s">
        <v>70</v>
      </c>
      <c r="G9167" s="14">
        <v>44809</v>
      </c>
      <c r="H9167" s="13" t="s">
        <v>35</v>
      </c>
    </row>
    <row r="9168" spans="1:8" ht="14.4" x14ac:dyDescent="0.3">
      <c r="A9168" s="8">
        <v>2042815</v>
      </c>
      <c r="B9168" s="11">
        <v>44805</v>
      </c>
      <c r="C9168" s="13" t="s">
        <v>11196</v>
      </c>
      <c r="D9168" s="13" t="s">
        <v>57</v>
      </c>
      <c r="E9168" s="8">
        <v>281250</v>
      </c>
      <c r="F9168" s="13" t="s">
        <v>70</v>
      </c>
      <c r="G9168" s="14">
        <v>44810</v>
      </c>
      <c r="H9168" s="13" t="s">
        <v>35</v>
      </c>
    </row>
    <row r="9169" spans="1:8" ht="14.4" x14ac:dyDescent="0.3">
      <c r="A9169" s="8">
        <v>2042816</v>
      </c>
      <c r="B9169" s="11">
        <v>44805</v>
      </c>
      <c r="C9169" s="13" t="s">
        <v>1286</v>
      </c>
      <c r="D9169" s="13" t="s">
        <v>11197</v>
      </c>
      <c r="E9169" s="8">
        <v>6718.03</v>
      </c>
      <c r="F9169" s="13" t="s">
        <v>70</v>
      </c>
      <c r="G9169" s="14">
        <v>44809</v>
      </c>
      <c r="H9169" s="13" t="s">
        <v>35</v>
      </c>
    </row>
    <row r="9170" spans="1:8" ht="14.4" x14ac:dyDescent="0.3">
      <c r="A9170" s="8">
        <v>2042817</v>
      </c>
      <c r="B9170" s="11">
        <v>44805</v>
      </c>
      <c r="C9170" s="13" t="s">
        <v>1286</v>
      </c>
      <c r="D9170" s="13" t="s">
        <v>11198</v>
      </c>
      <c r="E9170" s="8">
        <v>4991.41</v>
      </c>
      <c r="F9170" s="13" t="s">
        <v>70</v>
      </c>
      <c r="G9170" s="14">
        <v>44809</v>
      </c>
      <c r="H9170" s="13" t="s">
        <v>35</v>
      </c>
    </row>
    <row r="9171" spans="1:8" ht="14.4" x14ac:dyDescent="0.3">
      <c r="A9171" s="8">
        <v>2042818</v>
      </c>
      <c r="B9171" s="11">
        <v>44805</v>
      </c>
      <c r="C9171" s="13" t="s">
        <v>1286</v>
      </c>
      <c r="D9171" s="13" t="s">
        <v>11199</v>
      </c>
      <c r="E9171" s="8">
        <v>284713.68</v>
      </c>
      <c r="F9171" s="13" t="s">
        <v>70</v>
      </c>
      <c r="G9171" s="14">
        <v>44809</v>
      </c>
      <c r="H9171" s="13" t="s">
        <v>35</v>
      </c>
    </row>
    <row r="9172" spans="1:8" ht="14.4" x14ac:dyDescent="0.3">
      <c r="A9172" s="8">
        <v>2042820</v>
      </c>
      <c r="B9172" s="11">
        <v>44805</v>
      </c>
      <c r="C9172" s="13" t="s">
        <v>1286</v>
      </c>
      <c r="D9172" s="13" t="s">
        <v>11200</v>
      </c>
      <c r="E9172" s="8">
        <v>76598.89</v>
      </c>
      <c r="F9172" s="13" t="s">
        <v>70</v>
      </c>
      <c r="G9172" s="14">
        <v>44809</v>
      </c>
      <c r="H9172" s="13" t="s">
        <v>35</v>
      </c>
    </row>
    <row r="9173" spans="1:8" ht="14.4" x14ac:dyDescent="0.3">
      <c r="A9173" s="8">
        <v>2042821</v>
      </c>
      <c r="B9173" s="11">
        <v>44805</v>
      </c>
      <c r="C9173" s="13" t="s">
        <v>1286</v>
      </c>
      <c r="D9173" s="13" t="s">
        <v>11201</v>
      </c>
      <c r="E9173" s="8">
        <v>26385.05</v>
      </c>
      <c r="F9173" s="13" t="s">
        <v>70</v>
      </c>
      <c r="G9173" s="14">
        <v>44809</v>
      </c>
      <c r="H9173" s="13" t="s">
        <v>35</v>
      </c>
    </row>
    <row r="9174" spans="1:8" ht="14.4" x14ac:dyDescent="0.3">
      <c r="A9174" s="8">
        <v>2042822</v>
      </c>
      <c r="B9174" s="11">
        <v>44805</v>
      </c>
      <c r="C9174" s="13" t="s">
        <v>71</v>
      </c>
      <c r="D9174" s="13" t="s">
        <v>11160</v>
      </c>
      <c r="E9174" s="8">
        <v>11282.37</v>
      </c>
      <c r="F9174" s="13" t="s">
        <v>70</v>
      </c>
      <c r="G9174" s="14">
        <v>44812</v>
      </c>
      <c r="H9174" s="13" t="s">
        <v>35</v>
      </c>
    </row>
    <row r="9175" spans="1:8" ht="14.4" x14ac:dyDescent="0.3">
      <c r="A9175" s="8">
        <v>2042823</v>
      </c>
      <c r="B9175" s="11">
        <v>44805</v>
      </c>
      <c r="C9175" s="13" t="s">
        <v>71</v>
      </c>
      <c r="D9175" s="13" t="s">
        <v>11202</v>
      </c>
      <c r="E9175" s="8">
        <v>56011.89</v>
      </c>
      <c r="F9175" s="13" t="s">
        <v>70</v>
      </c>
      <c r="G9175" s="14">
        <v>44812</v>
      </c>
      <c r="H9175" s="13" t="s">
        <v>35</v>
      </c>
    </row>
    <row r="9176" spans="1:8" ht="14.4" x14ac:dyDescent="0.3">
      <c r="A9176" s="8">
        <v>2042824</v>
      </c>
      <c r="B9176" s="11">
        <v>44805</v>
      </c>
      <c r="C9176" s="13" t="s">
        <v>11203</v>
      </c>
      <c r="D9176" s="13" t="s">
        <v>11204</v>
      </c>
      <c r="E9176" s="8">
        <v>10000</v>
      </c>
      <c r="F9176" s="13" t="s">
        <v>70</v>
      </c>
      <c r="G9176" s="14">
        <v>44829</v>
      </c>
      <c r="H9176" s="13" t="s">
        <v>35</v>
      </c>
    </row>
    <row r="9177" spans="1:8" ht="14.4" x14ac:dyDescent="0.3">
      <c r="A9177" s="8">
        <v>2042825</v>
      </c>
      <c r="B9177" s="11">
        <v>44805</v>
      </c>
      <c r="C9177" s="13" t="s">
        <v>748</v>
      </c>
      <c r="D9177" s="13" t="s">
        <v>11205</v>
      </c>
      <c r="E9177" s="8">
        <v>2944.74</v>
      </c>
      <c r="F9177" s="13" t="s">
        <v>70</v>
      </c>
      <c r="G9177" s="14">
        <v>44811</v>
      </c>
      <c r="H9177" s="13" t="s">
        <v>35</v>
      </c>
    </row>
    <row r="9178" spans="1:8" ht="14.4" x14ac:dyDescent="0.3">
      <c r="A9178" s="8">
        <v>2042826</v>
      </c>
      <c r="B9178" s="11">
        <v>44805</v>
      </c>
      <c r="C9178" s="13" t="s">
        <v>748</v>
      </c>
      <c r="D9178" s="13" t="s">
        <v>11206</v>
      </c>
      <c r="E9178" s="8">
        <v>4687.5</v>
      </c>
      <c r="F9178" s="13" t="s">
        <v>70</v>
      </c>
      <c r="G9178" s="14">
        <v>44811</v>
      </c>
      <c r="H9178" s="13" t="s">
        <v>35</v>
      </c>
    </row>
    <row r="9179" spans="1:8" ht="14.4" x14ac:dyDescent="0.3">
      <c r="A9179" s="8">
        <v>2042827</v>
      </c>
      <c r="B9179" s="11">
        <v>44805</v>
      </c>
      <c r="C9179" s="13" t="s">
        <v>748</v>
      </c>
      <c r="D9179" s="13" t="s">
        <v>11207</v>
      </c>
      <c r="E9179" s="8">
        <v>2944.74</v>
      </c>
      <c r="F9179" s="13" t="s">
        <v>70</v>
      </c>
      <c r="G9179" s="14">
        <v>44811</v>
      </c>
      <c r="H9179" s="13" t="s">
        <v>35</v>
      </c>
    </row>
    <row r="9180" spans="1:8" ht="14.4" x14ac:dyDescent="0.3">
      <c r="A9180" s="8">
        <v>2042828</v>
      </c>
      <c r="B9180" s="11">
        <v>44805</v>
      </c>
      <c r="C9180" s="13" t="s">
        <v>3725</v>
      </c>
      <c r="D9180" s="13" t="s">
        <v>11208</v>
      </c>
      <c r="E9180" s="8">
        <v>5500</v>
      </c>
      <c r="F9180" s="13" t="s">
        <v>70</v>
      </c>
      <c r="G9180" s="14">
        <v>44809</v>
      </c>
      <c r="H9180" s="13" t="s">
        <v>35</v>
      </c>
    </row>
    <row r="9181" spans="1:8" ht="14.4" x14ac:dyDescent="0.3">
      <c r="A9181" s="8">
        <v>2042829</v>
      </c>
      <c r="B9181" s="11">
        <v>44805</v>
      </c>
      <c r="C9181" s="13" t="s">
        <v>56</v>
      </c>
      <c r="D9181" s="13" t="s">
        <v>11209</v>
      </c>
      <c r="E9181" s="8">
        <v>136030.96</v>
      </c>
      <c r="F9181" s="13" t="s">
        <v>70</v>
      </c>
      <c r="G9181" s="14">
        <v>44810</v>
      </c>
      <c r="H9181" s="13" t="s">
        <v>35</v>
      </c>
    </row>
    <row r="9182" spans="1:8" ht="14.4" x14ac:dyDescent="0.3">
      <c r="A9182" s="8">
        <v>2042830</v>
      </c>
      <c r="B9182" s="11">
        <v>44805</v>
      </c>
      <c r="C9182" s="13" t="s">
        <v>677</v>
      </c>
      <c r="D9182" s="13" t="s">
        <v>11210</v>
      </c>
      <c r="E9182" s="8">
        <v>15580.35</v>
      </c>
      <c r="F9182" s="13" t="s">
        <v>70</v>
      </c>
      <c r="G9182" s="14">
        <v>44817</v>
      </c>
      <c r="H9182" s="13" t="s">
        <v>35</v>
      </c>
    </row>
    <row r="9183" spans="1:8" ht="14.4" x14ac:dyDescent="0.3">
      <c r="A9183" s="8">
        <v>2042831</v>
      </c>
      <c r="B9183" s="11">
        <v>44805</v>
      </c>
      <c r="C9183" s="13" t="s">
        <v>1581</v>
      </c>
      <c r="D9183" s="13" t="s">
        <v>11211</v>
      </c>
      <c r="E9183" s="8">
        <v>78932.149999999994</v>
      </c>
      <c r="F9183" s="13" t="s">
        <v>70</v>
      </c>
      <c r="G9183" s="14">
        <v>44811</v>
      </c>
      <c r="H9183" s="13" t="s">
        <v>35</v>
      </c>
    </row>
    <row r="9184" spans="1:8" ht="14.4" x14ac:dyDescent="0.3">
      <c r="A9184" s="8">
        <v>2042832</v>
      </c>
      <c r="B9184" s="11">
        <v>44805</v>
      </c>
      <c r="C9184" s="13" t="s">
        <v>1524</v>
      </c>
      <c r="D9184" s="13" t="s">
        <v>11212</v>
      </c>
      <c r="E9184" s="8">
        <v>40223.22</v>
      </c>
      <c r="F9184" s="13" t="s">
        <v>70</v>
      </c>
      <c r="G9184" s="14">
        <v>44809</v>
      </c>
      <c r="H9184" s="13" t="s">
        <v>35</v>
      </c>
    </row>
    <row r="9185" spans="1:8" ht="14.4" x14ac:dyDescent="0.3">
      <c r="A9185" s="8">
        <v>2042833</v>
      </c>
      <c r="B9185" s="11">
        <v>44806</v>
      </c>
      <c r="C9185" s="13" t="s">
        <v>159</v>
      </c>
      <c r="D9185" s="13" t="s">
        <v>11213</v>
      </c>
      <c r="E9185" s="8">
        <v>354500</v>
      </c>
      <c r="F9185" s="13" t="s">
        <v>70</v>
      </c>
      <c r="G9185" s="14">
        <v>44806</v>
      </c>
      <c r="H9185" s="13" t="s">
        <v>35</v>
      </c>
    </row>
    <row r="9186" spans="1:8" ht="14.4" x14ac:dyDescent="0.3">
      <c r="A9186" s="8">
        <v>2042834</v>
      </c>
      <c r="B9186" s="11">
        <v>44806</v>
      </c>
      <c r="C9186" s="13" t="s">
        <v>11214</v>
      </c>
      <c r="D9186" s="13" t="s">
        <v>11215</v>
      </c>
      <c r="E9186" s="8">
        <v>17000</v>
      </c>
      <c r="F9186" s="13" t="s">
        <v>70</v>
      </c>
      <c r="G9186" s="14">
        <v>44809</v>
      </c>
      <c r="H9186" s="13" t="s">
        <v>35</v>
      </c>
    </row>
    <row r="9187" spans="1:8" ht="14.4" x14ac:dyDescent="0.3">
      <c r="A9187" s="8">
        <v>2042835</v>
      </c>
      <c r="B9187" s="11">
        <v>44806</v>
      </c>
      <c r="C9187" s="13" t="s">
        <v>4777</v>
      </c>
      <c r="D9187" s="13" t="s">
        <v>11216</v>
      </c>
      <c r="E9187" s="8">
        <v>141733.53</v>
      </c>
      <c r="F9187" s="13" t="s">
        <v>70</v>
      </c>
      <c r="G9187" s="14">
        <v>44816</v>
      </c>
      <c r="H9187" s="13" t="s">
        <v>35</v>
      </c>
    </row>
    <row r="9188" spans="1:8" ht="14.4" x14ac:dyDescent="0.3">
      <c r="A9188" s="8">
        <v>2042836</v>
      </c>
      <c r="B9188" s="11">
        <v>44806</v>
      </c>
      <c r="C9188" s="13" t="s">
        <v>11217</v>
      </c>
      <c r="D9188" s="13" t="s">
        <v>11218</v>
      </c>
      <c r="E9188" s="8">
        <v>7000</v>
      </c>
      <c r="F9188" s="13" t="s">
        <v>70</v>
      </c>
      <c r="G9188" s="14">
        <v>44809</v>
      </c>
      <c r="H9188" s="13" t="s">
        <v>35</v>
      </c>
    </row>
    <row r="9189" spans="1:8" ht="14.4" x14ac:dyDescent="0.3">
      <c r="A9189" s="8">
        <v>2042837</v>
      </c>
      <c r="B9189" s="11">
        <v>44806</v>
      </c>
      <c r="C9189" s="13" t="s">
        <v>11219</v>
      </c>
      <c r="D9189" s="13" t="s">
        <v>11220</v>
      </c>
      <c r="E9189" s="8">
        <v>15000</v>
      </c>
      <c r="F9189" s="13" t="s">
        <v>70</v>
      </c>
      <c r="G9189" s="14">
        <v>44809</v>
      </c>
      <c r="H9189" s="13" t="s">
        <v>35</v>
      </c>
    </row>
    <row r="9190" spans="1:8" ht="14.4" x14ac:dyDescent="0.3">
      <c r="A9190" s="8">
        <v>2042838</v>
      </c>
      <c r="B9190" s="11">
        <v>44806</v>
      </c>
      <c r="C9190" s="13" t="s">
        <v>11221</v>
      </c>
      <c r="D9190" s="13" t="s">
        <v>11222</v>
      </c>
      <c r="E9190" s="8">
        <v>10000</v>
      </c>
      <c r="F9190" s="13" t="s">
        <v>70</v>
      </c>
      <c r="G9190" s="14">
        <v>44809</v>
      </c>
      <c r="H9190" s="13" t="s">
        <v>35</v>
      </c>
    </row>
    <row r="9191" spans="1:8" ht="14.4" x14ac:dyDescent="0.3">
      <c r="A9191" s="8">
        <v>2042839</v>
      </c>
      <c r="B9191" s="11">
        <v>44806</v>
      </c>
      <c r="C9191" s="13" t="s">
        <v>11223</v>
      </c>
      <c r="D9191" s="13" t="s">
        <v>11224</v>
      </c>
      <c r="E9191" s="8">
        <v>7000</v>
      </c>
      <c r="F9191" s="13" t="s">
        <v>70</v>
      </c>
      <c r="G9191" s="14">
        <v>44809</v>
      </c>
      <c r="H9191" s="13" t="s">
        <v>35</v>
      </c>
    </row>
    <row r="9192" spans="1:8" ht="14.4" x14ac:dyDescent="0.3">
      <c r="A9192" s="8">
        <v>2042840</v>
      </c>
      <c r="B9192" s="11">
        <v>44806</v>
      </c>
      <c r="C9192" s="13" t="s">
        <v>11225</v>
      </c>
      <c r="D9192" s="13" t="s">
        <v>11226</v>
      </c>
      <c r="E9192" s="8">
        <v>7000</v>
      </c>
      <c r="F9192" s="13" t="s">
        <v>70</v>
      </c>
      <c r="G9192" s="14">
        <v>44809</v>
      </c>
      <c r="H9192" s="13" t="s">
        <v>35</v>
      </c>
    </row>
    <row r="9193" spans="1:8" ht="14.4" x14ac:dyDescent="0.3">
      <c r="A9193" s="8">
        <v>2042841</v>
      </c>
      <c r="B9193" s="11">
        <v>44806</v>
      </c>
      <c r="C9193" s="13" t="s">
        <v>11227</v>
      </c>
      <c r="D9193" s="13" t="s">
        <v>11228</v>
      </c>
      <c r="E9193" s="8">
        <v>20000</v>
      </c>
      <c r="F9193" s="13" t="s">
        <v>70</v>
      </c>
      <c r="G9193" s="14">
        <v>44809</v>
      </c>
      <c r="H9193" s="13" t="s">
        <v>35</v>
      </c>
    </row>
    <row r="9194" spans="1:8" ht="14.4" x14ac:dyDescent="0.3">
      <c r="A9194" s="8">
        <v>2042842</v>
      </c>
      <c r="B9194" s="11">
        <v>44806</v>
      </c>
      <c r="C9194" s="13" t="s">
        <v>11229</v>
      </c>
      <c r="D9194" s="13" t="s">
        <v>11230</v>
      </c>
      <c r="E9194" s="8">
        <v>7000</v>
      </c>
      <c r="F9194" s="13" t="s">
        <v>70</v>
      </c>
      <c r="G9194" s="14">
        <v>44809</v>
      </c>
      <c r="H9194" s="13" t="s">
        <v>35</v>
      </c>
    </row>
    <row r="9195" spans="1:8" ht="14.4" x14ac:dyDescent="0.3">
      <c r="A9195" s="8">
        <v>2042843</v>
      </c>
      <c r="B9195" s="11">
        <v>44806</v>
      </c>
      <c r="C9195" s="13" t="s">
        <v>11231</v>
      </c>
      <c r="D9195" s="13" t="s">
        <v>150</v>
      </c>
      <c r="E9195" s="8">
        <v>8000</v>
      </c>
      <c r="F9195" s="13" t="s">
        <v>70</v>
      </c>
      <c r="G9195" s="14">
        <v>44809</v>
      </c>
      <c r="H9195" s="13" t="s">
        <v>35</v>
      </c>
    </row>
    <row r="9196" spans="1:8" ht="14.4" x14ac:dyDescent="0.3">
      <c r="A9196" s="8">
        <v>2042844</v>
      </c>
      <c r="B9196" s="11">
        <v>44806</v>
      </c>
      <c r="C9196" s="13" t="s">
        <v>11232</v>
      </c>
      <c r="D9196" s="13" t="s">
        <v>11233</v>
      </c>
      <c r="E9196" s="8">
        <v>11000</v>
      </c>
      <c r="F9196" s="13" t="s">
        <v>70</v>
      </c>
      <c r="G9196" s="14">
        <v>44809</v>
      </c>
      <c r="H9196" s="13" t="s">
        <v>35</v>
      </c>
    </row>
    <row r="9197" spans="1:8" ht="14.4" x14ac:dyDescent="0.3">
      <c r="A9197" s="8">
        <v>2042845</v>
      </c>
      <c r="B9197" s="11">
        <v>44806</v>
      </c>
      <c r="C9197" s="13" t="s">
        <v>11234</v>
      </c>
      <c r="D9197" s="13" t="s">
        <v>11235</v>
      </c>
      <c r="E9197" s="8">
        <v>17000</v>
      </c>
      <c r="F9197" s="13" t="s">
        <v>70</v>
      </c>
      <c r="G9197" s="14">
        <v>44818</v>
      </c>
      <c r="H9197" s="13" t="s">
        <v>35</v>
      </c>
    </row>
    <row r="9198" spans="1:8" ht="14.4" x14ac:dyDescent="0.3">
      <c r="A9198" s="8">
        <v>2042846</v>
      </c>
      <c r="B9198" s="11">
        <v>44806</v>
      </c>
      <c r="C9198" s="13" t="s">
        <v>10537</v>
      </c>
      <c r="D9198" s="13" t="s">
        <v>11236</v>
      </c>
      <c r="E9198" s="8">
        <v>31218.75</v>
      </c>
      <c r="F9198" s="13" t="s">
        <v>70</v>
      </c>
      <c r="G9198" s="14">
        <v>44826</v>
      </c>
      <c r="H9198" s="13" t="s">
        <v>35</v>
      </c>
    </row>
    <row r="9199" spans="1:8" ht="14.4" x14ac:dyDescent="0.3">
      <c r="A9199" s="8">
        <v>2042847</v>
      </c>
      <c r="B9199" s="11">
        <v>44806</v>
      </c>
      <c r="C9199" s="13" t="s">
        <v>11237</v>
      </c>
      <c r="D9199" s="13" t="s">
        <v>4896</v>
      </c>
      <c r="E9199" s="8">
        <v>198844.76</v>
      </c>
      <c r="F9199" s="13" t="s">
        <v>70</v>
      </c>
      <c r="G9199" s="14">
        <v>44812</v>
      </c>
      <c r="H9199" s="13" t="s">
        <v>35</v>
      </c>
    </row>
    <row r="9200" spans="1:8" ht="14.4" x14ac:dyDescent="0.3">
      <c r="A9200" s="8">
        <v>2042848</v>
      </c>
      <c r="B9200" s="11">
        <v>44806</v>
      </c>
      <c r="C9200" s="13" t="s">
        <v>405</v>
      </c>
      <c r="D9200" s="13" t="s">
        <v>11238</v>
      </c>
      <c r="E9200" s="8">
        <v>25412.82</v>
      </c>
      <c r="F9200" s="13" t="s">
        <v>70</v>
      </c>
      <c r="G9200" s="14">
        <v>44811</v>
      </c>
      <c r="H9200" s="13" t="s">
        <v>35</v>
      </c>
    </row>
    <row r="9201" spans="1:8" ht="14.4" x14ac:dyDescent="0.3">
      <c r="A9201" s="8">
        <v>2042849</v>
      </c>
      <c r="B9201" s="11">
        <v>44806</v>
      </c>
      <c r="C9201" s="13" t="s">
        <v>405</v>
      </c>
      <c r="D9201" s="13" t="s">
        <v>11239</v>
      </c>
      <c r="E9201" s="8">
        <v>39351.21</v>
      </c>
      <c r="F9201" s="13" t="s">
        <v>70</v>
      </c>
      <c r="G9201" s="14">
        <v>44811</v>
      </c>
      <c r="H9201" s="13" t="s">
        <v>35</v>
      </c>
    </row>
    <row r="9202" spans="1:8" ht="14.4" x14ac:dyDescent="0.3">
      <c r="A9202" s="8">
        <v>2042850</v>
      </c>
      <c r="B9202" s="11">
        <v>44806</v>
      </c>
      <c r="C9202" s="13" t="s">
        <v>405</v>
      </c>
      <c r="D9202" s="13" t="s">
        <v>11240</v>
      </c>
      <c r="E9202" s="8">
        <v>26030.49</v>
      </c>
      <c r="F9202" s="13" t="s">
        <v>70</v>
      </c>
      <c r="G9202" s="14">
        <v>44811</v>
      </c>
      <c r="H9202" s="13" t="s">
        <v>35</v>
      </c>
    </row>
    <row r="9203" spans="1:8" ht="14.4" x14ac:dyDescent="0.3">
      <c r="A9203" s="8">
        <v>2042851</v>
      </c>
      <c r="B9203" s="11">
        <v>44806</v>
      </c>
      <c r="C9203" s="13" t="s">
        <v>405</v>
      </c>
      <c r="D9203" s="13" t="s">
        <v>11241</v>
      </c>
      <c r="E9203" s="8">
        <v>15881.63</v>
      </c>
      <c r="F9203" s="13" t="s">
        <v>70</v>
      </c>
      <c r="G9203" s="14">
        <v>44811</v>
      </c>
      <c r="H9203" s="13" t="s">
        <v>35</v>
      </c>
    </row>
    <row r="9204" spans="1:8" ht="14.4" x14ac:dyDescent="0.3">
      <c r="A9204" s="8">
        <v>2042852</v>
      </c>
      <c r="B9204" s="11">
        <v>44806</v>
      </c>
      <c r="C9204" s="13" t="s">
        <v>405</v>
      </c>
      <c r="D9204" s="13" t="s">
        <v>11242</v>
      </c>
      <c r="E9204" s="8">
        <v>15916.76</v>
      </c>
      <c r="F9204" s="13" t="s">
        <v>70</v>
      </c>
      <c r="G9204" s="14">
        <v>44811</v>
      </c>
      <c r="H9204" s="13" t="s">
        <v>35</v>
      </c>
    </row>
    <row r="9205" spans="1:8" ht="14.4" x14ac:dyDescent="0.3">
      <c r="A9205" s="8">
        <v>2042853</v>
      </c>
      <c r="B9205" s="11">
        <v>44806</v>
      </c>
      <c r="C9205" s="13" t="s">
        <v>405</v>
      </c>
      <c r="D9205" s="13" t="s">
        <v>11243</v>
      </c>
      <c r="E9205" s="8">
        <v>12716</v>
      </c>
      <c r="F9205" s="13" t="s">
        <v>70</v>
      </c>
      <c r="G9205" s="14">
        <v>44811</v>
      </c>
      <c r="H9205" s="13" t="s">
        <v>35</v>
      </c>
    </row>
    <row r="9206" spans="1:8" ht="14.4" x14ac:dyDescent="0.3">
      <c r="A9206" s="8">
        <v>2042854</v>
      </c>
      <c r="B9206" s="11">
        <v>44806</v>
      </c>
      <c r="C9206" s="13" t="s">
        <v>405</v>
      </c>
      <c r="D9206" s="13" t="s">
        <v>11244</v>
      </c>
      <c r="E9206" s="8">
        <v>74540.98</v>
      </c>
      <c r="F9206" s="13" t="s">
        <v>70</v>
      </c>
      <c r="G9206" s="14">
        <v>44811</v>
      </c>
      <c r="H9206" s="13" t="s">
        <v>35</v>
      </c>
    </row>
    <row r="9207" spans="1:8" ht="14.4" x14ac:dyDescent="0.3">
      <c r="A9207" s="8">
        <v>2042855</v>
      </c>
      <c r="B9207" s="11">
        <v>44806</v>
      </c>
      <c r="C9207" s="13" t="s">
        <v>3378</v>
      </c>
      <c r="D9207" s="13" t="s">
        <v>11245</v>
      </c>
      <c r="E9207" s="8">
        <v>15815.85</v>
      </c>
      <c r="F9207" s="13" t="s">
        <v>70</v>
      </c>
      <c r="G9207" s="14">
        <v>44834</v>
      </c>
      <c r="H9207" s="13" t="s">
        <v>35</v>
      </c>
    </row>
    <row r="9208" spans="1:8" ht="14.4" x14ac:dyDescent="0.3">
      <c r="A9208" s="8">
        <v>2042856</v>
      </c>
      <c r="B9208" s="11">
        <v>44806</v>
      </c>
      <c r="C9208" s="13" t="s">
        <v>405</v>
      </c>
      <c r="D9208" s="13" t="s">
        <v>11246</v>
      </c>
      <c r="E9208" s="8">
        <v>43146.62</v>
      </c>
      <c r="F9208" s="13" t="s">
        <v>70</v>
      </c>
      <c r="G9208" s="14">
        <v>44811</v>
      </c>
      <c r="H9208" s="13" t="s">
        <v>35</v>
      </c>
    </row>
    <row r="9209" spans="1:8" ht="14.4" x14ac:dyDescent="0.3">
      <c r="A9209" s="8">
        <v>2042859</v>
      </c>
      <c r="B9209" s="11">
        <v>44806</v>
      </c>
      <c r="C9209" s="13" t="s">
        <v>2711</v>
      </c>
      <c r="D9209" s="13" t="s">
        <v>11247</v>
      </c>
      <c r="E9209" s="8">
        <v>13439.28</v>
      </c>
      <c r="F9209" s="13" t="s">
        <v>70</v>
      </c>
      <c r="G9209" s="14">
        <v>44818</v>
      </c>
      <c r="H9209" s="13" t="s">
        <v>35</v>
      </c>
    </row>
    <row r="9210" spans="1:8" ht="14.4" x14ac:dyDescent="0.3">
      <c r="A9210" s="8">
        <v>2042860</v>
      </c>
      <c r="B9210" s="11">
        <v>44806</v>
      </c>
      <c r="C9210" s="13" t="s">
        <v>25</v>
      </c>
      <c r="D9210" s="13" t="s">
        <v>11248</v>
      </c>
      <c r="E9210" s="8">
        <v>2366.0700000000002</v>
      </c>
      <c r="F9210" s="13" t="s">
        <v>70</v>
      </c>
      <c r="G9210" s="14">
        <v>44813</v>
      </c>
      <c r="H9210" s="13" t="s">
        <v>35</v>
      </c>
    </row>
    <row r="9211" spans="1:8" ht="14.4" x14ac:dyDescent="0.3">
      <c r="A9211" s="8">
        <v>2042861</v>
      </c>
      <c r="B9211" s="11">
        <v>44806</v>
      </c>
      <c r="C9211" s="13" t="s">
        <v>2711</v>
      </c>
      <c r="D9211" s="13" t="s">
        <v>11249</v>
      </c>
      <c r="E9211" s="8">
        <v>20774.11</v>
      </c>
      <c r="F9211" s="13" t="s">
        <v>70</v>
      </c>
      <c r="G9211" s="14">
        <v>44818</v>
      </c>
      <c r="H9211" s="13" t="s">
        <v>35</v>
      </c>
    </row>
    <row r="9212" spans="1:8" ht="14.4" x14ac:dyDescent="0.3">
      <c r="A9212" s="8">
        <v>2042862</v>
      </c>
      <c r="B9212" s="11">
        <v>44806</v>
      </c>
      <c r="C9212" s="13" t="s">
        <v>1946</v>
      </c>
      <c r="D9212" s="13" t="s">
        <v>11250</v>
      </c>
      <c r="E9212" s="8">
        <v>38425</v>
      </c>
      <c r="F9212" s="13" t="s">
        <v>70</v>
      </c>
      <c r="G9212" s="14">
        <v>44824</v>
      </c>
      <c r="H9212" s="13" t="s">
        <v>35</v>
      </c>
    </row>
    <row r="9213" spans="1:8" ht="14.4" x14ac:dyDescent="0.3">
      <c r="A9213" s="8">
        <v>2042863</v>
      </c>
      <c r="B9213" s="11">
        <v>44806</v>
      </c>
      <c r="C9213" s="13" t="s">
        <v>11251</v>
      </c>
      <c r="D9213" s="13" t="s">
        <v>11252</v>
      </c>
      <c r="E9213" s="8">
        <v>14700</v>
      </c>
      <c r="F9213" s="13" t="s">
        <v>70</v>
      </c>
      <c r="G9213" s="14">
        <v>44817</v>
      </c>
      <c r="H9213" s="13" t="s">
        <v>35</v>
      </c>
    </row>
    <row r="9214" spans="1:8" ht="14.4" x14ac:dyDescent="0.3">
      <c r="A9214" s="8">
        <v>2042864</v>
      </c>
      <c r="B9214" s="11">
        <v>44806</v>
      </c>
      <c r="C9214" s="13" t="s">
        <v>1596</v>
      </c>
      <c r="D9214" s="13" t="s">
        <v>11253</v>
      </c>
      <c r="E9214" s="8">
        <v>396.9</v>
      </c>
      <c r="F9214" s="13" t="s">
        <v>70</v>
      </c>
      <c r="G9214" s="14">
        <v>44820</v>
      </c>
      <c r="H9214" s="13" t="s">
        <v>35</v>
      </c>
    </row>
    <row r="9215" spans="1:8" ht="14.4" x14ac:dyDescent="0.3">
      <c r="A9215" s="8">
        <v>2042865</v>
      </c>
      <c r="B9215" s="11">
        <v>44806</v>
      </c>
      <c r="C9215" s="13" t="s">
        <v>1941</v>
      </c>
      <c r="D9215" s="13" t="s">
        <v>11254</v>
      </c>
      <c r="E9215" s="8">
        <v>12566.52</v>
      </c>
      <c r="F9215" s="13" t="s">
        <v>70</v>
      </c>
      <c r="G9215" s="14">
        <v>44811</v>
      </c>
      <c r="H9215" s="13" t="s">
        <v>35</v>
      </c>
    </row>
    <row r="9216" spans="1:8" ht="14.4" x14ac:dyDescent="0.3">
      <c r="A9216" s="8">
        <v>2042866</v>
      </c>
      <c r="B9216" s="11">
        <v>44806</v>
      </c>
      <c r="C9216" s="13" t="s">
        <v>2711</v>
      </c>
      <c r="D9216" s="13" t="s">
        <v>11255</v>
      </c>
      <c r="E9216" s="8">
        <v>6483.04</v>
      </c>
      <c r="F9216" s="13" t="s">
        <v>70</v>
      </c>
      <c r="G9216" s="14">
        <v>44818</v>
      </c>
      <c r="H9216" s="13" t="s">
        <v>35</v>
      </c>
    </row>
    <row r="9217" spans="1:8" ht="14.4" x14ac:dyDescent="0.3">
      <c r="A9217" s="8">
        <v>2042867</v>
      </c>
      <c r="B9217" s="11">
        <v>44806</v>
      </c>
      <c r="C9217" s="13" t="s">
        <v>5927</v>
      </c>
      <c r="D9217" s="13" t="s">
        <v>11256</v>
      </c>
      <c r="E9217" s="8">
        <v>1822207.47</v>
      </c>
      <c r="F9217" s="13" t="s">
        <v>70</v>
      </c>
      <c r="G9217" s="14">
        <v>44806</v>
      </c>
      <c r="H9217" s="13" t="s">
        <v>35</v>
      </c>
    </row>
    <row r="9218" spans="1:8" ht="14.4" x14ac:dyDescent="0.3">
      <c r="A9218" s="8">
        <v>2042868</v>
      </c>
      <c r="B9218" s="11">
        <v>44806</v>
      </c>
      <c r="C9218" s="13" t="s">
        <v>66</v>
      </c>
      <c r="D9218" s="13" t="s">
        <v>11257</v>
      </c>
      <c r="E9218" s="8">
        <v>70312.5</v>
      </c>
      <c r="F9218" s="13" t="s">
        <v>70</v>
      </c>
      <c r="G9218" s="14">
        <v>44817</v>
      </c>
      <c r="H9218" s="13" t="s">
        <v>35</v>
      </c>
    </row>
    <row r="9219" spans="1:8" ht="14.4" x14ac:dyDescent="0.3">
      <c r="A9219" s="8">
        <v>2042869</v>
      </c>
      <c r="B9219" s="11">
        <v>44806</v>
      </c>
      <c r="C9219" s="13" t="s">
        <v>202</v>
      </c>
      <c r="D9219" s="13" t="s">
        <v>11258</v>
      </c>
      <c r="E9219" s="8">
        <v>358086.54</v>
      </c>
      <c r="F9219" s="13" t="s">
        <v>70</v>
      </c>
      <c r="G9219" s="14">
        <v>44809</v>
      </c>
      <c r="H9219" s="13" t="s">
        <v>35</v>
      </c>
    </row>
    <row r="9220" spans="1:8" ht="14.4" x14ac:dyDescent="0.3">
      <c r="A9220" s="8">
        <v>2042870</v>
      </c>
      <c r="B9220" s="11">
        <v>44806</v>
      </c>
      <c r="C9220" s="13" t="s">
        <v>1524</v>
      </c>
      <c r="D9220" s="13" t="s">
        <v>11259</v>
      </c>
      <c r="E9220" s="8">
        <v>2839.28</v>
      </c>
      <c r="F9220" s="13" t="s">
        <v>70</v>
      </c>
      <c r="G9220" s="14">
        <v>44809</v>
      </c>
      <c r="H9220" s="13" t="s">
        <v>35</v>
      </c>
    </row>
    <row r="9221" spans="1:8" ht="14.4" x14ac:dyDescent="0.3">
      <c r="A9221" s="8">
        <v>2042871</v>
      </c>
      <c r="B9221" s="11">
        <v>44806</v>
      </c>
      <c r="C9221" s="13" t="s">
        <v>67</v>
      </c>
      <c r="D9221" s="13" t="s">
        <v>11260</v>
      </c>
      <c r="E9221" s="8">
        <v>7031.25</v>
      </c>
      <c r="F9221" s="13" t="s">
        <v>70</v>
      </c>
      <c r="G9221" s="14">
        <v>44811</v>
      </c>
      <c r="H9221" s="13" t="s">
        <v>35</v>
      </c>
    </row>
    <row r="9222" spans="1:8" ht="14.4" x14ac:dyDescent="0.3">
      <c r="A9222" s="8">
        <v>2042872</v>
      </c>
      <c r="B9222" s="11">
        <v>44806</v>
      </c>
      <c r="C9222" s="13" t="s">
        <v>405</v>
      </c>
      <c r="D9222" s="13" t="s">
        <v>11261</v>
      </c>
      <c r="E9222" s="8">
        <v>3650.35</v>
      </c>
      <c r="F9222" s="13" t="s">
        <v>70</v>
      </c>
      <c r="G9222" s="14">
        <v>44811</v>
      </c>
      <c r="H9222" s="13" t="s">
        <v>35</v>
      </c>
    </row>
    <row r="9223" spans="1:8" ht="14.4" x14ac:dyDescent="0.3">
      <c r="A9223" s="8">
        <v>2042873</v>
      </c>
      <c r="B9223" s="11">
        <v>44806</v>
      </c>
      <c r="C9223" s="13" t="s">
        <v>3203</v>
      </c>
      <c r="D9223" s="13" t="s">
        <v>11262</v>
      </c>
      <c r="E9223" s="8">
        <v>102538.93</v>
      </c>
      <c r="F9223" s="13" t="s">
        <v>70</v>
      </c>
      <c r="G9223" s="14">
        <v>44809</v>
      </c>
      <c r="H9223" s="13" t="s">
        <v>35</v>
      </c>
    </row>
    <row r="9224" spans="1:8" ht="14.4" x14ac:dyDescent="0.3">
      <c r="A9224" s="8">
        <v>2042874</v>
      </c>
      <c r="B9224" s="11">
        <v>44806</v>
      </c>
      <c r="C9224" s="13" t="s">
        <v>3444</v>
      </c>
      <c r="D9224" s="13" t="s">
        <v>11263</v>
      </c>
      <c r="E9224" s="8">
        <v>15665</v>
      </c>
      <c r="F9224" s="13" t="s">
        <v>70</v>
      </c>
      <c r="G9224" s="14">
        <v>44810</v>
      </c>
      <c r="H9224" s="13" t="s">
        <v>35</v>
      </c>
    </row>
    <row r="9225" spans="1:8" ht="14.4" x14ac:dyDescent="0.3">
      <c r="A9225" s="8">
        <v>2042875</v>
      </c>
      <c r="B9225" s="11">
        <v>44806</v>
      </c>
      <c r="C9225" s="13" t="s">
        <v>405</v>
      </c>
      <c r="D9225" s="13" t="s">
        <v>11264</v>
      </c>
      <c r="E9225" s="8">
        <v>49981.99</v>
      </c>
      <c r="F9225" s="13" t="s">
        <v>70</v>
      </c>
      <c r="G9225" s="14">
        <v>44811</v>
      </c>
      <c r="H9225" s="13" t="s">
        <v>35</v>
      </c>
    </row>
    <row r="9226" spans="1:8" ht="14.4" x14ac:dyDescent="0.3">
      <c r="A9226" s="8">
        <v>2042876</v>
      </c>
      <c r="B9226" s="11">
        <v>44806</v>
      </c>
      <c r="C9226" s="13" t="s">
        <v>3444</v>
      </c>
      <c r="D9226" s="13" t="s">
        <v>11265</v>
      </c>
      <c r="E9226" s="8">
        <v>14887</v>
      </c>
      <c r="F9226" s="13" t="s">
        <v>70</v>
      </c>
      <c r="G9226" s="14">
        <v>44810</v>
      </c>
      <c r="H9226" s="13" t="s">
        <v>35</v>
      </c>
    </row>
    <row r="9227" spans="1:8" ht="14.4" x14ac:dyDescent="0.3">
      <c r="A9227" s="8">
        <v>2042877</v>
      </c>
      <c r="B9227" s="11">
        <v>44806</v>
      </c>
      <c r="C9227" s="13" t="s">
        <v>1596</v>
      </c>
      <c r="D9227" s="13" t="s">
        <v>11266</v>
      </c>
      <c r="E9227" s="8">
        <v>588</v>
      </c>
      <c r="F9227" s="13" t="s">
        <v>70</v>
      </c>
      <c r="G9227" s="14">
        <v>44820</v>
      </c>
      <c r="H9227" s="13" t="s">
        <v>35</v>
      </c>
    </row>
    <row r="9228" spans="1:8" ht="14.4" x14ac:dyDescent="0.3">
      <c r="A9228" s="8">
        <v>2042879</v>
      </c>
      <c r="B9228" s="11">
        <v>44806</v>
      </c>
      <c r="C9228" s="13" t="s">
        <v>11267</v>
      </c>
      <c r="D9228" s="13" t="s">
        <v>11268</v>
      </c>
      <c r="E9228" s="8">
        <v>149828.57</v>
      </c>
      <c r="F9228" s="13" t="s">
        <v>70</v>
      </c>
      <c r="G9228" s="14">
        <v>44809</v>
      </c>
      <c r="H9228" s="13" t="s">
        <v>35</v>
      </c>
    </row>
    <row r="9229" spans="1:8" ht="14.4" x14ac:dyDescent="0.3">
      <c r="A9229" s="8">
        <v>2042880</v>
      </c>
      <c r="B9229" s="11">
        <v>44806</v>
      </c>
      <c r="C9229" s="13" t="s">
        <v>11267</v>
      </c>
      <c r="D9229" s="13" t="s">
        <v>4896</v>
      </c>
      <c r="E9229" s="8">
        <v>533002.03</v>
      </c>
      <c r="F9229" s="13" t="s">
        <v>70</v>
      </c>
      <c r="G9229" s="14">
        <v>44809</v>
      </c>
      <c r="H9229" s="13" t="s">
        <v>35</v>
      </c>
    </row>
    <row r="9230" spans="1:8" ht="14.4" x14ac:dyDescent="0.3">
      <c r="A9230" s="8">
        <v>2042881</v>
      </c>
      <c r="B9230" s="11">
        <v>44806</v>
      </c>
      <c r="C9230" s="13" t="s">
        <v>405</v>
      </c>
      <c r="D9230" s="13" t="s">
        <v>11269</v>
      </c>
      <c r="E9230" s="8">
        <v>14283.3</v>
      </c>
      <c r="F9230" s="13" t="s">
        <v>70</v>
      </c>
      <c r="G9230" s="14">
        <v>44811</v>
      </c>
      <c r="H9230" s="13" t="s">
        <v>35</v>
      </c>
    </row>
    <row r="9231" spans="1:8" ht="14.4" x14ac:dyDescent="0.3">
      <c r="A9231" s="8">
        <v>2042883</v>
      </c>
      <c r="B9231" s="11">
        <v>44806</v>
      </c>
      <c r="C9231" s="13" t="s">
        <v>11270</v>
      </c>
      <c r="D9231" s="13" t="s">
        <v>11271</v>
      </c>
      <c r="E9231" s="8">
        <v>20528.57</v>
      </c>
      <c r="F9231" s="13" t="s">
        <v>70</v>
      </c>
      <c r="G9231" s="14">
        <v>44811</v>
      </c>
      <c r="H9231" s="13" t="s">
        <v>35</v>
      </c>
    </row>
    <row r="9232" spans="1:8" ht="14.4" x14ac:dyDescent="0.3">
      <c r="A9232" s="8">
        <v>2042884</v>
      </c>
      <c r="B9232" s="11">
        <v>44806</v>
      </c>
      <c r="C9232" s="13" t="s">
        <v>1956</v>
      </c>
      <c r="D9232" s="13" t="s">
        <v>11272</v>
      </c>
      <c r="E9232" s="8">
        <v>1647973.48</v>
      </c>
      <c r="F9232" s="13" t="s">
        <v>70</v>
      </c>
      <c r="G9232" s="14">
        <v>44809</v>
      </c>
      <c r="H9232" s="13" t="s">
        <v>35</v>
      </c>
    </row>
    <row r="9233" spans="1:8" ht="14.4" x14ac:dyDescent="0.3">
      <c r="A9233" s="8">
        <v>2042885</v>
      </c>
      <c r="B9233" s="11">
        <v>44806</v>
      </c>
      <c r="C9233" s="13" t="s">
        <v>7103</v>
      </c>
      <c r="D9233" s="13" t="s">
        <v>11273</v>
      </c>
      <c r="E9233" s="8">
        <v>1174150.8400000001</v>
      </c>
      <c r="F9233" s="13" t="s">
        <v>70</v>
      </c>
      <c r="G9233" s="14">
        <v>44810</v>
      </c>
      <c r="H9233" s="13" t="s">
        <v>35</v>
      </c>
    </row>
    <row r="9234" spans="1:8" ht="14.4" x14ac:dyDescent="0.3">
      <c r="A9234" s="8">
        <v>2042886</v>
      </c>
      <c r="B9234" s="11">
        <v>44806</v>
      </c>
      <c r="C9234" s="13" t="s">
        <v>5876</v>
      </c>
      <c r="D9234" s="13" t="s">
        <v>11274</v>
      </c>
      <c r="E9234" s="8">
        <v>1823239.3</v>
      </c>
      <c r="F9234" s="13" t="s">
        <v>70</v>
      </c>
      <c r="G9234" s="14">
        <v>44809</v>
      </c>
      <c r="H9234" s="13" t="s">
        <v>35</v>
      </c>
    </row>
    <row r="9235" spans="1:8" ht="14.4" x14ac:dyDescent="0.3">
      <c r="A9235" s="8">
        <v>2042887</v>
      </c>
      <c r="B9235" s="11">
        <v>44806</v>
      </c>
      <c r="C9235" s="13" t="s">
        <v>11270</v>
      </c>
      <c r="D9235" s="13" t="s">
        <v>11275</v>
      </c>
      <c r="E9235" s="8">
        <v>20299.11</v>
      </c>
      <c r="F9235" s="13" t="s">
        <v>70</v>
      </c>
      <c r="G9235" s="14">
        <v>44811</v>
      </c>
      <c r="H9235" s="13" t="s">
        <v>35</v>
      </c>
    </row>
    <row r="9236" spans="1:8" ht="14.4" x14ac:dyDescent="0.3">
      <c r="A9236" s="8">
        <v>2042888</v>
      </c>
      <c r="B9236" s="11">
        <v>44806</v>
      </c>
      <c r="C9236" s="13" t="s">
        <v>405</v>
      </c>
      <c r="D9236" s="13" t="s">
        <v>11276</v>
      </c>
      <c r="E9236" s="8">
        <v>60164.36</v>
      </c>
      <c r="F9236" s="13" t="s">
        <v>70</v>
      </c>
      <c r="G9236" s="14">
        <v>44811</v>
      </c>
      <c r="H9236" s="13" t="s">
        <v>35</v>
      </c>
    </row>
    <row r="9237" spans="1:8" ht="14.4" x14ac:dyDescent="0.3">
      <c r="A9237" s="8">
        <v>2042889</v>
      </c>
      <c r="B9237" s="11">
        <v>44806</v>
      </c>
      <c r="C9237" s="13" t="s">
        <v>2330</v>
      </c>
      <c r="D9237" s="13" t="s">
        <v>2331</v>
      </c>
      <c r="E9237" s="8">
        <v>18620</v>
      </c>
      <c r="F9237" s="13" t="s">
        <v>70</v>
      </c>
      <c r="G9237" s="14">
        <v>44817</v>
      </c>
      <c r="H9237" s="13" t="s">
        <v>35</v>
      </c>
    </row>
    <row r="9238" spans="1:8" ht="14.4" x14ac:dyDescent="0.3">
      <c r="A9238" s="8">
        <v>2042890</v>
      </c>
      <c r="B9238" s="11">
        <v>44806</v>
      </c>
      <c r="C9238" s="13" t="s">
        <v>1581</v>
      </c>
      <c r="D9238" s="13" t="s">
        <v>11277</v>
      </c>
      <c r="E9238" s="8">
        <v>10647.32</v>
      </c>
      <c r="F9238" s="13" t="s">
        <v>70</v>
      </c>
      <c r="G9238" s="14">
        <v>44811</v>
      </c>
      <c r="H9238" s="13" t="s">
        <v>35</v>
      </c>
    </row>
    <row r="9239" spans="1:8" ht="14.4" x14ac:dyDescent="0.3">
      <c r="A9239" s="8">
        <v>2042891</v>
      </c>
      <c r="B9239" s="11">
        <v>44806</v>
      </c>
      <c r="C9239" s="13" t="s">
        <v>11270</v>
      </c>
      <c r="D9239" s="13" t="s">
        <v>11278</v>
      </c>
      <c r="E9239" s="8">
        <v>8229.91</v>
      </c>
      <c r="F9239" s="13" t="s">
        <v>70</v>
      </c>
      <c r="G9239" s="14">
        <v>44811</v>
      </c>
      <c r="H9239" s="13" t="s">
        <v>35</v>
      </c>
    </row>
    <row r="9240" spans="1:8" ht="14.4" x14ac:dyDescent="0.3">
      <c r="A9240" s="8">
        <v>2042892</v>
      </c>
      <c r="B9240" s="11">
        <v>44806</v>
      </c>
      <c r="C9240" s="13" t="s">
        <v>1581</v>
      </c>
      <c r="D9240" s="13" t="s">
        <v>11279</v>
      </c>
      <c r="E9240" s="8">
        <v>20821.43</v>
      </c>
      <c r="F9240" s="13" t="s">
        <v>70</v>
      </c>
      <c r="G9240" s="14">
        <v>44811</v>
      </c>
      <c r="H9240" s="13" t="s">
        <v>35</v>
      </c>
    </row>
    <row r="9241" spans="1:8" ht="14.4" x14ac:dyDescent="0.3">
      <c r="A9241" s="8">
        <v>2042893</v>
      </c>
      <c r="B9241" s="11">
        <v>44806</v>
      </c>
      <c r="C9241" s="13" t="s">
        <v>1581</v>
      </c>
      <c r="D9241" s="13" t="s">
        <v>11280</v>
      </c>
      <c r="E9241" s="8">
        <v>10647.32</v>
      </c>
      <c r="F9241" s="13" t="s">
        <v>70</v>
      </c>
      <c r="G9241" s="14">
        <v>44811</v>
      </c>
      <c r="H9241" s="13" t="s">
        <v>35</v>
      </c>
    </row>
    <row r="9242" spans="1:8" ht="14.4" x14ac:dyDescent="0.3">
      <c r="A9242" s="8">
        <v>2042894</v>
      </c>
      <c r="B9242" s="11">
        <v>44806</v>
      </c>
      <c r="C9242" s="13" t="s">
        <v>1581</v>
      </c>
      <c r="D9242" s="13" t="s">
        <v>11281</v>
      </c>
      <c r="E9242" s="8">
        <v>20821.43</v>
      </c>
      <c r="F9242" s="13" t="s">
        <v>70</v>
      </c>
      <c r="G9242" s="14">
        <v>44811</v>
      </c>
      <c r="H9242" s="13" t="s">
        <v>35</v>
      </c>
    </row>
    <row r="9243" spans="1:8" ht="14.4" x14ac:dyDescent="0.3">
      <c r="A9243" s="8">
        <v>2042895</v>
      </c>
      <c r="B9243" s="11">
        <v>44806</v>
      </c>
      <c r="C9243" s="13" t="s">
        <v>1581</v>
      </c>
      <c r="D9243" s="13" t="s">
        <v>11282</v>
      </c>
      <c r="E9243" s="8">
        <v>10647.32</v>
      </c>
      <c r="F9243" s="13" t="s">
        <v>70</v>
      </c>
      <c r="G9243" s="14">
        <v>44811</v>
      </c>
      <c r="H9243" s="13" t="s">
        <v>35</v>
      </c>
    </row>
    <row r="9244" spans="1:8" ht="14.4" x14ac:dyDescent="0.3">
      <c r="A9244" s="8">
        <v>2042896</v>
      </c>
      <c r="B9244" s="11">
        <v>44806</v>
      </c>
      <c r="C9244" s="13" t="s">
        <v>1581</v>
      </c>
      <c r="D9244" s="13" t="s">
        <v>11283</v>
      </c>
      <c r="E9244" s="8">
        <v>3785.72</v>
      </c>
      <c r="F9244" s="13" t="s">
        <v>70</v>
      </c>
      <c r="G9244" s="14">
        <v>44811</v>
      </c>
      <c r="H9244" s="13" t="s">
        <v>35</v>
      </c>
    </row>
    <row r="9245" spans="1:8" ht="14.4" x14ac:dyDescent="0.3">
      <c r="A9245" s="8">
        <v>2042897</v>
      </c>
      <c r="B9245" s="11">
        <v>44806</v>
      </c>
      <c r="C9245" s="13" t="s">
        <v>1581</v>
      </c>
      <c r="D9245" s="13" t="s">
        <v>4783</v>
      </c>
      <c r="E9245" s="8">
        <v>10647.32</v>
      </c>
      <c r="F9245" s="13" t="s">
        <v>70</v>
      </c>
      <c r="G9245" s="14">
        <v>44811</v>
      </c>
      <c r="H9245" s="13" t="s">
        <v>35</v>
      </c>
    </row>
    <row r="9246" spans="1:8" ht="14.4" x14ac:dyDescent="0.3">
      <c r="A9246" s="8">
        <v>2042898</v>
      </c>
      <c r="B9246" s="11">
        <v>44806</v>
      </c>
      <c r="C9246" s="13" t="s">
        <v>1524</v>
      </c>
      <c r="D9246" s="13" t="s">
        <v>11284</v>
      </c>
      <c r="E9246" s="8">
        <v>10916.11</v>
      </c>
      <c r="F9246" s="13" t="s">
        <v>70</v>
      </c>
      <c r="G9246" s="14">
        <v>44809</v>
      </c>
      <c r="H9246" s="13" t="s">
        <v>35</v>
      </c>
    </row>
    <row r="9247" spans="1:8" ht="14.4" x14ac:dyDescent="0.3">
      <c r="A9247" s="8">
        <v>2042899</v>
      </c>
      <c r="B9247" s="11">
        <v>44806</v>
      </c>
      <c r="C9247" s="13" t="s">
        <v>2262</v>
      </c>
      <c r="D9247" s="13" t="s">
        <v>11285</v>
      </c>
      <c r="E9247" s="8">
        <v>22421.42</v>
      </c>
      <c r="F9247" s="13" t="s">
        <v>70</v>
      </c>
      <c r="G9247" s="14">
        <v>44811</v>
      </c>
      <c r="H9247" s="13" t="s">
        <v>35</v>
      </c>
    </row>
    <row r="9248" spans="1:8" ht="14.4" x14ac:dyDescent="0.3">
      <c r="A9248" s="8">
        <v>2042900</v>
      </c>
      <c r="B9248" s="11">
        <v>44806</v>
      </c>
      <c r="C9248" s="13" t="s">
        <v>1524</v>
      </c>
      <c r="D9248" s="13" t="s">
        <v>11286</v>
      </c>
      <c r="E9248" s="8">
        <v>40223.22</v>
      </c>
      <c r="F9248" s="13" t="s">
        <v>70</v>
      </c>
      <c r="G9248" s="14">
        <v>44809</v>
      </c>
      <c r="H9248" s="13" t="s">
        <v>35</v>
      </c>
    </row>
    <row r="9249" spans="1:8" ht="14.4" x14ac:dyDescent="0.3">
      <c r="A9249" s="8">
        <v>2042901</v>
      </c>
      <c r="B9249" s="11">
        <v>44806</v>
      </c>
      <c r="C9249" s="13" t="s">
        <v>11287</v>
      </c>
      <c r="D9249" s="13" t="s">
        <v>11288</v>
      </c>
      <c r="E9249" s="8">
        <v>75000</v>
      </c>
      <c r="F9249" s="13" t="s">
        <v>70</v>
      </c>
      <c r="G9249" s="14">
        <v>44806</v>
      </c>
      <c r="H9249" s="13" t="s">
        <v>35</v>
      </c>
    </row>
    <row r="9250" spans="1:8" ht="14.4" x14ac:dyDescent="0.3">
      <c r="A9250" s="8">
        <v>2042902</v>
      </c>
      <c r="B9250" s="11">
        <v>44806</v>
      </c>
      <c r="C9250" s="13" t="s">
        <v>52</v>
      </c>
      <c r="D9250" s="13" t="s">
        <v>11289</v>
      </c>
      <c r="E9250" s="8">
        <v>409832.65</v>
      </c>
      <c r="F9250" s="13" t="s">
        <v>70</v>
      </c>
      <c r="G9250" s="14">
        <v>44818</v>
      </c>
      <c r="H9250" s="13" t="s">
        <v>35</v>
      </c>
    </row>
    <row r="9251" spans="1:8" ht="14.4" x14ac:dyDescent="0.3">
      <c r="A9251" s="8">
        <v>2042903</v>
      </c>
      <c r="B9251" s="11">
        <v>44806</v>
      </c>
      <c r="C9251" s="13" t="s">
        <v>1743</v>
      </c>
      <c r="D9251" s="13" t="s">
        <v>11290</v>
      </c>
      <c r="E9251" s="8">
        <v>10780</v>
      </c>
      <c r="F9251" s="13" t="s">
        <v>70</v>
      </c>
      <c r="G9251" s="14">
        <v>44810</v>
      </c>
      <c r="H9251" s="13" t="s">
        <v>35</v>
      </c>
    </row>
    <row r="9252" spans="1:8" ht="14.4" x14ac:dyDescent="0.3">
      <c r="A9252" s="8">
        <v>2042904</v>
      </c>
      <c r="B9252" s="11">
        <v>44806</v>
      </c>
      <c r="C9252" s="13" t="s">
        <v>405</v>
      </c>
      <c r="D9252" s="13" t="s">
        <v>11291</v>
      </c>
      <c r="E9252" s="8">
        <v>46531.360000000001</v>
      </c>
      <c r="F9252" s="13" t="s">
        <v>70</v>
      </c>
      <c r="G9252" s="14">
        <v>44811</v>
      </c>
      <c r="H9252" s="13" t="s">
        <v>35</v>
      </c>
    </row>
    <row r="9253" spans="1:8" ht="14.4" x14ac:dyDescent="0.3">
      <c r="A9253" s="8">
        <v>2042905</v>
      </c>
      <c r="B9253" s="11">
        <v>44806</v>
      </c>
      <c r="C9253" s="13" t="s">
        <v>405</v>
      </c>
      <c r="D9253" s="13" t="s">
        <v>11292</v>
      </c>
      <c r="E9253" s="8">
        <v>51785.25</v>
      </c>
      <c r="F9253" s="13" t="s">
        <v>70</v>
      </c>
      <c r="G9253" s="14">
        <v>44811</v>
      </c>
      <c r="H9253" s="13" t="s">
        <v>35</v>
      </c>
    </row>
    <row r="9254" spans="1:8" ht="14.4" x14ac:dyDescent="0.3">
      <c r="A9254" s="8">
        <v>2042906</v>
      </c>
      <c r="B9254" s="11">
        <v>44806</v>
      </c>
      <c r="C9254" s="13" t="s">
        <v>2711</v>
      </c>
      <c r="D9254" s="13" t="s">
        <v>11293</v>
      </c>
      <c r="E9254" s="8">
        <v>3312.5</v>
      </c>
      <c r="F9254" s="13" t="s">
        <v>70</v>
      </c>
      <c r="G9254" s="14">
        <v>44818</v>
      </c>
      <c r="H9254" s="13" t="s">
        <v>35</v>
      </c>
    </row>
    <row r="9255" spans="1:8" ht="14.4" x14ac:dyDescent="0.3">
      <c r="A9255" s="8">
        <v>2042907</v>
      </c>
      <c r="B9255" s="11">
        <v>44806</v>
      </c>
      <c r="C9255" s="13" t="s">
        <v>405</v>
      </c>
      <c r="D9255" s="13" t="s">
        <v>11294</v>
      </c>
      <c r="E9255" s="8">
        <v>17323.84</v>
      </c>
      <c r="F9255" s="13" t="s">
        <v>70</v>
      </c>
      <c r="G9255" s="14">
        <v>44811</v>
      </c>
      <c r="H9255" s="13" t="s">
        <v>35</v>
      </c>
    </row>
    <row r="9256" spans="1:8" ht="14.4" x14ac:dyDescent="0.3">
      <c r="A9256" s="8">
        <v>2042908</v>
      </c>
      <c r="B9256" s="11">
        <v>44806</v>
      </c>
      <c r="C9256" s="13" t="s">
        <v>405</v>
      </c>
      <c r="D9256" s="13" t="s">
        <v>11295</v>
      </c>
      <c r="E9256" s="8">
        <v>40778.559999999998</v>
      </c>
      <c r="F9256" s="13" t="s">
        <v>70</v>
      </c>
      <c r="G9256" s="14">
        <v>44811</v>
      </c>
      <c r="H9256" s="13" t="s">
        <v>35</v>
      </c>
    </row>
    <row r="9257" spans="1:8" ht="14.4" x14ac:dyDescent="0.3">
      <c r="A9257" s="8">
        <v>2042909</v>
      </c>
      <c r="B9257" s="11">
        <v>44806</v>
      </c>
      <c r="C9257" s="13" t="s">
        <v>1743</v>
      </c>
      <c r="D9257" s="13" t="s">
        <v>11296</v>
      </c>
      <c r="E9257" s="8">
        <v>5145</v>
      </c>
      <c r="F9257" s="13" t="s">
        <v>70</v>
      </c>
      <c r="G9257" s="14">
        <v>44810</v>
      </c>
      <c r="H9257" s="13" t="s">
        <v>35</v>
      </c>
    </row>
    <row r="9258" spans="1:8" ht="14.4" x14ac:dyDescent="0.3">
      <c r="A9258" s="8">
        <v>2042910</v>
      </c>
      <c r="B9258" s="11">
        <v>44806</v>
      </c>
      <c r="C9258" s="13" t="s">
        <v>405</v>
      </c>
      <c r="D9258" s="13" t="s">
        <v>11297</v>
      </c>
      <c r="E9258" s="8">
        <v>20786.77</v>
      </c>
      <c r="F9258" s="13" t="s">
        <v>70</v>
      </c>
      <c r="G9258" s="14">
        <v>44811</v>
      </c>
      <c r="H9258" s="13" t="s">
        <v>35</v>
      </c>
    </row>
    <row r="9259" spans="1:8" ht="14.4" x14ac:dyDescent="0.3">
      <c r="A9259" s="8">
        <v>2042911</v>
      </c>
      <c r="B9259" s="11">
        <v>44806</v>
      </c>
      <c r="C9259" s="13" t="s">
        <v>1414</v>
      </c>
      <c r="D9259" s="13" t="s">
        <v>11298</v>
      </c>
      <c r="E9259" s="8">
        <v>76872.5</v>
      </c>
      <c r="F9259" s="13" t="s">
        <v>70</v>
      </c>
      <c r="G9259" s="14">
        <v>44817</v>
      </c>
      <c r="H9259" s="13" t="s">
        <v>35</v>
      </c>
    </row>
    <row r="9260" spans="1:8" ht="14.4" x14ac:dyDescent="0.3">
      <c r="A9260" s="8">
        <v>2042912</v>
      </c>
      <c r="B9260" s="11">
        <v>44806</v>
      </c>
      <c r="C9260" s="13" t="s">
        <v>405</v>
      </c>
      <c r="D9260" s="13" t="s">
        <v>11299</v>
      </c>
      <c r="E9260" s="8">
        <v>13694.47</v>
      </c>
      <c r="F9260" s="13" t="s">
        <v>70</v>
      </c>
      <c r="G9260" s="14">
        <v>44811</v>
      </c>
      <c r="H9260" s="13" t="s">
        <v>35</v>
      </c>
    </row>
    <row r="9261" spans="1:8" ht="14.4" x14ac:dyDescent="0.3">
      <c r="A9261" s="8">
        <v>2042913</v>
      </c>
      <c r="B9261" s="11">
        <v>44806</v>
      </c>
      <c r="C9261" s="13" t="s">
        <v>405</v>
      </c>
      <c r="D9261" s="13" t="s">
        <v>11300</v>
      </c>
      <c r="E9261" s="8">
        <v>16211.05</v>
      </c>
      <c r="F9261" s="13" t="s">
        <v>70</v>
      </c>
      <c r="G9261" s="14">
        <v>44811</v>
      </c>
      <c r="H9261" s="13" t="s">
        <v>35</v>
      </c>
    </row>
    <row r="9262" spans="1:8" ht="14.4" x14ac:dyDescent="0.3">
      <c r="A9262" s="8">
        <v>2042914</v>
      </c>
      <c r="B9262" s="11">
        <v>44806</v>
      </c>
      <c r="C9262" s="13" t="s">
        <v>1784</v>
      </c>
      <c r="D9262" s="13" t="s">
        <v>11301</v>
      </c>
      <c r="E9262" s="8">
        <v>4500</v>
      </c>
      <c r="F9262" s="13" t="s">
        <v>70</v>
      </c>
      <c r="G9262" s="14">
        <v>44810</v>
      </c>
      <c r="H9262" s="13" t="s">
        <v>35</v>
      </c>
    </row>
    <row r="9263" spans="1:8" ht="14.4" x14ac:dyDescent="0.3">
      <c r="A9263" s="8">
        <v>2042915</v>
      </c>
      <c r="B9263" s="11">
        <v>44806</v>
      </c>
      <c r="C9263" s="13" t="s">
        <v>1743</v>
      </c>
      <c r="D9263" s="13" t="s">
        <v>11302</v>
      </c>
      <c r="E9263" s="8">
        <v>490</v>
      </c>
      <c r="F9263" s="13" t="s">
        <v>70</v>
      </c>
      <c r="G9263" s="14">
        <v>44810</v>
      </c>
      <c r="H9263" s="13" t="s">
        <v>35</v>
      </c>
    </row>
    <row r="9264" spans="1:8" ht="14.4" x14ac:dyDescent="0.3">
      <c r="A9264" s="8">
        <v>2042916</v>
      </c>
      <c r="B9264" s="11">
        <v>44806</v>
      </c>
      <c r="C9264" s="13" t="s">
        <v>202</v>
      </c>
      <c r="D9264" s="13" t="s">
        <v>9971</v>
      </c>
      <c r="E9264" s="8">
        <v>885562.79</v>
      </c>
      <c r="F9264" s="13" t="s">
        <v>70</v>
      </c>
      <c r="G9264" s="14">
        <v>44809</v>
      </c>
      <c r="H9264" s="13" t="s">
        <v>35</v>
      </c>
    </row>
    <row r="9265" spans="1:8" ht="14.4" x14ac:dyDescent="0.3">
      <c r="A9265" s="8">
        <v>2042917</v>
      </c>
      <c r="B9265" s="11">
        <v>44806</v>
      </c>
      <c r="C9265" s="13" t="s">
        <v>255</v>
      </c>
      <c r="D9265" s="13" t="s">
        <v>11303</v>
      </c>
      <c r="E9265" s="8">
        <v>15237.5</v>
      </c>
      <c r="F9265" s="13" t="s">
        <v>70</v>
      </c>
      <c r="G9265" s="14">
        <v>44817</v>
      </c>
      <c r="H9265" s="13" t="s">
        <v>35</v>
      </c>
    </row>
    <row r="9266" spans="1:8" ht="14.4" x14ac:dyDescent="0.3">
      <c r="A9266" s="8">
        <v>2042918</v>
      </c>
      <c r="B9266" s="11">
        <v>44806</v>
      </c>
      <c r="C9266" s="13" t="s">
        <v>3838</v>
      </c>
      <c r="D9266" s="13" t="s">
        <v>11304</v>
      </c>
      <c r="E9266" s="8">
        <v>46912</v>
      </c>
      <c r="F9266" s="13" t="s">
        <v>70</v>
      </c>
      <c r="G9266" s="14">
        <v>44810</v>
      </c>
      <c r="H9266" s="13" t="s">
        <v>35</v>
      </c>
    </row>
    <row r="9267" spans="1:8" ht="14.4" x14ac:dyDescent="0.3">
      <c r="A9267" s="8">
        <v>2042919</v>
      </c>
      <c r="B9267" s="11">
        <v>44806</v>
      </c>
      <c r="C9267" s="13" t="s">
        <v>245</v>
      </c>
      <c r="D9267" s="13" t="s">
        <v>11305</v>
      </c>
      <c r="E9267" s="8">
        <v>50473.5</v>
      </c>
      <c r="F9267" s="13" t="s">
        <v>70</v>
      </c>
      <c r="G9267" s="14">
        <v>44819</v>
      </c>
      <c r="H9267" s="13" t="s">
        <v>35</v>
      </c>
    </row>
    <row r="9268" spans="1:8" ht="14.4" x14ac:dyDescent="0.3">
      <c r="A9268" s="8">
        <v>2042920</v>
      </c>
      <c r="B9268" s="11">
        <v>44806</v>
      </c>
      <c r="C9268" s="13" t="s">
        <v>1946</v>
      </c>
      <c r="D9268" s="13" t="s">
        <v>11306</v>
      </c>
      <c r="E9268" s="8">
        <v>17982.150000000001</v>
      </c>
      <c r="F9268" s="13" t="s">
        <v>70</v>
      </c>
      <c r="G9268" s="14">
        <v>44824</v>
      </c>
      <c r="H9268" s="13" t="s">
        <v>35</v>
      </c>
    </row>
    <row r="9269" spans="1:8" ht="14.4" x14ac:dyDescent="0.3">
      <c r="A9269" s="8">
        <v>2042921</v>
      </c>
      <c r="B9269" s="11">
        <v>44806</v>
      </c>
      <c r="C9269" s="13" t="s">
        <v>1946</v>
      </c>
      <c r="D9269" s="13" t="s">
        <v>11307</v>
      </c>
      <c r="E9269" s="8">
        <v>1845.54</v>
      </c>
      <c r="F9269" s="13" t="s">
        <v>70</v>
      </c>
      <c r="G9269" s="14">
        <v>44824</v>
      </c>
      <c r="H9269" s="13" t="s">
        <v>35</v>
      </c>
    </row>
    <row r="9270" spans="1:8" ht="14.4" x14ac:dyDescent="0.3">
      <c r="A9270" s="8">
        <v>2042922</v>
      </c>
      <c r="B9270" s="11">
        <v>44806</v>
      </c>
      <c r="C9270" s="13" t="s">
        <v>201</v>
      </c>
      <c r="D9270" s="13" t="s">
        <v>11308</v>
      </c>
      <c r="E9270" s="8">
        <v>6132.85</v>
      </c>
      <c r="F9270" s="13" t="s">
        <v>70</v>
      </c>
      <c r="G9270" s="14">
        <v>44810</v>
      </c>
      <c r="H9270" s="13" t="s">
        <v>35</v>
      </c>
    </row>
    <row r="9271" spans="1:8" ht="14.4" x14ac:dyDescent="0.3">
      <c r="A9271" s="8">
        <v>2042923</v>
      </c>
      <c r="B9271" s="11">
        <v>44806</v>
      </c>
      <c r="C9271" s="13" t="s">
        <v>1743</v>
      </c>
      <c r="D9271" s="13" t="s">
        <v>11309</v>
      </c>
      <c r="E9271" s="8">
        <v>11760</v>
      </c>
      <c r="F9271" s="13" t="s">
        <v>70</v>
      </c>
      <c r="G9271" s="14">
        <v>44810</v>
      </c>
      <c r="H9271" s="13" t="s">
        <v>35</v>
      </c>
    </row>
    <row r="9272" spans="1:8" ht="14.4" x14ac:dyDescent="0.3">
      <c r="A9272" s="8">
        <v>2042924</v>
      </c>
      <c r="B9272" s="11">
        <v>44806</v>
      </c>
      <c r="C9272" s="13" t="s">
        <v>1784</v>
      </c>
      <c r="D9272" s="13" t="s">
        <v>11310</v>
      </c>
      <c r="E9272" s="8">
        <v>5000</v>
      </c>
      <c r="F9272" s="13" t="s">
        <v>70</v>
      </c>
      <c r="G9272" s="14">
        <v>44810</v>
      </c>
      <c r="H9272" s="13" t="s">
        <v>35</v>
      </c>
    </row>
    <row r="9273" spans="1:8" ht="14.4" x14ac:dyDescent="0.3">
      <c r="A9273" s="8">
        <v>2042925</v>
      </c>
      <c r="B9273" s="11">
        <v>44806</v>
      </c>
      <c r="C9273" s="13" t="s">
        <v>1596</v>
      </c>
      <c r="D9273" s="13" t="s">
        <v>11311</v>
      </c>
      <c r="E9273" s="8">
        <v>588</v>
      </c>
      <c r="F9273" s="13" t="s">
        <v>70</v>
      </c>
      <c r="G9273" s="14">
        <v>44820</v>
      </c>
      <c r="H9273" s="13" t="s">
        <v>35</v>
      </c>
    </row>
    <row r="9274" spans="1:8" ht="14.4" x14ac:dyDescent="0.3">
      <c r="A9274" s="8">
        <v>2042926</v>
      </c>
      <c r="B9274" s="11">
        <v>44806</v>
      </c>
      <c r="C9274" s="13" t="s">
        <v>2262</v>
      </c>
      <c r="D9274" s="13" t="s">
        <v>11312</v>
      </c>
      <c r="E9274" s="8">
        <v>20528.57</v>
      </c>
      <c r="F9274" s="13" t="s">
        <v>70</v>
      </c>
      <c r="G9274" s="14">
        <v>44811</v>
      </c>
      <c r="H9274" s="13" t="s">
        <v>35</v>
      </c>
    </row>
    <row r="9275" spans="1:8" ht="14.4" x14ac:dyDescent="0.3">
      <c r="A9275" s="8">
        <v>2042927</v>
      </c>
      <c r="B9275" s="11">
        <v>44806</v>
      </c>
      <c r="C9275" s="13" t="s">
        <v>1596</v>
      </c>
      <c r="D9275" s="13" t="s">
        <v>11313</v>
      </c>
      <c r="E9275" s="8">
        <v>1411.2</v>
      </c>
      <c r="F9275" s="13" t="s">
        <v>70</v>
      </c>
      <c r="G9275" s="14">
        <v>44820</v>
      </c>
      <c r="H9275" s="13" t="s">
        <v>35</v>
      </c>
    </row>
    <row r="9276" spans="1:8" ht="14.4" x14ac:dyDescent="0.3">
      <c r="A9276" s="8">
        <v>2042928</v>
      </c>
      <c r="B9276" s="11">
        <v>44806</v>
      </c>
      <c r="C9276" s="13" t="s">
        <v>202</v>
      </c>
      <c r="D9276" s="13" t="s">
        <v>11314</v>
      </c>
      <c r="E9276" s="8">
        <v>2119137.85</v>
      </c>
      <c r="F9276" s="13" t="s">
        <v>70</v>
      </c>
      <c r="G9276" s="14">
        <v>44809</v>
      </c>
      <c r="H9276" s="13" t="s">
        <v>35</v>
      </c>
    </row>
    <row r="9277" spans="1:8" ht="14.4" x14ac:dyDescent="0.3">
      <c r="A9277" s="8">
        <v>2042930</v>
      </c>
      <c r="B9277" s="11">
        <v>44806</v>
      </c>
      <c r="C9277" s="13" t="s">
        <v>405</v>
      </c>
      <c r="D9277" s="13" t="s">
        <v>11315</v>
      </c>
      <c r="E9277" s="8">
        <v>23203.4</v>
      </c>
      <c r="F9277" s="13" t="s">
        <v>70</v>
      </c>
      <c r="G9277" s="14">
        <v>44811</v>
      </c>
      <c r="H9277" s="13" t="s">
        <v>35</v>
      </c>
    </row>
    <row r="9278" spans="1:8" ht="14.4" x14ac:dyDescent="0.3">
      <c r="A9278" s="8">
        <v>2042931</v>
      </c>
      <c r="B9278" s="11">
        <v>44806</v>
      </c>
      <c r="C9278" s="13" t="s">
        <v>11316</v>
      </c>
      <c r="D9278" s="13" t="s">
        <v>11317</v>
      </c>
      <c r="E9278" s="8">
        <v>89697.56</v>
      </c>
      <c r="F9278" s="13" t="s">
        <v>70</v>
      </c>
      <c r="G9278" s="14">
        <v>44809</v>
      </c>
      <c r="H9278" s="13" t="s">
        <v>35</v>
      </c>
    </row>
    <row r="9279" spans="1:8" ht="14.4" x14ac:dyDescent="0.3">
      <c r="A9279" s="8">
        <v>2042932</v>
      </c>
      <c r="B9279" s="11">
        <v>44809</v>
      </c>
      <c r="C9279" s="13" t="s">
        <v>221</v>
      </c>
      <c r="D9279" s="13" t="s">
        <v>11318</v>
      </c>
      <c r="E9279" s="8">
        <v>51096</v>
      </c>
      <c r="F9279" s="13" t="s">
        <v>70</v>
      </c>
      <c r="G9279" s="14">
        <v>44809</v>
      </c>
      <c r="H9279" s="13" t="s">
        <v>35</v>
      </c>
    </row>
    <row r="9280" spans="1:8" ht="14.4" x14ac:dyDescent="0.3">
      <c r="A9280" s="8">
        <v>2042933</v>
      </c>
      <c r="B9280" s="11">
        <v>44809</v>
      </c>
      <c r="C9280" s="13" t="s">
        <v>279</v>
      </c>
      <c r="D9280" s="13" t="s">
        <v>11319</v>
      </c>
      <c r="E9280" s="8">
        <v>26543</v>
      </c>
      <c r="F9280" s="13" t="s">
        <v>70</v>
      </c>
      <c r="G9280" s="14">
        <v>44817</v>
      </c>
      <c r="H9280" s="13" t="s">
        <v>35</v>
      </c>
    </row>
    <row r="9281" spans="1:8" ht="14.4" x14ac:dyDescent="0.3">
      <c r="A9281" s="8">
        <v>2042934</v>
      </c>
      <c r="B9281" s="11">
        <v>44809</v>
      </c>
      <c r="C9281" s="13" t="s">
        <v>265</v>
      </c>
      <c r="D9281" s="13" t="s">
        <v>11320</v>
      </c>
      <c r="E9281" s="8">
        <v>160139.4</v>
      </c>
      <c r="F9281" s="13" t="s">
        <v>70</v>
      </c>
      <c r="G9281" s="14">
        <v>44810</v>
      </c>
      <c r="H9281" s="13" t="s">
        <v>35</v>
      </c>
    </row>
    <row r="9282" spans="1:8" ht="14.4" x14ac:dyDescent="0.3">
      <c r="A9282" s="8">
        <v>2042935</v>
      </c>
      <c r="B9282" s="11">
        <v>44809</v>
      </c>
      <c r="C9282" s="13" t="s">
        <v>153</v>
      </c>
      <c r="D9282" s="13" t="s">
        <v>11321</v>
      </c>
      <c r="E9282" s="8">
        <v>94059.5</v>
      </c>
      <c r="F9282" s="13" t="s">
        <v>70</v>
      </c>
      <c r="G9282" s="14">
        <v>44810</v>
      </c>
      <c r="H9282" s="13" t="s">
        <v>35</v>
      </c>
    </row>
    <row r="9283" spans="1:8" ht="14.4" x14ac:dyDescent="0.3">
      <c r="A9283" s="8">
        <v>2042936</v>
      </c>
      <c r="B9283" s="11">
        <v>44809</v>
      </c>
      <c r="C9283" s="13" t="s">
        <v>265</v>
      </c>
      <c r="D9283" s="13" t="s">
        <v>11322</v>
      </c>
      <c r="E9283" s="8">
        <v>37591</v>
      </c>
      <c r="F9283" s="13" t="s">
        <v>70</v>
      </c>
      <c r="G9283" s="14">
        <v>44810</v>
      </c>
      <c r="H9283" s="13" t="s">
        <v>35</v>
      </c>
    </row>
    <row r="9284" spans="1:8" ht="14.4" x14ac:dyDescent="0.3">
      <c r="A9284" s="8">
        <v>2042937</v>
      </c>
      <c r="B9284" s="11">
        <v>44809</v>
      </c>
      <c r="C9284" s="13" t="s">
        <v>395</v>
      </c>
      <c r="D9284" s="13" t="s">
        <v>11323</v>
      </c>
      <c r="E9284" s="8">
        <v>46515</v>
      </c>
      <c r="F9284" s="13" t="s">
        <v>70</v>
      </c>
      <c r="G9284" s="14">
        <v>44811</v>
      </c>
      <c r="H9284" s="13" t="s">
        <v>35</v>
      </c>
    </row>
    <row r="9285" spans="1:8" ht="14.4" x14ac:dyDescent="0.3">
      <c r="A9285" s="8">
        <v>2042938</v>
      </c>
      <c r="B9285" s="11">
        <v>44809</v>
      </c>
      <c r="C9285" s="13" t="s">
        <v>162</v>
      </c>
      <c r="D9285" s="13" t="s">
        <v>11324</v>
      </c>
      <c r="E9285" s="8">
        <v>5310.41</v>
      </c>
      <c r="F9285" s="13" t="s">
        <v>70</v>
      </c>
      <c r="G9285" s="14">
        <v>44812</v>
      </c>
      <c r="H9285" s="13" t="s">
        <v>35</v>
      </c>
    </row>
    <row r="9286" spans="1:8" ht="14.4" x14ac:dyDescent="0.3">
      <c r="A9286" s="8">
        <v>2042939</v>
      </c>
      <c r="B9286" s="11">
        <v>44809</v>
      </c>
      <c r="C9286" s="13" t="s">
        <v>162</v>
      </c>
      <c r="D9286" s="13" t="s">
        <v>11325</v>
      </c>
      <c r="E9286" s="8">
        <v>6958.96</v>
      </c>
      <c r="F9286" s="13" t="s">
        <v>70</v>
      </c>
      <c r="G9286" s="14">
        <v>44812</v>
      </c>
      <c r="H9286" s="13" t="s">
        <v>35</v>
      </c>
    </row>
    <row r="9287" spans="1:8" ht="14.4" x14ac:dyDescent="0.3">
      <c r="A9287" s="8">
        <v>2042940</v>
      </c>
      <c r="B9287" s="11">
        <v>44809</v>
      </c>
      <c r="C9287" s="13" t="s">
        <v>1286</v>
      </c>
      <c r="D9287" s="13" t="s">
        <v>11326</v>
      </c>
      <c r="E9287" s="8">
        <v>2451.44</v>
      </c>
      <c r="F9287" s="13" t="s">
        <v>70</v>
      </c>
      <c r="G9287" s="14">
        <v>44818</v>
      </c>
      <c r="H9287" s="13" t="s">
        <v>35</v>
      </c>
    </row>
    <row r="9288" spans="1:8" ht="14.4" x14ac:dyDescent="0.3">
      <c r="A9288" s="8">
        <v>2042941</v>
      </c>
      <c r="B9288" s="11">
        <v>44809</v>
      </c>
      <c r="C9288" s="13" t="s">
        <v>393</v>
      </c>
      <c r="D9288" s="13" t="s">
        <v>11327</v>
      </c>
      <c r="E9288" s="8">
        <v>5000</v>
      </c>
      <c r="F9288" s="13" t="s">
        <v>70</v>
      </c>
      <c r="G9288" s="14">
        <v>44817</v>
      </c>
      <c r="H9288" s="13" t="s">
        <v>35</v>
      </c>
    </row>
    <row r="9289" spans="1:8" ht="14.4" x14ac:dyDescent="0.3">
      <c r="A9289" s="8">
        <v>2042942</v>
      </c>
      <c r="B9289" s="11">
        <v>44809</v>
      </c>
      <c r="C9289" s="13" t="s">
        <v>37</v>
      </c>
      <c r="D9289" s="13" t="s">
        <v>38</v>
      </c>
      <c r="E9289" s="8">
        <v>16089.28</v>
      </c>
      <c r="F9289" s="13" t="s">
        <v>70</v>
      </c>
      <c r="G9289" s="14">
        <v>44820</v>
      </c>
      <c r="H9289" s="13" t="s">
        <v>35</v>
      </c>
    </row>
    <row r="9290" spans="1:8" ht="14.4" x14ac:dyDescent="0.3">
      <c r="A9290" s="8">
        <v>2042943</v>
      </c>
      <c r="B9290" s="11">
        <v>44809</v>
      </c>
      <c r="C9290" s="13" t="s">
        <v>1424</v>
      </c>
      <c r="D9290" s="13" t="s">
        <v>2585</v>
      </c>
      <c r="E9290" s="8">
        <v>7642.41</v>
      </c>
      <c r="F9290" s="13" t="s">
        <v>70</v>
      </c>
      <c r="G9290" s="14">
        <v>44819</v>
      </c>
      <c r="H9290" s="13" t="s">
        <v>35</v>
      </c>
    </row>
    <row r="9291" spans="1:8" ht="14.4" x14ac:dyDescent="0.3">
      <c r="A9291" s="8">
        <v>2042944</v>
      </c>
      <c r="B9291" s="11">
        <v>44809</v>
      </c>
      <c r="C9291" s="13" t="s">
        <v>390</v>
      </c>
      <c r="D9291" s="13" t="s">
        <v>11327</v>
      </c>
      <c r="E9291" s="8">
        <v>20000</v>
      </c>
      <c r="F9291" s="13" t="s">
        <v>70</v>
      </c>
      <c r="G9291" s="14">
        <v>44817</v>
      </c>
      <c r="H9291" s="13" t="s">
        <v>35</v>
      </c>
    </row>
    <row r="9292" spans="1:8" ht="14.4" x14ac:dyDescent="0.3">
      <c r="A9292" s="8">
        <v>2042945</v>
      </c>
      <c r="B9292" s="11">
        <v>44809</v>
      </c>
      <c r="C9292" s="13" t="s">
        <v>392</v>
      </c>
      <c r="D9292" s="13" t="s">
        <v>11327</v>
      </c>
      <c r="E9292" s="8">
        <v>10000</v>
      </c>
      <c r="F9292" s="13" t="s">
        <v>70</v>
      </c>
      <c r="G9292" s="14">
        <v>44817</v>
      </c>
      <c r="H9292" s="13" t="s">
        <v>35</v>
      </c>
    </row>
    <row r="9293" spans="1:8" ht="14.4" x14ac:dyDescent="0.3">
      <c r="A9293" s="8">
        <v>2042946</v>
      </c>
      <c r="B9293" s="11">
        <v>44809</v>
      </c>
      <c r="C9293" s="13" t="s">
        <v>394</v>
      </c>
      <c r="D9293" s="13" t="s">
        <v>11327</v>
      </c>
      <c r="E9293" s="8">
        <v>3000</v>
      </c>
      <c r="F9293" s="13" t="s">
        <v>70</v>
      </c>
      <c r="G9293" s="14">
        <v>44817</v>
      </c>
      <c r="H9293" s="13" t="s">
        <v>35</v>
      </c>
    </row>
    <row r="9294" spans="1:8" ht="14.4" x14ac:dyDescent="0.3">
      <c r="A9294" s="8">
        <v>2042947</v>
      </c>
      <c r="B9294" s="11">
        <v>44809</v>
      </c>
      <c r="C9294" s="13" t="s">
        <v>1380</v>
      </c>
      <c r="D9294" s="13" t="s">
        <v>11328</v>
      </c>
      <c r="E9294" s="8">
        <v>46875</v>
      </c>
      <c r="F9294" s="13" t="s">
        <v>70</v>
      </c>
      <c r="G9294" s="14">
        <v>44823</v>
      </c>
      <c r="H9294" s="13" t="s">
        <v>35</v>
      </c>
    </row>
    <row r="9295" spans="1:8" ht="14.4" x14ac:dyDescent="0.3">
      <c r="A9295" s="8">
        <v>2042948</v>
      </c>
      <c r="B9295" s="11">
        <v>44809</v>
      </c>
      <c r="C9295" s="13" t="s">
        <v>11329</v>
      </c>
      <c r="D9295" s="13" t="s">
        <v>11330</v>
      </c>
      <c r="E9295" s="8">
        <v>10000</v>
      </c>
      <c r="F9295" s="13" t="s">
        <v>70</v>
      </c>
      <c r="G9295" s="14">
        <v>44811</v>
      </c>
      <c r="H9295" s="13" t="s">
        <v>35</v>
      </c>
    </row>
    <row r="9296" spans="1:8" ht="14.4" x14ac:dyDescent="0.3">
      <c r="A9296" s="8">
        <v>2042949</v>
      </c>
      <c r="B9296" s="11">
        <v>44809</v>
      </c>
      <c r="C9296" s="13" t="s">
        <v>11331</v>
      </c>
      <c r="D9296" s="13" t="s">
        <v>11332</v>
      </c>
      <c r="E9296" s="8">
        <v>5000</v>
      </c>
      <c r="F9296" s="13" t="s">
        <v>70</v>
      </c>
      <c r="G9296" s="14">
        <v>44810</v>
      </c>
      <c r="H9296" s="13" t="s">
        <v>35</v>
      </c>
    </row>
    <row r="9297" spans="1:8" ht="14.4" x14ac:dyDescent="0.3">
      <c r="A9297" s="8">
        <v>2042950</v>
      </c>
      <c r="B9297" s="11">
        <v>44809</v>
      </c>
      <c r="C9297" s="13" t="s">
        <v>162</v>
      </c>
      <c r="D9297" s="13" t="s">
        <v>11333</v>
      </c>
      <c r="E9297" s="8">
        <v>14597.36</v>
      </c>
      <c r="F9297" s="13" t="s">
        <v>70</v>
      </c>
      <c r="G9297" s="14">
        <v>44812</v>
      </c>
      <c r="H9297" s="13" t="s">
        <v>35</v>
      </c>
    </row>
    <row r="9298" spans="1:8" ht="14.4" x14ac:dyDescent="0.3">
      <c r="A9298" s="8">
        <v>2042951</v>
      </c>
      <c r="B9298" s="11">
        <v>44809</v>
      </c>
      <c r="C9298" s="13" t="s">
        <v>11334</v>
      </c>
      <c r="D9298" s="13" t="s">
        <v>11335</v>
      </c>
      <c r="E9298" s="8">
        <v>8000</v>
      </c>
      <c r="F9298" s="13" t="s">
        <v>70</v>
      </c>
      <c r="G9298" s="14">
        <v>44810</v>
      </c>
      <c r="H9298" s="13" t="s">
        <v>35</v>
      </c>
    </row>
    <row r="9299" spans="1:8" ht="14.4" x14ac:dyDescent="0.3">
      <c r="A9299" s="8">
        <v>2042952</v>
      </c>
      <c r="B9299" s="11">
        <v>44809</v>
      </c>
      <c r="C9299" s="13" t="s">
        <v>11336</v>
      </c>
      <c r="D9299" s="13" t="s">
        <v>11337</v>
      </c>
      <c r="E9299" s="8">
        <v>10000</v>
      </c>
      <c r="F9299" s="13" t="s">
        <v>70</v>
      </c>
      <c r="G9299" s="14">
        <v>44812</v>
      </c>
      <c r="H9299" s="13" t="s">
        <v>35</v>
      </c>
    </row>
    <row r="9300" spans="1:8" ht="14.4" x14ac:dyDescent="0.3">
      <c r="A9300" s="8">
        <v>2042953</v>
      </c>
      <c r="B9300" s="11">
        <v>44809</v>
      </c>
      <c r="C9300" s="13" t="s">
        <v>10496</v>
      </c>
      <c r="D9300" s="13" t="s">
        <v>11338</v>
      </c>
      <c r="E9300" s="8">
        <v>10000</v>
      </c>
      <c r="F9300" s="13" t="s">
        <v>70</v>
      </c>
      <c r="G9300" s="14">
        <v>44810</v>
      </c>
      <c r="H9300" s="13" t="s">
        <v>35</v>
      </c>
    </row>
    <row r="9301" spans="1:8" ht="14.4" x14ac:dyDescent="0.3">
      <c r="A9301" s="8">
        <v>2042954</v>
      </c>
      <c r="B9301" s="11">
        <v>44809</v>
      </c>
      <c r="C9301" s="13" t="s">
        <v>11339</v>
      </c>
      <c r="D9301" s="13" t="s">
        <v>11340</v>
      </c>
      <c r="E9301" s="8">
        <v>10000</v>
      </c>
      <c r="F9301" s="13" t="s">
        <v>70</v>
      </c>
      <c r="G9301" s="14">
        <v>44810</v>
      </c>
      <c r="H9301" s="13" t="s">
        <v>35</v>
      </c>
    </row>
    <row r="9302" spans="1:8" ht="14.4" x14ac:dyDescent="0.3">
      <c r="A9302" s="8">
        <v>2042955</v>
      </c>
      <c r="B9302" s="11">
        <v>44809</v>
      </c>
      <c r="C9302" s="13" t="s">
        <v>11341</v>
      </c>
      <c r="D9302" s="13" t="s">
        <v>11342</v>
      </c>
      <c r="E9302" s="8">
        <v>13000</v>
      </c>
      <c r="F9302" s="13" t="s">
        <v>70</v>
      </c>
      <c r="G9302" s="14">
        <v>44811</v>
      </c>
      <c r="H9302" s="13" t="s">
        <v>35</v>
      </c>
    </row>
    <row r="9303" spans="1:8" ht="14.4" x14ac:dyDescent="0.3">
      <c r="A9303" s="8">
        <v>2042956</v>
      </c>
      <c r="B9303" s="11">
        <v>44809</v>
      </c>
      <c r="C9303" s="13" t="s">
        <v>11343</v>
      </c>
      <c r="D9303" s="13" t="s">
        <v>11344</v>
      </c>
      <c r="E9303" s="8">
        <v>12000</v>
      </c>
      <c r="F9303" s="13" t="s">
        <v>70</v>
      </c>
      <c r="G9303" s="14">
        <v>44810</v>
      </c>
      <c r="H9303" s="13" t="s">
        <v>35</v>
      </c>
    </row>
    <row r="9304" spans="1:8" ht="14.4" x14ac:dyDescent="0.3">
      <c r="A9304" s="8">
        <v>2042957</v>
      </c>
      <c r="B9304" s="11">
        <v>44809</v>
      </c>
      <c r="C9304" s="13" t="s">
        <v>11345</v>
      </c>
      <c r="D9304" s="13" t="s">
        <v>11346</v>
      </c>
      <c r="E9304" s="8">
        <v>15000</v>
      </c>
      <c r="F9304" s="13" t="s">
        <v>70</v>
      </c>
      <c r="G9304" s="14">
        <v>44810</v>
      </c>
      <c r="H9304" s="13" t="s">
        <v>35</v>
      </c>
    </row>
    <row r="9305" spans="1:8" ht="14.4" x14ac:dyDescent="0.3">
      <c r="A9305" s="8">
        <v>2042958</v>
      </c>
      <c r="B9305" s="11">
        <v>44809</v>
      </c>
      <c r="C9305" s="13" t="s">
        <v>11347</v>
      </c>
      <c r="D9305" s="13" t="s">
        <v>11348</v>
      </c>
      <c r="E9305" s="8">
        <v>18000</v>
      </c>
      <c r="F9305" s="13" t="s">
        <v>70</v>
      </c>
      <c r="G9305" s="14">
        <v>44810</v>
      </c>
      <c r="H9305" s="13" t="s">
        <v>35</v>
      </c>
    </row>
    <row r="9306" spans="1:8" ht="14.4" x14ac:dyDescent="0.3">
      <c r="A9306" s="8">
        <v>2042959</v>
      </c>
      <c r="B9306" s="11">
        <v>44809</v>
      </c>
      <c r="C9306" s="13" t="s">
        <v>11349</v>
      </c>
      <c r="D9306" s="13" t="s">
        <v>11350</v>
      </c>
      <c r="E9306" s="8">
        <v>8000</v>
      </c>
      <c r="F9306" s="13" t="s">
        <v>70</v>
      </c>
      <c r="G9306" s="14">
        <v>44810</v>
      </c>
      <c r="H9306" s="13" t="s">
        <v>35</v>
      </c>
    </row>
    <row r="9307" spans="1:8" ht="14.4" x14ac:dyDescent="0.3">
      <c r="A9307" s="8">
        <v>2042960</v>
      </c>
      <c r="B9307" s="11">
        <v>44809</v>
      </c>
      <c r="C9307" s="13" t="s">
        <v>11351</v>
      </c>
      <c r="D9307" s="13" t="s">
        <v>11352</v>
      </c>
      <c r="E9307" s="8">
        <v>50000</v>
      </c>
      <c r="F9307" s="13" t="s">
        <v>70</v>
      </c>
      <c r="G9307" s="14">
        <v>44810</v>
      </c>
      <c r="H9307" s="13" t="s">
        <v>35</v>
      </c>
    </row>
    <row r="9308" spans="1:8" ht="14.4" x14ac:dyDescent="0.3">
      <c r="A9308" s="8">
        <v>2042961</v>
      </c>
      <c r="B9308" s="11">
        <v>44809</v>
      </c>
      <c r="C9308" s="13" t="s">
        <v>11353</v>
      </c>
      <c r="D9308" s="13" t="s">
        <v>11354</v>
      </c>
      <c r="E9308" s="8">
        <v>8000</v>
      </c>
      <c r="F9308" s="13" t="s">
        <v>70</v>
      </c>
      <c r="G9308" s="14">
        <v>44810</v>
      </c>
      <c r="H9308" s="13" t="s">
        <v>35</v>
      </c>
    </row>
    <row r="9309" spans="1:8" ht="14.4" x14ac:dyDescent="0.3">
      <c r="A9309" s="8">
        <v>2042962</v>
      </c>
      <c r="B9309" s="11">
        <v>44809</v>
      </c>
      <c r="C9309" s="13" t="s">
        <v>11355</v>
      </c>
      <c r="D9309" s="13" t="s">
        <v>11356</v>
      </c>
      <c r="E9309" s="8">
        <v>11000</v>
      </c>
      <c r="F9309" s="13" t="s">
        <v>70</v>
      </c>
      <c r="G9309" s="14">
        <v>44811</v>
      </c>
      <c r="H9309" s="13" t="s">
        <v>35</v>
      </c>
    </row>
    <row r="9310" spans="1:8" ht="14.4" x14ac:dyDescent="0.3">
      <c r="A9310" s="8">
        <v>2042963</v>
      </c>
      <c r="B9310" s="11">
        <v>44809</v>
      </c>
      <c r="C9310" s="13" t="s">
        <v>11357</v>
      </c>
      <c r="D9310" s="13" t="s">
        <v>150</v>
      </c>
      <c r="E9310" s="8">
        <v>20000</v>
      </c>
      <c r="F9310" s="13" t="s">
        <v>70</v>
      </c>
      <c r="G9310" s="14">
        <v>44811</v>
      </c>
      <c r="H9310" s="13" t="s">
        <v>35</v>
      </c>
    </row>
    <row r="9311" spans="1:8" ht="14.4" x14ac:dyDescent="0.3">
      <c r="A9311" s="8">
        <v>2042964</v>
      </c>
      <c r="B9311" s="11">
        <v>44809</v>
      </c>
      <c r="C9311" s="13" t="s">
        <v>823</v>
      </c>
      <c r="D9311" s="13" t="s">
        <v>150</v>
      </c>
      <c r="E9311" s="8">
        <v>20000</v>
      </c>
      <c r="F9311" s="13" t="s">
        <v>70</v>
      </c>
      <c r="G9311" s="14">
        <v>44810</v>
      </c>
      <c r="H9311" s="13" t="s">
        <v>35</v>
      </c>
    </row>
    <row r="9312" spans="1:8" ht="14.4" x14ac:dyDescent="0.3">
      <c r="A9312" s="8">
        <v>2042965</v>
      </c>
      <c r="B9312" s="11">
        <v>44809</v>
      </c>
      <c r="C9312" s="13" t="s">
        <v>99</v>
      </c>
      <c r="D9312" s="13" t="s">
        <v>11358</v>
      </c>
      <c r="E9312" s="8">
        <v>40000</v>
      </c>
      <c r="F9312" s="13" t="s">
        <v>70</v>
      </c>
      <c r="G9312" s="14">
        <v>44810</v>
      </c>
      <c r="H9312" s="13" t="s">
        <v>35</v>
      </c>
    </row>
    <row r="9313" spans="1:8" ht="14.4" x14ac:dyDescent="0.3">
      <c r="A9313" s="8">
        <v>2042966</v>
      </c>
      <c r="B9313" s="11">
        <v>44809</v>
      </c>
      <c r="C9313" s="13" t="s">
        <v>11359</v>
      </c>
      <c r="D9313" s="13" t="s">
        <v>11360</v>
      </c>
      <c r="E9313" s="8">
        <v>10000</v>
      </c>
      <c r="F9313" s="13" t="s">
        <v>70</v>
      </c>
      <c r="G9313" s="14">
        <v>44811</v>
      </c>
      <c r="H9313" s="13" t="s">
        <v>35</v>
      </c>
    </row>
    <row r="9314" spans="1:8" ht="14.4" x14ac:dyDescent="0.3">
      <c r="A9314" s="8">
        <v>2042967</v>
      </c>
      <c r="B9314" s="11">
        <v>44809</v>
      </c>
      <c r="C9314" s="13" t="s">
        <v>11361</v>
      </c>
      <c r="D9314" s="13" t="s">
        <v>147</v>
      </c>
      <c r="E9314" s="8">
        <v>10000</v>
      </c>
      <c r="F9314" s="13" t="s">
        <v>70</v>
      </c>
      <c r="G9314" s="14">
        <v>44811</v>
      </c>
      <c r="H9314" s="13" t="s">
        <v>35</v>
      </c>
    </row>
    <row r="9315" spans="1:8" ht="14.4" x14ac:dyDescent="0.3">
      <c r="A9315" s="8">
        <v>2042968</v>
      </c>
      <c r="B9315" s="11">
        <v>44809</v>
      </c>
      <c r="C9315" s="13" t="s">
        <v>11362</v>
      </c>
      <c r="D9315" s="13" t="s">
        <v>11363</v>
      </c>
      <c r="E9315" s="8">
        <v>23000</v>
      </c>
      <c r="F9315" s="13" t="s">
        <v>70</v>
      </c>
      <c r="G9315" s="14">
        <v>44811</v>
      </c>
      <c r="H9315" s="13" t="s">
        <v>35</v>
      </c>
    </row>
    <row r="9316" spans="1:8" ht="14.4" x14ac:dyDescent="0.3">
      <c r="A9316" s="8">
        <v>2042969</v>
      </c>
      <c r="B9316" s="11">
        <v>44809</v>
      </c>
      <c r="C9316" s="13" t="s">
        <v>11364</v>
      </c>
      <c r="D9316" s="13" t="s">
        <v>11365</v>
      </c>
      <c r="E9316" s="8">
        <v>8000</v>
      </c>
      <c r="F9316" s="13" t="s">
        <v>70</v>
      </c>
      <c r="G9316" s="14">
        <v>44811</v>
      </c>
      <c r="H9316" s="13" t="s">
        <v>35</v>
      </c>
    </row>
    <row r="9317" spans="1:8" ht="14.4" x14ac:dyDescent="0.3">
      <c r="A9317" s="8">
        <v>2042970</v>
      </c>
      <c r="B9317" s="11">
        <v>44809</v>
      </c>
      <c r="C9317" s="13" t="s">
        <v>11366</v>
      </c>
      <c r="D9317" s="13" t="s">
        <v>11367</v>
      </c>
      <c r="E9317" s="8">
        <v>15000</v>
      </c>
      <c r="F9317" s="13" t="s">
        <v>70</v>
      </c>
      <c r="G9317" s="14">
        <v>44811</v>
      </c>
      <c r="H9317" s="13" t="s">
        <v>35</v>
      </c>
    </row>
    <row r="9318" spans="1:8" ht="14.4" x14ac:dyDescent="0.3">
      <c r="A9318" s="8">
        <v>2042971</v>
      </c>
      <c r="B9318" s="11">
        <v>44809</v>
      </c>
      <c r="C9318" s="13" t="s">
        <v>11368</v>
      </c>
      <c r="D9318" s="13" t="s">
        <v>11369</v>
      </c>
      <c r="E9318" s="8">
        <v>8000</v>
      </c>
      <c r="F9318" s="13" t="s">
        <v>70</v>
      </c>
      <c r="G9318" s="14">
        <v>44811</v>
      </c>
      <c r="H9318" s="13" t="s">
        <v>35</v>
      </c>
    </row>
    <row r="9319" spans="1:8" ht="14.4" x14ac:dyDescent="0.3">
      <c r="A9319" s="8">
        <v>2042972</v>
      </c>
      <c r="B9319" s="11">
        <v>44809</v>
      </c>
      <c r="C9319" s="13" t="s">
        <v>11370</v>
      </c>
      <c r="D9319" s="13" t="s">
        <v>47</v>
      </c>
      <c r="E9319" s="8">
        <v>15000</v>
      </c>
      <c r="F9319" s="13" t="s">
        <v>70</v>
      </c>
      <c r="G9319" s="14">
        <v>44810</v>
      </c>
      <c r="H9319" s="13" t="s">
        <v>35</v>
      </c>
    </row>
    <row r="9320" spans="1:8" ht="14.4" x14ac:dyDescent="0.3">
      <c r="A9320" s="8">
        <v>2042973</v>
      </c>
      <c r="B9320" s="11">
        <v>44809</v>
      </c>
      <c r="C9320" s="13" t="s">
        <v>11371</v>
      </c>
      <c r="D9320" s="13" t="s">
        <v>150</v>
      </c>
      <c r="E9320" s="8">
        <v>8000</v>
      </c>
      <c r="F9320" s="13" t="s">
        <v>70</v>
      </c>
      <c r="G9320" s="14">
        <v>44811</v>
      </c>
      <c r="H9320" s="13" t="s">
        <v>35</v>
      </c>
    </row>
    <row r="9321" spans="1:8" ht="14.4" x14ac:dyDescent="0.3">
      <c r="A9321" s="8">
        <v>2042974</v>
      </c>
      <c r="B9321" s="11">
        <v>44809</v>
      </c>
      <c r="C9321" s="13" t="s">
        <v>11372</v>
      </c>
      <c r="D9321" s="13" t="s">
        <v>11373</v>
      </c>
      <c r="E9321" s="8">
        <v>10800</v>
      </c>
      <c r="F9321" s="13" t="s">
        <v>70</v>
      </c>
      <c r="G9321" s="14">
        <v>44816</v>
      </c>
      <c r="H9321" s="13" t="s">
        <v>35</v>
      </c>
    </row>
    <row r="9322" spans="1:8" ht="14.4" x14ac:dyDescent="0.3">
      <c r="A9322" s="8">
        <v>2042975</v>
      </c>
      <c r="B9322" s="11">
        <v>44809</v>
      </c>
      <c r="C9322" s="13" t="s">
        <v>184</v>
      </c>
      <c r="D9322" s="13" t="s">
        <v>11374</v>
      </c>
      <c r="E9322" s="8">
        <v>182500</v>
      </c>
      <c r="F9322" s="13" t="s">
        <v>70</v>
      </c>
      <c r="G9322" s="14">
        <v>44810</v>
      </c>
      <c r="H9322" s="13" t="s">
        <v>35</v>
      </c>
    </row>
    <row r="9323" spans="1:8" ht="14.4" x14ac:dyDescent="0.3">
      <c r="A9323" s="8">
        <v>2042976</v>
      </c>
      <c r="B9323" s="11">
        <v>44809</v>
      </c>
      <c r="C9323" s="13" t="s">
        <v>1956</v>
      </c>
      <c r="D9323" s="13" t="s">
        <v>11375</v>
      </c>
      <c r="E9323" s="8">
        <v>4226612.18</v>
      </c>
      <c r="F9323" s="13" t="s">
        <v>70</v>
      </c>
      <c r="G9323" s="14">
        <v>44810</v>
      </c>
      <c r="H9323" s="13" t="s">
        <v>35</v>
      </c>
    </row>
    <row r="9324" spans="1:8" ht="14.4" x14ac:dyDescent="0.3">
      <c r="A9324" s="8">
        <v>2042977</v>
      </c>
      <c r="B9324" s="11">
        <v>44809</v>
      </c>
      <c r="C9324" s="13" t="s">
        <v>11376</v>
      </c>
      <c r="D9324" s="13" t="s">
        <v>11377</v>
      </c>
      <c r="E9324" s="8">
        <v>47985.7</v>
      </c>
      <c r="F9324" s="13" t="s">
        <v>70</v>
      </c>
      <c r="G9324" s="14">
        <v>44824</v>
      </c>
      <c r="H9324" s="13" t="s">
        <v>35</v>
      </c>
    </row>
    <row r="9325" spans="1:8" ht="14.4" x14ac:dyDescent="0.3">
      <c r="A9325" s="8">
        <v>2042978</v>
      </c>
      <c r="B9325" s="11">
        <v>44809</v>
      </c>
      <c r="C9325" s="13" t="s">
        <v>162</v>
      </c>
      <c r="D9325" s="13" t="s">
        <v>11378</v>
      </c>
      <c r="E9325" s="8">
        <v>364467.29</v>
      </c>
      <c r="F9325" s="13" t="s">
        <v>70</v>
      </c>
      <c r="G9325" s="14">
        <v>44812</v>
      </c>
      <c r="H9325" s="13" t="s">
        <v>35</v>
      </c>
    </row>
    <row r="9326" spans="1:8" ht="14.4" x14ac:dyDescent="0.3">
      <c r="A9326" s="8">
        <v>2042979</v>
      </c>
      <c r="B9326" s="11">
        <v>44809</v>
      </c>
      <c r="C9326" s="13" t="s">
        <v>42</v>
      </c>
      <c r="D9326" s="13" t="s">
        <v>11379</v>
      </c>
      <c r="E9326" s="8">
        <v>65669.58</v>
      </c>
      <c r="F9326" s="13" t="s">
        <v>70</v>
      </c>
      <c r="G9326" s="14">
        <v>44818</v>
      </c>
      <c r="H9326" s="13" t="s">
        <v>35</v>
      </c>
    </row>
    <row r="9327" spans="1:8" ht="14.4" x14ac:dyDescent="0.3">
      <c r="A9327" s="8">
        <v>2042980</v>
      </c>
      <c r="B9327" s="11">
        <v>44809</v>
      </c>
      <c r="C9327" s="13" t="s">
        <v>42</v>
      </c>
      <c r="D9327" s="13" t="s">
        <v>4783</v>
      </c>
      <c r="E9327" s="8">
        <v>144204.96</v>
      </c>
      <c r="F9327" s="13" t="s">
        <v>70</v>
      </c>
      <c r="G9327" s="14">
        <v>44818</v>
      </c>
      <c r="H9327" s="13" t="s">
        <v>35</v>
      </c>
    </row>
    <row r="9328" spans="1:8" ht="14.4" x14ac:dyDescent="0.3">
      <c r="A9328" s="8">
        <v>2042981</v>
      </c>
      <c r="B9328" s="11">
        <v>44809</v>
      </c>
      <c r="C9328" s="13" t="s">
        <v>42</v>
      </c>
      <c r="D9328" s="13" t="s">
        <v>11380</v>
      </c>
      <c r="E9328" s="8">
        <v>87344.47</v>
      </c>
      <c r="F9328" s="13" t="s">
        <v>70</v>
      </c>
      <c r="G9328" s="14">
        <v>44818</v>
      </c>
      <c r="H9328" s="13" t="s">
        <v>35</v>
      </c>
    </row>
    <row r="9329" spans="1:8" ht="14.4" x14ac:dyDescent="0.3">
      <c r="A9329" s="8">
        <v>2042983</v>
      </c>
      <c r="B9329" s="11">
        <v>44809</v>
      </c>
      <c r="C9329" s="13" t="s">
        <v>44</v>
      </c>
      <c r="D9329" s="13" t="s">
        <v>11381</v>
      </c>
      <c r="E9329" s="8">
        <v>1993.19</v>
      </c>
      <c r="F9329" s="13" t="s">
        <v>70</v>
      </c>
      <c r="G9329" s="14">
        <v>44816</v>
      </c>
      <c r="H9329" s="13" t="s">
        <v>35</v>
      </c>
    </row>
    <row r="9330" spans="1:8" ht="14.4" x14ac:dyDescent="0.3">
      <c r="A9330" s="8">
        <v>2042984</v>
      </c>
      <c r="B9330" s="11">
        <v>44809</v>
      </c>
      <c r="C9330" s="13" t="s">
        <v>11382</v>
      </c>
      <c r="D9330" s="13" t="s">
        <v>11383</v>
      </c>
      <c r="E9330" s="8">
        <v>28397.599999999999</v>
      </c>
      <c r="F9330" s="13" t="s">
        <v>70</v>
      </c>
      <c r="G9330" s="14">
        <v>44816</v>
      </c>
      <c r="H9330" s="13" t="s">
        <v>35</v>
      </c>
    </row>
    <row r="9331" spans="1:8" ht="14.4" x14ac:dyDescent="0.3">
      <c r="A9331" s="8">
        <v>2042985</v>
      </c>
      <c r="B9331" s="11">
        <v>44809</v>
      </c>
      <c r="C9331" s="13" t="s">
        <v>191</v>
      </c>
      <c r="D9331" s="13" t="s">
        <v>11384</v>
      </c>
      <c r="E9331" s="8">
        <v>10899.07</v>
      </c>
      <c r="F9331" s="13" t="s">
        <v>70</v>
      </c>
      <c r="G9331" s="14">
        <v>44810</v>
      </c>
      <c r="H9331" s="13" t="s">
        <v>35</v>
      </c>
    </row>
    <row r="9332" spans="1:8" ht="14.4" x14ac:dyDescent="0.3">
      <c r="A9332" s="8">
        <v>2042986</v>
      </c>
      <c r="B9332" s="11">
        <v>44809</v>
      </c>
      <c r="C9332" s="13" t="s">
        <v>43</v>
      </c>
      <c r="D9332" s="13" t="s">
        <v>11385</v>
      </c>
      <c r="E9332" s="8">
        <v>538249.36</v>
      </c>
      <c r="F9332" s="13" t="s">
        <v>70</v>
      </c>
      <c r="G9332" s="14">
        <v>44827</v>
      </c>
      <c r="H9332" s="13" t="s">
        <v>35</v>
      </c>
    </row>
    <row r="9333" spans="1:8" ht="14.4" x14ac:dyDescent="0.3">
      <c r="A9333" s="8">
        <v>2042987</v>
      </c>
      <c r="B9333" s="11">
        <v>44809</v>
      </c>
      <c r="C9333" s="13" t="s">
        <v>43</v>
      </c>
      <c r="D9333" s="13" t="s">
        <v>11386</v>
      </c>
      <c r="E9333" s="8">
        <v>39564.410000000003</v>
      </c>
      <c r="F9333" s="13" t="s">
        <v>70</v>
      </c>
      <c r="G9333" s="14">
        <v>44827</v>
      </c>
      <c r="H9333" s="13" t="s">
        <v>35</v>
      </c>
    </row>
    <row r="9334" spans="1:8" ht="14.4" x14ac:dyDescent="0.3">
      <c r="A9334" s="8">
        <v>2042988</v>
      </c>
      <c r="B9334" s="11">
        <v>44809</v>
      </c>
      <c r="C9334" s="13" t="s">
        <v>1286</v>
      </c>
      <c r="D9334" s="13" t="s">
        <v>11387</v>
      </c>
      <c r="E9334" s="8">
        <v>7535.18</v>
      </c>
      <c r="F9334" s="13" t="s">
        <v>70</v>
      </c>
      <c r="G9334" s="14">
        <v>44818</v>
      </c>
      <c r="H9334" s="13" t="s">
        <v>35</v>
      </c>
    </row>
    <row r="9335" spans="1:8" ht="14.4" x14ac:dyDescent="0.3">
      <c r="A9335" s="8">
        <v>2042989</v>
      </c>
      <c r="B9335" s="11">
        <v>44809</v>
      </c>
      <c r="C9335" s="13" t="s">
        <v>1286</v>
      </c>
      <c r="D9335" s="13" t="s">
        <v>11388</v>
      </c>
      <c r="E9335" s="8">
        <v>3772</v>
      </c>
      <c r="F9335" s="13" t="s">
        <v>70</v>
      </c>
      <c r="G9335" s="14">
        <v>44818</v>
      </c>
      <c r="H9335" s="13" t="s">
        <v>35</v>
      </c>
    </row>
    <row r="9336" spans="1:8" ht="14.4" x14ac:dyDescent="0.3">
      <c r="A9336" s="8">
        <v>2042990</v>
      </c>
      <c r="B9336" s="11">
        <v>44809</v>
      </c>
      <c r="C9336" s="13" t="s">
        <v>11389</v>
      </c>
      <c r="D9336" s="13" t="s">
        <v>11390</v>
      </c>
      <c r="E9336" s="8">
        <v>11531.25</v>
      </c>
      <c r="F9336" s="13" t="s">
        <v>70</v>
      </c>
      <c r="G9336" s="14">
        <v>44811</v>
      </c>
      <c r="H9336" s="13" t="s">
        <v>35</v>
      </c>
    </row>
    <row r="9337" spans="1:8" ht="14.4" x14ac:dyDescent="0.3">
      <c r="A9337" s="8">
        <v>2042991</v>
      </c>
      <c r="B9337" s="11">
        <v>44809</v>
      </c>
      <c r="C9337" s="13" t="s">
        <v>1584</v>
      </c>
      <c r="D9337" s="13"/>
      <c r="E9337" s="8">
        <v>31232.15</v>
      </c>
      <c r="F9337" s="13" t="s">
        <v>70</v>
      </c>
      <c r="G9337" s="14">
        <v>44811</v>
      </c>
      <c r="H9337" s="13" t="s">
        <v>35</v>
      </c>
    </row>
    <row r="9338" spans="1:8" ht="14.4" x14ac:dyDescent="0.3">
      <c r="A9338" s="8">
        <v>2042992</v>
      </c>
      <c r="B9338" s="11">
        <v>44809</v>
      </c>
      <c r="C9338" s="13" t="s">
        <v>3158</v>
      </c>
      <c r="D9338" s="13" t="s">
        <v>11391</v>
      </c>
      <c r="E9338" s="8">
        <v>954819.5</v>
      </c>
      <c r="F9338" s="13" t="s">
        <v>70</v>
      </c>
      <c r="G9338" s="14">
        <v>44811</v>
      </c>
      <c r="H9338" s="13" t="s">
        <v>35</v>
      </c>
    </row>
    <row r="9339" spans="1:8" ht="14.4" x14ac:dyDescent="0.3">
      <c r="A9339" s="8">
        <v>2042993</v>
      </c>
      <c r="B9339" s="11">
        <v>44809</v>
      </c>
      <c r="C9339" s="13" t="s">
        <v>11392</v>
      </c>
      <c r="D9339" s="13" t="s">
        <v>11393</v>
      </c>
      <c r="E9339" s="8">
        <v>2175.6</v>
      </c>
      <c r="F9339" s="13" t="s">
        <v>70</v>
      </c>
      <c r="G9339" s="14">
        <v>44813</v>
      </c>
      <c r="H9339" s="13" t="s">
        <v>35</v>
      </c>
    </row>
    <row r="9340" spans="1:8" ht="14.4" x14ac:dyDescent="0.3">
      <c r="A9340" s="8">
        <v>2042995</v>
      </c>
      <c r="B9340" s="11">
        <v>44809</v>
      </c>
      <c r="C9340" s="13" t="s">
        <v>42</v>
      </c>
      <c r="D9340" s="13" t="s">
        <v>11394</v>
      </c>
      <c r="E9340" s="8">
        <v>6760.38</v>
      </c>
      <c r="F9340" s="13" t="s">
        <v>70</v>
      </c>
      <c r="G9340" s="14">
        <v>44818</v>
      </c>
      <c r="H9340" s="13" t="s">
        <v>35</v>
      </c>
    </row>
    <row r="9341" spans="1:8" ht="14.4" x14ac:dyDescent="0.3">
      <c r="A9341" s="8">
        <v>2042996</v>
      </c>
      <c r="B9341" s="11">
        <v>44809</v>
      </c>
      <c r="C9341" s="13" t="s">
        <v>11017</v>
      </c>
      <c r="D9341" s="13" t="s">
        <v>11395</v>
      </c>
      <c r="E9341" s="8">
        <v>86067.14</v>
      </c>
      <c r="F9341" s="13" t="s">
        <v>70</v>
      </c>
      <c r="G9341" s="14">
        <v>44818</v>
      </c>
      <c r="H9341" s="13" t="s">
        <v>35</v>
      </c>
    </row>
    <row r="9342" spans="1:8" ht="14.4" x14ac:dyDescent="0.3">
      <c r="A9342" s="8">
        <v>2042997</v>
      </c>
      <c r="B9342" s="11">
        <v>44809</v>
      </c>
      <c r="C9342" s="13" t="s">
        <v>127</v>
      </c>
      <c r="D9342" s="13" t="s">
        <v>11396</v>
      </c>
      <c r="E9342" s="8">
        <v>3975</v>
      </c>
      <c r="F9342" s="13" t="s">
        <v>70</v>
      </c>
      <c r="G9342" s="14">
        <v>44832</v>
      </c>
      <c r="H9342" s="13" t="s">
        <v>35</v>
      </c>
    </row>
    <row r="9343" spans="1:8" ht="14.4" x14ac:dyDescent="0.3">
      <c r="A9343" s="8">
        <v>2042998</v>
      </c>
      <c r="B9343" s="11">
        <v>44809</v>
      </c>
      <c r="C9343" s="13" t="s">
        <v>1941</v>
      </c>
      <c r="D9343" s="13" t="s">
        <v>11397</v>
      </c>
      <c r="E9343" s="8">
        <v>31995.72</v>
      </c>
      <c r="F9343" s="13" t="s">
        <v>70</v>
      </c>
      <c r="G9343" s="14">
        <v>44811</v>
      </c>
      <c r="H9343" s="13" t="s">
        <v>35</v>
      </c>
    </row>
    <row r="9344" spans="1:8" ht="14.4" x14ac:dyDescent="0.3">
      <c r="A9344" s="8">
        <v>2042999</v>
      </c>
      <c r="B9344" s="11">
        <v>44809</v>
      </c>
      <c r="C9344" s="13" t="s">
        <v>405</v>
      </c>
      <c r="D9344" s="13" t="s">
        <v>11398</v>
      </c>
      <c r="E9344" s="8">
        <v>38412.17</v>
      </c>
      <c r="F9344" s="13" t="s">
        <v>70</v>
      </c>
      <c r="G9344" s="14">
        <v>44811</v>
      </c>
      <c r="H9344" s="13" t="s">
        <v>35</v>
      </c>
    </row>
    <row r="9345" spans="1:8" ht="14.4" x14ac:dyDescent="0.3">
      <c r="A9345" s="8">
        <v>2043000</v>
      </c>
      <c r="B9345" s="11">
        <v>44809</v>
      </c>
      <c r="C9345" s="13" t="s">
        <v>255</v>
      </c>
      <c r="D9345" s="13" t="s">
        <v>11399</v>
      </c>
      <c r="E9345" s="8">
        <v>170355.08</v>
      </c>
      <c r="F9345" s="13" t="s">
        <v>70</v>
      </c>
      <c r="G9345" s="14">
        <v>44817</v>
      </c>
      <c r="H9345" s="13" t="s">
        <v>35</v>
      </c>
    </row>
    <row r="9346" spans="1:8" ht="14.4" x14ac:dyDescent="0.3">
      <c r="A9346" s="8">
        <v>2043001</v>
      </c>
      <c r="B9346" s="11">
        <v>44809</v>
      </c>
      <c r="C9346" s="13" t="s">
        <v>1784</v>
      </c>
      <c r="D9346" s="13" t="s">
        <v>11400</v>
      </c>
      <c r="E9346" s="8">
        <v>6000</v>
      </c>
      <c r="F9346" s="13" t="s">
        <v>70</v>
      </c>
      <c r="G9346" s="14">
        <v>44810</v>
      </c>
      <c r="H9346" s="13" t="s">
        <v>35</v>
      </c>
    </row>
    <row r="9347" spans="1:8" ht="14.4" x14ac:dyDescent="0.3">
      <c r="A9347" s="8">
        <v>2043002</v>
      </c>
      <c r="B9347" s="11">
        <v>44809</v>
      </c>
      <c r="C9347" s="13" t="s">
        <v>1581</v>
      </c>
      <c r="D9347" s="13" t="s">
        <v>11401</v>
      </c>
      <c r="E9347" s="8">
        <v>1064.74</v>
      </c>
      <c r="F9347" s="13" t="s">
        <v>70</v>
      </c>
      <c r="G9347" s="14">
        <v>44811</v>
      </c>
      <c r="H9347" s="13" t="s">
        <v>35</v>
      </c>
    </row>
    <row r="9348" spans="1:8" ht="14.4" x14ac:dyDescent="0.3">
      <c r="A9348" s="8">
        <v>2043003</v>
      </c>
      <c r="B9348" s="11">
        <v>44809</v>
      </c>
      <c r="C9348" s="13" t="s">
        <v>1784</v>
      </c>
      <c r="D9348" s="13" t="s">
        <v>11402</v>
      </c>
      <c r="E9348" s="8">
        <v>7000</v>
      </c>
      <c r="F9348" s="13" t="s">
        <v>70</v>
      </c>
      <c r="G9348" s="14">
        <v>44810</v>
      </c>
      <c r="H9348" s="13" t="s">
        <v>35</v>
      </c>
    </row>
    <row r="9349" spans="1:8" ht="14.4" x14ac:dyDescent="0.3">
      <c r="A9349" s="8">
        <v>2043004</v>
      </c>
      <c r="B9349" s="11">
        <v>44809</v>
      </c>
      <c r="C9349" s="13" t="s">
        <v>44</v>
      </c>
      <c r="D9349" s="13" t="s">
        <v>11403</v>
      </c>
      <c r="E9349" s="8">
        <v>6310.68</v>
      </c>
      <c r="F9349" s="13" t="s">
        <v>70</v>
      </c>
      <c r="G9349" s="14">
        <v>44816</v>
      </c>
      <c r="H9349" s="13" t="s">
        <v>35</v>
      </c>
    </row>
    <row r="9350" spans="1:8" ht="14.4" x14ac:dyDescent="0.3">
      <c r="A9350" s="8">
        <v>2043005</v>
      </c>
      <c r="B9350" s="11">
        <v>44809</v>
      </c>
      <c r="C9350" s="13" t="s">
        <v>25</v>
      </c>
      <c r="D9350" s="13" t="s">
        <v>11404</v>
      </c>
      <c r="E9350" s="8">
        <v>4732.1499999999996</v>
      </c>
      <c r="F9350" s="13" t="s">
        <v>70</v>
      </c>
      <c r="G9350" s="14">
        <v>44813</v>
      </c>
      <c r="H9350" s="13" t="s">
        <v>35</v>
      </c>
    </row>
    <row r="9351" spans="1:8" ht="14.4" x14ac:dyDescent="0.3">
      <c r="A9351" s="8">
        <v>2043006</v>
      </c>
      <c r="B9351" s="11">
        <v>44809</v>
      </c>
      <c r="C9351" s="13" t="s">
        <v>11405</v>
      </c>
      <c r="D9351" s="13" t="s">
        <v>11406</v>
      </c>
      <c r="E9351" s="8">
        <v>569962.14</v>
      </c>
      <c r="F9351" s="13" t="s">
        <v>70</v>
      </c>
      <c r="G9351" s="14">
        <v>44810</v>
      </c>
      <c r="H9351" s="13" t="s">
        <v>35</v>
      </c>
    </row>
    <row r="9352" spans="1:8" ht="14.4" x14ac:dyDescent="0.3">
      <c r="A9352" s="8">
        <v>2043007</v>
      </c>
      <c r="B9352" s="11">
        <v>44809</v>
      </c>
      <c r="C9352" s="13" t="s">
        <v>197</v>
      </c>
      <c r="D9352" s="13" t="s">
        <v>11406</v>
      </c>
      <c r="E9352" s="8">
        <v>1689307.98</v>
      </c>
      <c r="F9352" s="13" t="s">
        <v>70</v>
      </c>
      <c r="G9352" s="14">
        <v>44829</v>
      </c>
      <c r="H9352" s="13" t="s">
        <v>35</v>
      </c>
    </row>
    <row r="9353" spans="1:8" ht="14.4" x14ac:dyDescent="0.3">
      <c r="A9353" s="8">
        <v>2043008</v>
      </c>
      <c r="B9353" s="11">
        <v>44809</v>
      </c>
      <c r="C9353" s="13" t="s">
        <v>186</v>
      </c>
      <c r="D9353" s="13" t="s">
        <v>11406</v>
      </c>
      <c r="E9353" s="8">
        <v>1832125.57</v>
      </c>
      <c r="F9353" s="13" t="s">
        <v>70</v>
      </c>
      <c r="G9353" s="14">
        <v>44810</v>
      </c>
      <c r="H9353" s="13" t="s">
        <v>35</v>
      </c>
    </row>
    <row r="9354" spans="1:8" ht="14.4" x14ac:dyDescent="0.3">
      <c r="A9354" s="8">
        <v>2043009</v>
      </c>
      <c r="B9354" s="11">
        <v>44809</v>
      </c>
      <c r="C9354" s="13" t="s">
        <v>11407</v>
      </c>
      <c r="D9354" s="13" t="s">
        <v>11408</v>
      </c>
      <c r="E9354" s="8">
        <v>8572241.1500000004</v>
      </c>
      <c r="F9354" s="13" t="s">
        <v>70</v>
      </c>
      <c r="G9354" s="14">
        <v>44810</v>
      </c>
      <c r="H9354" s="13" t="s">
        <v>35</v>
      </c>
    </row>
    <row r="9355" spans="1:8" ht="14.4" x14ac:dyDescent="0.3">
      <c r="A9355" s="8">
        <v>2043010</v>
      </c>
      <c r="B9355" s="11">
        <v>44809</v>
      </c>
      <c r="C9355" s="13" t="s">
        <v>188</v>
      </c>
      <c r="D9355" s="13" t="s">
        <v>11409</v>
      </c>
      <c r="E9355" s="8">
        <v>31430.400000000001</v>
      </c>
      <c r="F9355" s="13" t="s">
        <v>70</v>
      </c>
      <c r="G9355" s="14">
        <v>44810</v>
      </c>
      <c r="H9355" s="13" t="s">
        <v>35</v>
      </c>
    </row>
    <row r="9356" spans="1:8" ht="14.4" x14ac:dyDescent="0.3">
      <c r="A9356" s="8">
        <v>2043011</v>
      </c>
      <c r="B9356" s="11">
        <v>44809</v>
      </c>
      <c r="C9356" s="13" t="s">
        <v>188</v>
      </c>
      <c r="D9356" s="13" t="s">
        <v>11410</v>
      </c>
      <c r="E9356" s="8">
        <v>999.72</v>
      </c>
      <c r="F9356" s="13" t="s">
        <v>70</v>
      </c>
      <c r="G9356" s="14">
        <v>44810</v>
      </c>
      <c r="H9356" s="13" t="s">
        <v>35</v>
      </c>
    </row>
    <row r="9357" spans="1:8" ht="14.4" x14ac:dyDescent="0.3">
      <c r="A9357" s="8">
        <v>2043013</v>
      </c>
      <c r="B9357" s="11">
        <v>44809</v>
      </c>
      <c r="C9357" s="13" t="s">
        <v>85</v>
      </c>
      <c r="D9357" s="13" t="s">
        <v>11411</v>
      </c>
      <c r="E9357" s="8">
        <v>4875</v>
      </c>
      <c r="F9357" s="13" t="s">
        <v>70</v>
      </c>
      <c r="G9357" s="14">
        <v>44811</v>
      </c>
      <c r="H9357" s="13" t="s">
        <v>35</v>
      </c>
    </row>
    <row r="9358" spans="1:8" ht="14.4" x14ac:dyDescent="0.3">
      <c r="A9358" s="8">
        <v>2043014</v>
      </c>
      <c r="B9358" s="11">
        <v>44810</v>
      </c>
      <c r="C9358" s="13" t="s">
        <v>259</v>
      </c>
      <c r="D9358" s="13" t="s">
        <v>11412</v>
      </c>
      <c r="E9358" s="8">
        <v>16893.740000000002</v>
      </c>
      <c r="F9358" s="13" t="s">
        <v>70</v>
      </c>
      <c r="G9358" s="14">
        <v>44816</v>
      </c>
      <c r="H9358" s="13" t="s">
        <v>35</v>
      </c>
    </row>
    <row r="9359" spans="1:8" ht="14.4" x14ac:dyDescent="0.3">
      <c r="A9359" s="8">
        <v>2043015</v>
      </c>
      <c r="B9359" s="11">
        <v>44810</v>
      </c>
      <c r="C9359" s="13" t="s">
        <v>151</v>
      </c>
      <c r="D9359" s="13" t="s">
        <v>11413</v>
      </c>
      <c r="E9359" s="8">
        <v>8790.6</v>
      </c>
      <c r="F9359" s="13" t="s">
        <v>70</v>
      </c>
      <c r="G9359" s="14">
        <v>44827</v>
      </c>
      <c r="H9359" s="13" t="s">
        <v>35</v>
      </c>
    </row>
    <row r="9360" spans="1:8" ht="14.4" x14ac:dyDescent="0.3">
      <c r="A9360" s="8">
        <v>2043016</v>
      </c>
      <c r="B9360" s="11">
        <v>44810</v>
      </c>
      <c r="C9360" s="13" t="s">
        <v>1522</v>
      </c>
      <c r="D9360" s="13" t="s">
        <v>3220</v>
      </c>
      <c r="E9360" s="8">
        <v>5409.6</v>
      </c>
      <c r="F9360" s="13" t="s">
        <v>70</v>
      </c>
      <c r="G9360" s="14">
        <v>44824</v>
      </c>
      <c r="H9360" s="13" t="s">
        <v>35</v>
      </c>
    </row>
    <row r="9361" spans="1:8" ht="14.4" x14ac:dyDescent="0.3">
      <c r="A9361" s="8">
        <v>2043017</v>
      </c>
      <c r="B9361" s="11">
        <v>44810</v>
      </c>
      <c r="C9361" s="13" t="s">
        <v>2077</v>
      </c>
      <c r="D9361" s="13" t="s">
        <v>11414</v>
      </c>
      <c r="E9361" s="8">
        <v>18550</v>
      </c>
      <c r="F9361" s="13" t="s">
        <v>70</v>
      </c>
      <c r="G9361" s="14">
        <v>44816</v>
      </c>
      <c r="H9361" s="13" t="s">
        <v>35</v>
      </c>
    </row>
    <row r="9362" spans="1:8" ht="14.4" x14ac:dyDescent="0.3">
      <c r="A9362" s="8">
        <v>2043018</v>
      </c>
      <c r="B9362" s="11">
        <v>44810</v>
      </c>
      <c r="C9362" s="13" t="s">
        <v>11415</v>
      </c>
      <c r="D9362" s="13" t="s">
        <v>11416</v>
      </c>
      <c r="E9362" s="8">
        <v>4000</v>
      </c>
      <c r="F9362" s="13" t="s">
        <v>70</v>
      </c>
      <c r="G9362" s="14">
        <v>44811</v>
      </c>
      <c r="H9362" s="13" t="s">
        <v>35</v>
      </c>
    </row>
    <row r="9363" spans="1:8" ht="14.4" x14ac:dyDescent="0.3">
      <c r="A9363" s="8">
        <v>2043019</v>
      </c>
      <c r="B9363" s="11">
        <v>44810</v>
      </c>
      <c r="C9363" s="13" t="s">
        <v>159</v>
      </c>
      <c r="D9363" s="13" t="s">
        <v>11417</v>
      </c>
      <c r="E9363" s="8">
        <v>288500</v>
      </c>
      <c r="F9363" s="13" t="s">
        <v>70</v>
      </c>
      <c r="G9363" s="14">
        <v>44810</v>
      </c>
      <c r="H9363" s="13" t="s">
        <v>35</v>
      </c>
    </row>
    <row r="9364" spans="1:8" ht="14.4" x14ac:dyDescent="0.3">
      <c r="A9364" s="8">
        <v>2043020</v>
      </c>
      <c r="B9364" s="11">
        <v>44810</v>
      </c>
      <c r="C9364" s="13" t="s">
        <v>42</v>
      </c>
      <c r="D9364" s="13" t="s">
        <v>11418</v>
      </c>
      <c r="E9364" s="8">
        <v>5868.22</v>
      </c>
      <c r="F9364" s="13" t="s">
        <v>70</v>
      </c>
      <c r="G9364" s="14">
        <v>44818</v>
      </c>
      <c r="H9364" s="13" t="s">
        <v>35</v>
      </c>
    </row>
    <row r="9365" spans="1:8" ht="14.4" x14ac:dyDescent="0.3">
      <c r="A9365" s="8">
        <v>2043021</v>
      </c>
      <c r="B9365" s="11">
        <v>44810</v>
      </c>
      <c r="C9365" s="13" t="s">
        <v>162</v>
      </c>
      <c r="D9365" s="13" t="s">
        <v>11378</v>
      </c>
      <c r="E9365" s="8">
        <v>116404.46</v>
      </c>
      <c r="F9365" s="13" t="s">
        <v>70</v>
      </c>
      <c r="G9365" s="14">
        <v>44819</v>
      </c>
      <c r="H9365" s="13" t="s">
        <v>35</v>
      </c>
    </row>
    <row r="9366" spans="1:8" ht="14.4" x14ac:dyDescent="0.3">
      <c r="A9366" s="8">
        <v>2043022</v>
      </c>
      <c r="B9366" s="11">
        <v>44810</v>
      </c>
      <c r="C9366" s="13" t="s">
        <v>363</v>
      </c>
      <c r="D9366" s="13" t="s">
        <v>11419</v>
      </c>
      <c r="E9366" s="8">
        <v>40417.550000000003</v>
      </c>
      <c r="F9366" s="13" t="s">
        <v>70</v>
      </c>
      <c r="G9366" s="14">
        <v>44812</v>
      </c>
      <c r="H9366" s="13" t="s">
        <v>35</v>
      </c>
    </row>
    <row r="9367" spans="1:8" ht="14.4" x14ac:dyDescent="0.3">
      <c r="A9367" s="8">
        <v>2043023</v>
      </c>
      <c r="B9367" s="11">
        <v>44810</v>
      </c>
      <c r="C9367" s="13" t="s">
        <v>265</v>
      </c>
      <c r="D9367" s="13" t="s">
        <v>11420</v>
      </c>
      <c r="E9367" s="8">
        <v>49148</v>
      </c>
      <c r="F9367" s="13" t="s">
        <v>70</v>
      </c>
      <c r="G9367" s="14">
        <v>44813</v>
      </c>
      <c r="H9367" s="13" t="s">
        <v>35</v>
      </c>
    </row>
    <row r="9368" spans="1:8" ht="14.4" x14ac:dyDescent="0.3">
      <c r="A9368" s="8">
        <v>2043024</v>
      </c>
      <c r="B9368" s="11">
        <v>44810</v>
      </c>
      <c r="C9368" s="13" t="s">
        <v>11421</v>
      </c>
      <c r="D9368" s="13" t="s">
        <v>11422</v>
      </c>
      <c r="E9368" s="8">
        <v>13000</v>
      </c>
      <c r="F9368" s="13" t="s">
        <v>70</v>
      </c>
      <c r="G9368" s="14">
        <v>44812</v>
      </c>
      <c r="H9368" s="13" t="s">
        <v>35</v>
      </c>
    </row>
    <row r="9369" spans="1:8" ht="14.4" x14ac:dyDescent="0.3">
      <c r="A9369" s="8">
        <v>2043025</v>
      </c>
      <c r="B9369" s="11">
        <v>44810</v>
      </c>
      <c r="C9369" s="13" t="s">
        <v>11423</v>
      </c>
      <c r="D9369" s="13" t="s">
        <v>11424</v>
      </c>
      <c r="E9369" s="8">
        <v>20000</v>
      </c>
      <c r="F9369" s="13" t="s">
        <v>70</v>
      </c>
      <c r="G9369" s="14">
        <v>44813</v>
      </c>
      <c r="H9369" s="13" t="s">
        <v>35</v>
      </c>
    </row>
    <row r="9370" spans="1:8" ht="14.4" x14ac:dyDescent="0.3">
      <c r="A9370" s="8">
        <v>2043026</v>
      </c>
      <c r="B9370" s="11">
        <v>44810</v>
      </c>
      <c r="C9370" s="13" t="s">
        <v>11425</v>
      </c>
      <c r="D9370" s="13" t="s">
        <v>47</v>
      </c>
      <c r="E9370" s="8">
        <v>14880</v>
      </c>
      <c r="F9370" s="13" t="s">
        <v>70</v>
      </c>
      <c r="G9370" s="14">
        <v>44812</v>
      </c>
      <c r="H9370" s="13" t="s">
        <v>35</v>
      </c>
    </row>
    <row r="9371" spans="1:8" ht="14.4" x14ac:dyDescent="0.3">
      <c r="A9371" s="8">
        <v>2043027</v>
      </c>
      <c r="B9371" s="11">
        <v>44810</v>
      </c>
      <c r="C9371" s="13" t="s">
        <v>60</v>
      </c>
      <c r="D9371" s="13" t="s">
        <v>11426</v>
      </c>
      <c r="E9371" s="8">
        <v>1689805.96</v>
      </c>
      <c r="F9371" s="13" t="s">
        <v>70</v>
      </c>
      <c r="G9371" s="14">
        <v>44811</v>
      </c>
      <c r="H9371" s="13" t="s">
        <v>35</v>
      </c>
    </row>
    <row r="9372" spans="1:8" ht="14.4" x14ac:dyDescent="0.3">
      <c r="A9372" s="8">
        <v>2043028</v>
      </c>
      <c r="B9372" s="11">
        <v>44810</v>
      </c>
      <c r="C9372" s="13" t="s">
        <v>60</v>
      </c>
      <c r="D9372" s="13" t="s">
        <v>11427</v>
      </c>
      <c r="E9372" s="8">
        <v>1689805.96</v>
      </c>
      <c r="F9372" s="13" t="s">
        <v>70</v>
      </c>
      <c r="G9372" s="14">
        <v>44819</v>
      </c>
      <c r="H9372" s="13" t="s">
        <v>35</v>
      </c>
    </row>
    <row r="9373" spans="1:8" ht="14.4" x14ac:dyDescent="0.3">
      <c r="A9373" s="8">
        <v>2043030</v>
      </c>
      <c r="B9373" s="11">
        <v>44810</v>
      </c>
      <c r="C9373" s="13" t="s">
        <v>162</v>
      </c>
      <c r="D9373" s="13" t="s">
        <v>11378</v>
      </c>
      <c r="E9373" s="8">
        <v>180014.4</v>
      </c>
      <c r="F9373" s="13" t="s">
        <v>70</v>
      </c>
      <c r="G9373" s="14">
        <v>44819</v>
      </c>
      <c r="H9373" s="13" t="s">
        <v>35</v>
      </c>
    </row>
    <row r="9374" spans="1:8" ht="14.4" x14ac:dyDescent="0.3">
      <c r="A9374" s="8">
        <v>2043031</v>
      </c>
      <c r="B9374" s="11">
        <v>44810</v>
      </c>
      <c r="C9374" s="13" t="s">
        <v>162</v>
      </c>
      <c r="D9374" s="13" t="s">
        <v>11428</v>
      </c>
      <c r="E9374" s="8">
        <v>1438.53</v>
      </c>
      <c r="F9374" s="13" t="s">
        <v>70</v>
      </c>
      <c r="G9374" s="14">
        <v>44819</v>
      </c>
      <c r="H9374" s="13" t="s">
        <v>35</v>
      </c>
    </row>
    <row r="9375" spans="1:8" ht="14.4" x14ac:dyDescent="0.3">
      <c r="A9375" s="8">
        <v>2043032</v>
      </c>
      <c r="B9375" s="11">
        <v>44810</v>
      </c>
      <c r="C9375" s="13" t="s">
        <v>492</v>
      </c>
      <c r="D9375" s="13" t="s">
        <v>11429</v>
      </c>
      <c r="E9375" s="8">
        <v>33115.1</v>
      </c>
      <c r="F9375" s="13" t="s">
        <v>70</v>
      </c>
      <c r="G9375" s="14">
        <v>44812</v>
      </c>
      <c r="H9375" s="13" t="s">
        <v>35</v>
      </c>
    </row>
    <row r="9376" spans="1:8" ht="14.4" x14ac:dyDescent="0.3">
      <c r="A9376" s="8">
        <v>2043033</v>
      </c>
      <c r="B9376" s="11">
        <v>44810</v>
      </c>
      <c r="C9376" s="13" t="s">
        <v>162</v>
      </c>
      <c r="D9376" s="13" t="s">
        <v>11430</v>
      </c>
      <c r="E9376" s="8">
        <v>2279.83</v>
      </c>
      <c r="F9376" s="13" t="s">
        <v>70</v>
      </c>
      <c r="G9376" s="14">
        <v>44819</v>
      </c>
      <c r="H9376" s="13" t="s">
        <v>35</v>
      </c>
    </row>
    <row r="9377" spans="1:8" ht="14.4" x14ac:dyDescent="0.3">
      <c r="A9377" s="8">
        <v>2043034</v>
      </c>
      <c r="B9377" s="11">
        <v>44810</v>
      </c>
      <c r="C9377" s="13" t="s">
        <v>162</v>
      </c>
      <c r="D9377" s="13" t="s">
        <v>11430</v>
      </c>
      <c r="E9377" s="8">
        <v>669015.26</v>
      </c>
      <c r="F9377" s="13" t="s">
        <v>70</v>
      </c>
      <c r="G9377" s="14">
        <v>44819</v>
      </c>
      <c r="H9377" s="13" t="s">
        <v>35</v>
      </c>
    </row>
    <row r="9378" spans="1:8" ht="14.4" x14ac:dyDescent="0.3">
      <c r="A9378" s="8">
        <v>2043035</v>
      </c>
      <c r="B9378" s="11">
        <v>44810</v>
      </c>
      <c r="C9378" s="13" t="s">
        <v>162</v>
      </c>
      <c r="D9378" s="13" t="s">
        <v>11431</v>
      </c>
      <c r="E9378" s="8">
        <v>9062.68</v>
      </c>
      <c r="F9378" s="13" t="s">
        <v>70</v>
      </c>
      <c r="G9378" s="14">
        <v>44819</v>
      </c>
      <c r="H9378" s="13" t="s">
        <v>35</v>
      </c>
    </row>
    <row r="9379" spans="1:8" ht="14.4" x14ac:dyDescent="0.3">
      <c r="A9379" s="8">
        <v>2043036</v>
      </c>
      <c r="B9379" s="11">
        <v>44810</v>
      </c>
      <c r="C9379" s="13" t="s">
        <v>162</v>
      </c>
      <c r="D9379" s="13" t="s">
        <v>11432</v>
      </c>
      <c r="E9379" s="8">
        <v>916582.02</v>
      </c>
      <c r="F9379" s="13" t="s">
        <v>70</v>
      </c>
      <c r="G9379" s="14">
        <v>44819</v>
      </c>
      <c r="H9379" s="13" t="s">
        <v>35</v>
      </c>
    </row>
    <row r="9380" spans="1:8" ht="14.4" x14ac:dyDescent="0.3">
      <c r="A9380" s="8">
        <v>2043037</v>
      </c>
      <c r="B9380" s="11">
        <v>44810</v>
      </c>
      <c r="C9380" s="13" t="s">
        <v>162</v>
      </c>
      <c r="D9380" s="13" t="s">
        <v>6535</v>
      </c>
      <c r="E9380" s="8">
        <v>722923.33</v>
      </c>
      <c r="F9380" s="13" t="s">
        <v>70</v>
      </c>
      <c r="G9380" s="14">
        <v>44819</v>
      </c>
      <c r="H9380" s="13" t="s">
        <v>35</v>
      </c>
    </row>
    <row r="9381" spans="1:8" ht="14.4" x14ac:dyDescent="0.3">
      <c r="A9381" s="8">
        <v>2043038</v>
      </c>
      <c r="B9381" s="11">
        <v>44810</v>
      </c>
      <c r="C9381" s="13" t="s">
        <v>124</v>
      </c>
      <c r="D9381" s="13" t="s">
        <v>11433</v>
      </c>
      <c r="E9381" s="8">
        <v>229.9</v>
      </c>
      <c r="F9381" s="13" t="s">
        <v>70</v>
      </c>
      <c r="G9381" s="14">
        <v>44819</v>
      </c>
      <c r="H9381" s="13" t="s">
        <v>35</v>
      </c>
    </row>
    <row r="9382" spans="1:8" ht="14.4" x14ac:dyDescent="0.3">
      <c r="A9382" s="8">
        <v>2043039</v>
      </c>
      <c r="B9382" s="11">
        <v>44810</v>
      </c>
      <c r="C9382" s="13" t="s">
        <v>44</v>
      </c>
      <c r="D9382" s="13" t="s">
        <v>11434</v>
      </c>
      <c r="E9382" s="8">
        <v>9543.74</v>
      </c>
      <c r="F9382" s="13" t="s">
        <v>70</v>
      </c>
      <c r="G9382" s="14">
        <v>44816</v>
      </c>
      <c r="H9382" s="13" t="s">
        <v>35</v>
      </c>
    </row>
    <row r="9383" spans="1:8" ht="14.4" x14ac:dyDescent="0.3">
      <c r="A9383" s="8">
        <v>2043040</v>
      </c>
      <c r="B9383" s="11">
        <v>44810</v>
      </c>
      <c r="C9383" s="13" t="s">
        <v>1784</v>
      </c>
      <c r="D9383" s="13" t="s">
        <v>11435</v>
      </c>
      <c r="E9383" s="8">
        <v>15300</v>
      </c>
      <c r="F9383" s="13" t="s">
        <v>70</v>
      </c>
      <c r="G9383" s="14">
        <v>44818</v>
      </c>
      <c r="H9383" s="13" t="s">
        <v>35</v>
      </c>
    </row>
    <row r="9384" spans="1:8" ht="14.4" x14ac:dyDescent="0.3">
      <c r="A9384" s="8">
        <v>2043041</v>
      </c>
      <c r="B9384" s="11">
        <v>44810</v>
      </c>
      <c r="C9384" s="13" t="s">
        <v>125</v>
      </c>
      <c r="D9384" s="13" t="s">
        <v>11436</v>
      </c>
      <c r="E9384" s="15">
        <v>32886</v>
      </c>
      <c r="F9384" s="13" t="s">
        <v>70</v>
      </c>
      <c r="G9384" s="14">
        <v>44823</v>
      </c>
      <c r="H9384" s="13" t="s">
        <v>35</v>
      </c>
    </row>
    <row r="9385" spans="1:8" ht="14.4" x14ac:dyDescent="0.3">
      <c r="A9385" s="8">
        <v>2043042</v>
      </c>
      <c r="B9385" s="11">
        <v>44810</v>
      </c>
      <c r="C9385" s="13" t="s">
        <v>265</v>
      </c>
      <c r="D9385" s="13" t="s">
        <v>11437</v>
      </c>
      <c r="E9385" s="8">
        <v>141617.5</v>
      </c>
      <c r="F9385" s="13" t="s">
        <v>70</v>
      </c>
      <c r="G9385" s="14">
        <v>44813</v>
      </c>
      <c r="H9385" s="13" t="s">
        <v>35</v>
      </c>
    </row>
    <row r="9386" spans="1:8" ht="14.4" x14ac:dyDescent="0.3">
      <c r="A9386" s="8">
        <v>2043044</v>
      </c>
      <c r="B9386" s="11">
        <v>44810</v>
      </c>
      <c r="C9386" s="13" t="s">
        <v>10543</v>
      </c>
      <c r="D9386" s="13" t="s">
        <v>11438</v>
      </c>
      <c r="E9386" s="8">
        <v>53452.74</v>
      </c>
      <c r="F9386" s="13" t="s">
        <v>70</v>
      </c>
      <c r="G9386" s="14">
        <v>44818</v>
      </c>
      <c r="H9386" s="13" t="s">
        <v>35</v>
      </c>
    </row>
    <row r="9387" spans="1:8" ht="14.4" x14ac:dyDescent="0.3">
      <c r="A9387" s="8">
        <v>2043045</v>
      </c>
      <c r="B9387" s="11">
        <v>44810</v>
      </c>
      <c r="C9387" s="13" t="s">
        <v>4147</v>
      </c>
      <c r="D9387" s="13" t="s">
        <v>11439</v>
      </c>
      <c r="E9387" s="8">
        <v>10000</v>
      </c>
      <c r="F9387" s="13" t="s">
        <v>70</v>
      </c>
      <c r="G9387" s="14">
        <v>44812</v>
      </c>
      <c r="H9387" s="13" t="s">
        <v>35</v>
      </c>
    </row>
    <row r="9388" spans="1:8" ht="14.4" x14ac:dyDescent="0.3">
      <c r="A9388" s="8">
        <v>2043046</v>
      </c>
      <c r="B9388" s="11">
        <v>44810</v>
      </c>
      <c r="C9388" s="13" t="s">
        <v>180</v>
      </c>
      <c r="D9388" s="13" t="s">
        <v>11440</v>
      </c>
      <c r="E9388" s="8">
        <v>149877</v>
      </c>
      <c r="F9388" s="13" t="s">
        <v>70</v>
      </c>
      <c r="G9388" s="14">
        <v>44811</v>
      </c>
      <c r="H9388" s="13" t="s">
        <v>35</v>
      </c>
    </row>
    <row r="9389" spans="1:8" ht="14.4" x14ac:dyDescent="0.3">
      <c r="A9389" s="8">
        <v>2043047</v>
      </c>
      <c r="B9389" s="11">
        <v>44810</v>
      </c>
      <c r="C9389" s="13" t="s">
        <v>1985</v>
      </c>
      <c r="D9389" s="13" t="s">
        <v>11441</v>
      </c>
      <c r="E9389" s="8">
        <v>6000</v>
      </c>
      <c r="F9389" s="13" t="s">
        <v>70</v>
      </c>
      <c r="G9389" s="14">
        <v>44811</v>
      </c>
      <c r="H9389" s="13" t="s">
        <v>35</v>
      </c>
    </row>
    <row r="9390" spans="1:8" ht="14.4" x14ac:dyDescent="0.3">
      <c r="A9390" s="8">
        <v>2043048</v>
      </c>
      <c r="B9390" s="11">
        <v>44810</v>
      </c>
      <c r="C9390" s="13" t="s">
        <v>2425</v>
      </c>
      <c r="D9390" s="13" t="s">
        <v>6188</v>
      </c>
      <c r="E9390" s="8">
        <v>231934.16</v>
      </c>
      <c r="F9390" s="13" t="s">
        <v>70</v>
      </c>
      <c r="G9390" s="14">
        <v>44811</v>
      </c>
      <c r="H9390" s="13" t="s">
        <v>35</v>
      </c>
    </row>
    <row r="9391" spans="1:8" ht="14.4" x14ac:dyDescent="0.3">
      <c r="A9391" s="8">
        <v>2043049</v>
      </c>
      <c r="B9391" s="11">
        <v>44810</v>
      </c>
      <c r="C9391" s="13" t="s">
        <v>235</v>
      </c>
      <c r="D9391" s="13" t="s">
        <v>6189</v>
      </c>
      <c r="E9391" s="8">
        <v>393435</v>
      </c>
      <c r="F9391" s="13" t="s">
        <v>70</v>
      </c>
      <c r="G9391" s="14">
        <v>44811</v>
      </c>
      <c r="H9391" s="13" t="s">
        <v>35</v>
      </c>
    </row>
    <row r="9392" spans="1:8" ht="14.4" x14ac:dyDescent="0.3">
      <c r="A9392" s="8">
        <v>2043054</v>
      </c>
      <c r="B9392" s="11">
        <v>44811</v>
      </c>
      <c r="C9392" s="13" t="s">
        <v>44</v>
      </c>
      <c r="D9392" s="13" t="s">
        <v>11442</v>
      </c>
      <c r="E9392" s="8">
        <v>72450</v>
      </c>
      <c r="F9392" s="13" t="s">
        <v>70</v>
      </c>
      <c r="G9392" s="14">
        <v>44816</v>
      </c>
      <c r="H9392" s="13" t="s">
        <v>35</v>
      </c>
    </row>
    <row r="9393" spans="1:8" ht="14.4" x14ac:dyDescent="0.3">
      <c r="A9393" s="8">
        <v>2043056</v>
      </c>
      <c r="B9393" s="11">
        <v>44811</v>
      </c>
      <c r="C9393" s="13" t="s">
        <v>122</v>
      </c>
      <c r="D9393" s="13" t="s">
        <v>11443</v>
      </c>
      <c r="E9393" s="8">
        <v>9000</v>
      </c>
      <c r="F9393" s="13" t="s">
        <v>70</v>
      </c>
      <c r="G9393" s="14">
        <v>44819</v>
      </c>
      <c r="H9393" s="13" t="s">
        <v>35</v>
      </c>
    </row>
    <row r="9394" spans="1:8" ht="14.4" x14ac:dyDescent="0.3">
      <c r="A9394" s="8">
        <v>2043057</v>
      </c>
      <c r="B9394" s="11">
        <v>44811</v>
      </c>
      <c r="C9394" s="13" t="s">
        <v>11444</v>
      </c>
      <c r="D9394" s="13" t="s">
        <v>11445</v>
      </c>
      <c r="E9394" s="8">
        <v>15000</v>
      </c>
      <c r="F9394" s="13" t="s">
        <v>70</v>
      </c>
      <c r="G9394" s="14">
        <v>44813</v>
      </c>
      <c r="H9394" s="13" t="s">
        <v>35</v>
      </c>
    </row>
    <row r="9395" spans="1:8" ht="14.4" x14ac:dyDescent="0.3">
      <c r="A9395" s="8">
        <v>2043058</v>
      </c>
      <c r="B9395" s="11">
        <v>44811</v>
      </c>
      <c r="C9395" s="13" t="s">
        <v>11446</v>
      </c>
      <c r="D9395" s="13" t="s">
        <v>11447</v>
      </c>
      <c r="E9395" s="8">
        <v>25000</v>
      </c>
      <c r="F9395" s="13" t="s">
        <v>70</v>
      </c>
      <c r="G9395" s="14">
        <v>44812</v>
      </c>
      <c r="H9395" s="13" t="s">
        <v>35</v>
      </c>
    </row>
    <row r="9396" spans="1:8" ht="14.4" x14ac:dyDescent="0.3">
      <c r="A9396" s="8">
        <v>2043059</v>
      </c>
      <c r="B9396" s="11">
        <v>44811</v>
      </c>
      <c r="C9396" s="13" t="s">
        <v>122</v>
      </c>
      <c r="D9396" s="13" t="s">
        <v>11448</v>
      </c>
      <c r="E9396" s="8">
        <v>34000</v>
      </c>
      <c r="F9396" s="13" t="s">
        <v>70</v>
      </c>
      <c r="G9396" s="14">
        <v>44819</v>
      </c>
      <c r="H9396" s="13" t="s">
        <v>35</v>
      </c>
    </row>
    <row r="9397" spans="1:8" ht="14.4" x14ac:dyDescent="0.3">
      <c r="A9397" s="8">
        <v>2043060</v>
      </c>
      <c r="B9397" s="11">
        <v>44811</v>
      </c>
      <c r="C9397" s="13" t="s">
        <v>2987</v>
      </c>
      <c r="D9397" s="13" t="s">
        <v>11449</v>
      </c>
      <c r="E9397" s="8">
        <v>7000</v>
      </c>
      <c r="F9397" s="13" t="s">
        <v>70</v>
      </c>
      <c r="G9397" s="14">
        <v>44837</v>
      </c>
      <c r="H9397" s="13" t="s">
        <v>35</v>
      </c>
    </row>
    <row r="9398" spans="1:8" ht="14.4" x14ac:dyDescent="0.3">
      <c r="A9398" s="8">
        <v>2043061</v>
      </c>
      <c r="B9398" s="11">
        <v>44811</v>
      </c>
      <c r="C9398" s="13" t="s">
        <v>11450</v>
      </c>
      <c r="D9398" s="13" t="s">
        <v>11451</v>
      </c>
      <c r="E9398" s="8">
        <v>10000</v>
      </c>
      <c r="F9398" s="13" t="s">
        <v>70</v>
      </c>
      <c r="G9398" s="14">
        <v>44812</v>
      </c>
      <c r="H9398" s="13" t="s">
        <v>35</v>
      </c>
    </row>
    <row r="9399" spans="1:8" ht="14.4" x14ac:dyDescent="0.3">
      <c r="A9399" s="8">
        <v>2043062</v>
      </c>
      <c r="B9399" s="11">
        <v>44811</v>
      </c>
      <c r="C9399" s="13" t="s">
        <v>11452</v>
      </c>
      <c r="D9399" s="13" t="s">
        <v>11453</v>
      </c>
      <c r="E9399" s="8">
        <v>14000</v>
      </c>
      <c r="F9399" s="13" t="s">
        <v>70</v>
      </c>
      <c r="G9399" s="14">
        <v>44813</v>
      </c>
      <c r="H9399" s="13" t="s">
        <v>35</v>
      </c>
    </row>
    <row r="9400" spans="1:8" ht="14.4" x14ac:dyDescent="0.3">
      <c r="A9400" s="8">
        <v>2043063</v>
      </c>
      <c r="B9400" s="11">
        <v>44811</v>
      </c>
      <c r="C9400" s="13" t="s">
        <v>11454</v>
      </c>
      <c r="D9400" s="13" t="s">
        <v>11455</v>
      </c>
      <c r="E9400" s="8">
        <v>10000</v>
      </c>
      <c r="F9400" s="13" t="s">
        <v>70</v>
      </c>
      <c r="G9400" s="14">
        <v>44813</v>
      </c>
      <c r="H9400" s="13" t="s">
        <v>35</v>
      </c>
    </row>
    <row r="9401" spans="1:8" ht="14.4" x14ac:dyDescent="0.3">
      <c r="A9401" s="8">
        <v>2043064</v>
      </c>
      <c r="B9401" s="11">
        <v>44811</v>
      </c>
      <c r="C9401" s="13" t="s">
        <v>11456</v>
      </c>
      <c r="D9401" s="13" t="s">
        <v>11457</v>
      </c>
      <c r="E9401" s="8">
        <v>8000</v>
      </c>
      <c r="F9401" s="13" t="s">
        <v>70</v>
      </c>
      <c r="G9401" s="14">
        <v>44813</v>
      </c>
      <c r="H9401" s="13" t="s">
        <v>35</v>
      </c>
    </row>
    <row r="9402" spans="1:8" ht="14.4" x14ac:dyDescent="0.3">
      <c r="A9402" s="8">
        <v>2043065</v>
      </c>
      <c r="B9402" s="11">
        <v>44811</v>
      </c>
      <c r="C9402" s="13" t="s">
        <v>11458</v>
      </c>
      <c r="D9402" s="13" t="s">
        <v>11459</v>
      </c>
      <c r="E9402" s="8">
        <v>20000</v>
      </c>
      <c r="F9402" s="13" t="s">
        <v>70</v>
      </c>
      <c r="G9402" s="14">
        <v>44825</v>
      </c>
      <c r="H9402" s="13" t="s">
        <v>35</v>
      </c>
    </row>
    <row r="9403" spans="1:8" ht="14.4" x14ac:dyDescent="0.3">
      <c r="A9403" s="8">
        <v>2043066</v>
      </c>
      <c r="B9403" s="11">
        <v>44811</v>
      </c>
      <c r="C9403" s="13" t="s">
        <v>11460</v>
      </c>
      <c r="D9403" s="13" t="s">
        <v>11461</v>
      </c>
      <c r="E9403" s="8">
        <v>10000</v>
      </c>
      <c r="F9403" s="13" t="s">
        <v>70</v>
      </c>
      <c r="G9403" s="14">
        <v>44812</v>
      </c>
      <c r="H9403" s="13" t="s">
        <v>35</v>
      </c>
    </row>
    <row r="9404" spans="1:8" ht="14.4" x14ac:dyDescent="0.3">
      <c r="A9404" s="8">
        <v>2043067</v>
      </c>
      <c r="B9404" s="11">
        <v>44811</v>
      </c>
      <c r="C9404" s="13" t="s">
        <v>11462</v>
      </c>
      <c r="D9404" s="13" t="s">
        <v>11463</v>
      </c>
      <c r="E9404" s="8">
        <v>12000</v>
      </c>
      <c r="F9404" s="13" t="s">
        <v>70</v>
      </c>
      <c r="G9404" s="14">
        <v>44813</v>
      </c>
      <c r="H9404" s="13" t="s">
        <v>35</v>
      </c>
    </row>
    <row r="9405" spans="1:8" ht="14.4" x14ac:dyDescent="0.3">
      <c r="A9405" s="8">
        <v>2043068</v>
      </c>
      <c r="B9405" s="11">
        <v>44811</v>
      </c>
      <c r="C9405" s="13" t="s">
        <v>7997</v>
      </c>
      <c r="D9405" s="13" t="s">
        <v>47</v>
      </c>
      <c r="E9405" s="8">
        <v>11000</v>
      </c>
      <c r="F9405" s="13" t="s">
        <v>70</v>
      </c>
      <c r="G9405" s="14">
        <v>44813</v>
      </c>
      <c r="H9405" s="13" t="s">
        <v>35</v>
      </c>
    </row>
    <row r="9406" spans="1:8" ht="14.4" x14ac:dyDescent="0.3">
      <c r="A9406" s="8">
        <v>2043069</v>
      </c>
      <c r="B9406" s="11">
        <v>44811</v>
      </c>
      <c r="C9406" s="13" t="s">
        <v>11464</v>
      </c>
      <c r="D9406" s="13" t="s">
        <v>150</v>
      </c>
      <c r="E9406" s="8">
        <v>12000</v>
      </c>
      <c r="F9406" s="13" t="s">
        <v>70</v>
      </c>
      <c r="G9406" s="14">
        <v>44813</v>
      </c>
      <c r="H9406" s="13" t="s">
        <v>35</v>
      </c>
    </row>
    <row r="9407" spans="1:8" ht="14.4" x14ac:dyDescent="0.3">
      <c r="A9407" s="8">
        <v>2043070</v>
      </c>
      <c r="B9407" s="11">
        <v>44811</v>
      </c>
      <c r="C9407" s="13" t="s">
        <v>11465</v>
      </c>
      <c r="D9407" s="13" t="s">
        <v>11466</v>
      </c>
      <c r="E9407" s="8">
        <v>12000</v>
      </c>
      <c r="F9407" s="13" t="s">
        <v>70</v>
      </c>
      <c r="G9407" s="14">
        <v>44813</v>
      </c>
      <c r="H9407" s="13" t="s">
        <v>35</v>
      </c>
    </row>
    <row r="9408" spans="1:8" ht="14.4" x14ac:dyDescent="0.3">
      <c r="A9408" s="8">
        <v>2043071</v>
      </c>
      <c r="B9408" s="11">
        <v>44811</v>
      </c>
      <c r="C9408" s="13" t="s">
        <v>42</v>
      </c>
      <c r="D9408" s="13" t="s">
        <v>11467</v>
      </c>
      <c r="E9408" s="8">
        <v>93394.63</v>
      </c>
      <c r="F9408" s="13" t="s">
        <v>70</v>
      </c>
      <c r="G9408" s="14">
        <v>44818</v>
      </c>
      <c r="H9408" s="13" t="s">
        <v>35</v>
      </c>
    </row>
    <row r="9409" spans="1:8" ht="14.4" x14ac:dyDescent="0.3">
      <c r="A9409" s="8">
        <v>2043072</v>
      </c>
      <c r="B9409" s="11">
        <v>44811</v>
      </c>
      <c r="C9409" s="13" t="s">
        <v>1424</v>
      </c>
      <c r="D9409" s="13" t="s">
        <v>11468</v>
      </c>
      <c r="E9409" s="8">
        <v>80470.09</v>
      </c>
      <c r="F9409" s="13" t="s">
        <v>70</v>
      </c>
      <c r="G9409" s="14">
        <v>44819</v>
      </c>
      <c r="H9409" s="13" t="s">
        <v>35</v>
      </c>
    </row>
    <row r="9410" spans="1:8" ht="14.4" x14ac:dyDescent="0.3">
      <c r="A9410" s="8">
        <v>2043073</v>
      </c>
      <c r="B9410" s="11">
        <v>44811</v>
      </c>
      <c r="C9410" s="13" t="s">
        <v>42</v>
      </c>
      <c r="D9410" s="13" t="s">
        <v>11469</v>
      </c>
      <c r="E9410" s="8">
        <v>155773.25</v>
      </c>
      <c r="F9410" s="13" t="s">
        <v>70</v>
      </c>
      <c r="G9410" s="14">
        <v>44818</v>
      </c>
      <c r="H9410" s="13" t="s">
        <v>35</v>
      </c>
    </row>
    <row r="9411" spans="1:8" ht="14.4" x14ac:dyDescent="0.3">
      <c r="A9411" s="8">
        <v>2043074</v>
      </c>
      <c r="B9411" s="11">
        <v>44811</v>
      </c>
      <c r="C9411" s="13" t="s">
        <v>52</v>
      </c>
      <c r="D9411" s="13" t="s">
        <v>11470</v>
      </c>
      <c r="E9411" s="8">
        <v>98428.57</v>
      </c>
      <c r="F9411" s="13" t="s">
        <v>70</v>
      </c>
      <c r="G9411" s="14">
        <v>44818</v>
      </c>
      <c r="H9411" s="13" t="s">
        <v>35</v>
      </c>
    </row>
    <row r="9412" spans="1:8" ht="14.4" x14ac:dyDescent="0.3">
      <c r="A9412" s="8">
        <v>2043075</v>
      </c>
      <c r="B9412" s="11">
        <v>44811</v>
      </c>
      <c r="C9412" s="13" t="s">
        <v>1584</v>
      </c>
      <c r="D9412" s="13" t="s">
        <v>11471</v>
      </c>
      <c r="E9412" s="8">
        <v>56312.5</v>
      </c>
      <c r="F9412" s="13" t="s">
        <v>70</v>
      </c>
      <c r="G9412" s="14">
        <v>44831</v>
      </c>
      <c r="H9412" s="13" t="s">
        <v>35</v>
      </c>
    </row>
    <row r="9413" spans="1:8" ht="14.4" x14ac:dyDescent="0.3">
      <c r="A9413" s="8">
        <v>2043076</v>
      </c>
      <c r="B9413" s="11">
        <v>44811</v>
      </c>
      <c r="C9413" s="13" t="s">
        <v>1587</v>
      </c>
      <c r="D9413" s="13" t="s">
        <v>11472</v>
      </c>
      <c r="E9413" s="8">
        <v>28392.85</v>
      </c>
      <c r="F9413" s="13" t="s">
        <v>70</v>
      </c>
      <c r="G9413" s="14">
        <v>44816</v>
      </c>
      <c r="H9413" s="13" t="s">
        <v>35</v>
      </c>
    </row>
    <row r="9414" spans="1:8" ht="14.4" x14ac:dyDescent="0.3">
      <c r="A9414" s="8">
        <v>2043077</v>
      </c>
      <c r="B9414" s="11">
        <v>44811</v>
      </c>
      <c r="C9414" s="13" t="s">
        <v>11473</v>
      </c>
      <c r="D9414" s="13" t="s">
        <v>11474</v>
      </c>
      <c r="E9414" s="8">
        <v>5506.43</v>
      </c>
      <c r="F9414" s="13" t="s">
        <v>70</v>
      </c>
      <c r="G9414" s="14">
        <v>44820</v>
      </c>
      <c r="H9414" s="13" t="s">
        <v>35</v>
      </c>
    </row>
    <row r="9415" spans="1:8" ht="14.4" x14ac:dyDescent="0.3">
      <c r="A9415" s="8">
        <v>2043079</v>
      </c>
      <c r="B9415" s="11">
        <v>44811</v>
      </c>
      <c r="C9415" s="13" t="s">
        <v>4211</v>
      </c>
      <c r="D9415" s="13" t="s">
        <v>11475</v>
      </c>
      <c r="E9415" s="8">
        <v>6656.25</v>
      </c>
      <c r="F9415" s="13" t="s">
        <v>70</v>
      </c>
      <c r="G9415" s="14">
        <v>44832</v>
      </c>
      <c r="H9415" s="13" t="s">
        <v>35</v>
      </c>
    </row>
    <row r="9416" spans="1:8" ht="14.4" x14ac:dyDescent="0.3">
      <c r="A9416" s="8">
        <v>2043080</v>
      </c>
      <c r="B9416" s="11">
        <v>44811</v>
      </c>
      <c r="C9416" s="13" t="s">
        <v>67</v>
      </c>
      <c r="D9416" s="13" t="s">
        <v>11476</v>
      </c>
      <c r="E9416" s="8">
        <v>4500</v>
      </c>
      <c r="F9416" s="13" t="s">
        <v>70</v>
      </c>
      <c r="G9416" s="14">
        <v>44833</v>
      </c>
      <c r="H9416" s="13" t="s">
        <v>35</v>
      </c>
    </row>
    <row r="9417" spans="1:8" ht="14.4" x14ac:dyDescent="0.3">
      <c r="A9417" s="8">
        <v>2043081</v>
      </c>
      <c r="B9417" s="11">
        <v>44811</v>
      </c>
      <c r="C9417" s="13" t="s">
        <v>1784</v>
      </c>
      <c r="D9417" s="13" t="s">
        <v>11477</v>
      </c>
      <c r="E9417" s="8">
        <v>3000</v>
      </c>
      <c r="F9417" s="13" t="s">
        <v>70</v>
      </c>
      <c r="G9417" s="14">
        <v>44818</v>
      </c>
      <c r="H9417" s="13" t="s">
        <v>35</v>
      </c>
    </row>
    <row r="9418" spans="1:8" ht="14.4" x14ac:dyDescent="0.3">
      <c r="A9418" s="8">
        <v>2043082</v>
      </c>
      <c r="B9418" s="11">
        <v>44811</v>
      </c>
      <c r="C9418" s="13" t="s">
        <v>11017</v>
      </c>
      <c r="D9418" s="13" t="s">
        <v>11478</v>
      </c>
      <c r="E9418" s="8">
        <v>16562.5</v>
      </c>
      <c r="F9418" s="13" t="s">
        <v>70</v>
      </c>
      <c r="G9418" s="14">
        <v>44818</v>
      </c>
      <c r="H9418" s="13" t="s">
        <v>35</v>
      </c>
    </row>
    <row r="9419" spans="1:8" ht="14.4" x14ac:dyDescent="0.3">
      <c r="A9419" s="8">
        <v>2043083</v>
      </c>
      <c r="B9419" s="11">
        <v>44811</v>
      </c>
      <c r="C9419" s="13" t="s">
        <v>4084</v>
      </c>
      <c r="D9419" s="13" t="s">
        <v>11479</v>
      </c>
      <c r="E9419" s="8">
        <v>508277</v>
      </c>
      <c r="F9419" s="13" t="s">
        <v>70</v>
      </c>
      <c r="G9419" s="14">
        <v>44824</v>
      </c>
      <c r="H9419" s="13" t="s">
        <v>35</v>
      </c>
    </row>
    <row r="9420" spans="1:8" ht="14.4" x14ac:dyDescent="0.3">
      <c r="A9420" s="8">
        <v>2043084</v>
      </c>
      <c r="B9420" s="11">
        <v>44811</v>
      </c>
      <c r="C9420" s="13" t="s">
        <v>52</v>
      </c>
      <c r="D9420" s="13" t="s">
        <v>11480</v>
      </c>
      <c r="E9420" s="8">
        <v>34654.43</v>
      </c>
      <c r="F9420" s="13" t="s">
        <v>70</v>
      </c>
      <c r="G9420" s="14">
        <v>44818</v>
      </c>
      <c r="H9420" s="13" t="s">
        <v>35</v>
      </c>
    </row>
    <row r="9421" spans="1:8" ht="14.4" x14ac:dyDescent="0.3">
      <c r="A9421" s="8">
        <v>2043085</v>
      </c>
      <c r="B9421" s="11">
        <v>44811</v>
      </c>
      <c r="C9421" s="13" t="s">
        <v>376</v>
      </c>
      <c r="D9421" s="13" t="s">
        <v>11481</v>
      </c>
      <c r="E9421" s="8">
        <v>69580</v>
      </c>
      <c r="F9421" s="13" t="s">
        <v>70</v>
      </c>
      <c r="G9421" s="14">
        <v>44824</v>
      </c>
      <c r="H9421" s="13" t="s">
        <v>35</v>
      </c>
    </row>
    <row r="9422" spans="1:8" ht="14.4" x14ac:dyDescent="0.3">
      <c r="A9422" s="8">
        <v>2043086</v>
      </c>
      <c r="B9422" s="11">
        <v>44811</v>
      </c>
      <c r="C9422" s="13" t="s">
        <v>1581</v>
      </c>
      <c r="D9422" s="13" t="s">
        <v>11482</v>
      </c>
      <c r="E9422" s="8">
        <v>17248.66</v>
      </c>
      <c r="F9422" s="13" t="s">
        <v>70</v>
      </c>
      <c r="G9422" s="14">
        <v>44833</v>
      </c>
      <c r="H9422" s="13" t="s">
        <v>35</v>
      </c>
    </row>
    <row r="9423" spans="1:8" ht="14.4" x14ac:dyDescent="0.3">
      <c r="A9423" s="8">
        <v>2043087</v>
      </c>
      <c r="B9423" s="11">
        <v>44811</v>
      </c>
      <c r="C9423" s="13" t="s">
        <v>1941</v>
      </c>
      <c r="D9423" s="13" t="s">
        <v>11483</v>
      </c>
      <c r="E9423" s="8">
        <v>9311.61</v>
      </c>
      <c r="F9423" s="13" t="s">
        <v>70</v>
      </c>
      <c r="G9423" s="14">
        <v>44816</v>
      </c>
      <c r="H9423" s="13" t="s">
        <v>35</v>
      </c>
    </row>
    <row r="9424" spans="1:8" ht="14.4" x14ac:dyDescent="0.3">
      <c r="A9424" s="8">
        <v>2043088</v>
      </c>
      <c r="B9424" s="11">
        <v>44811</v>
      </c>
      <c r="C9424" s="13" t="s">
        <v>1743</v>
      </c>
      <c r="D9424" s="13" t="s">
        <v>11484</v>
      </c>
      <c r="E9424" s="8">
        <v>3675</v>
      </c>
      <c r="F9424" s="13" t="s">
        <v>70</v>
      </c>
      <c r="G9424" s="14">
        <v>44816</v>
      </c>
      <c r="H9424" s="13" t="s">
        <v>35</v>
      </c>
    </row>
    <row r="9425" spans="1:8" ht="14.4" x14ac:dyDescent="0.3">
      <c r="A9425" s="8">
        <v>2043089</v>
      </c>
      <c r="B9425" s="11">
        <v>44811</v>
      </c>
      <c r="C9425" s="13" t="s">
        <v>1784</v>
      </c>
      <c r="D9425" s="13" t="s">
        <v>11485</v>
      </c>
      <c r="E9425" s="8">
        <v>4000</v>
      </c>
      <c r="F9425" s="13" t="s">
        <v>70</v>
      </c>
      <c r="G9425" s="14">
        <v>44818</v>
      </c>
      <c r="H9425" s="13" t="s">
        <v>35</v>
      </c>
    </row>
    <row r="9426" spans="1:8" ht="14.4" x14ac:dyDescent="0.3">
      <c r="A9426" s="8">
        <v>2043090</v>
      </c>
      <c r="B9426" s="11">
        <v>44811</v>
      </c>
      <c r="C9426" s="13" t="s">
        <v>11486</v>
      </c>
      <c r="D9426" s="13" t="s">
        <v>3655</v>
      </c>
      <c r="E9426" s="8">
        <v>165701.04</v>
      </c>
      <c r="F9426" s="13" t="s">
        <v>70</v>
      </c>
      <c r="G9426" s="14">
        <v>44847</v>
      </c>
      <c r="H9426" s="13" t="s">
        <v>35</v>
      </c>
    </row>
    <row r="9427" spans="1:8" ht="14.4" x14ac:dyDescent="0.3">
      <c r="A9427" s="8">
        <v>2043091</v>
      </c>
      <c r="B9427" s="11">
        <v>44811</v>
      </c>
      <c r="C9427" s="13" t="s">
        <v>405</v>
      </c>
      <c r="D9427" s="13" t="s">
        <v>11487</v>
      </c>
      <c r="E9427" s="8">
        <v>11610.56</v>
      </c>
      <c r="F9427" s="13" t="s">
        <v>70</v>
      </c>
      <c r="G9427" s="14">
        <v>44818</v>
      </c>
      <c r="H9427" s="13" t="s">
        <v>35</v>
      </c>
    </row>
    <row r="9428" spans="1:8" ht="14.4" x14ac:dyDescent="0.3">
      <c r="A9428" s="8">
        <v>2043092</v>
      </c>
      <c r="B9428" s="11">
        <v>44811</v>
      </c>
      <c r="C9428" s="13" t="s">
        <v>65</v>
      </c>
      <c r="D9428" s="13" t="s">
        <v>11488</v>
      </c>
      <c r="E9428" s="8">
        <v>28487.5</v>
      </c>
      <c r="F9428" s="13" t="s">
        <v>70</v>
      </c>
      <c r="G9428" s="14">
        <v>44816</v>
      </c>
      <c r="H9428" s="13" t="s">
        <v>35</v>
      </c>
    </row>
    <row r="9429" spans="1:8" ht="14.4" x14ac:dyDescent="0.3">
      <c r="A9429" s="8">
        <v>2043093</v>
      </c>
      <c r="B9429" s="11">
        <v>44811</v>
      </c>
      <c r="C9429" s="13" t="s">
        <v>2809</v>
      </c>
      <c r="D9429" s="13" t="s">
        <v>11489</v>
      </c>
      <c r="E9429" s="8">
        <v>15889.23</v>
      </c>
      <c r="F9429" s="13" t="s">
        <v>70</v>
      </c>
      <c r="G9429" s="14">
        <v>44813</v>
      </c>
      <c r="H9429" s="13" t="s">
        <v>35</v>
      </c>
    </row>
    <row r="9430" spans="1:8" ht="14.4" x14ac:dyDescent="0.3">
      <c r="A9430" s="8">
        <v>2043094</v>
      </c>
      <c r="B9430" s="11">
        <v>44811</v>
      </c>
      <c r="C9430" s="13" t="s">
        <v>11490</v>
      </c>
      <c r="D9430" s="13" t="s">
        <v>11491</v>
      </c>
      <c r="E9430" s="8">
        <v>23009.47</v>
      </c>
      <c r="F9430" s="13" t="s">
        <v>70</v>
      </c>
      <c r="G9430" s="14">
        <v>44812</v>
      </c>
      <c r="H9430" s="13" t="s">
        <v>35</v>
      </c>
    </row>
    <row r="9431" spans="1:8" ht="14.4" x14ac:dyDescent="0.3">
      <c r="A9431" s="8">
        <v>2043095</v>
      </c>
      <c r="B9431" s="11">
        <v>44811</v>
      </c>
      <c r="C9431" s="13" t="s">
        <v>11492</v>
      </c>
      <c r="D9431" s="13" t="s">
        <v>11493</v>
      </c>
      <c r="E9431" s="8">
        <v>400</v>
      </c>
      <c r="F9431" s="13" t="s">
        <v>70</v>
      </c>
      <c r="G9431" s="14">
        <v>44841</v>
      </c>
      <c r="H9431" s="13" t="s">
        <v>35</v>
      </c>
    </row>
    <row r="9432" spans="1:8" ht="14.4" x14ac:dyDescent="0.3">
      <c r="A9432" s="8">
        <v>2043096</v>
      </c>
      <c r="B9432" s="11">
        <v>44811</v>
      </c>
      <c r="C9432" s="13" t="s">
        <v>11494</v>
      </c>
      <c r="D9432" s="13" t="s">
        <v>11495</v>
      </c>
      <c r="E9432" s="8">
        <v>5000</v>
      </c>
      <c r="F9432" s="13" t="s">
        <v>70</v>
      </c>
      <c r="G9432" s="14">
        <v>44832</v>
      </c>
      <c r="H9432" s="13" t="s">
        <v>35</v>
      </c>
    </row>
    <row r="9433" spans="1:8" ht="14.4" x14ac:dyDescent="0.3">
      <c r="A9433" s="8">
        <v>2043097</v>
      </c>
      <c r="B9433" s="11">
        <v>44811</v>
      </c>
      <c r="C9433" s="13" t="s">
        <v>11496</v>
      </c>
      <c r="D9433" s="13" t="s">
        <v>11497</v>
      </c>
      <c r="E9433" s="8">
        <v>20000</v>
      </c>
      <c r="F9433" s="13" t="s">
        <v>70</v>
      </c>
      <c r="G9433" s="14">
        <v>44827</v>
      </c>
      <c r="H9433" s="13" t="s">
        <v>35</v>
      </c>
    </row>
    <row r="9434" spans="1:8" ht="14.4" x14ac:dyDescent="0.3">
      <c r="A9434" s="8">
        <v>2043098</v>
      </c>
      <c r="B9434" s="11">
        <v>44811</v>
      </c>
      <c r="C9434" s="13" t="s">
        <v>11498</v>
      </c>
      <c r="D9434" s="13" t="s">
        <v>11499</v>
      </c>
      <c r="E9434" s="8">
        <v>50000</v>
      </c>
      <c r="F9434" s="13" t="s">
        <v>70</v>
      </c>
      <c r="G9434" s="14">
        <v>44813</v>
      </c>
      <c r="H9434" s="13" t="s">
        <v>35</v>
      </c>
    </row>
    <row r="9435" spans="1:8" ht="14.4" x14ac:dyDescent="0.3">
      <c r="A9435" s="8">
        <v>2043099</v>
      </c>
      <c r="B9435" s="11">
        <v>44811</v>
      </c>
      <c r="C9435" s="13" t="s">
        <v>11500</v>
      </c>
      <c r="D9435" s="13" t="s">
        <v>11501</v>
      </c>
      <c r="E9435" s="8">
        <v>5000</v>
      </c>
      <c r="F9435" s="13" t="s">
        <v>70</v>
      </c>
      <c r="G9435" s="14">
        <v>44841</v>
      </c>
      <c r="H9435" s="13" t="s">
        <v>35</v>
      </c>
    </row>
    <row r="9436" spans="1:8" ht="14.4" x14ac:dyDescent="0.3">
      <c r="A9436" s="8">
        <v>2043100</v>
      </c>
      <c r="B9436" s="11">
        <v>44811</v>
      </c>
      <c r="C9436" s="13" t="s">
        <v>11502</v>
      </c>
      <c r="D9436" s="13" t="s">
        <v>11503</v>
      </c>
      <c r="E9436" s="8">
        <v>5000</v>
      </c>
      <c r="F9436" s="13" t="s">
        <v>70</v>
      </c>
      <c r="G9436" s="14">
        <v>44831</v>
      </c>
      <c r="H9436" s="13" t="s">
        <v>35</v>
      </c>
    </row>
    <row r="9437" spans="1:8" ht="14.4" x14ac:dyDescent="0.3">
      <c r="A9437" s="8">
        <v>2043101</v>
      </c>
      <c r="B9437" s="11">
        <v>44811</v>
      </c>
      <c r="C9437" s="13" t="s">
        <v>11500</v>
      </c>
      <c r="D9437" s="13" t="s">
        <v>11504</v>
      </c>
      <c r="E9437" s="8">
        <v>20000</v>
      </c>
      <c r="F9437" s="13" t="s">
        <v>70</v>
      </c>
      <c r="G9437" s="14">
        <v>44841</v>
      </c>
      <c r="H9437" s="13" t="s">
        <v>35</v>
      </c>
    </row>
    <row r="9438" spans="1:8" ht="14.4" x14ac:dyDescent="0.3">
      <c r="A9438" s="8">
        <v>2043102</v>
      </c>
      <c r="B9438" s="11">
        <v>44811</v>
      </c>
      <c r="C9438" s="13" t="s">
        <v>11505</v>
      </c>
      <c r="D9438" s="13" t="s">
        <v>11506</v>
      </c>
      <c r="E9438" s="8">
        <v>250000</v>
      </c>
      <c r="F9438" s="13" t="s">
        <v>70</v>
      </c>
      <c r="G9438" s="14">
        <v>44820</v>
      </c>
      <c r="H9438" s="13" t="s">
        <v>35</v>
      </c>
    </row>
    <row r="9439" spans="1:8" ht="14.4" x14ac:dyDescent="0.3">
      <c r="A9439" s="8">
        <v>2043103</v>
      </c>
      <c r="B9439" s="11">
        <v>44811</v>
      </c>
      <c r="C9439" s="13" t="s">
        <v>42</v>
      </c>
      <c r="D9439" s="13" t="s">
        <v>11507</v>
      </c>
      <c r="E9439" s="8">
        <v>10402.540000000001</v>
      </c>
      <c r="F9439" s="13" t="s">
        <v>70</v>
      </c>
      <c r="G9439" s="14">
        <v>44818</v>
      </c>
      <c r="H9439" s="13" t="s">
        <v>35</v>
      </c>
    </row>
    <row r="9440" spans="1:8" ht="14.4" x14ac:dyDescent="0.3">
      <c r="A9440" s="8">
        <v>2043104</v>
      </c>
      <c r="B9440" s="11">
        <v>44811</v>
      </c>
      <c r="C9440" s="13" t="s">
        <v>395</v>
      </c>
      <c r="D9440" s="13" t="s">
        <v>11508</v>
      </c>
      <c r="E9440" s="8">
        <v>53132</v>
      </c>
      <c r="F9440" s="13" t="s">
        <v>70</v>
      </c>
      <c r="G9440" s="14">
        <v>44816</v>
      </c>
      <c r="H9440" s="13" t="s">
        <v>35</v>
      </c>
    </row>
    <row r="9441" spans="1:8" ht="14.4" x14ac:dyDescent="0.3">
      <c r="A9441" s="8">
        <v>2043105</v>
      </c>
      <c r="B9441" s="11">
        <v>44811</v>
      </c>
      <c r="C9441" s="13" t="s">
        <v>4181</v>
      </c>
      <c r="D9441" s="13" t="s">
        <v>11509</v>
      </c>
      <c r="E9441" s="8">
        <v>5262.15</v>
      </c>
      <c r="F9441" s="13" t="s">
        <v>70</v>
      </c>
      <c r="G9441" s="14">
        <v>44832</v>
      </c>
      <c r="H9441" s="13" t="s">
        <v>35</v>
      </c>
    </row>
    <row r="9442" spans="1:8" ht="14.4" x14ac:dyDescent="0.3">
      <c r="A9442" s="8">
        <v>2043106</v>
      </c>
      <c r="B9442" s="11">
        <v>44811</v>
      </c>
      <c r="C9442" s="13" t="s">
        <v>2307</v>
      </c>
      <c r="D9442" s="13" t="s">
        <v>11510</v>
      </c>
      <c r="E9442" s="8">
        <v>20000</v>
      </c>
      <c r="F9442" s="13" t="s">
        <v>70</v>
      </c>
      <c r="G9442" s="14">
        <v>44812</v>
      </c>
      <c r="H9442" s="13" t="s">
        <v>35</v>
      </c>
    </row>
    <row r="9443" spans="1:8" ht="14.4" x14ac:dyDescent="0.3">
      <c r="A9443" s="8">
        <v>2043107</v>
      </c>
      <c r="B9443" s="11">
        <v>44811</v>
      </c>
      <c r="C9443" s="13" t="s">
        <v>1592</v>
      </c>
      <c r="D9443" s="13" t="s">
        <v>11511</v>
      </c>
      <c r="E9443" s="8">
        <v>20000</v>
      </c>
      <c r="F9443" s="13" t="s">
        <v>70</v>
      </c>
      <c r="G9443" s="14">
        <v>44816</v>
      </c>
      <c r="H9443" s="13" t="s">
        <v>35</v>
      </c>
    </row>
    <row r="9444" spans="1:8" ht="14.4" x14ac:dyDescent="0.3">
      <c r="A9444" s="8">
        <v>2043108</v>
      </c>
      <c r="B9444" s="11">
        <v>44811</v>
      </c>
      <c r="C9444" s="13" t="s">
        <v>155</v>
      </c>
      <c r="D9444" s="13" t="s">
        <v>11512</v>
      </c>
      <c r="E9444" s="15">
        <v>20000</v>
      </c>
      <c r="F9444" s="13" t="s">
        <v>70</v>
      </c>
      <c r="G9444" s="14">
        <v>44813</v>
      </c>
      <c r="H9444" s="13" t="s">
        <v>35</v>
      </c>
    </row>
    <row r="9445" spans="1:8" ht="14.4" x14ac:dyDescent="0.3">
      <c r="A9445" s="8">
        <v>2043109</v>
      </c>
      <c r="B9445" s="11">
        <v>44811</v>
      </c>
      <c r="C9445" s="13" t="s">
        <v>154</v>
      </c>
      <c r="D9445" s="13" t="s">
        <v>11513</v>
      </c>
      <c r="E9445" s="8">
        <v>20000</v>
      </c>
      <c r="F9445" s="13" t="s">
        <v>70</v>
      </c>
      <c r="G9445" s="14">
        <v>44813</v>
      </c>
      <c r="H9445" s="13" t="s">
        <v>35</v>
      </c>
    </row>
    <row r="9446" spans="1:8" ht="14.4" x14ac:dyDescent="0.3">
      <c r="A9446" s="8">
        <v>2043110</v>
      </c>
      <c r="B9446" s="11">
        <v>44811</v>
      </c>
      <c r="C9446" s="13" t="s">
        <v>159</v>
      </c>
      <c r="D9446" s="13" t="s">
        <v>11514</v>
      </c>
      <c r="E9446" s="8">
        <v>307800</v>
      </c>
      <c r="F9446" s="13" t="s">
        <v>70</v>
      </c>
      <c r="G9446" s="14">
        <v>44812</v>
      </c>
      <c r="H9446" s="13" t="s">
        <v>35</v>
      </c>
    </row>
    <row r="9447" spans="1:8" ht="14.4" x14ac:dyDescent="0.3">
      <c r="A9447" s="8">
        <v>2043111</v>
      </c>
      <c r="B9447" s="11">
        <v>44811</v>
      </c>
      <c r="C9447" s="13" t="s">
        <v>195</v>
      </c>
      <c r="D9447" s="13" t="s">
        <v>11515</v>
      </c>
      <c r="E9447" s="8">
        <v>5829</v>
      </c>
      <c r="F9447" s="13" t="s">
        <v>70</v>
      </c>
      <c r="G9447" s="14">
        <v>44813</v>
      </c>
      <c r="H9447" s="13" t="s">
        <v>35</v>
      </c>
    </row>
    <row r="9448" spans="1:8" ht="14.4" x14ac:dyDescent="0.3">
      <c r="A9448" s="8">
        <v>2043112</v>
      </c>
      <c r="B9448" s="11">
        <v>44811</v>
      </c>
      <c r="C9448" s="13" t="s">
        <v>11516</v>
      </c>
      <c r="D9448" s="13" t="s">
        <v>11517</v>
      </c>
      <c r="E9448" s="8">
        <v>5530</v>
      </c>
      <c r="F9448" s="13" t="s">
        <v>70</v>
      </c>
      <c r="G9448" s="14">
        <v>44812</v>
      </c>
      <c r="H9448" s="13" t="s">
        <v>35</v>
      </c>
    </row>
    <row r="9449" spans="1:8" ht="14.4" x14ac:dyDescent="0.3">
      <c r="A9449" s="8">
        <v>2043113</v>
      </c>
      <c r="B9449" s="11">
        <v>44811</v>
      </c>
      <c r="C9449" s="13" t="s">
        <v>4914</v>
      </c>
      <c r="D9449" s="13" t="s">
        <v>11518</v>
      </c>
      <c r="E9449" s="8">
        <v>1560</v>
      </c>
      <c r="F9449" s="13" t="s">
        <v>70</v>
      </c>
      <c r="G9449" s="14">
        <v>44813</v>
      </c>
      <c r="H9449" s="13" t="s">
        <v>35</v>
      </c>
    </row>
    <row r="9450" spans="1:8" ht="14.4" x14ac:dyDescent="0.3">
      <c r="A9450" s="8">
        <v>2043114</v>
      </c>
      <c r="B9450" s="11">
        <v>44811</v>
      </c>
      <c r="C9450" s="13" t="s">
        <v>4914</v>
      </c>
      <c r="D9450" s="13" t="s">
        <v>11519</v>
      </c>
      <c r="E9450" s="8">
        <v>5962.8</v>
      </c>
      <c r="F9450" s="13" t="s">
        <v>70</v>
      </c>
      <c r="G9450" s="14">
        <v>44813</v>
      </c>
      <c r="H9450" s="13" t="s">
        <v>35</v>
      </c>
    </row>
    <row r="9451" spans="1:8" ht="14.4" x14ac:dyDescent="0.3">
      <c r="A9451" s="8">
        <v>2043115</v>
      </c>
      <c r="B9451" s="11">
        <v>44811</v>
      </c>
      <c r="C9451" s="13" t="s">
        <v>4914</v>
      </c>
      <c r="D9451" s="13" t="s">
        <v>11520</v>
      </c>
      <c r="E9451" s="8">
        <v>600</v>
      </c>
      <c r="F9451" s="13" t="s">
        <v>70</v>
      </c>
      <c r="G9451" s="14">
        <v>44813</v>
      </c>
      <c r="H9451" s="13" t="s">
        <v>35</v>
      </c>
    </row>
    <row r="9452" spans="1:8" ht="14.4" x14ac:dyDescent="0.3">
      <c r="A9452" s="8">
        <v>2043116</v>
      </c>
      <c r="B9452" s="11">
        <v>44811</v>
      </c>
      <c r="C9452" s="13" t="s">
        <v>4914</v>
      </c>
      <c r="D9452" s="13" t="s">
        <v>11521</v>
      </c>
      <c r="E9452" s="8">
        <v>2317.92</v>
      </c>
      <c r="F9452" s="13" t="s">
        <v>70</v>
      </c>
      <c r="G9452" s="14">
        <v>44813</v>
      </c>
      <c r="H9452" s="13" t="s">
        <v>35</v>
      </c>
    </row>
    <row r="9453" spans="1:8" ht="14.4" x14ac:dyDescent="0.3">
      <c r="A9453" s="8">
        <v>2043117</v>
      </c>
      <c r="B9453" s="11">
        <v>44811</v>
      </c>
      <c r="C9453" s="13" t="s">
        <v>127</v>
      </c>
      <c r="D9453" s="13" t="s">
        <v>11522</v>
      </c>
      <c r="E9453" s="8">
        <v>4164.28</v>
      </c>
      <c r="F9453" s="13" t="s">
        <v>70</v>
      </c>
      <c r="G9453" s="14">
        <v>44832</v>
      </c>
      <c r="H9453" s="13" t="s">
        <v>35</v>
      </c>
    </row>
    <row r="9454" spans="1:8" ht="14.4" x14ac:dyDescent="0.3">
      <c r="A9454" s="8">
        <v>2043118</v>
      </c>
      <c r="B9454" s="11">
        <v>44811</v>
      </c>
      <c r="C9454" s="13" t="s">
        <v>11523</v>
      </c>
      <c r="D9454" s="13" t="s">
        <v>11524</v>
      </c>
      <c r="E9454" s="8">
        <v>14000</v>
      </c>
      <c r="F9454" s="13" t="s">
        <v>70</v>
      </c>
      <c r="G9454" s="14">
        <v>44813</v>
      </c>
      <c r="H9454" s="13" t="s">
        <v>35</v>
      </c>
    </row>
    <row r="9455" spans="1:8" ht="14.4" x14ac:dyDescent="0.3">
      <c r="A9455" s="8">
        <v>2043119</v>
      </c>
      <c r="B9455" s="11">
        <v>44811</v>
      </c>
      <c r="C9455" s="13" t="s">
        <v>11525</v>
      </c>
      <c r="D9455" s="13" t="s">
        <v>11526</v>
      </c>
      <c r="E9455" s="8">
        <v>16000</v>
      </c>
      <c r="F9455" s="13" t="s">
        <v>70</v>
      </c>
      <c r="G9455" s="14">
        <v>44813</v>
      </c>
      <c r="H9455" s="13" t="s">
        <v>35</v>
      </c>
    </row>
    <row r="9456" spans="1:8" ht="14.4" x14ac:dyDescent="0.3">
      <c r="A9456" s="8">
        <v>2043120</v>
      </c>
      <c r="B9456" s="11">
        <v>44811</v>
      </c>
      <c r="C9456" s="13" t="s">
        <v>176</v>
      </c>
      <c r="D9456" s="13" t="s">
        <v>11527</v>
      </c>
      <c r="E9456" s="8">
        <v>63500</v>
      </c>
      <c r="F9456" s="13" t="s">
        <v>70</v>
      </c>
      <c r="G9456" s="14">
        <v>44825</v>
      </c>
      <c r="H9456" s="13" t="s">
        <v>35</v>
      </c>
    </row>
    <row r="9457" spans="1:8" ht="14.4" x14ac:dyDescent="0.3">
      <c r="A9457" s="8">
        <v>2043121</v>
      </c>
      <c r="B9457" s="11">
        <v>44811</v>
      </c>
      <c r="C9457" s="13" t="s">
        <v>669</v>
      </c>
      <c r="D9457" s="13" t="s">
        <v>11528</v>
      </c>
      <c r="E9457" s="8">
        <v>65000</v>
      </c>
      <c r="F9457" s="13" t="s">
        <v>70</v>
      </c>
      <c r="G9457" s="14">
        <v>44820</v>
      </c>
      <c r="H9457" s="13" t="s">
        <v>35</v>
      </c>
    </row>
    <row r="9458" spans="1:8" ht="14.4" x14ac:dyDescent="0.3">
      <c r="A9458" s="8">
        <v>2043122</v>
      </c>
      <c r="B9458" s="11">
        <v>44811</v>
      </c>
      <c r="C9458" s="13" t="s">
        <v>1507</v>
      </c>
      <c r="D9458" s="13" t="s">
        <v>11529</v>
      </c>
      <c r="E9458" s="8">
        <v>12232</v>
      </c>
      <c r="F9458" s="13" t="s">
        <v>70</v>
      </c>
      <c r="G9458" s="14">
        <v>44813</v>
      </c>
      <c r="H9458" s="13" t="s">
        <v>35</v>
      </c>
    </row>
    <row r="9459" spans="1:8" ht="14.4" x14ac:dyDescent="0.3">
      <c r="A9459" s="8">
        <v>2043123</v>
      </c>
      <c r="B9459" s="11">
        <v>44811</v>
      </c>
      <c r="C9459" s="13" t="s">
        <v>1514</v>
      </c>
      <c r="D9459" s="13" t="s">
        <v>11529</v>
      </c>
      <c r="E9459" s="8">
        <v>26022.67</v>
      </c>
      <c r="F9459" s="13" t="s">
        <v>70</v>
      </c>
      <c r="G9459" s="14">
        <v>44812</v>
      </c>
      <c r="H9459" s="13" t="s">
        <v>35</v>
      </c>
    </row>
    <row r="9460" spans="1:8" ht="14.4" x14ac:dyDescent="0.3">
      <c r="A9460" s="8">
        <v>2043124</v>
      </c>
      <c r="B9460" s="11">
        <v>44811</v>
      </c>
      <c r="C9460" s="13" t="s">
        <v>1510</v>
      </c>
      <c r="D9460" s="13" t="s">
        <v>11529</v>
      </c>
      <c r="E9460" s="8">
        <v>22686.33</v>
      </c>
      <c r="F9460" s="13" t="s">
        <v>70</v>
      </c>
      <c r="G9460" s="14">
        <v>44813</v>
      </c>
      <c r="H9460" s="13" t="s">
        <v>35</v>
      </c>
    </row>
    <row r="9461" spans="1:8" ht="14.4" x14ac:dyDescent="0.3">
      <c r="A9461" s="8">
        <v>2043125</v>
      </c>
      <c r="B9461" s="11">
        <v>44811</v>
      </c>
      <c r="C9461" s="13" t="s">
        <v>2489</v>
      </c>
      <c r="D9461" s="13" t="s">
        <v>11529</v>
      </c>
      <c r="E9461" s="8">
        <v>26022.67</v>
      </c>
      <c r="F9461" s="13" t="s">
        <v>70</v>
      </c>
      <c r="G9461" s="14">
        <v>44837</v>
      </c>
      <c r="H9461" s="13" t="s">
        <v>35</v>
      </c>
    </row>
    <row r="9462" spans="1:8" ht="14.4" x14ac:dyDescent="0.3">
      <c r="A9462" s="8">
        <v>2043126</v>
      </c>
      <c r="B9462" s="11">
        <v>44811</v>
      </c>
      <c r="C9462" s="13" t="s">
        <v>95</v>
      </c>
      <c r="D9462" s="13" t="s">
        <v>11529</v>
      </c>
      <c r="E9462" s="15">
        <v>25522.33</v>
      </c>
      <c r="F9462" s="13" t="s">
        <v>70</v>
      </c>
      <c r="G9462" s="14">
        <v>44817</v>
      </c>
      <c r="H9462" s="13" t="s">
        <v>35</v>
      </c>
    </row>
    <row r="9463" spans="1:8" ht="14.4" x14ac:dyDescent="0.3">
      <c r="A9463" s="8">
        <v>2043127</v>
      </c>
      <c r="B9463" s="11">
        <v>44811</v>
      </c>
      <c r="C9463" s="13" t="s">
        <v>1512</v>
      </c>
      <c r="D9463" s="13" t="s">
        <v>11529</v>
      </c>
      <c r="E9463" s="8">
        <v>24104.33</v>
      </c>
      <c r="F9463" s="13" t="s">
        <v>70</v>
      </c>
      <c r="G9463" s="14">
        <v>44813</v>
      </c>
      <c r="H9463" s="13" t="s">
        <v>35</v>
      </c>
    </row>
    <row r="9464" spans="1:8" ht="14.4" x14ac:dyDescent="0.3">
      <c r="A9464" s="8">
        <v>2043128</v>
      </c>
      <c r="B9464" s="11">
        <v>44811</v>
      </c>
      <c r="C9464" s="13" t="s">
        <v>1509</v>
      </c>
      <c r="D9464" s="13" t="s">
        <v>11529</v>
      </c>
      <c r="E9464" s="8">
        <v>25021.67</v>
      </c>
      <c r="F9464" s="13" t="s">
        <v>70</v>
      </c>
      <c r="G9464" s="14">
        <v>44813</v>
      </c>
      <c r="H9464" s="13" t="s">
        <v>35</v>
      </c>
    </row>
    <row r="9465" spans="1:8" ht="14.4" x14ac:dyDescent="0.3">
      <c r="A9465" s="8">
        <v>2043129</v>
      </c>
      <c r="B9465" s="11">
        <v>44811</v>
      </c>
      <c r="C9465" s="13" t="s">
        <v>1513</v>
      </c>
      <c r="D9465" s="13" t="s">
        <v>11529</v>
      </c>
      <c r="E9465" s="8">
        <v>25408.67</v>
      </c>
      <c r="F9465" s="13" t="s">
        <v>70</v>
      </c>
      <c r="G9465" s="14">
        <v>44812</v>
      </c>
      <c r="H9465" s="13" t="s">
        <v>35</v>
      </c>
    </row>
    <row r="9466" spans="1:8" ht="14.4" x14ac:dyDescent="0.3">
      <c r="A9466" s="8">
        <v>2043130</v>
      </c>
      <c r="B9466" s="11">
        <v>44811</v>
      </c>
      <c r="C9466" s="13" t="s">
        <v>17</v>
      </c>
      <c r="D9466" s="13" t="s">
        <v>11529</v>
      </c>
      <c r="E9466" s="8">
        <v>23898</v>
      </c>
      <c r="F9466" s="13" t="s">
        <v>70</v>
      </c>
      <c r="G9466" s="14">
        <v>44819</v>
      </c>
      <c r="H9466" s="13" t="s">
        <v>35</v>
      </c>
    </row>
    <row r="9467" spans="1:8" ht="14.4" x14ac:dyDescent="0.3">
      <c r="A9467" s="8">
        <v>2043131</v>
      </c>
      <c r="B9467" s="11">
        <v>44812</v>
      </c>
      <c r="C9467" s="13" t="s">
        <v>44</v>
      </c>
      <c r="D9467" s="13" t="s">
        <v>11530</v>
      </c>
      <c r="E9467" s="8">
        <v>12890.62</v>
      </c>
      <c r="F9467" s="13" t="s">
        <v>70</v>
      </c>
      <c r="G9467" s="14">
        <v>44816</v>
      </c>
      <c r="H9467" s="13" t="s">
        <v>35</v>
      </c>
    </row>
    <row r="9468" spans="1:8" ht="14.4" x14ac:dyDescent="0.3">
      <c r="A9468" s="8">
        <v>2043132</v>
      </c>
      <c r="B9468" s="11">
        <v>44812</v>
      </c>
      <c r="C9468" s="13" t="s">
        <v>361</v>
      </c>
      <c r="D9468" s="13" t="s">
        <v>11531</v>
      </c>
      <c r="E9468" s="8">
        <v>49036</v>
      </c>
      <c r="F9468" s="13" t="s">
        <v>70</v>
      </c>
      <c r="G9468" s="14">
        <v>44812</v>
      </c>
      <c r="H9468" s="13" t="s">
        <v>35</v>
      </c>
    </row>
    <row r="9469" spans="1:8" ht="14.4" x14ac:dyDescent="0.3">
      <c r="A9469" s="8">
        <v>2043134</v>
      </c>
      <c r="B9469" s="11">
        <v>44812</v>
      </c>
      <c r="C9469" s="13" t="s">
        <v>85</v>
      </c>
      <c r="D9469" s="13" t="s">
        <v>11532</v>
      </c>
      <c r="E9469" s="8">
        <v>7500</v>
      </c>
      <c r="F9469" s="13" t="s">
        <v>70</v>
      </c>
      <c r="G9469" s="14">
        <v>44813</v>
      </c>
      <c r="H9469" s="13" t="s">
        <v>35</v>
      </c>
    </row>
    <row r="9470" spans="1:8" ht="14.4" x14ac:dyDescent="0.3">
      <c r="A9470" s="8">
        <v>2043135</v>
      </c>
      <c r="B9470" s="11">
        <v>44812</v>
      </c>
      <c r="C9470" s="13" t="s">
        <v>11533</v>
      </c>
      <c r="D9470" s="13" t="s">
        <v>11534</v>
      </c>
      <c r="E9470" s="8">
        <v>9000</v>
      </c>
      <c r="F9470" s="13" t="s">
        <v>70</v>
      </c>
      <c r="G9470" s="14">
        <v>44813</v>
      </c>
      <c r="H9470" s="13" t="s">
        <v>35</v>
      </c>
    </row>
    <row r="9471" spans="1:8" ht="14.4" x14ac:dyDescent="0.3">
      <c r="A9471" s="8">
        <v>2043136</v>
      </c>
      <c r="B9471" s="11">
        <v>44812</v>
      </c>
      <c r="C9471" s="13" t="s">
        <v>11535</v>
      </c>
      <c r="D9471" s="13" t="s">
        <v>11536</v>
      </c>
      <c r="E9471" s="8">
        <v>10000</v>
      </c>
      <c r="F9471" s="13" t="s">
        <v>70</v>
      </c>
      <c r="G9471" s="14">
        <v>44813</v>
      </c>
      <c r="H9471" s="13" t="s">
        <v>35</v>
      </c>
    </row>
    <row r="9472" spans="1:8" ht="14.4" x14ac:dyDescent="0.3">
      <c r="A9472" s="8">
        <v>2043137</v>
      </c>
      <c r="B9472" s="11">
        <v>44812</v>
      </c>
      <c r="C9472" s="13" t="s">
        <v>11537</v>
      </c>
      <c r="D9472" s="13" t="s">
        <v>11538</v>
      </c>
      <c r="E9472" s="8">
        <v>8000</v>
      </c>
      <c r="F9472" s="13" t="s">
        <v>70</v>
      </c>
      <c r="G9472" s="14">
        <v>44813</v>
      </c>
      <c r="H9472" s="13" t="s">
        <v>35</v>
      </c>
    </row>
    <row r="9473" spans="1:8" ht="14.4" x14ac:dyDescent="0.3">
      <c r="A9473" s="8">
        <v>2043138</v>
      </c>
      <c r="B9473" s="11">
        <v>44812</v>
      </c>
      <c r="C9473" s="13" t="s">
        <v>11539</v>
      </c>
      <c r="D9473" s="13" t="s">
        <v>11540</v>
      </c>
      <c r="E9473" s="8">
        <v>22000</v>
      </c>
      <c r="F9473" s="13" t="s">
        <v>70</v>
      </c>
      <c r="G9473" s="14">
        <v>44813</v>
      </c>
      <c r="H9473" s="13" t="s">
        <v>35</v>
      </c>
    </row>
    <row r="9474" spans="1:8" ht="14.4" x14ac:dyDescent="0.3">
      <c r="A9474" s="8">
        <v>2043139</v>
      </c>
      <c r="B9474" s="11">
        <v>44812</v>
      </c>
      <c r="C9474" s="13" t="s">
        <v>11541</v>
      </c>
      <c r="D9474" s="13" t="s">
        <v>11542</v>
      </c>
      <c r="E9474" s="8">
        <v>23000</v>
      </c>
      <c r="F9474" s="13" t="s">
        <v>70</v>
      </c>
      <c r="G9474" s="14">
        <v>44813</v>
      </c>
      <c r="H9474" s="13" t="s">
        <v>35</v>
      </c>
    </row>
    <row r="9475" spans="1:8" ht="14.4" x14ac:dyDescent="0.3">
      <c r="A9475" s="8">
        <v>2043140</v>
      </c>
      <c r="B9475" s="11">
        <v>44812</v>
      </c>
      <c r="C9475" s="13" t="s">
        <v>4724</v>
      </c>
      <c r="D9475" s="13" t="s">
        <v>11543</v>
      </c>
      <c r="E9475" s="8">
        <v>30000</v>
      </c>
      <c r="F9475" s="13" t="s">
        <v>70</v>
      </c>
      <c r="G9475" s="14">
        <v>44813</v>
      </c>
      <c r="H9475" s="13" t="s">
        <v>35</v>
      </c>
    </row>
    <row r="9476" spans="1:8" ht="14.4" x14ac:dyDescent="0.3">
      <c r="A9476" s="8">
        <v>2043141</v>
      </c>
      <c r="B9476" s="11">
        <v>44812</v>
      </c>
      <c r="C9476" s="13" t="s">
        <v>11544</v>
      </c>
      <c r="D9476" s="13" t="s">
        <v>11545</v>
      </c>
      <c r="E9476" s="8">
        <v>25000</v>
      </c>
      <c r="F9476" s="13" t="s">
        <v>70</v>
      </c>
      <c r="G9476" s="14">
        <v>44816</v>
      </c>
      <c r="H9476" s="13" t="s">
        <v>35</v>
      </c>
    </row>
    <row r="9477" spans="1:8" ht="14.4" x14ac:dyDescent="0.3">
      <c r="A9477" s="8">
        <v>2043142</v>
      </c>
      <c r="B9477" s="11">
        <v>44812</v>
      </c>
      <c r="C9477" s="13" t="s">
        <v>11546</v>
      </c>
      <c r="D9477" s="13" t="s">
        <v>11547</v>
      </c>
      <c r="E9477" s="8">
        <v>11000</v>
      </c>
      <c r="F9477" s="13" t="s">
        <v>70</v>
      </c>
      <c r="G9477" s="14">
        <v>44813</v>
      </c>
      <c r="H9477" s="13" t="s">
        <v>35</v>
      </c>
    </row>
    <row r="9478" spans="1:8" ht="14.4" x14ac:dyDescent="0.3">
      <c r="A9478" s="8">
        <v>2043143</v>
      </c>
      <c r="B9478" s="11">
        <v>44812</v>
      </c>
      <c r="C9478" s="13" t="s">
        <v>11548</v>
      </c>
      <c r="D9478" s="13" t="s">
        <v>11549</v>
      </c>
      <c r="E9478" s="8">
        <v>11000</v>
      </c>
      <c r="F9478" s="13" t="s">
        <v>70</v>
      </c>
      <c r="G9478" s="14">
        <v>44813</v>
      </c>
      <c r="H9478" s="13" t="s">
        <v>35</v>
      </c>
    </row>
    <row r="9479" spans="1:8" ht="14.4" x14ac:dyDescent="0.3">
      <c r="A9479" s="8">
        <v>2043144</v>
      </c>
      <c r="B9479" s="11">
        <v>44812</v>
      </c>
      <c r="C9479" s="13" t="s">
        <v>11550</v>
      </c>
      <c r="D9479" s="13" t="s">
        <v>11551</v>
      </c>
      <c r="E9479" s="8">
        <v>8000</v>
      </c>
      <c r="F9479" s="13" t="s">
        <v>70</v>
      </c>
      <c r="G9479" s="14">
        <v>44813</v>
      </c>
      <c r="H9479" s="13" t="s">
        <v>35</v>
      </c>
    </row>
    <row r="9480" spans="1:8" ht="14.4" x14ac:dyDescent="0.3">
      <c r="A9480" s="8">
        <v>2043145</v>
      </c>
      <c r="B9480" s="11">
        <v>44812</v>
      </c>
      <c r="C9480" s="13" t="s">
        <v>11552</v>
      </c>
      <c r="D9480" s="13" t="s">
        <v>11553</v>
      </c>
      <c r="E9480" s="8">
        <v>22000</v>
      </c>
      <c r="F9480" s="13" t="s">
        <v>70</v>
      </c>
      <c r="G9480" s="14">
        <v>44813</v>
      </c>
      <c r="H9480" s="13" t="s">
        <v>35</v>
      </c>
    </row>
    <row r="9481" spans="1:8" ht="14.4" x14ac:dyDescent="0.3">
      <c r="A9481" s="8">
        <v>2043146</v>
      </c>
      <c r="B9481" s="11">
        <v>44812</v>
      </c>
      <c r="C9481" s="13" t="s">
        <v>1193</v>
      </c>
      <c r="D9481" s="13" t="s">
        <v>11554</v>
      </c>
      <c r="E9481" s="8">
        <v>10000</v>
      </c>
      <c r="F9481" s="13" t="s">
        <v>70</v>
      </c>
      <c r="G9481" s="14">
        <v>44820</v>
      </c>
      <c r="H9481" s="13" t="s">
        <v>35</v>
      </c>
    </row>
    <row r="9482" spans="1:8" ht="14.4" x14ac:dyDescent="0.3">
      <c r="A9482" s="8">
        <v>2043147</v>
      </c>
      <c r="B9482" s="11">
        <v>44812</v>
      </c>
      <c r="C9482" s="13" t="s">
        <v>11555</v>
      </c>
      <c r="D9482" s="13" t="s">
        <v>100</v>
      </c>
      <c r="E9482" s="8">
        <v>26000</v>
      </c>
      <c r="F9482" s="13" t="s">
        <v>70</v>
      </c>
      <c r="G9482" s="14">
        <v>44813</v>
      </c>
      <c r="H9482" s="13" t="s">
        <v>35</v>
      </c>
    </row>
    <row r="9483" spans="1:8" ht="14.4" x14ac:dyDescent="0.3">
      <c r="A9483" s="8">
        <v>2043148</v>
      </c>
      <c r="B9483" s="11">
        <v>44812</v>
      </c>
      <c r="C9483" s="13" t="s">
        <v>11556</v>
      </c>
      <c r="D9483" s="13" t="s">
        <v>11557</v>
      </c>
      <c r="E9483" s="8">
        <v>8000</v>
      </c>
      <c r="F9483" s="13" t="s">
        <v>70</v>
      </c>
      <c r="G9483" s="14">
        <v>44816</v>
      </c>
      <c r="H9483" s="13" t="s">
        <v>35</v>
      </c>
    </row>
    <row r="9484" spans="1:8" ht="14.4" x14ac:dyDescent="0.3">
      <c r="A9484" s="8">
        <v>2043149</v>
      </c>
      <c r="B9484" s="11">
        <v>44812</v>
      </c>
      <c r="C9484" s="13" t="s">
        <v>11558</v>
      </c>
      <c r="D9484" s="13" t="s">
        <v>11559</v>
      </c>
      <c r="E9484" s="8">
        <v>10000</v>
      </c>
      <c r="F9484" s="13" t="s">
        <v>70</v>
      </c>
      <c r="G9484" s="14">
        <v>44813</v>
      </c>
      <c r="H9484" s="13" t="s">
        <v>35</v>
      </c>
    </row>
    <row r="9485" spans="1:8" ht="14.4" x14ac:dyDescent="0.3">
      <c r="A9485" s="8">
        <v>2043150</v>
      </c>
      <c r="B9485" s="11">
        <v>44812</v>
      </c>
      <c r="C9485" s="13" t="s">
        <v>11560</v>
      </c>
      <c r="D9485" s="13" t="s">
        <v>11561</v>
      </c>
      <c r="E9485" s="8">
        <v>10000</v>
      </c>
      <c r="F9485" s="13" t="s">
        <v>70</v>
      </c>
      <c r="G9485" s="14">
        <v>44813</v>
      </c>
      <c r="H9485" s="13" t="s">
        <v>35</v>
      </c>
    </row>
    <row r="9486" spans="1:8" ht="14.4" x14ac:dyDescent="0.3">
      <c r="A9486" s="8">
        <v>2043151</v>
      </c>
      <c r="B9486" s="11">
        <v>44812</v>
      </c>
      <c r="C9486" s="13" t="s">
        <v>184</v>
      </c>
      <c r="D9486" s="13" t="s">
        <v>6231</v>
      </c>
      <c r="E9486" s="8">
        <v>261823.66</v>
      </c>
      <c r="F9486" s="13" t="s">
        <v>70</v>
      </c>
      <c r="G9486" s="14">
        <v>44812</v>
      </c>
      <c r="H9486" s="13" t="s">
        <v>35</v>
      </c>
    </row>
    <row r="9487" spans="1:8" ht="14.4" x14ac:dyDescent="0.3">
      <c r="A9487" s="8">
        <v>2043152</v>
      </c>
      <c r="B9487" s="11">
        <v>44812</v>
      </c>
      <c r="C9487" s="13" t="s">
        <v>184</v>
      </c>
      <c r="D9487" s="13" t="s">
        <v>6232</v>
      </c>
      <c r="E9487" s="8">
        <v>215740.13</v>
      </c>
      <c r="F9487" s="13" t="s">
        <v>70</v>
      </c>
      <c r="G9487" s="14">
        <v>44812</v>
      </c>
      <c r="H9487" s="13" t="s">
        <v>35</v>
      </c>
    </row>
    <row r="9488" spans="1:8" ht="14.4" x14ac:dyDescent="0.3">
      <c r="A9488" s="8">
        <v>2043153</v>
      </c>
      <c r="B9488" s="11">
        <v>44812</v>
      </c>
      <c r="C9488" s="13" t="s">
        <v>14</v>
      </c>
      <c r="D9488" s="13" t="s">
        <v>11562</v>
      </c>
      <c r="E9488" s="8">
        <v>50885</v>
      </c>
      <c r="F9488" s="13" t="s">
        <v>70</v>
      </c>
      <c r="G9488" s="14">
        <v>44834</v>
      </c>
      <c r="H9488" s="13" t="s">
        <v>35</v>
      </c>
    </row>
    <row r="9489" spans="1:8" ht="14.4" x14ac:dyDescent="0.3">
      <c r="A9489" s="8">
        <v>2043154</v>
      </c>
      <c r="B9489" s="11">
        <v>44812</v>
      </c>
      <c r="C9489" s="13" t="s">
        <v>1592</v>
      </c>
      <c r="D9489" s="13" t="s">
        <v>11563</v>
      </c>
      <c r="E9489" s="8">
        <v>15450</v>
      </c>
      <c r="F9489" s="13" t="s">
        <v>70</v>
      </c>
      <c r="G9489" s="14">
        <v>44816</v>
      </c>
      <c r="H9489" s="13" t="s">
        <v>35</v>
      </c>
    </row>
    <row r="9490" spans="1:8" ht="14.4" x14ac:dyDescent="0.3">
      <c r="A9490" s="8">
        <v>2043155</v>
      </c>
      <c r="B9490" s="11">
        <v>44812</v>
      </c>
      <c r="C9490" s="13" t="s">
        <v>1414</v>
      </c>
      <c r="D9490" s="13" t="s">
        <v>11564</v>
      </c>
      <c r="E9490" s="8">
        <v>116885</v>
      </c>
      <c r="F9490" s="13" t="s">
        <v>70</v>
      </c>
      <c r="G9490" s="14">
        <v>44831</v>
      </c>
      <c r="H9490" s="13" t="s">
        <v>35</v>
      </c>
    </row>
    <row r="9491" spans="1:8" ht="14.4" x14ac:dyDescent="0.3">
      <c r="A9491" s="8">
        <v>2043156</v>
      </c>
      <c r="B9491" s="11">
        <v>44812</v>
      </c>
      <c r="C9491" s="13" t="s">
        <v>65</v>
      </c>
      <c r="D9491" s="13" t="s">
        <v>11565</v>
      </c>
      <c r="E9491" s="8">
        <v>46800.89</v>
      </c>
      <c r="F9491" s="13" t="s">
        <v>70</v>
      </c>
      <c r="G9491" s="14">
        <v>44816</v>
      </c>
      <c r="H9491" s="13" t="s">
        <v>35</v>
      </c>
    </row>
    <row r="9492" spans="1:8" ht="14.4" x14ac:dyDescent="0.3">
      <c r="A9492" s="8">
        <v>2043157</v>
      </c>
      <c r="B9492" s="11">
        <v>44812</v>
      </c>
      <c r="C9492" s="13" t="s">
        <v>1743</v>
      </c>
      <c r="D9492" s="13" t="s">
        <v>11566</v>
      </c>
      <c r="E9492" s="8">
        <v>14700</v>
      </c>
      <c r="F9492" s="13" t="s">
        <v>70</v>
      </c>
      <c r="G9492" s="14">
        <v>44816</v>
      </c>
      <c r="H9492" s="13" t="s">
        <v>35</v>
      </c>
    </row>
    <row r="9493" spans="1:8" ht="14.4" x14ac:dyDescent="0.3">
      <c r="A9493" s="8">
        <v>2043158</v>
      </c>
      <c r="B9493" s="11">
        <v>44812</v>
      </c>
      <c r="C9493" s="13" t="s">
        <v>361</v>
      </c>
      <c r="D9493" s="13" t="s">
        <v>11567</v>
      </c>
      <c r="E9493" s="8">
        <v>7258.54</v>
      </c>
      <c r="F9493" s="13" t="s">
        <v>70</v>
      </c>
      <c r="G9493" s="14">
        <v>44818</v>
      </c>
      <c r="H9493" s="13" t="s">
        <v>35</v>
      </c>
    </row>
    <row r="9494" spans="1:8" ht="14.4" x14ac:dyDescent="0.3">
      <c r="A9494" s="8">
        <v>2043159</v>
      </c>
      <c r="B9494" s="11">
        <v>44812</v>
      </c>
      <c r="C9494" s="13" t="s">
        <v>2074</v>
      </c>
      <c r="D9494" s="13" t="s">
        <v>11568</v>
      </c>
      <c r="E9494" s="8">
        <v>38425</v>
      </c>
      <c r="F9494" s="13" t="s">
        <v>70</v>
      </c>
      <c r="G9494" s="14">
        <v>44816</v>
      </c>
      <c r="H9494" s="13" t="s">
        <v>35</v>
      </c>
    </row>
    <row r="9495" spans="1:8" ht="14.4" x14ac:dyDescent="0.3">
      <c r="A9495" s="8">
        <v>2043160</v>
      </c>
      <c r="B9495" s="11">
        <v>44812</v>
      </c>
      <c r="C9495" s="13" t="s">
        <v>2798</v>
      </c>
      <c r="D9495" s="13" t="s">
        <v>11569</v>
      </c>
      <c r="E9495" s="8">
        <v>4959935.6399999997</v>
      </c>
      <c r="F9495" s="13" t="s">
        <v>70</v>
      </c>
      <c r="G9495" s="14">
        <v>44818</v>
      </c>
      <c r="H9495" s="13" t="s">
        <v>35</v>
      </c>
    </row>
    <row r="9496" spans="1:8" ht="14.4" x14ac:dyDescent="0.3">
      <c r="A9496" s="8">
        <v>2043161</v>
      </c>
      <c r="B9496" s="11">
        <v>44812</v>
      </c>
      <c r="C9496" s="13" t="s">
        <v>1092</v>
      </c>
      <c r="D9496" s="13" t="s">
        <v>11570</v>
      </c>
      <c r="E9496" s="8">
        <v>156000</v>
      </c>
      <c r="F9496" s="13" t="s">
        <v>70</v>
      </c>
      <c r="G9496" s="14">
        <v>44813</v>
      </c>
      <c r="H9496" s="13" t="s">
        <v>35</v>
      </c>
    </row>
    <row r="9497" spans="1:8" ht="14.4" x14ac:dyDescent="0.3">
      <c r="A9497" s="8">
        <v>2043162</v>
      </c>
      <c r="B9497" s="11">
        <v>44812</v>
      </c>
      <c r="C9497" s="13" t="s">
        <v>11571</v>
      </c>
      <c r="D9497" s="13" t="s">
        <v>11572</v>
      </c>
      <c r="E9497" s="8">
        <v>20000</v>
      </c>
      <c r="F9497" s="13" t="s">
        <v>70</v>
      </c>
      <c r="G9497" s="14">
        <v>44817</v>
      </c>
      <c r="H9497" s="13" t="s">
        <v>35</v>
      </c>
    </row>
    <row r="9498" spans="1:8" ht="14.4" x14ac:dyDescent="0.3">
      <c r="A9498" s="8">
        <v>2043163</v>
      </c>
      <c r="B9498" s="11">
        <v>44812</v>
      </c>
      <c r="C9498" s="13" t="s">
        <v>11573</v>
      </c>
      <c r="D9498" s="13" t="s">
        <v>11574</v>
      </c>
      <c r="E9498" s="8">
        <v>20000</v>
      </c>
      <c r="F9498" s="13" t="s">
        <v>70</v>
      </c>
      <c r="G9498" s="14">
        <v>44831</v>
      </c>
      <c r="H9498" s="13" t="s">
        <v>35</v>
      </c>
    </row>
    <row r="9499" spans="1:8" ht="14.4" x14ac:dyDescent="0.3">
      <c r="A9499" s="8">
        <v>2043164</v>
      </c>
      <c r="B9499" s="11">
        <v>44812</v>
      </c>
      <c r="C9499" s="13" t="s">
        <v>11575</v>
      </c>
      <c r="D9499" s="13" t="s">
        <v>11576</v>
      </c>
      <c r="E9499" s="8">
        <v>10000</v>
      </c>
      <c r="F9499" s="13" t="s">
        <v>70</v>
      </c>
      <c r="G9499" s="14">
        <v>44826</v>
      </c>
      <c r="H9499" s="13" t="s">
        <v>35</v>
      </c>
    </row>
    <row r="9500" spans="1:8" ht="14.4" x14ac:dyDescent="0.3">
      <c r="A9500" s="8">
        <v>2043165</v>
      </c>
      <c r="B9500" s="11">
        <v>44812</v>
      </c>
      <c r="C9500" s="13" t="s">
        <v>502</v>
      </c>
      <c r="D9500" s="13" t="s">
        <v>11577</v>
      </c>
      <c r="E9500" s="8">
        <v>8800</v>
      </c>
      <c r="F9500" s="13" t="s">
        <v>70</v>
      </c>
      <c r="G9500" s="14">
        <v>44817</v>
      </c>
      <c r="H9500" s="13" t="s">
        <v>35</v>
      </c>
    </row>
    <row r="9501" spans="1:8" ht="14.4" x14ac:dyDescent="0.3">
      <c r="A9501" s="8">
        <v>2043166</v>
      </c>
      <c r="B9501" s="11">
        <v>44812</v>
      </c>
      <c r="C9501" s="13" t="s">
        <v>11578</v>
      </c>
      <c r="D9501" s="13" t="s">
        <v>11579</v>
      </c>
      <c r="E9501" s="8">
        <v>6000</v>
      </c>
      <c r="F9501" s="13" t="s">
        <v>70</v>
      </c>
      <c r="G9501" s="14">
        <v>44813</v>
      </c>
      <c r="H9501" s="13" t="s">
        <v>35</v>
      </c>
    </row>
    <row r="9502" spans="1:8" ht="14.4" x14ac:dyDescent="0.3">
      <c r="A9502" s="8">
        <v>2043167</v>
      </c>
      <c r="B9502" s="11">
        <v>44812</v>
      </c>
      <c r="C9502" s="13" t="s">
        <v>2497</v>
      </c>
      <c r="D9502" s="13" t="s">
        <v>11580</v>
      </c>
      <c r="E9502" s="8">
        <v>25680</v>
      </c>
      <c r="F9502" s="13" t="s">
        <v>70</v>
      </c>
      <c r="G9502" s="14">
        <v>44816</v>
      </c>
      <c r="H9502" s="13" t="s">
        <v>35</v>
      </c>
    </row>
    <row r="9503" spans="1:8" ht="14.4" x14ac:dyDescent="0.3">
      <c r="A9503" s="8">
        <v>2043169</v>
      </c>
      <c r="B9503" s="11">
        <v>44812</v>
      </c>
      <c r="C9503" s="13" t="s">
        <v>11581</v>
      </c>
      <c r="D9503" s="13" t="s">
        <v>11582</v>
      </c>
      <c r="E9503" s="8">
        <v>100000</v>
      </c>
      <c r="F9503" s="13" t="s">
        <v>70</v>
      </c>
      <c r="G9503" s="14">
        <v>44829</v>
      </c>
      <c r="H9503" s="13" t="s">
        <v>35</v>
      </c>
    </row>
    <row r="9504" spans="1:8" ht="14.4" x14ac:dyDescent="0.3">
      <c r="A9504" s="8">
        <v>2043170</v>
      </c>
      <c r="B9504" s="11">
        <v>44812</v>
      </c>
      <c r="C9504" s="13" t="s">
        <v>11583</v>
      </c>
      <c r="D9504" s="13" t="s">
        <v>11584</v>
      </c>
      <c r="E9504" s="8">
        <v>5000</v>
      </c>
      <c r="F9504" s="13" t="s">
        <v>70</v>
      </c>
      <c r="G9504" s="14">
        <v>44816</v>
      </c>
      <c r="H9504" s="13" t="s">
        <v>35</v>
      </c>
    </row>
    <row r="9505" spans="1:8" ht="14.4" x14ac:dyDescent="0.3">
      <c r="A9505" s="8">
        <v>2043171</v>
      </c>
      <c r="B9505" s="11">
        <v>44812</v>
      </c>
      <c r="C9505" s="13" t="s">
        <v>11585</v>
      </c>
      <c r="D9505" s="13" t="s">
        <v>11586</v>
      </c>
      <c r="E9505" s="8">
        <v>5000</v>
      </c>
      <c r="F9505" s="13" t="s">
        <v>70</v>
      </c>
      <c r="G9505" s="14">
        <v>44813</v>
      </c>
      <c r="H9505" s="13" t="s">
        <v>35</v>
      </c>
    </row>
    <row r="9506" spans="1:8" ht="14.4" x14ac:dyDescent="0.3">
      <c r="A9506" s="8">
        <v>2043172</v>
      </c>
      <c r="B9506" s="11">
        <v>44812</v>
      </c>
      <c r="C9506" s="13" t="s">
        <v>1193</v>
      </c>
      <c r="D9506" s="13" t="s">
        <v>11587</v>
      </c>
      <c r="E9506" s="8">
        <v>28000</v>
      </c>
      <c r="F9506" s="13" t="s">
        <v>70</v>
      </c>
      <c r="G9506" s="14">
        <v>44820</v>
      </c>
      <c r="H9506" s="13" t="s">
        <v>35</v>
      </c>
    </row>
    <row r="9507" spans="1:8" ht="14.4" x14ac:dyDescent="0.3">
      <c r="A9507" s="8">
        <v>2043173</v>
      </c>
      <c r="B9507" s="11">
        <v>44812</v>
      </c>
      <c r="C9507" s="13" t="s">
        <v>176</v>
      </c>
      <c r="D9507" s="13" t="s">
        <v>11588</v>
      </c>
      <c r="E9507" s="8">
        <v>104800</v>
      </c>
      <c r="F9507" s="13" t="s">
        <v>70</v>
      </c>
      <c r="G9507" s="14">
        <v>44825</v>
      </c>
      <c r="H9507" s="13" t="s">
        <v>35</v>
      </c>
    </row>
    <row r="9508" spans="1:8" ht="14.4" x14ac:dyDescent="0.3">
      <c r="A9508" s="8">
        <v>2043174</v>
      </c>
      <c r="B9508" s="11">
        <v>44812</v>
      </c>
      <c r="C9508" s="13" t="s">
        <v>669</v>
      </c>
      <c r="D9508" s="13" t="s">
        <v>11589</v>
      </c>
      <c r="E9508" s="8">
        <v>141000</v>
      </c>
      <c r="F9508" s="13" t="s">
        <v>70</v>
      </c>
      <c r="G9508" s="14">
        <v>44820</v>
      </c>
      <c r="H9508" s="13" t="s">
        <v>35</v>
      </c>
    </row>
    <row r="9509" spans="1:8" ht="14.4" x14ac:dyDescent="0.3">
      <c r="A9509" s="8">
        <v>2043175</v>
      </c>
      <c r="B9509" s="11">
        <v>44812</v>
      </c>
      <c r="C9509" s="13" t="s">
        <v>506</v>
      </c>
      <c r="D9509" s="13" t="s">
        <v>11589</v>
      </c>
      <c r="E9509" s="8">
        <v>104000</v>
      </c>
      <c r="F9509" s="13" t="s">
        <v>70</v>
      </c>
      <c r="G9509" s="14">
        <v>44818</v>
      </c>
      <c r="H9509" s="13" t="s">
        <v>35</v>
      </c>
    </row>
    <row r="9510" spans="1:8" ht="14.4" x14ac:dyDescent="0.3">
      <c r="A9510" s="8">
        <v>2043176</v>
      </c>
      <c r="B9510" s="11">
        <v>44812</v>
      </c>
      <c r="C9510" s="13" t="s">
        <v>11590</v>
      </c>
      <c r="D9510" s="13" t="s">
        <v>11591</v>
      </c>
      <c r="E9510" s="8">
        <v>15000</v>
      </c>
      <c r="F9510" s="13" t="s">
        <v>70</v>
      </c>
      <c r="G9510" s="14">
        <v>44816</v>
      </c>
      <c r="H9510" s="13" t="s">
        <v>35</v>
      </c>
    </row>
    <row r="9511" spans="1:8" ht="14.4" x14ac:dyDescent="0.3">
      <c r="A9511" s="8">
        <v>2043177</v>
      </c>
      <c r="B9511" s="11">
        <v>44812</v>
      </c>
      <c r="C9511" s="13" t="s">
        <v>122</v>
      </c>
      <c r="D9511" s="13" t="s">
        <v>11592</v>
      </c>
      <c r="E9511" s="8">
        <v>20000</v>
      </c>
      <c r="F9511" s="13" t="s">
        <v>70</v>
      </c>
      <c r="G9511" s="14">
        <v>44819</v>
      </c>
      <c r="H9511" s="13" t="s">
        <v>35</v>
      </c>
    </row>
    <row r="9512" spans="1:8" ht="14.4" x14ac:dyDescent="0.3">
      <c r="A9512" s="8">
        <v>2043178</v>
      </c>
      <c r="B9512" s="11">
        <v>44812</v>
      </c>
      <c r="C9512" s="13" t="s">
        <v>11593</v>
      </c>
      <c r="D9512" s="13" t="s">
        <v>11594</v>
      </c>
      <c r="E9512" s="8">
        <v>9000</v>
      </c>
      <c r="F9512" s="13" t="s">
        <v>70</v>
      </c>
      <c r="G9512" s="14">
        <v>44816</v>
      </c>
      <c r="H9512" s="13" t="s">
        <v>35</v>
      </c>
    </row>
    <row r="9513" spans="1:8" ht="14.4" x14ac:dyDescent="0.3">
      <c r="A9513" s="8">
        <v>2043179</v>
      </c>
      <c r="B9513" s="11">
        <v>44812</v>
      </c>
      <c r="C9513" s="13" t="s">
        <v>11595</v>
      </c>
      <c r="D9513" s="13" t="s">
        <v>11596</v>
      </c>
      <c r="E9513" s="8">
        <v>21000</v>
      </c>
      <c r="F9513" s="13" t="s">
        <v>70</v>
      </c>
      <c r="G9513" s="14">
        <v>44816</v>
      </c>
      <c r="H9513" s="13" t="s">
        <v>35</v>
      </c>
    </row>
    <row r="9514" spans="1:8" ht="14.4" x14ac:dyDescent="0.3">
      <c r="A9514" s="8">
        <v>2043180</v>
      </c>
      <c r="B9514" s="11">
        <v>44812</v>
      </c>
      <c r="C9514" s="13" t="s">
        <v>42</v>
      </c>
      <c r="D9514" s="13" t="s">
        <v>11597</v>
      </c>
      <c r="E9514" s="8">
        <v>360717.74</v>
      </c>
      <c r="F9514" s="13" t="s">
        <v>70</v>
      </c>
      <c r="G9514" s="14">
        <v>44818</v>
      </c>
      <c r="H9514" s="13" t="s">
        <v>35</v>
      </c>
    </row>
    <row r="9515" spans="1:8" ht="14.4" x14ac:dyDescent="0.3">
      <c r="A9515" s="8">
        <v>2043181</v>
      </c>
      <c r="B9515" s="11">
        <v>44812</v>
      </c>
      <c r="C9515" s="13" t="s">
        <v>11598</v>
      </c>
      <c r="D9515" s="13" t="s">
        <v>11599</v>
      </c>
      <c r="E9515" s="8">
        <v>15243.77</v>
      </c>
      <c r="F9515" s="13" t="s">
        <v>70</v>
      </c>
      <c r="G9515" s="14">
        <v>44813</v>
      </c>
      <c r="H9515" s="13" t="s">
        <v>35</v>
      </c>
    </row>
    <row r="9516" spans="1:8" ht="14.4" x14ac:dyDescent="0.3">
      <c r="A9516" s="8">
        <v>2043182</v>
      </c>
      <c r="B9516" s="11">
        <v>44812</v>
      </c>
      <c r="C9516" s="13" t="s">
        <v>4571</v>
      </c>
      <c r="D9516" s="13" t="s">
        <v>11600</v>
      </c>
      <c r="E9516" s="8">
        <v>25500</v>
      </c>
      <c r="F9516" s="13" t="s">
        <v>70</v>
      </c>
      <c r="G9516" s="14">
        <v>44818</v>
      </c>
      <c r="H9516" s="13" t="s">
        <v>35</v>
      </c>
    </row>
    <row r="9517" spans="1:8" ht="14.4" x14ac:dyDescent="0.3">
      <c r="A9517" s="8">
        <v>2043183</v>
      </c>
      <c r="B9517" s="11">
        <v>44812</v>
      </c>
      <c r="C9517" s="13" t="s">
        <v>5500</v>
      </c>
      <c r="D9517" s="13" t="s">
        <v>7705</v>
      </c>
      <c r="E9517" s="8">
        <v>6000</v>
      </c>
      <c r="F9517" s="13" t="s">
        <v>70</v>
      </c>
      <c r="G9517" s="14">
        <v>44817</v>
      </c>
      <c r="H9517" s="13" t="s">
        <v>35</v>
      </c>
    </row>
    <row r="9518" spans="1:8" ht="14.4" x14ac:dyDescent="0.3">
      <c r="A9518" s="8">
        <v>2043184</v>
      </c>
      <c r="B9518" s="11">
        <v>44812</v>
      </c>
      <c r="C9518" s="13" t="s">
        <v>363</v>
      </c>
      <c r="D9518" s="13" t="s">
        <v>11601</v>
      </c>
      <c r="E9518" s="8">
        <v>41407.699999999997</v>
      </c>
      <c r="F9518" s="13" t="s">
        <v>70</v>
      </c>
      <c r="G9518" s="14">
        <v>44813</v>
      </c>
      <c r="H9518" s="13" t="s">
        <v>35</v>
      </c>
    </row>
    <row r="9519" spans="1:8" ht="14.4" x14ac:dyDescent="0.3">
      <c r="A9519" s="8">
        <v>2043185</v>
      </c>
      <c r="B9519" s="11">
        <v>44812</v>
      </c>
      <c r="C9519" s="13" t="s">
        <v>492</v>
      </c>
      <c r="D9519" s="13" t="s">
        <v>11602</v>
      </c>
      <c r="E9519" s="8">
        <v>34540.400000000001</v>
      </c>
      <c r="F9519" s="13" t="s">
        <v>70</v>
      </c>
      <c r="G9519" s="14">
        <v>44813</v>
      </c>
      <c r="H9519" s="13" t="s">
        <v>35</v>
      </c>
    </row>
    <row r="9520" spans="1:8" ht="14.4" x14ac:dyDescent="0.3">
      <c r="A9520" s="8">
        <v>2043186</v>
      </c>
      <c r="B9520" s="11">
        <v>44812</v>
      </c>
      <c r="C9520" s="13" t="s">
        <v>11603</v>
      </c>
      <c r="D9520" s="13" t="s">
        <v>11586</v>
      </c>
      <c r="E9520" s="8">
        <v>5000</v>
      </c>
      <c r="F9520" s="13" t="s">
        <v>70</v>
      </c>
      <c r="G9520" s="14">
        <v>44813</v>
      </c>
      <c r="H9520" s="13" t="s">
        <v>35</v>
      </c>
    </row>
    <row r="9521" spans="1:8" ht="14.4" x14ac:dyDescent="0.3">
      <c r="A9521" s="8">
        <v>2043187</v>
      </c>
      <c r="B9521" s="11">
        <v>44812</v>
      </c>
      <c r="C9521" s="13" t="s">
        <v>11604</v>
      </c>
      <c r="D9521" s="13" t="s">
        <v>11605</v>
      </c>
      <c r="E9521" s="8">
        <v>11000</v>
      </c>
      <c r="F9521" s="13" t="s">
        <v>70</v>
      </c>
      <c r="G9521" s="14">
        <v>44816</v>
      </c>
      <c r="H9521" s="13" t="s">
        <v>35</v>
      </c>
    </row>
    <row r="9522" spans="1:8" ht="14.4" x14ac:dyDescent="0.3">
      <c r="A9522" s="8">
        <v>2043188</v>
      </c>
      <c r="B9522" s="11">
        <v>44812</v>
      </c>
      <c r="C9522" s="13" t="s">
        <v>11606</v>
      </c>
      <c r="D9522" s="13" t="s">
        <v>11607</v>
      </c>
      <c r="E9522" s="8">
        <v>8000</v>
      </c>
      <c r="F9522" s="13" t="s">
        <v>70</v>
      </c>
      <c r="G9522" s="14">
        <v>44816</v>
      </c>
      <c r="H9522" s="13" t="s">
        <v>35</v>
      </c>
    </row>
    <row r="9523" spans="1:8" ht="14.4" x14ac:dyDescent="0.3">
      <c r="A9523" s="8">
        <v>2043189</v>
      </c>
      <c r="B9523" s="11">
        <v>44812</v>
      </c>
      <c r="C9523" s="13" t="s">
        <v>11608</v>
      </c>
      <c r="D9523" s="13" t="s">
        <v>11609</v>
      </c>
      <c r="E9523" s="8">
        <v>40000</v>
      </c>
      <c r="F9523" s="13" t="s">
        <v>70</v>
      </c>
      <c r="G9523" s="14">
        <v>44816</v>
      </c>
      <c r="H9523" s="13" t="s">
        <v>35</v>
      </c>
    </row>
    <row r="9524" spans="1:8" ht="14.4" x14ac:dyDescent="0.3">
      <c r="A9524" s="8">
        <v>2043190</v>
      </c>
      <c r="B9524" s="11">
        <v>44812</v>
      </c>
      <c r="C9524" s="13" t="s">
        <v>11610</v>
      </c>
      <c r="D9524" s="13" t="s">
        <v>11611</v>
      </c>
      <c r="E9524" s="8">
        <v>15000</v>
      </c>
      <c r="F9524" s="13" t="s">
        <v>70</v>
      </c>
      <c r="G9524" s="14">
        <v>44816</v>
      </c>
      <c r="H9524" s="13" t="s">
        <v>35</v>
      </c>
    </row>
    <row r="9525" spans="1:8" ht="14.4" x14ac:dyDescent="0.3">
      <c r="A9525" s="8">
        <v>2043191</v>
      </c>
      <c r="B9525" s="11">
        <v>44812</v>
      </c>
      <c r="C9525" s="13" t="s">
        <v>11612</v>
      </c>
      <c r="D9525" s="13" t="s">
        <v>11613</v>
      </c>
      <c r="E9525" s="8">
        <v>10000</v>
      </c>
      <c r="F9525" s="13" t="s">
        <v>70</v>
      </c>
      <c r="G9525" s="14">
        <v>44817</v>
      </c>
      <c r="H9525" s="13" t="s">
        <v>35</v>
      </c>
    </row>
    <row r="9526" spans="1:8" ht="14.4" x14ac:dyDescent="0.3">
      <c r="A9526" s="8">
        <v>2043192</v>
      </c>
      <c r="B9526" s="11">
        <v>44812</v>
      </c>
      <c r="C9526" s="13" t="s">
        <v>11614</v>
      </c>
      <c r="D9526" s="13" t="s">
        <v>11615</v>
      </c>
      <c r="E9526" s="8">
        <v>15000</v>
      </c>
      <c r="F9526" s="13" t="s">
        <v>70</v>
      </c>
      <c r="G9526" s="14">
        <v>44816</v>
      </c>
      <c r="H9526" s="13" t="s">
        <v>35</v>
      </c>
    </row>
    <row r="9527" spans="1:8" ht="14.4" x14ac:dyDescent="0.3">
      <c r="A9527" s="8">
        <v>2043193</v>
      </c>
      <c r="B9527" s="11">
        <v>44812</v>
      </c>
      <c r="C9527" s="13" t="s">
        <v>11616</v>
      </c>
      <c r="D9527" s="13" t="s">
        <v>11617</v>
      </c>
      <c r="E9527" s="8">
        <v>12000</v>
      </c>
      <c r="F9527" s="13" t="s">
        <v>70</v>
      </c>
      <c r="G9527" s="14">
        <v>44813</v>
      </c>
      <c r="H9527" s="13" t="s">
        <v>35</v>
      </c>
    </row>
    <row r="9528" spans="1:8" ht="14.4" x14ac:dyDescent="0.3">
      <c r="A9528" s="8">
        <v>2043194</v>
      </c>
      <c r="B9528" s="11">
        <v>44812</v>
      </c>
      <c r="C9528" s="13" t="s">
        <v>11618</v>
      </c>
      <c r="D9528" s="13" t="s">
        <v>11619</v>
      </c>
      <c r="E9528" s="8">
        <v>50000</v>
      </c>
      <c r="F9528" s="13" t="s">
        <v>70</v>
      </c>
      <c r="G9528" s="14">
        <v>44820</v>
      </c>
      <c r="H9528" s="13" t="s">
        <v>35</v>
      </c>
    </row>
    <row r="9529" spans="1:8" ht="14.4" x14ac:dyDescent="0.3">
      <c r="A9529" s="8">
        <v>2043195</v>
      </c>
      <c r="B9529" s="11">
        <v>44812</v>
      </c>
      <c r="C9529" s="13" t="s">
        <v>11620</v>
      </c>
      <c r="D9529" s="13" t="s">
        <v>11621</v>
      </c>
      <c r="E9529" s="8">
        <v>8000</v>
      </c>
      <c r="F9529" s="13" t="s">
        <v>70</v>
      </c>
      <c r="G9529" s="14">
        <v>44816</v>
      </c>
      <c r="H9529" s="13" t="s">
        <v>35</v>
      </c>
    </row>
    <row r="9530" spans="1:8" ht="14.4" x14ac:dyDescent="0.3">
      <c r="A9530" s="8">
        <v>2043196</v>
      </c>
      <c r="B9530" s="11">
        <v>44812</v>
      </c>
      <c r="C9530" s="13" t="s">
        <v>11622</v>
      </c>
      <c r="D9530" s="13" t="s">
        <v>11623</v>
      </c>
      <c r="E9530" s="8">
        <v>8000</v>
      </c>
      <c r="F9530" s="13" t="s">
        <v>70</v>
      </c>
      <c r="G9530" s="14">
        <v>44816</v>
      </c>
      <c r="H9530" s="13" t="s">
        <v>35</v>
      </c>
    </row>
    <row r="9531" spans="1:8" ht="14.4" x14ac:dyDescent="0.3">
      <c r="A9531" s="8">
        <v>2043197</v>
      </c>
      <c r="B9531" s="11">
        <v>44812</v>
      </c>
      <c r="C9531" s="13" t="s">
        <v>11624</v>
      </c>
      <c r="D9531" s="13" t="s">
        <v>11625</v>
      </c>
      <c r="E9531" s="8">
        <v>8000</v>
      </c>
      <c r="F9531" s="13" t="s">
        <v>70</v>
      </c>
      <c r="G9531" s="14">
        <v>44816</v>
      </c>
      <c r="H9531" s="13" t="s">
        <v>35</v>
      </c>
    </row>
    <row r="9532" spans="1:8" ht="14.4" x14ac:dyDescent="0.3">
      <c r="A9532" s="8">
        <v>2043198</v>
      </c>
      <c r="B9532" s="11">
        <v>44812</v>
      </c>
      <c r="C9532" s="13" t="s">
        <v>11626</v>
      </c>
      <c r="D9532" s="13" t="s">
        <v>11627</v>
      </c>
      <c r="E9532" s="8">
        <v>10000</v>
      </c>
      <c r="F9532" s="13" t="s">
        <v>70</v>
      </c>
      <c r="G9532" s="14">
        <v>44816</v>
      </c>
      <c r="H9532" s="13" t="s">
        <v>35</v>
      </c>
    </row>
    <row r="9533" spans="1:8" ht="14.4" x14ac:dyDescent="0.3">
      <c r="A9533" s="8">
        <v>2043199</v>
      </c>
      <c r="B9533" s="11">
        <v>44812</v>
      </c>
      <c r="C9533" s="13" t="s">
        <v>11628</v>
      </c>
      <c r="D9533" s="13" t="s">
        <v>147</v>
      </c>
      <c r="E9533" s="8">
        <v>50000</v>
      </c>
      <c r="F9533" s="13" t="s">
        <v>70</v>
      </c>
      <c r="G9533" s="14">
        <v>44816</v>
      </c>
      <c r="H9533" s="13" t="s">
        <v>35</v>
      </c>
    </row>
    <row r="9534" spans="1:8" ht="14.4" x14ac:dyDescent="0.3">
      <c r="A9534" s="8">
        <v>2043200</v>
      </c>
      <c r="B9534" s="11">
        <v>44812</v>
      </c>
      <c r="C9534" s="13" t="s">
        <v>11629</v>
      </c>
      <c r="D9534" s="13" t="s">
        <v>11630</v>
      </c>
      <c r="E9534" s="8">
        <v>17000</v>
      </c>
      <c r="F9534" s="13" t="s">
        <v>70</v>
      </c>
      <c r="G9534" s="14">
        <v>44816</v>
      </c>
      <c r="H9534" s="13" t="s">
        <v>35</v>
      </c>
    </row>
    <row r="9535" spans="1:8" ht="14.4" x14ac:dyDescent="0.3">
      <c r="A9535" s="8">
        <v>2091901</v>
      </c>
      <c r="B9535" s="11">
        <v>44812</v>
      </c>
      <c r="C9535" s="13" t="s">
        <v>11631</v>
      </c>
      <c r="D9535" s="13" t="s">
        <v>11632</v>
      </c>
      <c r="E9535" s="8">
        <v>16000</v>
      </c>
      <c r="F9535" s="13" t="s">
        <v>70</v>
      </c>
      <c r="G9535" s="14">
        <v>44816</v>
      </c>
      <c r="H9535" s="13" t="s">
        <v>35</v>
      </c>
    </row>
    <row r="9536" spans="1:8" ht="14.4" x14ac:dyDescent="0.3">
      <c r="A9536" s="8">
        <v>2091902</v>
      </c>
      <c r="B9536" s="11">
        <v>44812</v>
      </c>
      <c r="C9536" s="13" t="s">
        <v>11633</v>
      </c>
      <c r="D9536" s="13" t="s">
        <v>11634</v>
      </c>
      <c r="E9536" s="8">
        <v>13000</v>
      </c>
      <c r="F9536" s="13" t="s">
        <v>70</v>
      </c>
      <c r="G9536" s="14">
        <v>44816</v>
      </c>
      <c r="H9536" s="13" t="s">
        <v>35</v>
      </c>
    </row>
    <row r="9537" spans="1:8" ht="14.4" x14ac:dyDescent="0.3">
      <c r="A9537" s="8">
        <v>2091903</v>
      </c>
      <c r="B9537" s="11">
        <v>44812</v>
      </c>
      <c r="C9537" s="13" t="s">
        <v>11635</v>
      </c>
      <c r="D9537" s="13" t="s">
        <v>150</v>
      </c>
      <c r="E9537" s="8">
        <v>11500</v>
      </c>
      <c r="F9537" s="13" t="s">
        <v>70</v>
      </c>
      <c r="G9537" s="14">
        <v>44816</v>
      </c>
      <c r="H9537" s="13" t="s">
        <v>35</v>
      </c>
    </row>
    <row r="9538" spans="1:8" ht="14.4" x14ac:dyDescent="0.3">
      <c r="A9538" s="8">
        <v>2091904</v>
      </c>
      <c r="B9538" s="11">
        <v>44812</v>
      </c>
      <c r="C9538" s="13" t="s">
        <v>11636</v>
      </c>
      <c r="D9538" s="13" t="s">
        <v>11637</v>
      </c>
      <c r="E9538" s="8">
        <v>11500</v>
      </c>
      <c r="F9538" s="13" t="s">
        <v>70</v>
      </c>
      <c r="G9538" s="14">
        <v>44816</v>
      </c>
      <c r="H9538" s="13" t="s">
        <v>35</v>
      </c>
    </row>
    <row r="9539" spans="1:8" ht="14.4" x14ac:dyDescent="0.3">
      <c r="A9539" s="8">
        <v>2091905</v>
      </c>
      <c r="B9539" s="11">
        <v>44812</v>
      </c>
      <c r="C9539" s="13" t="s">
        <v>11638</v>
      </c>
      <c r="D9539" s="13" t="s">
        <v>11639</v>
      </c>
      <c r="E9539" s="8">
        <v>21000</v>
      </c>
      <c r="F9539" s="13" t="s">
        <v>70</v>
      </c>
      <c r="G9539" s="14">
        <v>44816</v>
      </c>
      <c r="H9539" s="13" t="s">
        <v>35</v>
      </c>
    </row>
    <row r="9540" spans="1:8" ht="14.4" x14ac:dyDescent="0.3">
      <c r="A9540" s="8">
        <v>2091906</v>
      </c>
      <c r="B9540" s="11">
        <v>44812</v>
      </c>
      <c r="C9540" s="13" t="s">
        <v>265</v>
      </c>
      <c r="D9540" s="13" t="s">
        <v>11640</v>
      </c>
      <c r="E9540" s="8">
        <v>37700</v>
      </c>
      <c r="F9540" s="13" t="s">
        <v>70</v>
      </c>
      <c r="G9540" s="14">
        <v>44813</v>
      </c>
      <c r="H9540" s="13" t="s">
        <v>35</v>
      </c>
    </row>
    <row r="9541" spans="1:8" ht="14.4" x14ac:dyDescent="0.3">
      <c r="A9541" s="8">
        <v>2091907</v>
      </c>
      <c r="B9541" s="11">
        <v>44812</v>
      </c>
      <c r="C9541" s="13" t="s">
        <v>4211</v>
      </c>
      <c r="D9541" s="13" t="s">
        <v>11641</v>
      </c>
      <c r="E9541" s="8">
        <v>12750</v>
      </c>
      <c r="F9541" s="13" t="s">
        <v>70</v>
      </c>
      <c r="G9541" s="14">
        <v>44832</v>
      </c>
      <c r="H9541" s="13" t="s">
        <v>35</v>
      </c>
    </row>
    <row r="9542" spans="1:8" ht="14.4" x14ac:dyDescent="0.3">
      <c r="A9542" s="8">
        <v>2091909</v>
      </c>
      <c r="B9542" s="11">
        <v>44812</v>
      </c>
      <c r="C9542" s="13" t="s">
        <v>381</v>
      </c>
      <c r="D9542" s="13" t="s">
        <v>11642</v>
      </c>
      <c r="E9542" s="8">
        <v>6630</v>
      </c>
      <c r="F9542" s="13" t="s">
        <v>70</v>
      </c>
      <c r="G9542" s="14">
        <v>44818</v>
      </c>
      <c r="H9542" s="13" t="s">
        <v>35</v>
      </c>
    </row>
    <row r="9543" spans="1:8" ht="14.4" x14ac:dyDescent="0.3">
      <c r="A9543" s="8">
        <v>2091910</v>
      </c>
      <c r="B9543" s="11">
        <v>44812</v>
      </c>
      <c r="C9543" s="13" t="s">
        <v>259</v>
      </c>
      <c r="D9543" s="13" t="s">
        <v>11643</v>
      </c>
      <c r="E9543" s="8">
        <v>35017.85</v>
      </c>
      <c r="F9543" s="13" t="s">
        <v>70</v>
      </c>
      <c r="G9543" s="14">
        <v>44816</v>
      </c>
      <c r="H9543" s="13" t="s">
        <v>35</v>
      </c>
    </row>
    <row r="9544" spans="1:8" ht="14.4" x14ac:dyDescent="0.3">
      <c r="A9544" s="8">
        <v>2091911</v>
      </c>
      <c r="B9544" s="11">
        <v>44812</v>
      </c>
      <c r="C9544" s="13" t="s">
        <v>1581</v>
      </c>
      <c r="D9544" s="13" t="s">
        <v>11644</v>
      </c>
      <c r="E9544" s="8">
        <v>11357.15</v>
      </c>
      <c r="F9544" s="13" t="s">
        <v>70</v>
      </c>
      <c r="G9544" s="14">
        <v>44833</v>
      </c>
      <c r="H9544" s="13" t="s">
        <v>35</v>
      </c>
    </row>
    <row r="9545" spans="1:8" ht="14.4" x14ac:dyDescent="0.3">
      <c r="A9545" s="8">
        <v>2091912</v>
      </c>
      <c r="B9545" s="11">
        <v>44812</v>
      </c>
      <c r="C9545" s="13" t="s">
        <v>4767</v>
      </c>
      <c r="D9545" s="13" t="s">
        <v>11645</v>
      </c>
      <c r="E9545" s="8">
        <v>4270</v>
      </c>
      <c r="F9545" s="13" t="s">
        <v>70</v>
      </c>
      <c r="G9545" s="14">
        <v>44817</v>
      </c>
      <c r="H9545" s="13" t="s">
        <v>35</v>
      </c>
    </row>
    <row r="9546" spans="1:8" ht="14.4" x14ac:dyDescent="0.3">
      <c r="A9546" s="8">
        <v>2091913</v>
      </c>
      <c r="B9546" s="11">
        <v>44812</v>
      </c>
      <c r="C9546" s="13" t="s">
        <v>60</v>
      </c>
      <c r="D9546" s="13" t="s">
        <v>11646</v>
      </c>
      <c r="E9546" s="8">
        <v>2252349.58</v>
      </c>
      <c r="F9546" s="13" t="s">
        <v>70</v>
      </c>
      <c r="G9546" s="14">
        <v>44819</v>
      </c>
      <c r="H9546" s="13" t="s">
        <v>35</v>
      </c>
    </row>
    <row r="9547" spans="1:8" ht="14.4" x14ac:dyDescent="0.3">
      <c r="A9547" s="8">
        <v>2091914</v>
      </c>
      <c r="B9547" s="11">
        <v>44812</v>
      </c>
      <c r="C9547" s="13" t="s">
        <v>159</v>
      </c>
      <c r="D9547" s="13" t="s">
        <v>11647</v>
      </c>
      <c r="E9547" s="8">
        <v>382800</v>
      </c>
      <c r="F9547" s="13" t="s">
        <v>70</v>
      </c>
      <c r="G9547" s="14">
        <v>44813</v>
      </c>
      <c r="H9547" s="13" t="s">
        <v>35</v>
      </c>
    </row>
    <row r="9548" spans="1:8" ht="14.4" x14ac:dyDescent="0.3">
      <c r="A9548" s="8">
        <v>2091915</v>
      </c>
      <c r="B9548" s="11">
        <v>44812</v>
      </c>
      <c r="C9548" s="13" t="s">
        <v>275</v>
      </c>
      <c r="D9548" s="13" t="s">
        <v>11648</v>
      </c>
      <c r="E9548" s="8">
        <v>243343.61</v>
      </c>
      <c r="F9548" s="13" t="s">
        <v>70</v>
      </c>
      <c r="G9548" s="14">
        <v>44813</v>
      </c>
      <c r="H9548" s="13" t="s">
        <v>35</v>
      </c>
    </row>
    <row r="9549" spans="1:8" ht="14.4" x14ac:dyDescent="0.3">
      <c r="A9549" s="8">
        <v>2091916</v>
      </c>
      <c r="B9549" s="11">
        <v>44812</v>
      </c>
      <c r="C9549" s="13" t="s">
        <v>189</v>
      </c>
      <c r="D9549" s="13" t="s">
        <v>11649</v>
      </c>
      <c r="E9549" s="8">
        <v>335416.7</v>
      </c>
      <c r="F9549" s="13" t="s">
        <v>70</v>
      </c>
      <c r="G9549" s="14">
        <v>44820</v>
      </c>
      <c r="H9549" s="13" t="s">
        <v>35</v>
      </c>
    </row>
    <row r="9550" spans="1:8" ht="14.4" x14ac:dyDescent="0.3">
      <c r="A9550" s="8">
        <v>2091917</v>
      </c>
      <c r="B9550" s="11">
        <v>44812</v>
      </c>
      <c r="C9550" s="13" t="s">
        <v>189</v>
      </c>
      <c r="D9550" s="13" t="s">
        <v>11649</v>
      </c>
      <c r="E9550" s="8">
        <v>146510.03</v>
      </c>
      <c r="F9550" s="13" t="s">
        <v>70</v>
      </c>
      <c r="G9550" s="14">
        <v>44820</v>
      </c>
      <c r="H9550" s="13" t="s">
        <v>35</v>
      </c>
    </row>
    <row r="9551" spans="1:8" ht="14.4" x14ac:dyDescent="0.3">
      <c r="A9551" s="8">
        <v>2091918</v>
      </c>
      <c r="B9551" s="11">
        <v>44812</v>
      </c>
      <c r="C9551" s="13" t="s">
        <v>189</v>
      </c>
      <c r="D9551" s="13" t="s">
        <v>11649</v>
      </c>
      <c r="E9551" s="8">
        <v>245184.67</v>
      </c>
      <c r="F9551" s="13" t="s">
        <v>70</v>
      </c>
      <c r="G9551" s="14">
        <v>44820</v>
      </c>
      <c r="H9551" s="13" t="s">
        <v>35</v>
      </c>
    </row>
    <row r="9552" spans="1:8" ht="14.4" x14ac:dyDescent="0.3">
      <c r="A9552" s="8">
        <v>2091919</v>
      </c>
      <c r="B9552" s="11">
        <v>44812</v>
      </c>
      <c r="C9552" s="13" t="s">
        <v>189</v>
      </c>
      <c r="D9552" s="13" t="s">
        <v>11649</v>
      </c>
      <c r="E9552" s="8">
        <v>115528.83</v>
      </c>
      <c r="F9552" s="13" t="s">
        <v>70</v>
      </c>
      <c r="G9552" s="14">
        <v>44820</v>
      </c>
      <c r="H9552" s="13" t="s">
        <v>35</v>
      </c>
    </row>
    <row r="9553" spans="1:8" ht="14.4" x14ac:dyDescent="0.3">
      <c r="A9553" s="8">
        <v>2091920</v>
      </c>
      <c r="B9553" s="11">
        <v>44812</v>
      </c>
      <c r="C9553" s="13" t="s">
        <v>4765</v>
      </c>
      <c r="D9553" s="13" t="s">
        <v>11650</v>
      </c>
      <c r="E9553" s="8">
        <v>5734</v>
      </c>
      <c r="F9553" s="13" t="s">
        <v>70</v>
      </c>
      <c r="G9553" s="14">
        <v>44816</v>
      </c>
      <c r="H9553" s="13" t="s">
        <v>35</v>
      </c>
    </row>
    <row r="9554" spans="1:8" ht="14.4" x14ac:dyDescent="0.3">
      <c r="A9554" s="8">
        <v>2091921</v>
      </c>
      <c r="B9554" s="11">
        <v>44812</v>
      </c>
      <c r="C9554" s="13" t="s">
        <v>265</v>
      </c>
      <c r="D9554" s="13" t="s">
        <v>11651</v>
      </c>
      <c r="E9554" s="8">
        <v>64515</v>
      </c>
      <c r="F9554" s="13" t="s">
        <v>70</v>
      </c>
      <c r="G9554" s="14">
        <v>44817</v>
      </c>
      <c r="H9554" s="13" t="s">
        <v>35</v>
      </c>
    </row>
    <row r="9555" spans="1:8" ht="14.4" x14ac:dyDescent="0.3">
      <c r="A9555" s="8">
        <v>2091922</v>
      </c>
      <c r="B9555" s="11">
        <v>44812</v>
      </c>
      <c r="C9555" s="13" t="s">
        <v>11652</v>
      </c>
      <c r="D9555" s="13" t="s">
        <v>11653</v>
      </c>
      <c r="E9555" s="8">
        <v>76000</v>
      </c>
      <c r="F9555" s="13" t="s">
        <v>70</v>
      </c>
      <c r="G9555" s="14">
        <v>44853</v>
      </c>
      <c r="H9555" s="13" t="s">
        <v>35</v>
      </c>
    </row>
    <row r="9556" spans="1:8" ht="14.4" x14ac:dyDescent="0.3">
      <c r="A9556" s="8">
        <v>2091923</v>
      </c>
      <c r="B9556" s="11">
        <v>44812</v>
      </c>
      <c r="C9556" s="13" t="s">
        <v>5851</v>
      </c>
      <c r="D9556" s="13" t="s">
        <v>11654</v>
      </c>
      <c r="E9556" s="8">
        <v>770723.88</v>
      </c>
      <c r="F9556" s="13" t="s">
        <v>70</v>
      </c>
      <c r="G9556" s="14">
        <v>44816</v>
      </c>
      <c r="H9556" s="13" t="s">
        <v>35</v>
      </c>
    </row>
    <row r="9557" spans="1:8" ht="14.4" x14ac:dyDescent="0.3">
      <c r="A9557" s="8">
        <v>2091924</v>
      </c>
      <c r="B9557" s="11">
        <v>44812</v>
      </c>
      <c r="C9557" s="13" t="s">
        <v>53</v>
      </c>
      <c r="D9557" s="13" t="s">
        <v>11655</v>
      </c>
      <c r="E9557" s="8">
        <v>277354.7</v>
      </c>
      <c r="F9557" s="13" t="s">
        <v>70</v>
      </c>
      <c r="G9557" s="14">
        <v>44825</v>
      </c>
      <c r="H9557" s="13" t="s">
        <v>35</v>
      </c>
    </row>
    <row r="9558" spans="1:8" ht="14.4" x14ac:dyDescent="0.3">
      <c r="A9558" s="8">
        <v>2091925</v>
      </c>
      <c r="B9558" s="11">
        <v>44812</v>
      </c>
      <c r="C9558" s="13" t="s">
        <v>3126</v>
      </c>
      <c r="D9558" s="13" t="s">
        <v>11656</v>
      </c>
      <c r="E9558" s="8">
        <v>7200</v>
      </c>
      <c r="F9558" s="13" t="s">
        <v>70</v>
      </c>
      <c r="G9558" s="14">
        <v>44813</v>
      </c>
      <c r="H9558" s="13" t="s">
        <v>35</v>
      </c>
    </row>
    <row r="9559" spans="1:8" ht="14.4" x14ac:dyDescent="0.3">
      <c r="A9559" s="8">
        <v>2091926</v>
      </c>
      <c r="B9559" s="11">
        <v>44812</v>
      </c>
      <c r="C9559" s="13" t="s">
        <v>333</v>
      </c>
      <c r="D9559" s="13" t="s">
        <v>11657</v>
      </c>
      <c r="E9559" s="8">
        <v>3000</v>
      </c>
      <c r="F9559" s="13" t="s">
        <v>70</v>
      </c>
      <c r="G9559" s="14">
        <v>44816</v>
      </c>
      <c r="H9559" s="13" t="s">
        <v>35</v>
      </c>
    </row>
    <row r="9560" spans="1:8" ht="14.4" x14ac:dyDescent="0.3">
      <c r="A9560" s="8">
        <v>2091927</v>
      </c>
      <c r="B9560" s="11">
        <v>44812</v>
      </c>
      <c r="C9560" s="13" t="s">
        <v>789</v>
      </c>
      <c r="D9560" s="13" t="s">
        <v>11657</v>
      </c>
      <c r="E9560" s="8">
        <v>6000</v>
      </c>
      <c r="F9560" s="13" t="s">
        <v>70</v>
      </c>
      <c r="G9560" s="14">
        <v>44819</v>
      </c>
      <c r="H9560" s="13" t="s">
        <v>35</v>
      </c>
    </row>
    <row r="9561" spans="1:8" ht="14.4" x14ac:dyDescent="0.3">
      <c r="A9561" s="8">
        <v>2091928</v>
      </c>
      <c r="B9561" s="11">
        <v>44812</v>
      </c>
      <c r="C9561" s="13" t="s">
        <v>2358</v>
      </c>
      <c r="D9561" s="13" t="s">
        <v>11657</v>
      </c>
      <c r="E9561" s="8">
        <v>10000</v>
      </c>
      <c r="F9561" s="13" t="s">
        <v>70</v>
      </c>
      <c r="G9561" s="14">
        <v>44816</v>
      </c>
      <c r="H9561" s="13" t="s">
        <v>35</v>
      </c>
    </row>
    <row r="9562" spans="1:8" ht="14.4" x14ac:dyDescent="0.3">
      <c r="A9562" s="8">
        <v>2091929</v>
      </c>
      <c r="B9562" s="11">
        <v>44812</v>
      </c>
      <c r="C9562" s="13" t="s">
        <v>2359</v>
      </c>
      <c r="D9562" s="13" t="s">
        <v>11657</v>
      </c>
      <c r="E9562" s="8">
        <v>10000</v>
      </c>
      <c r="F9562" s="13" t="s">
        <v>70</v>
      </c>
      <c r="G9562" s="14">
        <v>44817</v>
      </c>
      <c r="H9562" s="13" t="s">
        <v>35</v>
      </c>
    </row>
    <row r="9563" spans="1:8" ht="14.4" x14ac:dyDescent="0.3">
      <c r="A9563" s="8">
        <v>2091930</v>
      </c>
      <c r="B9563" s="11">
        <v>44812</v>
      </c>
      <c r="C9563" s="13" t="s">
        <v>97</v>
      </c>
      <c r="D9563" s="13" t="s">
        <v>11657</v>
      </c>
      <c r="E9563" s="8">
        <v>5000</v>
      </c>
      <c r="F9563" s="13" t="s">
        <v>70</v>
      </c>
      <c r="G9563" s="14">
        <v>44823</v>
      </c>
      <c r="H9563" s="13" t="s">
        <v>35</v>
      </c>
    </row>
    <row r="9564" spans="1:8" ht="14.4" x14ac:dyDescent="0.3">
      <c r="A9564" s="8">
        <v>2091931</v>
      </c>
      <c r="B9564" s="11">
        <v>44812</v>
      </c>
      <c r="C9564" s="13" t="s">
        <v>533</v>
      </c>
      <c r="D9564" s="13" t="s">
        <v>11657</v>
      </c>
      <c r="E9564" s="8">
        <v>3000</v>
      </c>
      <c r="F9564" s="13" t="s">
        <v>70</v>
      </c>
      <c r="G9564" s="14">
        <v>44818</v>
      </c>
      <c r="H9564" s="13" t="s">
        <v>35</v>
      </c>
    </row>
    <row r="9565" spans="1:8" ht="14.4" x14ac:dyDescent="0.3">
      <c r="A9565" s="8">
        <v>2091932</v>
      </c>
      <c r="B9565" s="11">
        <v>44812</v>
      </c>
      <c r="C9565" s="13" t="s">
        <v>542</v>
      </c>
      <c r="D9565" s="13" t="s">
        <v>11658</v>
      </c>
      <c r="E9565" s="8">
        <v>4500</v>
      </c>
      <c r="F9565" s="13" t="s">
        <v>70</v>
      </c>
      <c r="G9565" s="14">
        <v>44816</v>
      </c>
      <c r="H9565" s="13" t="s">
        <v>35</v>
      </c>
    </row>
    <row r="9566" spans="1:8" ht="14.4" x14ac:dyDescent="0.3">
      <c r="A9566" s="8">
        <v>2091933</v>
      </c>
      <c r="B9566" s="11">
        <v>44812</v>
      </c>
      <c r="C9566" s="13" t="s">
        <v>544</v>
      </c>
      <c r="D9566" s="13" t="s">
        <v>11658</v>
      </c>
      <c r="E9566" s="8">
        <v>4500</v>
      </c>
      <c r="F9566" s="13" t="s">
        <v>70</v>
      </c>
      <c r="G9566" s="14">
        <v>44816</v>
      </c>
      <c r="H9566" s="13" t="s">
        <v>35</v>
      </c>
    </row>
    <row r="9567" spans="1:8" ht="14.4" x14ac:dyDescent="0.3">
      <c r="A9567" s="8">
        <v>2091934</v>
      </c>
      <c r="B9567" s="11">
        <v>44812</v>
      </c>
      <c r="C9567" s="13" t="s">
        <v>3651</v>
      </c>
      <c r="D9567" s="13" t="s">
        <v>11658</v>
      </c>
      <c r="E9567" s="8">
        <v>6000</v>
      </c>
      <c r="F9567" s="13" t="s">
        <v>70</v>
      </c>
      <c r="G9567" s="14">
        <v>44816</v>
      </c>
      <c r="H9567" s="13" t="s">
        <v>35</v>
      </c>
    </row>
    <row r="9568" spans="1:8" ht="14.4" x14ac:dyDescent="0.3">
      <c r="A9568" s="8">
        <v>2091935</v>
      </c>
      <c r="B9568" s="11">
        <v>44812</v>
      </c>
      <c r="C9568" s="13" t="s">
        <v>541</v>
      </c>
      <c r="D9568" s="13" t="s">
        <v>11658</v>
      </c>
      <c r="E9568" s="8">
        <v>4500</v>
      </c>
      <c r="F9568" s="13" t="s">
        <v>70</v>
      </c>
      <c r="G9568" s="14">
        <v>44816</v>
      </c>
      <c r="H9568" s="13" t="s">
        <v>35</v>
      </c>
    </row>
    <row r="9569" spans="1:8" ht="14.4" x14ac:dyDescent="0.3">
      <c r="A9569" s="8">
        <v>2091936</v>
      </c>
      <c r="B9569" s="11">
        <v>44812</v>
      </c>
      <c r="C9569" s="13" t="s">
        <v>310</v>
      </c>
      <c r="D9569" s="13" t="s">
        <v>11659</v>
      </c>
      <c r="E9569" s="8">
        <v>10000</v>
      </c>
      <c r="F9569" s="13" t="s">
        <v>70</v>
      </c>
      <c r="G9569" s="14">
        <v>44819</v>
      </c>
      <c r="H9569" s="13" t="s">
        <v>35</v>
      </c>
    </row>
    <row r="9570" spans="1:8" ht="14.4" x14ac:dyDescent="0.3">
      <c r="A9570" s="8">
        <v>2091937</v>
      </c>
      <c r="B9570" s="11">
        <v>44812</v>
      </c>
      <c r="C9570" s="13" t="s">
        <v>117</v>
      </c>
      <c r="D9570" s="13" t="s">
        <v>11657</v>
      </c>
      <c r="E9570" s="8">
        <v>3000</v>
      </c>
      <c r="F9570" s="13" t="s">
        <v>70</v>
      </c>
      <c r="G9570" s="14">
        <v>44820</v>
      </c>
      <c r="H9570" s="13" t="s">
        <v>35</v>
      </c>
    </row>
    <row r="9571" spans="1:8" ht="14.4" x14ac:dyDescent="0.3">
      <c r="A9571" s="8">
        <v>2091938</v>
      </c>
      <c r="B9571" s="11">
        <v>44812</v>
      </c>
      <c r="C9571" s="13" t="s">
        <v>11660</v>
      </c>
      <c r="D9571" s="13" t="s">
        <v>11661</v>
      </c>
      <c r="E9571" s="8">
        <v>320100</v>
      </c>
      <c r="F9571" s="13" t="s">
        <v>70</v>
      </c>
      <c r="G9571" s="14">
        <v>44824</v>
      </c>
      <c r="H9571" s="13" t="s">
        <v>35</v>
      </c>
    </row>
    <row r="9572" spans="1:8" ht="14.4" x14ac:dyDescent="0.3">
      <c r="A9572" s="8">
        <v>2091943</v>
      </c>
      <c r="B9572" s="11">
        <v>44812</v>
      </c>
      <c r="C9572" s="13" t="s">
        <v>11662</v>
      </c>
      <c r="D9572" s="13" t="s">
        <v>11663</v>
      </c>
      <c r="E9572" s="8">
        <v>20000</v>
      </c>
      <c r="F9572" s="13" t="s">
        <v>70</v>
      </c>
      <c r="G9572" s="14">
        <v>44831</v>
      </c>
      <c r="H9572" s="13" t="s">
        <v>35</v>
      </c>
    </row>
    <row r="9573" spans="1:8" ht="14.4" x14ac:dyDescent="0.3">
      <c r="A9573" s="8">
        <v>2091944</v>
      </c>
      <c r="B9573" s="11">
        <v>44812</v>
      </c>
      <c r="C9573" s="13" t="s">
        <v>1326</v>
      </c>
      <c r="D9573" s="13" t="s">
        <v>11664</v>
      </c>
      <c r="E9573" s="8">
        <v>4500</v>
      </c>
      <c r="F9573" s="13" t="s">
        <v>70</v>
      </c>
      <c r="G9573" s="14">
        <v>44838</v>
      </c>
      <c r="H9573" s="13" t="s">
        <v>35</v>
      </c>
    </row>
    <row r="9574" spans="1:8" ht="14.4" x14ac:dyDescent="0.3">
      <c r="A9574" s="8">
        <v>2091945</v>
      </c>
      <c r="B9574" s="11">
        <v>44812</v>
      </c>
      <c r="C9574" s="13" t="s">
        <v>8259</v>
      </c>
      <c r="D9574" s="13" t="s">
        <v>11665</v>
      </c>
      <c r="E9574" s="8">
        <v>9123.6</v>
      </c>
      <c r="F9574" s="13" t="s">
        <v>70</v>
      </c>
      <c r="G9574" s="14">
        <v>44816</v>
      </c>
      <c r="H9574" s="13" t="s">
        <v>35</v>
      </c>
    </row>
    <row r="9575" spans="1:8" ht="14.4" x14ac:dyDescent="0.3">
      <c r="A9575" s="8">
        <v>2091946</v>
      </c>
      <c r="B9575" s="11">
        <v>44812</v>
      </c>
      <c r="C9575" s="13" t="s">
        <v>543</v>
      </c>
      <c r="D9575" s="13" t="s">
        <v>11658</v>
      </c>
      <c r="E9575" s="8">
        <v>4500</v>
      </c>
      <c r="F9575" s="13" t="s">
        <v>70</v>
      </c>
      <c r="G9575" s="14">
        <v>44816</v>
      </c>
      <c r="H9575" s="13" t="s">
        <v>35</v>
      </c>
    </row>
    <row r="9576" spans="1:8" ht="14.4" x14ac:dyDescent="0.3">
      <c r="A9576" s="8">
        <v>2091947</v>
      </c>
      <c r="B9576" s="11">
        <v>44812</v>
      </c>
      <c r="C9576" s="13" t="s">
        <v>567</v>
      </c>
      <c r="D9576" s="13" t="s">
        <v>11666</v>
      </c>
      <c r="E9576" s="8">
        <v>6000</v>
      </c>
      <c r="F9576" s="13" t="s">
        <v>70</v>
      </c>
      <c r="G9576" s="14">
        <v>44817</v>
      </c>
      <c r="H9576" s="13" t="s">
        <v>35</v>
      </c>
    </row>
    <row r="9577" spans="1:8" ht="14.4" x14ac:dyDescent="0.3">
      <c r="A9577" s="8">
        <v>2091948</v>
      </c>
      <c r="B9577" s="11">
        <v>44812</v>
      </c>
      <c r="C9577" s="13" t="s">
        <v>1551</v>
      </c>
      <c r="D9577" s="13" t="s">
        <v>11657</v>
      </c>
      <c r="E9577" s="8">
        <v>15000</v>
      </c>
      <c r="F9577" s="13" t="s">
        <v>70</v>
      </c>
      <c r="G9577" s="14">
        <v>44827</v>
      </c>
      <c r="H9577" s="13" t="s">
        <v>35</v>
      </c>
    </row>
    <row r="9578" spans="1:8" ht="14.4" x14ac:dyDescent="0.3">
      <c r="A9578" s="8">
        <v>2091949</v>
      </c>
      <c r="B9578" s="11">
        <v>44812</v>
      </c>
      <c r="C9578" s="13" t="s">
        <v>1286</v>
      </c>
      <c r="D9578" s="13" t="s">
        <v>11667</v>
      </c>
      <c r="E9578" s="8">
        <v>16862.47</v>
      </c>
      <c r="F9578" s="13" t="s">
        <v>70</v>
      </c>
      <c r="G9578" s="14">
        <v>44818</v>
      </c>
      <c r="H9578" s="13" t="s">
        <v>35</v>
      </c>
    </row>
    <row r="9579" spans="1:8" ht="14.4" x14ac:dyDescent="0.3">
      <c r="A9579" s="8">
        <v>2091950</v>
      </c>
      <c r="B9579" s="11">
        <v>44812</v>
      </c>
      <c r="C9579" s="13" t="s">
        <v>402</v>
      </c>
      <c r="D9579" s="13" t="s">
        <v>11659</v>
      </c>
      <c r="E9579" s="8">
        <v>15000</v>
      </c>
      <c r="F9579" s="13" t="s">
        <v>70</v>
      </c>
      <c r="G9579" s="14">
        <v>44818</v>
      </c>
      <c r="H9579" s="13" t="s">
        <v>35</v>
      </c>
    </row>
    <row r="9580" spans="1:8" ht="14.4" x14ac:dyDescent="0.3">
      <c r="A9580" s="8">
        <v>2091951</v>
      </c>
      <c r="B9580" s="11">
        <v>44812</v>
      </c>
      <c r="C9580" s="13" t="s">
        <v>347</v>
      </c>
      <c r="D9580" s="13" t="s">
        <v>11668</v>
      </c>
      <c r="E9580" s="8">
        <v>3000</v>
      </c>
      <c r="F9580" s="13" t="s">
        <v>70</v>
      </c>
      <c r="G9580" s="14">
        <v>44819</v>
      </c>
      <c r="H9580" s="13" t="s">
        <v>35</v>
      </c>
    </row>
    <row r="9581" spans="1:8" ht="14.4" x14ac:dyDescent="0.3">
      <c r="A9581" s="8">
        <v>2091952</v>
      </c>
      <c r="B9581" s="11">
        <v>44812</v>
      </c>
      <c r="C9581" s="13" t="s">
        <v>116</v>
      </c>
      <c r="D9581" s="13" t="s">
        <v>11657</v>
      </c>
      <c r="E9581" s="8">
        <v>5000</v>
      </c>
      <c r="F9581" s="13" t="s">
        <v>70</v>
      </c>
      <c r="G9581" s="14">
        <v>44824</v>
      </c>
      <c r="H9581" s="13" t="s">
        <v>35</v>
      </c>
    </row>
    <row r="9582" spans="1:8" ht="14.4" x14ac:dyDescent="0.3">
      <c r="A9582" s="8">
        <v>2091953</v>
      </c>
      <c r="B9582" s="11">
        <v>44812</v>
      </c>
      <c r="C9582" s="13" t="s">
        <v>2365</v>
      </c>
      <c r="D9582" s="13" t="s">
        <v>11668</v>
      </c>
      <c r="E9582" s="8">
        <v>5000</v>
      </c>
      <c r="F9582" s="13" t="s">
        <v>70</v>
      </c>
      <c r="G9582" s="14">
        <v>44817</v>
      </c>
      <c r="H9582" s="13" t="s">
        <v>35</v>
      </c>
    </row>
    <row r="9583" spans="1:8" ht="14.4" x14ac:dyDescent="0.3">
      <c r="A9583" s="8">
        <v>2091954</v>
      </c>
      <c r="B9583" s="11">
        <v>44812</v>
      </c>
      <c r="C9583" s="13" t="s">
        <v>114</v>
      </c>
      <c r="D9583" s="13" t="s">
        <v>11657</v>
      </c>
      <c r="E9583" s="8">
        <v>10000</v>
      </c>
      <c r="F9583" s="13" t="s">
        <v>70</v>
      </c>
      <c r="G9583" s="14">
        <v>44820</v>
      </c>
      <c r="H9583" s="13" t="s">
        <v>35</v>
      </c>
    </row>
    <row r="9584" spans="1:8" ht="14.4" x14ac:dyDescent="0.3">
      <c r="A9584" s="8">
        <v>2091955</v>
      </c>
      <c r="B9584" s="11">
        <v>44812</v>
      </c>
      <c r="C9584" s="13" t="s">
        <v>118</v>
      </c>
      <c r="D9584" s="13" t="s">
        <v>11657</v>
      </c>
      <c r="E9584" s="8">
        <v>15000</v>
      </c>
      <c r="F9584" s="13" t="s">
        <v>70</v>
      </c>
      <c r="G9584" s="14">
        <v>44827</v>
      </c>
      <c r="H9584" s="13" t="s">
        <v>35</v>
      </c>
    </row>
    <row r="9585" spans="1:8" ht="14.4" x14ac:dyDescent="0.3">
      <c r="A9585" s="8">
        <v>2091956</v>
      </c>
      <c r="B9585" s="11">
        <v>44812</v>
      </c>
      <c r="C9585" s="13" t="s">
        <v>565</v>
      </c>
      <c r="D9585" s="13" t="s">
        <v>11669</v>
      </c>
      <c r="E9585" s="8">
        <v>6000</v>
      </c>
      <c r="F9585" s="13" t="s">
        <v>70</v>
      </c>
      <c r="G9585" s="14">
        <v>44819</v>
      </c>
      <c r="H9585" s="13" t="s">
        <v>35</v>
      </c>
    </row>
    <row r="9586" spans="1:8" ht="14.4" x14ac:dyDescent="0.3">
      <c r="A9586" s="8">
        <v>2091957</v>
      </c>
      <c r="B9586" s="11">
        <v>44812</v>
      </c>
      <c r="C9586" s="13" t="s">
        <v>115</v>
      </c>
      <c r="D9586" s="13" t="s">
        <v>11657</v>
      </c>
      <c r="E9586" s="8">
        <v>5000</v>
      </c>
      <c r="F9586" s="13" t="s">
        <v>70</v>
      </c>
      <c r="G9586" s="14">
        <v>44820</v>
      </c>
      <c r="H9586" s="13" t="s">
        <v>35</v>
      </c>
    </row>
    <row r="9587" spans="1:8" ht="14.4" x14ac:dyDescent="0.3">
      <c r="A9587" s="8">
        <v>2091958</v>
      </c>
      <c r="B9587" s="11">
        <v>44812</v>
      </c>
      <c r="C9587" s="13" t="s">
        <v>2233</v>
      </c>
      <c r="D9587" s="13" t="s">
        <v>11657</v>
      </c>
      <c r="E9587" s="8">
        <v>5000</v>
      </c>
      <c r="F9587" s="13" t="s">
        <v>70</v>
      </c>
      <c r="G9587" s="14">
        <v>44816</v>
      </c>
      <c r="H9587" s="13" t="s">
        <v>35</v>
      </c>
    </row>
    <row r="9588" spans="1:8" ht="14.4" x14ac:dyDescent="0.3">
      <c r="A9588" s="8">
        <v>2091959</v>
      </c>
      <c r="B9588" s="11">
        <v>44812</v>
      </c>
      <c r="C9588" s="13" t="s">
        <v>2232</v>
      </c>
      <c r="D9588" s="13" t="s">
        <v>11657</v>
      </c>
      <c r="E9588" s="8">
        <v>10000</v>
      </c>
      <c r="F9588" s="13" t="s">
        <v>70</v>
      </c>
      <c r="G9588" s="14">
        <v>44816</v>
      </c>
      <c r="H9588" s="13" t="s">
        <v>35</v>
      </c>
    </row>
    <row r="9589" spans="1:8" ht="14.4" x14ac:dyDescent="0.3">
      <c r="A9589" s="8">
        <v>2091960</v>
      </c>
      <c r="B9589" s="11">
        <v>44812</v>
      </c>
      <c r="C9589" s="13" t="s">
        <v>2231</v>
      </c>
      <c r="D9589" s="13" t="s">
        <v>11657</v>
      </c>
      <c r="E9589" s="8">
        <v>20000</v>
      </c>
      <c r="F9589" s="13" t="s">
        <v>70</v>
      </c>
      <c r="G9589" s="14">
        <v>44816</v>
      </c>
      <c r="H9589" s="13" t="s">
        <v>35</v>
      </c>
    </row>
    <row r="9590" spans="1:8" ht="14.4" x14ac:dyDescent="0.3">
      <c r="A9590" s="8">
        <v>2091961</v>
      </c>
      <c r="B9590" s="11">
        <v>44812</v>
      </c>
      <c r="C9590" s="13" t="s">
        <v>400</v>
      </c>
      <c r="D9590" s="13" t="s">
        <v>11657</v>
      </c>
      <c r="E9590" s="8">
        <v>15000</v>
      </c>
      <c r="F9590" s="13" t="s">
        <v>70</v>
      </c>
      <c r="G9590" s="14">
        <v>44820</v>
      </c>
      <c r="H9590" s="13" t="s">
        <v>35</v>
      </c>
    </row>
    <row r="9591" spans="1:8" ht="14.4" x14ac:dyDescent="0.3">
      <c r="A9591" s="8">
        <v>2091962</v>
      </c>
      <c r="B9591" s="11">
        <v>44812</v>
      </c>
      <c r="C9591" s="13" t="s">
        <v>120</v>
      </c>
      <c r="D9591" s="13" t="s">
        <v>11657</v>
      </c>
      <c r="E9591" s="8">
        <v>15000</v>
      </c>
      <c r="F9591" s="13" t="s">
        <v>70</v>
      </c>
      <c r="G9591" s="14">
        <v>44824</v>
      </c>
      <c r="H9591" s="13" t="s">
        <v>35</v>
      </c>
    </row>
    <row r="9592" spans="1:8" ht="14.4" x14ac:dyDescent="0.3">
      <c r="A9592" s="8">
        <v>2091963</v>
      </c>
      <c r="B9592" s="11">
        <v>44812</v>
      </c>
      <c r="C9592" s="13" t="s">
        <v>1286</v>
      </c>
      <c r="D9592" s="13" t="s">
        <v>11670</v>
      </c>
      <c r="E9592" s="8">
        <v>22430.11</v>
      </c>
      <c r="F9592" s="13" t="s">
        <v>70</v>
      </c>
      <c r="G9592" s="14">
        <v>44818</v>
      </c>
      <c r="H9592" s="13" t="s">
        <v>35</v>
      </c>
    </row>
    <row r="9593" spans="1:8" ht="14.4" x14ac:dyDescent="0.3">
      <c r="A9593" s="8">
        <v>2091964</v>
      </c>
      <c r="B9593" s="11">
        <v>44812</v>
      </c>
      <c r="C9593" s="13" t="s">
        <v>399</v>
      </c>
      <c r="D9593" s="13" t="s">
        <v>11657</v>
      </c>
      <c r="E9593" s="8">
        <v>15000</v>
      </c>
      <c r="F9593" s="13" t="s">
        <v>70</v>
      </c>
      <c r="G9593" s="14">
        <v>44817</v>
      </c>
      <c r="H9593" s="13" t="s">
        <v>35</v>
      </c>
    </row>
    <row r="9594" spans="1:8" ht="14.4" x14ac:dyDescent="0.3">
      <c r="A9594" s="8">
        <v>2091965</v>
      </c>
      <c r="B9594" s="11">
        <v>44812</v>
      </c>
      <c r="C9594" s="13" t="s">
        <v>113</v>
      </c>
      <c r="D9594" s="13" t="s">
        <v>11657</v>
      </c>
      <c r="E9594" s="8">
        <v>20000</v>
      </c>
      <c r="F9594" s="13" t="s">
        <v>70</v>
      </c>
      <c r="G9594" s="14">
        <v>44820</v>
      </c>
      <c r="H9594" s="13" t="s">
        <v>35</v>
      </c>
    </row>
    <row r="9595" spans="1:8" ht="14.4" x14ac:dyDescent="0.3">
      <c r="A9595" s="8">
        <v>2091966</v>
      </c>
      <c r="B9595" s="11">
        <v>44812</v>
      </c>
      <c r="C9595" s="13" t="s">
        <v>11671</v>
      </c>
      <c r="D9595" s="13" t="s">
        <v>11657</v>
      </c>
      <c r="E9595" s="8">
        <v>3000</v>
      </c>
      <c r="F9595" s="13" t="s">
        <v>70</v>
      </c>
      <c r="G9595" s="14">
        <v>44817</v>
      </c>
      <c r="H9595" s="13" t="s">
        <v>35</v>
      </c>
    </row>
    <row r="9596" spans="1:8" ht="14.4" x14ac:dyDescent="0.3">
      <c r="A9596" s="8">
        <v>2091967</v>
      </c>
      <c r="B9596" s="11">
        <v>44812</v>
      </c>
      <c r="C9596" s="13" t="s">
        <v>119</v>
      </c>
      <c r="D9596" s="13" t="s">
        <v>11657</v>
      </c>
      <c r="E9596" s="8">
        <v>15000</v>
      </c>
      <c r="F9596" s="13" t="s">
        <v>70</v>
      </c>
      <c r="G9596" s="14">
        <v>44824</v>
      </c>
      <c r="H9596" s="13" t="s">
        <v>35</v>
      </c>
    </row>
    <row r="9597" spans="1:8" ht="14.4" x14ac:dyDescent="0.3">
      <c r="A9597" s="8">
        <v>2091968</v>
      </c>
      <c r="B9597" s="11">
        <v>44812</v>
      </c>
      <c r="C9597" s="13" t="s">
        <v>2185</v>
      </c>
      <c r="D9597" s="13" t="s">
        <v>11657</v>
      </c>
      <c r="E9597" s="8">
        <v>15000</v>
      </c>
      <c r="F9597" s="13" t="s">
        <v>70</v>
      </c>
      <c r="G9597" s="14">
        <v>44819</v>
      </c>
      <c r="H9597" s="13" t="s">
        <v>35</v>
      </c>
    </row>
    <row r="9598" spans="1:8" ht="14.4" x14ac:dyDescent="0.3">
      <c r="A9598" s="8">
        <v>2091969</v>
      </c>
      <c r="B9598" s="11">
        <v>44812</v>
      </c>
      <c r="C9598" s="13" t="s">
        <v>8382</v>
      </c>
      <c r="D9598" s="13" t="s">
        <v>11668</v>
      </c>
      <c r="E9598" s="8">
        <v>20000</v>
      </c>
      <c r="F9598" s="13" t="s">
        <v>70</v>
      </c>
      <c r="G9598" s="14">
        <v>44817</v>
      </c>
      <c r="H9598" s="13" t="s">
        <v>35</v>
      </c>
    </row>
    <row r="9599" spans="1:8" ht="14.4" x14ac:dyDescent="0.3">
      <c r="A9599" s="8">
        <v>2091970</v>
      </c>
      <c r="B9599" s="11">
        <v>44812</v>
      </c>
      <c r="C9599" s="13" t="s">
        <v>4997</v>
      </c>
      <c r="D9599" s="13" t="s">
        <v>11668</v>
      </c>
      <c r="E9599" s="8">
        <v>10000</v>
      </c>
      <c r="F9599" s="13" t="s">
        <v>70</v>
      </c>
      <c r="G9599" s="14">
        <v>44817</v>
      </c>
      <c r="H9599" s="13" t="s">
        <v>35</v>
      </c>
    </row>
    <row r="9600" spans="1:8" ht="14.4" x14ac:dyDescent="0.3">
      <c r="A9600" s="8">
        <v>2091971</v>
      </c>
      <c r="B9600" s="11">
        <v>44812</v>
      </c>
      <c r="C9600" s="13" t="s">
        <v>2217</v>
      </c>
      <c r="D9600" s="13" t="s">
        <v>11672</v>
      </c>
      <c r="E9600" s="8">
        <v>3000</v>
      </c>
      <c r="F9600" s="13" t="s">
        <v>70</v>
      </c>
      <c r="G9600" s="14">
        <v>44817</v>
      </c>
      <c r="H9600" s="13" t="s">
        <v>35</v>
      </c>
    </row>
    <row r="9601" spans="1:8" ht="14.4" x14ac:dyDescent="0.3">
      <c r="A9601" s="8">
        <v>2091972</v>
      </c>
      <c r="B9601" s="11">
        <v>44812</v>
      </c>
      <c r="C9601" s="13" t="s">
        <v>2216</v>
      </c>
      <c r="D9601" s="13" t="s">
        <v>11672</v>
      </c>
      <c r="E9601" s="8">
        <v>5000</v>
      </c>
      <c r="F9601" s="13" t="s">
        <v>70</v>
      </c>
      <c r="G9601" s="14">
        <v>44817</v>
      </c>
      <c r="H9601" s="13" t="s">
        <v>35</v>
      </c>
    </row>
    <row r="9602" spans="1:8" ht="14.4" x14ac:dyDescent="0.3">
      <c r="A9602" s="8">
        <v>2091973</v>
      </c>
      <c r="B9602" s="11">
        <v>44812</v>
      </c>
      <c r="C9602" s="13" t="s">
        <v>606</v>
      </c>
      <c r="D9602" s="13" t="s">
        <v>11672</v>
      </c>
      <c r="E9602" s="8">
        <v>10000</v>
      </c>
      <c r="F9602" s="13" t="s">
        <v>70</v>
      </c>
      <c r="G9602" s="14">
        <v>44817</v>
      </c>
      <c r="H9602" s="13" t="s">
        <v>35</v>
      </c>
    </row>
    <row r="9603" spans="1:8" ht="14.4" x14ac:dyDescent="0.3">
      <c r="A9603" s="8">
        <v>2091974</v>
      </c>
      <c r="B9603" s="11">
        <v>44812</v>
      </c>
      <c r="C9603" s="13" t="s">
        <v>2214</v>
      </c>
      <c r="D9603" s="13" t="s">
        <v>11672</v>
      </c>
      <c r="E9603" s="8">
        <v>20000</v>
      </c>
      <c r="F9603" s="13" t="s">
        <v>70</v>
      </c>
      <c r="G9603" s="14">
        <v>44817</v>
      </c>
      <c r="H9603" s="13" t="s">
        <v>35</v>
      </c>
    </row>
    <row r="9604" spans="1:8" ht="14.4" x14ac:dyDescent="0.3">
      <c r="A9604" s="8">
        <v>2091975</v>
      </c>
      <c r="B9604" s="11">
        <v>44812</v>
      </c>
      <c r="C9604" s="13" t="s">
        <v>4998</v>
      </c>
      <c r="D9604" s="13" t="s">
        <v>11668</v>
      </c>
      <c r="E9604" s="8">
        <v>6000</v>
      </c>
      <c r="F9604" s="13" t="s">
        <v>70</v>
      </c>
      <c r="G9604" s="14">
        <v>44817</v>
      </c>
      <c r="H9604" s="13" t="s">
        <v>35</v>
      </c>
    </row>
    <row r="9605" spans="1:8" ht="14.4" x14ac:dyDescent="0.3">
      <c r="A9605" s="8">
        <v>2091976</v>
      </c>
      <c r="B9605" s="11">
        <v>44812</v>
      </c>
      <c r="C9605" s="13" t="s">
        <v>7398</v>
      </c>
      <c r="D9605" s="13" t="s">
        <v>11668</v>
      </c>
      <c r="E9605" s="8">
        <v>5000</v>
      </c>
      <c r="F9605" s="13" t="s">
        <v>70</v>
      </c>
      <c r="G9605" s="14">
        <v>44817</v>
      </c>
      <c r="H9605" s="13" t="s">
        <v>35</v>
      </c>
    </row>
    <row r="9606" spans="1:8" ht="14.4" x14ac:dyDescent="0.3">
      <c r="A9606" s="8">
        <v>2091977</v>
      </c>
      <c r="B9606" s="11">
        <v>44812</v>
      </c>
      <c r="C9606" s="13" t="s">
        <v>7399</v>
      </c>
      <c r="D9606" s="13" t="s">
        <v>11668</v>
      </c>
      <c r="E9606" s="8">
        <v>5000</v>
      </c>
      <c r="F9606" s="13" t="s">
        <v>70</v>
      </c>
      <c r="G9606" s="14">
        <v>44817</v>
      </c>
      <c r="H9606" s="13" t="s">
        <v>35</v>
      </c>
    </row>
    <row r="9607" spans="1:8" ht="14.4" x14ac:dyDescent="0.3">
      <c r="A9607" s="8">
        <v>2091978</v>
      </c>
      <c r="B9607" s="11">
        <v>44812</v>
      </c>
      <c r="C9607" s="13" t="s">
        <v>7401</v>
      </c>
      <c r="D9607" s="13" t="s">
        <v>11668</v>
      </c>
      <c r="E9607" s="8">
        <v>3000</v>
      </c>
      <c r="F9607" s="13" t="s">
        <v>70</v>
      </c>
      <c r="G9607" s="14">
        <v>44817</v>
      </c>
      <c r="H9607" s="13" t="s">
        <v>35</v>
      </c>
    </row>
    <row r="9608" spans="1:8" ht="14.4" x14ac:dyDescent="0.3">
      <c r="A9608" s="8">
        <v>2091979</v>
      </c>
      <c r="B9608" s="11">
        <v>44812</v>
      </c>
      <c r="C9608" s="13" t="s">
        <v>7403</v>
      </c>
      <c r="D9608" s="13" t="s">
        <v>11668</v>
      </c>
      <c r="E9608" s="8">
        <v>3000</v>
      </c>
      <c r="F9608" s="13" t="s">
        <v>70</v>
      </c>
      <c r="G9608" s="14">
        <v>44817</v>
      </c>
      <c r="H9608" s="13" t="s">
        <v>35</v>
      </c>
    </row>
    <row r="9609" spans="1:8" ht="14.4" x14ac:dyDescent="0.3">
      <c r="A9609" s="8">
        <v>2091980</v>
      </c>
      <c r="B9609" s="11">
        <v>44812</v>
      </c>
      <c r="C9609" s="13" t="s">
        <v>2193</v>
      </c>
      <c r="D9609" s="13" t="s">
        <v>11673</v>
      </c>
      <c r="E9609" s="8">
        <v>20000</v>
      </c>
      <c r="F9609" s="13" t="s">
        <v>70</v>
      </c>
      <c r="G9609" s="14">
        <v>44819</v>
      </c>
      <c r="H9609" s="13" t="s">
        <v>35</v>
      </c>
    </row>
    <row r="9610" spans="1:8" ht="14.4" x14ac:dyDescent="0.3">
      <c r="A9610" s="8">
        <v>2091981</v>
      </c>
      <c r="B9610" s="11">
        <v>44816</v>
      </c>
      <c r="C9610" s="13" t="s">
        <v>127</v>
      </c>
      <c r="D9610" s="13" t="s">
        <v>11674</v>
      </c>
      <c r="E9610" s="8">
        <v>5867.85</v>
      </c>
      <c r="F9610" s="13" t="s">
        <v>70</v>
      </c>
      <c r="G9610" s="14">
        <v>44832</v>
      </c>
      <c r="H9610" s="13" t="s">
        <v>35</v>
      </c>
    </row>
    <row r="9611" spans="1:8" ht="14.4" x14ac:dyDescent="0.3">
      <c r="A9611" s="8">
        <v>2091982</v>
      </c>
      <c r="B9611" s="11">
        <v>44816</v>
      </c>
      <c r="C9611" s="13" t="s">
        <v>1342</v>
      </c>
      <c r="D9611" s="13" t="s">
        <v>11675</v>
      </c>
      <c r="E9611" s="8">
        <v>7350</v>
      </c>
      <c r="F9611" s="13" t="s">
        <v>70</v>
      </c>
      <c r="G9611" s="14">
        <v>44823</v>
      </c>
      <c r="H9611" s="13" t="s">
        <v>35</v>
      </c>
    </row>
    <row r="9612" spans="1:8" ht="14.4" x14ac:dyDescent="0.3">
      <c r="A9612" s="8">
        <v>2091983</v>
      </c>
      <c r="B9612" s="11">
        <v>44816</v>
      </c>
      <c r="C9612" s="13" t="s">
        <v>11676</v>
      </c>
      <c r="D9612" s="13" t="s">
        <v>11673</v>
      </c>
      <c r="E9612" s="8">
        <v>3000</v>
      </c>
      <c r="F9612" s="13" t="s">
        <v>70</v>
      </c>
      <c r="G9612" s="14">
        <v>44820</v>
      </c>
      <c r="H9612" s="13" t="s">
        <v>35</v>
      </c>
    </row>
    <row r="9613" spans="1:8" ht="14.4" x14ac:dyDescent="0.3">
      <c r="A9613" s="8">
        <v>2091984</v>
      </c>
      <c r="B9613" s="11">
        <v>44816</v>
      </c>
      <c r="C9613" s="13" t="s">
        <v>390</v>
      </c>
      <c r="D9613" s="13" t="s">
        <v>11677</v>
      </c>
      <c r="E9613" s="8">
        <v>20000</v>
      </c>
      <c r="F9613" s="13" t="s">
        <v>70</v>
      </c>
      <c r="G9613" s="14">
        <v>44817</v>
      </c>
      <c r="H9613" s="13" t="s">
        <v>35</v>
      </c>
    </row>
    <row r="9614" spans="1:8" ht="14.4" x14ac:dyDescent="0.3">
      <c r="A9614" s="8">
        <v>2091985</v>
      </c>
      <c r="B9614" s="11">
        <v>44816</v>
      </c>
      <c r="C9614" s="13" t="s">
        <v>387</v>
      </c>
      <c r="D9614" s="13" t="s">
        <v>11677</v>
      </c>
      <c r="E9614" s="8">
        <v>10000</v>
      </c>
      <c r="F9614" s="13" t="s">
        <v>70</v>
      </c>
      <c r="G9614" s="14">
        <v>44817</v>
      </c>
      <c r="H9614" s="13" t="s">
        <v>35</v>
      </c>
    </row>
    <row r="9615" spans="1:8" ht="14.4" x14ac:dyDescent="0.3">
      <c r="A9615" s="8">
        <v>2091986</v>
      </c>
      <c r="B9615" s="11">
        <v>44816</v>
      </c>
      <c r="C9615" s="13" t="s">
        <v>389</v>
      </c>
      <c r="D9615" s="13" t="s">
        <v>11677</v>
      </c>
      <c r="E9615" s="8">
        <v>5000</v>
      </c>
      <c r="F9615" s="13" t="s">
        <v>70</v>
      </c>
      <c r="G9615" s="14">
        <v>44817</v>
      </c>
      <c r="H9615" s="13" t="s">
        <v>35</v>
      </c>
    </row>
    <row r="9616" spans="1:8" ht="14.4" x14ac:dyDescent="0.3">
      <c r="A9616" s="8">
        <v>2091987</v>
      </c>
      <c r="B9616" s="11">
        <v>44816</v>
      </c>
      <c r="C9616" s="13" t="s">
        <v>2401</v>
      </c>
      <c r="D9616" s="13" t="s">
        <v>11673</v>
      </c>
      <c r="E9616" s="8">
        <v>6000</v>
      </c>
      <c r="F9616" s="13" t="s">
        <v>70</v>
      </c>
      <c r="G9616" s="14">
        <v>44820</v>
      </c>
      <c r="H9616" s="13" t="s">
        <v>35</v>
      </c>
    </row>
    <row r="9617" spans="1:8" ht="14.4" x14ac:dyDescent="0.3">
      <c r="A9617" s="8">
        <v>2091988</v>
      </c>
      <c r="B9617" s="11">
        <v>44816</v>
      </c>
      <c r="C9617" s="13" t="s">
        <v>2410</v>
      </c>
      <c r="D9617" s="13" t="s">
        <v>11678</v>
      </c>
      <c r="E9617" s="8">
        <v>31010.84</v>
      </c>
      <c r="F9617" s="13" t="s">
        <v>70</v>
      </c>
      <c r="G9617" s="14">
        <v>44818</v>
      </c>
      <c r="H9617" s="13" t="s">
        <v>35</v>
      </c>
    </row>
    <row r="9618" spans="1:8" ht="14.4" x14ac:dyDescent="0.3">
      <c r="A9618" s="8">
        <v>2091989</v>
      </c>
      <c r="B9618" s="11">
        <v>44816</v>
      </c>
      <c r="C9618" s="13" t="s">
        <v>11679</v>
      </c>
      <c r="D9618" s="13" t="s">
        <v>11680</v>
      </c>
      <c r="E9618" s="8">
        <v>6000</v>
      </c>
      <c r="F9618" s="13" t="s">
        <v>70</v>
      </c>
      <c r="G9618" s="14">
        <v>44818</v>
      </c>
      <c r="H9618" s="13" t="s">
        <v>35</v>
      </c>
    </row>
    <row r="9619" spans="1:8" ht="14.4" x14ac:dyDescent="0.3">
      <c r="A9619" s="8">
        <v>2091990</v>
      </c>
      <c r="B9619" s="11">
        <v>44816</v>
      </c>
      <c r="C9619" s="13" t="s">
        <v>180</v>
      </c>
      <c r="D9619" s="13" t="s">
        <v>11681</v>
      </c>
      <c r="E9619" s="8">
        <v>154902.17000000001</v>
      </c>
      <c r="F9619" s="13" t="s">
        <v>70</v>
      </c>
      <c r="G9619" s="14">
        <v>44816</v>
      </c>
      <c r="H9619" s="13" t="s">
        <v>35</v>
      </c>
    </row>
    <row r="9620" spans="1:8" ht="14.4" x14ac:dyDescent="0.3">
      <c r="A9620" s="8">
        <v>2091991</v>
      </c>
      <c r="B9620" s="11">
        <v>44816</v>
      </c>
      <c r="C9620" s="13" t="s">
        <v>180</v>
      </c>
      <c r="D9620" s="13" t="s">
        <v>11681</v>
      </c>
      <c r="E9620" s="8">
        <v>34440.769999999997</v>
      </c>
      <c r="F9620" s="13" t="s">
        <v>70</v>
      </c>
      <c r="G9620" s="14">
        <v>44816</v>
      </c>
      <c r="H9620" s="13" t="s">
        <v>35</v>
      </c>
    </row>
    <row r="9621" spans="1:8" ht="14.4" x14ac:dyDescent="0.3">
      <c r="A9621" s="8">
        <v>2092001</v>
      </c>
      <c r="B9621" s="11">
        <v>44816</v>
      </c>
      <c r="C9621" s="13" t="s">
        <v>775</v>
      </c>
      <c r="D9621" s="13" t="s">
        <v>11682</v>
      </c>
      <c r="E9621" s="8">
        <v>56150</v>
      </c>
      <c r="F9621" s="13" t="s">
        <v>70</v>
      </c>
      <c r="G9621" s="14">
        <v>44816</v>
      </c>
      <c r="H9621" s="13" t="s">
        <v>35</v>
      </c>
    </row>
    <row r="9622" spans="1:8" ht="14.4" x14ac:dyDescent="0.3">
      <c r="A9622" s="8">
        <v>2092002</v>
      </c>
      <c r="B9622" s="11">
        <v>44816</v>
      </c>
      <c r="C9622" s="13" t="s">
        <v>11683</v>
      </c>
      <c r="D9622" s="13" t="s">
        <v>11684</v>
      </c>
      <c r="E9622" s="8">
        <v>215000</v>
      </c>
      <c r="F9622" s="13" t="s">
        <v>70</v>
      </c>
      <c r="G9622" s="14">
        <v>44834</v>
      </c>
      <c r="H9622" s="13" t="s">
        <v>35</v>
      </c>
    </row>
    <row r="9623" spans="1:8" ht="14.4" x14ac:dyDescent="0.3">
      <c r="A9623" s="8">
        <v>2091992</v>
      </c>
      <c r="B9623" s="11">
        <v>44817</v>
      </c>
      <c r="C9623" s="13" t="s">
        <v>11685</v>
      </c>
      <c r="D9623" s="13" t="s">
        <v>11686</v>
      </c>
      <c r="E9623" s="8">
        <v>8000</v>
      </c>
      <c r="F9623" s="13" t="s">
        <v>70</v>
      </c>
      <c r="G9623" s="14">
        <v>44834</v>
      </c>
      <c r="H9623" s="13" t="s">
        <v>35</v>
      </c>
    </row>
    <row r="9624" spans="1:8" ht="14.4" x14ac:dyDescent="0.3">
      <c r="A9624" s="8">
        <v>2091993</v>
      </c>
      <c r="B9624" s="11">
        <v>44817</v>
      </c>
      <c r="C9624" s="13" t="s">
        <v>176</v>
      </c>
      <c r="D9624" s="13" t="s">
        <v>11687</v>
      </c>
      <c r="E9624" s="8">
        <v>73000</v>
      </c>
      <c r="F9624" s="13" t="s">
        <v>70</v>
      </c>
      <c r="G9624" s="14">
        <v>44825</v>
      </c>
      <c r="H9624" s="13" t="s">
        <v>35</v>
      </c>
    </row>
    <row r="9625" spans="1:8" ht="14.4" x14ac:dyDescent="0.3">
      <c r="A9625" s="8">
        <v>2091994</v>
      </c>
      <c r="B9625" s="11">
        <v>44817</v>
      </c>
      <c r="C9625" s="13" t="s">
        <v>1193</v>
      </c>
      <c r="D9625" s="13" t="s">
        <v>11688</v>
      </c>
      <c r="E9625" s="8">
        <v>35000</v>
      </c>
      <c r="F9625" s="13" t="s">
        <v>70</v>
      </c>
      <c r="G9625" s="14">
        <v>44820</v>
      </c>
      <c r="H9625" s="13" t="s">
        <v>35</v>
      </c>
    </row>
    <row r="9626" spans="1:8" ht="14.4" x14ac:dyDescent="0.3">
      <c r="A9626" s="8">
        <v>2091995</v>
      </c>
      <c r="B9626" s="11">
        <v>44817</v>
      </c>
      <c r="C9626" s="13" t="s">
        <v>669</v>
      </c>
      <c r="D9626" s="13" t="s">
        <v>11689</v>
      </c>
      <c r="E9626" s="8">
        <v>136500</v>
      </c>
      <c r="F9626" s="13" t="s">
        <v>70</v>
      </c>
      <c r="G9626" s="14">
        <v>44820</v>
      </c>
      <c r="H9626" s="13" t="s">
        <v>35</v>
      </c>
    </row>
    <row r="9627" spans="1:8" ht="14.4" x14ac:dyDescent="0.3">
      <c r="A9627" s="8">
        <v>2091996</v>
      </c>
      <c r="B9627" s="11">
        <v>44817</v>
      </c>
      <c r="C9627" s="13" t="s">
        <v>506</v>
      </c>
      <c r="D9627" s="13" t="s">
        <v>11690</v>
      </c>
      <c r="E9627" s="8">
        <v>96858.5</v>
      </c>
      <c r="F9627" s="13" t="s">
        <v>70</v>
      </c>
      <c r="G9627" s="14">
        <v>44818</v>
      </c>
      <c r="H9627" s="13" t="s">
        <v>35</v>
      </c>
    </row>
    <row r="9628" spans="1:8" ht="14.4" x14ac:dyDescent="0.3">
      <c r="A9628" s="8">
        <v>2091997</v>
      </c>
      <c r="B9628" s="11">
        <v>44817</v>
      </c>
      <c r="C9628" s="13" t="s">
        <v>11691</v>
      </c>
      <c r="D9628" s="13" t="s">
        <v>11692</v>
      </c>
      <c r="E9628" s="8">
        <v>10000</v>
      </c>
      <c r="F9628" s="13" t="s">
        <v>70</v>
      </c>
      <c r="G9628" s="14">
        <v>44819</v>
      </c>
      <c r="H9628" s="13" t="s">
        <v>35</v>
      </c>
    </row>
    <row r="9629" spans="1:8" ht="14.4" x14ac:dyDescent="0.3">
      <c r="A9629" s="8">
        <v>2091998</v>
      </c>
      <c r="B9629" s="11">
        <v>44817</v>
      </c>
      <c r="C9629" s="13" t="s">
        <v>11693</v>
      </c>
      <c r="D9629" s="13" t="s">
        <v>11694</v>
      </c>
      <c r="E9629" s="8">
        <v>10000</v>
      </c>
      <c r="F9629" s="13" t="s">
        <v>70</v>
      </c>
      <c r="G9629" s="14">
        <v>44818</v>
      </c>
      <c r="H9629" s="13" t="s">
        <v>35</v>
      </c>
    </row>
    <row r="9630" spans="1:8" ht="14.4" x14ac:dyDescent="0.3">
      <c r="A9630" s="8">
        <v>2091999</v>
      </c>
      <c r="B9630" s="11">
        <v>44817</v>
      </c>
      <c r="C9630" s="13" t="s">
        <v>2684</v>
      </c>
      <c r="D9630" s="13" t="s">
        <v>11695</v>
      </c>
      <c r="E9630" s="8">
        <v>50000</v>
      </c>
      <c r="F9630" s="13" t="s">
        <v>70</v>
      </c>
      <c r="G9630" s="14">
        <v>44823</v>
      </c>
      <c r="H9630" s="13" t="s">
        <v>35</v>
      </c>
    </row>
    <row r="9631" spans="1:8" ht="14.4" x14ac:dyDescent="0.3">
      <c r="A9631" s="8">
        <v>2092000</v>
      </c>
      <c r="B9631" s="11">
        <v>44817</v>
      </c>
      <c r="C9631" s="13" t="s">
        <v>11696</v>
      </c>
      <c r="D9631" s="13" t="s">
        <v>11697</v>
      </c>
      <c r="E9631" s="8">
        <v>10000</v>
      </c>
      <c r="F9631" s="13" t="s">
        <v>70</v>
      </c>
      <c r="G9631" s="14">
        <v>44819</v>
      </c>
      <c r="H9631" s="13" t="s">
        <v>35</v>
      </c>
    </row>
    <row r="9632" spans="1:8" ht="14.4" x14ac:dyDescent="0.3">
      <c r="A9632" s="8">
        <v>2092101</v>
      </c>
      <c r="B9632" s="11">
        <v>44817</v>
      </c>
      <c r="C9632" s="13" t="s">
        <v>11698</v>
      </c>
      <c r="D9632" s="13" t="s">
        <v>147</v>
      </c>
      <c r="E9632" s="8">
        <v>9000</v>
      </c>
      <c r="F9632" s="13" t="s">
        <v>70</v>
      </c>
      <c r="G9632" s="14">
        <v>44818</v>
      </c>
      <c r="H9632" s="13" t="s">
        <v>35</v>
      </c>
    </row>
    <row r="9633" spans="1:8" ht="14.4" x14ac:dyDescent="0.3">
      <c r="A9633" s="8">
        <v>2092102</v>
      </c>
      <c r="B9633" s="11">
        <v>44817</v>
      </c>
      <c r="C9633" s="13" t="s">
        <v>176</v>
      </c>
      <c r="D9633" s="13" t="s">
        <v>11699</v>
      </c>
      <c r="E9633" s="8">
        <v>32000</v>
      </c>
      <c r="F9633" s="13" t="s">
        <v>70</v>
      </c>
      <c r="G9633" s="14">
        <v>44825</v>
      </c>
      <c r="H9633" s="13" t="s">
        <v>35</v>
      </c>
    </row>
    <row r="9634" spans="1:8" ht="14.4" x14ac:dyDescent="0.3">
      <c r="A9634" s="8">
        <v>2092103</v>
      </c>
      <c r="B9634" s="11">
        <v>44817</v>
      </c>
      <c r="C9634" s="13" t="s">
        <v>11700</v>
      </c>
      <c r="D9634" s="13" t="s">
        <v>11701</v>
      </c>
      <c r="E9634" s="8">
        <v>8000</v>
      </c>
      <c r="F9634" s="13" t="s">
        <v>70</v>
      </c>
      <c r="G9634" s="14">
        <v>44819</v>
      </c>
      <c r="H9634" s="13" t="s">
        <v>35</v>
      </c>
    </row>
    <row r="9635" spans="1:8" ht="14.4" x14ac:dyDescent="0.3">
      <c r="A9635" s="8">
        <v>2092104</v>
      </c>
      <c r="B9635" s="11">
        <v>44817</v>
      </c>
      <c r="C9635" s="13" t="s">
        <v>11702</v>
      </c>
      <c r="D9635" s="13" t="s">
        <v>11703</v>
      </c>
      <c r="E9635" s="8">
        <v>16000</v>
      </c>
      <c r="F9635" s="13" t="s">
        <v>70</v>
      </c>
      <c r="G9635" s="14">
        <v>44834</v>
      </c>
      <c r="H9635" s="13" t="s">
        <v>35</v>
      </c>
    </row>
    <row r="9636" spans="1:8" ht="14.4" x14ac:dyDescent="0.3">
      <c r="A9636" s="8">
        <v>2092105</v>
      </c>
      <c r="B9636" s="11">
        <v>44817</v>
      </c>
      <c r="C9636" s="13" t="s">
        <v>11704</v>
      </c>
      <c r="D9636" s="13" t="s">
        <v>11705</v>
      </c>
      <c r="E9636" s="8">
        <v>15000</v>
      </c>
      <c r="F9636" s="13" t="s">
        <v>70</v>
      </c>
      <c r="G9636" s="14">
        <v>44825</v>
      </c>
      <c r="H9636" s="13" t="s">
        <v>35</v>
      </c>
    </row>
    <row r="9637" spans="1:8" ht="14.4" x14ac:dyDescent="0.3">
      <c r="A9637" s="8">
        <v>2092106</v>
      </c>
      <c r="B9637" s="11">
        <v>44817</v>
      </c>
      <c r="C9637" s="13" t="s">
        <v>11706</v>
      </c>
      <c r="D9637" s="13" t="s">
        <v>11707</v>
      </c>
      <c r="E9637" s="8">
        <v>26900</v>
      </c>
      <c r="F9637" s="13" t="s">
        <v>70</v>
      </c>
      <c r="G9637" s="14">
        <v>44819</v>
      </c>
      <c r="H9637" s="13" t="s">
        <v>35</v>
      </c>
    </row>
    <row r="9638" spans="1:8" ht="14.4" x14ac:dyDescent="0.3">
      <c r="A9638" s="8">
        <v>2092107</v>
      </c>
      <c r="B9638" s="11">
        <v>44817</v>
      </c>
      <c r="C9638" s="13" t="s">
        <v>943</v>
      </c>
      <c r="D9638" s="13" t="s">
        <v>150</v>
      </c>
      <c r="E9638" s="8">
        <v>29000</v>
      </c>
      <c r="F9638" s="13" t="s">
        <v>70</v>
      </c>
      <c r="G9638" s="14">
        <v>44818</v>
      </c>
      <c r="H9638" s="13" t="s">
        <v>35</v>
      </c>
    </row>
    <row r="9639" spans="1:8" ht="14.4" x14ac:dyDescent="0.3">
      <c r="A9639" s="8">
        <v>2092108</v>
      </c>
      <c r="B9639" s="11">
        <v>44817</v>
      </c>
      <c r="C9639" s="13" t="s">
        <v>11708</v>
      </c>
      <c r="D9639" s="13" t="s">
        <v>11709</v>
      </c>
      <c r="E9639" s="8">
        <v>14760</v>
      </c>
      <c r="F9639" s="13" t="s">
        <v>70</v>
      </c>
      <c r="G9639" s="14">
        <v>44818</v>
      </c>
      <c r="H9639" s="13" t="s">
        <v>35</v>
      </c>
    </row>
    <row r="9640" spans="1:8" ht="14.4" x14ac:dyDescent="0.3">
      <c r="A9640" s="8">
        <v>2092109</v>
      </c>
      <c r="B9640" s="11">
        <v>44817</v>
      </c>
      <c r="C9640" s="13" t="s">
        <v>11710</v>
      </c>
      <c r="D9640" s="13" t="s">
        <v>11711</v>
      </c>
      <c r="E9640" s="8">
        <v>12000</v>
      </c>
      <c r="F9640" s="13" t="s">
        <v>70</v>
      </c>
      <c r="G9640" s="14">
        <v>44819</v>
      </c>
      <c r="H9640" s="13" t="s">
        <v>35</v>
      </c>
    </row>
    <row r="9641" spans="1:8" ht="14.4" x14ac:dyDescent="0.3">
      <c r="A9641" s="8">
        <v>2092110</v>
      </c>
      <c r="B9641" s="11">
        <v>44817</v>
      </c>
      <c r="C9641" s="13" t="s">
        <v>11712</v>
      </c>
      <c r="D9641" s="13" t="s">
        <v>11713</v>
      </c>
      <c r="E9641" s="8">
        <v>8000</v>
      </c>
      <c r="F9641" s="13" t="s">
        <v>70</v>
      </c>
      <c r="G9641" s="14">
        <v>44818</v>
      </c>
      <c r="H9641" s="13" t="s">
        <v>35</v>
      </c>
    </row>
    <row r="9642" spans="1:8" ht="14.4" x14ac:dyDescent="0.3">
      <c r="A9642" s="8">
        <v>2092111</v>
      </c>
      <c r="B9642" s="11">
        <v>44817</v>
      </c>
      <c r="C9642" s="13" t="s">
        <v>11714</v>
      </c>
      <c r="D9642" s="13" t="s">
        <v>11715</v>
      </c>
      <c r="E9642" s="8">
        <v>19500</v>
      </c>
      <c r="F9642" s="13" t="s">
        <v>70</v>
      </c>
      <c r="G9642" s="14">
        <v>44819</v>
      </c>
      <c r="H9642" s="13" t="s">
        <v>35</v>
      </c>
    </row>
    <row r="9643" spans="1:8" ht="14.4" x14ac:dyDescent="0.3">
      <c r="A9643" s="8">
        <v>2092112</v>
      </c>
      <c r="B9643" s="11">
        <v>44817</v>
      </c>
      <c r="C9643" s="13" t="s">
        <v>506</v>
      </c>
      <c r="D9643" s="13" t="s">
        <v>11527</v>
      </c>
      <c r="E9643" s="8">
        <v>109000</v>
      </c>
      <c r="F9643" s="13" t="s">
        <v>70</v>
      </c>
      <c r="G9643" s="14">
        <v>44818</v>
      </c>
      <c r="H9643" s="13" t="s">
        <v>35</v>
      </c>
    </row>
    <row r="9644" spans="1:8" ht="14.4" x14ac:dyDescent="0.3">
      <c r="A9644" s="8">
        <v>2092113</v>
      </c>
      <c r="B9644" s="11">
        <v>44817</v>
      </c>
      <c r="C9644" s="13" t="s">
        <v>11716</v>
      </c>
      <c r="D9644" s="13" t="s">
        <v>11717</v>
      </c>
      <c r="E9644" s="8">
        <v>10000</v>
      </c>
      <c r="F9644" s="13" t="s">
        <v>70</v>
      </c>
      <c r="G9644" s="14">
        <v>44833</v>
      </c>
      <c r="H9644" s="13" t="s">
        <v>35</v>
      </c>
    </row>
    <row r="9645" spans="1:8" ht="14.4" x14ac:dyDescent="0.3">
      <c r="A9645" s="8">
        <v>2092114</v>
      </c>
      <c r="B9645" s="11">
        <v>44817</v>
      </c>
      <c r="C9645" s="13" t="s">
        <v>11718</v>
      </c>
      <c r="D9645" s="13" t="s">
        <v>11719</v>
      </c>
      <c r="E9645" s="8">
        <v>15000</v>
      </c>
      <c r="F9645" s="13" t="s">
        <v>70</v>
      </c>
      <c r="G9645" s="14">
        <v>44819</v>
      </c>
      <c r="H9645" s="13" t="s">
        <v>35</v>
      </c>
    </row>
    <row r="9646" spans="1:8" ht="14.4" x14ac:dyDescent="0.3">
      <c r="A9646" s="8">
        <v>2092115</v>
      </c>
      <c r="B9646" s="11">
        <v>44817</v>
      </c>
      <c r="C9646" s="13" t="s">
        <v>11720</v>
      </c>
      <c r="D9646" s="13" t="s">
        <v>11721</v>
      </c>
      <c r="E9646" s="8">
        <v>11000</v>
      </c>
      <c r="F9646" s="13" t="s">
        <v>70</v>
      </c>
      <c r="G9646" s="14">
        <v>44818</v>
      </c>
      <c r="H9646" s="13" t="s">
        <v>35</v>
      </c>
    </row>
    <row r="9647" spans="1:8" ht="14.4" x14ac:dyDescent="0.3">
      <c r="A9647" s="8">
        <v>2092116</v>
      </c>
      <c r="B9647" s="11">
        <v>44817</v>
      </c>
      <c r="C9647" s="13" t="s">
        <v>188</v>
      </c>
      <c r="D9647" s="13" t="s">
        <v>11722</v>
      </c>
      <c r="E9647" s="8">
        <v>98584</v>
      </c>
      <c r="F9647" s="13" t="s">
        <v>70</v>
      </c>
      <c r="G9647" s="14">
        <v>44818</v>
      </c>
      <c r="H9647" s="13" t="s">
        <v>35</v>
      </c>
    </row>
    <row r="9648" spans="1:8" ht="14.4" x14ac:dyDescent="0.3">
      <c r="A9648" s="8">
        <v>2092117</v>
      </c>
      <c r="B9648" s="11">
        <v>44817</v>
      </c>
      <c r="C9648" s="13" t="s">
        <v>188</v>
      </c>
      <c r="D9648" s="13" t="s">
        <v>11722</v>
      </c>
      <c r="E9648" s="8">
        <v>10400</v>
      </c>
      <c r="F9648" s="13" t="s">
        <v>70</v>
      </c>
      <c r="G9648" s="14">
        <v>44818</v>
      </c>
      <c r="H9648" s="13" t="s">
        <v>35</v>
      </c>
    </row>
    <row r="9649" spans="1:8" ht="14.4" x14ac:dyDescent="0.3">
      <c r="A9649" s="8">
        <v>2092118</v>
      </c>
      <c r="B9649" s="11">
        <v>44817</v>
      </c>
      <c r="C9649" s="13" t="s">
        <v>122</v>
      </c>
      <c r="D9649" s="13" t="s">
        <v>11723</v>
      </c>
      <c r="E9649" s="8">
        <v>135800</v>
      </c>
      <c r="F9649" s="13" t="s">
        <v>70</v>
      </c>
      <c r="G9649" s="14">
        <v>44819</v>
      </c>
      <c r="H9649" s="13" t="s">
        <v>35</v>
      </c>
    </row>
    <row r="9650" spans="1:8" ht="14.4" x14ac:dyDescent="0.3">
      <c r="A9650" s="8">
        <v>2092119</v>
      </c>
      <c r="B9650" s="11">
        <v>44817</v>
      </c>
      <c r="C9650" s="13" t="s">
        <v>11724</v>
      </c>
      <c r="D9650" s="13" t="s">
        <v>11725</v>
      </c>
      <c r="E9650" s="8">
        <v>372611.04</v>
      </c>
      <c r="F9650" s="13" t="s">
        <v>70</v>
      </c>
      <c r="G9650" s="14">
        <v>44825</v>
      </c>
      <c r="H9650" s="13" t="s">
        <v>35</v>
      </c>
    </row>
    <row r="9651" spans="1:8" ht="14.4" x14ac:dyDescent="0.3">
      <c r="A9651" s="8">
        <v>2092120</v>
      </c>
      <c r="B9651" s="11">
        <v>44817</v>
      </c>
      <c r="C9651" s="13" t="s">
        <v>221</v>
      </c>
      <c r="D9651" s="13" t="s">
        <v>11726</v>
      </c>
      <c r="E9651" s="8">
        <v>41508</v>
      </c>
      <c r="F9651" s="13" t="s">
        <v>70</v>
      </c>
      <c r="G9651" s="14">
        <v>44819</v>
      </c>
      <c r="H9651" s="13" t="s">
        <v>35</v>
      </c>
    </row>
    <row r="9652" spans="1:8" ht="14.4" x14ac:dyDescent="0.3">
      <c r="A9652" s="8">
        <v>2092121</v>
      </c>
      <c r="B9652" s="11">
        <v>44817</v>
      </c>
      <c r="C9652" s="13" t="s">
        <v>265</v>
      </c>
      <c r="D9652" s="13" t="s">
        <v>11727</v>
      </c>
      <c r="E9652" s="8">
        <v>90575.25</v>
      </c>
      <c r="F9652" s="13" t="s">
        <v>70</v>
      </c>
      <c r="G9652" s="14">
        <v>44820</v>
      </c>
      <c r="H9652" s="13" t="s">
        <v>35</v>
      </c>
    </row>
    <row r="9653" spans="1:8" ht="14.4" x14ac:dyDescent="0.3">
      <c r="A9653" s="8">
        <v>2092122</v>
      </c>
      <c r="B9653" s="11">
        <v>44817</v>
      </c>
      <c r="C9653" s="13" t="s">
        <v>75</v>
      </c>
      <c r="D9653" s="13" t="s">
        <v>11657</v>
      </c>
      <c r="E9653" s="8">
        <v>15000</v>
      </c>
      <c r="F9653" s="13" t="s">
        <v>70</v>
      </c>
      <c r="G9653" s="14">
        <v>44819</v>
      </c>
      <c r="H9653" s="13" t="s">
        <v>35</v>
      </c>
    </row>
    <row r="9654" spans="1:8" ht="14.4" x14ac:dyDescent="0.3">
      <c r="A9654" s="8">
        <v>2092123</v>
      </c>
      <c r="B9654" s="11">
        <v>44817</v>
      </c>
      <c r="C9654" s="13" t="s">
        <v>77</v>
      </c>
      <c r="D9654" s="13" t="s">
        <v>11657</v>
      </c>
      <c r="E9654" s="8">
        <v>10000</v>
      </c>
      <c r="F9654" s="13" t="s">
        <v>70</v>
      </c>
      <c r="G9654" s="14">
        <v>44819</v>
      </c>
      <c r="H9654" s="13" t="s">
        <v>35</v>
      </c>
    </row>
    <row r="9655" spans="1:8" ht="14.4" x14ac:dyDescent="0.3">
      <c r="A9655" s="8">
        <v>2092124</v>
      </c>
      <c r="B9655" s="11">
        <v>44817</v>
      </c>
      <c r="C9655" s="13" t="s">
        <v>2198</v>
      </c>
      <c r="D9655" s="13" t="s">
        <v>11657</v>
      </c>
      <c r="E9655" s="8">
        <v>10000</v>
      </c>
      <c r="F9655" s="13" t="s">
        <v>70</v>
      </c>
      <c r="G9655" s="14">
        <v>44819</v>
      </c>
      <c r="H9655" s="13" t="s">
        <v>35</v>
      </c>
    </row>
    <row r="9656" spans="1:8" ht="14.4" x14ac:dyDescent="0.3">
      <c r="A9656" s="8">
        <v>2092125</v>
      </c>
      <c r="B9656" s="11">
        <v>44817</v>
      </c>
      <c r="C9656" s="13" t="s">
        <v>83</v>
      </c>
      <c r="D9656" s="13" t="s">
        <v>11657</v>
      </c>
      <c r="E9656" s="8">
        <v>10000</v>
      </c>
      <c r="F9656" s="13" t="s">
        <v>70</v>
      </c>
      <c r="G9656" s="14">
        <v>44819</v>
      </c>
      <c r="H9656" s="13" t="s">
        <v>35</v>
      </c>
    </row>
    <row r="9657" spans="1:8" ht="14.4" x14ac:dyDescent="0.3">
      <c r="A9657" s="8">
        <v>2092126</v>
      </c>
      <c r="B9657" s="11">
        <v>44817</v>
      </c>
      <c r="C9657" s="13" t="s">
        <v>2193</v>
      </c>
      <c r="D9657" s="13" t="s">
        <v>11657</v>
      </c>
      <c r="E9657" s="8">
        <v>20000</v>
      </c>
      <c r="F9657" s="13" t="s">
        <v>70</v>
      </c>
      <c r="G9657" s="14">
        <v>44819</v>
      </c>
      <c r="H9657" s="13" t="s">
        <v>35</v>
      </c>
    </row>
    <row r="9658" spans="1:8" ht="14.4" x14ac:dyDescent="0.3">
      <c r="A9658" s="8">
        <v>2092127</v>
      </c>
      <c r="B9658" s="11">
        <v>44817</v>
      </c>
      <c r="C9658" s="13" t="s">
        <v>2194</v>
      </c>
      <c r="D9658" s="13" t="s">
        <v>11657</v>
      </c>
      <c r="E9658" s="8">
        <v>6000</v>
      </c>
      <c r="F9658" s="13" t="s">
        <v>70</v>
      </c>
      <c r="G9658" s="14">
        <v>44823</v>
      </c>
      <c r="H9658" s="13" t="s">
        <v>35</v>
      </c>
    </row>
    <row r="9659" spans="1:8" ht="14.4" x14ac:dyDescent="0.3">
      <c r="A9659" s="8">
        <v>2092128</v>
      </c>
      <c r="B9659" s="11">
        <v>44817</v>
      </c>
      <c r="C9659" s="13" t="s">
        <v>304</v>
      </c>
      <c r="D9659" s="13" t="s">
        <v>11657</v>
      </c>
      <c r="E9659" s="8">
        <v>5000</v>
      </c>
      <c r="F9659" s="13" t="s">
        <v>70</v>
      </c>
      <c r="G9659" s="14">
        <v>44819</v>
      </c>
      <c r="H9659" s="13" t="s">
        <v>35</v>
      </c>
    </row>
    <row r="9660" spans="1:8" ht="14.4" x14ac:dyDescent="0.3">
      <c r="A9660" s="8">
        <v>2092129</v>
      </c>
      <c r="B9660" s="11">
        <v>44817</v>
      </c>
      <c r="C9660" s="13" t="s">
        <v>305</v>
      </c>
      <c r="D9660" s="13" t="s">
        <v>11657</v>
      </c>
      <c r="E9660" s="8">
        <v>3000</v>
      </c>
      <c r="F9660" s="13" t="s">
        <v>70</v>
      </c>
      <c r="G9660" s="14">
        <v>44819</v>
      </c>
      <c r="H9660" s="13" t="s">
        <v>35</v>
      </c>
    </row>
    <row r="9661" spans="1:8" ht="14.4" x14ac:dyDescent="0.3">
      <c r="A9661" s="8">
        <v>2092130</v>
      </c>
      <c r="B9661" s="11">
        <v>44817</v>
      </c>
      <c r="C9661" s="13" t="s">
        <v>2229</v>
      </c>
      <c r="D9661" s="13" t="s">
        <v>11657</v>
      </c>
      <c r="E9661" s="8">
        <v>10000</v>
      </c>
      <c r="F9661" s="13" t="s">
        <v>70</v>
      </c>
      <c r="G9661" s="14">
        <v>44820</v>
      </c>
      <c r="H9661" s="13" t="s">
        <v>35</v>
      </c>
    </row>
    <row r="9662" spans="1:8" ht="14.4" x14ac:dyDescent="0.3">
      <c r="A9662" s="8">
        <v>2092131</v>
      </c>
      <c r="B9662" s="11">
        <v>44817</v>
      </c>
      <c r="C9662" s="13" t="s">
        <v>2230</v>
      </c>
      <c r="D9662" s="13" t="s">
        <v>11657</v>
      </c>
      <c r="E9662" s="8">
        <v>3000</v>
      </c>
      <c r="F9662" s="13" t="s">
        <v>70</v>
      </c>
      <c r="G9662" s="14">
        <v>44820</v>
      </c>
      <c r="H9662" s="13" t="s">
        <v>35</v>
      </c>
    </row>
    <row r="9663" spans="1:8" ht="14.4" x14ac:dyDescent="0.3">
      <c r="A9663" s="8">
        <v>2092132</v>
      </c>
      <c r="B9663" s="11">
        <v>44817</v>
      </c>
      <c r="C9663" s="13" t="s">
        <v>11728</v>
      </c>
      <c r="D9663" s="13" t="s">
        <v>11657</v>
      </c>
      <c r="E9663" s="8">
        <v>20000</v>
      </c>
      <c r="F9663" s="13" t="s">
        <v>70</v>
      </c>
      <c r="G9663" s="14">
        <v>44819</v>
      </c>
      <c r="H9663" s="13" t="s">
        <v>35</v>
      </c>
    </row>
    <row r="9664" spans="1:8" ht="14.4" x14ac:dyDescent="0.3">
      <c r="A9664" s="8">
        <v>2092133</v>
      </c>
      <c r="B9664" s="11">
        <v>44817</v>
      </c>
      <c r="C9664" s="13" t="s">
        <v>8444</v>
      </c>
      <c r="D9664" s="13" t="s">
        <v>11729</v>
      </c>
      <c r="E9664" s="8">
        <v>10000</v>
      </c>
      <c r="F9664" s="13" t="s">
        <v>70</v>
      </c>
      <c r="G9664" s="14">
        <v>44819</v>
      </c>
      <c r="H9664" s="13" t="s">
        <v>35</v>
      </c>
    </row>
    <row r="9665" spans="1:8" ht="14.4" x14ac:dyDescent="0.3">
      <c r="A9665" s="8">
        <v>2092134</v>
      </c>
      <c r="B9665" s="11">
        <v>44817</v>
      </c>
      <c r="C9665" s="13" t="s">
        <v>8446</v>
      </c>
      <c r="D9665" s="13" t="s">
        <v>11657</v>
      </c>
      <c r="E9665" s="8">
        <v>5000</v>
      </c>
      <c r="F9665" s="13" t="s">
        <v>70</v>
      </c>
      <c r="G9665" s="14">
        <v>44831</v>
      </c>
      <c r="H9665" s="13" t="s">
        <v>35</v>
      </c>
    </row>
    <row r="9666" spans="1:8" ht="14.4" x14ac:dyDescent="0.3">
      <c r="A9666" s="8">
        <v>2092135</v>
      </c>
      <c r="B9666" s="11">
        <v>44817</v>
      </c>
      <c r="C9666" s="13" t="s">
        <v>11730</v>
      </c>
      <c r="D9666" s="13" t="s">
        <v>11657</v>
      </c>
      <c r="E9666" s="8">
        <v>3000</v>
      </c>
      <c r="F9666" s="13" t="s">
        <v>70</v>
      </c>
      <c r="G9666" s="14">
        <v>44819</v>
      </c>
      <c r="H9666" s="13" t="s">
        <v>35</v>
      </c>
    </row>
    <row r="9667" spans="1:8" ht="14.4" x14ac:dyDescent="0.3">
      <c r="A9667" s="8">
        <v>2092136</v>
      </c>
      <c r="B9667" s="11">
        <v>44817</v>
      </c>
      <c r="C9667" s="13" t="s">
        <v>11731</v>
      </c>
      <c r="D9667" s="13" t="s">
        <v>11657</v>
      </c>
      <c r="E9667" s="8">
        <v>20000</v>
      </c>
      <c r="F9667" s="13" t="s">
        <v>70</v>
      </c>
      <c r="G9667" s="14">
        <v>44820</v>
      </c>
      <c r="H9667" s="13" t="s">
        <v>35</v>
      </c>
    </row>
    <row r="9668" spans="1:8" ht="14.4" x14ac:dyDescent="0.3">
      <c r="A9668" s="8">
        <v>2092137</v>
      </c>
      <c r="B9668" s="11">
        <v>44817</v>
      </c>
      <c r="C9668" s="13" t="s">
        <v>5005</v>
      </c>
      <c r="D9668" s="13" t="s">
        <v>11327</v>
      </c>
      <c r="E9668" s="8">
        <v>3000</v>
      </c>
      <c r="F9668" s="13" t="s">
        <v>70</v>
      </c>
      <c r="G9668" s="14">
        <v>44818</v>
      </c>
      <c r="H9668" s="13" t="s">
        <v>35</v>
      </c>
    </row>
    <row r="9669" spans="1:8" ht="14.4" x14ac:dyDescent="0.3">
      <c r="A9669" s="8">
        <v>2092138</v>
      </c>
      <c r="B9669" s="11">
        <v>44817</v>
      </c>
      <c r="C9669" s="13" t="s">
        <v>2571</v>
      </c>
      <c r="D9669" s="13" t="s">
        <v>4896</v>
      </c>
      <c r="E9669" s="8">
        <v>747035.89</v>
      </c>
      <c r="F9669" s="13" t="s">
        <v>70</v>
      </c>
      <c r="G9669" s="14">
        <v>44819</v>
      </c>
      <c r="H9669" s="13" t="s">
        <v>35</v>
      </c>
    </row>
    <row r="9670" spans="1:8" ht="14.4" x14ac:dyDescent="0.3">
      <c r="A9670" s="8">
        <v>2092139</v>
      </c>
      <c r="B9670" s="11">
        <v>44817</v>
      </c>
      <c r="C9670" s="13" t="s">
        <v>11732</v>
      </c>
      <c r="D9670" s="13" t="s">
        <v>11733</v>
      </c>
      <c r="E9670" s="8">
        <v>1920</v>
      </c>
      <c r="F9670" s="13" t="s">
        <v>70</v>
      </c>
      <c r="G9670" s="14">
        <v>44834</v>
      </c>
      <c r="H9670" s="13" t="s">
        <v>35</v>
      </c>
    </row>
    <row r="9671" spans="1:8" ht="14.4" x14ac:dyDescent="0.3">
      <c r="A9671" s="8">
        <v>2092140</v>
      </c>
      <c r="B9671" s="11">
        <v>44817</v>
      </c>
      <c r="C9671" s="13" t="s">
        <v>39</v>
      </c>
      <c r="D9671" s="13" t="s">
        <v>11733</v>
      </c>
      <c r="E9671" s="8">
        <v>5760</v>
      </c>
      <c r="F9671" s="13" t="s">
        <v>70</v>
      </c>
      <c r="G9671" s="14">
        <v>44831</v>
      </c>
      <c r="H9671" s="13" t="s">
        <v>35</v>
      </c>
    </row>
    <row r="9672" spans="1:8" ht="14.4" x14ac:dyDescent="0.3">
      <c r="A9672" s="8">
        <v>2092141</v>
      </c>
      <c r="B9672" s="11">
        <v>44817</v>
      </c>
      <c r="C9672" s="13" t="s">
        <v>40</v>
      </c>
      <c r="D9672" s="13" t="s">
        <v>11733</v>
      </c>
      <c r="E9672" s="8">
        <v>6480</v>
      </c>
      <c r="F9672" s="13" t="s">
        <v>70</v>
      </c>
      <c r="G9672" s="14">
        <v>44827</v>
      </c>
      <c r="H9672" s="13" t="s">
        <v>35</v>
      </c>
    </row>
    <row r="9673" spans="1:8" ht="14.4" x14ac:dyDescent="0.3">
      <c r="A9673" s="8">
        <v>2092142</v>
      </c>
      <c r="B9673" s="11">
        <v>44817</v>
      </c>
      <c r="C9673" s="13" t="s">
        <v>893</v>
      </c>
      <c r="D9673" s="13" t="s">
        <v>11734</v>
      </c>
      <c r="E9673" s="8">
        <v>273000</v>
      </c>
      <c r="F9673" s="13" t="s">
        <v>70</v>
      </c>
      <c r="G9673" s="14">
        <v>44825</v>
      </c>
      <c r="H9673" s="13" t="s">
        <v>35</v>
      </c>
    </row>
    <row r="9674" spans="1:8" ht="14.4" x14ac:dyDescent="0.3">
      <c r="A9674" s="8">
        <v>2092143</v>
      </c>
      <c r="B9674" s="11">
        <v>44817</v>
      </c>
      <c r="C9674" s="13" t="s">
        <v>221</v>
      </c>
      <c r="D9674" s="13" t="s">
        <v>11735</v>
      </c>
      <c r="E9674" s="8">
        <v>41122</v>
      </c>
      <c r="F9674" s="13" t="s">
        <v>70</v>
      </c>
      <c r="G9674" s="14">
        <v>44819</v>
      </c>
      <c r="H9674" s="13" t="s">
        <v>35</v>
      </c>
    </row>
    <row r="9675" spans="1:8" ht="14.4" x14ac:dyDescent="0.3">
      <c r="A9675" s="8">
        <v>2092144</v>
      </c>
      <c r="B9675" s="11">
        <v>44817</v>
      </c>
      <c r="C9675" s="13" t="s">
        <v>122</v>
      </c>
      <c r="D9675" s="13" t="s">
        <v>11736</v>
      </c>
      <c r="E9675" s="8">
        <v>244440</v>
      </c>
      <c r="F9675" s="13" t="s">
        <v>70</v>
      </c>
      <c r="G9675" s="14">
        <v>44819</v>
      </c>
      <c r="H9675" s="13" t="s">
        <v>35</v>
      </c>
    </row>
    <row r="9676" spans="1:8" ht="14.4" x14ac:dyDescent="0.3">
      <c r="A9676" s="8">
        <v>2092145</v>
      </c>
      <c r="B9676" s="11">
        <v>44817</v>
      </c>
      <c r="C9676" s="13" t="s">
        <v>122</v>
      </c>
      <c r="D9676" s="13" t="s">
        <v>11737</v>
      </c>
      <c r="E9676" s="8">
        <v>108640</v>
      </c>
      <c r="F9676" s="13" t="s">
        <v>70</v>
      </c>
      <c r="G9676" s="14">
        <v>44819</v>
      </c>
      <c r="H9676" s="13" t="s">
        <v>35</v>
      </c>
    </row>
    <row r="9677" spans="1:8" ht="14.4" x14ac:dyDescent="0.3">
      <c r="A9677" s="8">
        <v>2092146</v>
      </c>
      <c r="B9677" s="11">
        <v>44817</v>
      </c>
      <c r="C9677" s="13" t="s">
        <v>122</v>
      </c>
      <c r="D9677" s="13" t="s">
        <v>11738</v>
      </c>
      <c r="E9677" s="8">
        <v>184300</v>
      </c>
      <c r="F9677" s="13" t="s">
        <v>70</v>
      </c>
      <c r="G9677" s="14">
        <v>44819</v>
      </c>
      <c r="H9677" s="13" t="s">
        <v>35</v>
      </c>
    </row>
    <row r="9678" spans="1:8" ht="14.4" x14ac:dyDescent="0.3">
      <c r="A9678" s="8">
        <v>2092147</v>
      </c>
      <c r="B9678" s="11">
        <v>44817</v>
      </c>
      <c r="C9678" s="13" t="s">
        <v>44</v>
      </c>
      <c r="D9678" s="13" t="s">
        <v>11739</v>
      </c>
      <c r="E9678" s="8">
        <v>113903.72</v>
      </c>
      <c r="F9678" s="13" t="s">
        <v>70</v>
      </c>
      <c r="G9678" s="14">
        <v>44820</v>
      </c>
      <c r="H9678" s="13" t="s">
        <v>35</v>
      </c>
    </row>
    <row r="9679" spans="1:8" ht="14.4" x14ac:dyDescent="0.3">
      <c r="A9679" s="8">
        <v>2092148</v>
      </c>
      <c r="B9679" s="11">
        <v>44817</v>
      </c>
      <c r="C9679" s="13" t="s">
        <v>42</v>
      </c>
      <c r="D9679" s="13" t="s">
        <v>11740</v>
      </c>
      <c r="E9679" s="8">
        <v>5819.27</v>
      </c>
      <c r="F9679" s="13" t="s">
        <v>70</v>
      </c>
      <c r="G9679" s="14">
        <v>44818</v>
      </c>
      <c r="H9679" s="13" t="s">
        <v>35</v>
      </c>
    </row>
    <row r="9680" spans="1:8" ht="14.4" x14ac:dyDescent="0.3">
      <c r="A9680" s="8">
        <v>2092149</v>
      </c>
      <c r="B9680" s="11">
        <v>44817</v>
      </c>
      <c r="C9680" s="13" t="s">
        <v>110</v>
      </c>
      <c r="D9680" s="13" t="s">
        <v>11657</v>
      </c>
      <c r="E9680" s="8">
        <v>6000</v>
      </c>
      <c r="F9680" s="13" t="s">
        <v>70</v>
      </c>
      <c r="G9680" s="14">
        <v>44818</v>
      </c>
      <c r="H9680" s="13" t="s">
        <v>35</v>
      </c>
    </row>
    <row r="9681" spans="1:8" ht="14.4" x14ac:dyDescent="0.3">
      <c r="A9681" s="8">
        <v>2092150</v>
      </c>
      <c r="B9681" s="11">
        <v>44817</v>
      </c>
      <c r="C9681" s="13" t="s">
        <v>562</v>
      </c>
      <c r="D9681" s="13" t="s">
        <v>11741</v>
      </c>
      <c r="E9681" s="8">
        <v>6000</v>
      </c>
      <c r="F9681" s="13" t="s">
        <v>70</v>
      </c>
      <c r="G9681" s="14">
        <v>44818</v>
      </c>
      <c r="H9681" s="13" t="s">
        <v>35</v>
      </c>
    </row>
    <row r="9682" spans="1:8" ht="14.4" x14ac:dyDescent="0.3">
      <c r="A9682" s="8">
        <v>2092151</v>
      </c>
      <c r="B9682" s="11">
        <v>44817</v>
      </c>
      <c r="C9682" s="13" t="s">
        <v>1276</v>
      </c>
      <c r="D9682" s="13" t="s">
        <v>11742</v>
      </c>
      <c r="E9682" s="8">
        <v>58200</v>
      </c>
      <c r="F9682" s="13" t="s">
        <v>70</v>
      </c>
      <c r="G9682" s="14">
        <v>44820</v>
      </c>
      <c r="H9682" s="13" t="s">
        <v>35</v>
      </c>
    </row>
    <row r="9683" spans="1:8" ht="14.4" x14ac:dyDescent="0.3">
      <c r="A9683" s="8">
        <v>2092152</v>
      </c>
      <c r="B9683" s="11">
        <v>44817</v>
      </c>
      <c r="C9683" s="13" t="s">
        <v>363</v>
      </c>
      <c r="D9683" s="13" t="s">
        <v>11743</v>
      </c>
      <c r="E9683" s="8">
        <v>38682.5</v>
      </c>
      <c r="F9683" s="13" t="s">
        <v>70</v>
      </c>
      <c r="G9683" s="14">
        <v>44819</v>
      </c>
      <c r="H9683" s="13" t="s">
        <v>35</v>
      </c>
    </row>
    <row r="9684" spans="1:8" ht="14.4" x14ac:dyDescent="0.3">
      <c r="A9684" s="8">
        <v>2092153</v>
      </c>
      <c r="B9684" s="11">
        <v>44817</v>
      </c>
      <c r="C9684" s="13" t="s">
        <v>26</v>
      </c>
      <c r="D9684" s="13" t="s">
        <v>11744</v>
      </c>
      <c r="E9684" s="8">
        <v>75000</v>
      </c>
      <c r="F9684" s="13" t="s">
        <v>70</v>
      </c>
      <c r="G9684" s="14">
        <v>44823</v>
      </c>
      <c r="H9684" s="13" t="s">
        <v>35</v>
      </c>
    </row>
    <row r="9685" spans="1:8" ht="14.4" x14ac:dyDescent="0.3">
      <c r="A9685" s="8">
        <v>2092154</v>
      </c>
      <c r="B9685" s="11">
        <v>44817</v>
      </c>
      <c r="C9685" s="13" t="s">
        <v>159</v>
      </c>
      <c r="D9685" s="13" t="s">
        <v>11745</v>
      </c>
      <c r="E9685" s="8">
        <v>426900</v>
      </c>
      <c r="F9685" s="13" t="s">
        <v>70</v>
      </c>
      <c r="G9685" s="14">
        <v>44817</v>
      </c>
      <c r="H9685" s="13" t="s">
        <v>35</v>
      </c>
    </row>
    <row r="9686" spans="1:8" ht="14.4" x14ac:dyDescent="0.3">
      <c r="A9686" s="8">
        <v>2092155</v>
      </c>
      <c r="B9686" s="11">
        <v>44817</v>
      </c>
      <c r="C9686" s="13" t="s">
        <v>2480</v>
      </c>
      <c r="D9686" s="13" t="s">
        <v>11746</v>
      </c>
      <c r="E9686" s="8">
        <v>90800</v>
      </c>
      <c r="F9686" s="13" t="s">
        <v>70</v>
      </c>
      <c r="G9686" s="14">
        <v>44826</v>
      </c>
      <c r="H9686" s="13" t="s">
        <v>35</v>
      </c>
    </row>
    <row r="9687" spans="1:8" ht="14.4" x14ac:dyDescent="0.3">
      <c r="A9687" s="8">
        <v>2092156</v>
      </c>
      <c r="B9687" s="11">
        <v>44817</v>
      </c>
      <c r="C9687" s="13" t="s">
        <v>11747</v>
      </c>
      <c r="D9687" s="13" t="s">
        <v>11748</v>
      </c>
      <c r="E9687" s="8">
        <v>8133.48</v>
      </c>
      <c r="F9687" s="13" t="s">
        <v>70</v>
      </c>
      <c r="G9687" s="14">
        <v>44818</v>
      </c>
      <c r="H9687" s="13" t="s">
        <v>35</v>
      </c>
    </row>
    <row r="9688" spans="1:8" ht="14.4" x14ac:dyDescent="0.3">
      <c r="A9688" s="8">
        <v>2092157</v>
      </c>
      <c r="B9688" s="11">
        <v>44817</v>
      </c>
      <c r="C9688" s="13" t="s">
        <v>275</v>
      </c>
      <c r="D9688" s="13" t="s">
        <v>11749</v>
      </c>
      <c r="E9688" s="8">
        <v>219857.89</v>
      </c>
      <c r="F9688" s="13" t="s">
        <v>70</v>
      </c>
      <c r="G9688" s="14">
        <v>44818</v>
      </c>
      <c r="H9688" s="13" t="s">
        <v>35</v>
      </c>
    </row>
    <row r="9689" spans="1:8" ht="14.4" x14ac:dyDescent="0.3">
      <c r="A9689" s="8">
        <v>2092158</v>
      </c>
      <c r="B9689" s="11">
        <v>44817</v>
      </c>
      <c r="C9689" s="13" t="s">
        <v>11750</v>
      </c>
      <c r="D9689" s="13" t="s">
        <v>2616</v>
      </c>
      <c r="E9689" s="8">
        <v>11005.28</v>
      </c>
      <c r="F9689" s="13" t="s">
        <v>70</v>
      </c>
      <c r="G9689" s="14">
        <v>44818</v>
      </c>
      <c r="H9689" s="13" t="s">
        <v>35</v>
      </c>
    </row>
    <row r="9690" spans="1:8" ht="14.4" x14ac:dyDescent="0.3">
      <c r="A9690" s="8">
        <v>2092159</v>
      </c>
      <c r="B9690" s="11">
        <v>44817</v>
      </c>
      <c r="C9690" s="13" t="s">
        <v>153</v>
      </c>
      <c r="D9690" s="13" t="s">
        <v>11751</v>
      </c>
      <c r="E9690" s="8">
        <v>73679.5</v>
      </c>
      <c r="F9690" s="13" t="s">
        <v>70</v>
      </c>
      <c r="G9690" s="14">
        <v>44819</v>
      </c>
      <c r="H9690" s="13" t="s">
        <v>35</v>
      </c>
    </row>
    <row r="9691" spans="1:8" ht="14.4" x14ac:dyDescent="0.3">
      <c r="A9691" s="8">
        <v>2092160</v>
      </c>
      <c r="B9691" s="11">
        <v>44817</v>
      </c>
      <c r="C9691" s="13" t="s">
        <v>363</v>
      </c>
      <c r="D9691" s="13" t="s">
        <v>11752</v>
      </c>
      <c r="E9691" s="8">
        <v>41662.9</v>
      </c>
      <c r="F9691" s="13" t="s">
        <v>70</v>
      </c>
      <c r="G9691" s="14">
        <v>44819</v>
      </c>
      <c r="H9691" s="13" t="s">
        <v>35</v>
      </c>
    </row>
    <row r="9692" spans="1:8" ht="14.4" x14ac:dyDescent="0.3">
      <c r="A9692" s="8">
        <v>2092161</v>
      </c>
      <c r="B9692" s="11">
        <v>44817</v>
      </c>
      <c r="C9692" s="13" t="s">
        <v>1286</v>
      </c>
      <c r="D9692" s="13" t="s">
        <v>11753</v>
      </c>
      <c r="E9692" s="8">
        <v>5218.92</v>
      </c>
      <c r="F9692" s="13" t="s">
        <v>70</v>
      </c>
      <c r="G9692" s="14">
        <v>44818</v>
      </c>
      <c r="H9692" s="13" t="s">
        <v>35</v>
      </c>
    </row>
    <row r="9693" spans="1:8" ht="14.4" x14ac:dyDescent="0.3">
      <c r="A9693" s="8">
        <v>2092162</v>
      </c>
      <c r="B9693" s="11">
        <v>44817</v>
      </c>
      <c r="C9693" s="13" t="s">
        <v>3126</v>
      </c>
      <c r="D9693" s="13" t="s">
        <v>11754</v>
      </c>
      <c r="E9693" s="8">
        <v>1145000</v>
      </c>
      <c r="F9693" s="13" t="s">
        <v>70</v>
      </c>
      <c r="G9693" s="14">
        <v>44819</v>
      </c>
      <c r="H9693" s="13" t="s">
        <v>35</v>
      </c>
    </row>
    <row r="9694" spans="1:8" ht="14.4" x14ac:dyDescent="0.3">
      <c r="A9694" s="8">
        <v>2092163</v>
      </c>
      <c r="B9694" s="11">
        <v>44817</v>
      </c>
      <c r="C9694" s="13" t="s">
        <v>26</v>
      </c>
      <c r="D9694" s="13" t="s">
        <v>11755</v>
      </c>
      <c r="E9694" s="8">
        <v>14062.5</v>
      </c>
      <c r="F9694" s="13" t="s">
        <v>70</v>
      </c>
      <c r="G9694" s="14">
        <v>44823</v>
      </c>
      <c r="H9694" s="13" t="s">
        <v>35</v>
      </c>
    </row>
    <row r="9695" spans="1:8" ht="14.4" x14ac:dyDescent="0.3">
      <c r="A9695" s="8">
        <v>2092164</v>
      </c>
      <c r="B9695" s="11">
        <v>44817</v>
      </c>
      <c r="C9695" s="13" t="s">
        <v>26</v>
      </c>
      <c r="D9695" s="13" t="s">
        <v>11756</v>
      </c>
      <c r="E9695" s="8">
        <v>71741.25</v>
      </c>
      <c r="F9695" s="13" t="s">
        <v>70</v>
      </c>
      <c r="G9695" s="14">
        <v>44823</v>
      </c>
      <c r="H9695" s="13" t="s">
        <v>35</v>
      </c>
    </row>
    <row r="9696" spans="1:8" ht="14.4" x14ac:dyDescent="0.3">
      <c r="A9696" s="8">
        <v>2092165</v>
      </c>
      <c r="B9696" s="11">
        <v>44817</v>
      </c>
      <c r="C9696" s="13" t="s">
        <v>11757</v>
      </c>
      <c r="D9696" s="13" t="s">
        <v>4016</v>
      </c>
      <c r="E9696" s="8">
        <v>6000</v>
      </c>
      <c r="F9696" s="13" t="s">
        <v>70</v>
      </c>
      <c r="G9696" s="14">
        <v>44820</v>
      </c>
      <c r="H9696" s="13" t="s">
        <v>35</v>
      </c>
    </row>
    <row r="9697" spans="1:8" ht="14.4" x14ac:dyDescent="0.3">
      <c r="A9697" s="8">
        <v>2092166</v>
      </c>
      <c r="B9697" s="11">
        <v>44817</v>
      </c>
      <c r="C9697" s="13" t="s">
        <v>11758</v>
      </c>
      <c r="D9697" s="13" t="s">
        <v>4016</v>
      </c>
      <c r="E9697" s="8">
        <v>6000</v>
      </c>
      <c r="F9697" s="13" t="s">
        <v>70</v>
      </c>
      <c r="G9697" s="14">
        <v>44823</v>
      </c>
      <c r="H9697" s="13" t="s">
        <v>35</v>
      </c>
    </row>
    <row r="9698" spans="1:8" ht="14.4" x14ac:dyDescent="0.3">
      <c r="A9698" s="8">
        <v>2092167</v>
      </c>
      <c r="B9698" s="11">
        <v>44817</v>
      </c>
      <c r="C9698" s="13" t="s">
        <v>11759</v>
      </c>
      <c r="D9698" s="13" t="s">
        <v>4016</v>
      </c>
      <c r="E9698" s="8">
        <v>6000</v>
      </c>
      <c r="F9698" s="13" t="s">
        <v>70</v>
      </c>
      <c r="G9698" s="14">
        <v>44820</v>
      </c>
      <c r="H9698" s="13" t="s">
        <v>35</v>
      </c>
    </row>
    <row r="9699" spans="1:8" ht="14.4" x14ac:dyDescent="0.3">
      <c r="A9699" s="8">
        <v>2092168</v>
      </c>
      <c r="B9699" s="11">
        <v>44817</v>
      </c>
      <c r="C9699" s="13" t="s">
        <v>11760</v>
      </c>
      <c r="D9699" s="13" t="s">
        <v>7705</v>
      </c>
      <c r="E9699" s="8">
        <v>6000</v>
      </c>
      <c r="F9699" s="13" t="s">
        <v>70</v>
      </c>
      <c r="G9699" s="14">
        <v>44818</v>
      </c>
      <c r="H9699" s="13" t="s">
        <v>35</v>
      </c>
    </row>
    <row r="9700" spans="1:8" ht="14.4" x14ac:dyDescent="0.3">
      <c r="A9700" s="8">
        <v>2092169</v>
      </c>
      <c r="B9700" s="11">
        <v>44817</v>
      </c>
      <c r="C9700" s="13" t="s">
        <v>11761</v>
      </c>
      <c r="D9700" s="13" t="s">
        <v>11762</v>
      </c>
      <c r="E9700" s="8">
        <v>30000</v>
      </c>
      <c r="F9700" s="13" t="s">
        <v>70</v>
      </c>
      <c r="G9700" s="14">
        <v>44819</v>
      </c>
      <c r="H9700" s="13" t="s">
        <v>35</v>
      </c>
    </row>
    <row r="9701" spans="1:8" ht="14.4" x14ac:dyDescent="0.3">
      <c r="A9701" s="8">
        <v>2092170</v>
      </c>
      <c r="B9701" s="11">
        <v>44817</v>
      </c>
      <c r="C9701" s="13" t="s">
        <v>11763</v>
      </c>
      <c r="D9701" s="13" t="s">
        <v>11764</v>
      </c>
      <c r="E9701" s="8">
        <v>30000</v>
      </c>
      <c r="F9701" s="13" t="s">
        <v>70</v>
      </c>
      <c r="G9701" s="14">
        <v>44819</v>
      </c>
      <c r="H9701" s="13" t="s">
        <v>35</v>
      </c>
    </row>
    <row r="9702" spans="1:8" ht="14.4" x14ac:dyDescent="0.3">
      <c r="A9702" s="8">
        <v>2092171</v>
      </c>
      <c r="B9702" s="11">
        <v>44817</v>
      </c>
      <c r="C9702" s="13" t="s">
        <v>11765</v>
      </c>
      <c r="D9702" s="13" t="s">
        <v>11766</v>
      </c>
      <c r="E9702" s="8">
        <v>6000</v>
      </c>
      <c r="F9702" s="13" t="s">
        <v>70</v>
      </c>
      <c r="G9702" s="14">
        <v>44819</v>
      </c>
      <c r="H9702" s="13" t="s">
        <v>35</v>
      </c>
    </row>
    <row r="9703" spans="1:8" ht="14.4" x14ac:dyDescent="0.3">
      <c r="A9703" s="8">
        <v>2092172</v>
      </c>
      <c r="B9703" s="11">
        <v>44817</v>
      </c>
      <c r="C9703" s="13" t="s">
        <v>11767</v>
      </c>
      <c r="D9703" s="13" t="s">
        <v>11768</v>
      </c>
      <c r="E9703" s="8">
        <v>28000</v>
      </c>
      <c r="F9703" s="13" t="s">
        <v>70</v>
      </c>
      <c r="G9703" s="14">
        <v>44819</v>
      </c>
      <c r="H9703" s="13" t="s">
        <v>35</v>
      </c>
    </row>
    <row r="9704" spans="1:8" ht="14.4" x14ac:dyDescent="0.3">
      <c r="A9704" s="8">
        <v>2092173</v>
      </c>
      <c r="B9704" s="11">
        <v>44817</v>
      </c>
      <c r="C9704" s="13" t="s">
        <v>11769</v>
      </c>
      <c r="D9704" s="13" t="s">
        <v>11770</v>
      </c>
      <c r="E9704" s="8">
        <v>27000</v>
      </c>
      <c r="F9704" s="13" t="s">
        <v>70</v>
      </c>
      <c r="G9704" s="14">
        <v>44819</v>
      </c>
      <c r="H9704" s="13" t="s">
        <v>35</v>
      </c>
    </row>
    <row r="9705" spans="1:8" ht="14.4" x14ac:dyDescent="0.3">
      <c r="A9705" s="8">
        <v>2092174</v>
      </c>
      <c r="B9705" s="11">
        <v>44817</v>
      </c>
      <c r="C9705" s="13" t="s">
        <v>11771</v>
      </c>
      <c r="D9705" s="13" t="s">
        <v>11772</v>
      </c>
      <c r="E9705" s="8">
        <v>10000</v>
      </c>
      <c r="F9705" s="13" t="s">
        <v>70</v>
      </c>
      <c r="G9705" s="14">
        <v>44819</v>
      </c>
      <c r="H9705" s="13" t="s">
        <v>35</v>
      </c>
    </row>
    <row r="9706" spans="1:8" ht="14.4" x14ac:dyDescent="0.3">
      <c r="A9706" s="8">
        <v>2092175</v>
      </c>
      <c r="B9706" s="11">
        <v>44817</v>
      </c>
      <c r="C9706" s="13" t="s">
        <v>11773</v>
      </c>
      <c r="D9706" s="13" t="s">
        <v>11774</v>
      </c>
      <c r="E9706" s="8">
        <v>20000</v>
      </c>
      <c r="F9706" s="13" t="s">
        <v>70</v>
      </c>
      <c r="G9706" s="14">
        <v>44819</v>
      </c>
      <c r="H9706" s="13" t="s">
        <v>35</v>
      </c>
    </row>
    <row r="9707" spans="1:8" ht="14.4" x14ac:dyDescent="0.3">
      <c r="A9707" s="8">
        <v>2092176</v>
      </c>
      <c r="B9707" s="11">
        <v>44817</v>
      </c>
      <c r="C9707" s="13" t="s">
        <v>11775</v>
      </c>
      <c r="D9707" s="13" t="s">
        <v>11776</v>
      </c>
      <c r="E9707" s="8">
        <v>21000</v>
      </c>
      <c r="F9707" s="13" t="s">
        <v>70</v>
      </c>
      <c r="G9707" s="14">
        <v>44819</v>
      </c>
      <c r="H9707" s="13" t="s">
        <v>35</v>
      </c>
    </row>
    <row r="9708" spans="1:8" ht="14.4" x14ac:dyDescent="0.3">
      <c r="A9708" s="8">
        <v>2092177</v>
      </c>
      <c r="B9708" s="11">
        <v>44817</v>
      </c>
      <c r="C9708" s="13" t="s">
        <v>11777</v>
      </c>
      <c r="D9708" s="13" t="s">
        <v>11778</v>
      </c>
      <c r="E9708" s="8">
        <v>19000</v>
      </c>
      <c r="F9708" s="13" t="s">
        <v>70</v>
      </c>
      <c r="G9708" s="14">
        <v>44819</v>
      </c>
      <c r="H9708" s="13" t="s">
        <v>35</v>
      </c>
    </row>
    <row r="9709" spans="1:8" ht="14.4" x14ac:dyDescent="0.3">
      <c r="A9709" s="8">
        <v>2092178</v>
      </c>
      <c r="B9709" s="11">
        <v>44817</v>
      </c>
      <c r="C9709" s="13" t="s">
        <v>1363</v>
      </c>
      <c r="D9709" s="13" t="s">
        <v>47</v>
      </c>
      <c r="E9709" s="8">
        <v>15000</v>
      </c>
      <c r="F9709" s="13" t="s">
        <v>70</v>
      </c>
      <c r="G9709" s="14">
        <v>44819</v>
      </c>
      <c r="H9709" s="13" t="s">
        <v>35</v>
      </c>
    </row>
    <row r="9710" spans="1:8" ht="14.4" x14ac:dyDescent="0.3">
      <c r="A9710" s="8">
        <v>2092179</v>
      </c>
      <c r="B9710" s="11">
        <v>44817</v>
      </c>
      <c r="C9710" s="13" t="s">
        <v>11779</v>
      </c>
      <c r="D9710" s="13" t="s">
        <v>11780</v>
      </c>
      <c r="E9710" s="8">
        <v>10000</v>
      </c>
      <c r="F9710" s="13" t="s">
        <v>70</v>
      </c>
      <c r="G9710" s="14">
        <v>44819</v>
      </c>
      <c r="H9710" s="13" t="s">
        <v>35</v>
      </c>
    </row>
    <row r="9711" spans="1:8" ht="14.4" x14ac:dyDescent="0.3">
      <c r="A9711" s="8">
        <v>2092180</v>
      </c>
      <c r="B9711" s="11">
        <v>44817</v>
      </c>
      <c r="C9711" s="13" t="s">
        <v>11781</v>
      </c>
      <c r="D9711" s="13" t="s">
        <v>11782</v>
      </c>
      <c r="E9711" s="8">
        <v>50000</v>
      </c>
      <c r="F9711" s="13" t="s">
        <v>70</v>
      </c>
      <c r="G9711" s="14">
        <v>44820</v>
      </c>
      <c r="H9711" s="13" t="s">
        <v>35</v>
      </c>
    </row>
    <row r="9712" spans="1:8" ht="14.4" x14ac:dyDescent="0.3">
      <c r="A9712" s="8">
        <v>2092181</v>
      </c>
      <c r="B9712" s="11">
        <v>44817</v>
      </c>
      <c r="C9712" s="13" t="s">
        <v>11783</v>
      </c>
      <c r="D9712" s="13" t="s">
        <v>11784</v>
      </c>
      <c r="E9712" s="8">
        <v>25000</v>
      </c>
      <c r="F9712" s="13" t="s">
        <v>70</v>
      </c>
      <c r="G9712" s="14">
        <v>44819</v>
      </c>
      <c r="H9712" s="13" t="s">
        <v>35</v>
      </c>
    </row>
    <row r="9713" spans="1:8" ht="14.4" x14ac:dyDescent="0.3">
      <c r="A9713" s="8">
        <v>2092182</v>
      </c>
      <c r="B9713" s="11">
        <v>44817</v>
      </c>
      <c r="C9713" s="13" t="s">
        <v>11785</v>
      </c>
      <c r="D9713" s="13" t="s">
        <v>11786</v>
      </c>
      <c r="E9713" s="8">
        <v>13000</v>
      </c>
      <c r="F9713" s="13" t="s">
        <v>70</v>
      </c>
      <c r="G9713" s="14">
        <v>44819</v>
      </c>
      <c r="H9713" s="13" t="s">
        <v>35</v>
      </c>
    </row>
    <row r="9714" spans="1:8" ht="14.4" x14ac:dyDescent="0.3">
      <c r="A9714" s="8">
        <v>2092183</v>
      </c>
      <c r="B9714" s="11">
        <v>44817</v>
      </c>
      <c r="C9714" s="13" t="s">
        <v>11787</v>
      </c>
      <c r="D9714" s="13" t="s">
        <v>11788</v>
      </c>
      <c r="E9714" s="8">
        <v>12000</v>
      </c>
      <c r="F9714" s="13" t="s">
        <v>70</v>
      </c>
      <c r="G9714" s="14">
        <v>44819</v>
      </c>
      <c r="H9714" s="13" t="s">
        <v>35</v>
      </c>
    </row>
    <row r="9715" spans="1:8" ht="14.4" x14ac:dyDescent="0.3">
      <c r="A9715" s="8">
        <v>2092184</v>
      </c>
      <c r="B9715" s="11">
        <v>44817</v>
      </c>
      <c r="C9715" s="13" t="s">
        <v>11789</v>
      </c>
      <c r="D9715" s="13" t="s">
        <v>11790</v>
      </c>
      <c r="E9715" s="8">
        <v>8000</v>
      </c>
      <c r="F9715" s="13" t="s">
        <v>70</v>
      </c>
      <c r="G9715" s="14">
        <v>44823</v>
      </c>
      <c r="H9715" s="13" t="s">
        <v>35</v>
      </c>
    </row>
    <row r="9716" spans="1:8" ht="14.4" x14ac:dyDescent="0.3">
      <c r="A9716" s="8">
        <v>2092185</v>
      </c>
      <c r="B9716" s="11">
        <v>44817</v>
      </c>
      <c r="C9716" s="13" t="s">
        <v>11791</v>
      </c>
      <c r="D9716" s="13" t="s">
        <v>11792</v>
      </c>
      <c r="E9716" s="8">
        <v>11000</v>
      </c>
      <c r="F9716" s="13" t="s">
        <v>70</v>
      </c>
      <c r="G9716" s="14">
        <v>44819</v>
      </c>
      <c r="H9716" s="13" t="s">
        <v>35</v>
      </c>
    </row>
    <row r="9717" spans="1:8" ht="14.4" x14ac:dyDescent="0.3">
      <c r="A9717" s="8">
        <v>2092186</v>
      </c>
      <c r="B9717" s="11">
        <v>44817</v>
      </c>
      <c r="C9717" s="13" t="s">
        <v>11793</v>
      </c>
      <c r="D9717" s="13" t="s">
        <v>11794</v>
      </c>
      <c r="E9717" s="8">
        <v>15000</v>
      </c>
      <c r="F9717" s="13" t="s">
        <v>70</v>
      </c>
      <c r="G9717" s="14">
        <v>44819</v>
      </c>
      <c r="H9717" s="13" t="s">
        <v>35</v>
      </c>
    </row>
    <row r="9718" spans="1:8" ht="14.4" x14ac:dyDescent="0.3">
      <c r="A9718" s="8">
        <v>2092187</v>
      </c>
      <c r="B9718" s="11">
        <v>44817</v>
      </c>
      <c r="C9718" s="13" t="s">
        <v>11795</v>
      </c>
      <c r="D9718" s="13" t="s">
        <v>11796</v>
      </c>
      <c r="E9718" s="8">
        <v>13000</v>
      </c>
      <c r="F9718" s="13" t="s">
        <v>70</v>
      </c>
      <c r="G9718" s="14">
        <v>44819</v>
      </c>
      <c r="H9718" s="13" t="s">
        <v>35</v>
      </c>
    </row>
    <row r="9719" spans="1:8" ht="14.4" x14ac:dyDescent="0.3">
      <c r="A9719" s="8">
        <v>2092188</v>
      </c>
      <c r="B9719" s="11">
        <v>44817</v>
      </c>
      <c r="C9719" s="13" t="s">
        <v>11797</v>
      </c>
      <c r="D9719" s="13" t="s">
        <v>11798</v>
      </c>
      <c r="E9719" s="8">
        <v>13000</v>
      </c>
      <c r="F9719" s="13" t="s">
        <v>70</v>
      </c>
      <c r="G9719" s="14">
        <v>44820</v>
      </c>
      <c r="H9719" s="13" t="s">
        <v>35</v>
      </c>
    </row>
    <row r="9720" spans="1:8" ht="14.4" x14ac:dyDescent="0.3">
      <c r="A9720" s="8">
        <v>2092189</v>
      </c>
      <c r="B9720" s="11">
        <v>44817</v>
      </c>
      <c r="C9720" s="13" t="s">
        <v>11799</v>
      </c>
      <c r="D9720" s="13" t="s">
        <v>11800</v>
      </c>
      <c r="E9720" s="8">
        <v>30000</v>
      </c>
      <c r="F9720" s="13" t="s">
        <v>70</v>
      </c>
      <c r="G9720" s="14">
        <v>44820</v>
      </c>
      <c r="H9720" s="13" t="s">
        <v>35</v>
      </c>
    </row>
    <row r="9721" spans="1:8" ht="14.4" x14ac:dyDescent="0.3">
      <c r="A9721" s="8">
        <v>2092190</v>
      </c>
      <c r="B9721" s="11">
        <v>44817</v>
      </c>
      <c r="C9721" s="13" t="s">
        <v>11801</v>
      </c>
      <c r="D9721" s="13" t="s">
        <v>11802</v>
      </c>
      <c r="E9721" s="8">
        <v>12000</v>
      </c>
      <c r="F9721" s="13" t="s">
        <v>70</v>
      </c>
      <c r="G9721" s="14">
        <v>44819</v>
      </c>
      <c r="H9721" s="13" t="s">
        <v>35</v>
      </c>
    </row>
    <row r="9722" spans="1:8" ht="14.4" x14ac:dyDescent="0.3">
      <c r="A9722" s="8">
        <v>2092191</v>
      </c>
      <c r="B9722" s="11">
        <v>44817</v>
      </c>
      <c r="C9722" s="13" t="s">
        <v>11803</v>
      </c>
      <c r="D9722" s="13" t="s">
        <v>11804</v>
      </c>
      <c r="E9722" s="8">
        <v>8000</v>
      </c>
      <c r="F9722" s="13" t="s">
        <v>70</v>
      </c>
      <c r="G9722" s="14">
        <v>44819</v>
      </c>
      <c r="H9722" s="13" t="s">
        <v>35</v>
      </c>
    </row>
    <row r="9723" spans="1:8" ht="14.4" x14ac:dyDescent="0.3">
      <c r="A9723" s="8">
        <v>2092192</v>
      </c>
      <c r="B9723" s="11">
        <v>44817</v>
      </c>
      <c r="C9723" s="13" t="s">
        <v>11805</v>
      </c>
      <c r="D9723" s="13" t="s">
        <v>11806</v>
      </c>
      <c r="E9723" s="8">
        <v>10000</v>
      </c>
      <c r="F9723" s="13" t="s">
        <v>70</v>
      </c>
      <c r="G9723" s="14">
        <v>44819</v>
      </c>
      <c r="H9723" s="13" t="s">
        <v>35</v>
      </c>
    </row>
    <row r="9724" spans="1:8" ht="14.4" x14ac:dyDescent="0.3">
      <c r="A9724" s="8">
        <v>2092193</v>
      </c>
      <c r="B9724" s="11">
        <v>44817</v>
      </c>
      <c r="C9724" s="13" t="s">
        <v>11807</v>
      </c>
      <c r="D9724" s="13" t="s">
        <v>11808</v>
      </c>
      <c r="E9724" s="8">
        <v>10000</v>
      </c>
      <c r="F9724" s="13" t="s">
        <v>70</v>
      </c>
      <c r="G9724" s="14">
        <v>44819</v>
      </c>
      <c r="H9724" s="13" t="s">
        <v>35</v>
      </c>
    </row>
    <row r="9725" spans="1:8" ht="14.4" x14ac:dyDescent="0.3">
      <c r="A9725" s="8">
        <v>2092195</v>
      </c>
      <c r="B9725" s="11">
        <v>44817</v>
      </c>
      <c r="C9725" s="13" t="s">
        <v>1708</v>
      </c>
      <c r="D9725" s="13" t="s">
        <v>11809</v>
      </c>
      <c r="E9725" s="8">
        <v>15000</v>
      </c>
      <c r="F9725" s="13" t="s">
        <v>70</v>
      </c>
      <c r="G9725" s="14">
        <v>44819</v>
      </c>
      <c r="H9725" s="13" t="s">
        <v>35</v>
      </c>
    </row>
    <row r="9726" spans="1:8" ht="14.4" x14ac:dyDescent="0.3">
      <c r="A9726" s="8">
        <v>2092196</v>
      </c>
      <c r="B9726" s="11">
        <v>44817</v>
      </c>
      <c r="C9726" s="13" t="s">
        <v>11810</v>
      </c>
      <c r="D9726" s="13" t="s">
        <v>11811</v>
      </c>
      <c r="E9726" s="8">
        <v>9000</v>
      </c>
      <c r="F9726" s="13" t="s">
        <v>70</v>
      </c>
      <c r="G9726" s="14">
        <v>44819</v>
      </c>
      <c r="H9726" s="13" t="s">
        <v>35</v>
      </c>
    </row>
    <row r="9727" spans="1:8" ht="14.4" x14ac:dyDescent="0.3">
      <c r="A9727" s="8">
        <v>2092197</v>
      </c>
      <c r="B9727" s="11">
        <v>44817</v>
      </c>
      <c r="C9727" s="13" t="s">
        <v>176</v>
      </c>
      <c r="D9727" s="13" t="s">
        <v>11812</v>
      </c>
      <c r="E9727" s="8">
        <v>7000</v>
      </c>
      <c r="F9727" s="13" t="s">
        <v>70</v>
      </c>
      <c r="G9727" s="14">
        <v>44829</v>
      </c>
      <c r="H9727" s="13" t="s">
        <v>35</v>
      </c>
    </row>
    <row r="9728" spans="1:8" ht="14.4" x14ac:dyDescent="0.3">
      <c r="A9728" s="8">
        <v>2092198</v>
      </c>
      <c r="B9728" s="11">
        <v>44817</v>
      </c>
      <c r="C9728" s="13" t="s">
        <v>11813</v>
      </c>
      <c r="D9728" s="13" t="s">
        <v>11814</v>
      </c>
      <c r="E9728" s="8">
        <v>11000</v>
      </c>
      <c r="F9728" s="13" t="s">
        <v>70</v>
      </c>
      <c r="G9728" s="14">
        <v>44819</v>
      </c>
      <c r="H9728" s="13" t="s">
        <v>35</v>
      </c>
    </row>
    <row r="9729" spans="1:8" ht="14.4" x14ac:dyDescent="0.3">
      <c r="A9729" s="8">
        <v>2092199</v>
      </c>
      <c r="B9729" s="11">
        <v>44817</v>
      </c>
      <c r="C9729" s="13" t="s">
        <v>11815</v>
      </c>
      <c r="D9729" s="13" t="s">
        <v>11816</v>
      </c>
      <c r="E9729" s="8">
        <v>8000</v>
      </c>
      <c r="F9729" s="13" t="s">
        <v>70</v>
      </c>
      <c r="G9729" s="14">
        <v>44819</v>
      </c>
      <c r="H9729" s="13" t="s">
        <v>35</v>
      </c>
    </row>
    <row r="9730" spans="1:8" ht="14.4" x14ac:dyDescent="0.3">
      <c r="A9730" s="8">
        <v>2092200</v>
      </c>
      <c r="B9730" s="11">
        <v>44817</v>
      </c>
      <c r="C9730" s="13" t="s">
        <v>11817</v>
      </c>
      <c r="D9730" s="13" t="s">
        <v>11818</v>
      </c>
      <c r="E9730" s="8">
        <v>11000</v>
      </c>
      <c r="F9730" s="13" t="s">
        <v>70</v>
      </c>
      <c r="G9730" s="14">
        <v>44819</v>
      </c>
      <c r="H9730" s="13" t="s">
        <v>35</v>
      </c>
    </row>
    <row r="9731" spans="1:8" ht="14.4" x14ac:dyDescent="0.3">
      <c r="A9731" s="8">
        <v>2092201</v>
      </c>
      <c r="B9731" s="11">
        <v>44817</v>
      </c>
      <c r="C9731" s="13" t="s">
        <v>189</v>
      </c>
      <c r="D9731" s="13" t="s">
        <v>11819</v>
      </c>
      <c r="E9731" s="8">
        <v>53493.66</v>
      </c>
      <c r="F9731" s="13" t="s">
        <v>70</v>
      </c>
      <c r="G9731" s="14">
        <v>44820</v>
      </c>
      <c r="H9731" s="13" t="s">
        <v>35</v>
      </c>
    </row>
    <row r="9732" spans="1:8" ht="14.4" x14ac:dyDescent="0.3">
      <c r="A9732" s="8">
        <v>2092202</v>
      </c>
      <c r="B9732" s="11">
        <v>44817</v>
      </c>
      <c r="C9732" s="13" t="s">
        <v>189</v>
      </c>
      <c r="D9732" s="13" t="s">
        <v>11820</v>
      </c>
      <c r="E9732" s="8">
        <v>6120.98</v>
      </c>
      <c r="F9732" s="13" t="s">
        <v>70</v>
      </c>
      <c r="G9732" s="14">
        <v>44826</v>
      </c>
      <c r="H9732" s="13" t="s">
        <v>35</v>
      </c>
    </row>
    <row r="9733" spans="1:8" ht="14.4" x14ac:dyDescent="0.3">
      <c r="A9733" s="8">
        <v>2092203</v>
      </c>
      <c r="B9733" s="11">
        <v>44818</v>
      </c>
      <c r="C9733" s="13" t="s">
        <v>9636</v>
      </c>
      <c r="D9733" s="13" t="s">
        <v>11821</v>
      </c>
      <c r="E9733" s="8">
        <v>10000</v>
      </c>
      <c r="F9733" s="13" t="s">
        <v>70</v>
      </c>
      <c r="G9733" s="14">
        <v>44820</v>
      </c>
      <c r="H9733" s="13" t="s">
        <v>35</v>
      </c>
    </row>
    <row r="9734" spans="1:8" ht="14.4" x14ac:dyDescent="0.3">
      <c r="A9734" s="8">
        <v>2092204</v>
      </c>
      <c r="B9734" s="11">
        <v>44818</v>
      </c>
      <c r="C9734" s="13" t="s">
        <v>2363</v>
      </c>
      <c r="D9734" s="13" t="s">
        <v>11659</v>
      </c>
      <c r="E9734" s="8">
        <v>15000</v>
      </c>
      <c r="F9734" s="13" t="s">
        <v>70</v>
      </c>
      <c r="G9734" s="14">
        <v>44819</v>
      </c>
      <c r="H9734" s="13" t="s">
        <v>35</v>
      </c>
    </row>
    <row r="9735" spans="1:8" ht="14.4" x14ac:dyDescent="0.3">
      <c r="A9735" s="8">
        <v>2092205</v>
      </c>
      <c r="B9735" s="11">
        <v>44818</v>
      </c>
      <c r="C9735" s="13" t="s">
        <v>308</v>
      </c>
      <c r="D9735" s="13" t="s">
        <v>11659</v>
      </c>
      <c r="E9735" s="8">
        <v>10000</v>
      </c>
      <c r="F9735" s="13" t="s">
        <v>70</v>
      </c>
      <c r="G9735" s="14">
        <v>44819</v>
      </c>
      <c r="H9735" s="13" t="s">
        <v>35</v>
      </c>
    </row>
    <row r="9736" spans="1:8" ht="14.4" x14ac:dyDescent="0.3">
      <c r="A9736" s="8">
        <v>2092206</v>
      </c>
      <c r="B9736" s="11">
        <v>44818</v>
      </c>
      <c r="C9736" s="13" t="s">
        <v>309</v>
      </c>
      <c r="D9736" s="13" t="s">
        <v>11659</v>
      </c>
      <c r="E9736" s="8">
        <v>10000</v>
      </c>
      <c r="F9736" s="13" t="s">
        <v>70</v>
      </c>
      <c r="G9736" s="14">
        <v>44819</v>
      </c>
      <c r="H9736" s="13" t="s">
        <v>35</v>
      </c>
    </row>
    <row r="9737" spans="1:8" ht="14.4" x14ac:dyDescent="0.3">
      <c r="A9737" s="8">
        <v>2092207</v>
      </c>
      <c r="B9737" s="11">
        <v>44818</v>
      </c>
      <c r="C9737" s="13" t="s">
        <v>311</v>
      </c>
      <c r="D9737" s="13" t="s">
        <v>11659</v>
      </c>
      <c r="E9737" s="8">
        <v>10000</v>
      </c>
      <c r="F9737" s="13" t="s">
        <v>70</v>
      </c>
      <c r="G9737" s="14">
        <v>44819</v>
      </c>
      <c r="H9737" s="13" t="s">
        <v>35</v>
      </c>
    </row>
    <row r="9738" spans="1:8" ht="14.4" x14ac:dyDescent="0.3">
      <c r="A9738" s="8">
        <v>2092208</v>
      </c>
      <c r="B9738" s="11">
        <v>44818</v>
      </c>
      <c r="C9738" s="13" t="s">
        <v>312</v>
      </c>
      <c r="D9738" s="13" t="s">
        <v>11659</v>
      </c>
      <c r="E9738" s="8">
        <v>10000</v>
      </c>
      <c r="F9738" s="13" t="s">
        <v>70</v>
      </c>
      <c r="G9738" s="14">
        <v>44819</v>
      </c>
      <c r="H9738" s="13" t="s">
        <v>35</v>
      </c>
    </row>
    <row r="9739" spans="1:8" ht="14.4" x14ac:dyDescent="0.3">
      <c r="A9739" s="8">
        <v>2092209</v>
      </c>
      <c r="B9739" s="11">
        <v>44818</v>
      </c>
      <c r="C9739" s="13" t="s">
        <v>337</v>
      </c>
      <c r="D9739" s="13" t="s">
        <v>11659</v>
      </c>
      <c r="E9739" s="8">
        <v>10000</v>
      </c>
      <c r="F9739" s="13" t="s">
        <v>70</v>
      </c>
      <c r="G9739" s="14">
        <v>44819</v>
      </c>
      <c r="H9739" s="13" t="s">
        <v>35</v>
      </c>
    </row>
    <row r="9740" spans="1:8" ht="14.4" x14ac:dyDescent="0.3">
      <c r="A9740" s="8">
        <v>2092210</v>
      </c>
      <c r="B9740" s="11">
        <v>44818</v>
      </c>
      <c r="C9740" s="13" t="s">
        <v>313</v>
      </c>
      <c r="D9740" s="13" t="s">
        <v>11659</v>
      </c>
      <c r="E9740" s="8">
        <v>10000</v>
      </c>
      <c r="F9740" s="13" t="s">
        <v>70</v>
      </c>
      <c r="G9740" s="14">
        <v>44819</v>
      </c>
      <c r="H9740" s="13" t="s">
        <v>35</v>
      </c>
    </row>
    <row r="9741" spans="1:8" ht="14.4" x14ac:dyDescent="0.3">
      <c r="A9741" s="8">
        <v>2092211</v>
      </c>
      <c r="B9741" s="11">
        <v>44818</v>
      </c>
      <c r="C9741" s="13" t="s">
        <v>314</v>
      </c>
      <c r="D9741" s="13" t="s">
        <v>11659</v>
      </c>
      <c r="E9741" s="8">
        <v>10000</v>
      </c>
      <c r="F9741" s="13" t="s">
        <v>70</v>
      </c>
      <c r="G9741" s="14">
        <v>44819</v>
      </c>
      <c r="H9741" s="13" t="s">
        <v>35</v>
      </c>
    </row>
    <row r="9742" spans="1:8" ht="14.4" x14ac:dyDescent="0.3">
      <c r="A9742" s="8">
        <v>2092212</v>
      </c>
      <c r="B9742" s="11">
        <v>44818</v>
      </c>
      <c r="C9742" s="13" t="s">
        <v>315</v>
      </c>
      <c r="D9742" s="13" t="s">
        <v>11659</v>
      </c>
      <c r="E9742" s="8">
        <v>10000</v>
      </c>
      <c r="F9742" s="13" t="s">
        <v>70</v>
      </c>
      <c r="G9742" s="14">
        <v>44819</v>
      </c>
      <c r="H9742" s="13" t="s">
        <v>35</v>
      </c>
    </row>
    <row r="9743" spans="1:8" ht="14.4" x14ac:dyDescent="0.3">
      <c r="A9743" s="8">
        <v>2092213</v>
      </c>
      <c r="B9743" s="11">
        <v>44818</v>
      </c>
      <c r="C9743" s="13" t="s">
        <v>323</v>
      </c>
      <c r="D9743" s="13" t="s">
        <v>11659</v>
      </c>
      <c r="E9743" s="8">
        <v>12000</v>
      </c>
      <c r="F9743" s="13" t="s">
        <v>70</v>
      </c>
      <c r="G9743" s="14">
        <v>44819</v>
      </c>
      <c r="H9743" s="13" t="s">
        <v>35</v>
      </c>
    </row>
    <row r="9744" spans="1:8" ht="14.4" x14ac:dyDescent="0.3">
      <c r="A9744" s="8">
        <v>2092214</v>
      </c>
      <c r="B9744" s="11">
        <v>44818</v>
      </c>
      <c r="C9744" s="13" t="s">
        <v>316</v>
      </c>
      <c r="D9744" s="13" t="s">
        <v>11659</v>
      </c>
      <c r="E9744" s="8">
        <v>10000</v>
      </c>
      <c r="F9744" s="13" t="s">
        <v>70</v>
      </c>
      <c r="G9744" s="14">
        <v>44819</v>
      </c>
      <c r="H9744" s="13" t="s">
        <v>35</v>
      </c>
    </row>
    <row r="9745" spans="1:8" ht="14.4" x14ac:dyDescent="0.3">
      <c r="A9745" s="8">
        <v>2092215</v>
      </c>
      <c r="B9745" s="11">
        <v>44818</v>
      </c>
      <c r="C9745" s="13" t="s">
        <v>5217</v>
      </c>
      <c r="D9745" s="13" t="s">
        <v>11659</v>
      </c>
      <c r="E9745" s="8">
        <v>10000</v>
      </c>
      <c r="F9745" s="13" t="s">
        <v>70</v>
      </c>
      <c r="G9745" s="14">
        <v>44819</v>
      </c>
      <c r="H9745" s="13" t="s">
        <v>35</v>
      </c>
    </row>
    <row r="9746" spans="1:8" ht="14.4" x14ac:dyDescent="0.3">
      <c r="A9746" s="8">
        <v>2092216</v>
      </c>
      <c r="B9746" s="11">
        <v>44818</v>
      </c>
      <c r="C9746" s="13" t="s">
        <v>321</v>
      </c>
      <c r="D9746" s="13" t="s">
        <v>11822</v>
      </c>
      <c r="E9746" s="8">
        <v>12000</v>
      </c>
      <c r="F9746" s="13" t="s">
        <v>70</v>
      </c>
      <c r="G9746" s="14">
        <v>44819</v>
      </c>
      <c r="H9746" s="13" t="s">
        <v>35</v>
      </c>
    </row>
    <row r="9747" spans="1:8" ht="14.4" x14ac:dyDescent="0.3">
      <c r="A9747" s="8">
        <v>2092217</v>
      </c>
      <c r="B9747" s="11">
        <v>44818</v>
      </c>
      <c r="C9747" s="13" t="s">
        <v>319</v>
      </c>
      <c r="D9747" s="13" t="s">
        <v>11659</v>
      </c>
      <c r="E9747" s="8">
        <v>10000</v>
      </c>
      <c r="F9747" s="13" t="s">
        <v>70</v>
      </c>
      <c r="G9747" s="14">
        <v>44819</v>
      </c>
      <c r="H9747" s="13" t="s">
        <v>35</v>
      </c>
    </row>
    <row r="9748" spans="1:8" ht="14.4" x14ac:dyDescent="0.3">
      <c r="A9748" s="8">
        <v>2092218</v>
      </c>
      <c r="B9748" s="11">
        <v>44818</v>
      </c>
      <c r="C9748" s="13" t="s">
        <v>318</v>
      </c>
      <c r="D9748" s="13" t="s">
        <v>11659</v>
      </c>
      <c r="E9748" s="8">
        <v>10000</v>
      </c>
      <c r="F9748" s="13" t="s">
        <v>70</v>
      </c>
      <c r="G9748" s="14">
        <v>44820</v>
      </c>
      <c r="H9748" s="13" t="s">
        <v>35</v>
      </c>
    </row>
    <row r="9749" spans="1:8" ht="14.4" x14ac:dyDescent="0.3">
      <c r="A9749" s="8">
        <v>2092220</v>
      </c>
      <c r="B9749" s="11">
        <v>44818</v>
      </c>
      <c r="C9749" s="13" t="s">
        <v>534</v>
      </c>
      <c r="D9749" s="13" t="s">
        <v>11327</v>
      </c>
      <c r="E9749" s="8">
        <v>20000</v>
      </c>
      <c r="F9749" s="13" t="s">
        <v>70</v>
      </c>
      <c r="G9749" s="14">
        <v>44819</v>
      </c>
      <c r="H9749" s="13" t="s">
        <v>35</v>
      </c>
    </row>
    <row r="9750" spans="1:8" ht="14.4" x14ac:dyDescent="0.3">
      <c r="A9750" s="8">
        <v>2092221</v>
      </c>
      <c r="B9750" s="11">
        <v>44818</v>
      </c>
      <c r="C9750" s="13" t="s">
        <v>535</v>
      </c>
      <c r="D9750" s="13" t="s">
        <v>11327</v>
      </c>
      <c r="E9750" s="8">
        <v>10000</v>
      </c>
      <c r="F9750" s="13" t="s">
        <v>70</v>
      </c>
      <c r="G9750" s="14">
        <v>44819</v>
      </c>
      <c r="H9750" s="13" t="s">
        <v>35</v>
      </c>
    </row>
    <row r="9751" spans="1:8" ht="14.4" x14ac:dyDescent="0.3">
      <c r="A9751" s="8">
        <v>2092222</v>
      </c>
      <c r="B9751" s="11">
        <v>44818</v>
      </c>
      <c r="C9751" s="13" t="s">
        <v>536</v>
      </c>
      <c r="D9751" s="13" t="s">
        <v>11327</v>
      </c>
      <c r="E9751" s="8">
        <v>5000</v>
      </c>
      <c r="F9751" s="13" t="s">
        <v>70</v>
      </c>
      <c r="G9751" s="14">
        <v>44819</v>
      </c>
      <c r="H9751" s="13" t="s">
        <v>35</v>
      </c>
    </row>
    <row r="9752" spans="1:8" ht="14.4" x14ac:dyDescent="0.3">
      <c r="A9752" s="8">
        <v>2092223</v>
      </c>
      <c r="B9752" s="11">
        <v>44818</v>
      </c>
      <c r="C9752" s="13" t="s">
        <v>345</v>
      </c>
      <c r="D9752" s="13" t="s">
        <v>11668</v>
      </c>
      <c r="E9752" s="8">
        <v>10000</v>
      </c>
      <c r="F9752" s="13" t="s">
        <v>70</v>
      </c>
      <c r="G9752" s="14">
        <v>44820</v>
      </c>
      <c r="H9752" s="13" t="s">
        <v>35</v>
      </c>
    </row>
    <row r="9753" spans="1:8" ht="14.4" x14ac:dyDescent="0.3">
      <c r="A9753" s="8">
        <v>2092224</v>
      </c>
      <c r="B9753" s="11">
        <v>44818</v>
      </c>
      <c r="C9753" s="13" t="s">
        <v>2176</v>
      </c>
      <c r="D9753" s="13" t="s">
        <v>11668</v>
      </c>
      <c r="E9753" s="8">
        <v>5000</v>
      </c>
      <c r="F9753" s="13" t="s">
        <v>70</v>
      </c>
      <c r="G9753" s="14">
        <v>44820</v>
      </c>
      <c r="H9753" s="13" t="s">
        <v>35</v>
      </c>
    </row>
    <row r="9754" spans="1:8" ht="14.4" x14ac:dyDescent="0.3">
      <c r="A9754" s="8">
        <v>2092225</v>
      </c>
      <c r="B9754" s="11">
        <v>44818</v>
      </c>
      <c r="C9754" s="13" t="s">
        <v>11823</v>
      </c>
      <c r="D9754" s="13" t="s">
        <v>11824</v>
      </c>
      <c r="E9754" s="8">
        <v>10000</v>
      </c>
      <c r="F9754" s="13" t="s">
        <v>70</v>
      </c>
      <c r="G9754" s="14">
        <v>44845</v>
      </c>
      <c r="H9754" s="13" t="s">
        <v>35</v>
      </c>
    </row>
    <row r="9755" spans="1:8" ht="14.4" x14ac:dyDescent="0.3">
      <c r="A9755" s="8">
        <v>2092226</v>
      </c>
      <c r="B9755" s="11">
        <v>44818</v>
      </c>
      <c r="C9755" s="13" t="s">
        <v>41</v>
      </c>
      <c r="D9755" s="13" t="s">
        <v>11733</v>
      </c>
      <c r="E9755" s="8">
        <v>7680</v>
      </c>
      <c r="F9755" s="13" t="s">
        <v>70</v>
      </c>
      <c r="G9755" s="14">
        <v>44827</v>
      </c>
      <c r="H9755" s="13" t="s">
        <v>35</v>
      </c>
    </row>
    <row r="9756" spans="1:8" ht="14.4" x14ac:dyDescent="0.3">
      <c r="A9756" s="8">
        <v>2092227</v>
      </c>
      <c r="B9756" s="11">
        <v>44818</v>
      </c>
      <c r="C9756" s="13" t="s">
        <v>11825</v>
      </c>
      <c r="D9756" s="13" t="s">
        <v>11733</v>
      </c>
      <c r="E9756" s="8">
        <v>5600</v>
      </c>
      <c r="F9756" s="13" t="s">
        <v>70</v>
      </c>
      <c r="G9756" s="14">
        <v>44827</v>
      </c>
      <c r="H9756" s="13" t="s">
        <v>35</v>
      </c>
    </row>
    <row r="9757" spans="1:8" ht="14.4" x14ac:dyDescent="0.3">
      <c r="A9757" s="8">
        <v>2092228</v>
      </c>
      <c r="B9757" s="11">
        <v>44818</v>
      </c>
      <c r="C9757" s="13" t="s">
        <v>11826</v>
      </c>
      <c r="D9757" s="13" t="s">
        <v>11733</v>
      </c>
      <c r="E9757" s="8">
        <v>6640</v>
      </c>
      <c r="F9757" s="13" t="s">
        <v>70</v>
      </c>
      <c r="G9757" s="14">
        <v>44827</v>
      </c>
      <c r="H9757" s="13" t="s">
        <v>35</v>
      </c>
    </row>
    <row r="9758" spans="1:8" ht="14.4" x14ac:dyDescent="0.3">
      <c r="A9758" s="8">
        <v>2092229</v>
      </c>
      <c r="B9758" s="11">
        <v>44818</v>
      </c>
      <c r="C9758" s="13" t="s">
        <v>11827</v>
      </c>
      <c r="D9758" s="13" t="s">
        <v>11828</v>
      </c>
      <c r="E9758" s="8">
        <v>47764.69</v>
      </c>
      <c r="F9758" s="13" t="s">
        <v>70</v>
      </c>
      <c r="G9758" s="14">
        <v>44876</v>
      </c>
      <c r="H9758" s="13" t="s">
        <v>35</v>
      </c>
    </row>
    <row r="9759" spans="1:8" ht="14.4" x14ac:dyDescent="0.3">
      <c r="A9759" s="8">
        <v>2092230</v>
      </c>
      <c r="B9759" s="11">
        <v>44818</v>
      </c>
      <c r="C9759" s="13" t="s">
        <v>1958</v>
      </c>
      <c r="D9759" s="13" t="s">
        <v>11829</v>
      </c>
      <c r="E9759" s="8">
        <v>1784731.46</v>
      </c>
      <c r="F9759" s="13" t="s">
        <v>70</v>
      </c>
      <c r="G9759" s="14">
        <v>44819</v>
      </c>
      <c r="H9759" s="13" t="s">
        <v>35</v>
      </c>
    </row>
    <row r="9760" spans="1:8" ht="14.4" x14ac:dyDescent="0.3">
      <c r="A9760" s="8">
        <v>2092231</v>
      </c>
      <c r="B9760" s="11">
        <v>44818</v>
      </c>
      <c r="C9760" s="13" t="s">
        <v>11830</v>
      </c>
      <c r="D9760" s="13"/>
      <c r="E9760" s="8">
        <v>1819859.49</v>
      </c>
      <c r="F9760" s="13" t="s">
        <v>70</v>
      </c>
      <c r="G9760" s="14">
        <v>44819</v>
      </c>
      <c r="H9760" s="13" t="s">
        <v>35</v>
      </c>
    </row>
    <row r="9761" spans="1:8" ht="14.4" x14ac:dyDescent="0.3">
      <c r="A9761" s="8">
        <v>2092232</v>
      </c>
      <c r="B9761" s="11">
        <v>44818</v>
      </c>
      <c r="C9761" s="13" t="s">
        <v>5930</v>
      </c>
      <c r="D9761" s="13" t="s">
        <v>11831</v>
      </c>
      <c r="E9761" s="8">
        <v>1820052.49</v>
      </c>
      <c r="F9761" s="13" t="s">
        <v>70</v>
      </c>
      <c r="G9761" s="14">
        <v>44819</v>
      </c>
      <c r="H9761" s="13" t="s">
        <v>35</v>
      </c>
    </row>
    <row r="9762" spans="1:8" ht="14.4" x14ac:dyDescent="0.3">
      <c r="A9762" s="8">
        <v>2092233</v>
      </c>
      <c r="B9762" s="11">
        <v>44818</v>
      </c>
      <c r="C9762" s="13" t="s">
        <v>191</v>
      </c>
      <c r="D9762" s="13" t="s">
        <v>11832</v>
      </c>
      <c r="E9762" s="8">
        <v>1500</v>
      </c>
      <c r="F9762" s="13" t="s">
        <v>70</v>
      </c>
      <c r="G9762" s="14">
        <v>44818</v>
      </c>
      <c r="H9762" s="13" t="s">
        <v>35</v>
      </c>
    </row>
    <row r="9763" spans="1:8" ht="14.4" x14ac:dyDescent="0.3">
      <c r="A9763" s="8">
        <v>2092234</v>
      </c>
      <c r="B9763" s="11">
        <v>44818</v>
      </c>
      <c r="C9763" s="13" t="s">
        <v>11833</v>
      </c>
      <c r="D9763" s="13" t="s">
        <v>11834</v>
      </c>
      <c r="E9763" s="8">
        <v>11900</v>
      </c>
      <c r="F9763" s="13" t="s">
        <v>70</v>
      </c>
      <c r="G9763" s="14">
        <v>44818</v>
      </c>
      <c r="H9763" s="13" t="s">
        <v>35</v>
      </c>
    </row>
    <row r="9764" spans="1:8" ht="14.4" x14ac:dyDescent="0.3">
      <c r="A9764" s="8">
        <v>2092235</v>
      </c>
      <c r="B9764" s="11">
        <v>44818</v>
      </c>
      <c r="C9764" s="13" t="s">
        <v>11835</v>
      </c>
      <c r="D9764" s="13"/>
      <c r="E9764" s="8">
        <v>25000</v>
      </c>
      <c r="F9764" s="13" t="s">
        <v>70</v>
      </c>
      <c r="G9764" s="14">
        <v>44825</v>
      </c>
      <c r="H9764" s="13" t="s">
        <v>35</v>
      </c>
    </row>
    <row r="9765" spans="1:8" ht="14.4" x14ac:dyDescent="0.3">
      <c r="A9765" s="8">
        <v>2092237</v>
      </c>
      <c r="B9765" s="11">
        <v>44818</v>
      </c>
      <c r="C9765" s="13" t="s">
        <v>11836</v>
      </c>
      <c r="D9765" s="13"/>
      <c r="E9765" s="8">
        <v>50000</v>
      </c>
      <c r="F9765" s="13" t="s">
        <v>70</v>
      </c>
      <c r="G9765" s="14">
        <v>44823</v>
      </c>
      <c r="H9765" s="13" t="s">
        <v>35</v>
      </c>
    </row>
    <row r="9766" spans="1:8" ht="14.4" x14ac:dyDescent="0.3">
      <c r="A9766" s="8">
        <v>2092238</v>
      </c>
      <c r="B9766" s="11">
        <v>44818</v>
      </c>
      <c r="C9766" s="13" t="s">
        <v>7433</v>
      </c>
      <c r="D9766" s="13" t="s">
        <v>11659</v>
      </c>
      <c r="E9766" s="8">
        <v>10000</v>
      </c>
      <c r="F9766" s="13" t="s">
        <v>70</v>
      </c>
      <c r="G9766" s="14">
        <v>44819</v>
      </c>
      <c r="H9766" s="13" t="s">
        <v>35</v>
      </c>
    </row>
    <row r="9767" spans="1:8" ht="14.4" x14ac:dyDescent="0.3">
      <c r="A9767" s="8">
        <v>2092239</v>
      </c>
      <c r="B9767" s="11">
        <v>44818</v>
      </c>
      <c r="C9767" s="13" t="s">
        <v>7436</v>
      </c>
      <c r="D9767" s="13" t="s">
        <v>11659</v>
      </c>
      <c r="E9767" s="8">
        <v>12000</v>
      </c>
      <c r="F9767" s="13" t="s">
        <v>70</v>
      </c>
      <c r="G9767" s="14">
        <v>44819</v>
      </c>
      <c r="H9767" s="13" t="s">
        <v>35</v>
      </c>
    </row>
    <row r="9768" spans="1:8" ht="14.4" x14ac:dyDescent="0.3">
      <c r="A9768" s="8">
        <v>2092240</v>
      </c>
      <c r="B9768" s="11">
        <v>44818</v>
      </c>
      <c r="C9768" s="13" t="s">
        <v>11837</v>
      </c>
      <c r="D9768" s="13" t="s">
        <v>11838</v>
      </c>
      <c r="E9768" s="8">
        <v>10000</v>
      </c>
      <c r="F9768" s="13" t="s">
        <v>70</v>
      </c>
      <c r="G9768" s="14">
        <v>44819</v>
      </c>
      <c r="H9768" s="13" t="s">
        <v>35</v>
      </c>
    </row>
    <row r="9769" spans="1:8" ht="14.4" x14ac:dyDescent="0.3">
      <c r="A9769" s="8">
        <v>2092241</v>
      </c>
      <c r="B9769" s="11">
        <v>44818</v>
      </c>
      <c r="C9769" s="13" t="s">
        <v>245</v>
      </c>
      <c r="D9769" s="13" t="s">
        <v>11839</v>
      </c>
      <c r="E9769" s="8">
        <v>2488728.85</v>
      </c>
      <c r="F9769" s="13" t="s">
        <v>70</v>
      </c>
      <c r="G9769" s="14">
        <v>44819</v>
      </c>
      <c r="H9769" s="13" t="s">
        <v>35</v>
      </c>
    </row>
    <row r="9770" spans="1:8" ht="14.4" x14ac:dyDescent="0.3">
      <c r="A9770" s="8">
        <v>2092242</v>
      </c>
      <c r="B9770" s="11">
        <v>44818</v>
      </c>
      <c r="C9770" s="13" t="s">
        <v>180</v>
      </c>
      <c r="D9770" s="13" t="s">
        <v>901</v>
      </c>
      <c r="E9770" s="8">
        <v>321900</v>
      </c>
      <c r="F9770" s="13" t="s">
        <v>70</v>
      </c>
      <c r="G9770" s="14">
        <v>44818</v>
      </c>
      <c r="H9770" s="13" t="s">
        <v>35</v>
      </c>
    </row>
    <row r="9771" spans="1:8" ht="14.4" x14ac:dyDescent="0.3">
      <c r="A9771" s="8">
        <v>2092003</v>
      </c>
      <c r="B9771" s="11">
        <v>44819</v>
      </c>
      <c r="C9771" s="13" t="s">
        <v>282</v>
      </c>
      <c r="D9771" s="13" t="s">
        <v>11840</v>
      </c>
      <c r="E9771" s="8">
        <v>20000</v>
      </c>
      <c r="F9771" s="13" t="s">
        <v>70</v>
      </c>
      <c r="G9771" s="14">
        <v>44824</v>
      </c>
      <c r="H9771" s="13" t="s">
        <v>35</v>
      </c>
    </row>
    <row r="9772" spans="1:8" ht="14.4" x14ac:dyDescent="0.3">
      <c r="A9772" s="8">
        <v>2092004</v>
      </c>
      <c r="B9772" s="11">
        <v>44819</v>
      </c>
      <c r="C9772" s="13" t="s">
        <v>1581</v>
      </c>
      <c r="D9772" s="13" t="s">
        <v>11841</v>
      </c>
      <c r="E9772" s="8">
        <v>10647.32</v>
      </c>
      <c r="F9772" s="13" t="s">
        <v>70</v>
      </c>
      <c r="G9772" s="14">
        <v>44833</v>
      </c>
      <c r="H9772" s="13" t="s">
        <v>35</v>
      </c>
    </row>
    <row r="9773" spans="1:8" ht="14.4" x14ac:dyDescent="0.3">
      <c r="A9773" s="8">
        <v>2092005</v>
      </c>
      <c r="B9773" s="11">
        <v>44819</v>
      </c>
      <c r="C9773" s="13" t="s">
        <v>1581</v>
      </c>
      <c r="D9773" s="13" t="s">
        <v>11842</v>
      </c>
      <c r="E9773" s="8">
        <v>10647.32</v>
      </c>
      <c r="F9773" s="13" t="s">
        <v>70</v>
      </c>
      <c r="G9773" s="14">
        <v>44833</v>
      </c>
      <c r="H9773" s="13" t="s">
        <v>35</v>
      </c>
    </row>
    <row r="9774" spans="1:8" ht="14.4" x14ac:dyDescent="0.3">
      <c r="A9774" s="8">
        <v>2092006</v>
      </c>
      <c r="B9774" s="11">
        <v>44819</v>
      </c>
      <c r="C9774" s="13" t="s">
        <v>775</v>
      </c>
      <c r="D9774" s="13" t="s">
        <v>11843</v>
      </c>
      <c r="E9774" s="8">
        <v>24985.95</v>
      </c>
      <c r="F9774" s="13" t="s">
        <v>70</v>
      </c>
      <c r="G9774" s="14">
        <v>44823</v>
      </c>
      <c r="H9774" s="13" t="s">
        <v>35</v>
      </c>
    </row>
    <row r="9775" spans="1:8" ht="14.4" x14ac:dyDescent="0.3">
      <c r="A9775" s="8">
        <v>2092007</v>
      </c>
      <c r="B9775" s="11">
        <v>44819</v>
      </c>
      <c r="C9775" s="13" t="s">
        <v>1592</v>
      </c>
      <c r="D9775" s="13" t="s">
        <v>11844</v>
      </c>
      <c r="E9775" s="8">
        <v>14126.79</v>
      </c>
      <c r="F9775" s="13" t="s">
        <v>70</v>
      </c>
      <c r="G9775" s="14">
        <v>44824</v>
      </c>
      <c r="H9775" s="13" t="s">
        <v>35</v>
      </c>
    </row>
    <row r="9776" spans="1:8" ht="14.4" x14ac:dyDescent="0.3">
      <c r="A9776" s="8">
        <v>2092008</v>
      </c>
      <c r="B9776" s="11">
        <v>44819</v>
      </c>
      <c r="C9776" s="13" t="s">
        <v>677</v>
      </c>
      <c r="D9776" s="13" t="s">
        <v>11845</v>
      </c>
      <c r="E9776" s="8">
        <v>6819.82</v>
      </c>
      <c r="F9776" s="13" t="s">
        <v>70</v>
      </c>
      <c r="G9776" s="14">
        <v>44820</v>
      </c>
      <c r="H9776" s="13" t="s">
        <v>35</v>
      </c>
    </row>
    <row r="9777" spans="1:8" ht="14.4" x14ac:dyDescent="0.3">
      <c r="A9777" s="8">
        <v>2092009</v>
      </c>
      <c r="B9777" s="11">
        <v>44819</v>
      </c>
      <c r="C9777" s="13" t="s">
        <v>157</v>
      </c>
      <c r="D9777" s="13" t="s">
        <v>11846</v>
      </c>
      <c r="E9777" s="8">
        <v>20000</v>
      </c>
      <c r="F9777" s="13" t="s">
        <v>70</v>
      </c>
      <c r="G9777" s="14">
        <v>44823</v>
      </c>
      <c r="H9777" s="13" t="s">
        <v>35</v>
      </c>
    </row>
    <row r="9778" spans="1:8" ht="14.4" x14ac:dyDescent="0.3">
      <c r="A9778" s="8">
        <v>2092243</v>
      </c>
      <c r="B9778" s="11">
        <v>44819</v>
      </c>
      <c r="C9778" s="13" t="s">
        <v>1540</v>
      </c>
      <c r="D9778" s="13" t="s">
        <v>11847</v>
      </c>
      <c r="E9778" s="8">
        <v>1820624.74</v>
      </c>
      <c r="F9778" s="13" t="s">
        <v>70</v>
      </c>
      <c r="G9778" s="14">
        <v>44820</v>
      </c>
      <c r="H9778" s="13" t="s">
        <v>35</v>
      </c>
    </row>
    <row r="9779" spans="1:8" ht="14.4" x14ac:dyDescent="0.3">
      <c r="A9779" s="8">
        <v>2092244</v>
      </c>
      <c r="B9779" s="11">
        <v>44819</v>
      </c>
      <c r="C9779" s="13" t="s">
        <v>5920</v>
      </c>
      <c r="D9779" s="13" t="s">
        <v>11848</v>
      </c>
      <c r="E9779" s="8">
        <v>1435792.84</v>
      </c>
      <c r="F9779" s="13" t="s">
        <v>70</v>
      </c>
      <c r="G9779" s="14">
        <v>44820</v>
      </c>
      <c r="H9779" s="13" t="s">
        <v>35</v>
      </c>
    </row>
    <row r="9780" spans="1:8" ht="14.4" x14ac:dyDescent="0.3">
      <c r="A9780" s="8">
        <v>2092245</v>
      </c>
      <c r="B9780" s="11">
        <v>44819</v>
      </c>
      <c r="C9780" s="13" t="s">
        <v>1342</v>
      </c>
      <c r="D9780" s="13" t="s">
        <v>11849</v>
      </c>
      <c r="E9780" s="8">
        <v>5512.5</v>
      </c>
      <c r="F9780" s="13" t="s">
        <v>70</v>
      </c>
      <c r="G9780" s="14">
        <v>44823</v>
      </c>
      <c r="H9780" s="13" t="s">
        <v>35</v>
      </c>
    </row>
    <row r="9781" spans="1:8" ht="14.4" x14ac:dyDescent="0.3">
      <c r="A9781" s="8">
        <v>2092246</v>
      </c>
      <c r="B9781" s="11">
        <v>44819</v>
      </c>
      <c r="C9781" s="13" t="s">
        <v>405</v>
      </c>
      <c r="D9781" s="13" t="s">
        <v>11850</v>
      </c>
      <c r="E9781" s="8">
        <v>8044.65</v>
      </c>
      <c r="F9781" s="13" t="s">
        <v>70</v>
      </c>
      <c r="G9781" s="14">
        <v>44824</v>
      </c>
      <c r="H9781" s="13" t="s">
        <v>35</v>
      </c>
    </row>
    <row r="9782" spans="1:8" ht="14.4" x14ac:dyDescent="0.3">
      <c r="A9782" s="8">
        <v>2092247</v>
      </c>
      <c r="B9782" s="11">
        <v>44819</v>
      </c>
      <c r="C9782" s="13" t="s">
        <v>11851</v>
      </c>
      <c r="D9782" s="13" t="s">
        <v>11852</v>
      </c>
      <c r="E9782" s="8">
        <v>358512</v>
      </c>
      <c r="F9782" s="13" t="s">
        <v>70</v>
      </c>
      <c r="G9782" s="14">
        <v>44824</v>
      </c>
      <c r="H9782" s="13" t="s">
        <v>35</v>
      </c>
    </row>
    <row r="9783" spans="1:8" ht="14.4" x14ac:dyDescent="0.3">
      <c r="A9783" s="8">
        <v>2092248</v>
      </c>
      <c r="B9783" s="11">
        <v>44819</v>
      </c>
      <c r="C9783" s="13" t="s">
        <v>11851</v>
      </c>
      <c r="D9783" s="13" t="s">
        <v>11853</v>
      </c>
      <c r="E9783" s="8">
        <v>79540</v>
      </c>
      <c r="F9783" s="13" t="s">
        <v>70</v>
      </c>
      <c r="G9783" s="14">
        <v>44824</v>
      </c>
      <c r="H9783" s="13" t="s">
        <v>35</v>
      </c>
    </row>
    <row r="9784" spans="1:8" ht="14.4" x14ac:dyDescent="0.3">
      <c r="A9784" s="8">
        <v>2092249</v>
      </c>
      <c r="B9784" s="11">
        <v>44819</v>
      </c>
      <c r="C9784" s="13" t="s">
        <v>1581</v>
      </c>
      <c r="D9784" s="13" t="s">
        <v>11854</v>
      </c>
      <c r="E9784" s="8">
        <v>8517.85</v>
      </c>
      <c r="F9784" s="13" t="s">
        <v>70</v>
      </c>
      <c r="G9784" s="14">
        <v>44833</v>
      </c>
      <c r="H9784" s="13" t="s">
        <v>35</v>
      </c>
    </row>
    <row r="9785" spans="1:8" ht="14.4" x14ac:dyDescent="0.3">
      <c r="A9785" s="8">
        <v>2092250</v>
      </c>
      <c r="B9785" s="11">
        <v>44819</v>
      </c>
      <c r="C9785" s="13" t="s">
        <v>1342</v>
      </c>
      <c r="D9785" s="13" t="s">
        <v>11855</v>
      </c>
      <c r="E9785" s="8">
        <v>15680</v>
      </c>
      <c r="F9785" s="13" t="s">
        <v>70</v>
      </c>
      <c r="G9785" s="14">
        <v>44823</v>
      </c>
      <c r="H9785" s="13" t="s">
        <v>35</v>
      </c>
    </row>
    <row r="9786" spans="1:8" ht="14.4" x14ac:dyDescent="0.3">
      <c r="A9786" s="8">
        <v>2092251</v>
      </c>
      <c r="B9786" s="11">
        <v>44819</v>
      </c>
      <c r="C9786" s="13" t="s">
        <v>3838</v>
      </c>
      <c r="D9786" s="13" t="s">
        <v>11856</v>
      </c>
      <c r="E9786" s="8">
        <v>30971</v>
      </c>
      <c r="F9786" s="13" t="s">
        <v>70</v>
      </c>
      <c r="G9786" s="14">
        <v>44831</v>
      </c>
      <c r="H9786" s="13" t="s">
        <v>35</v>
      </c>
    </row>
    <row r="9787" spans="1:8" ht="14.4" x14ac:dyDescent="0.3">
      <c r="A9787" s="8">
        <v>2092252</v>
      </c>
      <c r="B9787" s="11">
        <v>44819</v>
      </c>
      <c r="C9787" s="13" t="s">
        <v>884</v>
      </c>
      <c r="D9787" s="13" t="s">
        <v>11857</v>
      </c>
      <c r="E9787" s="8">
        <v>910000</v>
      </c>
      <c r="F9787" s="13" t="s">
        <v>70</v>
      </c>
      <c r="G9787" s="14">
        <v>44819</v>
      </c>
      <c r="H9787" s="13" t="s">
        <v>35</v>
      </c>
    </row>
    <row r="9788" spans="1:8" ht="14.4" x14ac:dyDescent="0.3">
      <c r="A9788" s="8">
        <v>2092253</v>
      </c>
      <c r="B9788" s="11">
        <v>44819</v>
      </c>
      <c r="C9788" s="13" t="s">
        <v>405</v>
      </c>
      <c r="D9788" s="13" t="s">
        <v>11858</v>
      </c>
      <c r="E9788" s="8">
        <v>6852.1</v>
      </c>
      <c r="F9788" s="13" t="s">
        <v>70</v>
      </c>
      <c r="G9788" s="14">
        <v>44824</v>
      </c>
      <c r="H9788" s="13" t="s">
        <v>35</v>
      </c>
    </row>
    <row r="9789" spans="1:8" ht="14.4" x14ac:dyDescent="0.3">
      <c r="A9789" s="8">
        <v>2092254</v>
      </c>
      <c r="B9789" s="11">
        <v>44819</v>
      </c>
      <c r="C9789" s="13" t="s">
        <v>287</v>
      </c>
      <c r="D9789" s="13" t="s">
        <v>11859</v>
      </c>
      <c r="E9789" s="8">
        <v>5970</v>
      </c>
      <c r="F9789" s="13" t="s">
        <v>70</v>
      </c>
      <c r="G9789" s="14">
        <v>44823</v>
      </c>
      <c r="H9789" s="13" t="s">
        <v>35</v>
      </c>
    </row>
    <row r="9790" spans="1:8" ht="14.4" x14ac:dyDescent="0.3">
      <c r="A9790" s="8">
        <v>2092255</v>
      </c>
      <c r="B9790" s="11">
        <v>44819</v>
      </c>
      <c r="C9790" s="13" t="s">
        <v>1581</v>
      </c>
      <c r="D9790" s="13" t="s">
        <v>11860</v>
      </c>
      <c r="E9790" s="8">
        <v>12369.82</v>
      </c>
      <c r="F9790" s="13" t="s">
        <v>70</v>
      </c>
      <c r="G9790" s="14">
        <v>44833</v>
      </c>
      <c r="H9790" s="13" t="s">
        <v>35</v>
      </c>
    </row>
    <row r="9791" spans="1:8" ht="14.4" x14ac:dyDescent="0.3">
      <c r="A9791" s="8">
        <v>2092256</v>
      </c>
      <c r="B9791" s="11">
        <v>44819</v>
      </c>
      <c r="C9791" s="13" t="s">
        <v>2262</v>
      </c>
      <c r="D9791" s="13" t="s">
        <v>11861</v>
      </c>
      <c r="E9791" s="8">
        <v>24903.21</v>
      </c>
      <c r="F9791" s="13" t="s">
        <v>70</v>
      </c>
      <c r="G9791" s="14">
        <v>44825</v>
      </c>
      <c r="H9791" s="13" t="s">
        <v>35</v>
      </c>
    </row>
    <row r="9792" spans="1:8" ht="14.4" x14ac:dyDescent="0.3">
      <c r="A9792" s="8">
        <v>2092257</v>
      </c>
      <c r="B9792" s="11">
        <v>44819</v>
      </c>
      <c r="C9792" s="13" t="s">
        <v>405</v>
      </c>
      <c r="D9792" s="13" t="s">
        <v>11862</v>
      </c>
      <c r="E9792" s="8">
        <v>44391.96</v>
      </c>
      <c r="F9792" s="13" t="s">
        <v>70</v>
      </c>
      <c r="G9792" s="14">
        <v>44824</v>
      </c>
      <c r="H9792" s="13" t="s">
        <v>35</v>
      </c>
    </row>
    <row r="9793" spans="1:8" ht="14.4" x14ac:dyDescent="0.3">
      <c r="A9793" s="8">
        <v>2092258</v>
      </c>
      <c r="B9793" s="11">
        <v>44819</v>
      </c>
      <c r="C9793" s="13" t="s">
        <v>405</v>
      </c>
      <c r="D9793" s="13" t="s">
        <v>11863</v>
      </c>
      <c r="E9793" s="8">
        <v>22239.4</v>
      </c>
      <c r="F9793" s="13" t="s">
        <v>70</v>
      </c>
      <c r="G9793" s="14">
        <v>44824</v>
      </c>
      <c r="H9793" s="13" t="s">
        <v>35</v>
      </c>
    </row>
    <row r="9794" spans="1:8" ht="14.4" x14ac:dyDescent="0.3">
      <c r="A9794" s="8">
        <v>2092259</v>
      </c>
      <c r="B9794" s="11">
        <v>44819</v>
      </c>
      <c r="C9794" s="13" t="s">
        <v>127</v>
      </c>
      <c r="D9794" s="13" t="s">
        <v>11864</v>
      </c>
      <c r="E9794" s="8">
        <v>4213.93</v>
      </c>
      <c r="F9794" s="13" t="s">
        <v>70</v>
      </c>
      <c r="G9794" s="14">
        <v>44832</v>
      </c>
      <c r="H9794" s="13" t="s">
        <v>35</v>
      </c>
    </row>
    <row r="9795" spans="1:8" ht="14.4" x14ac:dyDescent="0.3">
      <c r="A9795" s="8">
        <v>2092260</v>
      </c>
      <c r="B9795" s="11">
        <v>44819</v>
      </c>
      <c r="C9795" s="13" t="s">
        <v>52</v>
      </c>
      <c r="D9795" s="13" t="s">
        <v>61</v>
      </c>
      <c r="E9795" s="8">
        <v>45315</v>
      </c>
      <c r="F9795" s="13" t="s">
        <v>70</v>
      </c>
      <c r="G9795" s="14">
        <v>44831</v>
      </c>
      <c r="H9795" s="13" t="s">
        <v>35</v>
      </c>
    </row>
    <row r="9796" spans="1:8" ht="14.4" x14ac:dyDescent="0.3">
      <c r="A9796" s="8">
        <v>2092261</v>
      </c>
      <c r="B9796" s="11">
        <v>44819</v>
      </c>
      <c r="C9796" s="13" t="s">
        <v>6619</v>
      </c>
      <c r="D9796" s="13" t="s">
        <v>11865</v>
      </c>
      <c r="E9796" s="8">
        <v>9310</v>
      </c>
      <c r="F9796" s="13" t="s">
        <v>70</v>
      </c>
      <c r="G9796" s="14">
        <v>44832</v>
      </c>
      <c r="H9796" s="13" t="s">
        <v>35</v>
      </c>
    </row>
    <row r="9797" spans="1:8" ht="14.4" x14ac:dyDescent="0.3">
      <c r="A9797" s="8">
        <v>2092262</v>
      </c>
      <c r="B9797" s="11">
        <v>44819</v>
      </c>
      <c r="C9797" s="13" t="s">
        <v>2262</v>
      </c>
      <c r="D9797" s="13" t="s">
        <v>11866</v>
      </c>
      <c r="E9797" s="8">
        <v>11062.5</v>
      </c>
      <c r="F9797" s="13" t="s">
        <v>70</v>
      </c>
      <c r="G9797" s="14">
        <v>44820</v>
      </c>
      <c r="H9797" s="13" t="s">
        <v>35</v>
      </c>
    </row>
    <row r="9798" spans="1:8" ht="14.4" x14ac:dyDescent="0.3">
      <c r="A9798" s="8">
        <v>2092263</v>
      </c>
      <c r="B9798" s="11">
        <v>44819</v>
      </c>
      <c r="C9798" s="13" t="s">
        <v>1342</v>
      </c>
      <c r="D9798" s="13" t="s">
        <v>11867</v>
      </c>
      <c r="E9798" s="8">
        <v>11760</v>
      </c>
      <c r="F9798" s="13" t="s">
        <v>70</v>
      </c>
      <c r="G9798" s="14">
        <v>44823</v>
      </c>
      <c r="H9798" s="13" t="s">
        <v>35</v>
      </c>
    </row>
    <row r="9799" spans="1:8" ht="14.4" x14ac:dyDescent="0.3">
      <c r="A9799" s="8">
        <v>2092264</v>
      </c>
      <c r="B9799" s="11">
        <v>44819</v>
      </c>
      <c r="C9799" s="13" t="s">
        <v>54</v>
      </c>
      <c r="D9799" s="13" t="s">
        <v>11868</v>
      </c>
      <c r="E9799" s="8">
        <v>13720</v>
      </c>
      <c r="F9799" s="13" t="s">
        <v>70</v>
      </c>
      <c r="G9799" s="14">
        <v>44831</v>
      </c>
      <c r="H9799" s="13" t="s">
        <v>35</v>
      </c>
    </row>
    <row r="9800" spans="1:8" ht="14.4" x14ac:dyDescent="0.3">
      <c r="A9800" s="8">
        <v>2092265</v>
      </c>
      <c r="B9800" s="11">
        <v>44819</v>
      </c>
      <c r="C9800" s="13" t="s">
        <v>11869</v>
      </c>
      <c r="D9800" s="13" t="s">
        <v>11870</v>
      </c>
      <c r="E9800" s="8">
        <v>7500</v>
      </c>
      <c r="F9800" s="13" t="s">
        <v>70</v>
      </c>
      <c r="G9800" s="14">
        <v>44820</v>
      </c>
      <c r="H9800" s="13" t="s">
        <v>35</v>
      </c>
    </row>
    <row r="9801" spans="1:8" ht="14.4" x14ac:dyDescent="0.3">
      <c r="A9801" s="8">
        <v>2092266</v>
      </c>
      <c r="B9801" s="11">
        <v>44819</v>
      </c>
      <c r="C9801" s="13" t="s">
        <v>2262</v>
      </c>
      <c r="D9801" s="13" t="s">
        <v>11871</v>
      </c>
      <c r="E9801" s="8">
        <v>20348.22</v>
      </c>
      <c r="F9801" s="13" t="s">
        <v>70</v>
      </c>
      <c r="G9801" s="14">
        <v>44825</v>
      </c>
      <c r="H9801" s="13" t="s">
        <v>35</v>
      </c>
    </row>
    <row r="9802" spans="1:8" ht="14.4" x14ac:dyDescent="0.3">
      <c r="A9802" s="8">
        <v>2092267</v>
      </c>
      <c r="B9802" s="11">
        <v>44819</v>
      </c>
      <c r="C9802" s="13" t="s">
        <v>2711</v>
      </c>
      <c r="D9802" s="13" t="s">
        <v>11872</v>
      </c>
      <c r="E9802" s="8">
        <v>33125</v>
      </c>
      <c r="F9802" s="13" t="s">
        <v>70</v>
      </c>
      <c r="G9802" s="14">
        <v>44827</v>
      </c>
      <c r="H9802" s="13" t="s">
        <v>35</v>
      </c>
    </row>
    <row r="9803" spans="1:8" ht="14.4" x14ac:dyDescent="0.3">
      <c r="A9803" s="8">
        <v>2092268</v>
      </c>
      <c r="B9803" s="11">
        <v>44819</v>
      </c>
      <c r="C9803" s="13" t="s">
        <v>1524</v>
      </c>
      <c r="D9803" s="13" t="s">
        <v>61</v>
      </c>
      <c r="E9803" s="8">
        <v>12776.78</v>
      </c>
      <c r="F9803" s="13" t="s">
        <v>70</v>
      </c>
      <c r="G9803" s="14">
        <v>44826</v>
      </c>
      <c r="H9803" s="13" t="s">
        <v>35</v>
      </c>
    </row>
    <row r="9804" spans="1:8" ht="14.4" x14ac:dyDescent="0.3">
      <c r="A9804" s="8">
        <v>2092269</v>
      </c>
      <c r="B9804" s="11">
        <v>44819</v>
      </c>
      <c r="C9804" s="13" t="s">
        <v>1414</v>
      </c>
      <c r="D9804" s="13" t="s">
        <v>11873</v>
      </c>
      <c r="E9804" s="8">
        <v>144772.5</v>
      </c>
      <c r="F9804" s="13" t="s">
        <v>70</v>
      </c>
      <c r="G9804" s="14">
        <v>44831</v>
      </c>
      <c r="H9804" s="13" t="s">
        <v>35</v>
      </c>
    </row>
    <row r="9805" spans="1:8" ht="14.4" x14ac:dyDescent="0.3">
      <c r="A9805" s="8">
        <v>2092270</v>
      </c>
      <c r="B9805" s="11">
        <v>44819</v>
      </c>
      <c r="C9805" s="13" t="s">
        <v>1342</v>
      </c>
      <c r="D9805" s="13" t="s">
        <v>11874</v>
      </c>
      <c r="E9805" s="8">
        <v>138180</v>
      </c>
      <c r="F9805" s="13" t="s">
        <v>70</v>
      </c>
      <c r="G9805" s="14">
        <v>44823</v>
      </c>
      <c r="H9805" s="13" t="s">
        <v>35</v>
      </c>
    </row>
    <row r="9806" spans="1:8" ht="14.4" x14ac:dyDescent="0.3">
      <c r="A9806" s="8">
        <v>2092271</v>
      </c>
      <c r="B9806" s="11">
        <v>44819</v>
      </c>
      <c r="C9806" s="13" t="s">
        <v>195</v>
      </c>
      <c r="D9806" s="13" t="s">
        <v>11875</v>
      </c>
      <c r="E9806" s="8">
        <v>7500</v>
      </c>
      <c r="F9806" s="13" t="s">
        <v>70</v>
      </c>
      <c r="G9806" s="14">
        <v>44824</v>
      </c>
      <c r="H9806" s="13" t="s">
        <v>35</v>
      </c>
    </row>
    <row r="9807" spans="1:8" ht="14.4" x14ac:dyDescent="0.3">
      <c r="A9807" s="8">
        <v>2092272</v>
      </c>
      <c r="B9807" s="11">
        <v>44819</v>
      </c>
      <c r="C9807" s="13" t="s">
        <v>1581</v>
      </c>
      <c r="D9807" s="13" t="s">
        <v>11876</v>
      </c>
      <c r="E9807" s="8">
        <v>1537.95</v>
      </c>
      <c r="F9807" s="13" t="s">
        <v>70</v>
      </c>
      <c r="G9807" s="14">
        <v>44833</v>
      </c>
      <c r="H9807" s="13" t="s">
        <v>35</v>
      </c>
    </row>
    <row r="9808" spans="1:8" ht="14.4" x14ac:dyDescent="0.3">
      <c r="A9808" s="8">
        <v>2092273</v>
      </c>
      <c r="B9808" s="11">
        <v>44819</v>
      </c>
      <c r="C9808" s="13" t="s">
        <v>2711</v>
      </c>
      <c r="D9808" s="13" t="s">
        <v>11877</v>
      </c>
      <c r="E9808" s="8">
        <v>4637.5</v>
      </c>
      <c r="F9808" s="13" t="s">
        <v>70</v>
      </c>
      <c r="G9808" s="14">
        <v>44827</v>
      </c>
      <c r="H9808" s="13" t="s">
        <v>35</v>
      </c>
    </row>
    <row r="9809" spans="1:8" ht="14.4" x14ac:dyDescent="0.3">
      <c r="A9809" s="8">
        <v>2092274</v>
      </c>
      <c r="B9809" s="11">
        <v>44819</v>
      </c>
      <c r="C9809" s="13" t="s">
        <v>11878</v>
      </c>
      <c r="D9809" s="13" t="s">
        <v>11879</v>
      </c>
      <c r="E9809" s="8">
        <v>5196015</v>
      </c>
      <c r="F9809" s="13" t="s">
        <v>70</v>
      </c>
      <c r="G9809" s="14">
        <v>44824</v>
      </c>
      <c r="H9809" s="13" t="s">
        <v>35</v>
      </c>
    </row>
    <row r="9810" spans="1:8" ht="14.4" x14ac:dyDescent="0.3">
      <c r="A9810" s="8">
        <v>2092276</v>
      </c>
      <c r="B9810" s="11">
        <v>44819</v>
      </c>
      <c r="C9810" s="13" t="s">
        <v>122</v>
      </c>
      <c r="D9810" s="13" t="s">
        <v>11880</v>
      </c>
      <c r="E9810" s="8">
        <v>395760</v>
      </c>
      <c r="F9810" s="13" t="s">
        <v>70</v>
      </c>
      <c r="G9810" s="14">
        <v>44824</v>
      </c>
      <c r="H9810" s="13" t="s">
        <v>35</v>
      </c>
    </row>
    <row r="9811" spans="1:8" ht="14.4" x14ac:dyDescent="0.3">
      <c r="A9811" s="8">
        <v>2092277</v>
      </c>
      <c r="B9811" s="11">
        <v>44819</v>
      </c>
      <c r="C9811" s="13" t="s">
        <v>279</v>
      </c>
      <c r="D9811" s="13" t="s">
        <v>11881</v>
      </c>
      <c r="E9811" s="8">
        <v>34486.25</v>
      </c>
      <c r="F9811" s="13" t="s">
        <v>70</v>
      </c>
      <c r="G9811" s="14">
        <v>44831</v>
      </c>
      <c r="H9811" s="13" t="s">
        <v>35</v>
      </c>
    </row>
    <row r="9812" spans="1:8" ht="14.4" x14ac:dyDescent="0.3">
      <c r="A9812" s="8">
        <v>2092278</v>
      </c>
      <c r="B9812" s="11">
        <v>44819</v>
      </c>
      <c r="C9812" s="13" t="s">
        <v>1924</v>
      </c>
      <c r="D9812" s="13" t="s">
        <v>11882</v>
      </c>
      <c r="E9812" s="8">
        <v>13750</v>
      </c>
      <c r="F9812" s="13" t="s">
        <v>70</v>
      </c>
      <c r="G9812" s="14">
        <v>44840</v>
      </c>
      <c r="H9812" s="13" t="s">
        <v>35</v>
      </c>
    </row>
    <row r="9813" spans="1:8" ht="14.4" x14ac:dyDescent="0.3">
      <c r="A9813" s="8">
        <v>2092279</v>
      </c>
      <c r="B9813" s="11">
        <v>44819</v>
      </c>
      <c r="C9813" s="13" t="s">
        <v>11883</v>
      </c>
      <c r="D9813" s="13" t="s">
        <v>11884</v>
      </c>
      <c r="E9813" s="8">
        <v>22000</v>
      </c>
      <c r="F9813" s="13" t="s">
        <v>70</v>
      </c>
      <c r="G9813" s="14">
        <v>44820</v>
      </c>
      <c r="H9813" s="13" t="s">
        <v>35</v>
      </c>
    </row>
    <row r="9814" spans="1:8" ht="14.4" x14ac:dyDescent="0.3">
      <c r="A9814" s="8">
        <v>2092280</v>
      </c>
      <c r="B9814" s="11">
        <v>44819</v>
      </c>
      <c r="C9814" s="13" t="s">
        <v>11885</v>
      </c>
      <c r="D9814" s="13" t="s">
        <v>11886</v>
      </c>
      <c r="E9814" s="8">
        <v>11500</v>
      </c>
      <c r="F9814" s="13" t="s">
        <v>70</v>
      </c>
      <c r="G9814" s="14">
        <v>44820</v>
      </c>
      <c r="H9814" s="13" t="s">
        <v>35</v>
      </c>
    </row>
    <row r="9815" spans="1:8" ht="14.4" x14ac:dyDescent="0.3">
      <c r="A9815" s="8">
        <v>2092281</v>
      </c>
      <c r="B9815" s="11">
        <v>44819</v>
      </c>
      <c r="C9815" s="13" t="s">
        <v>1193</v>
      </c>
      <c r="D9815" s="13" t="s">
        <v>11887</v>
      </c>
      <c r="E9815" s="8">
        <v>18500</v>
      </c>
      <c r="F9815" s="13" t="s">
        <v>70</v>
      </c>
      <c r="G9815" s="14">
        <v>44820</v>
      </c>
      <c r="H9815" s="13" t="s">
        <v>35</v>
      </c>
    </row>
    <row r="9816" spans="1:8" ht="14.4" x14ac:dyDescent="0.3">
      <c r="A9816" s="8">
        <v>2092282</v>
      </c>
      <c r="B9816" s="11">
        <v>44819</v>
      </c>
      <c r="C9816" s="13" t="s">
        <v>601</v>
      </c>
      <c r="D9816" s="13" t="s">
        <v>11888</v>
      </c>
      <c r="E9816" s="8">
        <v>84375</v>
      </c>
      <c r="F9816" s="13" t="s">
        <v>70</v>
      </c>
      <c r="G9816" s="14">
        <v>44824</v>
      </c>
      <c r="H9816" s="13" t="s">
        <v>35</v>
      </c>
    </row>
    <row r="9817" spans="1:8" ht="14.4" x14ac:dyDescent="0.3">
      <c r="A9817" s="8">
        <v>2092283</v>
      </c>
      <c r="B9817" s="11">
        <v>44819</v>
      </c>
      <c r="C9817" s="13" t="s">
        <v>2428</v>
      </c>
      <c r="D9817" s="13" t="s">
        <v>11889</v>
      </c>
      <c r="E9817" s="8">
        <v>36860</v>
      </c>
      <c r="F9817" s="13" t="s">
        <v>70</v>
      </c>
      <c r="G9817" s="14">
        <v>44833</v>
      </c>
      <c r="H9817" s="13" t="s">
        <v>35</v>
      </c>
    </row>
    <row r="9818" spans="1:8" ht="14.4" x14ac:dyDescent="0.3">
      <c r="A9818" s="8">
        <v>2092284</v>
      </c>
      <c r="B9818" s="11">
        <v>44819</v>
      </c>
      <c r="C9818" s="13" t="s">
        <v>11890</v>
      </c>
      <c r="D9818" s="13" t="s">
        <v>11891</v>
      </c>
      <c r="E9818" s="8">
        <v>50000</v>
      </c>
      <c r="F9818" s="13" t="s">
        <v>70</v>
      </c>
      <c r="G9818" s="14">
        <v>44824</v>
      </c>
      <c r="H9818" s="13" t="s">
        <v>35</v>
      </c>
    </row>
    <row r="9819" spans="1:8" ht="14.4" x14ac:dyDescent="0.3">
      <c r="A9819" s="8">
        <v>2092285</v>
      </c>
      <c r="B9819" s="11">
        <v>44819</v>
      </c>
      <c r="C9819" s="13" t="s">
        <v>11892</v>
      </c>
      <c r="D9819" s="13" t="s">
        <v>11893</v>
      </c>
      <c r="E9819" s="8">
        <v>31000</v>
      </c>
      <c r="F9819" s="13" t="s">
        <v>70</v>
      </c>
      <c r="G9819" s="14">
        <v>44823</v>
      </c>
      <c r="H9819" s="13" t="s">
        <v>35</v>
      </c>
    </row>
    <row r="9820" spans="1:8" ht="14.4" x14ac:dyDescent="0.3">
      <c r="A9820" s="8">
        <v>2092286</v>
      </c>
      <c r="B9820" s="11">
        <v>44819</v>
      </c>
      <c r="C9820" s="13" t="s">
        <v>11894</v>
      </c>
      <c r="D9820" s="13" t="s">
        <v>11895</v>
      </c>
      <c r="E9820" s="8">
        <v>21000</v>
      </c>
      <c r="F9820" s="13" t="s">
        <v>70</v>
      </c>
      <c r="G9820" s="14">
        <v>44820</v>
      </c>
      <c r="H9820" s="13" t="s">
        <v>35</v>
      </c>
    </row>
    <row r="9821" spans="1:8" ht="14.4" x14ac:dyDescent="0.3">
      <c r="A9821" s="8">
        <v>2092287</v>
      </c>
      <c r="B9821" s="11">
        <v>44819</v>
      </c>
      <c r="C9821" s="13" t="s">
        <v>11896</v>
      </c>
      <c r="D9821" s="13" t="s">
        <v>11897</v>
      </c>
      <c r="E9821" s="8">
        <v>10000</v>
      </c>
      <c r="F9821" s="13" t="s">
        <v>70</v>
      </c>
      <c r="G9821" s="14">
        <v>44824</v>
      </c>
      <c r="H9821" s="13" t="s">
        <v>35</v>
      </c>
    </row>
    <row r="9822" spans="1:8" ht="14.4" x14ac:dyDescent="0.3">
      <c r="A9822" s="8">
        <v>2092288</v>
      </c>
      <c r="B9822" s="11">
        <v>44819</v>
      </c>
      <c r="C9822" s="13" t="s">
        <v>11898</v>
      </c>
      <c r="D9822" s="13" t="s">
        <v>11899</v>
      </c>
      <c r="E9822" s="8">
        <v>10000</v>
      </c>
      <c r="F9822" s="13" t="s">
        <v>70</v>
      </c>
      <c r="G9822" s="14">
        <v>44820</v>
      </c>
      <c r="H9822" s="13" t="s">
        <v>35</v>
      </c>
    </row>
    <row r="9823" spans="1:8" ht="14.4" x14ac:dyDescent="0.3">
      <c r="A9823" s="8">
        <v>2092289</v>
      </c>
      <c r="B9823" s="11">
        <v>44819</v>
      </c>
      <c r="C9823" s="13" t="s">
        <v>11900</v>
      </c>
      <c r="D9823" s="13" t="s">
        <v>100</v>
      </c>
      <c r="E9823" s="8">
        <v>14000</v>
      </c>
      <c r="F9823" s="13" t="s">
        <v>70</v>
      </c>
      <c r="G9823" s="14">
        <v>44820</v>
      </c>
      <c r="H9823" s="13" t="s">
        <v>35</v>
      </c>
    </row>
    <row r="9824" spans="1:8" ht="14.4" x14ac:dyDescent="0.3">
      <c r="A9824" s="8">
        <v>2092290</v>
      </c>
      <c r="B9824" s="11">
        <v>44819</v>
      </c>
      <c r="C9824" s="13" t="s">
        <v>11901</v>
      </c>
      <c r="D9824" s="13" t="s">
        <v>11902</v>
      </c>
      <c r="E9824" s="8">
        <v>22000</v>
      </c>
      <c r="F9824" s="13" t="s">
        <v>70</v>
      </c>
      <c r="G9824" s="14">
        <v>44820</v>
      </c>
      <c r="H9824" s="13" t="s">
        <v>35</v>
      </c>
    </row>
    <row r="9825" spans="1:8" ht="14.4" x14ac:dyDescent="0.3">
      <c r="A9825" s="8">
        <v>2092291</v>
      </c>
      <c r="B9825" s="11">
        <v>44819</v>
      </c>
      <c r="C9825" s="13" t="s">
        <v>11903</v>
      </c>
      <c r="D9825" s="13"/>
      <c r="E9825" s="8">
        <v>16000</v>
      </c>
      <c r="F9825" s="13" t="s">
        <v>70</v>
      </c>
      <c r="G9825" s="14">
        <v>44854</v>
      </c>
      <c r="H9825" s="13" t="s">
        <v>35</v>
      </c>
    </row>
    <row r="9826" spans="1:8" ht="14.4" x14ac:dyDescent="0.3">
      <c r="A9826" s="8">
        <v>2092292</v>
      </c>
      <c r="B9826" s="11">
        <v>44819</v>
      </c>
      <c r="C9826" s="13" t="s">
        <v>2906</v>
      </c>
      <c r="D9826" s="13" t="s">
        <v>11904</v>
      </c>
      <c r="E9826" s="8">
        <v>40000</v>
      </c>
      <c r="F9826" s="13" t="s">
        <v>70</v>
      </c>
      <c r="G9826" s="14">
        <v>44820</v>
      </c>
      <c r="H9826" s="13" t="s">
        <v>35</v>
      </c>
    </row>
    <row r="9827" spans="1:8" ht="14.4" x14ac:dyDescent="0.3">
      <c r="A9827" s="8">
        <v>2092293</v>
      </c>
      <c r="B9827" s="11">
        <v>44819</v>
      </c>
      <c r="C9827" s="13" t="s">
        <v>1033</v>
      </c>
      <c r="D9827" s="13" t="s">
        <v>11905</v>
      </c>
      <c r="E9827" s="8">
        <v>75660</v>
      </c>
      <c r="F9827" s="13" t="s">
        <v>70</v>
      </c>
      <c r="G9827" s="14">
        <v>44837</v>
      </c>
      <c r="H9827" s="13" t="s">
        <v>35</v>
      </c>
    </row>
    <row r="9828" spans="1:8" ht="14.4" x14ac:dyDescent="0.3">
      <c r="A9828" s="8">
        <v>2092294</v>
      </c>
      <c r="B9828" s="11">
        <v>44819</v>
      </c>
      <c r="C9828" s="13" t="s">
        <v>1726</v>
      </c>
      <c r="D9828" s="13" t="s">
        <v>11906</v>
      </c>
      <c r="E9828" s="8">
        <v>112520</v>
      </c>
      <c r="F9828" s="13" t="s">
        <v>70</v>
      </c>
      <c r="G9828" s="14">
        <v>44824</v>
      </c>
      <c r="H9828" s="13" t="s">
        <v>35</v>
      </c>
    </row>
    <row r="9829" spans="1:8" ht="14.4" x14ac:dyDescent="0.3">
      <c r="A9829" s="8">
        <v>2092296</v>
      </c>
      <c r="B9829" s="11">
        <v>44819</v>
      </c>
      <c r="C9829" s="13" t="s">
        <v>122</v>
      </c>
      <c r="D9829" s="13" t="s">
        <v>11907</v>
      </c>
      <c r="E9829" s="8">
        <v>58200</v>
      </c>
      <c r="F9829" s="13" t="s">
        <v>70</v>
      </c>
      <c r="G9829" s="14">
        <v>44824</v>
      </c>
      <c r="H9829" s="13" t="s">
        <v>35</v>
      </c>
    </row>
    <row r="9830" spans="1:8" ht="14.4" x14ac:dyDescent="0.3">
      <c r="A9830" s="8">
        <v>2092297</v>
      </c>
      <c r="B9830" s="11">
        <v>44819</v>
      </c>
      <c r="C9830" s="13" t="s">
        <v>122</v>
      </c>
      <c r="D9830" s="13" t="s">
        <v>11908</v>
      </c>
      <c r="E9830" s="8">
        <v>583940</v>
      </c>
      <c r="F9830" s="13" t="s">
        <v>70</v>
      </c>
      <c r="G9830" s="14">
        <v>44824</v>
      </c>
      <c r="H9830" s="13" t="s">
        <v>35</v>
      </c>
    </row>
    <row r="9831" spans="1:8" ht="14.4" x14ac:dyDescent="0.3">
      <c r="A9831" s="8">
        <v>2092298</v>
      </c>
      <c r="B9831" s="11">
        <v>44819</v>
      </c>
      <c r="C9831" s="13" t="s">
        <v>1286</v>
      </c>
      <c r="D9831" s="13" t="s">
        <v>11909</v>
      </c>
      <c r="E9831" s="8">
        <v>6844.38</v>
      </c>
      <c r="F9831" s="13" t="s">
        <v>70</v>
      </c>
      <c r="G9831" s="14">
        <v>44825</v>
      </c>
      <c r="H9831" s="13" t="s">
        <v>35</v>
      </c>
    </row>
    <row r="9832" spans="1:8" ht="14.4" x14ac:dyDescent="0.3">
      <c r="A9832" s="8">
        <v>2092299</v>
      </c>
      <c r="B9832" s="11">
        <v>44819</v>
      </c>
      <c r="C9832" s="13" t="s">
        <v>180</v>
      </c>
      <c r="D9832" s="13" t="s">
        <v>901</v>
      </c>
      <c r="E9832" s="8">
        <v>64500</v>
      </c>
      <c r="F9832" s="13" t="s">
        <v>70</v>
      </c>
      <c r="G9832" s="14">
        <v>44819</v>
      </c>
      <c r="H9832" s="13" t="s">
        <v>35</v>
      </c>
    </row>
    <row r="9833" spans="1:8" ht="14.4" x14ac:dyDescent="0.3">
      <c r="A9833" s="8">
        <v>2092300</v>
      </c>
      <c r="B9833" s="11">
        <v>44819</v>
      </c>
      <c r="C9833" s="13" t="s">
        <v>2711</v>
      </c>
      <c r="D9833" s="13" t="s">
        <v>11910</v>
      </c>
      <c r="E9833" s="8">
        <v>9275</v>
      </c>
      <c r="F9833" s="13" t="s">
        <v>70</v>
      </c>
      <c r="G9833" s="14">
        <v>44827</v>
      </c>
      <c r="H9833" s="13" t="s">
        <v>35</v>
      </c>
    </row>
    <row r="9834" spans="1:8" ht="14.4" x14ac:dyDescent="0.3">
      <c r="A9834" s="8">
        <v>2092010</v>
      </c>
      <c r="B9834" s="11">
        <v>44820</v>
      </c>
      <c r="C9834" s="13" t="s">
        <v>156</v>
      </c>
      <c r="D9834" s="13" t="s">
        <v>11911</v>
      </c>
      <c r="E9834" s="8">
        <v>20000</v>
      </c>
      <c r="F9834" s="13" t="s">
        <v>70</v>
      </c>
      <c r="G9834" s="14">
        <v>44823</v>
      </c>
      <c r="H9834" s="13" t="s">
        <v>35</v>
      </c>
    </row>
    <row r="9835" spans="1:8" ht="14.4" x14ac:dyDescent="0.3">
      <c r="A9835" s="8">
        <v>2092011</v>
      </c>
      <c r="B9835" s="11">
        <v>44820</v>
      </c>
      <c r="C9835" s="13" t="s">
        <v>677</v>
      </c>
      <c r="D9835" s="13" t="s">
        <v>11912</v>
      </c>
      <c r="E9835" s="8">
        <v>20000</v>
      </c>
      <c r="F9835" s="13" t="s">
        <v>70</v>
      </c>
      <c r="G9835" s="14">
        <v>44823</v>
      </c>
      <c r="H9835" s="13" t="s">
        <v>35</v>
      </c>
    </row>
    <row r="9836" spans="1:8" ht="14.4" x14ac:dyDescent="0.3">
      <c r="A9836" s="8">
        <v>2092012</v>
      </c>
      <c r="B9836" s="11">
        <v>44820</v>
      </c>
      <c r="C9836" s="13" t="s">
        <v>158</v>
      </c>
      <c r="D9836" s="13" t="s">
        <v>6648</v>
      </c>
      <c r="E9836" s="8">
        <v>20000</v>
      </c>
      <c r="F9836" s="13" t="s">
        <v>70</v>
      </c>
      <c r="G9836" s="14">
        <v>44824</v>
      </c>
      <c r="H9836" s="13" t="s">
        <v>35</v>
      </c>
    </row>
    <row r="9837" spans="1:8" ht="14.4" x14ac:dyDescent="0.3">
      <c r="A9837" s="8">
        <v>2092013</v>
      </c>
      <c r="B9837" s="11">
        <v>44820</v>
      </c>
      <c r="C9837" s="13" t="s">
        <v>25</v>
      </c>
      <c r="D9837" s="13" t="s">
        <v>11913</v>
      </c>
      <c r="E9837" s="8">
        <v>11073.22</v>
      </c>
      <c r="F9837" s="13" t="s">
        <v>70</v>
      </c>
      <c r="G9837" s="14">
        <v>44824</v>
      </c>
      <c r="H9837" s="13" t="s">
        <v>35</v>
      </c>
    </row>
    <row r="9838" spans="1:8" ht="14.4" x14ac:dyDescent="0.3">
      <c r="A9838" s="8">
        <v>2092014</v>
      </c>
      <c r="B9838" s="11">
        <v>44820</v>
      </c>
      <c r="C9838" s="13" t="s">
        <v>1581</v>
      </c>
      <c r="D9838" s="13" t="s">
        <v>11914</v>
      </c>
      <c r="E9838" s="8">
        <v>22714.28</v>
      </c>
      <c r="F9838" s="13" t="s">
        <v>70</v>
      </c>
      <c r="G9838" s="14">
        <v>44833</v>
      </c>
      <c r="H9838" s="13" t="s">
        <v>35</v>
      </c>
    </row>
    <row r="9839" spans="1:8" ht="14.4" x14ac:dyDescent="0.3">
      <c r="A9839" s="8">
        <v>2092015</v>
      </c>
      <c r="B9839" s="11">
        <v>44820</v>
      </c>
      <c r="C9839" s="13" t="s">
        <v>11915</v>
      </c>
      <c r="D9839" s="13" t="s">
        <v>8755</v>
      </c>
      <c r="E9839" s="8">
        <v>13887.29</v>
      </c>
      <c r="F9839" s="13" t="s">
        <v>70</v>
      </c>
      <c r="G9839" s="14">
        <v>44824</v>
      </c>
      <c r="H9839" s="13" t="s">
        <v>35</v>
      </c>
    </row>
    <row r="9840" spans="1:8" ht="14.4" x14ac:dyDescent="0.3">
      <c r="A9840" s="8">
        <v>2092016</v>
      </c>
      <c r="B9840" s="11">
        <v>44820</v>
      </c>
      <c r="C9840" s="13" t="s">
        <v>11916</v>
      </c>
      <c r="D9840" s="13" t="s">
        <v>8755</v>
      </c>
      <c r="E9840" s="8">
        <v>13849.9</v>
      </c>
      <c r="F9840" s="13" t="s">
        <v>70</v>
      </c>
      <c r="G9840" s="14">
        <v>44824</v>
      </c>
      <c r="H9840" s="13" t="s">
        <v>35</v>
      </c>
    </row>
    <row r="9841" spans="1:8" ht="14.4" x14ac:dyDescent="0.3">
      <c r="A9841" s="8">
        <v>2092017</v>
      </c>
      <c r="B9841" s="11">
        <v>44820</v>
      </c>
      <c r="C9841" s="13" t="s">
        <v>11917</v>
      </c>
      <c r="D9841" s="13" t="s">
        <v>8755</v>
      </c>
      <c r="E9841" s="8">
        <v>17549.55</v>
      </c>
      <c r="F9841" s="13" t="s">
        <v>70</v>
      </c>
      <c r="G9841" s="14">
        <v>44824</v>
      </c>
      <c r="H9841" s="13" t="s">
        <v>35</v>
      </c>
    </row>
    <row r="9842" spans="1:8" ht="14.4" x14ac:dyDescent="0.3">
      <c r="A9842" s="8">
        <v>2092018</v>
      </c>
      <c r="B9842" s="11">
        <v>44820</v>
      </c>
      <c r="C9842" s="13" t="s">
        <v>11918</v>
      </c>
      <c r="D9842" s="13" t="s">
        <v>8755</v>
      </c>
      <c r="E9842" s="8">
        <v>17549.55</v>
      </c>
      <c r="F9842" s="13" t="s">
        <v>70</v>
      </c>
      <c r="G9842" s="14">
        <v>44824</v>
      </c>
      <c r="H9842" s="13" t="s">
        <v>35</v>
      </c>
    </row>
    <row r="9843" spans="1:8" ht="14.4" x14ac:dyDescent="0.3">
      <c r="A9843" s="8">
        <v>2092019</v>
      </c>
      <c r="B9843" s="11">
        <v>44820</v>
      </c>
      <c r="C9843" s="13" t="s">
        <v>2425</v>
      </c>
      <c r="D9843" s="13" t="s">
        <v>11919</v>
      </c>
      <c r="E9843" s="8">
        <v>1500</v>
      </c>
      <c r="F9843" s="13" t="s">
        <v>70</v>
      </c>
      <c r="G9843" s="14">
        <v>44833</v>
      </c>
      <c r="H9843" s="13" t="s">
        <v>35</v>
      </c>
    </row>
    <row r="9844" spans="1:8" ht="14.4" x14ac:dyDescent="0.3">
      <c r="A9844" s="8">
        <v>2092020</v>
      </c>
      <c r="B9844" s="11">
        <v>44820</v>
      </c>
      <c r="C9844" s="13" t="s">
        <v>11920</v>
      </c>
      <c r="D9844" s="13" t="s">
        <v>11921</v>
      </c>
      <c r="E9844" s="8">
        <v>23660.720000000001</v>
      </c>
      <c r="F9844" s="13" t="s">
        <v>70</v>
      </c>
      <c r="G9844" s="14">
        <v>44823</v>
      </c>
      <c r="H9844" s="13" t="s">
        <v>35</v>
      </c>
    </row>
    <row r="9845" spans="1:8" ht="14.4" x14ac:dyDescent="0.3">
      <c r="A9845" s="8">
        <v>2092021</v>
      </c>
      <c r="B9845" s="11">
        <v>44823</v>
      </c>
      <c r="C9845" s="13" t="s">
        <v>2262</v>
      </c>
      <c r="D9845" s="13" t="s">
        <v>11922</v>
      </c>
      <c r="E9845" s="8">
        <v>23437.5</v>
      </c>
      <c r="F9845" s="13" t="s">
        <v>70</v>
      </c>
      <c r="G9845" s="14">
        <v>44825</v>
      </c>
      <c r="H9845" s="13" t="s">
        <v>35</v>
      </c>
    </row>
    <row r="9846" spans="1:8" ht="14.4" x14ac:dyDescent="0.3">
      <c r="A9846" s="8">
        <v>2092022</v>
      </c>
      <c r="B9846" s="11">
        <v>44823</v>
      </c>
      <c r="C9846" s="13" t="s">
        <v>1581</v>
      </c>
      <c r="D9846" s="13" t="s">
        <v>11923</v>
      </c>
      <c r="E9846" s="8">
        <v>10647.32</v>
      </c>
      <c r="F9846" s="13" t="s">
        <v>70</v>
      </c>
      <c r="G9846" s="14">
        <v>44833</v>
      </c>
      <c r="H9846" s="13" t="s">
        <v>35</v>
      </c>
    </row>
    <row r="9847" spans="1:8" ht="14.4" x14ac:dyDescent="0.3">
      <c r="A9847" s="8">
        <v>2092301</v>
      </c>
      <c r="B9847" s="11">
        <v>44823</v>
      </c>
      <c r="C9847" s="13" t="s">
        <v>79</v>
      </c>
      <c r="D9847" s="13" t="s">
        <v>11657</v>
      </c>
      <c r="E9847" s="8">
        <v>20000</v>
      </c>
      <c r="F9847" s="13" t="s">
        <v>70</v>
      </c>
      <c r="G9847" s="14">
        <v>44824</v>
      </c>
      <c r="H9847" s="13" t="s">
        <v>35</v>
      </c>
    </row>
    <row r="9848" spans="1:8" ht="14.4" x14ac:dyDescent="0.3">
      <c r="A9848" s="8">
        <v>2092302</v>
      </c>
      <c r="B9848" s="11">
        <v>44823</v>
      </c>
      <c r="C9848" s="13" t="s">
        <v>80</v>
      </c>
      <c r="D9848" s="13" t="s">
        <v>11657</v>
      </c>
      <c r="E9848" s="8">
        <v>10000</v>
      </c>
      <c r="F9848" s="13" t="s">
        <v>70</v>
      </c>
      <c r="G9848" s="14">
        <v>44824</v>
      </c>
      <c r="H9848" s="13" t="s">
        <v>35</v>
      </c>
    </row>
    <row r="9849" spans="1:8" ht="14.4" x14ac:dyDescent="0.3">
      <c r="A9849" s="8">
        <v>2092303</v>
      </c>
      <c r="B9849" s="11">
        <v>44823</v>
      </c>
      <c r="C9849" s="13" t="s">
        <v>81</v>
      </c>
      <c r="D9849" s="13" t="s">
        <v>11657</v>
      </c>
      <c r="E9849" s="8">
        <v>3000</v>
      </c>
      <c r="F9849" s="13" t="s">
        <v>70</v>
      </c>
      <c r="G9849" s="14">
        <v>44824</v>
      </c>
      <c r="H9849" s="13" t="s">
        <v>35</v>
      </c>
    </row>
    <row r="9850" spans="1:8" ht="14.4" x14ac:dyDescent="0.3">
      <c r="A9850" s="8">
        <v>2092304</v>
      </c>
      <c r="B9850" s="11">
        <v>44823</v>
      </c>
      <c r="C9850" s="13" t="s">
        <v>4681</v>
      </c>
      <c r="D9850" s="13" t="s">
        <v>11924</v>
      </c>
      <c r="E9850" s="8">
        <v>10000</v>
      </c>
      <c r="F9850" s="13" t="s">
        <v>70</v>
      </c>
      <c r="G9850" s="14">
        <v>44827</v>
      </c>
      <c r="H9850" s="13" t="s">
        <v>35</v>
      </c>
    </row>
    <row r="9851" spans="1:8" ht="14.4" x14ac:dyDescent="0.3">
      <c r="A9851" s="8">
        <v>2092305</v>
      </c>
      <c r="B9851" s="11">
        <v>44823</v>
      </c>
      <c r="C9851" s="13" t="s">
        <v>547</v>
      </c>
      <c r="D9851" s="13" t="s">
        <v>11924</v>
      </c>
      <c r="E9851" s="8">
        <v>3000</v>
      </c>
      <c r="F9851" s="13" t="s">
        <v>70</v>
      </c>
      <c r="G9851" s="14">
        <v>44827</v>
      </c>
      <c r="H9851" s="13" t="s">
        <v>35</v>
      </c>
    </row>
    <row r="9852" spans="1:8" ht="14.4" x14ac:dyDescent="0.3">
      <c r="A9852" s="8">
        <v>2092306</v>
      </c>
      <c r="B9852" s="11">
        <v>44823</v>
      </c>
      <c r="C9852" s="13" t="s">
        <v>548</v>
      </c>
      <c r="D9852" s="13" t="s">
        <v>11924</v>
      </c>
      <c r="E9852" s="8">
        <v>3000</v>
      </c>
      <c r="F9852" s="13" t="s">
        <v>70</v>
      </c>
      <c r="G9852" s="14">
        <v>44827</v>
      </c>
      <c r="H9852" s="13" t="s">
        <v>35</v>
      </c>
    </row>
    <row r="9853" spans="1:8" ht="14.4" x14ac:dyDescent="0.3">
      <c r="A9853" s="8">
        <v>2092307</v>
      </c>
      <c r="B9853" s="11">
        <v>44823</v>
      </c>
      <c r="C9853" s="13" t="s">
        <v>549</v>
      </c>
      <c r="D9853" s="13" t="s">
        <v>11924</v>
      </c>
      <c r="E9853" s="8">
        <v>3000</v>
      </c>
      <c r="F9853" s="13" t="s">
        <v>70</v>
      </c>
      <c r="G9853" s="14">
        <v>44827</v>
      </c>
      <c r="H9853" s="13" t="s">
        <v>35</v>
      </c>
    </row>
    <row r="9854" spans="1:8" ht="14.4" x14ac:dyDescent="0.3">
      <c r="A9854" s="8">
        <v>2092308</v>
      </c>
      <c r="B9854" s="11">
        <v>44823</v>
      </c>
      <c r="C9854" s="13" t="s">
        <v>893</v>
      </c>
      <c r="D9854" s="13" t="s">
        <v>11925</v>
      </c>
      <c r="E9854" s="8">
        <v>319300</v>
      </c>
      <c r="F9854" s="13" t="s">
        <v>70</v>
      </c>
      <c r="G9854" s="14">
        <v>44825</v>
      </c>
      <c r="H9854" s="13" t="s">
        <v>35</v>
      </c>
    </row>
    <row r="9855" spans="1:8" ht="14.4" x14ac:dyDescent="0.3">
      <c r="A9855" s="8">
        <v>2092309</v>
      </c>
      <c r="B9855" s="11">
        <v>44823</v>
      </c>
      <c r="C9855" s="13" t="s">
        <v>11926</v>
      </c>
      <c r="D9855" s="13" t="s">
        <v>11927</v>
      </c>
      <c r="E9855" s="8">
        <v>6000</v>
      </c>
      <c r="F9855" s="13" t="s">
        <v>70</v>
      </c>
      <c r="G9855" s="14">
        <v>44824</v>
      </c>
      <c r="H9855" s="13" t="s">
        <v>35</v>
      </c>
    </row>
    <row r="9856" spans="1:8" ht="14.4" x14ac:dyDescent="0.3">
      <c r="A9856" s="8">
        <v>2092310</v>
      </c>
      <c r="B9856" s="11">
        <v>44823</v>
      </c>
      <c r="C9856" s="13" t="s">
        <v>1504</v>
      </c>
      <c r="D9856" s="13" t="s">
        <v>11928</v>
      </c>
      <c r="E9856" s="8">
        <v>4359171.07</v>
      </c>
      <c r="F9856" s="13" t="s">
        <v>70</v>
      </c>
      <c r="G9856" s="14">
        <v>44826</v>
      </c>
      <c r="H9856" s="13" t="s">
        <v>35</v>
      </c>
    </row>
    <row r="9857" spans="1:8" ht="14.4" x14ac:dyDescent="0.3">
      <c r="A9857" s="8">
        <v>2092311</v>
      </c>
      <c r="B9857" s="11">
        <v>44823</v>
      </c>
      <c r="C9857" s="13" t="s">
        <v>1946</v>
      </c>
      <c r="D9857" s="13" t="s">
        <v>11929</v>
      </c>
      <c r="E9857" s="8">
        <v>14196.43</v>
      </c>
      <c r="F9857" s="13" t="s">
        <v>70</v>
      </c>
      <c r="G9857" s="14">
        <v>44827</v>
      </c>
      <c r="H9857" s="13" t="s">
        <v>35</v>
      </c>
    </row>
    <row r="9858" spans="1:8" ht="14.4" x14ac:dyDescent="0.3">
      <c r="A9858" s="8">
        <v>2092312</v>
      </c>
      <c r="B9858" s="11">
        <v>44823</v>
      </c>
      <c r="C9858" s="13" t="s">
        <v>11930</v>
      </c>
      <c r="D9858" s="13" t="s">
        <v>11931</v>
      </c>
      <c r="E9858" s="8">
        <v>11500</v>
      </c>
      <c r="F9858" s="13" t="s">
        <v>70</v>
      </c>
      <c r="G9858" s="14">
        <v>44825</v>
      </c>
      <c r="H9858" s="13" t="s">
        <v>35</v>
      </c>
    </row>
    <row r="9859" spans="1:8" ht="14.4" x14ac:dyDescent="0.3">
      <c r="A9859" s="8">
        <v>2092313</v>
      </c>
      <c r="B9859" s="11">
        <v>44823</v>
      </c>
      <c r="C9859" s="13" t="s">
        <v>162</v>
      </c>
      <c r="D9859" s="13" t="s">
        <v>11932</v>
      </c>
      <c r="E9859" s="8">
        <v>52311.64</v>
      </c>
      <c r="F9859" s="13" t="s">
        <v>70</v>
      </c>
      <c r="G9859" s="14">
        <v>44833</v>
      </c>
      <c r="H9859" s="13" t="s">
        <v>35</v>
      </c>
    </row>
    <row r="9860" spans="1:8" ht="14.4" x14ac:dyDescent="0.3">
      <c r="A9860" s="8">
        <v>2092314</v>
      </c>
      <c r="B9860" s="11">
        <v>44823</v>
      </c>
      <c r="C9860" s="13" t="s">
        <v>265</v>
      </c>
      <c r="D9860" s="13" t="s">
        <v>11933</v>
      </c>
      <c r="E9860" s="8">
        <v>83535.25</v>
      </c>
      <c r="F9860" s="13" t="s">
        <v>70</v>
      </c>
      <c r="G9860" s="14">
        <v>44825</v>
      </c>
      <c r="H9860" s="13" t="s">
        <v>35</v>
      </c>
    </row>
    <row r="9861" spans="1:8" ht="14.4" x14ac:dyDescent="0.3">
      <c r="A9861" s="8">
        <v>2092315</v>
      </c>
      <c r="B9861" s="11">
        <v>44823</v>
      </c>
      <c r="C9861" s="13" t="s">
        <v>11934</v>
      </c>
      <c r="D9861" s="13" t="s">
        <v>11935</v>
      </c>
      <c r="E9861" s="8">
        <v>5000</v>
      </c>
      <c r="F9861" s="13" t="s">
        <v>70</v>
      </c>
      <c r="G9861" s="14">
        <v>44824</v>
      </c>
      <c r="H9861" s="13" t="s">
        <v>35</v>
      </c>
    </row>
    <row r="9862" spans="1:8" ht="14.4" x14ac:dyDescent="0.3">
      <c r="A9862" s="8">
        <v>2092316</v>
      </c>
      <c r="B9862" s="11">
        <v>44823</v>
      </c>
      <c r="C9862" s="13" t="s">
        <v>11936</v>
      </c>
      <c r="D9862" s="13" t="s">
        <v>11937</v>
      </c>
      <c r="E9862" s="8">
        <v>5000</v>
      </c>
      <c r="F9862" s="13" t="s">
        <v>70</v>
      </c>
      <c r="G9862" s="14">
        <v>44831</v>
      </c>
      <c r="H9862" s="13" t="s">
        <v>35</v>
      </c>
    </row>
    <row r="9863" spans="1:8" ht="14.4" x14ac:dyDescent="0.3">
      <c r="A9863" s="8">
        <v>2092317</v>
      </c>
      <c r="B9863" s="11">
        <v>44823</v>
      </c>
      <c r="C9863" s="13" t="s">
        <v>11938</v>
      </c>
      <c r="D9863" s="13" t="s">
        <v>11669</v>
      </c>
      <c r="E9863" s="8">
        <v>9790</v>
      </c>
      <c r="F9863" s="13" t="s">
        <v>70</v>
      </c>
      <c r="G9863" s="14">
        <v>44826</v>
      </c>
      <c r="H9863" s="13" t="s">
        <v>35</v>
      </c>
    </row>
    <row r="9864" spans="1:8" ht="14.4" x14ac:dyDescent="0.3">
      <c r="A9864" s="8">
        <v>2092318</v>
      </c>
      <c r="B9864" s="11">
        <v>44823</v>
      </c>
      <c r="C9864" s="13" t="s">
        <v>11939</v>
      </c>
      <c r="D9864" s="13" t="s">
        <v>11669</v>
      </c>
      <c r="E9864" s="8">
        <v>5000</v>
      </c>
      <c r="F9864" s="13" t="s">
        <v>70</v>
      </c>
      <c r="G9864" s="14">
        <v>44833</v>
      </c>
      <c r="H9864" s="13" t="s">
        <v>35</v>
      </c>
    </row>
    <row r="9865" spans="1:8" ht="14.4" x14ac:dyDescent="0.3">
      <c r="A9865" s="8">
        <v>2092319</v>
      </c>
      <c r="B9865" s="11">
        <v>44823</v>
      </c>
      <c r="C9865" s="13" t="s">
        <v>363</v>
      </c>
      <c r="D9865" s="13" t="s">
        <v>11940</v>
      </c>
      <c r="E9865" s="8">
        <v>41384.800000000003</v>
      </c>
      <c r="F9865" s="13" t="s">
        <v>70</v>
      </c>
      <c r="G9865" s="14">
        <v>44825</v>
      </c>
      <c r="H9865" s="13" t="s">
        <v>35</v>
      </c>
    </row>
    <row r="9866" spans="1:8" ht="14.4" x14ac:dyDescent="0.3">
      <c r="A9866" s="8">
        <v>2092320</v>
      </c>
      <c r="B9866" s="11">
        <v>44823</v>
      </c>
      <c r="C9866" s="13" t="s">
        <v>395</v>
      </c>
      <c r="D9866" s="13" t="s">
        <v>11941</v>
      </c>
      <c r="E9866" s="8">
        <v>55542</v>
      </c>
      <c r="F9866" s="13" t="s">
        <v>70</v>
      </c>
      <c r="G9866" s="14">
        <v>44825</v>
      </c>
      <c r="H9866" s="13" t="s">
        <v>35</v>
      </c>
    </row>
    <row r="9867" spans="1:8" ht="14.4" x14ac:dyDescent="0.3">
      <c r="A9867" s="8">
        <v>2092321</v>
      </c>
      <c r="B9867" s="11">
        <v>44823</v>
      </c>
      <c r="C9867" s="13" t="s">
        <v>990</v>
      </c>
      <c r="D9867" s="13" t="s">
        <v>11942</v>
      </c>
      <c r="E9867" s="8">
        <v>3046.87</v>
      </c>
      <c r="F9867" s="13" t="s">
        <v>70</v>
      </c>
      <c r="G9867" s="14">
        <v>44832</v>
      </c>
      <c r="H9867" s="13" t="s">
        <v>35</v>
      </c>
    </row>
    <row r="9868" spans="1:8" ht="14.4" x14ac:dyDescent="0.3">
      <c r="A9868" s="8">
        <v>2092023</v>
      </c>
      <c r="B9868" s="11">
        <v>44824</v>
      </c>
      <c r="C9868" s="13" t="s">
        <v>1941</v>
      </c>
      <c r="D9868" s="13" t="s">
        <v>11943</v>
      </c>
      <c r="E9868" s="8">
        <v>4063.4</v>
      </c>
      <c r="F9868" s="13" t="s">
        <v>70</v>
      </c>
      <c r="G9868" s="14">
        <v>44831</v>
      </c>
      <c r="H9868" s="13" t="s">
        <v>35</v>
      </c>
    </row>
    <row r="9869" spans="1:8" ht="14.4" x14ac:dyDescent="0.3">
      <c r="A9869" s="8">
        <v>2092024</v>
      </c>
      <c r="B9869" s="11">
        <v>44824</v>
      </c>
      <c r="C9869" s="13" t="s">
        <v>1581</v>
      </c>
      <c r="D9869" s="13" t="s">
        <v>11944</v>
      </c>
      <c r="E9869" s="8">
        <v>3785.72</v>
      </c>
      <c r="F9869" s="13" t="s">
        <v>70</v>
      </c>
      <c r="G9869" s="14">
        <v>44833</v>
      </c>
      <c r="H9869" s="13" t="s">
        <v>35</v>
      </c>
    </row>
    <row r="9870" spans="1:8" ht="14.4" x14ac:dyDescent="0.3">
      <c r="A9870" s="8">
        <v>2092025</v>
      </c>
      <c r="B9870" s="11">
        <v>44824</v>
      </c>
      <c r="C9870" s="13" t="s">
        <v>10480</v>
      </c>
      <c r="D9870" s="13" t="s">
        <v>11945</v>
      </c>
      <c r="E9870" s="8">
        <v>20000</v>
      </c>
      <c r="F9870" s="13" t="s">
        <v>70</v>
      </c>
      <c r="G9870" s="14">
        <v>44825</v>
      </c>
      <c r="H9870" s="13" t="s">
        <v>35</v>
      </c>
    </row>
    <row r="9871" spans="1:8" ht="14.4" x14ac:dyDescent="0.3">
      <c r="A9871" s="8">
        <v>2092322</v>
      </c>
      <c r="B9871" s="11">
        <v>44824</v>
      </c>
      <c r="C9871" s="13" t="s">
        <v>159</v>
      </c>
      <c r="D9871" s="13" t="s">
        <v>2314</v>
      </c>
      <c r="E9871" s="8">
        <v>404000</v>
      </c>
      <c r="F9871" s="13" t="s">
        <v>70</v>
      </c>
      <c r="G9871" s="14">
        <v>44824</v>
      </c>
      <c r="H9871" s="13" t="s">
        <v>35</v>
      </c>
    </row>
    <row r="9872" spans="1:8" ht="14.4" x14ac:dyDescent="0.3">
      <c r="A9872" s="8">
        <v>2092323</v>
      </c>
      <c r="B9872" s="11">
        <v>44824</v>
      </c>
      <c r="C9872" s="13" t="s">
        <v>44</v>
      </c>
      <c r="D9872" s="13" t="s">
        <v>11946</v>
      </c>
      <c r="E9872" s="8">
        <v>3043.78</v>
      </c>
      <c r="F9872" s="13" t="s">
        <v>70</v>
      </c>
      <c r="G9872" s="14">
        <v>44825</v>
      </c>
      <c r="H9872" s="13" t="s">
        <v>35</v>
      </c>
    </row>
    <row r="9873" spans="1:8" ht="14.4" x14ac:dyDescent="0.3">
      <c r="A9873" s="8">
        <v>2092324</v>
      </c>
      <c r="B9873" s="11">
        <v>44824</v>
      </c>
      <c r="C9873" s="13" t="s">
        <v>161</v>
      </c>
      <c r="D9873" s="13" t="s">
        <v>11669</v>
      </c>
      <c r="E9873" s="8">
        <v>6000</v>
      </c>
      <c r="F9873" s="13" t="s">
        <v>70</v>
      </c>
      <c r="G9873" s="14">
        <v>44827</v>
      </c>
      <c r="H9873" s="13" t="s">
        <v>35</v>
      </c>
    </row>
    <row r="9874" spans="1:8" ht="14.4" x14ac:dyDescent="0.3">
      <c r="A9874" s="8">
        <v>2092325</v>
      </c>
      <c r="B9874" s="11">
        <v>44824</v>
      </c>
      <c r="C9874" s="13" t="s">
        <v>1286</v>
      </c>
      <c r="D9874" s="13" t="s">
        <v>11947</v>
      </c>
      <c r="E9874" s="8">
        <v>12253.04</v>
      </c>
      <c r="F9874" s="13" t="s">
        <v>70</v>
      </c>
      <c r="G9874" s="14">
        <v>44825</v>
      </c>
      <c r="H9874" s="13" t="s">
        <v>35</v>
      </c>
    </row>
    <row r="9875" spans="1:8" ht="14.4" x14ac:dyDescent="0.3">
      <c r="A9875" s="8">
        <v>2092327</v>
      </c>
      <c r="B9875" s="11">
        <v>44824</v>
      </c>
      <c r="C9875" s="13" t="s">
        <v>748</v>
      </c>
      <c r="D9875" s="13" t="s">
        <v>11948</v>
      </c>
      <c r="E9875" s="8">
        <v>129097.61</v>
      </c>
      <c r="F9875" s="13" t="s">
        <v>70</v>
      </c>
      <c r="G9875" s="14">
        <v>44827</v>
      </c>
      <c r="H9875" s="13" t="s">
        <v>35</v>
      </c>
    </row>
    <row r="9876" spans="1:8" ht="14.4" x14ac:dyDescent="0.3">
      <c r="A9876" s="8">
        <v>2092328</v>
      </c>
      <c r="B9876" s="11">
        <v>44824</v>
      </c>
      <c r="C9876" s="13" t="s">
        <v>26</v>
      </c>
      <c r="D9876" s="13" t="s">
        <v>11949</v>
      </c>
      <c r="E9876" s="8">
        <v>4031.25</v>
      </c>
      <c r="F9876" s="13" t="s">
        <v>70</v>
      </c>
      <c r="G9876" s="14">
        <v>44840</v>
      </c>
      <c r="H9876" s="13" t="s">
        <v>35</v>
      </c>
    </row>
    <row r="9877" spans="1:8" ht="14.4" x14ac:dyDescent="0.3">
      <c r="A9877" s="8">
        <v>2092329</v>
      </c>
      <c r="B9877" s="11">
        <v>44824</v>
      </c>
      <c r="C9877" s="13" t="s">
        <v>550</v>
      </c>
      <c r="D9877" s="13" t="s">
        <v>11924</v>
      </c>
      <c r="E9877" s="8">
        <v>3000</v>
      </c>
      <c r="F9877" s="13" t="s">
        <v>70</v>
      </c>
      <c r="G9877" s="14">
        <v>44827</v>
      </c>
      <c r="H9877" s="13" t="s">
        <v>35</v>
      </c>
    </row>
    <row r="9878" spans="1:8" ht="14.4" x14ac:dyDescent="0.3">
      <c r="A9878" s="8">
        <v>2092330</v>
      </c>
      <c r="B9878" s="11">
        <v>44824</v>
      </c>
      <c r="C9878" s="13" t="s">
        <v>1563</v>
      </c>
      <c r="D9878" s="13" t="s">
        <v>11924</v>
      </c>
      <c r="E9878" s="8">
        <v>3000</v>
      </c>
      <c r="F9878" s="13" t="s">
        <v>70</v>
      </c>
      <c r="G9878" s="14">
        <v>44827</v>
      </c>
      <c r="H9878" s="13" t="s">
        <v>35</v>
      </c>
    </row>
    <row r="9879" spans="1:8" ht="14.4" x14ac:dyDescent="0.3">
      <c r="A9879" s="8">
        <v>2092331</v>
      </c>
      <c r="B9879" s="11">
        <v>44824</v>
      </c>
      <c r="C9879" s="13" t="s">
        <v>553</v>
      </c>
      <c r="D9879" s="13" t="s">
        <v>11924</v>
      </c>
      <c r="E9879" s="8">
        <v>3000</v>
      </c>
      <c r="F9879" s="13" t="s">
        <v>70</v>
      </c>
      <c r="G9879" s="14">
        <v>44827</v>
      </c>
      <c r="H9879" s="13" t="s">
        <v>35</v>
      </c>
    </row>
    <row r="9880" spans="1:8" ht="14.4" x14ac:dyDescent="0.3">
      <c r="A9880" s="8">
        <v>2092332</v>
      </c>
      <c r="B9880" s="11">
        <v>44824</v>
      </c>
      <c r="C9880" s="13" t="s">
        <v>554</v>
      </c>
      <c r="D9880" s="13" t="s">
        <v>11924</v>
      </c>
      <c r="E9880" s="8">
        <v>3000</v>
      </c>
      <c r="F9880" s="13" t="s">
        <v>70</v>
      </c>
      <c r="G9880" s="14">
        <v>44827</v>
      </c>
      <c r="H9880" s="13" t="s">
        <v>35</v>
      </c>
    </row>
    <row r="9881" spans="1:8" ht="14.4" x14ac:dyDescent="0.3">
      <c r="A9881" s="8">
        <v>2092333</v>
      </c>
      <c r="B9881" s="11">
        <v>44824</v>
      </c>
      <c r="C9881" s="13" t="s">
        <v>555</v>
      </c>
      <c r="D9881" s="13" t="s">
        <v>11924</v>
      </c>
      <c r="E9881" s="8">
        <v>3000</v>
      </c>
      <c r="F9881" s="13" t="s">
        <v>70</v>
      </c>
      <c r="G9881" s="14">
        <v>44827</v>
      </c>
      <c r="H9881" s="13" t="s">
        <v>35</v>
      </c>
    </row>
    <row r="9882" spans="1:8" ht="14.4" x14ac:dyDescent="0.3">
      <c r="A9882" s="8">
        <v>2092334</v>
      </c>
      <c r="B9882" s="11">
        <v>44824</v>
      </c>
      <c r="C9882" s="13" t="s">
        <v>259</v>
      </c>
      <c r="D9882" s="13" t="s">
        <v>11950</v>
      </c>
      <c r="E9882" s="8">
        <v>30853.57</v>
      </c>
      <c r="F9882" s="13" t="s">
        <v>70</v>
      </c>
      <c r="G9882" s="14">
        <v>44831</v>
      </c>
      <c r="H9882" s="13" t="s">
        <v>35</v>
      </c>
    </row>
    <row r="9883" spans="1:8" ht="14.4" x14ac:dyDescent="0.3">
      <c r="A9883" s="8">
        <v>2092335</v>
      </c>
      <c r="B9883" s="11">
        <v>44824</v>
      </c>
      <c r="C9883" s="13" t="s">
        <v>1522</v>
      </c>
      <c r="D9883" s="13" t="s">
        <v>11951</v>
      </c>
      <c r="E9883" s="8">
        <v>23216.2</v>
      </c>
      <c r="F9883" s="13" t="s">
        <v>70</v>
      </c>
      <c r="G9883" s="14">
        <v>44834</v>
      </c>
      <c r="H9883" s="13" t="s">
        <v>35</v>
      </c>
    </row>
    <row r="9884" spans="1:8" ht="14.4" x14ac:dyDescent="0.3">
      <c r="A9884" s="8">
        <v>2092336</v>
      </c>
      <c r="B9884" s="11">
        <v>44824</v>
      </c>
      <c r="C9884" s="13" t="s">
        <v>2262</v>
      </c>
      <c r="D9884" s="13" t="s">
        <v>11952</v>
      </c>
      <c r="E9884" s="8">
        <v>25164.28</v>
      </c>
      <c r="F9884" s="13" t="s">
        <v>70</v>
      </c>
      <c r="G9884" s="14">
        <v>44825</v>
      </c>
      <c r="H9884" s="13" t="s">
        <v>35</v>
      </c>
    </row>
    <row r="9885" spans="1:8" ht="14.4" x14ac:dyDescent="0.3">
      <c r="A9885" s="8">
        <v>2092337</v>
      </c>
      <c r="B9885" s="11">
        <v>44824</v>
      </c>
      <c r="C9885" s="13" t="s">
        <v>1596</v>
      </c>
      <c r="D9885" s="13" t="s">
        <v>11953</v>
      </c>
      <c r="E9885" s="8">
        <v>764.4</v>
      </c>
      <c r="F9885" s="13" t="s">
        <v>70</v>
      </c>
      <c r="G9885" s="14">
        <v>44834</v>
      </c>
      <c r="H9885" s="13" t="s">
        <v>35</v>
      </c>
    </row>
    <row r="9886" spans="1:8" ht="14.4" x14ac:dyDescent="0.3">
      <c r="A9886" s="8">
        <v>2092338</v>
      </c>
      <c r="B9886" s="11">
        <v>44824</v>
      </c>
      <c r="C9886" s="13" t="s">
        <v>1941</v>
      </c>
      <c r="D9886" s="13" t="s">
        <v>11954</v>
      </c>
      <c r="E9886" s="8">
        <v>21838.75</v>
      </c>
      <c r="F9886" s="13" t="s">
        <v>70</v>
      </c>
      <c r="G9886" s="14">
        <v>44831</v>
      </c>
      <c r="H9886" s="13" t="s">
        <v>35</v>
      </c>
    </row>
    <row r="9887" spans="1:8" ht="14.4" x14ac:dyDescent="0.3">
      <c r="A9887" s="8">
        <v>2092339</v>
      </c>
      <c r="B9887" s="11">
        <v>44824</v>
      </c>
      <c r="C9887" s="13" t="s">
        <v>3203</v>
      </c>
      <c r="D9887" s="13" t="s">
        <v>11955</v>
      </c>
      <c r="E9887" s="8">
        <v>22052.89</v>
      </c>
      <c r="F9887" s="13" t="s">
        <v>70</v>
      </c>
      <c r="G9887" s="14">
        <v>44844</v>
      </c>
      <c r="H9887" s="13" t="s">
        <v>35</v>
      </c>
    </row>
    <row r="9888" spans="1:8" ht="14.4" x14ac:dyDescent="0.3">
      <c r="A9888" s="8">
        <v>2092340</v>
      </c>
      <c r="B9888" s="11">
        <v>44824</v>
      </c>
      <c r="C9888" s="13" t="s">
        <v>1581</v>
      </c>
      <c r="D9888" s="13" t="s">
        <v>11956</v>
      </c>
      <c r="E9888" s="8">
        <v>4258.93</v>
      </c>
      <c r="F9888" s="13" t="s">
        <v>70</v>
      </c>
      <c r="G9888" s="14">
        <v>44833</v>
      </c>
      <c r="H9888" s="13" t="s">
        <v>35</v>
      </c>
    </row>
    <row r="9889" spans="1:8" ht="14.4" x14ac:dyDescent="0.3">
      <c r="A9889" s="8">
        <v>2092341</v>
      </c>
      <c r="B9889" s="11">
        <v>44824</v>
      </c>
      <c r="C9889" s="13" t="s">
        <v>1581</v>
      </c>
      <c r="D9889" s="13" t="s">
        <v>11957</v>
      </c>
      <c r="E9889" s="8">
        <v>9582.59</v>
      </c>
      <c r="F9889" s="13" t="s">
        <v>70</v>
      </c>
      <c r="G9889" s="14">
        <v>44833</v>
      </c>
      <c r="H9889" s="13" t="s">
        <v>35</v>
      </c>
    </row>
    <row r="9890" spans="1:8" ht="14.4" x14ac:dyDescent="0.3">
      <c r="A9890" s="8">
        <v>2092342</v>
      </c>
      <c r="B9890" s="11">
        <v>44824</v>
      </c>
      <c r="C9890" s="13" t="s">
        <v>1581</v>
      </c>
      <c r="D9890" s="13" t="s">
        <v>11958</v>
      </c>
      <c r="E9890" s="8">
        <v>10647.32</v>
      </c>
      <c r="F9890" s="13" t="s">
        <v>70</v>
      </c>
      <c r="G9890" s="14">
        <v>44833</v>
      </c>
      <c r="H9890" s="13" t="s">
        <v>35</v>
      </c>
    </row>
    <row r="9891" spans="1:8" ht="14.4" x14ac:dyDescent="0.3">
      <c r="A9891" s="8">
        <v>2092343</v>
      </c>
      <c r="B9891" s="11">
        <v>44824</v>
      </c>
      <c r="C9891" s="13" t="s">
        <v>1581</v>
      </c>
      <c r="D9891" s="13" t="s">
        <v>11959</v>
      </c>
      <c r="E9891" s="8">
        <v>6388.39</v>
      </c>
      <c r="F9891" s="13" t="s">
        <v>70</v>
      </c>
      <c r="G9891" s="14">
        <v>44833</v>
      </c>
      <c r="H9891" s="13" t="s">
        <v>35</v>
      </c>
    </row>
    <row r="9892" spans="1:8" ht="14.4" x14ac:dyDescent="0.3">
      <c r="A9892" s="8">
        <v>2092344</v>
      </c>
      <c r="B9892" s="11">
        <v>44824</v>
      </c>
      <c r="C9892" s="13" t="s">
        <v>11960</v>
      </c>
      <c r="D9892" s="13" t="s">
        <v>11961</v>
      </c>
      <c r="E9892" s="8">
        <v>73228.72</v>
      </c>
      <c r="F9892" s="13" t="s">
        <v>70</v>
      </c>
      <c r="G9892" s="14">
        <v>44840</v>
      </c>
      <c r="H9892" s="13" t="s">
        <v>35</v>
      </c>
    </row>
    <row r="9893" spans="1:8" ht="14.4" x14ac:dyDescent="0.3">
      <c r="A9893" s="8">
        <v>2092345</v>
      </c>
      <c r="B9893" s="11">
        <v>44824</v>
      </c>
      <c r="C9893" s="13" t="s">
        <v>4211</v>
      </c>
      <c r="D9893" s="13" t="s">
        <v>11962</v>
      </c>
      <c r="E9893" s="8">
        <v>33000</v>
      </c>
      <c r="F9893" s="13" t="s">
        <v>70</v>
      </c>
      <c r="G9893" s="14">
        <v>44832</v>
      </c>
      <c r="H9893" s="13" t="s">
        <v>35</v>
      </c>
    </row>
    <row r="9894" spans="1:8" ht="14.4" x14ac:dyDescent="0.3">
      <c r="A9894" s="8">
        <v>2092346</v>
      </c>
      <c r="B9894" s="11">
        <v>44824</v>
      </c>
      <c r="C9894" s="13" t="s">
        <v>1596</v>
      </c>
      <c r="D9894" s="13" t="s">
        <v>11963</v>
      </c>
      <c r="E9894" s="8">
        <v>9922.5</v>
      </c>
      <c r="F9894" s="13" t="s">
        <v>70</v>
      </c>
      <c r="G9894" s="14">
        <v>44834</v>
      </c>
      <c r="H9894" s="13" t="s">
        <v>35</v>
      </c>
    </row>
    <row r="9895" spans="1:8" ht="14.4" x14ac:dyDescent="0.3">
      <c r="A9895" s="8">
        <v>2092347</v>
      </c>
      <c r="B9895" s="11">
        <v>44824</v>
      </c>
      <c r="C9895" s="13" t="s">
        <v>1596</v>
      </c>
      <c r="D9895" s="13" t="s">
        <v>11964</v>
      </c>
      <c r="E9895" s="8">
        <v>764.4</v>
      </c>
      <c r="F9895" s="13" t="s">
        <v>70</v>
      </c>
      <c r="G9895" s="14">
        <v>44834</v>
      </c>
      <c r="H9895" s="13" t="s">
        <v>35</v>
      </c>
    </row>
    <row r="9896" spans="1:8" ht="14.4" x14ac:dyDescent="0.3">
      <c r="A9896" s="8">
        <v>2092348</v>
      </c>
      <c r="B9896" s="11">
        <v>44824</v>
      </c>
      <c r="C9896" s="13" t="s">
        <v>5927</v>
      </c>
      <c r="D9896" s="13" t="s">
        <v>11965</v>
      </c>
      <c r="E9896" s="8">
        <v>1818534.88</v>
      </c>
      <c r="F9896" s="13" t="s">
        <v>70</v>
      </c>
      <c r="G9896" s="14">
        <v>44826</v>
      </c>
      <c r="H9896" s="13" t="s">
        <v>35</v>
      </c>
    </row>
    <row r="9897" spans="1:8" ht="14.4" x14ac:dyDescent="0.3">
      <c r="A9897" s="8">
        <v>2092349</v>
      </c>
      <c r="B9897" s="11">
        <v>44824</v>
      </c>
      <c r="C9897" s="13" t="s">
        <v>557</v>
      </c>
      <c r="D9897" s="13" t="s">
        <v>11924</v>
      </c>
      <c r="E9897" s="8">
        <v>3000</v>
      </c>
      <c r="F9897" s="13" t="s">
        <v>70</v>
      </c>
      <c r="G9897" s="14">
        <v>44827</v>
      </c>
      <c r="H9897" s="13" t="s">
        <v>35</v>
      </c>
    </row>
    <row r="9898" spans="1:8" ht="14.4" x14ac:dyDescent="0.3">
      <c r="A9898" s="8">
        <v>2092350</v>
      </c>
      <c r="B9898" s="11">
        <v>44824</v>
      </c>
      <c r="C9898" s="13" t="s">
        <v>558</v>
      </c>
      <c r="D9898" s="13" t="s">
        <v>11924</v>
      </c>
      <c r="E9898" s="8">
        <v>3000</v>
      </c>
      <c r="F9898" s="13" t="s">
        <v>70</v>
      </c>
      <c r="G9898" s="14">
        <v>44827</v>
      </c>
      <c r="H9898" s="13" t="s">
        <v>35</v>
      </c>
    </row>
    <row r="9899" spans="1:8" ht="14.4" x14ac:dyDescent="0.3">
      <c r="A9899" s="8">
        <v>2092351</v>
      </c>
      <c r="B9899" s="11">
        <v>44824</v>
      </c>
      <c r="C9899" s="13" t="s">
        <v>559</v>
      </c>
      <c r="D9899" s="13" t="s">
        <v>11924</v>
      </c>
      <c r="E9899" s="8">
        <v>3000</v>
      </c>
      <c r="F9899" s="13" t="s">
        <v>70</v>
      </c>
      <c r="G9899" s="14">
        <v>44827</v>
      </c>
      <c r="H9899" s="13" t="s">
        <v>35</v>
      </c>
    </row>
    <row r="9900" spans="1:8" ht="14.4" x14ac:dyDescent="0.3">
      <c r="A9900" s="8">
        <v>2092352</v>
      </c>
      <c r="B9900" s="11">
        <v>44824</v>
      </c>
      <c r="C9900" s="13" t="s">
        <v>556</v>
      </c>
      <c r="D9900" s="13" t="s">
        <v>11924</v>
      </c>
      <c r="E9900" s="8">
        <v>3000</v>
      </c>
      <c r="F9900" s="13" t="s">
        <v>70</v>
      </c>
      <c r="G9900" s="14">
        <v>44827</v>
      </c>
      <c r="H9900" s="13" t="s">
        <v>35</v>
      </c>
    </row>
    <row r="9901" spans="1:8" ht="14.4" x14ac:dyDescent="0.3">
      <c r="A9901" s="8">
        <v>2092354</v>
      </c>
      <c r="B9901" s="11">
        <v>44824</v>
      </c>
      <c r="C9901" s="13" t="s">
        <v>5898</v>
      </c>
      <c r="D9901" s="13" t="s">
        <v>11966</v>
      </c>
      <c r="E9901" s="8">
        <v>10000</v>
      </c>
      <c r="F9901" s="13" t="s">
        <v>70</v>
      </c>
      <c r="G9901" s="14">
        <v>44838</v>
      </c>
      <c r="H9901" s="13" t="s">
        <v>35</v>
      </c>
    </row>
    <row r="9902" spans="1:8" ht="14.4" x14ac:dyDescent="0.3">
      <c r="A9902" s="8">
        <v>2092356</v>
      </c>
      <c r="B9902" s="11">
        <v>44824</v>
      </c>
      <c r="C9902" s="13" t="s">
        <v>836</v>
      </c>
      <c r="D9902" s="13" t="s">
        <v>11967</v>
      </c>
      <c r="E9902" s="8">
        <v>2000</v>
      </c>
      <c r="F9902" s="13" t="s">
        <v>70</v>
      </c>
      <c r="G9902" s="14">
        <v>44841</v>
      </c>
      <c r="H9902" s="13" t="s">
        <v>35</v>
      </c>
    </row>
    <row r="9903" spans="1:8" ht="14.4" x14ac:dyDescent="0.3">
      <c r="A9903" s="8">
        <v>2092357</v>
      </c>
      <c r="B9903" s="11">
        <v>44824</v>
      </c>
      <c r="C9903" s="13" t="s">
        <v>846</v>
      </c>
      <c r="D9903" s="13" t="s">
        <v>11967</v>
      </c>
      <c r="E9903" s="8">
        <v>2000</v>
      </c>
      <c r="F9903" s="13" t="s">
        <v>70</v>
      </c>
      <c r="G9903" s="14">
        <v>44841</v>
      </c>
      <c r="H9903" s="13" t="s">
        <v>35</v>
      </c>
    </row>
    <row r="9904" spans="1:8" ht="14.4" x14ac:dyDescent="0.3">
      <c r="A9904" s="8">
        <v>2092358</v>
      </c>
      <c r="B9904" s="11">
        <v>44824</v>
      </c>
      <c r="C9904" s="13" t="s">
        <v>847</v>
      </c>
      <c r="D9904" s="13" t="s">
        <v>11967</v>
      </c>
      <c r="E9904" s="8">
        <v>2000</v>
      </c>
      <c r="F9904" s="13" t="s">
        <v>70</v>
      </c>
      <c r="G9904" s="14">
        <v>44841</v>
      </c>
      <c r="H9904" s="13" t="s">
        <v>35</v>
      </c>
    </row>
    <row r="9905" spans="1:8" ht="14.4" x14ac:dyDescent="0.3">
      <c r="A9905" s="8">
        <v>2092359</v>
      </c>
      <c r="B9905" s="11">
        <v>44824</v>
      </c>
      <c r="C9905" s="13" t="s">
        <v>848</v>
      </c>
      <c r="D9905" s="13" t="s">
        <v>11967</v>
      </c>
      <c r="E9905" s="8">
        <v>2000</v>
      </c>
      <c r="F9905" s="13" t="s">
        <v>70</v>
      </c>
      <c r="G9905" s="14">
        <v>44841</v>
      </c>
      <c r="H9905" s="13" t="s">
        <v>35</v>
      </c>
    </row>
    <row r="9906" spans="1:8" ht="14.4" x14ac:dyDescent="0.3">
      <c r="A9906" s="8">
        <v>2092360</v>
      </c>
      <c r="B9906" s="11">
        <v>44824</v>
      </c>
      <c r="C9906" s="13" t="s">
        <v>849</v>
      </c>
      <c r="D9906" s="13" t="s">
        <v>11967</v>
      </c>
      <c r="E9906" s="8">
        <v>2000</v>
      </c>
      <c r="F9906" s="13" t="s">
        <v>70</v>
      </c>
      <c r="G9906" s="14">
        <v>44841</v>
      </c>
      <c r="H9906" s="13" t="s">
        <v>35</v>
      </c>
    </row>
    <row r="9907" spans="1:8" ht="14.4" x14ac:dyDescent="0.3">
      <c r="A9907" s="8">
        <v>2092361</v>
      </c>
      <c r="B9907" s="11">
        <v>44824</v>
      </c>
      <c r="C9907" s="13" t="s">
        <v>850</v>
      </c>
      <c r="D9907" s="13" t="s">
        <v>11967</v>
      </c>
      <c r="E9907" s="8">
        <v>2000</v>
      </c>
      <c r="F9907" s="13" t="s">
        <v>70</v>
      </c>
      <c r="G9907" s="14">
        <v>44841</v>
      </c>
      <c r="H9907" s="13" t="s">
        <v>35</v>
      </c>
    </row>
    <row r="9908" spans="1:8" ht="14.4" x14ac:dyDescent="0.3">
      <c r="A9908" s="8">
        <v>2092362</v>
      </c>
      <c r="B9908" s="11">
        <v>44824</v>
      </c>
      <c r="C9908" s="13" t="s">
        <v>851</v>
      </c>
      <c r="D9908" s="13" t="s">
        <v>11967</v>
      </c>
      <c r="E9908" s="8">
        <v>2000</v>
      </c>
      <c r="F9908" s="13" t="s">
        <v>70</v>
      </c>
      <c r="G9908" s="14">
        <v>44841</v>
      </c>
      <c r="H9908" s="13" t="s">
        <v>35</v>
      </c>
    </row>
    <row r="9909" spans="1:8" ht="14.4" x14ac:dyDescent="0.3">
      <c r="A9909" s="8">
        <v>2092363</v>
      </c>
      <c r="B9909" s="11">
        <v>44824</v>
      </c>
      <c r="C9909" s="13" t="s">
        <v>2791</v>
      </c>
      <c r="D9909" s="13" t="s">
        <v>11967</v>
      </c>
      <c r="E9909" s="8">
        <v>2000</v>
      </c>
      <c r="F9909" s="13" t="s">
        <v>70</v>
      </c>
      <c r="G9909" s="14">
        <v>44841</v>
      </c>
      <c r="H9909" s="13" t="s">
        <v>35</v>
      </c>
    </row>
    <row r="9910" spans="1:8" ht="14.4" x14ac:dyDescent="0.3">
      <c r="A9910" s="8">
        <v>2092364</v>
      </c>
      <c r="B9910" s="11">
        <v>44824</v>
      </c>
      <c r="C9910" s="13" t="s">
        <v>2792</v>
      </c>
      <c r="D9910" s="13" t="s">
        <v>11967</v>
      </c>
      <c r="E9910" s="8">
        <v>2000</v>
      </c>
      <c r="F9910" s="13" t="s">
        <v>70</v>
      </c>
      <c r="G9910" s="14">
        <v>44841</v>
      </c>
      <c r="H9910" s="13" t="s">
        <v>35</v>
      </c>
    </row>
    <row r="9911" spans="1:8" ht="14.4" x14ac:dyDescent="0.3">
      <c r="A9911" s="8">
        <v>2092365</v>
      </c>
      <c r="B9911" s="11">
        <v>44824</v>
      </c>
      <c r="C9911" s="13" t="s">
        <v>854</v>
      </c>
      <c r="D9911" s="13" t="s">
        <v>11967</v>
      </c>
      <c r="E9911" s="8">
        <v>2000</v>
      </c>
      <c r="F9911" s="13" t="s">
        <v>70</v>
      </c>
      <c r="G9911" s="14">
        <v>44833</v>
      </c>
      <c r="H9911" s="13" t="s">
        <v>35</v>
      </c>
    </row>
    <row r="9912" spans="1:8" ht="14.4" x14ac:dyDescent="0.3">
      <c r="A9912" s="8">
        <v>2092367</v>
      </c>
      <c r="B9912" s="11">
        <v>44824</v>
      </c>
      <c r="C9912" s="13" t="s">
        <v>363</v>
      </c>
      <c r="D9912" s="13" t="s">
        <v>11968</v>
      </c>
      <c r="E9912" s="8">
        <v>42543.1</v>
      </c>
      <c r="F9912" s="13" t="s">
        <v>70</v>
      </c>
      <c r="G9912" s="14">
        <v>44832</v>
      </c>
      <c r="H9912" s="13" t="s">
        <v>35</v>
      </c>
    </row>
    <row r="9913" spans="1:8" ht="14.4" x14ac:dyDescent="0.3">
      <c r="A9913" s="8">
        <v>2092368</v>
      </c>
      <c r="B9913" s="11">
        <v>44824</v>
      </c>
      <c r="C9913" s="13" t="s">
        <v>265</v>
      </c>
      <c r="D9913" s="13" t="s">
        <v>11969</v>
      </c>
      <c r="E9913" s="8">
        <v>55566</v>
      </c>
      <c r="F9913" s="13" t="s">
        <v>70</v>
      </c>
      <c r="G9913" s="14">
        <v>44825</v>
      </c>
      <c r="H9913" s="13" t="s">
        <v>35</v>
      </c>
    </row>
    <row r="9914" spans="1:8" ht="14.4" x14ac:dyDescent="0.3">
      <c r="A9914" s="8">
        <v>2092369</v>
      </c>
      <c r="B9914" s="11">
        <v>44824</v>
      </c>
      <c r="C9914" s="13" t="s">
        <v>1716</v>
      </c>
      <c r="D9914" s="13" t="s">
        <v>11970</v>
      </c>
      <c r="E9914" s="8">
        <v>67404.399999999994</v>
      </c>
      <c r="F9914" s="13" t="s">
        <v>70</v>
      </c>
      <c r="G9914" s="14">
        <v>44831</v>
      </c>
      <c r="H9914" s="13" t="s">
        <v>35</v>
      </c>
    </row>
    <row r="9915" spans="1:8" ht="14.4" x14ac:dyDescent="0.3">
      <c r="A9915" s="8">
        <v>2092370</v>
      </c>
      <c r="B9915" s="11">
        <v>44824</v>
      </c>
      <c r="C9915" s="13" t="s">
        <v>11971</v>
      </c>
      <c r="D9915" s="13" t="s">
        <v>11972</v>
      </c>
      <c r="E9915" s="8">
        <v>20000</v>
      </c>
      <c r="F9915" s="13" t="s">
        <v>70</v>
      </c>
      <c r="G9915" s="14">
        <v>44834</v>
      </c>
      <c r="H9915" s="13" t="s">
        <v>35</v>
      </c>
    </row>
    <row r="9916" spans="1:8" ht="14.4" x14ac:dyDescent="0.3">
      <c r="A9916" s="8">
        <v>2092371</v>
      </c>
      <c r="B9916" s="11">
        <v>44824</v>
      </c>
      <c r="C9916" s="13" t="s">
        <v>844</v>
      </c>
      <c r="D9916" s="13" t="s">
        <v>11973</v>
      </c>
      <c r="E9916" s="8">
        <v>2000</v>
      </c>
      <c r="F9916" s="13" t="s">
        <v>70</v>
      </c>
      <c r="G9916" s="14">
        <v>44841</v>
      </c>
      <c r="H9916" s="13" t="s">
        <v>35</v>
      </c>
    </row>
    <row r="9917" spans="1:8" ht="14.4" x14ac:dyDescent="0.3">
      <c r="A9917" s="8">
        <v>2092372</v>
      </c>
      <c r="B9917" s="11">
        <v>44824</v>
      </c>
      <c r="C9917" s="13" t="s">
        <v>799</v>
      </c>
      <c r="D9917" s="13" t="s">
        <v>11974</v>
      </c>
      <c r="E9917" s="8">
        <v>65181.16</v>
      </c>
      <c r="F9917" s="13" t="s">
        <v>70</v>
      </c>
      <c r="G9917" s="14">
        <v>44825</v>
      </c>
      <c r="H9917" s="13" t="s">
        <v>35</v>
      </c>
    </row>
    <row r="9918" spans="1:8" ht="14.4" x14ac:dyDescent="0.3">
      <c r="A9918" s="8">
        <v>2092374</v>
      </c>
      <c r="B9918" s="11">
        <v>44824</v>
      </c>
      <c r="C9918" s="13" t="s">
        <v>834</v>
      </c>
      <c r="D9918" s="13" t="s">
        <v>11975</v>
      </c>
      <c r="E9918" s="8">
        <v>10000</v>
      </c>
      <c r="F9918" s="13" t="s">
        <v>70</v>
      </c>
      <c r="G9918" s="14">
        <v>44832</v>
      </c>
      <c r="H9918" s="13" t="s">
        <v>35</v>
      </c>
    </row>
    <row r="9919" spans="1:8" ht="14.4" x14ac:dyDescent="0.3">
      <c r="A9919" s="8">
        <v>2092375</v>
      </c>
      <c r="B9919" s="11">
        <v>44824</v>
      </c>
      <c r="C9919" s="13" t="s">
        <v>11976</v>
      </c>
      <c r="D9919" s="13" t="s">
        <v>11657</v>
      </c>
      <c r="E9919" s="8">
        <v>10000</v>
      </c>
      <c r="F9919" s="13" t="s">
        <v>70</v>
      </c>
      <c r="G9919" s="14">
        <v>44832</v>
      </c>
      <c r="H9919" s="13" t="s">
        <v>35</v>
      </c>
    </row>
    <row r="9920" spans="1:8" ht="14.4" x14ac:dyDescent="0.3">
      <c r="A9920" s="8">
        <v>2092376</v>
      </c>
      <c r="B9920" s="11">
        <v>44824</v>
      </c>
      <c r="C9920" s="13" t="s">
        <v>831</v>
      </c>
      <c r="D9920" s="13" t="s">
        <v>11975</v>
      </c>
      <c r="E9920" s="8">
        <v>10000</v>
      </c>
      <c r="F9920" s="13" t="s">
        <v>70</v>
      </c>
      <c r="G9920" s="14">
        <v>44832</v>
      </c>
      <c r="H9920" s="13" t="s">
        <v>35</v>
      </c>
    </row>
    <row r="9921" spans="1:8" ht="14.4" x14ac:dyDescent="0.3">
      <c r="A9921" s="8">
        <v>2092377</v>
      </c>
      <c r="B9921" s="11">
        <v>44824</v>
      </c>
      <c r="C9921" s="13" t="s">
        <v>11977</v>
      </c>
      <c r="D9921" s="13" t="s">
        <v>11978</v>
      </c>
      <c r="E9921" s="8">
        <v>10000</v>
      </c>
      <c r="F9921" s="13" t="s">
        <v>70</v>
      </c>
      <c r="G9921" s="14">
        <v>44826</v>
      </c>
      <c r="H9921" s="13" t="s">
        <v>35</v>
      </c>
    </row>
    <row r="9922" spans="1:8" ht="14.4" x14ac:dyDescent="0.3">
      <c r="A9922" s="8">
        <v>2092379</v>
      </c>
      <c r="B9922" s="11">
        <v>44824</v>
      </c>
      <c r="C9922" s="13" t="s">
        <v>11555</v>
      </c>
      <c r="D9922" s="13" t="s">
        <v>11979</v>
      </c>
      <c r="E9922" s="8">
        <v>2379.62</v>
      </c>
      <c r="F9922" s="13" t="s">
        <v>70</v>
      </c>
      <c r="G9922" s="14">
        <v>44831</v>
      </c>
      <c r="H9922" s="13" t="s">
        <v>35</v>
      </c>
    </row>
    <row r="9923" spans="1:8" ht="14.4" x14ac:dyDescent="0.3">
      <c r="A9923" s="8">
        <v>2092380</v>
      </c>
      <c r="B9923" s="11">
        <v>44824</v>
      </c>
      <c r="C9923" s="13" t="s">
        <v>395</v>
      </c>
      <c r="D9923" s="13" t="s">
        <v>11980</v>
      </c>
      <c r="E9923" s="8">
        <v>55952</v>
      </c>
      <c r="F9923" s="13" t="s">
        <v>70</v>
      </c>
      <c r="G9923" s="14">
        <v>44825</v>
      </c>
      <c r="H9923" s="13" t="s">
        <v>35</v>
      </c>
    </row>
    <row r="9924" spans="1:8" ht="14.4" x14ac:dyDescent="0.3">
      <c r="A9924" s="8">
        <v>2092381</v>
      </c>
      <c r="B9924" s="11">
        <v>44824</v>
      </c>
      <c r="C9924" s="13" t="s">
        <v>11981</v>
      </c>
      <c r="D9924" s="13"/>
      <c r="E9924" s="8">
        <v>5000</v>
      </c>
      <c r="F9924" s="13" t="s">
        <v>70</v>
      </c>
      <c r="G9924" s="14">
        <v>44838</v>
      </c>
      <c r="H9924" s="13" t="s">
        <v>35</v>
      </c>
    </row>
    <row r="9925" spans="1:8" ht="14.4" x14ac:dyDescent="0.3">
      <c r="A9925" s="8">
        <v>2092382</v>
      </c>
      <c r="B9925" s="11">
        <v>44824</v>
      </c>
      <c r="C9925" s="13" t="s">
        <v>4914</v>
      </c>
      <c r="D9925" s="13" t="s">
        <v>11982</v>
      </c>
      <c r="E9925" s="8">
        <v>10618.86</v>
      </c>
      <c r="F9925" s="13" t="s">
        <v>70</v>
      </c>
      <c r="G9925" s="14">
        <v>44826</v>
      </c>
      <c r="H9925" s="13" t="s">
        <v>35</v>
      </c>
    </row>
    <row r="9926" spans="1:8" ht="14.4" x14ac:dyDescent="0.3">
      <c r="A9926" s="8">
        <v>2092383</v>
      </c>
      <c r="B9926" s="11">
        <v>44824</v>
      </c>
      <c r="C9926" s="13" t="s">
        <v>4914</v>
      </c>
      <c r="D9926" s="13" t="s">
        <v>11983</v>
      </c>
      <c r="E9926" s="8">
        <v>37264.01</v>
      </c>
      <c r="F9926" s="13" t="s">
        <v>70</v>
      </c>
      <c r="G9926" s="14">
        <v>44826</v>
      </c>
      <c r="H9926" s="13" t="s">
        <v>35</v>
      </c>
    </row>
    <row r="9927" spans="1:8" ht="14.4" x14ac:dyDescent="0.3">
      <c r="A9927" s="8">
        <v>2092384</v>
      </c>
      <c r="B9927" s="11">
        <v>44824</v>
      </c>
      <c r="C9927" s="13" t="s">
        <v>11984</v>
      </c>
      <c r="D9927" s="13" t="s">
        <v>11985</v>
      </c>
      <c r="E9927" s="8">
        <v>10000</v>
      </c>
      <c r="F9927" s="13" t="s">
        <v>70</v>
      </c>
      <c r="G9927" s="14">
        <v>44826</v>
      </c>
      <c r="H9927" s="13" t="s">
        <v>35</v>
      </c>
    </row>
    <row r="9928" spans="1:8" ht="14.4" x14ac:dyDescent="0.3">
      <c r="A9928" s="8">
        <v>2092385</v>
      </c>
      <c r="B9928" s="11">
        <v>44824</v>
      </c>
      <c r="C9928" s="13" t="s">
        <v>3725</v>
      </c>
      <c r="D9928" s="13" t="s">
        <v>11986</v>
      </c>
      <c r="E9928" s="8">
        <v>5500</v>
      </c>
      <c r="F9928" s="13" t="s">
        <v>70</v>
      </c>
      <c r="G9928" s="14">
        <v>44834</v>
      </c>
      <c r="H9928" s="13" t="s">
        <v>35</v>
      </c>
    </row>
    <row r="9929" spans="1:8" ht="14.4" x14ac:dyDescent="0.3">
      <c r="A9929" s="8">
        <v>2092386</v>
      </c>
      <c r="B9929" s="11">
        <v>44824</v>
      </c>
      <c r="C9929" s="13" t="s">
        <v>11987</v>
      </c>
      <c r="D9929" s="13" t="s">
        <v>11988</v>
      </c>
      <c r="E9929" s="8">
        <v>10000</v>
      </c>
      <c r="F9929" s="13" t="s">
        <v>70</v>
      </c>
      <c r="G9929" s="14">
        <v>44827</v>
      </c>
      <c r="H9929" s="13" t="s">
        <v>35</v>
      </c>
    </row>
    <row r="9930" spans="1:8" ht="14.4" x14ac:dyDescent="0.3">
      <c r="A9930" s="8">
        <v>2092387</v>
      </c>
      <c r="B9930" s="11">
        <v>44824</v>
      </c>
      <c r="C9930" s="13" t="s">
        <v>11989</v>
      </c>
      <c r="D9930" s="13" t="s">
        <v>2457</v>
      </c>
      <c r="E9930" s="8">
        <v>5000</v>
      </c>
      <c r="F9930" s="13" t="s">
        <v>70</v>
      </c>
      <c r="G9930" s="14">
        <v>44834</v>
      </c>
      <c r="H9930" s="13" t="s">
        <v>35</v>
      </c>
    </row>
    <row r="9931" spans="1:8" ht="14.4" x14ac:dyDescent="0.3">
      <c r="A9931" s="8">
        <v>2092388</v>
      </c>
      <c r="B9931" s="11">
        <v>44824</v>
      </c>
      <c r="C9931" s="13" t="s">
        <v>11990</v>
      </c>
      <c r="D9931" s="13" t="s">
        <v>11991</v>
      </c>
      <c r="E9931" s="8">
        <v>20000</v>
      </c>
      <c r="F9931" s="13" t="s">
        <v>70</v>
      </c>
      <c r="G9931" s="14">
        <v>44826</v>
      </c>
      <c r="H9931" s="13" t="s">
        <v>35</v>
      </c>
    </row>
    <row r="9932" spans="1:8" ht="14.4" x14ac:dyDescent="0.3">
      <c r="A9932" s="8">
        <v>2092389</v>
      </c>
      <c r="B9932" s="11">
        <v>44824</v>
      </c>
      <c r="C9932" s="13" t="s">
        <v>11992</v>
      </c>
      <c r="D9932" s="13" t="s">
        <v>11993</v>
      </c>
      <c r="E9932" s="8">
        <v>20000</v>
      </c>
      <c r="F9932" s="13" t="s">
        <v>70</v>
      </c>
      <c r="G9932" s="14">
        <v>44826</v>
      </c>
      <c r="H9932" s="13" t="s">
        <v>35</v>
      </c>
    </row>
    <row r="9933" spans="1:8" ht="14.4" x14ac:dyDescent="0.3">
      <c r="A9933" s="8">
        <v>2092390</v>
      </c>
      <c r="B9933" s="11">
        <v>44824</v>
      </c>
      <c r="C9933" s="13" t="s">
        <v>180</v>
      </c>
      <c r="D9933" s="13" t="s">
        <v>901</v>
      </c>
      <c r="E9933" s="8">
        <v>89560.21</v>
      </c>
      <c r="F9933" s="13" t="s">
        <v>70</v>
      </c>
      <c r="G9933" s="14">
        <v>44826</v>
      </c>
      <c r="H9933" s="13" t="s">
        <v>35</v>
      </c>
    </row>
    <row r="9934" spans="1:8" ht="14.4" x14ac:dyDescent="0.3">
      <c r="A9934" s="8">
        <v>2092026</v>
      </c>
      <c r="B9934" s="11">
        <v>44825</v>
      </c>
      <c r="C9934" s="13" t="s">
        <v>502</v>
      </c>
      <c r="D9934" s="13" t="s">
        <v>11994</v>
      </c>
      <c r="E9934" s="8">
        <v>20000</v>
      </c>
      <c r="F9934" s="13" t="s">
        <v>70</v>
      </c>
      <c r="G9934" s="14">
        <v>44827</v>
      </c>
      <c r="H9934" s="13" t="s">
        <v>35</v>
      </c>
    </row>
    <row r="9935" spans="1:8" ht="14.4" x14ac:dyDescent="0.3">
      <c r="A9935" s="8">
        <v>2092027</v>
      </c>
      <c r="B9935" s="11">
        <v>44825</v>
      </c>
      <c r="C9935" s="13" t="s">
        <v>2307</v>
      </c>
      <c r="D9935" s="13" t="s">
        <v>8755</v>
      </c>
      <c r="E9935" s="8">
        <v>564689.21</v>
      </c>
      <c r="F9935" s="13" t="s">
        <v>70</v>
      </c>
      <c r="G9935" s="14">
        <v>44827</v>
      </c>
      <c r="H9935" s="13" t="s">
        <v>35</v>
      </c>
    </row>
    <row r="9936" spans="1:8" ht="14.4" x14ac:dyDescent="0.3">
      <c r="A9936" s="8">
        <v>2092391</v>
      </c>
      <c r="B9936" s="11">
        <v>44825</v>
      </c>
      <c r="C9936" s="13" t="s">
        <v>11995</v>
      </c>
      <c r="D9936" s="13" t="s">
        <v>11996</v>
      </c>
      <c r="E9936" s="8">
        <v>386.32</v>
      </c>
      <c r="F9936" s="13" t="s">
        <v>70</v>
      </c>
      <c r="G9936" s="14">
        <v>44827</v>
      </c>
      <c r="H9936" s="13" t="s">
        <v>35</v>
      </c>
    </row>
    <row r="9937" spans="1:8" ht="14.4" x14ac:dyDescent="0.3">
      <c r="A9937" s="8">
        <v>2092392</v>
      </c>
      <c r="B9937" s="11">
        <v>44825</v>
      </c>
      <c r="C9937" s="13" t="s">
        <v>4955</v>
      </c>
      <c r="D9937" s="13" t="s">
        <v>11997</v>
      </c>
      <c r="E9937" s="8">
        <v>100</v>
      </c>
      <c r="F9937" s="13" t="s">
        <v>70</v>
      </c>
      <c r="G9937" s="14">
        <v>44827</v>
      </c>
      <c r="H9937" s="13" t="s">
        <v>35</v>
      </c>
    </row>
    <row r="9938" spans="1:8" ht="14.4" x14ac:dyDescent="0.3">
      <c r="A9938" s="8">
        <v>2092393</v>
      </c>
      <c r="B9938" s="11">
        <v>44825</v>
      </c>
      <c r="C9938" s="13" t="s">
        <v>11995</v>
      </c>
      <c r="D9938" s="13" t="s">
        <v>11998</v>
      </c>
      <c r="E9938" s="8">
        <v>772.64</v>
      </c>
      <c r="F9938" s="13" t="s">
        <v>70</v>
      </c>
      <c r="G9938" s="14">
        <v>44827</v>
      </c>
      <c r="H9938" s="13" t="s">
        <v>35</v>
      </c>
    </row>
    <row r="9939" spans="1:8" ht="14.4" x14ac:dyDescent="0.3">
      <c r="A9939" s="8">
        <v>2092394</v>
      </c>
      <c r="B9939" s="11">
        <v>44825</v>
      </c>
      <c r="C9939" s="13" t="s">
        <v>4955</v>
      </c>
      <c r="D9939" s="13" t="s">
        <v>11999</v>
      </c>
      <c r="E9939" s="8">
        <v>200</v>
      </c>
      <c r="F9939" s="13" t="s">
        <v>70</v>
      </c>
      <c r="G9939" s="14">
        <v>44827</v>
      </c>
      <c r="H9939" s="13" t="s">
        <v>35</v>
      </c>
    </row>
    <row r="9940" spans="1:8" ht="14.4" x14ac:dyDescent="0.3">
      <c r="A9940" s="8">
        <v>2092395</v>
      </c>
      <c r="B9940" s="11">
        <v>44825</v>
      </c>
      <c r="C9940" s="13" t="s">
        <v>4955</v>
      </c>
      <c r="D9940" s="13" t="s">
        <v>12000</v>
      </c>
      <c r="E9940" s="8">
        <v>968</v>
      </c>
      <c r="F9940" s="13" t="s">
        <v>70</v>
      </c>
      <c r="G9940" s="14">
        <v>44831</v>
      </c>
      <c r="H9940" s="13" t="s">
        <v>35</v>
      </c>
    </row>
    <row r="9941" spans="1:8" ht="14.4" x14ac:dyDescent="0.3">
      <c r="A9941" s="8">
        <v>2092396</v>
      </c>
      <c r="B9941" s="11">
        <v>44825</v>
      </c>
      <c r="C9941" s="13" t="s">
        <v>4955</v>
      </c>
      <c r="D9941" s="13" t="s">
        <v>12001</v>
      </c>
      <c r="E9941" s="8">
        <v>2147.89</v>
      </c>
      <c r="F9941" s="13" t="s">
        <v>70</v>
      </c>
      <c r="G9941" s="14">
        <v>44831</v>
      </c>
      <c r="H9941" s="13" t="s">
        <v>35</v>
      </c>
    </row>
    <row r="9942" spans="1:8" ht="14.4" x14ac:dyDescent="0.3">
      <c r="A9942" s="8">
        <v>2092397</v>
      </c>
      <c r="B9942" s="11">
        <v>44825</v>
      </c>
      <c r="C9942" s="13" t="s">
        <v>42</v>
      </c>
      <c r="D9942" s="13" t="s">
        <v>12002</v>
      </c>
      <c r="E9942" s="8">
        <v>4167.5</v>
      </c>
      <c r="F9942" s="13" t="s">
        <v>70</v>
      </c>
      <c r="G9942" s="14">
        <v>44837</v>
      </c>
      <c r="H9942" s="13" t="s">
        <v>35</v>
      </c>
    </row>
    <row r="9943" spans="1:8" ht="14.4" x14ac:dyDescent="0.3">
      <c r="A9943" s="8">
        <v>2092398</v>
      </c>
      <c r="B9943" s="11">
        <v>44825</v>
      </c>
      <c r="C9943" s="13" t="s">
        <v>42</v>
      </c>
      <c r="D9943" s="13" t="s">
        <v>12003</v>
      </c>
      <c r="E9943" s="8">
        <v>6148.55</v>
      </c>
      <c r="F9943" s="13" t="s">
        <v>70</v>
      </c>
      <c r="G9943" s="14">
        <v>44837</v>
      </c>
      <c r="H9943" s="13" t="s">
        <v>35</v>
      </c>
    </row>
    <row r="9944" spans="1:8" ht="14.4" x14ac:dyDescent="0.3">
      <c r="A9944" s="8">
        <v>2092399</v>
      </c>
      <c r="B9944" s="11">
        <v>44825</v>
      </c>
      <c r="C9944" s="13" t="s">
        <v>12004</v>
      </c>
      <c r="D9944" s="13" t="s">
        <v>12005</v>
      </c>
      <c r="E9944" s="8">
        <v>35289.75</v>
      </c>
      <c r="F9944" s="13" t="s">
        <v>70</v>
      </c>
      <c r="G9944" s="14">
        <v>44832</v>
      </c>
      <c r="H9944" s="13" t="s">
        <v>35</v>
      </c>
    </row>
    <row r="9945" spans="1:8" ht="14.4" x14ac:dyDescent="0.3">
      <c r="A9945" s="8">
        <v>2092400</v>
      </c>
      <c r="B9945" s="11">
        <v>44825</v>
      </c>
      <c r="C9945" s="13" t="s">
        <v>153</v>
      </c>
      <c r="D9945" s="13" t="s">
        <v>12006</v>
      </c>
      <c r="E9945" s="8">
        <v>94774</v>
      </c>
      <c r="F9945" s="13" t="s">
        <v>70</v>
      </c>
      <c r="G9945" s="14">
        <v>44831</v>
      </c>
      <c r="H9945" s="13" t="s">
        <v>35</v>
      </c>
    </row>
    <row r="9946" spans="1:8" ht="14.4" x14ac:dyDescent="0.3">
      <c r="A9946" s="8">
        <v>2092401</v>
      </c>
      <c r="B9946" s="11">
        <v>44825</v>
      </c>
      <c r="C9946" s="13" t="s">
        <v>361</v>
      </c>
      <c r="D9946" s="13" t="s">
        <v>12007</v>
      </c>
      <c r="E9946" s="8">
        <v>19600</v>
      </c>
      <c r="F9946" s="13" t="s">
        <v>70</v>
      </c>
      <c r="G9946" s="14">
        <v>44832</v>
      </c>
      <c r="H9946" s="13" t="s">
        <v>35</v>
      </c>
    </row>
    <row r="9947" spans="1:8" ht="14.4" x14ac:dyDescent="0.3">
      <c r="A9947" s="8">
        <v>2092402</v>
      </c>
      <c r="B9947" s="11">
        <v>44825</v>
      </c>
      <c r="C9947" s="13" t="s">
        <v>5427</v>
      </c>
      <c r="D9947" s="13" t="s">
        <v>12008</v>
      </c>
      <c r="E9947" s="8">
        <v>36500</v>
      </c>
      <c r="F9947" s="13" t="s">
        <v>70</v>
      </c>
      <c r="G9947" s="14">
        <v>44838</v>
      </c>
      <c r="H9947" s="13" t="s">
        <v>35</v>
      </c>
    </row>
    <row r="9948" spans="1:8" ht="14.4" x14ac:dyDescent="0.3">
      <c r="A9948" s="8">
        <v>2092403</v>
      </c>
      <c r="B9948" s="11">
        <v>44825</v>
      </c>
      <c r="C9948" s="13" t="s">
        <v>12004</v>
      </c>
      <c r="D9948" s="13" t="s">
        <v>12009</v>
      </c>
      <c r="E9948" s="8">
        <v>67694.100000000006</v>
      </c>
      <c r="F9948" s="13" t="s">
        <v>70</v>
      </c>
      <c r="G9948" s="14">
        <v>44832</v>
      </c>
      <c r="H9948" s="13" t="s">
        <v>35</v>
      </c>
    </row>
    <row r="9949" spans="1:8" ht="14.4" x14ac:dyDescent="0.3">
      <c r="A9949" s="8">
        <v>2092404</v>
      </c>
      <c r="B9949" s="11">
        <v>44825</v>
      </c>
      <c r="C9949" s="13" t="s">
        <v>1784</v>
      </c>
      <c r="D9949" s="13" t="s">
        <v>1799</v>
      </c>
      <c r="E9949" s="8">
        <v>19800</v>
      </c>
      <c r="F9949" s="13" t="s">
        <v>70</v>
      </c>
      <c r="G9949" s="14">
        <v>44834</v>
      </c>
      <c r="H9949" s="13" t="s">
        <v>35</v>
      </c>
    </row>
    <row r="9950" spans="1:8" ht="14.4" x14ac:dyDescent="0.3">
      <c r="A9950" s="8">
        <v>2092405</v>
      </c>
      <c r="B9950" s="11">
        <v>44825</v>
      </c>
      <c r="C9950" s="13" t="s">
        <v>833</v>
      </c>
      <c r="D9950" s="13" t="s">
        <v>11975</v>
      </c>
      <c r="E9950" s="8">
        <v>10000</v>
      </c>
      <c r="F9950" s="13" t="s">
        <v>70</v>
      </c>
      <c r="G9950" s="14">
        <v>44832</v>
      </c>
      <c r="H9950" s="13" t="s">
        <v>35</v>
      </c>
    </row>
    <row r="9951" spans="1:8" ht="14.4" x14ac:dyDescent="0.3">
      <c r="A9951" s="8">
        <v>2092406</v>
      </c>
      <c r="B9951" s="11">
        <v>44825</v>
      </c>
      <c r="C9951" s="13" t="s">
        <v>839</v>
      </c>
      <c r="D9951" s="13" t="s">
        <v>11657</v>
      </c>
      <c r="E9951" s="8">
        <v>10000</v>
      </c>
      <c r="F9951" s="13" t="s">
        <v>70</v>
      </c>
      <c r="G9951" s="14">
        <v>44832</v>
      </c>
      <c r="H9951" s="13" t="s">
        <v>35</v>
      </c>
    </row>
    <row r="9952" spans="1:8" ht="14.4" x14ac:dyDescent="0.3">
      <c r="A9952" s="8">
        <v>2092407</v>
      </c>
      <c r="B9952" s="11">
        <v>44825</v>
      </c>
      <c r="C9952" s="13" t="s">
        <v>840</v>
      </c>
      <c r="D9952" s="13" t="s">
        <v>11657</v>
      </c>
      <c r="E9952" s="8">
        <v>10000</v>
      </c>
      <c r="F9952" s="13" t="s">
        <v>70</v>
      </c>
      <c r="G9952" s="14">
        <v>44832</v>
      </c>
      <c r="H9952" s="13" t="s">
        <v>35</v>
      </c>
    </row>
    <row r="9953" spans="1:8" ht="14.4" x14ac:dyDescent="0.3">
      <c r="A9953" s="8">
        <v>2092408</v>
      </c>
      <c r="B9953" s="11">
        <v>44825</v>
      </c>
      <c r="C9953" s="13" t="s">
        <v>841</v>
      </c>
      <c r="D9953" s="13" t="s">
        <v>11657</v>
      </c>
      <c r="E9953" s="8">
        <v>10000</v>
      </c>
      <c r="F9953" s="13" t="s">
        <v>70</v>
      </c>
      <c r="G9953" s="14">
        <v>44832</v>
      </c>
      <c r="H9953" s="13" t="s">
        <v>35</v>
      </c>
    </row>
    <row r="9954" spans="1:8" ht="14.4" x14ac:dyDescent="0.3">
      <c r="A9954" s="8">
        <v>2092409</v>
      </c>
      <c r="B9954" s="11">
        <v>44825</v>
      </c>
      <c r="C9954" s="13" t="s">
        <v>2447</v>
      </c>
      <c r="D9954" s="13" t="s">
        <v>11657</v>
      </c>
      <c r="E9954" s="8">
        <v>15000</v>
      </c>
      <c r="F9954" s="13" t="s">
        <v>70</v>
      </c>
      <c r="G9954" s="14">
        <v>44832</v>
      </c>
      <c r="H9954" s="13" t="s">
        <v>35</v>
      </c>
    </row>
    <row r="9955" spans="1:8" ht="14.4" x14ac:dyDescent="0.3">
      <c r="A9955" s="8">
        <v>2092410</v>
      </c>
      <c r="B9955" s="11">
        <v>44825</v>
      </c>
      <c r="C9955" s="13" t="s">
        <v>42</v>
      </c>
      <c r="D9955" s="13" t="s">
        <v>11740</v>
      </c>
      <c r="E9955" s="8">
        <v>295741.84999999998</v>
      </c>
      <c r="F9955" s="13" t="s">
        <v>70</v>
      </c>
      <c r="G9955" s="14">
        <v>44837</v>
      </c>
      <c r="H9955" s="13" t="s">
        <v>35</v>
      </c>
    </row>
    <row r="9956" spans="1:8" ht="14.4" x14ac:dyDescent="0.3">
      <c r="A9956" s="8">
        <v>2092411</v>
      </c>
      <c r="B9956" s="11">
        <v>44825</v>
      </c>
      <c r="C9956" s="13" t="s">
        <v>1941</v>
      </c>
      <c r="D9956" s="13" t="s">
        <v>12010</v>
      </c>
      <c r="E9956" s="8">
        <v>17458.57</v>
      </c>
      <c r="F9956" s="13" t="s">
        <v>70</v>
      </c>
      <c r="G9956" s="14">
        <v>44831</v>
      </c>
      <c r="H9956" s="13" t="s">
        <v>35</v>
      </c>
    </row>
    <row r="9957" spans="1:8" ht="14.4" x14ac:dyDescent="0.3">
      <c r="A9957" s="8">
        <v>2092412</v>
      </c>
      <c r="B9957" s="11">
        <v>44825</v>
      </c>
      <c r="C9957" s="13" t="s">
        <v>42</v>
      </c>
      <c r="D9957" s="13" t="s">
        <v>12011</v>
      </c>
      <c r="E9957" s="8">
        <v>14623.87</v>
      </c>
      <c r="F9957" s="13" t="s">
        <v>70</v>
      </c>
      <c r="G9957" s="14">
        <v>44837</v>
      </c>
      <c r="H9957" s="13" t="s">
        <v>35</v>
      </c>
    </row>
    <row r="9958" spans="1:8" ht="14.4" x14ac:dyDescent="0.3">
      <c r="A9958" s="8">
        <v>2092413</v>
      </c>
      <c r="B9958" s="11">
        <v>44825</v>
      </c>
      <c r="C9958" s="13" t="s">
        <v>5907</v>
      </c>
      <c r="D9958" s="13" t="s">
        <v>12012</v>
      </c>
      <c r="E9958" s="8">
        <v>2734220.16</v>
      </c>
      <c r="F9958" s="13" t="s">
        <v>70</v>
      </c>
      <c r="G9958" s="14">
        <v>44826</v>
      </c>
      <c r="H9958" s="13" t="s">
        <v>35</v>
      </c>
    </row>
    <row r="9959" spans="1:8" ht="14.4" x14ac:dyDescent="0.3">
      <c r="A9959" s="8">
        <v>2092414</v>
      </c>
      <c r="B9959" s="11">
        <v>44825</v>
      </c>
      <c r="C9959" s="13" t="s">
        <v>4955</v>
      </c>
      <c r="D9959" s="13" t="s">
        <v>12013</v>
      </c>
      <c r="E9959" s="8">
        <v>298</v>
      </c>
      <c r="F9959" s="13" t="s">
        <v>70</v>
      </c>
      <c r="G9959" s="14">
        <v>44832</v>
      </c>
      <c r="H9959" s="13" t="s">
        <v>35</v>
      </c>
    </row>
    <row r="9960" spans="1:8" ht="14.4" x14ac:dyDescent="0.3">
      <c r="A9960" s="8">
        <v>2092415</v>
      </c>
      <c r="B9960" s="11">
        <v>44825</v>
      </c>
      <c r="C9960" s="13" t="s">
        <v>11995</v>
      </c>
      <c r="D9960" s="13" t="s">
        <v>12014</v>
      </c>
      <c r="E9960" s="8">
        <v>627.77</v>
      </c>
      <c r="F9960" s="13" t="s">
        <v>70</v>
      </c>
      <c r="G9960" s="14">
        <v>44831</v>
      </c>
      <c r="H9960" s="13" t="s">
        <v>35</v>
      </c>
    </row>
    <row r="9961" spans="1:8" ht="14.4" x14ac:dyDescent="0.3">
      <c r="A9961" s="8">
        <v>2092416</v>
      </c>
      <c r="B9961" s="11">
        <v>44825</v>
      </c>
      <c r="C9961" s="13" t="s">
        <v>12015</v>
      </c>
      <c r="D9961" s="13" t="s">
        <v>12016</v>
      </c>
      <c r="E9961" s="8">
        <v>11000</v>
      </c>
      <c r="F9961" s="13" t="s">
        <v>70</v>
      </c>
      <c r="G9961" s="14">
        <v>44827</v>
      </c>
      <c r="H9961" s="13" t="s">
        <v>35</v>
      </c>
    </row>
    <row r="9962" spans="1:8" ht="14.4" x14ac:dyDescent="0.3">
      <c r="A9962" s="8">
        <v>2092417</v>
      </c>
      <c r="B9962" s="11">
        <v>44825</v>
      </c>
      <c r="C9962" s="13" t="s">
        <v>12017</v>
      </c>
      <c r="D9962" s="13" t="s">
        <v>150</v>
      </c>
      <c r="E9962" s="8">
        <v>7000</v>
      </c>
      <c r="F9962" s="13" t="s">
        <v>70</v>
      </c>
      <c r="G9962" s="14">
        <v>44827</v>
      </c>
      <c r="H9962" s="13" t="s">
        <v>35</v>
      </c>
    </row>
    <row r="9963" spans="1:8" ht="14.4" x14ac:dyDescent="0.3">
      <c r="A9963" s="8">
        <v>2092418</v>
      </c>
      <c r="B9963" s="11">
        <v>44825</v>
      </c>
      <c r="C9963" s="13" t="s">
        <v>12018</v>
      </c>
      <c r="D9963" s="13" t="s">
        <v>12019</v>
      </c>
      <c r="E9963" s="8">
        <v>10000</v>
      </c>
      <c r="F9963" s="13" t="s">
        <v>70</v>
      </c>
      <c r="G9963" s="14">
        <v>44834</v>
      </c>
      <c r="H9963" s="13" t="s">
        <v>35</v>
      </c>
    </row>
    <row r="9964" spans="1:8" ht="14.4" x14ac:dyDescent="0.3">
      <c r="A9964" s="8">
        <v>2092419</v>
      </c>
      <c r="B9964" s="11">
        <v>44825</v>
      </c>
      <c r="C9964" s="13" t="s">
        <v>12020</v>
      </c>
      <c r="D9964" s="13" t="s">
        <v>12021</v>
      </c>
      <c r="E9964" s="8">
        <v>8000</v>
      </c>
      <c r="F9964" s="13" t="s">
        <v>70</v>
      </c>
      <c r="G9964" s="14">
        <v>44827</v>
      </c>
      <c r="H9964" s="13" t="s">
        <v>35</v>
      </c>
    </row>
    <row r="9965" spans="1:8" ht="14.4" x14ac:dyDescent="0.3">
      <c r="A9965" s="8">
        <v>2092420</v>
      </c>
      <c r="B9965" s="11">
        <v>44825</v>
      </c>
      <c r="C9965" s="13" t="s">
        <v>12022</v>
      </c>
      <c r="D9965" s="13" t="s">
        <v>12023</v>
      </c>
      <c r="E9965" s="8">
        <v>10000</v>
      </c>
      <c r="F9965" s="13" t="s">
        <v>70</v>
      </c>
      <c r="G9965" s="14">
        <v>44832</v>
      </c>
      <c r="H9965" s="13" t="s">
        <v>35</v>
      </c>
    </row>
    <row r="9966" spans="1:8" ht="14.4" x14ac:dyDescent="0.3">
      <c r="A9966" s="8">
        <v>2092421</v>
      </c>
      <c r="B9966" s="11">
        <v>44825</v>
      </c>
      <c r="C9966" s="13" t="s">
        <v>7654</v>
      </c>
      <c r="D9966" s="13" t="s">
        <v>12024</v>
      </c>
      <c r="E9966" s="8">
        <v>8000</v>
      </c>
      <c r="F9966" s="13" t="s">
        <v>70</v>
      </c>
      <c r="G9966" s="14">
        <v>44826</v>
      </c>
      <c r="H9966" s="13" t="s">
        <v>35</v>
      </c>
    </row>
    <row r="9967" spans="1:8" ht="14.4" x14ac:dyDescent="0.3">
      <c r="A9967" s="8">
        <v>2092422</v>
      </c>
      <c r="B9967" s="11">
        <v>44825</v>
      </c>
      <c r="C9967" s="13" t="s">
        <v>12025</v>
      </c>
      <c r="D9967" s="13" t="s">
        <v>12026</v>
      </c>
      <c r="E9967" s="8">
        <v>16000</v>
      </c>
      <c r="F9967" s="13" t="s">
        <v>70</v>
      </c>
      <c r="G9967" s="14">
        <v>44826</v>
      </c>
      <c r="H9967" s="13" t="s">
        <v>35</v>
      </c>
    </row>
    <row r="9968" spans="1:8" ht="14.4" x14ac:dyDescent="0.3">
      <c r="A9968" s="8">
        <v>2092423</v>
      </c>
      <c r="B9968" s="11">
        <v>44825</v>
      </c>
      <c r="C9968" s="13" t="s">
        <v>12027</v>
      </c>
      <c r="D9968" s="13" t="s">
        <v>147</v>
      </c>
      <c r="E9968" s="8">
        <v>20000</v>
      </c>
      <c r="F9968" s="13" t="s">
        <v>70</v>
      </c>
      <c r="G9968" s="14">
        <v>44827</v>
      </c>
      <c r="H9968" s="13" t="s">
        <v>35</v>
      </c>
    </row>
    <row r="9969" spans="1:8" ht="14.4" x14ac:dyDescent="0.3">
      <c r="A9969" s="8">
        <v>2092424</v>
      </c>
      <c r="B9969" s="11">
        <v>44825</v>
      </c>
      <c r="C9969" s="13" t="s">
        <v>12028</v>
      </c>
      <c r="D9969" s="13" t="s">
        <v>100</v>
      </c>
      <c r="E9969" s="8">
        <v>15000</v>
      </c>
      <c r="F9969" s="13" t="s">
        <v>70</v>
      </c>
      <c r="G9969" s="14">
        <v>44833</v>
      </c>
      <c r="H9969" s="13" t="s">
        <v>35</v>
      </c>
    </row>
    <row r="9970" spans="1:8" ht="14.4" x14ac:dyDescent="0.3">
      <c r="A9970" s="8">
        <v>2092425</v>
      </c>
      <c r="B9970" s="11">
        <v>44825</v>
      </c>
      <c r="C9970" s="13" t="s">
        <v>12029</v>
      </c>
      <c r="D9970" s="13" t="s">
        <v>12030</v>
      </c>
      <c r="E9970" s="8">
        <v>11000</v>
      </c>
      <c r="F9970" s="13" t="s">
        <v>70</v>
      </c>
      <c r="G9970" s="14">
        <v>44826</v>
      </c>
      <c r="H9970" s="13" t="s">
        <v>35</v>
      </c>
    </row>
    <row r="9971" spans="1:8" ht="14.4" x14ac:dyDescent="0.3">
      <c r="A9971" s="8">
        <v>2092426</v>
      </c>
      <c r="B9971" s="11">
        <v>44825</v>
      </c>
      <c r="C9971" s="13" t="s">
        <v>12031</v>
      </c>
      <c r="D9971" s="13" t="s">
        <v>12032</v>
      </c>
      <c r="E9971" s="8">
        <v>13000</v>
      </c>
      <c r="F9971" s="13" t="s">
        <v>70</v>
      </c>
      <c r="G9971" s="14">
        <v>44827</v>
      </c>
      <c r="H9971" s="13" t="s">
        <v>35</v>
      </c>
    </row>
    <row r="9972" spans="1:8" ht="14.4" x14ac:dyDescent="0.3">
      <c r="A9972" s="8">
        <v>2092427</v>
      </c>
      <c r="B9972" s="11">
        <v>44825</v>
      </c>
      <c r="C9972" s="13" t="s">
        <v>9620</v>
      </c>
      <c r="D9972" s="13" t="s">
        <v>12033</v>
      </c>
      <c r="E9972" s="8">
        <v>12000</v>
      </c>
      <c r="F9972" s="13" t="s">
        <v>70</v>
      </c>
      <c r="G9972" s="14">
        <v>44827</v>
      </c>
      <c r="H9972" s="13" t="s">
        <v>35</v>
      </c>
    </row>
    <row r="9973" spans="1:8" ht="14.4" x14ac:dyDescent="0.3">
      <c r="A9973" s="8">
        <v>2092428</v>
      </c>
      <c r="B9973" s="11">
        <v>44825</v>
      </c>
      <c r="C9973" s="13" t="s">
        <v>12034</v>
      </c>
      <c r="D9973" s="13" t="s">
        <v>12035</v>
      </c>
      <c r="E9973" s="8">
        <v>40000</v>
      </c>
      <c r="F9973" s="13" t="s">
        <v>70</v>
      </c>
      <c r="G9973" s="14">
        <v>44827</v>
      </c>
      <c r="H9973" s="13" t="s">
        <v>35</v>
      </c>
    </row>
    <row r="9974" spans="1:8" ht="14.4" x14ac:dyDescent="0.3">
      <c r="A9974" s="8">
        <v>2092429</v>
      </c>
      <c r="B9974" s="11">
        <v>44825</v>
      </c>
      <c r="C9974" s="13" t="s">
        <v>12036</v>
      </c>
      <c r="D9974" s="13" t="s">
        <v>12037</v>
      </c>
      <c r="E9974" s="8">
        <v>12000</v>
      </c>
      <c r="F9974" s="13" t="s">
        <v>70</v>
      </c>
      <c r="G9974" s="14">
        <v>44827</v>
      </c>
      <c r="H9974" s="13" t="s">
        <v>35</v>
      </c>
    </row>
    <row r="9975" spans="1:8" ht="14.4" x14ac:dyDescent="0.3">
      <c r="A9975" s="8">
        <v>2092430</v>
      </c>
      <c r="B9975" s="11">
        <v>44825</v>
      </c>
      <c r="C9975" s="13" t="s">
        <v>12038</v>
      </c>
      <c r="D9975" s="13" t="s">
        <v>12039</v>
      </c>
      <c r="E9975" s="8">
        <v>10000</v>
      </c>
      <c r="F9975" s="13" t="s">
        <v>70</v>
      </c>
      <c r="G9975" s="14">
        <v>44845</v>
      </c>
      <c r="H9975" s="13" t="s">
        <v>35</v>
      </c>
    </row>
    <row r="9976" spans="1:8" ht="14.4" x14ac:dyDescent="0.3">
      <c r="A9976" s="8">
        <v>2092431</v>
      </c>
      <c r="B9976" s="11">
        <v>44825</v>
      </c>
      <c r="C9976" s="13" t="s">
        <v>12040</v>
      </c>
      <c r="D9976" s="13" t="s">
        <v>12041</v>
      </c>
      <c r="E9976" s="8">
        <v>10000</v>
      </c>
      <c r="F9976" s="13" t="s">
        <v>70</v>
      </c>
      <c r="G9976" s="14">
        <v>44827</v>
      </c>
      <c r="H9976" s="13" t="s">
        <v>35</v>
      </c>
    </row>
    <row r="9977" spans="1:8" ht="14.4" x14ac:dyDescent="0.3">
      <c r="A9977" s="8">
        <v>2092432</v>
      </c>
      <c r="B9977" s="11">
        <v>44825</v>
      </c>
      <c r="C9977" s="13" t="s">
        <v>12042</v>
      </c>
      <c r="D9977" s="13" t="s">
        <v>150</v>
      </c>
      <c r="E9977" s="8">
        <v>17000</v>
      </c>
      <c r="F9977" s="13" t="s">
        <v>70</v>
      </c>
      <c r="G9977" s="14">
        <v>44827</v>
      </c>
      <c r="H9977" s="13" t="s">
        <v>35</v>
      </c>
    </row>
    <row r="9978" spans="1:8" ht="14.4" x14ac:dyDescent="0.3">
      <c r="A9978" s="8">
        <v>2092433</v>
      </c>
      <c r="B9978" s="11">
        <v>44825</v>
      </c>
      <c r="C9978" s="13" t="s">
        <v>2770</v>
      </c>
      <c r="D9978" s="13" t="s">
        <v>150</v>
      </c>
      <c r="E9978" s="8">
        <v>14700</v>
      </c>
      <c r="F9978" s="13" t="s">
        <v>70</v>
      </c>
      <c r="G9978" s="14">
        <v>44827</v>
      </c>
      <c r="H9978" s="13" t="s">
        <v>35</v>
      </c>
    </row>
    <row r="9979" spans="1:8" ht="14.4" x14ac:dyDescent="0.3">
      <c r="A9979" s="8">
        <v>2092434</v>
      </c>
      <c r="B9979" s="11">
        <v>44825</v>
      </c>
      <c r="C9979" s="13" t="s">
        <v>12043</v>
      </c>
      <c r="D9979" s="13" t="s">
        <v>47</v>
      </c>
      <c r="E9979" s="8">
        <v>11500</v>
      </c>
      <c r="F9979" s="13" t="s">
        <v>70</v>
      </c>
      <c r="G9979" s="14">
        <v>44827</v>
      </c>
      <c r="H9979" s="13" t="s">
        <v>35</v>
      </c>
    </row>
    <row r="9980" spans="1:8" ht="14.4" x14ac:dyDescent="0.3">
      <c r="A9980" s="8">
        <v>2092435</v>
      </c>
      <c r="B9980" s="11">
        <v>44825</v>
      </c>
      <c r="C9980" s="13" t="s">
        <v>12044</v>
      </c>
      <c r="D9980" s="13" t="s">
        <v>12045</v>
      </c>
      <c r="E9980" s="8">
        <v>15000</v>
      </c>
      <c r="F9980" s="13" t="s">
        <v>70</v>
      </c>
      <c r="G9980" s="14">
        <v>44827</v>
      </c>
      <c r="H9980" s="13" t="s">
        <v>35</v>
      </c>
    </row>
    <row r="9981" spans="1:8" ht="14.4" x14ac:dyDescent="0.3">
      <c r="A9981" s="8">
        <v>2092436</v>
      </c>
      <c r="B9981" s="11">
        <v>44825</v>
      </c>
      <c r="C9981" s="13" t="s">
        <v>12046</v>
      </c>
      <c r="D9981" s="13" t="s">
        <v>12047</v>
      </c>
      <c r="E9981" s="8">
        <v>15000</v>
      </c>
      <c r="F9981" s="13" t="s">
        <v>70</v>
      </c>
      <c r="G9981" s="14">
        <v>44827</v>
      </c>
      <c r="H9981" s="13" t="s">
        <v>35</v>
      </c>
    </row>
    <row r="9982" spans="1:8" ht="14.4" x14ac:dyDescent="0.3">
      <c r="A9982" s="8">
        <v>2092437</v>
      </c>
      <c r="B9982" s="11">
        <v>44825</v>
      </c>
      <c r="C9982" s="13" t="s">
        <v>12048</v>
      </c>
      <c r="D9982" s="13" t="s">
        <v>12049</v>
      </c>
      <c r="E9982" s="8">
        <v>18000</v>
      </c>
      <c r="F9982" s="13" t="s">
        <v>70</v>
      </c>
      <c r="G9982" s="14">
        <v>44826</v>
      </c>
      <c r="H9982" s="13" t="s">
        <v>35</v>
      </c>
    </row>
    <row r="9983" spans="1:8" ht="14.4" x14ac:dyDescent="0.3">
      <c r="A9983" s="8">
        <v>2092438</v>
      </c>
      <c r="B9983" s="11">
        <v>44825</v>
      </c>
      <c r="C9983" s="13" t="s">
        <v>12050</v>
      </c>
      <c r="D9983" s="13" t="s">
        <v>147</v>
      </c>
      <c r="E9983" s="8">
        <v>20000</v>
      </c>
      <c r="F9983" s="13" t="s">
        <v>70</v>
      </c>
      <c r="G9983" s="14">
        <v>44826</v>
      </c>
      <c r="H9983" s="13" t="s">
        <v>35</v>
      </c>
    </row>
    <row r="9984" spans="1:8" ht="14.4" x14ac:dyDescent="0.3">
      <c r="A9984" s="8">
        <v>2092439</v>
      </c>
      <c r="B9984" s="11">
        <v>44825</v>
      </c>
      <c r="C9984" s="13" t="s">
        <v>12051</v>
      </c>
      <c r="D9984" s="13" t="s">
        <v>147</v>
      </c>
      <c r="E9984" s="8">
        <v>7200</v>
      </c>
      <c r="F9984" s="13" t="s">
        <v>70</v>
      </c>
      <c r="G9984" s="14">
        <v>44831</v>
      </c>
      <c r="H9984" s="13" t="s">
        <v>35</v>
      </c>
    </row>
    <row r="9985" spans="1:8" ht="14.4" x14ac:dyDescent="0.3">
      <c r="A9985" s="8">
        <v>2092440</v>
      </c>
      <c r="B9985" s="11">
        <v>44825</v>
      </c>
      <c r="C9985" s="13" t="s">
        <v>12052</v>
      </c>
      <c r="D9985" s="13" t="s">
        <v>12053</v>
      </c>
      <c r="E9985" s="8">
        <v>13500</v>
      </c>
      <c r="F9985" s="13" t="s">
        <v>70</v>
      </c>
      <c r="G9985" s="14">
        <v>44837</v>
      </c>
      <c r="H9985" s="13" t="s">
        <v>35</v>
      </c>
    </row>
    <row r="9986" spans="1:8" ht="14.4" x14ac:dyDescent="0.3">
      <c r="A9986" s="8">
        <v>2092441</v>
      </c>
      <c r="B9986" s="11">
        <v>44825</v>
      </c>
      <c r="C9986" s="13" t="s">
        <v>12054</v>
      </c>
      <c r="D9986" s="13" t="s">
        <v>12055</v>
      </c>
      <c r="E9986" s="8">
        <v>15000</v>
      </c>
      <c r="F9986" s="13" t="s">
        <v>70</v>
      </c>
      <c r="G9986" s="14">
        <v>44839</v>
      </c>
      <c r="H9986" s="13" t="s">
        <v>35</v>
      </c>
    </row>
    <row r="9987" spans="1:8" ht="14.4" x14ac:dyDescent="0.3">
      <c r="A9987" s="8">
        <v>2092442</v>
      </c>
      <c r="B9987" s="11">
        <v>44825</v>
      </c>
      <c r="C9987" s="13" t="s">
        <v>12056</v>
      </c>
      <c r="D9987" s="13" t="s">
        <v>12057</v>
      </c>
      <c r="E9987" s="8">
        <v>37000</v>
      </c>
      <c r="F9987" s="13" t="s">
        <v>70</v>
      </c>
      <c r="G9987" s="14">
        <v>44826</v>
      </c>
      <c r="H9987" s="13" t="s">
        <v>35</v>
      </c>
    </row>
    <row r="9988" spans="1:8" ht="14.4" x14ac:dyDescent="0.3">
      <c r="A9988" s="8">
        <v>2092443</v>
      </c>
      <c r="B9988" s="11">
        <v>44825</v>
      </c>
      <c r="C9988" s="13" t="s">
        <v>12058</v>
      </c>
      <c r="D9988" s="13" t="s">
        <v>8561</v>
      </c>
      <c r="E9988" s="8">
        <v>20000</v>
      </c>
      <c r="F9988" s="13" t="s">
        <v>70</v>
      </c>
      <c r="G9988" s="14">
        <v>44826</v>
      </c>
      <c r="H9988" s="13" t="s">
        <v>35</v>
      </c>
    </row>
    <row r="9989" spans="1:8" ht="14.4" x14ac:dyDescent="0.3">
      <c r="A9989" s="8">
        <v>2092444</v>
      </c>
      <c r="B9989" s="11">
        <v>44825</v>
      </c>
      <c r="C9989" s="13" t="s">
        <v>12059</v>
      </c>
      <c r="D9989" s="13" t="s">
        <v>12060</v>
      </c>
      <c r="E9989" s="8">
        <v>17000</v>
      </c>
      <c r="F9989" s="13" t="s">
        <v>70</v>
      </c>
      <c r="G9989" s="14">
        <v>44826</v>
      </c>
      <c r="H9989" s="13" t="s">
        <v>35</v>
      </c>
    </row>
    <row r="9990" spans="1:8" ht="14.4" x14ac:dyDescent="0.3">
      <c r="A9990" s="8">
        <v>2092445</v>
      </c>
      <c r="B9990" s="11">
        <v>44825</v>
      </c>
      <c r="C9990" s="13" t="s">
        <v>12061</v>
      </c>
      <c r="D9990" s="13" t="s">
        <v>12062</v>
      </c>
      <c r="E9990" s="8">
        <v>30000</v>
      </c>
      <c r="F9990" s="13" t="s">
        <v>70</v>
      </c>
      <c r="G9990" s="14">
        <v>44827</v>
      </c>
      <c r="H9990" s="13" t="s">
        <v>35</v>
      </c>
    </row>
    <row r="9991" spans="1:8" ht="14.4" x14ac:dyDescent="0.3">
      <c r="A9991" s="8">
        <v>2092446</v>
      </c>
      <c r="B9991" s="11">
        <v>44825</v>
      </c>
      <c r="C9991" s="13" t="s">
        <v>12063</v>
      </c>
      <c r="D9991" s="13" t="s">
        <v>12064</v>
      </c>
      <c r="E9991" s="8">
        <v>9000</v>
      </c>
      <c r="F9991" s="13" t="s">
        <v>70</v>
      </c>
      <c r="G9991" s="14">
        <v>44827</v>
      </c>
      <c r="H9991" s="13" t="s">
        <v>35</v>
      </c>
    </row>
    <row r="9992" spans="1:8" ht="14.4" x14ac:dyDescent="0.3">
      <c r="A9992" s="8">
        <v>2092447</v>
      </c>
      <c r="B9992" s="11">
        <v>44825</v>
      </c>
      <c r="C9992" s="13" t="s">
        <v>12065</v>
      </c>
      <c r="D9992" s="13" t="s">
        <v>12066</v>
      </c>
      <c r="E9992" s="8">
        <v>15000</v>
      </c>
      <c r="F9992" s="13" t="s">
        <v>70</v>
      </c>
      <c r="G9992" s="14">
        <v>44826</v>
      </c>
      <c r="H9992" s="13" t="s">
        <v>35</v>
      </c>
    </row>
    <row r="9993" spans="1:8" ht="14.4" x14ac:dyDescent="0.3">
      <c r="A9993" s="8">
        <v>2092448</v>
      </c>
      <c r="B9993" s="11">
        <v>44825</v>
      </c>
      <c r="C9993" s="13" t="s">
        <v>12067</v>
      </c>
      <c r="D9993" s="13" t="s">
        <v>12068</v>
      </c>
      <c r="E9993" s="8">
        <v>10000</v>
      </c>
      <c r="F9993" s="13" t="s">
        <v>70</v>
      </c>
      <c r="G9993" s="14">
        <v>44827</v>
      </c>
      <c r="H9993" s="13" t="s">
        <v>35</v>
      </c>
    </row>
    <row r="9994" spans="1:8" ht="14.4" x14ac:dyDescent="0.3">
      <c r="A9994" s="8">
        <v>2092449</v>
      </c>
      <c r="B9994" s="11">
        <v>44825</v>
      </c>
      <c r="C9994" s="13" t="s">
        <v>12069</v>
      </c>
      <c r="D9994" s="13" t="s">
        <v>12070</v>
      </c>
      <c r="E9994" s="8">
        <v>20000</v>
      </c>
      <c r="F9994" s="13" t="s">
        <v>70</v>
      </c>
      <c r="G9994" s="14">
        <v>44826</v>
      </c>
      <c r="H9994" s="13" t="s">
        <v>35</v>
      </c>
    </row>
    <row r="9995" spans="1:8" ht="14.4" x14ac:dyDescent="0.3">
      <c r="A9995" s="8">
        <v>2092450</v>
      </c>
      <c r="B9995" s="11">
        <v>44825</v>
      </c>
      <c r="C9995" s="13" t="s">
        <v>12071</v>
      </c>
      <c r="D9995" s="13" t="s">
        <v>12072</v>
      </c>
      <c r="E9995" s="8">
        <v>15000</v>
      </c>
      <c r="F9995" s="13" t="s">
        <v>70</v>
      </c>
      <c r="G9995" s="14">
        <v>44826</v>
      </c>
      <c r="H9995" s="13" t="s">
        <v>35</v>
      </c>
    </row>
    <row r="9996" spans="1:8" ht="14.4" x14ac:dyDescent="0.3">
      <c r="A9996" s="8">
        <v>2092451</v>
      </c>
      <c r="B9996" s="11">
        <v>44825</v>
      </c>
      <c r="C9996" s="13" t="s">
        <v>12073</v>
      </c>
      <c r="D9996" s="13" t="s">
        <v>12074</v>
      </c>
      <c r="E9996" s="8">
        <v>10000</v>
      </c>
      <c r="F9996" s="13" t="s">
        <v>70</v>
      </c>
      <c r="G9996" s="14">
        <v>44833</v>
      </c>
      <c r="H9996" s="13" t="s">
        <v>35</v>
      </c>
    </row>
    <row r="9997" spans="1:8" ht="14.4" x14ac:dyDescent="0.3">
      <c r="A9997" s="8">
        <v>2092452</v>
      </c>
      <c r="B9997" s="11">
        <v>44825</v>
      </c>
      <c r="C9997" s="13" t="s">
        <v>12075</v>
      </c>
      <c r="D9997" s="13" t="s">
        <v>12076</v>
      </c>
      <c r="E9997" s="8">
        <v>11000</v>
      </c>
      <c r="F9997" s="13" t="s">
        <v>70</v>
      </c>
      <c r="G9997" s="14">
        <v>44834</v>
      </c>
      <c r="H9997" s="13" t="s">
        <v>35</v>
      </c>
    </row>
    <row r="9998" spans="1:8" ht="14.4" x14ac:dyDescent="0.3">
      <c r="A9998" s="8">
        <v>2092453</v>
      </c>
      <c r="B9998" s="11">
        <v>44825</v>
      </c>
      <c r="C9998" s="13" t="s">
        <v>12077</v>
      </c>
      <c r="D9998" s="13" t="s">
        <v>12078</v>
      </c>
      <c r="E9998" s="8">
        <v>7000</v>
      </c>
      <c r="F9998" s="13" t="s">
        <v>70</v>
      </c>
      <c r="G9998" s="14">
        <v>44827</v>
      </c>
      <c r="H9998" s="13" t="s">
        <v>35</v>
      </c>
    </row>
    <row r="9999" spans="1:8" ht="14.4" x14ac:dyDescent="0.3">
      <c r="A9999" s="8">
        <v>2092454</v>
      </c>
      <c r="B9999" s="11">
        <v>44825</v>
      </c>
      <c r="C9999" s="13" t="s">
        <v>12079</v>
      </c>
      <c r="D9999" s="13" t="s">
        <v>12080</v>
      </c>
      <c r="E9999" s="8">
        <v>7000</v>
      </c>
      <c r="F9999" s="13" t="s">
        <v>70</v>
      </c>
      <c r="G9999" s="14">
        <v>44827</v>
      </c>
      <c r="H9999" s="13" t="s">
        <v>35</v>
      </c>
    </row>
    <row r="10000" spans="1:8" ht="14.4" x14ac:dyDescent="0.3">
      <c r="A10000" s="8">
        <v>2092455</v>
      </c>
      <c r="B10000" s="11">
        <v>44825</v>
      </c>
      <c r="C10000" s="13" t="s">
        <v>12081</v>
      </c>
      <c r="D10000" s="13" t="s">
        <v>12082</v>
      </c>
      <c r="E10000" s="8">
        <v>8000</v>
      </c>
      <c r="F10000" s="13" t="s">
        <v>70</v>
      </c>
      <c r="G10000" s="14">
        <v>44827</v>
      </c>
      <c r="H10000" s="13" t="s">
        <v>35</v>
      </c>
    </row>
    <row r="10001" spans="1:8" ht="14.4" x14ac:dyDescent="0.3">
      <c r="A10001" s="8">
        <v>2092456</v>
      </c>
      <c r="B10001" s="11">
        <v>44825</v>
      </c>
      <c r="C10001" s="13" t="s">
        <v>12083</v>
      </c>
      <c r="D10001" s="13" t="s">
        <v>12084</v>
      </c>
      <c r="E10001" s="8">
        <v>20000</v>
      </c>
      <c r="F10001" s="13" t="s">
        <v>70</v>
      </c>
      <c r="G10001" s="14">
        <v>44827</v>
      </c>
      <c r="H10001" s="13" t="s">
        <v>35</v>
      </c>
    </row>
    <row r="10002" spans="1:8" ht="14.4" x14ac:dyDescent="0.3">
      <c r="A10002" s="8">
        <v>2092457</v>
      </c>
      <c r="B10002" s="11">
        <v>44825</v>
      </c>
      <c r="C10002" s="13" t="s">
        <v>12085</v>
      </c>
      <c r="D10002" s="13" t="s">
        <v>12086</v>
      </c>
      <c r="E10002" s="8">
        <v>50000</v>
      </c>
      <c r="F10002" s="13" t="s">
        <v>70</v>
      </c>
      <c r="G10002" s="14">
        <v>44827</v>
      </c>
      <c r="H10002" s="13" t="s">
        <v>35</v>
      </c>
    </row>
    <row r="10003" spans="1:8" ht="14.4" x14ac:dyDescent="0.3">
      <c r="A10003" s="8">
        <v>2092458</v>
      </c>
      <c r="B10003" s="11">
        <v>44825</v>
      </c>
      <c r="C10003" s="13" t="s">
        <v>12087</v>
      </c>
      <c r="D10003" s="13" t="s">
        <v>12088</v>
      </c>
      <c r="E10003" s="8">
        <v>10000</v>
      </c>
      <c r="F10003" s="13" t="s">
        <v>70</v>
      </c>
      <c r="G10003" s="14">
        <v>44827</v>
      </c>
      <c r="H10003" s="13" t="s">
        <v>35</v>
      </c>
    </row>
    <row r="10004" spans="1:8" ht="14.4" x14ac:dyDescent="0.3">
      <c r="A10004" s="8">
        <v>2092459</v>
      </c>
      <c r="B10004" s="11">
        <v>44825</v>
      </c>
      <c r="C10004" s="13" t="s">
        <v>12089</v>
      </c>
      <c r="D10004" s="13" t="s">
        <v>12090</v>
      </c>
      <c r="E10004" s="8">
        <v>11000</v>
      </c>
      <c r="F10004" s="13" t="s">
        <v>70</v>
      </c>
      <c r="G10004" s="14">
        <v>44827</v>
      </c>
      <c r="H10004" s="13" t="s">
        <v>35</v>
      </c>
    </row>
    <row r="10005" spans="1:8" ht="14.4" x14ac:dyDescent="0.3">
      <c r="A10005" s="8">
        <v>2092460</v>
      </c>
      <c r="B10005" s="11">
        <v>44825</v>
      </c>
      <c r="C10005" s="13" t="s">
        <v>12091</v>
      </c>
      <c r="D10005" s="13" t="s">
        <v>12092</v>
      </c>
      <c r="E10005" s="8">
        <v>6500</v>
      </c>
      <c r="F10005" s="13" t="s">
        <v>70</v>
      </c>
      <c r="G10005" s="14">
        <v>44832</v>
      </c>
      <c r="H10005" s="13" t="s">
        <v>35</v>
      </c>
    </row>
    <row r="10006" spans="1:8" ht="14.4" x14ac:dyDescent="0.3">
      <c r="A10006" s="8">
        <v>2092461</v>
      </c>
      <c r="B10006" s="11">
        <v>44825</v>
      </c>
      <c r="C10006" s="13" t="s">
        <v>585</v>
      </c>
      <c r="D10006" s="13" t="s">
        <v>12093</v>
      </c>
      <c r="E10006" s="8">
        <v>10000</v>
      </c>
      <c r="F10006" s="13" t="s">
        <v>70</v>
      </c>
      <c r="G10006" s="14">
        <v>44829</v>
      </c>
      <c r="H10006" s="13" t="s">
        <v>35</v>
      </c>
    </row>
    <row r="10007" spans="1:8" ht="14.4" x14ac:dyDescent="0.3">
      <c r="A10007" s="8">
        <v>2092462</v>
      </c>
      <c r="B10007" s="11">
        <v>44825</v>
      </c>
      <c r="C10007" s="13" t="s">
        <v>12094</v>
      </c>
      <c r="D10007" s="13" t="s">
        <v>12095</v>
      </c>
      <c r="E10007" s="8">
        <v>9000</v>
      </c>
      <c r="F10007" s="13" t="s">
        <v>70</v>
      </c>
      <c r="G10007" s="14">
        <v>44827</v>
      </c>
      <c r="H10007" s="13" t="s">
        <v>35</v>
      </c>
    </row>
    <row r="10008" spans="1:8" ht="14.4" x14ac:dyDescent="0.3">
      <c r="A10008" s="8">
        <v>2092463</v>
      </c>
      <c r="B10008" s="11">
        <v>44825</v>
      </c>
      <c r="C10008" s="13" t="s">
        <v>12096</v>
      </c>
      <c r="D10008" s="13" t="s">
        <v>47</v>
      </c>
      <c r="E10008" s="8">
        <v>8600</v>
      </c>
      <c r="F10008" s="13" t="s">
        <v>70</v>
      </c>
      <c r="G10008" s="14">
        <v>44827</v>
      </c>
      <c r="H10008" s="13" t="s">
        <v>35</v>
      </c>
    </row>
    <row r="10009" spans="1:8" ht="14.4" x14ac:dyDescent="0.3">
      <c r="A10009" s="8">
        <v>2092464</v>
      </c>
      <c r="B10009" s="11">
        <v>44825</v>
      </c>
      <c r="C10009" s="13" t="s">
        <v>12097</v>
      </c>
      <c r="D10009" s="13" t="s">
        <v>150</v>
      </c>
      <c r="E10009" s="8">
        <v>9000</v>
      </c>
      <c r="F10009" s="13" t="s">
        <v>70</v>
      </c>
      <c r="G10009" s="14">
        <v>44827</v>
      </c>
      <c r="H10009" s="13" t="s">
        <v>35</v>
      </c>
    </row>
    <row r="10010" spans="1:8" ht="14.4" x14ac:dyDescent="0.3">
      <c r="A10010" s="8">
        <v>2092465</v>
      </c>
      <c r="B10010" s="11">
        <v>44825</v>
      </c>
      <c r="C10010" s="13" t="s">
        <v>12098</v>
      </c>
      <c r="D10010" s="13" t="s">
        <v>147</v>
      </c>
      <c r="E10010" s="8">
        <v>30000</v>
      </c>
      <c r="F10010" s="13" t="s">
        <v>70</v>
      </c>
      <c r="G10010" s="14">
        <v>44826</v>
      </c>
      <c r="H10010" s="13" t="s">
        <v>35</v>
      </c>
    </row>
    <row r="10011" spans="1:8" ht="14.4" x14ac:dyDescent="0.3">
      <c r="A10011" s="8">
        <v>2092466</v>
      </c>
      <c r="B10011" s="11">
        <v>44825</v>
      </c>
      <c r="C10011" s="13" t="s">
        <v>12099</v>
      </c>
      <c r="D10011" s="13" t="s">
        <v>12100</v>
      </c>
      <c r="E10011" s="8">
        <v>10000</v>
      </c>
      <c r="F10011" s="13" t="s">
        <v>70</v>
      </c>
      <c r="G10011" s="14">
        <v>44827</v>
      </c>
      <c r="H10011" s="13" t="s">
        <v>35</v>
      </c>
    </row>
    <row r="10012" spans="1:8" ht="14.4" x14ac:dyDescent="0.3">
      <c r="A10012" s="8">
        <v>2092467</v>
      </c>
      <c r="B10012" s="11">
        <v>44825</v>
      </c>
      <c r="C10012" s="13" t="s">
        <v>12101</v>
      </c>
      <c r="D10012" s="13" t="s">
        <v>12102</v>
      </c>
      <c r="E10012" s="8">
        <v>7000</v>
      </c>
      <c r="F10012" s="13" t="s">
        <v>70</v>
      </c>
      <c r="G10012" s="14">
        <v>44826</v>
      </c>
      <c r="H10012" s="13" t="s">
        <v>35</v>
      </c>
    </row>
    <row r="10013" spans="1:8" ht="14.4" x14ac:dyDescent="0.3">
      <c r="A10013" s="8">
        <v>2092468</v>
      </c>
      <c r="B10013" s="11">
        <v>44825</v>
      </c>
      <c r="C10013" s="13" t="s">
        <v>12103</v>
      </c>
      <c r="D10013" s="13" t="s">
        <v>12104</v>
      </c>
      <c r="E10013" s="8">
        <v>8000</v>
      </c>
      <c r="F10013" s="13" t="s">
        <v>70</v>
      </c>
      <c r="G10013" s="14">
        <v>44826</v>
      </c>
      <c r="H10013" s="13" t="s">
        <v>35</v>
      </c>
    </row>
    <row r="10014" spans="1:8" ht="14.4" x14ac:dyDescent="0.3">
      <c r="A10014" s="8">
        <v>2092469</v>
      </c>
      <c r="B10014" s="11">
        <v>44825</v>
      </c>
      <c r="C10014" s="13" t="s">
        <v>12105</v>
      </c>
      <c r="D10014" s="13" t="s">
        <v>12106</v>
      </c>
      <c r="E10014" s="8">
        <v>8000</v>
      </c>
      <c r="F10014" s="13" t="s">
        <v>70</v>
      </c>
      <c r="G10014" s="14">
        <v>44827</v>
      </c>
      <c r="H10014" s="13" t="s">
        <v>35</v>
      </c>
    </row>
    <row r="10015" spans="1:8" ht="14.4" x14ac:dyDescent="0.3">
      <c r="A10015" s="8">
        <v>2092470</v>
      </c>
      <c r="B10015" s="11">
        <v>44825</v>
      </c>
      <c r="C10015" s="13" t="s">
        <v>12107</v>
      </c>
      <c r="D10015" s="13" t="s">
        <v>12108</v>
      </c>
      <c r="E10015" s="8">
        <v>8000</v>
      </c>
      <c r="F10015" s="13" t="s">
        <v>70</v>
      </c>
      <c r="G10015" s="14">
        <v>44826</v>
      </c>
      <c r="H10015" s="13" t="s">
        <v>35</v>
      </c>
    </row>
    <row r="10016" spans="1:8" ht="14.4" x14ac:dyDescent="0.3">
      <c r="A10016" s="8">
        <v>2092471</v>
      </c>
      <c r="B10016" s="11">
        <v>44825</v>
      </c>
      <c r="C10016" s="13" t="s">
        <v>12109</v>
      </c>
      <c r="D10016" s="13" t="s">
        <v>12110</v>
      </c>
      <c r="E10016" s="8">
        <v>11000</v>
      </c>
      <c r="F10016" s="13" t="s">
        <v>70</v>
      </c>
      <c r="G10016" s="14">
        <v>44831</v>
      </c>
      <c r="H10016" s="13" t="s">
        <v>35</v>
      </c>
    </row>
    <row r="10017" spans="1:8" ht="14.4" x14ac:dyDescent="0.3">
      <c r="A10017" s="8">
        <v>2092472</v>
      </c>
      <c r="B10017" s="11">
        <v>44825</v>
      </c>
      <c r="C10017" s="13" t="s">
        <v>12111</v>
      </c>
      <c r="D10017" s="13" t="s">
        <v>12112</v>
      </c>
      <c r="E10017" s="8">
        <v>10000</v>
      </c>
      <c r="F10017" s="13" t="s">
        <v>70</v>
      </c>
      <c r="G10017" s="14">
        <v>44832</v>
      </c>
      <c r="H10017" s="13" t="s">
        <v>35</v>
      </c>
    </row>
    <row r="10018" spans="1:8" ht="14.4" x14ac:dyDescent="0.3">
      <c r="A10018" s="8">
        <v>2092473</v>
      </c>
      <c r="B10018" s="11">
        <v>44825</v>
      </c>
      <c r="C10018" s="13" t="s">
        <v>8880</v>
      </c>
      <c r="D10018" s="13" t="s">
        <v>12113</v>
      </c>
      <c r="E10018" s="8">
        <v>12000</v>
      </c>
      <c r="F10018" s="13" t="s">
        <v>70</v>
      </c>
      <c r="G10018" s="14">
        <v>44827</v>
      </c>
      <c r="H10018" s="13" t="s">
        <v>35</v>
      </c>
    </row>
    <row r="10019" spans="1:8" ht="14.4" x14ac:dyDescent="0.3">
      <c r="A10019" s="8">
        <v>2092474</v>
      </c>
      <c r="B10019" s="11">
        <v>44825</v>
      </c>
      <c r="C10019" s="13" t="s">
        <v>12114</v>
      </c>
      <c r="D10019" s="13" t="s">
        <v>12115</v>
      </c>
      <c r="E10019" s="8">
        <v>19500</v>
      </c>
      <c r="F10019" s="13" t="s">
        <v>70</v>
      </c>
      <c r="G10019" s="14">
        <v>44826</v>
      </c>
      <c r="H10019" s="13" t="s">
        <v>35</v>
      </c>
    </row>
    <row r="10020" spans="1:8" ht="14.4" x14ac:dyDescent="0.3">
      <c r="A10020" s="8">
        <v>2092475</v>
      </c>
      <c r="B10020" s="11">
        <v>44825</v>
      </c>
      <c r="C10020" s="13" t="s">
        <v>12116</v>
      </c>
      <c r="D10020" s="13" t="s">
        <v>12117</v>
      </c>
      <c r="E10020" s="8">
        <v>2734074.46</v>
      </c>
      <c r="F10020" s="13" t="s">
        <v>70</v>
      </c>
      <c r="G10020" s="14">
        <v>44826</v>
      </c>
      <c r="H10020" s="13" t="s">
        <v>35</v>
      </c>
    </row>
    <row r="10021" spans="1:8" ht="14.4" x14ac:dyDescent="0.3">
      <c r="A10021" s="8">
        <v>2092476</v>
      </c>
      <c r="B10021" s="11">
        <v>44825</v>
      </c>
      <c r="C10021" s="13" t="s">
        <v>12118</v>
      </c>
      <c r="D10021" s="13" t="s">
        <v>12119</v>
      </c>
      <c r="E10021" s="8">
        <v>40840099.409999996</v>
      </c>
      <c r="F10021" s="13" t="s">
        <v>70</v>
      </c>
      <c r="G10021" s="14">
        <v>44826</v>
      </c>
      <c r="H10021" s="13" t="s">
        <v>35</v>
      </c>
    </row>
    <row r="10022" spans="1:8" ht="14.4" x14ac:dyDescent="0.3">
      <c r="A10022" s="8">
        <v>2092028</v>
      </c>
      <c r="B10022" s="11">
        <v>44826</v>
      </c>
      <c r="C10022" s="13" t="s">
        <v>876</v>
      </c>
      <c r="D10022" s="13" t="s">
        <v>12120</v>
      </c>
      <c r="E10022" s="8">
        <v>20000</v>
      </c>
      <c r="F10022" s="13" t="s">
        <v>70</v>
      </c>
      <c r="G10022" s="14">
        <v>44833</v>
      </c>
      <c r="H10022" s="13" t="s">
        <v>35</v>
      </c>
    </row>
    <row r="10023" spans="1:8" ht="14.4" x14ac:dyDescent="0.3">
      <c r="A10023" s="8">
        <v>2092029</v>
      </c>
      <c r="B10023" s="11">
        <v>44826</v>
      </c>
      <c r="C10023" s="13" t="s">
        <v>775</v>
      </c>
      <c r="D10023" s="13" t="s">
        <v>12121</v>
      </c>
      <c r="E10023" s="8">
        <v>30000</v>
      </c>
      <c r="F10023" s="13" t="s">
        <v>70</v>
      </c>
      <c r="G10023" s="14">
        <v>44833</v>
      </c>
      <c r="H10023" s="13" t="s">
        <v>35</v>
      </c>
    </row>
    <row r="10024" spans="1:8" ht="14.4" x14ac:dyDescent="0.3">
      <c r="A10024" s="8">
        <v>2092030</v>
      </c>
      <c r="B10024" s="11">
        <v>44826</v>
      </c>
      <c r="C10024" s="13" t="s">
        <v>502</v>
      </c>
      <c r="D10024" s="13" t="s">
        <v>12122</v>
      </c>
      <c r="E10024" s="8">
        <v>5906.25</v>
      </c>
      <c r="F10024" s="13" t="s">
        <v>70</v>
      </c>
      <c r="G10024" s="14">
        <v>44833</v>
      </c>
      <c r="H10024" s="13" t="s">
        <v>35</v>
      </c>
    </row>
    <row r="10025" spans="1:8" ht="14.4" x14ac:dyDescent="0.3">
      <c r="A10025" s="8">
        <v>2092477</v>
      </c>
      <c r="B10025" s="11">
        <v>44826</v>
      </c>
      <c r="C10025" s="13" t="s">
        <v>159</v>
      </c>
      <c r="D10025" s="13" t="s">
        <v>2314</v>
      </c>
      <c r="E10025" s="8">
        <v>238100</v>
      </c>
      <c r="F10025" s="13" t="s">
        <v>70</v>
      </c>
      <c r="G10025" s="14">
        <v>44826</v>
      </c>
      <c r="H10025" s="13" t="s">
        <v>35</v>
      </c>
    </row>
    <row r="10026" spans="1:8" ht="14.4" x14ac:dyDescent="0.3">
      <c r="A10026" s="8">
        <v>2092478</v>
      </c>
      <c r="B10026" s="11">
        <v>44826</v>
      </c>
      <c r="C10026" s="13" t="s">
        <v>275</v>
      </c>
      <c r="D10026" s="13" t="s">
        <v>12123</v>
      </c>
      <c r="E10026" s="8">
        <v>233814.73</v>
      </c>
      <c r="F10026" s="13" t="s">
        <v>70</v>
      </c>
      <c r="G10026" s="14">
        <v>44826</v>
      </c>
      <c r="H10026" s="13" t="s">
        <v>35</v>
      </c>
    </row>
    <row r="10027" spans="1:8" ht="14.4" x14ac:dyDescent="0.3">
      <c r="A10027" s="8">
        <v>2092479</v>
      </c>
      <c r="B10027" s="11">
        <v>44826</v>
      </c>
      <c r="C10027" s="13" t="s">
        <v>3111</v>
      </c>
      <c r="D10027" s="13" t="s">
        <v>12124</v>
      </c>
      <c r="E10027" s="8">
        <v>5625</v>
      </c>
      <c r="F10027" s="13" t="s">
        <v>70</v>
      </c>
      <c r="G10027" s="14">
        <v>44832</v>
      </c>
      <c r="H10027" s="13" t="s">
        <v>35</v>
      </c>
    </row>
    <row r="10028" spans="1:8" ht="14.4" x14ac:dyDescent="0.3">
      <c r="A10028" s="8">
        <v>2092480</v>
      </c>
      <c r="B10028" s="11">
        <v>44826</v>
      </c>
      <c r="C10028" s="13" t="s">
        <v>127</v>
      </c>
      <c r="D10028" s="13" t="s">
        <v>12125</v>
      </c>
      <c r="E10028" s="8">
        <v>18833.93</v>
      </c>
      <c r="F10028" s="13" t="s">
        <v>70</v>
      </c>
      <c r="G10028" s="14">
        <v>44832</v>
      </c>
      <c r="H10028" s="13" t="s">
        <v>35</v>
      </c>
    </row>
    <row r="10029" spans="1:8" ht="14.4" x14ac:dyDescent="0.3">
      <c r="A10029" s="8">
        <v>2092481</v>
      </c>
      <c r="B10029" s="11">
        <v>44826</v>
      </c>
      <c r="C10029" s="13" t="s">
        <v>405</v>
      </c>
      <c r="D10029" s="13" t="s">
        <v>12126</v>
      </c>
      <c r="E10029" s="8">
        <v>12579.72</v>
      </c>
      <c r="F10029" s="13" t="s">
        <v>70</v>
      </c>
      <c r="G10029" s="14">
        <v>44831</v>
      </c>
      <c r="H10029" s="13" t="s">
        <v>35</v>
      </c>
    </row>
    <row r="10030" spans="1:8" ht="14.4" x14ac:dyDescent="0.3">
      <c r="A10030" s="8">
        <v>2092482</v>
      </c>
      <c r="B10030" s="11">
        <v>44826</v>
      </c>
      <c r="C10030" s="13" t="s">
        <v>127</v>
      </c>
      <c r="D10030" s="13" t="s">
        <v>6717</v>
      </c>
      <c r="E10030" s="8">
        <v>5205.3500000000004</v>
      </c>
      <c r="F10030" s="13" t="s">
        <v>70</v>
      </c>
      <c r="G10030" s="14">
        <v>44832</v>
      </c>
      <c r="H10030" s="13" t="s">
        <v>35</v>
      </c>
    </row>
    <row r="10031" spans="1:8" ht="14.4" x14ac:dyDescent="0.3">
      <c r="A10031" s="8">
        <v>2092483</v>
      </c>
      <c r="B10031" s="11">
        <v>44826</v>
      </c>
      <c r="C10031" s="13" t="s">
        <v>152</v>
      </c>
      <c r="D10031" s="13" t="s">
        <v>12127</v>
      </c>
      <c r="E10031" s="8">
        <v>20000</v>
      </c>
      <c r="F10031" s="13" t="s">
        <v>70</v>
      </c>
      <c r="G10031" s="14">
        <v>44832</v>
      </c>
      <c r="H10031" s="13" t="s">
        <v>35</v>
      </c>
    </row>
    <row r="10032" spans="1:8" ht="14.4" x14ac:dyDescent="0.3">
      <c r="A10032" s="8">
        <v>2092484</v>
      </c>
      <c r="B10032" s="11">
        <v>44826</v>
      </c>
      <c r="C10032" s="13" t="s">
        <v>405</v>
      </c>
      <c r="D10032" s="13" t="s">
        <v>12128</v>
      </c>
      <c r="E10032" s="8">
        <v>12367.72</v>
      </c>
      <c r="F10032" s="13" t="s">
        <v>70</v>
      </c>
      <c r="G10032" s="14">
        <v>44831</v>
      </c>
      <c r="H10032" s="13" t="s">
        <v>35</v>
      </c>
    </row>
    <row r="10033" spans="1:8" ht="14.4" x14ac:dyDescent="0.3">
      <c r="A10033" s="8">
        <v>2092485</v>
      </c>
      <c r="B10033" s="11">
        <v>44826</v>
      </c>
      <c r="C10033" s="13" t="s">
        <v>405</v>
      </c>
      <c r="D10033" s="13" t="s">
        <v>12129</v>
      </c>
      <c r="E10033" s="8">
        <v>47016.94</v>
      </c>
      <c r="F10033" s="13" t="s">
        <v>70</v>
      </c>
      <c r="G10033" s="14">
        <v>44831</v>
      </c>
      <c r="H10033" s="13" t="s">
        <v>35</v>
      </c>
    </row>
    <row r="10034" spans="1:8" ht="14.4" x14ac:dyDescent="0.3">
      <c r="A10034" s="8">
        <v>2092486</v>
      </c>
      <c r="B10034" s="11">
        <v>44826</v>
      </c>
      <c r="C10034" s="13" t="s">
        <v>12130</v>
      </c>
      <c r="D10034" s="13" t="s">
        <v>12131</v>
      </c>
      <c r="E10034" s="8">
        <v>17029.07</v>
      </c>
      <c r="F10034" s="13" t="s">
        <v>70</v>
      </c>
      <c r="G10034" s="14">
        <v>44832</v>
      </c>
      <c r="H10034" s="13" t="s">
        <v>35</v>
      </c>
    </row>
    <row r="10035" spans="1:8" ht="14.4" x14ac:dyDescent="0.3">
      <c r="A10035" s="8">
        <v>2092487</v>
      </c>
      <c r="B10035" s="11">
        <v>44826</v>
      </c>
      <c r="C10035" s="13" t="s">
        <v>748</v>
      </c>
      <c r="D10035" s="13" t="s">
        <v>12132</v>
      </c>
      <c r="E10035" s="8">
        <v>4687.5</v>
      </c>
      <c r="F10035" s="13" t="s">
        <v>70</v>
      </c>
      <c r="G10035" s="14">
        <v>44832</v>
      </c>
      <c r="H10035" s="13" t="s">
        <v>35</v>
      </c>
    </row>
    <row r="10036" spans="1:8" ht="14.4" x14ac:dyDescent="0.3">
      <c r="A10036" s="8">
        <v>2092488</v>
      </c>
      <c r="B10036" s="11">
        <v>44826</v>
      </c>
      <c r="C10036" s="13" t="s">
        <v>12133</v>
      </c>
      <c r="D10036" s="13" t="s">
        <v>12134</v>
      </c>
      <c r="E10036" s="8">
        <v>50000</v>
      </c>
      <c r="F10036" s="13" t="s">
        <v>70</v>
      </c>
      <c r="G10036" s="14">
        <v>44831</v>
      </c>
      <c r="H10036" s="13" t="s">
        <v>35</v>
      </c>
    </row>
    <row r="10037" spans="1:8" ht="14.4" x14ac:dyDescent="0.3">
      <c r="A10037" s="8">
        <v>2092489</v>
      </c>
      <c r="B10037" s="11">
        <v>44826</v>
      </c>
      <c r="C10037" s="13" t="s">
        <v>12135</v>
      </c>
      <c r="D10037" s="13" t="s">
        <v>12136</v>
      </c>
      <c r="E10037" s="8">
        <v>8000</v>
      </c>
      <c r="F10037" s="13" t="s">
        <v>70</v>
      </c>
      <c r="G10037" s="14">
        <v>44831</v>
      </c>
      <c r="H10037" s="13" t="s">
        <v>35</v>
      </c>
    </row>
    <row r="10038" spans="1:8" ht="14.4" x14ac:dyDescent="0.3">
      <c r="A10038" s="8">
        <v>2092490</v>
      </c>
      <c r="B10038" s="11">
        <v>44826</v>
      </c>
      <c r="C10038" s="13" t="s">
        <v>12137</v>
      </c>
      <c r="D10038" s="13" t="s">
        <v>12138</v>
      </c>
      <c r="E10038" s="8">
        <v>7000</v>
      </c>
      <c r="F10038" s="13" t="s">
        <v>70</v>
      </c>
      <c r="G10038" s="14">
        <v>44831</v>
      </c>
      <c r="H10038" s="13" t="s">
        <v>35</v>
      </c>
    </row>
    <row r="10039" spans="1:8" ht="14.4" x14ac:dyDescent="0.3">
      <c r="A10039" s="8">
        <v>2092491</v>
      </c>
      <c r="B10039" s="11">
        <v>44826</v>
      </c>
      <c r="C10039" s="13" t="s">
        <v>12139</v>
      </c>
      <c r="D10039" s="13" t="s">
        <v>12140</v>
      </c>
      <c r="E10039" s="8">
        <v>10000</v>
      </c>
      <c r="F10039" s="13" t="s">
        <v>70</v>
      </c>
      <c r="G10039" s="14">
        <v>44831</v>
      </c>
      <c r="H10039" s="13" t="s">
        <v>35</v>
      </c>
    </row>
    <row r="10040" spans="1:8" ht="14.4" x14ac:dyDescent="0.3">
      <c r="A10040" s="8">
        <v>2092492</v>
      </c>
      <c r="B10040" s="11">
        <v>44826</v>
      </c>
      <c r="C10040" s="13" t="s">
        <v>12141</v>
      </c>
      <c r="D10040" s="13" t="s">
        <v>100</v>
      </c>
      <c r="E10040" s="8">
        <v>9000</v>
      </c>
      <c r="F10040" s="13" t="s">
        <v>70</v>
      </c>
      <c r="G10040" s="14">
        <v>44831</v>
      </c>
      <c r="H10040" s="13" t="s">
        <v>35</v>
      </c>
    </row>
    <row r="10041" spans="1:8" ht="14.4" x14ac:dyDescent="0.3">
      <c r="A10041" s="8">
        <v>2092493</v>
      </c>
      <c r="B10041" s="11">
        <v>44826</v>
      </c>
      <c r="C10041" s="13" t="s">
        <v>12142</v>
      </c>
      <c r="D10041" s="13" t="s">
        <v>100</v>
      </c>
      <c r="E10041" s="8">
        <v>9000</v>
      </c>
      <c r="F10041" s="13" t="s">
        <v>70</v>
      </c>
      <c r="G10041" s="14">
        <v>44831</v>
      </c>
      <c r="H10041" s="13" t="s">
        <v>35</v>
      </c>
    </row>
    <row r="10042" spans="1:8" ht="14.4" x14ac:dyDescent="0.3">
      <c r="A10042" s="8">
        <v>2092494</v>
      </c>
      <c r="B10042" s="11">
        <v>44826</v>
      </c>
      <c r="C10042" s="13" t="s">
        <v>12143</v>
      </c>
      <c r="D10042" s="13" t="s">
        <v>100</v>
      </c>
      <c r="E10042" s="8">
        <v>9300</v>
      </c>
      <c r="F10042" s="13" t="s">
        <v>70</v>
      </c>
      <c r="G10042" s="14">
        <v>44827</v>
      </c>
      <c r="H10042" s="13" t="s">
        <v>35</v>
      </c>
    </row>
    <row r="10043" spans="1:8" ht="14.4" x14ac:dyDescent="0.3">
      <c r="A10043" s="8">
        <v>2092495</v>
      </c>
      <c r="B10043" s="11">
        <v>44826</v>
      </c>
      <c r="C10043" s="13" t="s">
        <v>2766</v>
      </c>
      <c r="D10043" s="13" t="s">
        <v>12144</v>
      </c>
      <c r="E10043" s="8">
        <v>12000</v>
      </c>
      <c r="F10043" s="13" t="s">
        <v>70</v>
      </c>
      <c r="G10043" s="14">
        <v>44832</v>
      </c>
      <c r="H10043" s="13" t="s">
        <v>35</v>
      </c>
    </row>
    <row r="10044" spans="1:8" ht="14.4" x14ac:dyDescent="0.3">
      <c r="A10044" s="8">
        <v>2092496</v>
      </c>
      <c r="B10044" s="11">
        <v>44826</v>
      </c>
      <c r="C10044" s="13" t="s">
        <v>12145</v>
      </c>
      <c r="D10044" s="13" t="s">
        <v>12146</v>
      </c>
      <c r="E10044" s="8">
        <v>23000</v>
      </c>
      <c r="F10044" s="13" t="s">
        <v>70</v>
      </c>
      <c r="G10044" s="14">
        <v>44831</v>
      </c>
      <c r="H10044" s="13" t="s">
        <v>35</v>
      </c>
    </row>
    <row r="10045" spans="1:8" ht="14.4" x14ac:dyDescent="0.3">
      <c r="A10045" s="8">
        <v>2092497</v>
      </c>
      <c r="B10045" s="11">
        <v>44826</v>
      </c>
      <c r="C10045" s="13" t="s">
        <v>12147</v>
      </c>
      <c r="D10045" s="13" t="s">
        <v>12148</v>
      </c>
      <c r="E10045" s="8">
        <v>9000</v>
      </c>
      <c r="F10045" s="13" t="s">
        <v>70</v>
      </c>
      <c r="G10045" s="14">
        <v>44831</v>
      </c>
      <c r="H10045" s="13" t="s">
        <v>35</v>
      </c>
    </row>
    <row r="10046" spans="1:8" ht="14.4" x14ac:dyDescent="0.3">
      <c r="A10046" s="8">
        <v>2092498</v>
      </c>
      <c r="B10046" s="11">
        <v>44826</v>
      </c>
      <c r="C10046" s="13" t="s">
        <v>7164</v>
      </c>
      <c r="D10046" s="13" t="s">
        <v>12149</v>
      </c>
      <c r="E10046" s="8">
        <v>11000</v>
      </c>
      <c r="F10046" s="13" t="s">
        <v>70</v>
      </c>
      <c r="G10046" s="14">
        <v>44831</v>
      </c>
      <c r="H10046" s="13" t="s">
        <v>35</v>
      </c>
    </row>
    <row r="10047" spans="1:8" ht="14.4" x14ac:dyDescent="0.3">
      <c r="A10047" s="8">
        <v>2092499</v>
      </c>
      <c r="B10047" s="11">
        <v>44826</v>
      </c>
      <c r="C10047" s="13" t="s">
        <v>12150</v>
      </c>
      <c r="D10047" s="13" t="s">
        <v>12151</v>
      </c>
      <c r="E10047" s="8">
        <v>1210</v>
      </c>
      <c r="F10047" s="13" t="s">
        <v>70</v>
      </c>
      <c r="G10047" s="14">
        <v>44833</v>
      </c>
      <c r="H10047" s="13" t="s">
        <v>35</v>
      </c>
    </row>
    <row r="10048" spans="1:8" ht="14.4" x14ac:dyDescent="0.3">
      <c r="A10048" s="8">
        <v>2092500</v>
      </c>
      <c r="B10048" s="11">
        <v>44826</v>
      </c>
      <c r="C10048" s="13" t="s">
        <v>1524</v>
      </c>
      <c r="D10048" s="13" t="s">
        <v>12151</v>
      </c>
      <c r="E10048" s="8">
        <v>10952.51</v>
      </c>
      <c r="F10048" s="13" t="s">
        <v>70</v>
      </c>
      <c r="G10048" s="14">
        <v>44834</v>
      </c>
      <c r="H10048" s="13" t="s">
        <v>35</v>
      </c>
    </row>
    <row r="10049" spans="1:8" ht="14.4" x14ac:dyDescent="0.3">
      <c r="A10049" s="8">
        <v>2092501</v>
      </c>
      <c r="B10049" s="11">
        <v>44826</v>
      </c>
      <c r="C10049" s="13" t="s">
        <v>3523</v>
      </c>
      <c r="D10049" s="13" t="s">
        <v>12152</v>
      </c>
      <c r="E10049" s="8">
        <v>1071.9000000000001</v>
      </c>
      <c r="F10049" s="13" t="s">
        <v>70</v>
      </c>
      <c r="G10049" s="14">
        <v>44838</v>
      </c>
      <c r="H10049" s="13" t="s">
        <v>35</v>
      </c>
    </row>
    <row r="10050" spans="1:8" ht="14.4" x14ac:dyDescent="0.3">
      <c r="A10050" s="8">
        <v>2092502</v>
      </c>
      <c r="B10050" s="11">
        <v>44826</v>
      </c>
      <c r="C10050" s="13" t="s">
        <v>697</v>
      </c>
      <c r="D10050" s="13" t="s">
        <v>12153</v>
      </c>
      <c r="E10050" s="8">
        <v>3108.85</v>
      </c>
      <c r="F10050" s="13" t="s">
        <v>70</v>
      </c>
      <c r="G10050" s="14">
        <v>44833</v>
      </c>
      <c r="H10050" s="13" t="s">
        <v>35</v>
      </c>
    </row>
    <row r="10051" spans="1:8" ht="14.4" x14ac:dyDescent="0.3">
      <c r="A10051" s="8">
        <v>2092503</v>
      </c>
      <c r="B10051" s="11">
        <v>44826</v>
      </c>
      <c r="C10051" s="13" t="s">
        <v>162</v>
      </c>
      <c r="D10051" s="13" t="s">
        <v>12154</v>
      </c>
      <c r="E10051" s="8">
        <v>350578.22</v>
      </c>
      <c r="F10051" s="13" t="s">
        <v>70</v>
      </c>
      <c r="G10051" s="14">
        <v>44834</v>
      </c>
      <c r="H10051" s="13" t="s">
        <v>35</v>
      </c>
    </row>
    <row r="10052" spans="1:8" ht="14.4" x14ac:dyDescent="0.3">
      <c r="A10052" s="8">
        <v>2092504</v>
      </c>
      <c r="B10052" s="11">
        <v>44826</v>
      </c>
      <c r="C10052" s="13" t="s">
        <v>1937</v>
      </c>
      <c r="D10052" s="13" t="s">
        <v>12155</v>
      </c>
      <c r="E10052" s="8">
        <v>751</v>
      </c>
      <c r="F10052" s="13" t="s">
        <v>70</v>
      </c>
      <c r="G10052" s="14">
        <v>44834</v>
      </c>
      <c r="H10052" s="13" t="s">
        <v>35</v>
      </c>
    </row>
    <row r="10053" spans="1:8" ht="14.4" x14ac:dyDescent="0.3">
      <c r="A10053" s="8">
        <v>2092505</v>
      </c>
      <c r="B10053" s="11">
        <v>44826</v>
      </c>
      <c r="C10053" s="13" t="s">
        <v>1430</v>
      </c>
      <c r="D10053" s="13" t="s">
        <v>12156</v>
      </c>
      <c r="E10053" s="8">
        <v>5199.99</v>
      </c>
      <c r="F10053" s="13" t="s">
        <v>70</v>
      </c>
      <c r="G10053" s="14">
        <v>44839</v>
      </c>
      <c r="H10053" s="13" t="s">
        <v>35</v>
      </c>
    </row>
    <row r="10054" spans="1:8" ht="14.4" x14ac:dyDescent="0.3">
      <c r="A10054" s="8">
        <v>2092506</v>
      </c>
      <c r="B10054" s="11">
        <v>44826</v>
      </c>
      <c r="C10054" s="13" t="s">
        <v>265</v>
      </c>
      <c r="D10054" s="13" t="s">
        <v>12157</v>
      </c>
      <c r="E10054" s="8">
        <v>78709.399999999994</v>
      </c>
      <c r="F10054" s="13" t="s">
        <v>70</v>
      </c>
      <c r="G10054" s="14">
        <v>44832</v>
      </c>
      <c r="H10054" s="13" t="s">
        <v>35</v>
      </c>
    </row>
    <row r="10055" spans="1:8" ht="14.4" x14ac:dyDescent="0.3">
      <c r="A10055" s="8">
        <v>2092507</v>
      </c>
      <c r="B10055" s="11">
        <v>44826</v>
      </c>
      <c r="C10055" s="13" t="s">
        <v>42</v>
      </c>
      <c r="D10055" s="13" t="s">
        <v>12158</v>
      </c>
      <c r="E10055" s="8">
        <v>2052.52</v>
      </c>
      <c r="F10055" s="13" t="s">
        <v>70</v>
      </c>
      <c r="G10055" s="14">
        <v>44837</v>
      </c>
      <c r="H10055" s="13" t="s">
        <v>35</v>
      </c>
    </row>
    <row r="10056" spans="1:8" ht="14.4" x14ac:dyDescent="0.3">
      <c r="A10056" s="8">
        <v>2092508</v>
      </c>
      <c r="B10056" s="11">
        <v>44826</v>
      </c>
      <c r="C10056" s="13" t="s">
        <v>42</v>
      </c>
      <c r="D10056" s="13" t="s">
        <v>12159</v>
      </c>
      <c r="E10056" s="8">
        <v>167937.6</v>
      </c>
      <c r="F10056" s="13" t="s">
        <v>70</v>
      </c>
      <c r="G10056" s="14">
        <v>44837</v>
      </c>
      <c r="H10056" s="13" t="s">
        <v>35</v>
      </c>
    </row>
    <row r="10057" spans="1:8" ht="14.4" x14ac:dyDescent="0.3">
      <c r="A10057" s="8">
        <v>2092509</v>
      </c>
      <c r="B10057" s="11">
        <v>44826</v>
      </c>
      <c r="C10057" s="13" t="s">
        <v>1193</v>
      </c>
      <c r="D10057" s="13" t="s">
        <v>12160</v>
      </c>
      <c r="E10057" s="8">
        <v>49000</v>
      </c>
      <c r="F10057" s="13" t="s">
        <v>70</v>
      </c>
      <c r="G10057" s="14">
        <v>44854</v>
      </c>
      <c r="H10057" s="13" t="s">
        <v>35</v>
      </c>
    </row>
    <row r="10058" spans="1:8" ht="14.4" x14ac:dyDescent="0.3">
      <c r="A10058" s="8">
        <v>2092510</v>
      </c>
      <c r="B10058" s="11">
        <v>44826</v>
      </c>
      <c r="C10058" s="13" t="s">
        <v>176</v>
      </c>
      <c r="D10058" s="13" t="s">
        <v>12161</v>
      </c>
      <c r="E10058" s="8">
        <v>102800</v>
      </c>
      <c r="F10058" s="13" t="s">
        <v>70</v>
      </c>
      <c r="G10058" s="14">
        <v>44854</v>
      </c>
      <c r="H10058" s="13" t="s">
        <v>35</v>
      </c>
    </row>
    <row r="10059" spans="1:8" ht="14.4" x14ac:dyDescent="0.3">
      <c r="A10059" s="8">
        <v>2092511</v>
      </c>
      <c r="B10059" s="11">
        <v>44826</v>
      </c>
      <c r="C10059" s="13" t="s">
        <v>506</v>
      </c>
      <c r="D10059" s="13" t="s">
        <v>12160</v>
      </c>
      <c r="E10059" s="8">
        <v>18000</v>
      </c>
      <c r="F10059" s="13" t="s">
        <v>70</v>
      </c>
      <c r="G10059" s="14">
        <v>44854</v>
      </c>
      <c r="H10059" s="13" t="s">
        <v>35</v>
      </c>
    </row>
    <row r="10060" spans="1:8" ht="14.4" x14ac:dyDescent="0.3">
      <c r="A10060" s="8">
        <v>2092512</v>
      </c>
      <c r="B10060" s="11">
        <v>44826</v>
      </c>
      <c r="C10060" s="13" t="s">
        <v>12162</v>
      </c>
      <c r="D10060" s="13" t="s">
        <v>12163</v>
      </c>
      <c r="E10060" s="8">
        <v>10000</v>
      </c>
      <c r="F10060" s="13" t="s">
        <v>70</v>
      </c>
      <c r="G10060" s="14">
        <v>44831</v>
      </c>
      <c r="H10060" s="13" t="s">
        <v>35</v>
      </c>
    </row>
    <row r="10061" spans="1:8" ht="14.4" x14ac:dyDescent="0.3">
      <c r="A10061" s="8">
        <v>2092514</v>
      </c>
      <c r="B10061" s="11">
        <v>44826</v>
      </c>
      <c r="C10061" s="13" t="s">
        <v>12164</v>
      </c>
      <c r="D10061" s="13" t="s">
        <v>12165</v>
      </c>
      <c r="E10061" s="8">
        <v>14376.78</v>
      </c>
      <c r="F10061" s="13" t="s">
        <v>70</v>
      </c>
      <c r="G10061" s="14">
        <v>44832</v>
      </c>
      <c r="H10061" s="13" t="s">
        <v>35</v>
      </c>
    </row>
    <row r="10062" spans="1:8" ht="14.4" x14ac:dyDescent="0.3">
      <c r="A10062" s="8">
        <v>2092515</v>
      </c>
      <c r="B10062" s="11">
        <v>44826</v>
      </c>
      <c r="C10062" s="13" t="s">
        <v>201</v>
      </c>
      <c r="D10062" s="13" t="s">
        <v>3220</v>
      </c>
      <c r="E10062" s="8">
        <v>921.82</v>
      </c>
      <c r="F10062" s="13" t="s">
        <v>70</v>
      </c>
      <c r="G10062" s="14">
        <v>44831</v>
      </c>
      <c r="H10062" s="13" t="s">
        <v>35</v>
      </c>
    </row>
    <row r="10063" spans="1:8" ht="14.4" x14ac:dyDescent="0.3">
      <c r="A10063" s="8">
        <v>2092516</v>
      </c>
      <c r="B10063" s="11">
        <v>44826</v>
      </c>
      <c r="C10063" s="13" t="s">
        <v>12164</v>
      </c>
      <c r="D10063" s="13" t="s">
        <v>12166</v>
      </c>
      <c r="E10063" s="8">
        <v>13723.22</v>
      </c>
      <c r="F10063" s="13" t="s">
        <v>70</v>
      </c>
      <c r="G10063" s="14">
        <v>44832</v>
      </c>
      <c r="H10063" s="13" t="s">
        <v>35</v>
      </c>
    </row>
    <row r="10064" spans="1:8" ht="14.4" x14ac:dyDescent="0.3">
      <c r="A10064" s="8">
        <v>2092517</v>
      </c>
      <c r="B10064" s="11">
        <v>44826</v>
      </c>
      <c r="C10064" s="13" t="s">
        <v>12164</v>
      </c>
      <c r="D10064" s="13" t="s">
        <v>12167</v>
      </c>
      <c r="E10064" s="8">
        <v>2812.5</v>
      </c>
      <c r="F10064" s="13" t="s">
        <v>70</v>
      </c>
      <c r="G10064" s="14">
        <v>44832</v>
      </c>
      <c r="H10064" s="13" t="s">
        <v>35</v>
      </c>
    </row>
    <row r="10065" spans="1:8" ht="14.4" x14ac:dyDescent="0.3">
      <c r="A10065" s="8">
        <v>2092518</v>
      </c>
      <c r="B10065" s="11">
        <v>44826</v>
      </c>
      <c r="C10065" s="13" t="s">
        <v>361</v>
      </c>
      <c r="D10065" s="13" t="s">
        <v>12168</v>
      </c>
      <c r="E10065" s="8">
        <v>10455.57</v>
      </c>
      <c r="F10065" s="13" t="s">
        <v>70</v>
      </c>
      <c r="G10065" s="14">
        <v>44832</v>
      </c>
      <c r="H10065" s="13" t="s">
        <v>35</v>
      </c>
    </row>
    <row r="10066" spans="1:8" ht="14.4" x14ac:dyDescent="0.3">
      <c r="A10066" s="8">
        <v>2092519</v>
      </c>
      <c r="B10066" s="11">
        <v>44826</v>
      </c>
      <c r="C10066" s="13" t="s">
        <v>405</v>
      </c>
      <c r="D10066" s="13" t="s">
        <v>12169</v>
      </c>
      <c r="E10066" s="8">
        <v>17049.439999999999</v>
      </c>
      <c r="F10066" s="13" t="s">
        <v>70</v>
      </c>
      <c r="G10066" s="14">
        <v>44839</v>
      </c>
      <c r="H10066" s="13" t="s">
        <v>35</v>
      </c>
    </row>
    <row r="10067" spans="1:8" ht="14.4" x14ac:dyDescent="0.3">
      <c r="A10067" s="8">
        <v>2092520</v>
      </c>
      <c r="B10067" s="11">
        <v>44826</v>
      </c>
      <c r="C10067" s="13" t="s">
        <v>405</v>
      </c>
      <c r="D10067" s="13" t="s">
        <v>12170</v>
      </c>
      <c r="E10067" s="8">
        <v>48111.1</v>
      </c>
      <c r="F10067" s="13" t="s">
        <v>70</v>
      </c>
      <c r="G10067" s="14">
        <v>44839</v>
      </c>
      <c r="H10067" s="13" t="s">
        <v>35</v>
      </c>
    </row>
    <row r="10068" spans="1:8" ht="14.4" x14ac:dyDescent="0.3">
      <c r="A10068" s="8">
        <v>2092521</v>
      </c>
      <c r="B10068" s="11">
        <v>44826</v>
      </c>
      <c r="C10068" s="13" t="s">
        <v>405</v>
      </c>
      <c r="D10068" s="13" t="s">
        <v>12171</v>
      </c>
      <c r="E10068" s="8">
        <v>55570.59</v>
      </c>
      <c r="F10068" s="13" t="s">
        <v>70</v>
      </c>
      <c r="G10068" s="14">
        <v>44839</v>
      </c>
      <c r="H10068" s="13" t="s">
        <v>35</v>
      </c>
    </row>
    <row r="10069" spans="1:8" ht="14.4" x14ac:dyDescent="0.3">
      <c r="A10069" s="8">
        <v>2092522</v>
      </c>
      <c r="B10069" s="11">
        <v>44826</v>
      </c>
      <c r="C10069" s="13" t="s">
        <v>405</v>
      </c>
      <c r="D10069" s="13" t="s">
        <v>12172</v>
      </c>
      <c r="E10069" s="8">
        <v>32472.11</v>
      </c>
      <c r="F10069" s="13" t="s">
        <v>70</v>
      </c>
      <c r="G10069" s="14">
        <v>44839</v>
      </c>
      <c r="H10069" s="13" t="s">
        <v>35</v>
      </c>
    </row>
    <row r="10070" spans="1:8" ht="14.4" x14ac:dyDescent="0.3">
      <c r="A10070" s="8">
        <v>2092523</v>
      </c>
      <c r="B10070" s="11">
        <v>44826</v>
      </c>
      <c r="C10070" s="13" t="s">
        <v>405</v>
      </c>
      <c r="D10070" s="13" t="s">
        <v>12173</v>
      </c>
      <c r="E10070" s="8">
        <v>61910.03</v>
      </c>
      <c r="F10070" s="13" t="s">
        <v>70</v>
      </c>
      <c r="G10070" s="14">
        <v>44839</v>
      </c>
      <c r="H10070" s="13" t="s">
        <v>35</v>
      </c>
    </row>
    <row r="10071" spans="1:8" ht="14.4" x14ac:dyDescent="0.3">
      <c r="A10071" s="8">
        <v>2092524</v>
      </c>
      <c r="B10071" s="11">
        <v>44826</v>
      </c>
      <c r="C10071" s="13" t="s">
        <v>405</v>
      </c>
      <c r="D10071" s="13" t="s">
        <v>12174</v>
      </c>
      <c r="E10071" s="8">
        <v>19713.5</v>
      </c>
      <c r="F10071" s="13" t="s">
        <v>70</v>
      </c>
      <c r="G10071" s="14">
        <v>44839</v>
      </c>
      <c r="H10071" s="13" t="s">
        <v>35</v>
      </c>
    </row>
    <row r="10072" spans="1:8" ht="14.4" x14ac:dyDescent="0.3">
      <c r="A10072" s="8">
        <v>2092525</v>
      </c>
      <c r="B10072" s="11">
        <v>44826</v>
      </c>
      <c r="C10072" s="13" t="s">
        <v>405</v>
      </c>
      <c r="D10072" s="13" t="s">
        <v>12175</v>
      </c>
      <c r="E10072" s="8">
        <v>4068.08</v>
      </c>
      <c r="F10072" s="13" t="s">
        <v>70</v>
      </c>
      <c r="G10072" s="14">
        <v>44839</v>
      </c>
      <c r="H10072" s="13" t="s">
        <v>35</v>
      </c>
    </row>
    <row r="10073" spans="1:8" ht="14.4" x14ac:dyDescent="0.3">
      <c r="A10073" s="8">
        <v>2092526</v>
      </c>
      <c r="B10073" s="11">
        <v>44826</v>
      </c>
      <c r="C10073" s="13" t="s">
        <v>1784</v>
      </c>
      <c r="D10073" s="13" t="s">
        <v>12176</v>
      </c>
      <c r="E10073" s="8">
        <v>9000</v>
      </c>
      <c r="F10073" s="13" t="s">
        <v>70</v>
      </c>
      <c r="G10073" s="14">
        <v>44834</v>
      </c>
      <c r="H10073" s="13" t="s">
        <v>35</v>
      </c>
    </row>
    <row r="10074" spans="1:8" ht="14.4" x14ac:dyDescent="0.3">
      <c r="A10074" s="8">
        <v>2092527</v>
      </c>
      <c r="B10074" s="11">
        <v>44826</v>
      </c>
      <c r="C10074" s="13" t="s">
        <v>405</v>
      </c>
      <c r="D10074" s="13" t="s">
        <v>12177</v>
      </c>
      <c r="E10074" s="8">
        <v>20141.73</v>
      </c>
      <c r="F10074" s="13" t="s">
        <v>70</v>
      </c>
      <c r="G10074" s="14">
        <v>44839</v>
      </c>
      <c r="H10074" s="13" t="s">
        <v>35</v>
      </c>
    </row>
    <row r="10075" spans="1:8" ht="14.4" x14ac:dyDescent="0.3">
      <c r="A10075" s="8">
        <v>2092528</v>
      </c>
      <c r="B10075" s="11">
        <v>44826</v>
      </c>
      <c r="C10075" s="13" t="s">
        <v>1524</v>
      </c>
      <c r="D10075" s="13" t="s">
        <v>12178</v>
      </c>
      <c r="E10075" s="8">
        <v>3975</v>
      </c>
      <c r="F10075" s="13" t="s">
        <v>70</v>
      </c>
      <c r="G10075" s="14">
        <v>44834</v>
      </c>
      <c r="H10075" s="13" t="s">
        <v>35</v>
      </c>
    </row>
    <row r="10076" spans="1:8" ht="14.4" x14ac:dyDescent="0.3">
      <c r="A10076" s="8">
        <v>2092529</v>
      </c>
      <c r="B10076" s="11">
        <v>44826</v>
      </c>
      <c r="C10076" s="13" t="s">
        <v>201</v>
      </c>
      <c r="D10076" s="13" t="s">
        <v>12179</v>
      </c>
      <c r="E10076" s="8">
        <v>32807.480000000003</v>
      </c>
      <c r="F10076" s="13" t="s">
        <v>70</v>
      </c>
      <c r="G10076" s="14">
        <v>44837</v>
      </c>
      <c r="H10076" s="13" t="s">
        <v>35</v>
      </c>
    </row>
    <row r="10077" spans="1:8" ht="14.4" x14ac:dyDescent="0.3">
      <c r="A10077" s="8">
        <v>2092530</v>
      </c>
      <c r="B10077" s="11">
        <v>44826</v>
      </c>
      <c r="C10077" s="13" t="s">
        <v>1941</v>
      </c>
      <c r="D10077" s="13" t="s">
        <v>12180</v>
      </c>
      <c r="E10077" s="8">
        <v>29058.93</v>
      </c>
      <c r="F10077" s="13" t="s">
        <v>70</v>
      </c>
      <c r="G10077" s="14">
        <v>44831</v>
      </c>
      <c r="H10077" s="13" t="s">
        <v>35</v>
      </c>
    </row>
    <row r="10078" spans="1:8" ht="14.4" x14ac:dyDescent="0.3">
      <c r="A10078" s="8">
        <v>2092531</v>
      </c>
      <c r="B10078" s="11">
        <v>44826</v>
      </c>
      <c r="C10078" s="13" t="s">
        <v>2711</v>
      </c>
      <c r="D10078" s="13" t="s">
        <v>12181</v>
      </c>
      <c r="E10078" s="8">
        <v>15474.11</v>
      </c>
      <c r="F10078" s="13" t="s">
        <v>70</v>
      </c>
      <c r="G10078" s="14">
        <v>44831</v>
      </c>
      <c r="H10078" s="13" t="s">
        <v>35</v>
      </c>
    </row>
    <row r="10079" spans="1:8" ht="14.4" x14ac:dyDescent="0.3">
      <c r="A10079" s="8">
        <v>2092532</v>
      </c>
      <c r="B10079" s="11">
        <v>44826</v>
      </c>
      <c r="C10079" s="13" t="s">
        <v>221</v>
      </c>
      <c r="D10079" s="13" t="s">
        <v>12182</v>
      </c>
      <c r="E10079" s="8">
        <v>8343.75</v>
      </c>
      <c r="F10079" s="13" t="s">
        <v>70</v>
      </c>
      <c r="G10079" s="14">
        <v>44832</v>
      </c>
      <c r="H10079" s="13" t="s">
        <v>35</v>
      </c>
    </row>
    <row r="10080" spans="1:8" ht="14.4" x14ac:dyDescent="0.3">
      <c r="A10080" s="8">
        <v>2092533</v>
      </c>
      <c r="B10080" s="11">
        <v>44826</v>
      </c>
      <c r="C10080" s="13" t="s">
        <v>3523</v>
      </c>
      <c r="D10080" s="13" t="s">
        <v>12183</v>
      </c>
      <c r="E10080" s="8">
        <v>2352</v>
      </c>
      <c r="F10080" s="13" t="s">
        <v>70</v>
      </c>
      <c r="G10080" s="14">
        <v>44838</v>
      </c>
      <c r="H10080" s="13" t="s">
        <v>35</v>
      </c>
    </row>
    <row r="10081" spans="1:8" ht="14.4" x14ac:dyDescent="0.3">
      <c r="A10081" s="8">
        <v>2092534</v>
      </c>
      <c r="B10081" s="11">
        <v>44826</v>
      </c>
      <c r="C10081" s="13" t="s">
        <v>1344</v>
      </c>
      <c r="D10081" s="13" t="s">
        <v>12184</v>
      </c>
      <c r="E10081" s="8">
        <v>53350</v>
      </c>
      <c r="F10081" s="13" t="s">
        <v>70</v>
      </c>
      <c r="G10081" s="14">
        <v>44831</v>
      </c>
      <c r="H10081" s="13" t="s">
        <v>35</v>
      </c>
    </row>
    <row r="10082" spans="1:8" ht="14.4" x14ac:dyDescent="0.3">
      <c r="A10082" s="8">
        <v>2092535</v>
      </c>
      <c r="B10082" s="11">
        <v>44826</v>
      </c>
      <c r="C10082" s="13" t="s">
        <v>2262</v>
      </c>
      <c r="D10082" s="13" t="s">
        <v>12185</v>
      </c>
      <c r="E10082" s="8">
        <v>20528.57</v>
      </c>
      <c r="F10082" s="13" t="s">
        <v>70</v>
      </c>
      <c r="G10082" s="14">
        <v>44832</v>
      </c>
      <c r="H10082" s="13" t="s">
        <v>35</v>
      </c>
    </row>
    <row r="10083" spans="1:8" ht="14.4" x14ac:dyDescent="0.3">
      <c r="A10083" s="8">
        <v>2092536</v>
      </c>
      <c r="B10083" s="11">
        <v>44826</v>
      </c>
      <c r="C10083" s="13" t="s">
        <v>1308</v>
      </c>
      <c r="D10083" s="13" t="s">
        <v>12186</v>
      </c>
      <c r="E10083" s="8">
        <v>18750</v>
      </c>
      <c r="F10083" s="13" t="s">
        <v>70</v>
      </c>
      <c r="G10083" s="14">
        <v>44832</v>
      </c>
      <c r="H10083" s="13" t="s">
        <v>35</v>
      </c>
    </row>
    <row r="10084" spans="1:8" ht="14.4" x14ac:dyDescent="0.3">
      <c r="A10084" s="8">
        <v>2092537</v>
      </c>
      <c r="B10084" s="11">
        <v>44826</v>
      </c>
      <c r="C10084" s="13" t="s">
        <v>601</v>
      </c>
      <c r="D10084" s="13" t="s">
        <v>12187</v>
      </c>
      <c r="E10084" s="8">
        <v>46875</v>
      </c>
      <c r="F10084" s="13" t="s">
        <v>70</v>
      </c>
      <c r="G10084" s="14">
        <v>44837</v>
      </c>
      <c r="H10084" s="13" t="s">
        <v>35</v>
      </c>
    </row>
    <row r="10085" spans="1:8" ht="14.4" x14ac:dyDescent="0.3">
      <c r="A10085" s="8">
        <v>2092538</v>
      </c>
      <c r="B10085" s="11">
        <v>44826</v>
      </c>
      <c r="C10085" s="13" t="s">
        <v>201</v>
      </c>
      <c r="D10085" s="13" t="s">
        <v>12151</v>
      </c>
      <c r="E10085" s="8">
        <v>44034.92</v>
      </c>
      <c r="F10085" s="13" t="s">
        <v>70</v>
      </c>
      <c r="G10085" s="14">
        <v>44831</v>
      </c>
      <c r="H10085" s="13" t="s">
        <v>35</v>
      </c>
    </row>
    <row r="10086" spans="1:8" ht="14.4" x14ac:dyDescent="0.3">
      <c r="A10086" s="8">
        <v>2092539</v>
      </c>
      <c r="B10086" s="11">
        <v>44826</v>
      </c>
      <c r="C10086" s="13" t="s">
        <v>673</v>
      </c>
      <c r="D10086" s="13" t="s">
        <v>12188</v>
      </c>
      <c r="E10086" s="8">
        <v>750</v>
      </c>
      <c r="F10086" s="13" t="s">
        <v>70</v>
      </c>
      <c r="G10086" s="14">
        <v>44831</v>
      </c>
      <c r="H10086" s="13" t="s">
        <v>35</v>
      </c>
    </row>
    <row r="10087" spans="1:8" ht="14.4" x14ac:dyDescent="0.3">
      <c r="A10087" s="8">
        <v>2092540</v>
      </c>
      <c r="B10087" s="11">
        <v>44826</v>
      </c>
      <c r="C10087" s="13" t="s">
        <v>209</v>
      </c>
      <c r="D10087" s="13" t="s">
        <v>12189</v>
      </c>
      <c r="E10087" s="8">
        <v>81000.06</v>
      </c>
      <c r="F10087" s="13" t="s">
        <v>70</v>
      </c>
      <c r="G10087" s="14">
        <v>44847</v>
      </c>
      <c r="H10087" s="13" t="s">
        <v>35</v>
      </c>
    </row>
    <row r="10088" spans="1:8" ht="14.4" x14ac:dyDescent="0.3">
      <c r="A10088" s="8">
        <v>2092541</v>
      </c>
      <c r="B10088" s="11">
        <v>44826</v>
      </c>
      <c r="C10088" s="13" t="s">
        <v>122</v>
      </c>
      <c r="D10088" s="13" t="s">
        <v>12190</v>
      </c>
      <c r="E10088" s="8">
        <v>114460</v>
      </c>
      <c r="F10088" s="13" t="s">
        <v>70</v>
      </c>
      <c r="G10088" s="14">
        <v>44833</v>
      </c>
      <c r="H10088" s="13" t="s">
        <v>35</v>
      </c>
    </row>
    <row r="10089" spans="1:8" ht="14.4" x14ac:dyDescent="0.3">
      <c r="A10089" s="8">
        <v>2092542</v>
      </c>
      <c r="B10089" s="11">
        <v>44826</v>
      </c>
      <c r="C10089" s="13" t="s">
        <v>122</v>
      </c>
      <c r="D10089" s="13" t="s">
        <v>12191</v>
      </c>
      <c r="E10089" s="8">
        <v>151320</v>
      </c>
      <c r="F10089" s="13" t="s">
        <v>70</v>
      </c>
      <c r="G10089" s="14">
        <v>44833</v>
      </c>
      <c r="H10089" s="13" t="s">
        <v>35</v>
      </c>
    </row>
    <row r="10090" spans="1:8" ht="14.4" x14ac:dyDescent="0.3">
      <c r="A10090" s="8">
        <v>2092543</v>
      </c>
      <c r="B10090" s="11">
        <v>44826</v>
      </c>
      <c r="C10090" s="13" t="s">
        <v>122</v>
      </c>
      <c r="D10090" s="13" t="s">
        <v>12192</v>
      </c>
      <c r="E10090" s="8">
        <v>176540</v>
      </c>
      <c r="F10090" s="13" t="s">
        <v>70</v>
      </c>
      <c r="G10090" s="14">
        <v>44833</v>
      </c>
      <c r="H10090" s="13" t="s">
        <v>35</v>
      </c>
    </row>
    <row r="10091" spans="1:8" ht="14.4" x14ac:dyDescent="0.3">
      <c r="A10091" s="8">
        <v>2092544</v>
      </c>
      <c r="B10091" s="11">
        <v>44826</v>
      </c>
      <c r="C10091" s="13" t="s">
        <v>122</v>
      </c>
      <c r="D10091" s="13" t="s">
        <v>12193</v>
      </c>
      <c r="E10091" s="8">
        <v>77600</v>
      </c>
      <c r="F10091" s="13" t="s">
        <v>70</v>
      </c>
      <c r="G10091" s="14">
        <v>44834</v>
      </c>
      <c r="H10091" s="13" t="s">
        <v>35</v>
      </c>
    </row>
    <row r="10092" spans="1:8" ht="14.4" x14ac:dyDescent="0.3">
      <c r="A10092" s="8">
        <v>2092545</v>
      </c>
      <c r="B10092" s="11">
        <v>44826</v>
      </c>
      <c r="C10092" s="13" t="s">
        <v>12194</v>
      </c>
      <c r="D10092" s="13" t="s">
        <v>12195</v>
      </c>
      <c r="E10092" s="8">
        <v>5000</v>
      </c>
      <c r="F10092" s="13" t="s">
        <v>70</v>
      </c>
      <c r="G10092" s="14">
        <v>44839</v>
      </c>
      <c r="H10092" s="13" t="s">
        <v>35</v>
      </c>
    </row>
    <row r="10093" spans="1:8" ht="14.4" x14ac:dyDescent="0.3">
      <c r="A10093" s="8">
        <v>2092546</v>
      </c>
      <c r="B10093" s="11">
        <v>44826</v>
      </c>
      <c r="C10093" s="13" t="s">
        <v>12196</v>
      </c>
      <c r="D10093" s="13" t="s">
        <v>12197</v>
      </c>
      <c r="E10093" s="8">
        <v>5000</v>
      </c>
      <c r="F10093" s="13" t="s">
        <v>70</v>
      </c>
      <c r="G10093" s="14">
        <v>44827</v>
      </c>
      <c r="H10093" s="13" t="s">
        <v>35</v>
      </c>
    </row>
    <row r="10094" spans="1:8" ht="14.4" x14ac:dyDescent="0.3">
      <c r="A10094" s="8">
        <v>2092547</v>
      </c>
      <c r="B10094" s="11">
        <v>44826</v>
      </c>
      <c r="C10094" s="13" t="s">
        <v>74</v>
      </c>
      <c r="D10094" s="13" t="s">
        <v>12161</v>
      </c>
      <c r="E10094" s="8">
        <v>72000</v>
      </c>
      <c r="F10094" s="13" t="s">
        <v>70</v>
      </c>
      <c r="G10094" s="14">
        <v>44839</v>
      </c>
      <c r="H10094" s="13" t="s">
        <v>35</v>
      </c>
    </row>
    <row r="10095" spans="1:8" ht="14.4" x14ac:dyDescent="0.3">
      <c r="A10095" s="8">
        <v>2092548</v>
      </c>
      <c r="B10095" s="11">
        <v>44826</v>
      </c>
      <c r="C10095" s="13" t="s">
        <v>2204</v>
      </c>
      <c r="D10095" s="13" t="s">
        <v>12198</v>
      </c>
      <c r="E10095" s="8">
        <v>6000</v>
      </c>
      <c r="F10095" s="13" t="s">
        <v>70</v>
      </c>
      <c r="G10095" s="14">
        <v>44831</v>
      </c>
      <c r="H10095" s="13" t="s">
        <v>35</v>
      </c>
    </row>
    <row r="10096" spans="1:8" ht="14.4" x14ac:dyDescent="0.3">
      <c r="A10096" s="8">
        <v>2092549</v>
      </c>
      <c r="B10096" s="11">
        <v>44826</v>
      </c>
      <c r="C10096" s="13" t="s">
        <v>12199</v>
      </c>
      <c r="D10096" s="13" t="s">
        <v>12200</v>
      </c>
      <c r="E10096" s="8">
        <v>1408368.85</v>
      </c>
      <c r="F10096" s="13" t="s">
        <v>70</v>
      </c>
      <c r="G10096" s="14">
        <v>44831</v>
      </c>
      <c r="H10096" s="13" t="s">
        <v>35</v>
      </c>
    </row>
    <row r="10097" spans="1:8" ht="14.4" x14ac:dyDescent="0.3">
      <c r="A10097" s="8">
        <v>2092550</v>
      </c>
      <c r="B10097" s="11">
        <v>44826</v>
      </c>
      <c r="C10097" s="13" t="s">
        <v>122</v>
      </c>
      <c r="D10097" s="13" t="s">
        <v>12201</v>
      </c>
      <c r="E10097" s="8">
        <v>145500</v>
      </c>
      <c r="F10097" s="13" t="s">
        <v>70</v>
      </c>
      <c r="G10097" s="14">
        <v>44833</v>
      </c>
      <c r="H10097" s="13" t="s">
        <v>35</v>
      </c>
    </row>
    <row r="10098" spans="1:8" ht="14.4" x14ac:dyDescent="0.3">
      <c r="A10098" s="8">
        <v>2092551</v>
      </c>
      <c r="B10098" s="11">
        <v>44826</v>
      </c>
      <c r="C10098" s="13" t="s">
        <v>12202</v>
      </c>
      <c r="D10098" s="13" t="s">
        <v>12203</v>
      </c>
      <c r="E10098" s="8">
        <v>20000</v>
      </c>
      <c r="F10098" s="13" t="s">
        <v>70</v>
      </c>
      <c r="G10098" s="14">
        <v>44831</v>
      </c>
      <c r="H10098" s="13" t="s">
        <v>35</v>
      </c>
    </row>
    <row r="10099" spans="1:8" ht="14.4" x14ac:dyDescent="0.3">
      <c r="A10099" s="8">
        <v>2092552</v>
      </c>
      <c r="B10099" s="11">
        <v>44826</v>
      </c>
      <c r="C10099" s="13" t="s">
        <v>10366</v>
      </c>
      <c r="D10099" s="13" t="s">
        <v>12204</v>
      </c>
      <c r="E10099" s="8">
        <v>3000</v>
      </c>
      <c r="F10099" s="13" t="s">
        <v>70</v>
      </c>
      <c r="G10099" s="14">
        <v>44846</v>
      </c>
      <c r="H10099" s="13" t="s">
        <v>35</v>
      </c>
    </row>
    <row r="10100" spans="1:8" ht="14.4" x14ac:dyDescent="0.3">
      <c r="A10100" s="8">
        <v>2092553</v>
      </c>
      <c r="B10100" s="11">
        <v>44827</v>
      </c>
      <c r="C10100" s="13" t="s">
        <v>1322</v>
      </c>
      <c r="D10100" s="13" t="s">
        <v>12205</v>
      </c>
      <c r="E10100" s="8">
        <v>333.68</v>
      </c>
      <c r="F10100" s="13" t="s">
        <v>70</v>
      </c>
      <c r="G10100" s="14">
        <v>44852</v>
      </c>
      <c r="H10100" s="13" t="s">
        <v>35</v>
      </c>
    </row>
    <row r="10101" spans="1:8" ht="14.4" x14ac:dyDescent="0.3">
      <c r="A10101" s="8">
        <v>2092554</v>
      </c>
      <c r="B10101" s="11">
        <v>44827</v>
      </c>
      <c r="C10101" s="13" t="s">
        <v>748</v>
      </c>
      <c r="D10101" s="13" t="s">
        <v>12206</v>
      </c>
      <c r="E10101" s="8">
        <v>26549.82</v>
      </c>
      <c r="F10101" s="13" t="s">
        <v>70</v>
      </c>
      <c r="G10101" s="14">
        <v>44832</v>
      </c>
      <c r="H10101" s="13" t="s">
        <v>35</v>
      </c>
    </row>
    <row r="10102" spans="1:8" ht="14.4" x14ac:dyDescent="0.3">
      <c r="A10102" s="8">
        <v>2092556</v>
      </c>
      <c r="B10102" s="11">
        <v>44827</v>
      </c>
      <c r="C10102" s="13" t="s">
        <v>4765</v>
      </c>
      <c r="D10102" s="13" t="s">
        <v>4766</v>
      </c>
      <c r="E10102" s="8">
        <v>7248</v>
      </c>
      <c r="F10102" s="13" t="s">
        <v>70</v>
      </c>
      <c r="G10102" s="14">
        <v>44833</v>
      </c>
      <c r="H10102" s="13" t="s">
        <v>35</v>
      </c>
    </row>
    <row r="10103" spans="1:8" ht="14.4" x14ac:dyDescent="0.3">
      <c r="A10103" s="8">
        <v>2092558</v>
      </c>
      <c r="B10103" s="11">
        <v>44827</v>
      </c>
      <c r="C10103" s="13" t="s">
        <v>42</v>
      </c>
      <c r="D10103" s="13" t="s">
        <v>12207</v>
      </c>
      <c r="E10103" s="8">
        <v>6673.22</v>
      </c>
      <c r="F10103" s="13" t="s">
        <v>70</v>
      </c>
      <c r="G10103" s="14">
        <v>44837</v>
      </c>
      <c r="H10103" s="13" t="s">
        <v>35</v>
      </c>
    </row>
    <row r="10104" spans="1:8" ht="14.4" x14ac:dyDescent="0.3">
      <c r="A10104" s="8">
        <v>2092559</v>
      </c>
      <c r="B10104" s="11">
        <v>44827</v>
      </c>
      <c r="C10104" s="13" t="s">
        <v>42</v>
      </c>
      <c r="D10104" s="13" t="s">
        <v>12208</v>
      </c>
      <c r="E10104" s="8">
        <v>8251.7199999999993</v>
      </c>
      <c r="F10104" s="13" t="s">
        <v>70</v>
      </c>
      <c r="G10104" s="14">
        <v>44837</v>
      </c>
      <c r="H10104" s="13" t="s">
        <v>35</v>
      </c>
    </row>
    <row r="10105" spans="1:8" ht="14.4" x14ac:dyDescent="0.3">
      <c r="A10105" s="8">
        <v>2092560</v>
      </c>
      <c r="B10105" s="11">
        <v>44827</v>
      </c>
      <c r="C10105" s="13" t="s">
        <v>122</v>
      </c>
      <c r="D10105" s="13" t="s">
        <v>12209</v>
      </c>
      <c r="E10105" s="8">
        <v>131920</v>
      </c>
      <c r="F10105" s="13" t="s">
        <v>70</v>
      </c>
      <c r="G10105" s="14">
        <v>44834</v>
      </c>
      <c r="H10105" s="13" t="s">
        <v>35</v>
      </c>
    </row>
    <row r="10106" spans="1:8" ht="14.4" x14ac:dyDescent="0.3">
      <c r="A10106" s="8">
        <v>2092561</v>
      </c>
      <c r="B10106" s="11">
        <v>44827</v>
      </c>
      <c r="C10106" s="13" t="s">
        <v>42</v>
      </c>
      <c r="D10106" s="13" t="s">
        <v>12210</v>
      </c>
      <c r="E10106" s="8">
        <v>103981.96</v>
      </c>
      <c r="F10106" s="13" t="s">
        <v>70</v>
      </c>
      <c r="G10106" s="14">
        <v>44837</v>
      </c>
      <c r="H10106" s="13" t="s">
        <v>35</v>
      </c>
    </row>
    <row r="10107" spans="1:8" ht="14.4" x14ac:dyDescent="0.3">
      <c r="A10107" s="8">
        <v>2092562</v>
      </c>
      <c r="B10107" s="11">
        <v>44827</v>
      </c>
      <c r="C10107" s="13" t="s">
        <v>159</v>
      </c>
      <c r="D10107" s="13" t="s">
        <v>12211</v>
      </c>
      <c r="E10107" s="8">
        <v>453200</v>
      </c>
      <c r="F10107" s="13" t="s">
        <v>70</v>
      </c>
      <c r="G10107" s="14">
        <v>44827</v>
      </c>
      <c r="H10107" s="13" t="s">
        <v>35</v>
      </c>
    </row>
    <row r="10108" spans="1:8" ht="14.4" x14ac:dyDescent="0.3">
      <c r="A10108" s="8">
        <v>2092563</v>
      </c>
      <c r="B10108" s="11">
        <v>44827</v>
      </c>
      <c r="C10108" s="13" t="s">
        <v>12212</v>
      </c>
      <c r="D10108" s="13" t="s">
        <v>12213</v>
      </c>
      <c r="E10108" s="8">
        <v>50000</v>
      </c>
      <c r="F10108" s="13" t="s">
        <v>70</v>
      </c>
      <c r="G10108" s="14">
        <v>44832</v>
      </c>
      <c r="H10108" s="13" t="s">
        <v>35</v>
      </c>
    </row>
    <row r="10109" spans="1:8" ht="14.4" x14ac:dyDescent="0.3">
      <c r="A10109" s="8">
        <v>2092564</v>
      </c>
      <c r="B10109" s="11">
        <v>44827</v>
      </c>
      <c r="C10109" s="13" t="s">
        <v>1932</v>
      </c>
      <c r="D10109" s="13" t="s">
        <v>901</v>
      </c>
      <c r="E10109" s="8">
        <v>136747.68</v>
      </c>
      <c r="F10109" s="13" t="s">
        <v>70</v>
      </c>
      <c r="G10109" s="14">
        <v>44827</v>
      </c>
      <c r="H10109" s="13" t="s">
        <v>35</v>
      </c>
    </row>
    <row r="10110" spans="1:8" ht="14.4" x14ac:dyDescent="0.3">
      <c r="A10110" s="8">
        <v>2092565</v>
      </c>
      <c r="B10110" s="11">
        <v>44827</v>
      </c>
      <c r="C10110" s="13" t="s">
        <v>12214</v>
      </c>
      <c r="D10110" s="13" t="s">
        <v>12215</v>
      </c>
      <c r="E10110" s="8">
        <v>21784.55</v>
      </c>
      <c r="F10110" s="13" t="s">
        <v>70</v>
      </c>
      <c r="G10110" s="14">
        <v>44827</v>
      </c>
      <c r="H10110" s="13" t="s">
        <v>35</v>
      </c>
    </row>
    <row r="10111" spans="1:8" ht="14.4" x14ac:dyDescent="0.3">
      <c r="A10111" s="8">
        <v>2092566</v>
      </c>
      <c r="B10111" s="11">
        <v>44827</v>
      </c>
      <c r="C10111" s="13" t="s">
        <v>884</v>
      </c>
      <c r="D10111" s="13" t="s">
        <v>12216</v>
      </c>
      <c r="E10111" s="8">
        <v>37427</v>
      </c>
      <c r="F10111" s="13" t="s">
        <v>70</v>
      </c>
      <c r="G10111" s="14">
        <v>44827</v>
      </c>
      <c r="H10111" s="13" t="s">
        <v>35</v>
      </c>
    </row>
    <row r="10112" spans="1:8" ht="14.4" x14ac:dyDescent="0.3">
      <c r="A10112" s="8">
        <v>2092567</v>
      </c>
      <c r="B10112" s="11">
        <v>44827</v>
      </c>
      <c r="C10112" s="13" t="s">
        <v>277</v>
      </c>
      <c r="D10112" s="13" t="s">
        <v>47</v>
      </c>
      <c r="E10112" s="8">
        <v>30000</v>
      </c>
      <c r="F10112" s="13" t="s">
        <v>70</v>
      </c>
      <c r="G10112" s="14">
        <v>44827</v>
      </c>
      <c r="H10112" s="13" t="s">
        <v>35</v>
      </c>
    </row>
    <row r="10113" spans="1:8" ht="14.4" x14ac:dyDescent="0.3">
      <c r="A10113" s="8">
        <v>2092032</v>
      </c>
      <c r="B10113" s="11">
        <v>44831</v>
      </c>
      <c r="C10113" s="13" t="s">
        <v>25</v>
      </c>
      <c r="D10113" s="13" t="s">
        <v>12217</v>
      </c>
      <c r="E10113" s="8">
        <v>173894.78</v>
      </c>
      <c r="F10113" s="13" t="s">
        <v>70</v>
      </c>
      <c r="G10113" s="14">
        <v>44838</v>
      </c>
      <c r="H10113" s="13" t="s">
        <v>35</v>
      </c>
    </row>
    <row r="10114" spans="1:8" ht="14.4" x14ac:dyDescent="0.3">
      <c r="A10114" s="8">
        <v>2092568</v>
      </c>
      <c r="B10114" s="11">
        <v>44831</v>
      </c>
      <c r="C10114" s="13" t="s">
        <v>12218</v>
      </c>
      <c r="D10114" s="13" t="s">
        <v>47</v>
      </c>
      <c r="E10114" s="8">
        <v>14400</v>
      </c>
      <c r="F10114" s="13" t="s">
        <v>70</v>
      </c>
      <c r="G10114" s="14">
        <v>44832</v>
      </c>
      <c r="H10114" s="13" t="s">
        <v>35</v>
      </c>
    </row>
    <row r="10115" spans="1:8" ht="14.4" x14ac:dyDescent="0.3">
      <c r="A10115" s="8">
        <v>2092569</v>
      </c>
      <c r="B10115" s="11">
        <v>44831</v>
      </c>
      <c r="C10115" s="13" t="s">
        <v>12219</v>
      </c>
      <c r="D10115" s="13" t="s">
        <v>12220</v>
      </c>
      <c r="E10115" s="8">
        <v>10000</v>
      </c>
      <c r="F10115" s="13" t="s">
        <v>70</v>
      </c>
      <c r="G10115" s="14">
        <v>44837</v>
      </c>
      <c r="H10115" s="13" t="s">
        <v>35</v>
      </c>
    </row>
    <row r="10116" spans="1:8" ht="14.4" x14ac:dyDescent="0.3">
      <c r="A10116" s="8">
        <v>2092570</v>
      </c>
      <c r="B10116" s="11">
        <v>44831</v>
      </c>
      <c r="C10116" s="13" t="s">
        <v>12221</v>
      </c>
      <c r="D10116" s="13" t="s">
        <v>12222</v>
      </c>
      <c r="E10116" s="8">
        <v>16000</v>
      </c>
      <c r="F10116" s="13" t="s">
        <v>70</v>
      </c>
      <c r="G10116" s="14">
        <v>44832</v>
      </c>
      <c r="H10116" s="13" t="s">
        <v>35</v>
      </c>
    </row>
    <row r="10117" spans="1:8" ht="14.4" x14ac:dyDescent="0.3">
      <c r="A10117" s="8">
        <v>2092571</v>
      </c>
      <c r="B10117" s="11">
        <v>44831</v>
      </c>
      <c r="C10117" s="13" t="s">
        <v>12223</v>
      </c>
      <c r="D10117" s="13" t="s">
        <v>12224</v>
      </c>
      <c r="E10117" s="8">
        <v>15000</v>
      </c>
      <c r="F10117" s="13" t="s">
        <v>70</v>
      </c>
      <c r="G10117" s="14">
        <v>44832</v>
      </c>
      <c r="H10117" s="13" t="s">
        <v>35</v>
      </c>
    </row>
    <row r="10118" spans="1:8" ht="14.4" x14ac:dyDescent="0.3">
      <c r="A10118" s="8">
        <v>2092572</v>
      </c>
      <c r="B10118" s="11">
        <v>44831</v>
      </c>
      <c r="C10118" s="13" t="s">
        <v>893</v>
      </c>
      <c r="D10118" s="13" t="s">
        <v>12225</v>
      </c>
      <c r="E10118" s="8">
        <v>50000</v>
      </c>
      <c r="F10118" s="13" t="s">
        <v>70</v>
      </c>
      <c r="G10118" s="14">
        <v>44854</v>
      </c>
      <c r="H10118" s="13" t="s">
        <v>35</v>
      </c>
    </row>
    <row r="10119" spans="1:8" ht="14.4" x14ac:dyDescent="0.3">
      <c r="A10119" s="8">
        <v>2092573</v>
      </c>
      <c r="B10119" s="11">
        <v>44831</v>
      </c>
      <c r="C10119" s="13" t="s">
        <v>12226</v>
      </c>
      <c r="D10119" s="13" t="s">
        <v>12227</v>
      </c>
      <c r="E10119" s="8">
        <v>40000</v>
      </c>
      <c r="F10119" s="13" t="s">
        <v>70</v>
      </c>
      <c r="G10119" s="14">
        <v>44832</v>
      </c>
      <c r="H10119" s="13" t="s">
        <v>35</v>
      </c>
    </row>
    <row r="10120" spans="1:8" ht="14.4" x14ac:dyDescent="0.3">
      <c r="A10120" s="8">
        <v>2092574</v>
      </c>
      <c r="B10120" s="11">
        <v>44831</v>
      </c>
      <c r="C10120" s="13" t="s">
        <v>12228</v>
      </c>
      <c r="D10120" s="13" t="s">
        <v>12229</v>
      </c>
      <c r="E10120" s="8">
        <v>8359</v>
      </c>
      <c r="F10120" s="13" t="s">
        <v>70</v>
      </c>
      <c r="G10120" s="14">
        <v>44841</v>
      </c>
      <c r="H10120" s="13" t="s">
        <v>35</v>
      </c>
    </row>
    <row r="10121" spans="1:8" ht="14.4" x14ac:dyDescent="0.3">
      <c r="A10121" s="8">
        <v>2092575</v>
      </c>
      <c r="B10121" s="11">
        <v>44831</v>
      </c>
      <c r="C10121" s="13" t="s">
        <v>162</v>
      </c>
      <c r="D10121" s="13" t="s">
        <v>12230</v>
      </c>
      <c r="E10121" s="8">
        <v>669917.61</v>
      </c>
      <c r="F10121" s="13" t="s">
        <v>70</v>
      </c>
      <c r="G10121" s="14">
        <v>44834</v>
      </c>
      <c r="H10121" s="13" t="s">
        <v>35</v>
      </c>
    </row>
    <row r="10122" spans="1:8" ht="14.4" x14ac:dyDescent="0.3">
      <c r="A10122" s="8">
        <v>2092576</v>
      </c>
      <c r="B10122" s="11">
        <v>44831</v>
      </c>
      <c r="C10122" s="13" t="s">
        <v>4525</v>
      </c>
      <c r="D10122" s="13" t="s">
        <v>34</v>
      </c>
      <c r="E10122" s="8">
        <v>102307.01</v>
      </c>
      <c r="F10122" s="13" t="s">
        <v>70</v>
      </c>
      <c r="G10122" s="14">
        <v>44868</v>
      </c>
      <c r="H10122" s="13" t="s">
        <v>35</v>
      </c>
    </row>
    <row r="10123" spans="1:8" ht="14.4" x14ac:dyDescent="0.3">
      <c r="A10123" s="8">
        <v>2092577</v>
      </c>
      <c r="B10123" s="11">
        <v>44831</v>
      </c>
      <c r="C10123" s="13" t="s">
        <v>42</v>
      </c>
      <c r="D10123" s="13" t="s">
        <v>12231</v>
      </c>
      <c r="E10123" s="8">
        <v>25199.040000000001</v>
      </c>
      <c r="F10123" s="13" t="s">
        <v>70</v>
      </c>
      <c r="G10123" s="14">
        <v>44837</v>
      </c>
      <c r="H10123" s="13" t="s">
        <v>35</v>
      </c>
    </row>
    <row r="10124" spans="1:8" ht="14.4" x14ac:dyDescent="0.3">
      <c r="A10124" s="8">
        <v>2092578</v>
      </c>
      <c r="B10124" s="11">
        <v>44831</v>
      </c>
      <c r="C10124" s="13" t="s">
        <v>1414</v>
      </c>
      <c r="D10124" s="13" t="s">
        <v>12232</v>
      </c>
      <c r="E10124" s="8">
        <v>259200</v>
      </c>
      <c r="F10124" s="13" t="s">
        <v>70</v>
      </c>
      <c r="G10124" s="14">
        <v>44840</v>
      </c>
      <c r="H10124" s="13" t="s">
        <v>35</v>
      </c>
    </row>
    <row r="10125" spans="1:8" ht="14.4" x14ac:dyDescent="0.3">
      <c r="A10125" s="8">
        <v>2092579</v>
      </c>
      <c r="B10125" s="11">
        <v>44831</v>
      </c>
      <c r="C10125" s="13" t="s">
        <v>1596</v>
      </c>
      <c r="D10125" s="13" t="s">
        <v>12233</v>
      </c>
      <c r="E10125" s="8">
        <v>352.8</v>
      </c>
      <c r="F10125" s="13" t="s">
        <v>70</v>
      </c>
      <c r="G10125" s="14">
        <v>44834</v>
      </c>
      <c r="H10125" s="13" t="s">
        <v>35</v>
      </c>
    </row>
    <row r="10126" spans="1:8" ht="14.4" x14ac:dyDescent="0.3">
      <c r="A10126" s="8">
        <v>2092580</v>
      </c>
      <c r="B10126" s="11">
        <v>44831</v>
      </c>
      <c r="C10126" s="13" t="s">
        <v>1596</v>
      </c>
      <c r="D10126" s="13" t="s">
        <v>12234</v>
      </c>
      <c r="E10126" s="8">
        <v>2337.3000000000002</v>
      </c>
      <c r="F10126" s="13" t="s">
        <v>70</v>
      </c>
      <c r="G10126" s="14">
        <v>44834</v>
      </c>
      <c r="H10126" s="13" t="s">
        <v>35</v>
      </c>
    </row>
    <row r="10127" spans="1:8" ht="14.4" x14ac:dyDescent="0.3">
      <c r="A10127" s="8">
        <v>2092581</v>
      </c>
      <c r="B10127" s="11">
        <v>44831</v>
      </c>
      <c r="C10127" s="13" t="s">
        <v>1596</v>
      </c>
      <c r="D10127" s="13" t="s">
        <v>12235</v>
      </c>
      <c r="E10127" s="8">
        <v>1764</v>
      </c>
      <c r="F10127" s="13" t="s">
        <v>70</v>
      </c>
      <c r="G10127" s="14">
        <v>44834</v>
      </c>
      <c r="H10127" s="13" t="s">
        <v>35</v>
      </c>
    </row>
    <row r="10128" spans="1:8" ht="14.4" x14ac:dyDescent="0.3">
      <c r="A10128" s="8">
        <v>2092582</v>
      </c>
      <c r="B10128" s="11">
        <v>44831</v>
      </c>
      <c r="C10128" s="13" t="s">
        <v>1941</v>
      </c>
      <c r="D10128" s="13" t="s">
        <v>12236</v>
      </c>
      <c r="E10128" s="8">
        <v>11989.29</v>
      </c>
      <c r="F10128" s="13" t="s">
        <v>70</v>
      </c>
      <c r="G10128" s="14">
        <v>44833</v>
      </c>
      <c r="H10128" s="13" t="s">
        <v>35</v>
      </c>
    </row>
    <row r="10129" spans="1:8" ht="14.4" x14ac:dyDescent="0.3">
      <c r="A10129" s="8">
        <v>2092583</v>
      </c>
      <c r="B10129" s="11">
        <v>44831</v>
      </c>
      <c r="C10129" s="13" t="s">
        <v>2711</v>
      </c>
      <c r="D10129" s="13" t="s">
        <v>12237</v>
      </c>
      <c r="E10129" s="8">
        <v>40223.22</v>
      </c>
      <c r="F10129" s="13" t="s">
        <v>70</v>
      </c>
      <c r="G10129" s="14">
        <v>44833</v>
      </c>
      <c r="H10129" s="13" t="s">
        <v>35</v>
      </c>
    </row>
    <row r="10130" spans="1:8" ht="14.4" x14ac:dyDescent="0.3">
      <c r="A10130" s="8">
        <v>2092584</v>
      </c>
      <c r="B10130" s="11">
        <v>44831</v>
      </c>
      <c r="C10130" s="13" t="s">
        <v>4517</v>
      </c>
      <c r="D10130" s="13" t="s">
        <v>12238</v>
      </c>
      <c r="E10130" s="8">
        <v>7382.15</v>
      </c>
      <c r="F10130" s="13" t="s">
        <v>70</v>
      </c>
      <c r="G10130" s="14">
        <v>44833</v>
      </c>
      <c r="H10130" s="13" t="s">
        <v>35</v>
      </c>
    </row>
    <row r="10131" spans="1:8" ht="14.4" x14ac:dyDescent="0.3">
      <c r="A10131" s="8">
        <v>2092585</v>
      </c>
      <c r="B10131" s="11">
        <v>44831</v>
      </c>
      <c r="C10131" s="13" t="s">
        <v>1581</v>
      </c>
      <c r="D10131" s="13" t="s">
        <v>12239</v>
      </c>
      <c r="E10131" s="8">
        <v>5323.66</v>
      </c>
      <c r="F10131" s="13" t="s">
        <v>70</v>
      </c>
      <c r="G10131" s="14">
        <v>44833</v>
      </c>
      <c r="H10131" s="13" t="s">
        <v>35</v>
      </c>
    </row>
    <row r="10132" spans="1:8" ht="14.4" x14ac:dyDescent="0.3">
      <c r="A10132" s="8">
        <v>2092586</v>
      </c>
      <c r="B10132" s="11">
        <v>44831</v>
      </c>
      <c r="C10132" s="13" t="s">
        <v>202</v>
      </c>
      <c r="D10132" s="13" t="s">
        <v>12240</v>
      </c>
      <c r="E10132" s="8">
        <v>662571.51</v>
      </c>
      <c r="F10132" s="13" t="s">
        <v>70</v>
      </c>
      <c r="G10132" s="14">
        <v>44832</v>
      </c>
      <c r="H10132" s="13" t="s">
        <v>35</v>
      </c>
    </row>
    <row r="10133" spans="1:8" ht="14.4" x14ac:dyDescent="0.3">
      <c r="A10133" s="8">
        <v>2092587</v>
      </c>
      <c r="B10133" s="11">
        <v>44831</v>
      </c>
      <c r="C10133" s="13" t="s">
        <v>1581</v>
      </c>
      <c r="D10133" s="13" t="s">
        <v>12241</v>
      </c>
      <c r="E10133" s="8">
        <v>6388.39</v>
      </c>
      <c r="F10133" s="13" t="s">
        <v>70</v>
      </c>
      <c r="G10133" s="14">
        <v>44833</v>
      </c>
      <c r="H10133" s="13" t="s">
        <v>35</v>
      </c>
    </row>
    <row r="10134" spans="1:8" ht="14.4" x14ac:dyDescent="0.3">
      <c r="A10134" s="8">
        <v>2092588</v>
      </c>
      <c r="B10134" s="11">
        <v>44831</v>
      </c>
      <c r="C10134" s="13" t="s">
        <v>71</v>
      </c>
      <c r="D10134" s="13" t="s">
        <v>12242</v>
      </c>
      <c r="E10134" s="8">
        <v>9220.4</v>
      </c>
      <c r="F10134" s="13" t="s">
        <v>70</v>
      </c>
      <c r="G10134" s="14">
        <v>44834</v>
      </c>
      <c r="H10134" s="13" t="s">
        <v>35</v>
      </c>
    </row>
    <row r="10135" spans="1:8" ht="14.4" x14ac:dyDescent="0.3">
      <c r="A10135" s="8">
        <v>2092589</v>
      </c>
      <c r="B10135" s="11">
        <v>44831</v>
      </c>
      <c r="C10135" s="13" t="s">
        <v>1522</v>
      </c>
      <c r="D10135" s="13" t="s">
        <v>12243</v>
      </c>
      <c r="E10135" s="8">
        <v>26950</v>
      </c>
      <c r="F10135" s="13" t="s">
        <v>70</v>
      </c>
      <c r="G10135" s="14">
        <v>44834</v>
      </c>
      <c r="H10135" s="13" t="s">
        <v>35</v>
      </c>
    </row>
    <row r="10136" spans="1:8" ht="14.4" x14ac:dyDescent="0.3">
      <c r="A10136" s="8">
        <v>2092590</v>
      </c>
      <c r="B10136" s="11">
        <v>44831</v>
      </c>
      <c r="C10136" s="13" t="s">
        <v>2711</v>
      </c>
      <c r="D10136" s="13" t="s">
        <v>12244</v>
      </c>
      <c r="E10136" s="8">
        <v>4258.93</v>
      </c>
      <c r="F10136" s="13" t="s">
        <v>70</v>
      </c>
      <c r="G10136" s="14">
        <v>44833</v>
      </c>
      <c r="H10136" s="13" t="s">
        <v>35</v>
      </c>
    </row>
    <row r="10137" spans="1:8" ht="14.4" x14ac:dyDescent="0.3">
      <c r="A10137" s="8">
        <v>2092591</v>
      </c>
      <c r="B10137" s="11">
        <v>44831</v>
      </c>
      <c r="C10137" s="13" t="s">
        <v>2711</v>
      </c>
      <c r="D10137" s="13" t="s">
        <v>12245</v>
      </c>
      <c r="E10137" s="8">
        <v>7192.85</v>
      </c>
      <c r="F10137" s="13" t="s">
        <v>70</v>
      </c>
      <c r="G10137" s="14">
        <v>44833</v>
      </c>
      <c r="H10137" s="13" t="s">
        <v>35</v>
      </c>
    </row>
    <row r="10138" spans="1:8" ht="14.4" x14ac:dyDescent="0.3">
      <c r="A10138" s="8">
        <v>2092592</v>
      </c>
      <c r="B10138" s="11">
        <v>44831</v>
      </c>
      <c r="C10138" s="13" t="s">
        <v>361</v>
      </c>
      <c r="D10138" s="13" t="s">
        <v>12246</v>
      </c>
      <c r="E10138" s="8">
        <v>13920.74</v>
      </c>
      <c r="F10138" s="13" t="s">
        <v>70</v>
      </c>
      <c r="G10138" s="14">
        <v>44832</v>
      </c>
      <c r="H10138" s="13" t="s">
        <v>35</v>
      </c>
    </row>
    <row r="10139" spans="1:8" ht="14.4" x14ac:dyDescent="0.3">
      <c r="A10139" s="8">
        <v>2092593</v>
      </c>
      <c r="B10139" s="11">
        <v>44831</v>
      </c>
      <c r="C10139" s="13" t="s">
        <v>2711</v>
      </c>
      <c r="D10139" s="13" t="s">
        <v>12247</v>
      </c>
      <c r="E10139" s="8">
        <v>33787.5</v>
      </c>
      <c r="F10139" s="13" t="s">
        <v>70</v>
      </c>
      <c r="G10139" s="14">
        <v>44833</v>
      </c>
      <c r="H10139" s="13" t="s">
        <v>35</v>
      </c>
    </row>
    <row r="10140" spans="1:8" ht="14.4" x14ac:dyDescent="0.3">
      <c r="A10140" s="8">
        <v>2092594</v>
      </c>
      <c r="B10140" s="11">
        <v>44831</v>
      </c>
      <c r="C10140" s="13" t="s">
        <v>2262</v>
      </c>
      <c r="D10140" s="13" t="s">
        <v>12248</v>
      </c>
      <c r="E10140" s="8">
        <v>55308.93</v>
      </c>
      <c r="F10140" s="13" t="s">
        <v>70</v>
      </c>
      <c r="G10140" s="14">
        <v>44833</v>
      </c>
      <c r="H10140" s="13" t="s">
        <v>35</v>
      </c>
    </row>
    <row r="10141" spans="1:8" ht="14.4" x14ac:dyDescent="0.3">
      <c r="A10141" s="8">
        <v>2092595</v>
      </c>
      <c r="B10141" s="11">
        <v>44831</v>
      </c>
      <c r="C10141" s="13" t="s">
        <v>2262</v>
      </c>
      <c r="D10141" s="13" t="s">
        <v>12249</v>
      </c>
      <c r="E10141" s="8">
        <v>43337.5</v>
      </c>
      <c r="F10141" s="13" t="s">
        <v>70</v>
      </c>
      <c r="G10141" s="14">
        <v>44833</v>
      </c>
      <c r="H10141" s="13" t="s">
        <v>35</v>
      </c>
    </row>
    <row r="10142" spans="1:8" ht="14.4" x14ac:dyDescent="0.3">
      <c r="A10142" s="8">
        <v>2092596</v>
      </c>
      <c r="B10142" s="11">
        <v>44831</v>
      </c>
      <c r="C10142" s="13" t="s">
        <v>12250</v>
      </c>
      <c r="D10142" s="13" t="s">
        <v>12251</v>
      </c>
      <c r="E10142" s="8">
        <v>27350182.539999999</v>
      </c>
      <c r="F10142" s="13" t="s">
        <v>70</v>
      </c>
      <c r="G10142" s="14">
        <v>44832</v>
      </c>
      <c r="H10142" s="13" t="s">
        <v>35</v>
      </c>
    </row>
    <row r="10143" spans="1:8" ht="14.4" x14ac:dyDescent="0.3">
      <c r="A10143" s="8">
        <v>2092597</v>
      </c>
      <c r="B10143" s="11">
        <v>44831</v>
      </c>
      <c r="C10143" s="13" t="s">
        <v>122</v>
      </c>
      <c r="D10143" s="13" t="s">
        <v>12252</v>
      </c>
      <c r="E10143" s="8">
        <v>267720</v>
      </c>
      <c r="F10143" s="13" t="s">
        <v>70</v>
      </c>
      <c r="G10143" s="14">
        <v>44833</v>
      </c>
      <c r="H10143" s="13" t="s">
        <v>35</v>
      </c>
    </row>
    <row r="10144" spans="1:8" ht="14.4" x14ac:dyDescent="0.3">
      <c r="A10144" s="8">
        <v>2092598</v>
      </c>
      <c r="B10144" s="11">
        <v>44831</v>
      </c>
      <c r="C10144" s="13" t="s">
        <v>361</v>
      </c>
      <c r="D10144" s="13" t="s">
        <v>12253</v>
      </c>
      <c r="E10144" s="8">
        <v>12860</v>
      </c>
      <c r="F10144" s="13" t="s">
        <v>70</v>
      </c>
      <c r="G10144" s="14">
        <v>44833</v>
      </c>
      <c r="H10144" s="13" t="s">
        <v>35</v>
      </c>
    </row>
    <row r="10145" spans="1:8" ht="14.4" x14ac:dyDescent="0.3">
      <c r="A10145" s="8">
        <v>2092599</v>
      </c>
      <c r="B10145" s="11">
        <v>44831</v>
      </c>
      <c r="C10145" s="13" t="s">
        <v>2336</v>
      </c>
      <c r="D10145" s="13" t="s">
        <v>12254</v>
      </c>
      <c r="E10145" s="8">
        <v>15000</v>
      </c>
      <c r="F10145" s="13" t="s">
        <v>70</v>
      </c>
      <c r="G10145" s="14">
        <v>44833</v>
      </c>
      <c r="H10145" s="13" t="s">
        <v>35</v>
      </c>
    </row>
    <row r="10146" spans="1:8" ht="14.4" x14ac:dyDescent="0.3">
      <c r="A10146" s="8">
        <v>2092600</v>
      </c>
      <c r="B10146" s="11">
        <v>44831</v>
      </c>
      <c r="C10146" s="13" t="s">
        <v>12255</v>
      </c>
      <c r="D10146" s="13" t="s">
        <v>12256</v>
      </c>
      <c r="E10146" s="8">
        <v>20000</v>
      </c>
      <c r="F10146" s="13" t="s">
        <v>70</v>
      </c>
      <c r="G10146" s="14">
        <v>44854</v>
      </c>
      <c r="H10146" s="13" t="s">
        <v>35</v>
      </c>
    </row>
    <row r="10147" spans="1:8" ht="14.4" x14ac:dyDescent="0.3">
      <c r="A10147" s="8">
        <v>2092601</v>
      </c>
      <c r="B10147" s="11">
        <v>44831</v>
      </c>
      <c r="C10147" s="13" t="s">
        <v>1380</v>
      </c>
      <c r="D10147" s="13" t="s">
        <v>12257</v>
      </c>
      <c r="E10147" s="8">
        <v>46875</v>
      </c>
      <c r="F10147" s="13" t="s">
        <v>70</v>
      </c>
      <c r="G10147" s="14">
        <v>44832</v>
      </c>
      <c r="H10147" s="13" t="s">
        <v>35</v>
      </c>
    </row>
    <row r="10148" spans="1:8" ht="14.4" x14ac:dyDescent="0.3">
      <c r="A10148" s="8">
        <v>2092602</v>
      </c>
      <c r="B10148" s="11">
        <v>44831</v>
      </c>
      <c r="C10148" s="13" t="s">
        <v>60</v>
      </c>
      <c r="D10148" s="13" t="s">
        <v>12258</v>
      </c>
      <c r="E10148" s="8">
        <v>1965259.28</v>
      </c>
      <c r="F10148" s="13" t="s">
        <v>70</v>
      </c>
      <c r="G10148" s="14">
        <v>44840</v>
      </c>
      <c r="H10148" s="13" t="s">
        <v>35</v>
      </c>
    </row>
    <row r="10149" spans="1:8" ht="14.4" x14ac:dyDescent="0.3">
      <c r="A10149" s="8">
        <v>2092603</v>
      </c>
      <c r="B10149" s="11">
        <v>44831</v>
      </c>
      <c r="C10149" s="13" t="s">
        <v>12259</v>
      </c>
      <c r="D10149" s="13" t="s">
        <v>12260</v>
      </c>
      <c r="E10149" s="8">
        <v>10000</v>
      </c>
      <c r="F10149" s="13" t="s">
        <v>70</v>
      </c>
      <c r="G10149" s="14">
        <v>44832</v>
      </c>
      <c r="H10149" s="13" t="s">
        <v>35</v>
      </c>
    </row>
    <row r="10150" spans="1:8" ht="14.4" x14ac:dyDescent="0.3">
      <c r="A10150" s="8">
        <v>2092604</v>
      </c>
      <c r="B10150" s="11">
        <v>44831</v>
      </c>
      <c r="C10150" s="13" t="s">
        <v>85</v>
      </c>
      <c r="D10150" s="13" t="s">
        <v>12261</v>
      </c>
      <c r="E10150" s="8">
        <v>3375</v>
      </c>
      <c r="F10150" s="13" t="s">
        <v>70</v>
      </c>
      <c r="G10150" s="14">
        <v>44832</v>
      </c>
      <c r="H10150" s="13" t="s">
        <v>35</v>
      </c>
    </row>
    <row r="10151" spans="1:8" ht="14.4" x14ac:dyDescent="0.3">
      <c r="A10151" s="8">
        <v>2092605</v>
      </c>
      <c r="B10151" s="11">
        <v>44831</v>
      </c>
      <c r="C10151" s="13" t="s">
        <v>4765</v>
      </c>
      <c r="D10151" s="13" t="s">
        <v>12262</v>
      </c>
      <c r="E10151" s="8">
        <v>11797</v>
      </c>
      <c r="F10151" s="13" t="s">
        <v>70</v>
      </c>
      <c r="G10151" s="14">
        <v>44833</v>
      </c>
      <c r="H10151" s="13" t="s">
        <v>35</v>
      </c>
    </row>
    <row r="10152" spans="1:8" ht="14.4" x14ac:dyDescent="0.3">
      <c r="A10152" s="8">
        <v>2092606</v>
      </c>
      <c r="B10152" s="11">
        <v>44831</v>
      </c>
      <c r="C10152" s="13" t="s">
        <v>159</v>
      </c>
      <c r="D10152" s="13" t="s">
        <v>12263</v>
      </c>
      <c r="E10152" s="8">
        <v>225400</v>
      </c>
      <c r="F10152" s="13" t="s">
        <v>70</v>
      </c>
      <c r="G10152" s="14">
        <v>44837</v>
      </c>
      <c r="H10152" s="13" t="s">
        <v>35</v>
      </c>
    </row>
    <row r="10153" spans="1:8" ht="14.4" x14ac:dyDescent="0.3">
      <c r="A10153" s="8">
        <v>2092607</v>
      </c>
      <c r="B10153" s="11">
        <v>44831</v>
      </c>
      <c r="C10153" s="13" t="s">
        <v>12264</v>
      </c>
      <c r="D10153" s="13" t="s">
        <v>12265</v>
      </c>
      <c r="E10153" s="8">
        <v>200000</v>
      </c>
      <c r="F10153" s="13" t="s">
        <v>70</v>
      </c>
      <c r="G10153" s="14">
        <v>44839</v>
      </c>
      <c r="H10153" s="13" t="s">
        <v>35</v>
      </c>
    </row>
    <row r="10154" spans="1:8" ht="14.4" x14ac:dyDescent="0.3">
      <c r="A10154" s="8">
        <v>2092608</v>
      </c>
      <c r="B10154" s="11">
        <v>44831</v>
      </c>
      <c r="C10154" s="13" t="s">
        <v>5876</v>
      </c>
      <c r="D10154" s="13" t="s">
        <v>12266</v>
      </c>
      <c r="E10154" s="8">
        <v>3191463.65</v>
      </c>
      <c r="F10154" s="13" t="s">
        <v>70</v>
      </c>
      <c r="G10154" s="14">
        <v>44832</v>
      </c>
      <c r="H10154" s="13" t="s">
        <v>35</v>
      </c>
    </row>
    <row r="10155" spans="1:8" ht="14.4" x14ac:dyDescent="0.3">
      <c r="A10155" s="8">
        <v>2092609</v>
      </c>
      <c r="B10155" s="11">
        <v>44831</v>
      </c>
      <c r="C10155" s="13" t="s">
        <v>12267</v>
      </c>
      <c r="D10155" s="13" t="s">
        <v>12268</v>
      </c>
      <c r="E10155" s="8">
        <v>1820531.19</v>
      </c>
      <c r="F10155" s="13" t="s">
        <v>70</v>
      </c>
      <c r="G10155" s="14">
        <v>44832</v>
      </c>
      <c r="H10155" s="13" t="s">
        <v>35</v>
      </c>
    </row>
    <row r="10156" spans="1:8" ht="14.4" x14ac:dyDescent="0.3">
      <c r="A10156" s="8">
        <v>2092610</v>
      </c>
      <c r="B10156" s="11">
        <v>44831</v>
      </c>
      <c r="C10156" s="13" t="s">
        <v>5898</v>
      </c>
      <c r="D10156" s="13" t="s">
        <v>12269</v>
      </c>
      <c r="E10156" s="8">
        <v>23700</v>
      </c>
      <c r="F10156" s="13" t="s">
        <v>70</v>
      </c>
      <c r="G10156" s="14">
        <v>44838</v>
      </c>
      <c r="H10156" s="13" t="s">
        <v>35</v>
      </c>
    </row>
    <row r="10157" spans="1:8" ht="14.4" x14ac:dyDescent="0.3">
      <c r="A10157" s="8">
        <v>2092611</v>
      </c>
      <c r="B10157" s="11">
        <v>44831</v>
      </c>
      <c r="C10157" s="13" t="s">
        <v>3434</v>
      </c>
      <c r="D10157" s="13" t="s">
        <v>12270</v>
      </c>
      <c r="E10157" s="8">
        <v>150</v>
      </c>
      <c r="F10157" s="13" t="s">
        <v>70</v>
      </c>
      <c r="G10157" s="14">
        <v>44845</v>
      </c>
      <c r="H10157" s="13" t="s">
        <v>35</v>
      </c>
    </row>
    <row r="10158" spans="1:8" ht="14.4" x14ac:dyDescent="0.3">
      <c r="A10158" s="8">
        <v>2092612</v>
      </c>
      <c r="B10158" s="11">
        <v>44831</v>
      </c>
      <c r="C10158" s="13" t="s">
        <v>3434</v>
      </c>
      <c r="D10158" s="13" t="s">
        <v>12271</v>
      </c>
      <c r="E10158" s="8">
        <v>150</v>
      </c>
      <c r="F10158" s="13" t="s">
        <v>70</v>
      </c>
      <c r="G10158" s="14">
        <v>44845</v>
      </c>
      <c r="H10158" s="13" t="s">
        <v>35</v>
      </c>
    </row>
    <row r="10159" spans="1:8" ht="14.4" x14ac:dyDescent="0.3">
      <c r="A10159" s="8">
        <v>2092618</v>
      </c>
      <c r="B10159" s="11">
        <v>44831</v>
      </c>
      <c r="C10159" s="13" t="s">
        <v>42</v>
      </c>
      <c r="D10159" s="13" t="s">
        <v>12272</v>
      </c>
      <c r="E10159" s="8">
        <v>3322.78</v>
      </c>
      <c r="F10159" s="13" t="s">
        <v>70</v>
      </c>
      <c r="G10159" s="14">
        <v>44837</v>
      </c>
      <c r="H10159" s="13" t="s">
        <v>35</v>
      </c>
    </row>
    <row r="10160" spans="1:8" ht="14.4" x14ac:dyDescent="0.3">
      <c r="A10160" s="8">
        <v>2092619</v>
      </c>
      <c r="B10160" s="11">
        <v>44831</v>
      </c>
      <c r="C10160" s="13" t="s">
        <v>893</v>
      </c>
      <c r="D10160" s="13" t="s">
        <v>12161</v>
      </c>
      <c r="E10160" s="8">
        <v>338536.41</v>
      </c>
      <c r="F10160" s="13" t="s">
        <v>70</v>
      </c>
      <c r="G10160" s="14">
        <v>44854</v>
      </c>
      <c r="H10160" s="13" t="s">
        <v>35</v>
      </c>
    </row>
    <row r="10161" spans="1:8" ht="14.4" x14ac:dyDescent="0.3">
      <c r="A10161" s="8">
        <v>2092620</v>
      </c>
      <c r="B10161" s="11">
        <v>44831</v>
      </c>
      <c r="C10161" s="13" t="s">
        <v>55</v>
      </c>
      <c r="D10161" s="13" t="s">
        <v>12273</v>
      </c>
      <c r="E10161" s="8">
        <v>21223.7</v>
      </c>
      <c r="F10161" s="13" t="s">
        <v>70</v>
      </c>
      <c r="G10161" s="14">
        <v>44840</v>
      </c>
      <c r="H10161" s="13" t="s">
        <v>35</v>
      </c>
    </row>
    <row r="10162" spans="1:8" ht="14.4" x14ac:dyDescent="0.3">
      <c r="A10162" s="8">
        <v>2092621</v>
      </c>
      <c r="B10162" s="11">
        <v>44831</v>
      </c>
      <c r="C10162" s="13" t="s">
        <v>202</v>
      </c>
      <c r="D10162" s="13" t="s">
        <v>12274</v>
      </c>
      <c r="E10162" s="8">
        <v>26709.41</v>
      </c>
      <c r="F10162" s="13" t="s">
        <v>70</v>
      </c>
      <c r="G10162" s="14">
        <v>44837</v>
      </c>
      <c r="H10162" s="13" t="s">
        <v>35</v>
      </c>
    </row>
    <row r="10163" spans="1:8" ht="14.4" x14ac:dyDescent="0.3">
      <c r="A10163" s="8">
        <v>2092622</v>
      </c>
      <c r="B10163" s="11">
        <v>44831</v>
      </c>
      <c r="C10163" s="13" t="s">
        <v>1424</v>
      </c>
      <c r="D10163" s="13" t="s">
        <v>4672</v>
      </c>
      <c r="E10163" s="8">
        <v>39111.160000000003</v>
      </c>
      <c r="F10163" s="13" t="s">
        <v>70</v>
      </c>
      <c r="G10163" s="14">
        <v>44848</v>
      </c>
      <c r="H10163" s="13" t="s">
        <v>35</v>
      </c>
    </row>
    <row r="10164" spans="1:8" ht="14.4" x14ac:dyDescent="0.3">
      <c r="A10164" s="8">
        <v>2092623</v>
      </c>
      <c r="B10164" s="11">
        <v>44831</v>
      </c>
      <c r="C10164" s="13" t="s">
        <v>3350</v>
      </c>
      <c r="D10164" s="13" t="s">
        <v>12275</v>
      </c>
      <c r="E10164" s="8">
        <v>2343.75</v>
      </c>
      <c r="F10164" s="13" t="s">
        <v>70</v>
      </c>
      <c r="G10164" s="14">
        <v>44844</v>
      </c>
      <c r="H10164" s="13" t="s">
        <v>35</v>
      </c>
    </row>
    <row r="10165" spans="1:8" ht="14.4" x14ac:dyDescent="0.3">
      <c r="A10165" s="8">
        <v>2092624</v>
      </c>
      <c r="B10165" s="11">
        <v>44831</v>
      </c>
      <c r="C10165" s="13" t="s">
        <v>405</v>
      </c>
      <c r="D10165" s="13" t="s">
        <v>12276</v>
      </c>
      <c r="E10165" s="8">
        <v>12579.72</v>
      </c>
      <c r="F10165" s="13" t="s">
        <v>70</v>
      </c>
      <c r="G10165" s="14">
        <v>44839</v>
      </c>
      <c r="H10165" s="13" t="s">
        <v>35</v>
      </c>
    </row>
    <row r="10166" spans="1:8" ht="14.4" x14ac:dyDescent="0.3">
      <c r="A10166" s="8">
        <v>2092625</v>
      </c>
      <c r="B10166" s="11">
        <v>44831</v>
      </c>
      <c r="C10166" s="13" t="s">
        <v>2711</v>
      </c>
      <c r="D10166" s="13" t="s">
        <v>12277</v>
      </c>
      <c r="E10166" s="8">
        <v>2650</v>
      </c>
      <c r="F10166" s="13" t="s">
        <v>70</v>
      </c>
      <c r="G10166" s="14">
        <v>44833</v>
      </c>
      <c r="H10166" s="13" t="s">
        <v>35</v>
      </c>
    </row>
    <row r="10167" spans="1:8" ht="14.4" x14ac:dyDescent="0.3">
      <c r="A10167" s="8">
        <v>2092626</v>
      </c>
      <c r="B10167" s="11">
        <v>44831</v>
      </c>
      <c r="C10167" s="13" t="s">
        <v>1522</v>
      </c>
      <c r="D10167" s="13" t="s">
        <v>12278</v>
      </c>
      <c r="E10167" s="8">
        <v>4900</v>
      </c>
      <c r="F10167" s="13" t="s">
        <v>70</v>
      </c>
      <c r="G10167" s="14">
        <v>44834</v>
      </c>
      <c r="H10167" s="13" t="s">
        <v>35</v>
      </c>
    </row>
    <row r="10168" spans="1:8" ht="14.4" x14ac:dyDescent="0.3">
      <c r="A10168" s="8">
        <v>2092627</v>
      </c>
      <c r="B10168" s="11">
        <v>44831</v>
      </c>
      <c r="C10168" s="13" t="s">
        <v>405</v>
      </c>
      <c r="D10168" s="13" t="s">
        <v>12279</v>
      </c>
      <c r="E10168" s="8">
        <v>13605.49</v>
      </c>
      <c r="F10168" s="13" t="s">
        <v>70</v>
      </c>
      <c r="G10168" s="14">
        <v>44839</v>
      </c>
      <c r="H10168" s="13" t="s">
        <v>35</v>
      </c>
    </row>
    <row r="10169" spans="1:8" ht="14.4" x14ac:dyDescent="0.3">
      <c r="A10169" s="8">
        <v>2092628</v>
      </c>
      <c r="B10169" s="11">
        <v>44831</v>
      </c>
      <c r="C10169" s="13" t="s">
        <v>2711</v>
      </c>
      <c r="D10169" s="13" t="s">
        <v>12280</v>
      </c>
      <c r="E10169" s="8">
        <v>3880.35</v>
      </c>
      <c r="F10169" s="13" t="s">
        <v>70</v>
      </c>
      <c r="G10169" s="14">
        <v>44833</v>
      </c>
      <c r="H10169" s="13" t="s">
        <v>35</v>
      </c>
    </row>
    <row r="10170" spans="1:8" ht="14.4" x14ac:dyDescent="0.3">
      <c r="A10170" s="8">
        <v>2092629</v>
      </c>
      <c r="B10170" s="11">
        <v>44831</v>
      </c>
      <c r="C10170" s="13" t="s">
        <v>245</v>
      </c>
      <c r="D10170" s="13" t="s">
        <v>12281</v>
      </c>
      <c r="E10170" s="8">
        <v>267228.62</v>
      </c>
      <c r="F10170" s="13" t="s">
        <v>70</v>
      </c>
      <c r="G10170" s="14">
        <v>44833</v>
      </c>
      <c r="H10170" s="13" t="s">
        <v>35</v>
      </c>
    </row>
    <row r="10171" spans="1:8" ht="14.4" x14ac:dyDescent="0.3">
      <c r="A10171" s="8">
        <v>2092630</v>
      </c>
      <c r="B10171" s="11">
        <v>44831</v>
      </c>
      <c r="C10171" s="13" t="s">
        <v>2567</v>
      </c>
      <c r="D10171" s="13" t="s">
        <v>12282</v>
      </c>
      <c r="E10171" s="8">
        <v>94878.95</v>
      </c>
      <c r="F10171" s="13" t="s">
        <v>70</v>
      </c>
      <c r="G10171" s="14">
        <v>44833</v>
      </c>
      <c r="H10171" s="13" t="s">
        <v>35</v>
      </c>
    </row>
    <row r="10172" spans="1:8" ht="14.4" x14ac:dyDescent="0.3">
      <c r="A10172" s="8">
        <v>2092631</v>
      </c>
      <c r="B10172" s="11">
        <v>44831</v>
      </c>
      <c r="C10172" s="13" t="s">
        <v>2262</v>
      </c>
      <c r="D10172" s="13" t="s">
        <v>12283</v>
      </c>
      <c r="E10172" s="8">
        <v>24314.28</v>
      </c>
      <c r="F10172" s="13" t="s">
        <v>70</v>
      </c>
      <c r="G10172" s="14">
        <v>44833</v>
      </c>
      <c r="H10172" s="13" t="s">
        <v>35</v>
      </c>
    </row>
    <row r="10173" spans="1:8" ht="14.4" x14ac:dyDescent="0.3">
      <c r="A10173" s="8">
        <v>2092632</v>
      </c>
      <c r="B10173" s="11">
        <v>44831</v>
      </c>
      <c r="C10173" s="13" t="s">
        <v>405</v>
      </c>
      <c r="D10173" s="13" t="s">
        <v>12284</v>
      </c>
      <c r="E10173" s="8">
        <v>3886.6</v>
      </c>
      <c r="F10173" s="13" t="s">
        <v>70</v>
      </c>
      <c r="G10173" s="14">
        <v>44839</v>
      </c>
      <c r="H10173" s="13" t="s">
        <v>35</v>
      </c>
    </row>
    <row r="10174" spans="1:8" ht="14.4" x14ac:dyDescent="0.3">
      <c r="A10174" s="8">
        <v>2092633</v>
      </c>
      <c r="B10174" s="11">
        <v>44831</v>
      </c>
      <c r="C10174" s="13" t="s">
        <v>2262</v>
      </c>
      <c r="D10174" s="13" t="s">
        <v>12285</v>
      </c>
      <c r="E10174" s="8">
        <v>4312.5</v>
      </c>
      <c r="F10174" s="13" t="s">
        <v>70</v>
      </c>
      <c r="G10174" s="14">
        <v>44833</v>
      </c>
      <c r="H10174" s="13" t="s">
        <v>35</v>
      </c>
    </row>
    <row r="10175" spans="1:8" ht="14.4" x14ac:dyDescent="0.3">
      <c r="A10175" s="8">
        <v>2092634</v>
      </c>
      <c r="B10175" s="11">
        <v>44831</v>
      </c>
      <c r="C10175" s="13" t="s">
        <v>405</v>
      </c>
      <c r="D10175" s="13" t="s">
        <v>12286</v>
      </c>
      <c r="E10175" s="8">
        <v>17400.75</v>
      </c>
      <c r="F10175" s="13" t="s">
        <v>70</v>
      </c>
      <c r="G10175" s="14">
        <v>44839</v>
      </c>
      <c r="H10175" s="13" t="s">
        <v>35</v>
      </c>
    </row>
    <row r="10176" spans="1:8" ht="14.4" x14ac:dyDescent="0.3">
      <c r="A10176" s="8">
        <v>2092635</v>
      </c>
      <c r="B10176" s="11">
        <v>44831</v>
      </c>
      <c r="C10176" s="13" t="s">
        <v>12287</v>
      </c>
      <c r="D10176" s="13" t="s">
        <v>12288</v>
      </c>
      <c r="E10176" s="8">
        <v>9937.5</v>
      </c>
      <c r="F10176" s="13" t="s">
        <v>70</v>
      </c>
      <c r="G10176" s="14">
        <v>44862</v>
      </c>
      <c r="H10176" s="13" t="s">
        <v>35</v>
      </c>
    </row>
    <row r="10177" spans="1:8" ht="14.4" x14ac:dyDescent="0.3">
      <c r="A10177" s="8">
        <v>2092636</v>
      </c>
      <c r="B10177" s="11">
        <v>44831</v>
      </c>
      <c r="C10177" s="13" t="s">
        <v>1542</v>
      </c>
      <c r="D10177" s="13" t="s">
        <v>12289</v>
      </c>
      <c r="E10177" s="8">
        <v>1339092.8500000001</v>
      </c>
      <c r="F10177" s="13" t="s">
        <v>70</v>
      </c>
      <c r="G10177" s="14">
        <v>44840</v>
      </c>
      <c r="H10177" s="13" t="s">
        <v>35</v>
      </c>
    </row>
    <row r="10178" spans="1:8" ht="14.4" x14ac:dyDescent="0.3">
      <c r="A10178" s="8">
        <v>2092637</v>
      </c>
      <c r="B10178" s="11">
        <v>44831</v>
      </c>
      <c r="C10178" s="13" t="s">
        <v>1946</v>
      </c>
      <c r="D10178" s="13" t="s">
        <v>12290</v>
      </c>
      <c r="E10178" s="8">
        <v>30564.91</v>
      </c>
      <c r="F10178" s="13" t="s">
        <v>70</v>
      </c>
      <c r="G10178" s="14">
        <v>44832</v>
      </c>
      <c r="H10178" s="13" t="s">
        <v>35</v>
      </c>
    </row>
    <row r="10179" spans="1:8" ht="14.4" x14ac:dyDescent="0.3">
      <c r="A10179" s="8">
        <v>2092638</v>
      </c>
      <c r="B10179" s="11">
        <v>44831</v>
      </c>
      <c r="C10179" s="13" t="s">
        <v>2711</v>
      </c>
      <c r="D10179" s="13" t="s">
        <v>12291</v>
      </c>
      <c r="E10179" s="8">
        <v>16183.93</v>
      </c>
      <c r="F10179" s="13" t="s">
        <v>70</v>
      </c>
      <c r="G10179" s="14">
        <v>44833</v>
      </c>
      <c r="H10179" s="13" t="s">
        <v>35</v>
      </c>
    </row>
    <row r="10180" spans="1:8" ht="14.4" x14ac:dyDescent="0.3">
      <c r="A10180" s="8">
        <v>2092639</v>
      </c>
      <c r="B10180" s="11">
        <v>44831</v>
      </c>
      <c r="C10180" s="13" t="s">
        <v>12292</v>
      </c>
      <c r="D10180" s="13" t="s">
        <v>12293</v>
      </c>
      <c r="E10180" s="8">
        <v>29566.43</v>
      </c>
      <c r="F10180" s="13" t="s">
        <v>70</v>
      </c>
      <c r="G10180" s="14">
        <v>44868</v>
      </c>
      <c r="H10180" s="13" t="s">
        <v>35</v>
      </c>
    </row>
    <row r="10181" spans="1:8" ht="14.4" x14ac:dyDescent="0.3">
      <c r="A10181" s="8">
        <v>2092640</v>
      </c>
      <c r="B10181" s="11">
        <v>44831</v>
      </c>
      <c r="C10181" s="13" t="s">
        <v>2711</v>
      </c>
      <c r="D10181" s="13" t="s">
        <v>12294</v>
      </c>
      <c r="E10181" s="8">
        <v>25127.68</v>
      </c>
      <c r="F10181" s="13" t="s">
        <v>70</v>
      </c>
      <c r="G10181" s="14">
        <v>44833</v>
      </c>
      <c r="H10181" s="13" t="s">
        <v>35</v>
      </c>
    </row>
    <row r="10182" spans="1:8" ht="14.4" x14ac:dyDescent="0.3">
      <c r="A10182" s="8">
        <v>2092641</v>
      </c>
      <c r="B10182" s="11">
        <v>44831</v>
      </c>
      <c r="C10182" s="13" t="s">
        <v>4525</v>
      </c>
      <c r="D10182" s="13" t="s">
        <v>12295</v>
      </c>
      <c r="E10182" s="8">
        <v>29339.200000000001</v>
      </c>
      <c r="F10182" s="13" t="s">
        <v>70</v>
      </c>
      <c r="G10182" s="14">
        <v>44868</v>
      </c>
      <c r="H10182" s="13" t="s">
        <v>35</v>
      </c>
    </row>
    <row r="10183" spans="1:8" ht="14.4" x14ac:dyDescent="0.3">
      <c r="A10183" s="8">
        <v>2092642</v>
      </c>
      <c r="B10183" s="11">
        <v>44831</v>
      </c>
      <c r="C10183" s="13" t="s">
        <v>405</v>
      </c>
      <c r="D10183" s="13" t="s">
        <v>12296</v>
      </c>
      <c r="E10183" s="8">
        <v>21170.73</v>
      </c>
      <c r="F10183" s="13" t="s">
        <v>70</v>
      </c>
      <c r="G10183" s="14">
        <v>44839</v>
      </c>
      <c r="H10183" s="13" t="s">
        <v>35</v>
      </c>
    </row>
    <row r="10184" spans="1:8" ht="14.4" x14ac:dyDescent="0.3">
      <c r="A10184" s="8">
        <v>2092643</v>
      </c>
      <c r="B10184" s="11">
        <v>44831</v>
      </c>
      <c r="C10184" s="13" t="s">
        <v>3174</v>
      </c>
      <c r="D10184" s="13" t="s">
        <v>12297</v>
      </c>
      <c r="E10184" s="8">
        <v>8815</v>
      </c>
      <c r="F10184" s="13" t="s">
        <v>70</v>
      </c>
      <c r="G10184" s="14">
        <v>44840</v>
      </c>
      <c r="H10184" s="13" t="s">
        <v>35</v>
      </c>
    </row>
    <row r="10185" spans="1:8" ht="14.4" x14ac:dyDescent="0.3">
      <c r="A10185" s="8">
        <v>2092644</v>
      </c>
      <c r="B10185" s="11">
        <v>44831</v>
      </c>
      <c r="C10185" s="13" t="s">
        <v>2711</v>
      </c>
      <c r="D10185" s="13" t="s">
        <v>12298</v>
      </c>
      <c r="E10185" s="8">
        <v>1892.85</v>
      </c>
      <c r="F10185" s="13" t="s">
        <v>70</v>
      </c>
      <c r="G10185" s="14">
        <v>44833</v>
      </c>
      <c r="H10185" s="13" t="s">
        <v>35</v>
      </c>
    </row>
    <row r="10186" spans="1:8" ht="14.4" x14ac:dyDescent="0.3">
      <c r="A10186" s="8">
        <v>2092645</v>
      </c>
      <c r="B10186" s="11">
        <v>44831</v>
      </c>
      <c r="C10186" s="13" t="s">
        <v>12150</v>
      </c>
      <c r="D10186" s="13" t="s">
        <v>12299</v>
      </c>
      <c r="E10186" s="8">
        <v>4339.37</v>
      </c>
      <c r="F10186" s="13" t="s">
        <v>70</v>
      </c>
      <c r="G10186" s="14">
        <v>44833</v>
      </c>
      <c r="H10186" s="13" t="s">
        <v>35</v>
      </c>
    </row>
    <row r="10187" spans="1:8" ht="14.4" x14ac:dyDescent="0.3">
      <c r="A10187" s="8">
        <v>2092646</v>
      </c>
      <c r="B10187" s="11">
        <v>44831</v>
      </c>
      <c r="C10187" s="13" t="s">
        <v>1522</v>
      </c>
      <c r="D10187" s="13" t="s">
        <v>12300</v>
      </c>
      <c r="E10187" s="8">
        <v>26264</v>
      </c>
      <c r="F10187" s="13" t="s">
        <v>70</v>
      </c>
      <c r="G10187" s="14">
        <v>44834</v>
      </c>
      <c r="H10187" s="13" t="s">
        <v>35</v>
      </c>
    </row>
    <row r="10188" spans="1:8" ht="14.4" x14ac:dyDescent="0.3">
      <c r="A10188" s="8">
        <v>2092647</v>
      </c>
      <c r="B10188" s="11">
        <v>44831</v>
      </c>
      <c r="C10188" s="13" t="s">
        <v>12301</v>
      </c>
      <c r="D10188" s="13" t="s">
        <v>12302</v>
      </c>
      <c r="E10188" s="8">
        <v>84875</v>
      </c>
      <c r="F10188" s="13" t="s">
        <v>70</v>
      </c>
      <c r="G10188" s="14">
        <v>44848</v>
      </c>
      <c r="H10188" s="13" t="s">
        <v>35</v>
      </c>
    </row>
    <row r="10189" spans="1:8" ht="14.4" x14ac:dyDescent="0.3">
      <c r="A10189" s="8">
        <v>2092649</v>
      </c>
      <c r="B10189" s="11">
        <v>44831</v>
      </c>
      <c r="C10189" s="13" t="s">
        <v>2262</v>
      </c>
      <c r="D10189" s="13" t="s">
        <v>12303</v>
      </c>
      <c r="E10189" s="8">
        <v>7230.72</v>
      </c>
      <c r="F10189" s="13" t="s">
        <v>70</v>
      </c>
      <c r="G10189" s="14">
        <v>44833</v>
      </c>
      <c r="H10189" s="13" t="s">
        <v>35</v>
      </c>
    </row>
    <row r="10190" spans="1:8" ht="14.4" x14ac:dyDescent="0.3">
      <c r="A10190" s="8">
        <v>2092651</v>
      </c>
      <c r="B10190" s="11">
        <v>44831</v>
      </c>
      <c r="C10190" s="13" t="s">
        <v>1344</v>
      </c>
      <c r="D10190" s="13" t="s">
        <v>12304</v>
      </c>
      <c r="E10190" s="8">
        <v>14550</v>
      </c>
      <c r="F10190" s="13" t="s">
        <v>70</v>
      </c>
      <c r="G10190" s="14">
        <v>44833</v>
      </c>
      <c r="H10190" s="13" t="s">
        <v>35</v>
      </c>
    </row>
    <row r="10191" spans="1:8" ht="14.4" x14ac:dyDescent="0.3">
      <c r="A10191" s="8">
        <v>2092652</v>
      </c>
      <c r="B10191" s="11">
        <v>44831</v>
      </c>
      <c r="C10191" s="13" t="s">
        <v>55</v>
      </c>
      <c r="D10191" s="13" t="s">
        <v>12305</v>
      </c>
      <c r="E10191" s="8">
        <v>240212.65</v>
      </c>
      <c r="F10191" s="13" t="s">
        <v>70</v>
      </c>
      <c r="G10191" s="14">
        <v>44840</v>
      </c>
      <c r="H10191" s="13" t="s">
        <v>35</v>
      </c>
    </row>
    <row r="10192" spans="1:8" ht="14.4" x14ac:dyDescent="0.3">
      <c r="A10192" s="8">
        <v>2092653</v>
      </c>
      <c r="B10192" s="11">
        <v>44831</v>
      </c>
      <c r="C10192" s="13" t="s">
        <v>2711</v>
      </c>
      <c r="D10192" s="13" t="s">
        <v>12306</v>
      </c>
      <c r="E10192" s="8">
        <v>2839.28</v>
      </c>
      <c r="F10192" s="13" t="s">
        <v>70</v>
      </c>
      <c r="G10192" s="14">
        <v>44833</v>
      </c>
      <c r="H10192" s="13" t="s">
        <v>35</v>
      </c>
    </row>
    <row r="10193" spans="1:8" ht="14.4" x14ac:dyDescent="0.3">
      <c r="A10193" s="8">
        <v>2092654</v>
      </c>
      <c r="B10193" s="11">
        <v>44831</v>
      </c>
      <c r="C10193" s="13" t="s">
        <v>1522</v>
      </c>
      <c r="D10193" s="13" t="s">
        <v>12307</v>
      </c>
      <c r="E10193" s="8">
        <v>26244.400000000001</v>
      </c>
      <c r="F10193" s="13" t="s">
        <v>70</v>
      </c>
      <c r="G10193" s="14">
        <v>44834</v>
      </c>
      <c r="H10193" s="13" t="s">
        <v>35</v>
      </c>
    </row>
    <row r="10194" spans="1:8" ht="14.4" x14ac:dyDescent="0.3">
      <c r="A10194" s="8">
        <v>2092655</v>
      </c>
      <c r="B10194" s="11">
        <v>44831</v>
      </c>
      <c r="C10194" s="13" t="s">
        <v>42</v>
      </c>
      <c r="D10194" s="13" t="s">
        <v>12308</v>
      </c>
      <c r="E10194" s="8">
        <v>5710.64</v>
      </c>
      <c r="F10194" s="13" t="s">
        <v>70</v>
      </c>
      <c r="G10194" s="14">
        <v>44837</v>
      </c>
      <c r="H10194" s="13" t="s">
        <v>35</v>
      </c>
    </row>
    <row r="10195" spans="1:8" ht="14.4" x14ac:dyDescent="0.3">
      <c r="A10195" s="8">
        <v>2092656</v>
      </c>
      <c r="B10195" s="11">
        <v>44831</v>
      </c>
      <c r="C10195" s="13" t="s">
        <v>42</v>
      </c>
      <c r="D10195" s="13" t="s">
        <v>12309</v>
      </c>
      <c r="E10195" s="8">
        <v>238452.56</v>
      </c>
      <c r="F10195" s="13" t="s">
        <v>70</v>
      </c>
      <c r="G10195" s="14">
        <v>44837</v>
      </c>
      <c r="H10195" s="13" t="s">
        <v>35</v>
      </c>
    </row>
    <row r="10196" spans="1:8" ht="14.4" x14ac:dyDescent="0.3">
      <c r="A10196" s="8">
        <v>2092657</v>
      </c>
      <c r="B10196" s="11">
        <v>44831</v>
      </c>
      <c r="C10196" s="13" t="s">
        <v>265</v>
      </c>
      <c r="D10196" s="13" t="s">
        <v>12310</v>
      </c>
      <c r="E10196" s="8">
        <v>57500</v>
      </c>
      <c r="F10196" s="13" t="s">
        <v>70</v>
      </c>
      <c r="G10196" s="14">
        <v>44832</v>
      </c>
      <c r="H10196" s="13" t="s">
        <v>35</v>
      </c>
    </row>
    <row r="10197" spans="1:8" ht="14.4" x14ac:dyDescent="0.3">
      <c r="A10197" s="8">
        <v>2092658</v>
      </c>
      <c r="B10197" s="11">
        <v>44831</v>
      </c>
      <c r="C10197" s="13" t="s">
        <v>221</v>
      </c>
      <c r="D10197" s="13" t="s">
        <v>12311</v>
      </c>
      <c r="E10197" s="8">
        <v>34190</v>
      </c>
      <c r="F10197" s="13" t="s">
        <v>70</v>
      </c>
      <c r="G10197" s="14">
        <v>44839</v>
      </c>
      <c r="H10197" s="13" t="s">
        <v>35</v>
      </c>
    </row>
    <row r="10198" spans="1:8" ht="14.4" x14ac:dyDescent="0.3">
      <c r="A10198" s="8">
        <v>2092659</v>
      </c>
      <c r="B10198" s="11">
        <v>44831</v>
      </c>
      <c r="C10198" s="13" t="s">
        <v>265</v>
      </c>
      <c r="D10198" s="13" t="s">
        <v>12312</v>
      </c>
      <c r="E10198" s="8">
        <v>37790</v>
      </c>
      <c r="F10198" s="13" t="s">
        <v>70</v>
      </c>
      <c r="G10198" s="14">
        <v>44832</v>
      </c>
      <c r="H10198" s="13" t="s">
        <v>35</v>
      </c>
    </row>
    <row r="10199" spans="1:8" ht="14.4" x14ac:dyDescent="0.3">
      <c r="A10199" s="8">
        <v>2092660</v>
      </c>
      <c r="B10199" s="11">
        <v>44831</v>
      </c>
      <c r="C10199" s="13" t="s">
        <v>748</v>
      </c>
      <c r="D10199" s="13" t="s">
        <v>12313</v>
      </c>
      <c r="E10199" s="8">
        <v>3186.56</v>
      </c>
      <c r="F10199" s="13" t="s">
        <v>70</v>
      </c>
      <c r="G10199" s="14">
        <v>44833</v>
      </c>
      <c r="H10199" s="13" t="s">
        <v>35</v>
      </c>
    </row>
    <row r="10200" spans="1:8" ht="14.4" x14ac:dyDescent="0.3">
      <c r="A10200" s="8">
        <v>2092664</v>
      </c>
      <c r="B10200" s="11">
        <v>44831</v>
      </c>
      <c r="C10200" s="13" t="s">
        <v>42</v>
      </c>
      <c r="D10200" s="13" t="s">
        <v>12314</v>
      </c>
      <c r="E10200" s="8">
        <v>317756.36</v>
      </c>
      <c r="F10200" s="13" t="s">
        <v>70</v>
      </c>
      <c r="G10200" s="14">
        <v>44837</v>
      </c>
      <c r="H10200" s="13" t="s">
        <v>35</v>
      </c>
    </row>
    <row r="10201" spans="1:8" ht="14.4" x14ac:dyDescent="0.3">
      <c r="A10201" s="8">
        <v>2092033</v>
      </c>
      <c r="B10201" s="11">
        <v>44832</v>
      </c>
      <c r="C10201" s="13" t="s">
        <v>1592</v>
      </c>
      <c r="D10201" s="13" t="s">
        <v>12315</v>
      </c>
      <c r="E10201" s="8">
        <v>10166.6</v>
      </c>
      <c r="F10201" s="13" t="s">
        <v>70</v>
      </c>
      <c r="G10201" s="14">
        <v>44838</v>
      </c>
      <c r="H10201" s="13" t="s">
        <v>35</v>
      </c>
    </row>
    <row r="10202" spans="1:8" ht="14.4" x14ac:dyDescent="0.3">
      <c r="A10202" s="8">
        <v>2092665</v>
      </c>
      <c r="B10202" s="11">
        <v>44832</v>
      </c>
      <c r="C10202" s="13" t="s">
        <v>12316</v>
      </c>
      <c r="D10202" s="13" t="s">
        <v>12317</v>
      </c>
      <c r="E10202" s="8">
        <v>16120</v>
      </c>
      <c r="F10202" s="13" t="s">
        <v>70</v>
      </c>
      <c r="G10202" s="14">
        <v>44832</v>
      </c>
      <c r="H10202" s="13" t="s">
        <v>35</v>
      </c>
    </row>
    <row r="10203" spans="1:8" ht="14.4" x14ac:dyDescent="0.3">
      <c r="A10203" s="8">
        <v>2092666</v>
      </c>
      <c r="B10203" s="11">
        <v>44832</v>
      </c>
      <c r="C10203" s="13" t="s">
        <v>748</v>
      </c>
      <c r="D10203" s="13" t="s">
        <v>12318</v>
      </c>
      <c r="E10203" s="8">
        <v>3972.18</v>
      </c>
      <c r="F10203" s="13" t="s">
        <v>70</v>
      </c>
      <c r="G10203" s="14">
        <v>44833</v>
      </c>
      <c r="H10203" s="13" t="s">
        <v>35</v>
      </c>
    </row>
    <row r="10204" spans="1:8" ht="14.4" x14ac:dyDescent="0.3">
      <c r="A10204" s="8">
        <v>2092667</v>
      </c>
      <c r="B10204" s="11">
        <v>44832</v>
      </c>
      <c r="C10204" s="13" t="s">
        <v>748</v>
      </c>
      <c r="D10204" s="13" t="s">
        <v>12319</v>
      </c>
      <c r="E10204" s="8">
        <v>4124.07</v>
      </c>
      <c r="F10204" s="13" t="s">
        <v>70</v>
      </c>
      <c r="G10204" s="14">
        <v>44833</v>
      </c>
      <c r="H10204" s="13" t="s">
        <v>35</v>
      </c>
    </row>
    <row r="10205" spans="1:8" ht="14.4" x14ac:dyDescent="0.3">
      <c r="A10205" s="8">
        <v>2092669</v>
      </c>
      <c r="B10205" s="11">
        <v>44832</v>
      </c>
      <c r="C10205" s="13" t="s">
        <v>245</v>
      </c>
      <c r="D10205" s="13" t="s">
        <v>12320</v>
      </c>
      <c r="E10205" s="8">
        <v>454711.61</v>
      </c>
      <c r="F10205" s="13" t="s">
        <v>70</v>
      </c>
      <c r="G10205" s="14">
        <v>44833</v>
      </c>
      <c r="H10205" s="13" t="s">
        <v>35</v>
      </c>
    </row>
    <row r="10206" spans="1:8" ht="14.4" x14ac:dyDescent="0.3">
      <c r="A10206" s="8">
        <v>2092670</v>
      </c>
      <c r="B10206" s="11">
        <v>44832</v>
      </c>
      <c r="C10206" s="13" t="s">
        <v>748</v>
      </c>
      <c r="D10206" s="13" t="s">
        <v>12321</v>
      </c>
      <c r="E10206" s="8">
        <v>3186.56</v>
      </c>
      <c r="F10206" s="13" t="s">
        <v>70</v>
      </c>
      <c r="G10206" s="14">
        <v>44833</v>
      </c>
      <c r="H10206" s="13" t="s">
        <v>35</v>
      </c>
    </row>
    <row r="10207" spans="1:8" ht="14.4" x14ac:dyDescent="0.3">
      <c r="A10207" s="8">
        <v>2092671</v>
      </c>
      <c r="B10207" s="11">
        <v>44832</v>
      </c>
      <c r="C10207" s="13" t="s">
        <v>748</v>
      </c>
      <c r="D10207" s="13" t="s">
        <v>12322</v>
      </c>
      <c r="E10207" s="8">
        <v>4687.5</v>
      </c>
      <c r="F10207" s="13" t="s">
        <v>70</v>
      </c>
      <c r="G10207" s="14">
        <v>44833</v>
      </c>
      <c r="H10207" s="13" t="s">
        <v>35</v>
      </c>
    </row>
    <row r="10208" spans="1:8" ht="14.4" x14ac:dyDescent="0.3">
      <c r="A10208" s="8">
        <v>2092672</v>
      </c>
      <c r="B10208" s="11">
        <v>44832</v>
      </c>
      <c r="C10208" s="13" t="s">
        <v>153</v>
      </c>
      <c r="D10208" s="13" t="s">
        <v>12323</v>
      </c>
      <c r="E10208" s="8">
        <v>70421</v>
      </c>
      <c r="F10208" s="13" t="s">
        <v>70</v>
      </c>
      <c r="G10208" s="14">
        <v>44839</v>
      </c>
      <c r="H10208" s="13" t="s">
        <v>35</v>
      </c>
    </row>
    <row r="10209" spans="1:8" ht="14.4" x14ac:dyDescent="0.3">
      <c r="A10209" s="8">
        <v>2092673</v>
      </c>
      <c r="B10209" s="11">
        <v>44832</v>
      </c>
      <c r="C10209" s="13" t="s">
        <v>42</v>
      </c>
      <c r="D10209" s="13" t="s">
        <v>12324</v>
      </c>
      <c r="E10209" s="8">
        <v>11476.47</v>
      </c>
      <c r="F10209" s="13" t="s">
        <v>70</v>
      </c>
      <c r="G10209" s="14">
        <v>44837</v>
      </c>
      <c r="H10209" s="13" t="s">
        <v>35</v>
      </c>
    </row>
    <row r="10210" spans="1:8" ht="14.4" x14ac:dyDescent="0.3">
      <c r="A10210" s="8">
        <v>2092674</v>
      </c>
      <c r="B10210" s="11">
        <v>44832</v>
      </c>
      <c r="C10210" s="13" t="s">
        <v>4765</v>
      </c>
      <c r="D10210" s="13" t="s">
        <v>12325</v>
      </c>
      <c r="E10210" s="8">
        <v>6490</v>
      </c>
      <c r="F10210" s="13" t="s">
        <v>70</v>
      </c>
      <c r="G10210" s="14">
        <v>44833</v>
      </c>
      <c r="H10210" s="13" t="s">
        <v>35</v>
      </c>
    </row>
    <row r="10211" spans="1:8" ht="14.4" x14ac:dyDescent="0.3">
      <c r="A10211" s="8">
        <v>2092675</v>
      </c>
      <c r="B10211" s="11">
        <v>44832</v>
      </c>
      <c r="C10211" s="13" t="s">
        <v>12326</v>
      </c>
      <c r="D10211" s="13" t="s">
        <v>12327</v>
      </c>
      <c r="E10211" s="8">
        <v>16500</v>
      </c>
      <c r="F10211" s="13" t="s">
        <v>70</v>
      </c>
      <c r="G10211" s="14">
        <v>44833</v>
      </c>
      <c r="H10211" s="13" t="s">
        <v>35</v>
      </c>
    </row>
    <row r="10212" spans="1:8" ht="14.4" x14ac:dyDescent="0.3">
      <c r="A10212" s="8">
        <v>2092676</v>
      </c>
      <c r="B10212" s="11">
        <v>44832</v>
      </c>
      <c r="C10212" s="13" t="s">
        <v>12328</v>
      </c>
      <c r="D10212" s="13" t="s">
        <v>12329</v>
      </c>
      <c r="E10212" s="8">
        <v>8000</v>
      </c>
      <c r="F10212" s="13" t="s">
        <v>70</v>
      </c>
      <c r="G10212" s="14">
        <v>44833</v>
      </c>
      <c r="H10212" s="13" t="s">
        <v>35</v>
      </c>
    </row>
    <row r="10213" spans="1:8" ht="14.4" x14ac:dyDescent="0.3">
      <c r="A10213" s="8">
        <v>2092677</v>
      </c>
      <c r="B10213" s="11">
        <v>44832</v>
      </c>
      <c r="C10213" s="13" t="s">
        <v>12330</v>
      </c>
      <c r="D10213" s="13" t="s">
        <v>12331</v>
      </c>
      <c r="E10213" s="8">
        <v>8000</v>
      </c>
      <c r="F10213" s="13" t="s">
        <v>70</v>
      </c>
      <c r="G10213" s="14">
        <v>44833</v>
      </c>
      <c r="H10213" s="13" t="s">
        <v>35</v>
      </c>
    </row>
    <row r="10214" spans="1:8" ht="14.4" x14ac:dyDescent="0.3">
      <c r="A10214" s="8">
        <v>2092678</v>
      </c>
      <c r="B10214" s="11">
        <v>44832</v>
      </c>
      <c r="C10214" s="13" t="s">
        <v>12332</v>
      </c>
      <c r="D10214" s="13" t="s">
        <v>12333</v>
      </c>
      <c r="E10214" s="8">
        <v>16000</v>
      </c>
      <c r="F10214" s="13" t="s">
        <v>70</v>
      </c>
      <c r="G10214" s="14">
        <v>44833</v>
      </c>
      <c r="H10214" s="13" t="s">
        <v>35</v>
      </c>
    </row>
    <row r="10215" spans="1:8" ht="14.4" x14ac:dyDescent="0.3">
      <c r="A10215" s="8">
        <v>2092679</v>
      </c>
      <c r="B10215" s="11">
        <v>44832</v>
      </c>
      <c r="C10215" s="13" t="s">
        <v>12334</v>
      </c>
      <c r="D10215" s="13" t="s">
        <v>12335</v>
      </c>
      <c r="E10215" s="8">
        <v>13000</v>
      </c>
      <c r="F10215" s="13" t="s">
        <v>70</v>
      </c>
      <c r="G10215" s="14">
        <v>44837</v>
      </c>
      <c r="H10215" s="13" t="s">
        <v>35</v>
      </c>
    </row>
    <row r="10216" spans="1:8" ht="14.4" x14ac:dyDescent="0.3">
      <c r="A10216" s="8">
        <v>2092680</v>
      </c>
      <c r="B10216" s="11">
        <v>44832</v>
      </c>
      <c r="C10216" s="13" t="s">
        <v>8614</v>
      </c>
      <c r="D10216" s="13" t="s">
        <v>12336</v>
      </c>
      <c r="E10216" s="8">
        <v>14700</v>
      </c>
      <c r="F10216" s="13" t="s">
        <v>70</v>
      </c>
      <c r="G10216" s="14">
        <v>44833</v>
      </c>
      <c r="H10216" s="13" t="s">
        <v>35</v>
      </c>
    </row>
    <row r="10217" spans="1:8" ht="14.4" x14ac:dyDescent="0.3">
      <c r="A10217" s="8">
        <v>2092681</v>
      </c>
      <c r="B10217" s="11">
        <v>44832</v>
      </c>
      <c r="C10217" s="13" t="s">
        <v>2695</v>
      </c>
      <c r="D10217" s="13" t="s">
        <v>150</v>
      </c>
      <c r="E10217" s="8">
        <v>11500</v>
      </c>
      <c r="F10217" s="13" t="s">
        <v>70</v>
      </c>
      <c r="G10217" s="14">
        <v>44832</v>
      </c>
      <c r="H10217" s="13" t="s">
        <v>35</v>
      </c>
    </row>
    <row r="10218" spans="1:8" ht="14.4" x14ac:dyDescent="0.3">
      <c r="A10218" s="8">
        <v>2092682</v>
      </c>
      <c r="B10218" s="11">
        <v>44832</v>
      </c>
      <c r="C10218" s="13" t="s">
        <v>9016</v>
      </c>
      <c r="D10218" s="13" t="s">
        <v>47</v>
      </c>
      <c r="E10218" s="8">
        <v>11000</v>
      </c>
      <c r="F10218" s="13" t="s">
        <v>70</v>
      </c>
      <c r="G10218" s="14">
        <v>44833</v>
      </c>
      <c r="H10218" s="13" t="s">
        <v>35</v>
      </c>
    </row>
    <row r="10219" spans="1:8" ht="14.4" x14ac:dyDescent="0.3">
      <c r="A10219" s="8">
        <v>2092683</v>
      </c>
      <c r="B10219" s="11">
        <v>44832</v>
      </c>
      <c r="C10219" s="13" t="s">
        <v>122</v>
      </c>
      <c r="D10219" s="13" t="s">
        <v>12337</v>
      </c>
      <c r="E10219" s="8">
        <v>10000</v>
      </c>
      <c r="F10219" s="13" t="s">
        <v>70</v>
      </c>
      <c r="G10219" s="14">
        <v>44834</v>
      </c>
      <c r="H10219" s="13" t="s">
        <v>35</v>
      </c>
    </row>
    <row r="10220" spans="1:8" ht="14.4" x14ac:dyDescent="0.3">
      <c r="A10220" s="8">
        <v>2092684</v>
      </c>
      <c r="B10220" s="11">
        <v>44832</v>
      </c>
      <c r="C10220" s="13" t="s">
        <v>12338</v>
      </c>
      <c r="D10220" s="13" t="s">
        <v>12339</v>
      </c>
      <c r="E10220" s="8">
        <v>12000</v>
      </c>
      <c r="F10220" s="13" t="s">
        <v>70</v>
      </c>
      <c r="G10220" s="14">
        <v>44833</v>
      </c>
      <c r="H10220" s="13" t="s">
        <v>35</v>
      </c>
    </row>
    <row r="10221" spans="1:8" ht="14.4" x14ac:dyDescent="0.3">
      <c r="A10221" s="8">
        <v>2092685</v>
      </c>
      <c r="B10221" s="11">
        <v>44832</v>
      </c>
      <c r="C10221" s="13" t="s">
        <v>12340</v>
      </c>
      <c r="D10221" s="13" t="s">
        <v>12341</v>
      </c>
      <c r="E10221" s="8">
        <v>15000</v>
      </c>
      <c r="F10221" s="13" t="s">
        <v>70</v>
      </c>
      <c r="G10221" s="14">
        <v>44833</v>
      </c>
      <c r="H10221" s="13" t="s">
        <v>35</v>
      </c>
    </row>
    <row r="10222" spans="1:8" ht="14.4" x14ac:dyDescent="0.3">
      <c r="A10222" s="8">
        <v>2092686</v>
      </c>
      <c r="B10222" s="11">
        <v>44832</v>
      </c>
      <c r="C10222" s="13" t="s">
        <v>12342</v>
      </c>
      <c r="D10222" s="13" t="s">
        <v>12343</v>
      </c>
      <c r="E10222" s="8">
        <v>17000</v>
      </c>
      <c r="F10222" s="13" t="s">
        <v>70</v>
      </c>
      <c r="G10222" s="14">
        <v>44833</v>
      </c>
      <c r="H10222" s="13" t="s">
        <v>35</v>
      </c>
    </row>
    <row r="10223" spans="1:8" ht="14.4" x14ac:dyDescent="0.3">
      <c r="A10223" s="8">
        <v>2092687</v>
      </c>
      <c r="B10223" s="11">
        <v>44832</v>
      </c>
      <c r="C10223" s="13" t="s">
        <v>12344</v>
      </c>
      <c r="D10223" s="13" t="s">
        <v>12345</v>
      </c>
      <c r="E10223" s="8">
        <v>50000</v>
      </c>
      <c r="F10223" s="13" t="s">
        <v>70</v>
      </c>
      <c r="G10223" s="14">
        <v>44833</v>
      </c>
      <c r="H10223" s="13" t="s">
        <v>35</v>
      </c>
    </row>
    <row r="10224" spans="1:8" ht="14.4" x14ac:dyDescent="0.3">
      <c r="A10224" s="8">
        <v>2092688</v>
      </c>
      <c r="B10224" s="11">
        <v>44832</v>
      </c>
      <c r="C10224" s="13" t="s">
        <v>12346</v>
      </c>
      <c r="D10224" s="13" t="s">
        <v>12347</v>
      </c>
      <c r="E10224" s="8">
        <v>40000</v>
      </c>
      <c r="F10224" s="13" t="s">
        <v>70</v>
      </c>
      <c r="G10224" s="14">
        <v>44854</v>
      </c>
      <c r="H10224" s="13" t="s">
        <v>35</v>
      </c>
    </row>
    <row r="10225" spans="1:8" ht="14.4" x14ac:dyDescent="0.3">
      <c r="A10225" s="8">
        <v>2092689</v>
      </c>
      <c r="B10225" s="11">
        <v>44832</v>
      </c>
      <c r="C10225" s="13" t="s">
        <v>12348</v>
      </c>
      <c r="D10225" s="13" t="s">
        <v>12349</v>
      </c>
      <c r="E10225" s="8">
        <v>9000</v>
      </c>
      <c r="F10225" s="13" t="s">
        <v>70</v>
      </c>
      <c r="G10225" s="14">
        <v>44833</v>
      </c>
      <c r="H10225" s="13" t="s">
        <v>35</v>
      </c>
    </row>
    <row r="10226" spans="1:8" ht="14.4" x14ac:dyDescent="0.3">
      <c r="A10226" s="8">
        <v>2092690</v>
      </c>
      <c r="B10226" s="11">
        <v>44832</v>
      </c>
      <c r="C10226" s="13" t="s">
        <v>12350</v>
      </c>
      <c r="D10226" s="13" t="s">
        <v>12351</v>
      </c>
      <c r="E10226" s="8">
        <v>40000</v>
      </c>
      <c r="F10226" s="13" t="s">
        <v>70</v>
      </c>
      <c r="G10226" s="14">
        <v>44833</v>
      </c>
      <c r="H10226" s="13" t="s">
        <v>35</v>
      </c>
    </row>
    <row r="10227" spans="1:8" ht="14.4" x14ac:dyDescent="0.3">
      <c r="A10227" s="8">
        <v>2092691</v>
      </c>
      <c r="B10227" s="11">
        <v>44832</v>
      </c>
      <c r="C10227" s="13" t="s">
        <v>12352</v>
      </c>
      <c r="D10227" s="13" t="s">
        <v>150</v>
      </c>
      <c r="E10227" s="8">
        <v>17000</v>
      </c>
      <c r="F10227" s="13" t="s">
        <v>70</v>
      </c>
      <c r="G10227" s="14">
        <v>44833</v>
      </c>
      <c r="H10227" s="13" t="s">
        <v>35</v>
      </c>
    </row>
    <row r="10228" spans="1:8" ht="14.4" x14ac:dyDescent="0.3">
      <c r="A10228" s="8">
        <v>2092693</v>
      </c>
      <c r="B10228" s="11">
        <v>44832</v>
      </c>
      <c r="C10228" s="13" t="s">
        <v>884</v>
      </c>
      <c r="D10228" s="13" t="s">
        <v>12353</v>
      </c>
      <c r="E10228" s="8">
        <v>1365000</v>
      </c>
      <c r="F10228" s="13" t="s">
        <v>70</v>
      </c>
      <c r="G10228" s="14">
        <v>44832</v>
      </c>
      <c r="H10228" s="13" t="s">
        <v>35</v>
      </c>
    </row>
    <row r="10229" spans="1:8" ht="14.4" x14ac:dyDescent="0.3">
      <c r="A10229" s="8">
        <v>2092694</v>
      </c>
      <c r="B10229" s="11">
        <v>44832</v>
      </c>
      <c r="C10229" s="13" t="s">
        <v>405</v>
      </c>
      <c r="D10229" s="13" t="s">
        <v>12354</v>
      </c>
      <c r="E10229" s="8">
        <v>11617.66</v>
      </c>
      <c r="F10229" s="13" t="s">
        <v>70</v>
      </c>
      <c r="G10229" s="14">
        <v>44839</v>
      </c>
      <c r="H10229" s="13" t="s">
        <v>35</v>
      </c>
    </row>
    <row r="10230" spans="1:8" ht="14.4" x14ac:dyDescent="0.3">
      <c r="A10230" s="8">
        <v>2092695</v>
      </c>
      <c r="B10230" s="11">
        <v>44832</v>
      </c>
      <c r="C10230" s="13" t="s">
        <v>673</v>
      </c>
      <c r="D10230" s="13" t="s">
        <v>12355</v>
      </c>
      <c r="E10230" s="8">
        <v>35280</v>
      </c>
      <c r="F10230" s="13" t="s">
        <v>70</v>
      </c>
      <c r="G10230" s="14">
        <v>44837</v>
      </c>
      <c r="H10230" s="13" t="s">
        <v>35</v>
      </c>
    </row>
    <row r="10231" spans="1:8" ht="14.4" x14ac:dyDescent="0.3">
      <c r="A10231" s="8">
        <v>2092696</v>
      </c>
      <c r="B10231" s="11">
        <v>44832</v>
      </c>
      <c r="C10231" s="13" t="s">
        <v>12356</v>
      </c>
      <c r="D10231" s="13" t="s">
        <v>12357</v>
      </c>
      <c r="E10231" s="8">
        <v>40000</v>
      </c>
      <c r="F10231" s="13" t="s">
        <v>70</v>
      </c>
      <c r="G10231" s="14">
        <v>44833</v>
      </c>
      <c r="H10231" s="13" t="s">
        <v>35</v>
      </c>
    </row>
    <row r="10232" spans="1:8" ht="14.4" x14ac:dyDescent="0.3">
      <c r="A10232" s="8">
        <v>2092697</v>
      </c>
      <c r="B10232" s="11">
        <v>44832</v>
      </c>
      <c r="C10232" s="13" t="s">
        <v>12358</v>
      </c>
      <c r="D10232" s="13" t="s">
        <v>12359</v>
      </c>
      <c r="E10232" s="8">
        <v>12000</v>
      </c>
      <c r="F10232" s="13" t="s">
        <v>70</v>
      </c>
      <c r="G10232" s="14">
        <v>44833</v>
      </c>
      <c r="H10232" s="13" t="s">
        <v>35</v>
      </c>
    </row>
    <row r="10233" spans="1:8" ht="14.4" x14ac:dyDescent="0.3">
      <c r="A10233" s="8">
        <v>2092698</v>
      </c>
      <c r="B10233" s="11">
        <v>44832</v>
      </c>
      <c r="C10233" s="13" t="s">
        <v>44</v>
      </c>
      <c r="D10233" s="13" t="s">
        <v>12360</v>
      </c>
      <c r="E10233" s="8">
        <v>15152.89</v>
      </c>
      <c r="F10233" s="13" t="s">
        <v>70</v>
      </c>
      <c r="G10233" s="14">
        <v>44834</v>
      </c>
      <c r="H10233" s="13" t="s">
        <v>35</v>
      </c>
    </row>
    <row r="10234" spans="1:8" ht="14.4" x14ac:dyDescent="0.3">
      <c r="A10234" s="8">
        <v>2092699</v>
      </c>
      <c r="B10234" s="11">
        <v>44832</v>
      </c>
      <c r="C10234" s="13" t="s">
        <v>1784</v>
      </c>
      <c r="D10234" s="13" t="s">
        <v>12361</v>
      </c>
      <c r="E10234" s="8">
        <v>3000</v>
      </c>
      <c r="F10234" s="13" t="s">
        <v>70</v>
      </c>
      <c r="G10234" s="14">
        <v>44834</v>
      </c>
      <c r="H10234" s="13" t="s">
        <v>35</v>
      </c>
    </row>
    <row r="10235" spans="1:8" ht="14.4" x14ac:dyDescent="0.3">
      <c r="A10235" s="8">
        <v>2092700</v>
      </c>
      <c r="B10235" s="11">
        <v>44832</v>
      </c>
      <c r="C10235" s="13" t="s">
        <v>42</v>
      </c>
      <c r="D10235" s="13" t="s">
        <v>12362</v>
      </c>
      <c r="E10235" s="8">
        <v>25060.82</v>
      </c>
      <c r="F10235" s="13" t="s">
        <v>70</v>
      </c>
      <c r="G10235" s="14">
        <v>44837</v>
      </c>
      <c r="H10235" s="13" t="s">
        <v>35</v>
      </c>
    </row>
    <row r="10236" spans="1:8" ht="14.4" x14ac:dyDescent="0.3">
      <c r="A10236" s="8">
        <v>2092702</v>
      </c>
      <c r="B10236" s="11">
        <v>44832</v>
      </c>
      <c r="C10236" s="13" t="s">
        <v>44</v>
      </c>
      <c r="D10236" s="13" t="s">
        <v>12363</v>
      </c>
      <c r="E10236" s="8">
        <v>4047.86</v>
      </c>
      <c r="F10236" s="13" t="s">
        <v>70</v>
      </c>
      <c r="G10236" s="14">
        <v>44832</v>
      </c>
      <c r="H10236" s="13" t="s">
        <v>35</v>
      </c>
    </row>
    <row r="10237" spans="1:8" ht="14.4" x14ac:dyDescent="0.3">
      <c r="A10237" s="8">
        <v>2092703</v>
      </c>
      <c r="B10237" s="11">
        <v>44832</v>
      </c>
      <c r="C10237" s="13" t="s">
        <v>195</v>
      </c>
      <c r="D10237" s="13" t="s">
        <v>12364</v>
      </c>
      <c r="E10237" s="8">
        <v>95000</v>
      </c>
      <c r="F10237" s="13" t="s">
        <v>70</v>
      </c>
      <c r="G10237" s="14">
        <v>44832</v>
      </c>
      <c r="H10237" s="13" t="s">
        <v>35</v>
      </c>
    </row>
    <row r="10238" spans="1:8" ht="14.4" x14ac:dyDescent="0.3">
      <c r="A10238" s="8">
        <v>2092704</v>
      </c>
      <c r="B10238" s="11">
        <v>44832</v>
      </c>
      <c r="C10238" s="13" t="s">
        <v>12365</v>
      </c>
      <c r="D10238" s="13" t="s">
        <v>10611</v>
      </c>
      <c r="E10238" s="8">
        <v>8267.41</v>
      </c>
      <c r="F10238" s="13" t="s">
        <v>70</v>
      </c>
      <c r="G10238" s="14">
        <v>44837</v>
      </c>
      <c r="H10238" s="13" t="s">
        <v>35</v>
      </c>
    </row>
    <row r="10239" spans="1:8" ht="14.4" x14ac:dyDescent="0.3">
      <c r="A10239" s="8">
        <v>2092705</v>
      </c>
      <c r="B10239" s="11">
        <v>44832</v>
      </c>
      <c r="C10239" s="13" t="s">
        <v>12366</v>
      </c>
      <c r="D10239" s="13" t="s">
        <v>11657</v>
      </c>
      <c r="E10239" s="8">
        <v>6000</v>
      </c>
      <c r="F10239" s="13" t="s">
        <v>70</v>
      </c>
      <c r="G10239" s="14">
        <v>44839</v>
      </c>
      <c r="H10239" s="13" t="s">
        <v>35</v>
      </c>
    </row>
    <row r="10240" spans="1:8" ht="14.4" x14ac:dyDescent="0.3">
      <c r="A10240" s="8">
        <v>2092706</v>
      </c>
      <c r="B10240" s="11">
        <v>44832</v>
      </c>
      <c r="C10240" s="13" t="s">
        <v>395</v>
      </c>
      <c r="D10240" s="13" t="s">
        <v>12367</v>
      </c>
      <c r="E10240" s="8">
        <v>55876</v>
      </c>
      <c r="F10240" s="13" t="s">
        <v>70</v>
      </c>
      <c r="G10240" s="14">
        <v>44833</v>
      </c>
      <c r="H10240" s="13" t="s">
        <v>35</v>
      </c>
    </row>
    <row r="10241" spans="1:8" ht="14.4" x14ac:dyDescent="0.3">
      <c r="A10241" s="8">
        <v>2092708</v>
      </c>
      <c r="B10241" s="11">
        <v>44832</v>
      </c>
      <c r="C10241" s="13" t="s">
        <v>1522</v>
      </c>
      <c r="D10241" s="13" t="s">
        <v>12368</v>
      </c>
      <c r="E10241" s="8">
        <v>20218</v>
      </c>
      <c r="F10241" s="13" t="s">
        <v>70</v>
      </c>
      <c r="G10241" s="14">
        <v>44834</v>
      </c>
      <c r="H10241" s="13" t="s">
        <v>35</v>
      </c>
    </row>
    <row r="10242" spans="1:8" ht="14.4" x14ac:dyDescent="0.3">
      <c r="A10242" s="8">
        <v>2092709</v>
      </c>
      <c r="B10242" s="11">
        <v>44832</v>
      </c>
      <c r="C10242" s="13" t="s">
        <v>1745</v>
      </c>
      <c r="D10242" s="13" t="s">
        <v>12369</v>
      </c>
      <c r="E10242" s="8">
        <v>3430</v>
      </c>
      <c r="F10242" s="13" t="s">
        <v>70</v>
      </c>
      <c r="G10242" s="14">
        <v>44840</v>
      </c>
      <c r="H10242" s="13" t="s">
        <v>35</v>
      </c>
    </row>
    <row r="10243" spans="1:8" ht="14.4" x14ac:dyDescent="0.3">
      <c r="A10243" s="8">
        <v>2092710</v>
      </c>
      <c r="B10243" s="11">
        <v>44832</v>
      </c>
      <c r="C10243" s="13" t="s">
        <v>405</v>
      </c>
      <c r="D10243" s="13" t="s">
        <v>12370</v>
      </c>
      <c r="E10243" s="8">
        <v>18068.439999999999</v>
      </c>
      <c r="F10243" s="13" t="s">
        <v>70</v>
      </c>
      <c r="G10243" s="14">
        <v>44839</v>
      </c>
      <c r="H10243" s="13" t="s">
        <v>35</v>
      </c>
    </row>
    <row r="10244" spans="1:8" ht="14.4" x14ac:dyDescent="0.3">
      <c r="A10244" s="8">
        <v>2092711</v>
      </c>
      <c r="B10244" s="11">
        <v>44832</v>
      </c>
      <c r="C10244" s="13" t="s">
        <v>1581</v>
      </c>
      <c r="D10244" s="13" t="s">
        <v>12371</v>
      </c>
      <c r="E10244" s="8">
        <v>29528.57</v>
      </c>
      <c r="F10244" s="13" t="s">
        <v>70</v>
      </c>
      <c r="G10244" s="14">
        <v>44833</v>
      </c>
      <c r="H10244" s="13" t="s">
        <v>35</v>
      </c>
    </row>
    <row r="10245" spans="1:8" ht="14.4" x14ac:dyDescent="0.3">
      <c r="A10245" s="8">
        <v>2092713</v>
      </c>
      <c r="B10245" s="11">
        <v>44832</v>
      </c>
      <c r="C10245" s="13" t="s">
        <v>405</v>
      </c>
      <c r="D10245" s="13" t="s">
        <v>12372</v>
      </c>
      <c r="E10245" s="8">
        <v>81356.55</v>
      </c>
      <c r="F10245" s="13" t="s">
        <v>70</v>
      </c>
      <c r="G10245" s="14">
        <v>44839</v>
      </c>
      <c r="H10245" s="13" t="s">
        <v>35</v>
      </c>
    </row>
    <row r="10246" spans="1:8" ht="14.4" x14ac:dyDescent="0.3">
      <c r="A10246" s="8">
        <v>2092714</v>
      </c>
      <c r="B10246" s="11">
        <v>44832</v>
      </c>
      <c r="C10246" s="13" t="s">
        <v>3838</v>
      </c>
      <c r="D10246" s="13" t="s">
        <v>12373</v>
      </c>
      <c r="E10246" s="8">
        <v>46912</v>
      </c>
      <c r="F10246" s="13" t="s">
        <v>70</v>
      </c>
      <c r="G10246" s="14">
        <v>44840</v>
      </c>
      <c r="H10246" s="13" t="s">
        <v>35</v>
      </c>
    </row>
    <row r="10247" spans="1:8" ht="14.4" x14ac:dyDescent="0.3">
      <c r="A10247" s="8">
        <v>2092715</v>
      </c>
      <c r="B10247" s="11">
        <v>44832</v>
      </c>
      <c r="C10247" s="13" t="s">
        <v>1946</v>
      </c>
      <c r="D10247" s="13" t="s">
        <v>12374</v>
      </c>
      <c r="E10247" s="8">
        <v>21531.24</v>
      </c>
      <c r="F10247" s="13" t="s">
        <v>70</v>
      </c>
      <c r="G10247" s="14">
        <v>44834</v>
      </c>
      <c r="H10247" s="13" t="s">
        <v>35</v>
      </c>
    </row>
    <row r="10248" spans="1:8" ht="14.4" x14ac:dyDescent="0.3">
      <c r="A10248" s="8">
        <v>2092716</v>
      </c>
      <c r="B10248" s="11">
        <v>44832</v>
      </c>
      <c r="C10248" s="13" t="s">
        <v>405</v>
      </c>
      <c r="D10248" s="13" t="s">
        <v>12375</v>
      </c>
      <c r="E10248" s="8">
        <v>22153.42</v>
      </c>
      <c r="F10248" s="13" t="s">
        <v>70</v>
      </c>
      <c r="G10248" s="14">
        <v>44839</v>
      </c>
      <c r="H10248" s="13" t="s">
        <v>35</v>
      </c>
    </row>
    <row r="10249" spans="1:8" ht="14.4" x14ac:dyDescent="0.3">
      <c r="A10249" s="8">
        <v>2092717</v>
      </c>
      <c r="B10249" s="11">
        <v>44832</v>
      </c>
      <c r="C10249" s="13" t="s">
        <v>405</v>
      </c>
      <c r="D10249" s="13" t="s">
        <v>12376</v>
      </c>
      <c r="E10249" s="8">
        <v>3787.09</v>
      </c>
      <c r="F10249" s="13" t="s">
        <v>70</v>
      </c>
      <c r="G10249" s="14">
        <v>44839</v>
      </c>
      <c r="H10249" s="13" t="s">
        <v>35</v>
      </c>
    </row>
    <row r="10250" spans="1:8" ht="14.4" x14ac:dyDescent="0.3">
      <c r="A10250" s="8">
        <v>2092718</v>
      </c>
      <c r="B10250" s="11">
        <v>44832</v>
      </c>
      <c r="C10250" s="13" t="s">
        <v>12377</v>
      </c>
      <c r="D10250" s="13" t="s">
        <v>12378</v>
      </c>
      <c r="E10250" s="8">
        <v>40131</v>
      </c>
      <c r="F10250" s="13" t="s">
        <v>70</v>
      </c>
      <c r="G10250" s="14">
        <v>44858</v>
      </c>
      <c r="H10250" s="13" t="s">
        <v>35</v>
      </c>
    </row>
    <row r="10251" spans="1:8" ht="14.4" x14ac:dyDescent="0.3">
      <c r="A10251" s="8">
        <v>2092719</v>
      </c>
      <c r="B10251" s="11">
        <v>44832</v>
      </c>
      <c r="C10251" s="13" t="s">
        <v>12379</v>
      </c>
      <c r="D10251" s="13" t="s">
        <v>12380</v>
      </c>
      <c r="E10251" s="8">
        <v>7997.32</v>
      </c>
      <c r="F10251" s="13" t="s">
        <v>70</v>
      </c>
      <c r="G10251" s="14">
        <v>44834</v>
      </c>
      <c r="H10251" s="13" t="s">
        <v>35</v>
      </c>
    </row>
    <row r="10252" spans="1:8" ht="14.4" x14ac:dyDescent="0.3">
      <c r="A10252" s="8">
        <v>2092720</v>
      </c>
      <c r="B10252" s="11">
        <v>44832</v>
      </c>
      <c r="C10252" s="13" t="s">
        <v>180</v>
      </c>
      <c r="D10252" s="13" t="s">
        <v>33</v>
      </c>
      <c r="E10252" s="8">
        <v>29000</v>
      </c>
      <c r="F10252" s="13" t="s">
        <v>70</v>
      </c>
      <c r="G10252" s="14">
        <v>44833</v>
      </c>
      <c r="H10252" s="13" t="s">
        <v>35</v>
      </c>
    </row>
    <row r="10253" spans="1:8" ht="14.4" x14ac:dyDescent="0.3">
      <c r="A10253" s="8">
        <v>2092721</v>
      </c>
      <c r="B10253" s="11">
        <v>44832</v>
      </c>
      <c r="C10253" s="13" t="s">
        <v>1645</v>
      </c>
      <c r="D10253" s="13" t="s">
        <v>12381</v>
      </c>
      <c r="E10253" s="8">
        <v>1000</v>
      </c>
      <c r="F10253" s="13" t="s">
        <v>70</v>
      </c>
      <c r="G10253" s="14">
        <v>44839</v>
      </c>
      <c r="H10253" s="13" t="s">
        <v>35</v>
      </c>
    </row>
    <row r="10254" spans="1:8" ht="14.4" x14ac:dyDescent="0.3">
      <c r="A10254" s="8">
        <v>2092722</v>
      </c>
      <c r="B10254" s="11">
        <v>44832</v>
      </c>
      <c r="C10254" s="13" t="s">
        <v>1424</v>
      </c>
      <c r="D10254" s="13" t="s">
        <v>4471</v>
      </c>
      <c r="E10254" s="8">
        <v>76424.11</v>
      </c>
      <c r="F10254" s="13" t="s">
        <v>70</v>
      </c>
      <c r="G10254" s="14">
        <v>44848</v>
      </c>
      <c r="H10254" s="13" t="s">
        <v>35</v>
      </c>
    </row>
    <row r="10255" spans="1:8" ht="14.4" x14ac:dyDescent="0.3">
      <c r="A10255" s="8">
        <v>2092723</v>
      </c>
      <c r="B10255" s="11">
        <v>44832</v>
      </c>
      <c r="C10255" s="13" t="s">
        <v>12382</v>
      </c>
      <c r="D10255" s="13" t="s">
        <v>12383</v>
      </c>
      <c r="E10255" s="8">
        <v>1821362.2</v>
      </c>
      <c r="F10255" s="13" t="s">
        <v>70</v>
      </c>
      <c r="G10255" s="14">
        <v>44834</v>
      </c>
      <c r="H10255" s="13" t="s">
        <v>35</v>
      </c>
    </row>
    <row r="10256" spans="1:8" ht="14.4" x14ac:dyDescent="0.3">
      <c r="A10256" s="8">
        <v>2092724</v>
      </c>
      <c r="B10256" s="11">
        <v>44832</v>
      </c>
      <c r="C10256" s="13" t="s">
        <v>12384</v>
      </c>
      <c r="D10256" s="13" t="s">
        <v>12385</v>
      </c>
      <c r="E10256" s="8">
        <v>4378320.4400000004</v>
      </c>
      <c r="F10256" s="13" t="s">
        <v>70</v>
      </c>
      <c r="G10256" s="14">
        <v>44834</v>
      </c>
      <c r="H10256" s="13" t="s">
        <v>35</v>
      </c>
    </row>
    <row r="10257" spans="1:8" ht="14.4" x14ac:dyDescent="0.3">
      <c r="A10257" s="8">
        <v>2092726</v>
      </c>
      <c r="B10257" s="11">
        <v>44832</v>
      </c>
      <c r="C10257" s="13" t="s">
        <v>2567</v>
      </c>
      <c r="D10257" s="13" t="s">
        <v>12386</v>
      </c>
      <c r="E10257" s="8">
        <v>17896.02</v>
      </c>
      <c r="F10257" s="13" t="s">
        <v>70</v>
      </c>
      <c r="G10257" s="14">
        <v>44844</v>
      </c>
      <c r="H10257" s="13" t="s">
        <v>35</v>
      </c>
    </row>
    <row r="10258" spans="1:8" ht="14.4" x14ac:dyDescent="0.3">
      <c r="A10258" s="8">
        <v>2092727</v>
      </c>
      <c r="B10258" s="11">
        <v>44832</v>
      </c>
      <c r="C10258" s="13" t="s">
        <v>122</v>
      </c>
      <c r="D10258" s="13" t="s">
        <v>12387</v>
      </c>
      <c r="E10258" s="8">
        <v>81480</v>
      </c>
      <c r="F10258" s="13" t="s">
        <v>70</v>
      </c>
      <c r="G10258" s="14">
        <v>44834</v>
      </c>
      <c r="H10258" s="13" t="s">
        <v>35</v>
      </c>
    </row>
    <row r="10259" spans="1:8" ht="14.4" x14ac:dyDescent="0.3">
      <c r="A10259" s="8">
        <v>2092728</v>
      </c>
      <c r="B10259" s="11">
        <v>44832</v>
      </c>
      <c r="C10259" s="13" t="s">
        <v>122</v>
      </c>
      <c r="D10259" s="13" t="s">
        <v>12388</v>
      </c>
      <c r="E10259" s="8">
        <v>131920</v>
      </c>
      <c r="F10259" s="13" t="s">
        <v>70</v>
      </c>
      <c r="G10259" s="14">
        <v>44834</v>
      </c>
      <c r="H10259" s="13" t="s">
        <v>35</v>
      </c>
    </row>
    <row r="10260" spans="1:8" ht="14.4" x14ac:dyDescent="0.3">
      <c r="A10260" s="8">
        <v>2092729</v>
      </c>
      <c r="B10260" s="11">
        <v>44832</v>
      </c>
      <c r="C10260" s="13" t="s">
        <v>122</v>
      </c>
      <c r="D10260" s="13" t="s">
        <v>12389</v>
      </c>
      <c r="E10260" s="8">
        <v>124160</v>
      </c>
      <c r="F10260" s="13" t="s">
        <v>70</v>
      </c>
      <c r="G10260" s="14">
        <v>44834</v>
      </c>
      <c r="H10260" s="13" t="s">
        <v>35</v>
      </c>
    </row>
    <row r="10261" spans="1:8" ht="14.4" x14ac:dyDescent="0.3">
      <c r="A10261" s="8">
        <v>2092730</v>
      </c>
      <c r="B10261" s="11">
        <v>44832</v>
      </c>
      <c r="C10261" s="13" t="s">
        <v>202</v>
      </c>
      <c r="D10261" s="13" t="s">
        <v>12390</v>
      </c>
      <c r="E10261" s="8">
        <v>375470.4</v>
      </c>
      <c r="F10261" s="13" t="s">
        <v>70</v>
      </c>
      <c r="G10261" s="14">
        <v>44837</v>
      </c>
      <c r="H10261" s="13" t="s">
        <v>35</v>
      </c>
    </row>
    <row r="10262" spans="1:8" ht="14.4" x14ac:dyDescent="0.3">
      <c r="A10262" s="8">
        <v>2092732</v>
      </c>
      <c r="B10262" s="11">
        <v>44832</v>
      </c>
      <c r="C10262" s="13" t="s">
        <v>12391</v>
      </c>
      <c r="D10262" s="13" t="s">
        <v>47</v>
      </c>
      <c r="E10262" s="8">
        <v>8000</v>
      </c>
      <c r="F10262" s="13" t="s">
        <v>70</v>
      </c>
      <c r="G10262" s="14">
        <v>44834</v>
      </c>
      <c r="H10262" s="13" t="s">
        <v>35</v>
      </c>
    </row>
    <row r="10263" spans="1:8" ht="14.4" x14ac:dyDescent="0.3">
      <c r="A10263" s="8">
        <v>2092733</v>
      </c>
      <c r="B10263" s="11">
        <v>44832</v>
      </c>
      <c r="C10263" s="13" t="s">
        <v>12392</v>
      </c>
      <c r="D10263" s="13" t="s">
        <v>12393</v>
      </c>
      <c r="E10263" s="8">
        <v>10000</v>
      </c>
      <c r="F10263" s="13" t="s">
        <v>70</v>
      </c>
      <c r="G10263" s="14">
        <v>44837</v>
      </c>
      <c r="H10263" s="13" t="s">
        <v>35</v>
      </c>
    </row>
    <row r="10264" spans="1:8" ht="14.4" x14ac:dyDescent="0.3">
      <c r="A10264" s="8">
        <v>2092734</v>
      </c>
      <c r="B10264" s="11">
        <v>44832</v>
      </c>
      <c r="C10264" s="13" t="s">
        <v>12394</v>
      </c>
      <c r="D10264" s="13" t="s">
        <v>12395</v>
      </c>
      <c r="E10264" s="8">
        <v>10000</v>
      </c>
      <c r="F10264" s="13" t="s">
        <v>70</v>
      </c>
      <c r="G10264" s="14">
        <v>44834</v>
      </c>
      <c r="H10264" s="13" t="s">
        <v>35</v>
      </c>
    </row>
    <row r="10265" spans="1:8" ht="14.4" x14ac:dyDescent="0.3">
      <c r="A10265" s="8">
        <v>2092735</v>
      </c>
      <c r="B10265" s="11">
        <v>44832</v>
      </c>
      <c r="C10265" s="13" t="s">
        <v>12396</v>
      </c>
      <c r="D10265" s="13" t="s">
        <v>12397</v>
      </c>
      <c r="E10265" s="8">
        <v>11000</v>
      </c>
      <c r="F10265" s="13" t="s">
        <v>70</v>
      </c>
      <c r="G10265" s="14">
        <v>44837</v>
      </c>
      <c r="H10265" s="13" t="s">
        <v>35</v>
      </c>
    </row>
    <row r="10266" spans="1:8" ht="14.4" x14ac:dyDescent="0.3">
      <c r="A10266" s="8">
        <v>2092736</v>
      </c>
      <c r="B10266" s="11">
        <v>44832</v>
      </c>
      <c r="C10266" s="13" t="s">
        <v>12398</v>
      </c>
      <c r="D10266" s="13" t="s">
        <v>47</v>
      </c>
      <c r="E10266" s="8">
        <v>7000</v>
      </c>
      <c r="F10266" s="13" t="s">
        <v>70</v>
      </c>
      <c r="G10266" s="14">
        <v>44834</v>
      </c>
      <c r="H10266" s="13" t="s">
        <v>35</v>
      </c>
    </row>
    <row r="10267" spans="1:8" ht="14.4" x14ac:dyDescent="0.3">
      <c r="A10267" s="8">
        <v>2092737</v>
      </c>
      <c r="B10267" s="11">
        <v>44832</v>
      </c>
      <c r="C10267" s="13" t="s">
        <v>12399</v>
      </c>
      <c r="D10267" s="13" t="s">
        <v>12400</v>
      </c>
      <c r="E10267" s="8">
        <v>23000</v>
      </c>
      <c r="F10267" s="13" t="s">
        <v>70</v>
      </c>
      <c r="G10267" s="14">
        <v>44837</v>
      </c>
      <c r="H10267" s="13" t="s">
        <v>35</v>
      </c>
    </row>
    <row r="10268" spans="1:8" ht="14.4" x14ac:dyDescent="0.3">
      <c r="A10268" s="8">
        <v>2092738</v>
      </c>
      <c r="B10268" s="11">
        <v>44832</v>
      </c>
      <c r="C10268" s="13" t="s">
        <v>12401</v>
      </c>
      <c r="D10268" s="13" t="s">
        <v>47</v>
      </c>
      <c r="E10268" s="8">
        <v>10000</v>
      </c>
      <c r="F10268" s="13" t="s">
        <v>70</v>
      </c>
      <c r="G10268" s="14">
        <v>44834</v>
      </c>
      <c r="H10268" s="13" t="s">
        <v>35</v>
      </c>
    </row>
    <row r="10269" spans="1:8" ht="14.4" x14ac:dyDescent="0.3">
      <c r="A10269" s="8">
        <v>2092739</v>
      </c>
      <c r="B10269" s="11">
        <v>44832</v>
      </c>
      <c r="C10269" s="13" t="s">
        <v>12402</v>
      </c>
      <c r="D10269" s="13" t="s">
        <v>12403</v>
      </c>
      <c r="E10269" s="8">
        <v>10000</v>
      </c>
      <c r="F10269" s="13" t="s">
        <v>70</v>
      </c>
      <c r="G10269" s="14">
        <v>44834</v>
      </c>
      <c r="H10269" s="13" t="s">
        <v>35</v>
      </c>
    </row>
    <row r="10270" spans="1:8" ht="14.4" x14ac:dyDescent="0.3">
      <c r="A10270" s="8">
        <v>2092740</v>
      </c>
      <c r="B10270" s="11">
        <v>44832</v>
      </c>
      <c r="C10270" s="13" t="s">
        <v>12404</v>
      </c>
      <c r="D10270" s="13" t="s">
        <v>12405</v>
      </c>
      <c r="E10270" s="8">
        <v>8000</v>
      </c>
      <c r="F10270" s="13" t="s">
        <v>70</v>
      </c>
      <c r="G10270" s="14">
        <v>44834</v>
      </c>
      <c r="H10270" s="13" t="s">
        <v>35</v>
      </c>
    </row>
    <row r="10271" spans="1:8" ht="14.4" x14ac:dyDescent="0.3">
      <c r="A10271" s="8">
        <v>2092741</v>
      </c>
      <c r="B10271" s="11">
        <v>44832</v>
      </c>
      <c r="C10271" s="13" t="s">
        <v>12406</v>
      </c>
      <c r="D10271" s="13" t="s">
        <v>150</v>
      </c>
      <c r="E10271" s="8">
        <v>13000</v>
      </c>
      <c r="F10271" s="13" t="s">
        <v>70</v>
      </c>
      <c r="G10271" s="14">
        <v>44834</v>
      </c>
      <c r="H10271" s="13" t="s">
        <v>35</v>
      </c>
    </row>
    <row r="10272" spans="1:8" ht="14.4" x14ac:dyDescent="0.3">
      <c r="A10272" s="8">
        <v>2092742</v>
      </c>
      <c r="B10272" s="11">
        <v>44832</v>
      </c>
      <c r="C10272" s="13" t="s">
        <v>12407</v>
      </c>
      <c r="D10272" s="13" t="s">
        <v>12408</v>
      </c>
      <c r="E10272" s="8">
        <v>10000</v>
      </c>
      <c r="F10272" s="13" t="s">
        <v>70</v>
      </c>
      <c r="G10272" s="14">
        <v>44837</v>
      </c>
      <c r="H10272" s="13" t="s">
        <v>35</v>
      </c>
    </row>
    <row r="10273" spans="1:8" ht="14.4" x14ac:dyDescent="0.3">
      <c r="A10273" s="8">
        <v>2092743</v>
      </c>
      <c r="B10273" s="11">
        <v>44832</v>
      </c>
      <c r="C10273" s="13" t="s">
        <v>12301</v>
      </c>
      <c r="D10273" s="13" t="s">
        <v>12409</v>
      </c>
      <c r="E10273" s="8">
        <v>679000</v>
      </c>
      <c r="F10273" s="13" t="s">
        <v>70</v>
      </c>
      <c r="G10273" s="14">
        <v>44848</v>
      </c>
      <c r="H10273" s="13" t="s">
        <v>35</v>
      </c>
    </row>
    <row r="10274" spans="1:8" ht="14.4" x14ac:dyDescent="0.3">
      <c r="A10274" s="8">
        <v>2092744</v>
      </c>
      <c r="B10274" s="11">
        <v>44832</v>
      </c>
      <c r="C10274" s="13" t="s">
        <v>1524</v>
      </c>
      <c r="D10274" s="13" t="s">
        <v>12410</v>
      </c>
      <c r="E10274" s="8">
        <v>17859.11</v>
      </c>
      <c r="F10274" s="13" t="s">
        <v>70</v>
      </c>
      <c r="G10274" s="14">
        <v>44834</v>
      </c>
      <c r="H10274" s="13" t="s">
        <v>35</v>
      </c>
    </row>
    <row r="10275" spans="1:8" ht="14.4" x14ac:dyDescent="0.3">
      <c r="A10275" s="8">
        <v>2092745</v>
      </c>
      <c r="B10275" s="11">
        <v>44832</v>
      </c>
      <c r="C10275" s="13" t="s">
        <v>1420</v>
      </c>
      <c r="D10275" s="13" t="s">
        <v>12411</v>
      </c>
      <c r="E10275" s="8">
        <v>14395.18</v>
      </c>
      <c r="F10275" s="13" t="s">
        <v>70</v>
      </c>
      <c r="G10275" s="14">
        <v>44840</v>
      </c>
      <c r="H10275" s="13" t="s">
        <v>35</v>
      </c>
    </row>
    <row r="10276" spans="1:8" ht="14.4" x14ac:dyDescent="0.3">
      <c r="A10276" s="8">
        <v>2092034</v>
      </c>
      <c r="B10276" s="11">
        <v>44837</v>
      </c>
      <c r="C10276" s="13" t="s">
        <v>12412</v>
      </c>
      <c r="D10276" s="13" t="s">
        <v>12413</v>
      </c>
      <c r="E10276" s="8">
        <v>18062.09</v>
      </c>
      <c r="F10276" s="13" t="s">
        <v>70</v>
      </c>
      <c r="G10276" s="14">
        <v>44838</v>
      </c>
      <c r="H10276" s="13" t="s">
        <v>35</v>
      </c>
    </row>
    <row r="10277" spans="1:8" ht="14.4" x14ac:dyDescent="0.3">
      <c r="A10277" s="8">
        <v>2092035</v>
      </c>
      <c r="B10277" s="11">
        <v>44837</v>
      </c>
      <c r="C10277" s="13" t="s">
        <v>12414</v>
      </c>
      <c r="D10277" s="13" t="s">
        <v>12413</v>
      </c>
      <c r="E10277" s="8">
        <v>15917.01</v>
      </c>
      <c r="F10277" s="13" t="s">
        <v>70</v>
      </c>
      <c r="G10277" s="14">
        <v>44838</v>
      </c>
      <c r="H10277" s="13" t="s">
        <v>35</v>
      </c>
    </row>
    <row r="10278" spans="1:8" ht="14.4" x14ac:dyDescent="0.3">
      <c r="A10278" s="8">
        <v>2092036</v>
      </c>
      <c r="B10278" s="11">
        <v>44837</v>
      </c>
      <c r="C10278" s="13" t="s">
        <v>12415</v>
      </c>
      <c r="D10278" s="13" t="s">
        <v>8755</v>
      </c>
      <c r="E10278" s="8">
        <v>10423.31</v>
      </c>
      <c r="F10278" s="13" t="s">
        <v>70</v>
      </c>
      <c r="G10278" s="14">
        <v>44839</v>
      </c>
      <c r="H10278" s="13" t="s">
        <v>35</v>
      </c>
    </row>
    <row r="10279" spans="1:8" ht="14.4" x14ac:dyDescent="0.3">
      <c r="A10279" s="8">
        <v>2092037</v>
      </c>
      <c r="B10279" s="11">
        <v>44837</v>
      </c>
      <c r="C10279" s="13" t="s">
        <v>12416</v>
      </c>
      <c r="D10279" s="13" t="s">
        <v>8755</v>
      </c>
      <c r="E10279" s="8">
        <v>10423.31</v>
      </c>
      <c r="F10279" s="13" t="s">
        <v>70</v>
      </c>
      <c r="G10279" s="14">
        <v>44839</v>
      </c>
      <c r="H10279" s="13" t="s">
        <v>35</v>
      </c>
    </row>
    <row r="10280" spans="1:8" ht="14.4" x14ac:dyDescent="0.3">
      <c r="A10280" s="8">
        <v>2092038</v>
      </c>
      <c r="B10280" s="11">
        <v>44837</v>
      </c>
      <c r="C10280" s="13" t="s">
        <v>142</v>
      </c>
      <c r="D10280" s="13" t="s">
        <v>12417</v>
      </c>
      <c r="E10280" s="8">
        <v>38202.6</v>
      </c>
      <c r="F10280" s="13" t="s">
        <v>70</v>
      </c>
      <c r="G10280" s="14">
        <v>44839</v>
      </c>
      <c r="H10280" s="13" t="s">
        <v>35</v>
      </c>
    </row>
    <row r="10281" spans="1:8" ht="14.4" x14ac:dyDescent="0.3">
      <c r="A10281" s="8">
        <v>2092039</v>
      </c>
      <c r="B10281" s="11">
        <v>44838</v>
      </c>
      <c r="C10281" s="13" t="s">
        <v>1581</v>
      </c>
      <c r="D10281" s="13" t="s">
        <v>12418</v>
      </c>
      <c r="E10281" s="8">
        <v>20821.43</v>
      </c>
      <c r="F10281" s="13" t="s">
        <v>70</v>
      </c>
      <c r="G10281" s="14">
        <v>44846</v>
      </c>
      <c r="H10281" s="13" t="s">
        <v>35</v>
      </c>
    </row>
    <row r="10282" spans="1:8" ht="14.4" x14ac:dyDescent="0.3">
      <c r="A10282" s="8">
        <v>2092040</v>
      </c>
      <c r="B10282" s="11">
        <v>44838</v>
      </c>
      <c r="C10282" s="13" t="s">
        <v>1581</v>
      </c>
      <c r="D10282" s="13" t="s">
        <v>12419</v>
      </c>
      <c r="E10282" s="8">
        <v>20821.43</v>
      </c>
      <c r="F10282" s="13" t="s">
        <v>70</v>
      </c>
      <c r="G10282" s="14">
        <v>44846</v>
      </c>
      <c r="H10282" s="13" t="s">
        <v>35</v>
      </c>
    </row>
    <row r="10283" spans="1:8" ht="14.4" x14ac:dyDescent="0.3">
      <c r="A10283" s="8">
        <v>2092746</v>
      </c>
      <c r="B10283" s="11">
        <v>44838</v>
      </c>
      <c r="C10283" s="13" t="s">
        <v>4955</v>
      </c>
      <c r="D10283" s="13" t="s">
        <v>12420</v>
      </c>
      <c r="E10283" s="8">
        <v>2872.24</v>
      </c>
      <c r="F10283" s="13" t="s">
        <v>70</v>
      </c>
      <c r="G10283" s="14">
        <v>44840</v>
      </c>
      <c r="H10283" s="13" t="s">
        <v>35</v>
      </c>
    </row>
    <row r="10284" spans="1:8" ht="14.4" x14ac:dyDescent="0.3">
      <c r="A10284" s="8">
        <v>2092747</v>
      </c>
      <c r="B10284" s="11">
        <v>44838</v>
      </c>
      <c r="C10284" s="13" t="s">
        <v>4955</v>
      </c>
      <c r="D10284" s="13" t="s">
        <v>12421</v>
      </c>
      <c r="E10284" s="8">
        <v>760</v>
      </c>
      <c r="F10284" s="13" t="s">
        <v>70</v>
      </c>
      <c r="G10284" s="14">
        <v>44840</v>
      </c>
      <c r="H10284" s="13" t="s">
        <v>35</v>
      </c>
    </row>
    <row r="10285" spans="1:8" ht="14.4" x14ac:dyDescent="0.3">
      <c r="A10285" s="8">
        <v>2092748</v>
      </c>
      <c r="B10285" s="11">
        <v>44838</v>
      </c>
      <c r="C10285" s="13" t="s">
        <v>4955</v>
      </c>
      <c r="D10285" s="13" t="s">
        <v>12422</v>
      </c>
      <c r="E10285" s="8">
        <v>700</v>
      </c>
      <c r="F10285" s="13" t="s">
        <v>70</v>
      </c>
      <c r="G10285" s="14">
        <v>44840</v>
      </c>
      <c r="H10285" s="13" t="s">
        <v>35</v>
      </c>
    </row>
    <row r="10286" spans="1:8" ht="14.4" x14ac:dyDescent="0.3">
      <c r="A10286" s="8">
        <v>2092749</v>
      </c>
      <c r="B10286" s="11">
        <v>44838</v>
      </c>
      <c r="C10286" s="13" t="s">
        <v>4955</v>
      </c>
      <c r="D10286" s="13" t="s">
        <v>12423</v>
      </c>
      <c r="E10286" s="8">
        <v>2704.24</v>
      </c>
      <c r="F10286" s="13" t="s">
        <v>70</v>
      </c>
      <c r="G10286" s="14">
        <v>44840</v>
      </c>
      <c r="H10286" s="13" t="s">
        <v>35</v>
      </c>
    </row>
    <row r="10287" spans="1:8" ht="14.4" x14ac:dyDescent="0.3">
      <c r="A10287" s="8">
        <v>2092750</v>
      </c>
      <c r="B10287" s="11">
        <v>44838</v>
      </c>
      <c r="C10287" s="13" t="s">
        <v>162</v>
      </c>
      <c r="D10287" s="13" t="s">
        <v>12424</v>
      </c>
      <c r="E10287" s="8">
        <v>70788.77</v>
      </c>
      <c r="F10287" s="13" t="s">
        <v>70</v>
      </c>
      <c r="G10287" s="14">
        <v>44840</v>
      </c>
      <c r="H10287" s="13" t="s">
        <v>35</v>
      </c>
    </row>
    <row r="10288" spans="1:8" ht="14.4" x14ac:dyDescent="0.3">
      <c r="A10288" s="8">
        <v>2092751</v>
      </c>
      <c r="B10288" s="11">
        <v>44838</v>
      </c>
      <c r="C10288" s="13" t="s">
        <v>162</v>
      </c>
      <c r="D10288" s="13" t="s">
        <v>12425</v>
      </c>
      <c r="E10288" s="8">
        <v>15491.59</v>
      </c>
      <c r="F10288" s="13" t="s">
        <v>70</v>
      </c>
      <c r="G10288" s="14">
        <v>44845</v>
      </c>
      <c r="H10288" s="13" t="s">
        <v>35</v>
      </c>
    </row>
    <row r="10289" spans="1:8" ht="14.4" x14ac:dyDescent="0.3">
      <c r="A10289" s="8">
        <v>2092752</v>
      </c>
      <c r="B10289" s="11">
        <v>44838</v>
      </c>
      <c r="C10289" s="13" t="s">
        <v>162</v>
      </c>
      <c r="D10289" s="13" t="s">
        <v>12426</v>
      </c>
      <c r="E10289" s="8">
        <v>704505.37</v>
      </c>
      <c r="F10289" s="13" t="s">
        <v>70</v>
      </c>
      <c r="G10289" s="14">
        <v>44845</v>
      </c>
      <c r="H10289" s="13" t="s">
        <v>35</v>
      </c>
    </row>
    <row r="10290" spans="1:8" ht="14.4" x14ac:dyDescent="0.3">
      <c r="A10290" s="8">
        <v>2092753</v>
      </c>
      <c r="B10290" s="11">
        <v>44838</v>
      </c>
      <c r="C10290" s="13" t="s">
        <v>162</v>
      </c>
      <c r="D10290" s="13" t="s">
        <v>12427</v>
      </c>
      <c r="E10290" s="8">
        <v>3208.9</v>
      </c>
      <c r="F10290" s="13" t="s">
        <v>70</v>
      </c>
      <c r="G10290" s="14">
        <v>44845</v>
      </c>
      <c r="H10290" s="13" t="s">
        <v>35</v>
      </c>
    </row>
    <row r="10291" spans="1:8" ht="14.4" x14ac:dyDescent="0.3">
      <c r="A10291" s="8">
        <v>2092754</v>
      </c>
      <c r="B10291" s="11">
        <v>44838</v>
      </c>
      <c r="C10291" s="13" t="s">
        <v>43</v>
      </c>
      <c r="D10291" s="13" t="s">
        <v>12428</v>
      </c>
      <c r="E10291" s="8">
        <v>509062.86</v>
      </c>
      <c r="F10291" s="13" t="s">
        <v>70</v>
      </c>
      <c r="G10291" s="14">
        <v>44845</v>
      </c>
      <c r="H10291" s="13" t="s">
        <v>35</v>
      </c>
    </row>
    <row r="10292" spans="1:8" ht="14.4" x14ac:dyDescent="0.3">
      <c r="A10292" s="8">
        <v>2092755</v>
      </c>
      <c r="B10292" s="11">
        <v>44838</v>
      </c>
      <c r="C10292" s="13" t="s">
        <v>125</v>
      </c>
      <c r="D10292" s="13" t="s">
        <v>12429</v>
      </c>
      <c r="E10292" s="8">
        <v>138105.45000000001</v>
      </c>
      <c r="F10292" s="13" t="s">
        <v>70</v>
      </c>
      <c r="G10292" s="14">
        <v>44846</v>
      </c>
      <c r="H10292" s="13" t="s">
        <v>35</v>
      </c>
    </row>
    <row r="10293" spans="1:8" ht="14.4" x14ac:dyDescent="0.3">
      <c r="A10293" s="8">
        <v>2092756</v>
      </c>
      <c r="B10293" s="11">
        <v>44838</v>
      </c>
      <c r="C10293" s="13" t="s">
        <v>162</v>
      </c>
      <c r="D10293" s="13" t="s">
        <v>12430</v>
      </c>
      <c r="E10293" s="8">
        <v>38346.57</v>
      </c>
      <c r="F10293" s="13" t="s">
        <v>70</v>
      </c>
      <c r="G10293" s="14">
        <v>44845</v>
      </c>
      <c r="H10293" s="13" t="s">
        <v>35</v>
      </c>
    </row>
    <row r="10294" spans="1:8" ht="14.4" x14ac:dyDescent="0.3">
      <c r="A10294" s="8">
        <v>2092757</v>
      </c>
      <c r="B10294" s="11">
        <v>44838</v>
      </c>
      <c r="C10294" s="13" t="s">
        <v>162</v>
      </c>
      <c r="D10294" s="13" t="s">
        <v>12431</v>
      </c>
      <c r="E10294" s="8">
        <v>8463.57</v>
      </c>
      <c r="F10294" s="13" t="s">
        <v>70</v>
      </c>
      <c r="G10294" s="14">
        <v>44840</v>
      </c>
      <c r="H10294" s="13" t="s">
        <v>35</v>
      </c>
    </row>
    <row r="10295" spans="1:8" ht="14.4" x14ac:dyDescent="0.3">
      <c r="A10295" s="8">
        <v>2092758</v>
      </c>
      <c r="B10295" s="11">
        <v>44838</v>
      </c>
      <c r="C10295" s="13" t="s">
        <v>124</v>
      </c>
      <c r="D10295" s="13" t="s">
        <v>12432</v>
      </c>
      <c r="E10295" s="8">
        <v>151.9</v>
      </c>
      <c r="F10295" s="13" t="s">
        <v>70</v>
      </c>
      <c r="G10295" s="14">
        <v>44840</v>
      </c>
      <c r="H10295" s="13" t="s">
        <v>35</v>
      </c>
    </row>
    <row r="10296" spans="1:8" ht="14.4" x14ac:dyDescent="0.3">
      <c r="A10296" s="8">
        <v>2092759</v>
      </c>
      <c r="B10296" s="11">
        <v>44838</v>
      </c>
      <c r="C10296" s="13" t="s">
        <v>162</v>
      </c>
      <c r="D10296" s="13" t="s">
        <v>12433</v>
      </c>
      <c r="E10296" s="8">
        <v>979006.06</v>
      </c>
      <c r="F10296" s="13" t="s">
        <v>70</v>
      </c>
      <c r="G10296" s="14">
        <v>44845</v>
      </c>
      <c r="H10296" s="13" t="s">
        <v>35</v>
      </c>
    </row>
    <row r="10297" spans="1:8" ht="14.4" x14ac:dyDescent="0.3">
      <c r="A10297" s="8">
        <v>2092760</v>
      </c>
      <c r="B10297" s="11">
        <v>44838</v>
      </c>
      <c r="C10297" s="13" t="s">
        <v>162</v>
      </c>
      <c r="D10297" s="13" t="s">
        <v>12434</v>
      </c>
      <c r="E10297" s="8">
        <v>656359.03</v>
      </c>
      <c r="F10297" s="13" t="s">
        <v>70</v>
      </c>
      <c r="G10297" s="14">
        <v>44845</v>
      </c>
      <c r="H10297" s="13" t="s">
        <v>35</v>
      </c>
    </row>
    <row r="10298" spans="1:8" ht="14.4" x14ac:dyDescent="0.3">
      <c r="A10298" s="8">
        <v>2092761</v>
      </c>
      <c r="B10298" s="11">
        <v>44838</v>
      </c>
      <c r="C10298" s="13" t="s">
        <v>44</v>
      </c>
      <c r="D10298" s="13" t="s">
        <v>12435</v>
      </c>
      <c r="E10298" s="8">
        <v>7302.32</v>
      </c>
      <c r="F10298" s="13" t="s">
        <v>70</v>
      </c>
      <c r="G10298" s="14">
        <v>44840</v>
      </c>
      <c r="H10298" s="13" t="s">
        <v>35</v>
      </c>
    </row>
    <row r="10299" spans="1:8" ht="14.4" x14ac:dyDescent="0.3">
      <c r="A10299" s="8">
        <v>2092762</v>
      </c>
      <c r="B10299" s="11">
        <v>44838</v>
      </c>
      <c r="C10299" s="13" t="s">
        <v>162</v>
      </c>
      <c r="D10299" s="13" t="s">
        <v>12436</v>
      </c>
      <c r="E10299" s="8">
        <v>84350.99</v>
      </c>
      <c r="F10299" s="13" t="s">
        <v>70</v>
      </c>
      <c r="G10299" s="14">
        <v>44845</v>
      </c>
      <c r="H10299" s="13" t="s">
        <v>35</v>
      </c>
    </row>
    <row r="10300" spans="1:8" ht="14.4" x14ac:dyDescent="0.3">
      <c r="A10300" s="8">
        <v>2092763</v>
      </c>
      <c r="B10300" s="11">
        <v>44838</v>
      </c>
      <c r="C10300" s="13" t="s">
        <v>184</v>
      </c>
      <c r="D10300" s="13" t="s">
        <v>12437</v>
      </c>
      <c r="E10300" s="8">
        <v>182500</v>
      </c>
      <c r="F10300" s="13" t="s">
        <v>70</v>
      </c>
      <c r="G10300" s="14">
        <v>44839</v>
      </c>
      <c r="H10300" s="13" t="s">
        <v>35</v>
      </c>
    </row>
    <row r="10301" spans="1:8" ht="14.4" x14ac:dyDescent="0.3">
      <c r="A10301" s="8">
        <v>2092764</v>
      </c>
      <c r="B10301" s="11">
        <v>44838</v>
      </c>
      <c r="C10301" s="13" t="s">
        <v>189</v>
      </c>
      <c r="D10301" s="13" t="s">
        <v>12438</v>
      </c>
      <c r="E10301" s="8">
        <v>8442196.8800000008</v>
      </c>
      <c r="F10301" s="13" t="s">
        <v>70</v>
      </c>
      <c r="G10301" s="14">
        <v>44839</v>
      </c>
      <c r="H10301" s="13" t="s">
        <v>35</v>
      </c>
    </row>
    <row r="10302" spans="1:8" ht="14.4" x14ac:dyDescent="0.3">
      <c r="A10302" s="8">
        <v>2092765</v>
      </c>
      <c r="B10302" s="11">
        <v>44838</v>
      </c>
      <c r="C10302" s="13" t="s">
        <v>2425</v>
      </c>
      <c r="D10302" s="13" t="s">
        <v>12439</v>
      </c>
      <c r="E10302" s="8">
        <v>1746602.92</v>
      </c>
      <c r="F10302" s="13" t="s">
        <v>70</v>
      </c>
      <c r="G10302" s="14">
        <v>44839</v>
      </c>
      <c r="H10302" s="13" t="s">
        <v>35</v>
      </c>
    </row>
    <row r="10303" spans="1:8" ht="14.4" x14ac:dyDescent="0.3">
      <c r="A10303" s="8">
        <v>2092766</v>
      </c>
      <c r="B10303" s="11">
        <v>44838</v>
      </c>
      <c r="C10303" s="13" t="s">
        <v>1645</v>
      </c>
      <c r="D10303" s="13" t="s">
        <v>12439</v>
      </c>
      <c r="E10303" s="8">
        <v>610827.11</v>
      </c>
      <c r="F10303" s="13" t="s">
        <v>70</v>
      </c>
      <c r="G10303" s="14">
        <v>44839</v>
      </c>
      <c r="H10303" s="13" t="s">
        <v>35</v>
      </c>
    </row>
    <row r="10304" spans="1:8" ht="14.4" x14ac:dyDescent="0.3">
      <c r="A10304" s="8">
        <v>2092767</v>
      </c>
      <c r="B10304" s="11">
        <v>44838</v>
      </c>
      <c r="C10304" s="13" t="s">
        <v>197</v>
      </c>
      <c r="D10304" s="13" t="s">
        <v>12439</v>
      </c>
      <c r="E10304" s="8">
        <v>1660316.93</v>
      </c>
      <c r="F10304" s="13" t="s">
        <v>70</v>
      </c>
      <c r="G10304" s="14">
        <v>44839</v>
      </c>
      <c r="H10304" s="13" t="s">
        <v>35</v>
      </c>
    </row>
    <row r="10305" spans="1:8" ht="14.4" x14ac:dyDescent="0.3">
      <c r="A10305" s="8">
        <v>2092768</v>
      </c>
      <c r="B10305" s="11">
        <v>44838</v>
      </c>
      <c r="C10305" s="13" t="s">
        <v>188</v>
      </c>
      <c r="D10305" s="13" t="s">
        <v>12440</v>
      </c>
      <c r="E10305" s="8">
        <v>5998.52</v>
      </c>
      <c r="F10305" s="13" t="s">
        <v>70</v>
      </c>
      <c r="G10305" s="14">
        <v>44839</v>
      </c>
      <c r="H10305" s="13" t="s">
        <v>35</v>
      </c>
    </row>
    <row r="10306" spans="1:8" ht="14.4" x14ac:dyDescent="0.3">
      <c r="A10306" s="8">
        <v>2092769</v>
      </c>
      <c r="B10306" s="11">
        <v>44838</v>
      </c>
      <c r="C10306" s="13" t="s">
        <v>188</v>
      </c>
      <c r="D10306" s="13" t="s">
        <v>6320</v>
      </c>
      <c r="E10306" s="8">
        <v>730295.15</v>
      </c>
      <c r="F10306" s="13" t="s">
        <v>70</v>
      </c>
      <c r="G10306" s="14">
        <v>44839</v>
      </c>
      <c r="H10306" s="13" t="s">
        <v>35</v>
      </c>
    </row>
    <row r="10307" spans="1:8" ht="14.4" x14ac:dyDescent="0.3">
      <c r="A10307" s="8">
        <v>2092770</v>
      </c>
      <c r="B10307" s="11">
        <v>44838</v>
      </c>
      <c r="C10307" s="13" t="s">
        <v>188</v>
      </c>
      <c r="D10307" s="13" t="s">
        <v>12441</v>
      </c>
      <c r="E10307" s="8">
        <v>8656.08</v>
      </c>
      <c r="F10307" s="13" t="s">
        <v>70</v>
      </c>
      <c r="G10307" s="14">
        <v>44839</v>
      </c>
      <c r="H10307" s="13" t="s">
        <v>35</v>
      </c>
    </row>
    <row r="10308" spans="1:8" ht="14.4" x14ac:dyDescent="0.3">
      <c r="A10308" s="8">
        <v>2092771</v>
      </c>
      <c r="B10308" s="11">
        <v>44838</v>
      </c>
      <c r="C10308" s="13" t="s">
        <v>197</v>
      </c>
      <c r="D10308" s="13" t="s">
        <v>12442</v>
      </c>
      <c r="E10308" s="8">
        <v>2847553.09</v>
      </c>
      <c r="F10308" s="13" t="s">
        <v>70</v>
      </c>
      <c r="G10308" s="14">
        <v>44839</v>
      </c>
      <c r="H10308" s="13" t="s">
        <v>35</v>
      </c>
    </row>
    <row r="10309" spans="1:8" ht="14.4" x14ac:dyDescent="0.3">
      <c r="A10309" s="8">
        <v>2092772</v>
      </c>
      <c r="B10309" s="11">
        <v>44838</v>
      </c>
      <c r="C10309" s="13" t="s">
        <v>85</v>
      </c>
      <c r="D10309" s="13" t="s">
        <v>12443</v>
      </c>
      <c r="E10309" s="8">
        <v>3000</v>
      </c>
      <c r="F10309" s="13" t="s">
        <v>70</v>
      </c>
      <c r="G10309" s="14">
        <v>44844</v>
      </c>
      <c r="H10309" s="13" t="s">
        <v>35</v>
      </c>
    </row>
    <row r="10310" spans="1:8" ht="14.4" x14ac:dyDescent="0.3">
      <c r="A10310" s="8">
        <v>2092774</v>
      </c>
      <c r="B10310" s="11">
        <v>44838</v>
      </c>
      <c r="C10310" s="13" t="s">
        <v>7101</v>
      </c>
      <c r="D10310" s="13" t="s">
        <v>12444</v>
      </c>
      <c r="E10310" s="8">
        <v>1226702.71</v>
      </c>
      <c r="F10310" s="13" t="s">
        <v>70</v>
      </c>
      <c r="G10310" s="14">
        <v>44839</v>
      </c>
      <c r="H10310" s="13" t="s">
        <v>35</v>
      </c>
    </row>
    <row r="10311" spans="1:8" ht="14.4" x14ac:dyDescent="0.3">
      <c r="A10311" s="8">
        <v>2092775</v>
      </c>
      <c r="B10311" s="11">
        <v>44838</v>
      </c>
      <c r="C10311" s="13" t="s">
        <v>1540</v>
      </c>
      <c r="D10311" s="13" t="s">
        <v>12445</v>
      </c>
      <c r="E10311" s="8">
        <v>3645962.96</v>
      </c>
      <c r="F10311" s="13" t="s">
        <v>70</v>
      </c>
      <c r="G10311" s="14">
        <v>44840</v>
      </c>
      <c r="H10311" s="13" t="s">
        <v>35</v>
      </c>
    </row>
    <row r="10312" spans="1:8" ht="14.4" x14ac:dyDescent="0.3">
      <c r="A10312" s="8">
        <v>2092776</v>
      </c>
      <c r="B10312" s="11">
        <v>44838</v>
      </c>
      <c r="C10312" s="13" t="s">
        <v>12446</v>
      </c>
      <c r="D10312" s="13" t="s">
        <v>12447</v>
      </c>
      <c r="E10312" s="8">
        <v>1272050.6499999999</v>
      </c>
      <c r="F10312" s="13" t="s">
        <v>70</v>
      </c>
      <c r="G10312" s="14">
        <v>44841</v>
      </c>
      <c r="H10312" s="13" t="s">
        <v>35</v>
      </c>
    </row>
    <row r="10313" spans="1:8" ht="14.4" x14ac:dyDescent="0.3">
      <c r="A10313" s="8">
        <v>2092777</v>
      </c>
      <c r="B10313" s="11">
        <v>44838</v>
      </c>
      <c r="C10313" s="13" t="s">
        <v>6186</v>
      </c>
      <c r="D10313" s="13" t="s">
        <v>12448</v>
      </c>
      <c r="E10313" s="8">
        <v>2142348.48</v>
      </c>
      <c r="F10313" s="13" t="s">
        <v>70</v>
      </c>
      <c r="G10313" s="14">
        <v>44840</v>
      </c>
      <c r="H10313" s="13" t="s">
        <v>35</v>
      </c>
    </row>
    <row r="10314" spans="1:8" ht="14.4" x14ac:dyDescent="0.3">
      <c r="A10314" s="8">
        <v>2092778</v>
      </c>
      <c r="B10314" s="11">
        <v>44838</v>
      </c>
      <c r="C10314" s="13" t="s">
        <v>60</v>
      </c>
      <c r="D10314" s="13" t="s">
        <v>12449</v>
      </c>
      <c r="E10314" s="8">
        <v>25248684.09</v>
      </c>
      <c r="F10314" s="13" t="s">
        <v>70</v>
      </c>
      <c r="G10314" s="14">
        <v>44840</v>
      </c>
      <c r="H10314" s="13" t="s">
        <v>35</v>
      </c>
    </row>
    <row r="10315" spans="1:8" ht="14.4" x14ac:dyDescent="0.3">
      <c r="A10315" s="8">
        <v>2092779</v>
      </c>
      <c r="B10315" s="11">
        <v>44838</v>
      </c>
      <c r="C10315" s="13" t="s">
        <v>1703</v>
      </c>
      <c r="D10315" s="13" t="s">
        <v>5721</v>
      </c>
      <c r="E10315" s="8">
        <v>6000</v>
      </c>
      <c r="F10315" s="13" t="s">
        <v>70</v>
      </c>
      <c r="G10315" s="14">
        <v>44845</v>
      </c>
      <c r="H10315" s="13" t="s">
        <v>35</v>
      </c>
    </row>
    <row r="10316" spans="1:8" ht="14.4" x14ac:dyDescent="0.3">
      <c r="A10316" s="8">
        <v>2092780</v>
      </c>
      <c r="B10316" s="11">
        <v>44838</v>
      </c>
      <c r="C10316" s="13" t="s">
        <v>12450</v>
      </c>
      <c r="D10316" s="13" t="s">
        <v>12451</v>
      </c>
      <c r="E10316" s="8">
        <v>5395.08</v>
      </c>
      <c r="F10316" s="13" t="s">
        <v>70</v>
      </c>
      <c r="G10316" s="14">
        <v>44840</v>
      </c>
      <c r="H10316" s="13" t="s">
        <v>35</v>
      </c>
    </row>
    <row r="10317" spans="1:8" ht="14.4" x14ac:dyDescent="0.3">
      <c r="A10317" s="8">
        <v>2092781</v>
      </c>
      <c r="B10317" s="11">
        <v>44838</v>
      </c>
      <c r="C10317" s="13" t="s">
        <v>12450</v>
      </c>
      <c r="D10317" s="13" t="s">
        <v>12452</v>
      </c>
      <c r="E10317" s="8">
        <v>40200</v>
      </c>
      <c r="F10317" s="13" t="s">
        <v>70</v>
      </c>
      <c r="G10317" s="14">
        <v>44840</v>
      </c>
      <c r="H10317" s="13" t="s">
        <v>35</v>
      </c>
    </row>
    <row r="10318" spans="1:8" ht="14.4" x14ac:dyDescent="0.3">
      <c r="A10318" s="8">
        <v>2092782</v>
      </c>
      <c r="B10318" s="11">
        <v>44838</v>
      </c>
      <c r="C10318" s="13" t="s">
        <v>12453</v>
      </c>
      <c r="D10318" s="13" t="s">
        <v>12454</v>
      </c>
      <c r="E10318" s="8">
        <v>15000</v>
      </c>
      <c r="F10318" s="13" t="s">
        <v>70</v>
      </c>
      <c r="G10318" s="14">
        <v>44840</v>
      </c>
      <c r="H10318" s="13" t="s">
        <v>35</v>
      </c>
    </row>
    <row r="10319" spans="1:8" ht="14.4" x14ac:dyDescent="0.3">
      <c r="A10319" s="8">
        <v>2092783</v>
      </c>
      <c r="B10319" s="11">
        <v>44838</v>
      </c>
      <c r="C10319" s="13" t="s">
        <v>12455</v>
      </c>
      <c r="D10319" s="13" t="s">
        <v>12456</v>
      </c>
      <c r="E10319" s="8">
        <v>10000</v>
      </c>
      <c r="F10319" s="13" t="s">
        <v>70</v>
      </c>
      <c r="G10319" s="14">
        <v>44840</v>
      </c>
      <c r="H10319" s="13" t="s">
        <v>35</v>
      </c>
    </row>
    <row r="10320" spans="1:8" ht="14.4" x14ac:dyDescent="0.3">
      <c r="A10320" s="8">
        <v>2092784</v>
      </c>
      <c r="B10320" s="11">
        <v>44838</v>
      </c>
      <c r="C10320" s="13" t="s">
        <v>12457</v>
      </c>
      <c r="D10320" s="13" t="s">
        <v>47</v>
      </c>
      <c r="E10320" s="8">
        <v>9000</v>
      </c>
      <c r="F10320" s="13" t="s">
        <v>70</v>
      </c>
      <c r="G10320" s="14">
        <v>44840</v>
      </c>
      <c r="H10320" s="13" t="s">
        <v>35</v>
      </c>
    </row>
    <row r="10321" spans="1:8" ht="14.4" x14ac:dyDescent="0.3">
      <c r="A10321" s="8">
        <v>2092785</v>
      </c>
      <c r="B10321" s="11">
        <v>44838</v>
      </c>
      <c r="C10321" s="13" t="s">
        <v>5450</v>
      </c>
      <c r="D10321" s="13" t="s">
        <v>12458</v>
      </c>
      <c r="E10321" s="8">
        <v>20000</v>
      </c>
      <c r="F10321" s="13" t="s">
        <v>70</v>
      </c>
      <c r="G10321" s="14">
        <v>44840</v>
      </c>
      <c r="H10321" s="13" t="s">
        <v>35</v>
      </c>
    </row>
    <row r="10322" spans="1:8" ht="14.4" x14ac:dyDescent="0.3">
      <c r="A10322" s="8">
        <v>2092786</v>
      </c>
      <c r="B10322" s="11">
        <v>44838</v>
      </c>
      <c r="C10322" s="13" t="s">
        <v>99</v>
      </c>
      <c r="D10322" s="13" t="s">
        <v>12459</v>
      </c>
      <c r="E10322" s="8">
        <v>18000</v>
      </c>
      <c r="F10322" s="13" t="s">
        <v>70</v>
      </c>
      <c r="G10322" s="14">
        <v>44845</v>
      </c>
      <c r="H10322" s="13" t="s">
        <v>35</v>
      </c>
    </row>
    <row r="10323" spans="1:8" ht="14.4" x14ac:dyDescent="0.3">
      <c r="A10323" s="8">
        <v>2092788</v>
      </c>
      <c r="B10323" s="11">
        <v>44838</v>
      </c>
      <c r="C10323" s="13" t="s">
        <v>1524</v>
      </c>
      <c r="D10323" s="13" t="s">
        <v>12460</v>
      </c>
      <c r="E10323" s="8">
        <v>22004.46</v>
      </c>
      <c r="F10323" s="13" t="s">
        <v>70</v>
      </c>
      <c r="G10323" s="14">
        <v>44847</v>
      </c>
      <c r="H10323" s="13" t="s">
        <v>35</v>
      </c>
    </row>
    <row r="10324" spans="1:8" ht="14.4" x14ac:dyDescent="0.3">
      <c r="A10324" s="8">
        <v>2092789</v>
      </c>
      <c r="B10324" s="11">
        <v>44838</v>
      </c>
      <c r="C10324" s="13" t="s">
        <v>12461</v>
      </c>
      <c r="D10324" s="13" t="s">
        <v>12462</v>
      </c>
      <c r="E10324" s="8">
        <v>1835400</v>
      </c>
      <c r="F10324" s="13" t="s">
        <v>70</v>
      </c>
      <c r="G10324" s="14">
        <v>44840</v>
      </c>
      <c r="H10324" s="13" t="s">
        <v>35</v>
      </c>
    </row>
    <row r="10325" spans="1:8" ht="14.4" x14ac:dyDescent="0.3">
      <c r="A10325" s="8">
        <v>2092790</v>
      </c>
      <c r="B10325" s="11">
        <v>44838</v>
      </c>
      <c r="C10325" s="13" t="s">
        <v>152</v>
      </c>
      <c r="D10325" s="13" t="s">
        <v>12463</v>
      </c>
      <c r="E10325" s="8">
        <v>24562</v>
      </c>
      <c r="F10325" s="13" t="s">
        <v>70</v>
      </c>
      <c r="G10325" s="14">
        <v>44840</v>
      </c>
      <c r="H10325" s="13" t="s">
        <v>35</v>
      </c>
    </row>
    <row r="10326" spans="1:8" ht="14.4" x14ac:dyDescent="0.3">
      <c r="A10326" s="8">
        <v>2092791</v>
      </c>
      <c r="B10326" s="11">
        <v>44838</v>
      </c>
      <c r="C10326" s="13" t="s">
        <v>12464</v>
      </c>
      <c r="D10326" s="13" t="s">
        <v>12465</v>
      </c>
      <c r="E10326" s="8">
        <v>122500</v>
      </c>
      <c r="F10326" s="13" t="s">
        <v>70</v>
      </c>
      <c r="G10326" s="14">
        <v>44854</v>
      </c>
      <c r="H10326" s="13" t="s">
        <v>35</v>
      </c>
    </row>
    <row r="10327" spans="1:8" ht="14.4" x14ac:dyDescent="0.3">
      <c r="A10327" s="8">
        <v>2092792</v>
      </c>
      <c r="B10327" s="11">
        <v>44838</v>
      </c>
      <c r="C10327" s="13" t="s">
        <v>42</v>
      </c>
      <c r="D10327" s="13" t="s">
        <v>12466</v>
      </c>
      <c r="E10327" s="8">
        <v>50373.54</v>
      </c>
      <c r="F10327" s="13" t="s">
        <v>70</v>
      </c>
      <c r="G10327" s="14">
        <v>44841</v>
      </c>
      <c r="H10327" s="13" t="s">
        <v>35</v>
      </c>
    </row>
    <row r="10328" spans="1:8" ht="14.4" x14ac:dyDescent="0.3">
      <c r="A10328" s="8">
        <v>2092793</v>
      </c>
      <c r="B10328" s="11">
        <v>44838</v>
      </c>
      <c r="C10328" s="13" t="s">
        <v>42</v>
      </c>
      <c r="D10328" s="13" t="s">
        <v>12467</v>
      </c>
      <c r="E10328" s="8">
        <v>8421.7000000000007</v>
      </c>
      <c r="F10328" s="13" t="s">
        <v>70</v>
      </c>
      <c r="G10328" s="14">
        <v>44841</v>
      </c>
      <c r="H10328" s="13" t="s">
        <v>35</v>
      </c>
    </row>
    <row r="10329" spans="1:8" ht="14.4" x14ac:dyDescent="0.3">
      <c r="A10329" s="8">
        <v>2092794</v>
      </c>
      <c r="B10329" s="11">
        <v>44838</v>
      </c>
      <c r="C10329" s="13" t="s">
        <v>159</v>
      </c>
      <c r="D10329" s="13" t="s">
        <v>12468</v>
      </c>
      <c r="E10329" s="8">
        <v>375800</v>
      </c>
      <c r="F10329" s="13" t="s">
        <v>70</v>
      </c>
      <c r="G10329" s="14">
        <v>44838</v>
      </c>
      <c r="H10329" s="13" t="s">
        <v>35</v>
      </c>
    </row>
    <row r="10330" spans="1:8" ht="14.4" x14ac:dyDescent="0.3">
      <c r="A10330" s="8">
        <v>2092795</v>
      </c>
      <c r="B10330" s="11">
        <v>44838</v>
      </c>
      <c r="C10330" s="13" t="s">
        <v>12469</v>
      </c>
      <c r="D10330" s="13" t="s">
        <v>12470</v>
      </c>
      <c r="E10330" s="8">
        <v>147719.57999999999</v>
      </c>
      <c r="F10330" s="13" t="s">
        <v>70</v>
      </c>
      <c r="G10330" s="14">
        <v>44839</v>
      </c>
      <c r="H10330" s="13" t="s">
        <v>35</v>
      </c>
    </row>
    <row r="10331" spans="1:8" ht="14.4" x14ac:dyDescent="0.3">
      <c r="A10331" s="8">
        <v>2092796</v>
      </c>
      <c r="B10331" s="11">
        <v>44838</v>
      </c>
      <c r="C10331" s="13" t="s">
        <v>42</v>
      </c>
      <c r="D10331" s="13" t="s">
        <v>12471</v>
      </c>
      <c r="E10331" s="8">
        <v>9835.85</v>
      </c>
      <c r="F10331" s="13" t="s">
        <v>70</v>
      </c>
      <c r="G10331" s="14">
        <v>44841</v>
      </c>
      <c r="H10331" s="13" t="s">
        <v>35</v>
      </c>
    </row>
    <row r="10332" spans="1:8" ht="14.4" x14ac:dyDescent="0.3">
      <c r="A10332" s="8">
        <v>2092797</v>
      </c>
      <c r="B10332" s="11">
        <v>44838</v>
      </c>
      <c r="C10332" s="13" t="s">
        <v>492</v>
      </c>
      <c r="D10332" s="13" t="s">
        <v>12472</v>
      </c>
      <c r="E10332" s="8">
        <v>31083</v>
      </c>
      <c r="F10332" s="13" t="s">
        <v>70</v>
      </c>
      <c r="G10332" s="14">
        <v>44840</v>
      </c>
      <c r="H10332" s="13" t="s">
        <v>35</v>
      </c>
    </row>
    <row r="10333" spans="1:8" ht="14.4" x14ac:dyDescent="0.3">
      <c r="A10333" s="8">
        <v>2092798</v>
      </c>
      <c r="B10333" s="11">
        <v>44838</v>
      </c>
      <c r="C10333" s="13" t="s">
        <v>3725</v>
      </c>
      <c r="D10333" s="13" t="s">
        <v>12473</v>
      </c>
      <c r="E10333" s="8">
        <v>6000</v>
      </c>
      <c r="F10333" s="13" t="s">
        <v>70</v>
      </c>
      <c r="G10333" s="14">
        <v>44840</v>
      </c>
      <c r="H10333" s="13" t="s">
        <v>35</v>
      </c>
    </row>
    <row r="10334" spans="1:8" ht="14.4" x14ac:dyDescent="0.3">
      <c r="A10334" s="8">
        <v>2092799</v>
      </c>
      <c r="B10334" s="11">
        <v>44838</v>
      </c>
      <c r="C10334" s="13" t="s">
        <v>259</v>
      </c>
      <c r="D10334" s="13" t="s">
        <v>30</v>
      </c>
      <c r="E10334" s="8">
        <v>1552.32</v>
      </c>
      <c r="F10334" s="13" t="s">
        <v>70</v>
      </c>
      <c r="G10334" s="14">
        <v>44845</v>
      </c>
      <c r="H10334" s="13" t="s">
        <v>35</v>
      </c>
    </row>
    <row r="10335" spans="1:8" ht="14.4" x14ac:dyDescent="0.3">
      <c r="A10335" s="8">
        <v>2092800</v>
      </c>
      <c r="B10335" s="11">
        <v>44838</v>
      </c>
      <c r="C10335" s="13" t="s">
        <v>12474</v>
      </c>
      <c r="D10335" s="13" t="s">
        <v>12475</v>
      </c>
      <c r="E10335" s="8">
        <v>139000</v>
      </c>
      <c r="F10335" s="13" t="s">
        <v>70</v>
      </c>
      <c r="G10335" s="14">
        <v>44844</v>
      </c>
      <c r="H10335" s="13" t="s">
        <v>35</v>
      </c>
    </row>
    <row r="10336" spans="1:8" ht="14.4" x14ac:dyDescent="0.3">
      <c r="A10336" s="8">
        <v>2092801</v>
      </c>
      <c r="B10336" s="11">
        <v>44838</v>
      </c>
      <c r="C10336" s="13" t="s">
        <v>12476</v>
      </c>
      <c r="D10336" s="13" t="s">
        <v>12477</v>
      </c>
      <c r="E10336" s="8">
        <v>35000</v>
      </c>
      <c r="F10336" s="13" t="s">
        <v>70</v>
      </c>
      <c r="G10336" s="14">
        <v>44846</v>
      </c>
      <c r="H10336" s="13" t="s">
        <v>35</v>
      </c>
    </row>
    <row r="10337" spans="1:8" ht="14.4" x14ac:dyDescent="0.3">
      <c r="A10337" s="8">
        <v>2092802</v>
      </c>
      <c r="B10337" s="11">
        <v>44838</v>
      </c>
      <c r="C10337" s="13" t="s">
        <v>12478</v>
      </c>
      <c r="D10337" s="13" t="s">
        <v>12479</v>
      </c>
      <c r="E10337" s="8">
        <v>112500</v>
      </c>
      <c r="F10337" s="13" t="s">
        <v>70</v>
      </c>
      <c r="G10337" s="14">
        <v>44844</v>
      </c>
      <c r="H10337" s="13" t="s">
        <v>35</v>
      </c>
    </row>
    <row r="10338" spans="1:8" ht="14.4" x14ac:dyDescent="0.3">
      <c r="A10338" s="8">
        <v>2092804</v>
      </c>
      <c r="B10338" s="11">
        <v>44838</v>
      </c>
      <c r="C10338" s="13" t="s">
        <v>12480</v>
      </c>
      <c r="D10338" s="13" t="s">
        <v>12481</v>
      </c>
      <c r="E10338" s="8">
        <v>7840</v>
      </c>
      <c r="F10338" s="13" t="s">
        <v>70</v>
      </c>
      <c r="G10338" s="14">
        <v>44844</v>
      </c>
      <c r="H10338" s="13" t="s">
        <v>35</v>
      </c>
    </row>
    <row r="10339" spans="1:8" ht="14.4" x14ac:dyDescent="0.3">
      <c r="A10339" s="8">
        <v>2092805</v>
      </c>
      <c r="B10339" s="11">
        <v>44838</v>
      </c>
      <c r="C10339" s="13" t="s">
        <v>265</v>
      </c>
      <c r="D10339" s="13" t="s">
        <v>12482</v>
      </c>
      <c r="E10339" s="8">
        <v>24500</v>
      </c>
      <c r="F10339" s="13" t="s">
        <v>70</v>
      </c>
      <c r="G10339" s="14">
        <v>44840</v>
      </c>
      <c r="H10339" s="13" t="s">
        <v>35</v>
      </c>
    </row>
    <row r="10340" spans="1:8" ht="14.4" x14ac:dyDescent="0.3">
      <c r="A10340" s="8">
        <v>2092806</v>
      </c>
      <c r="B10340" s="11">
        <v>44838</v>
      </c>
      <c r="C10340" s="13" t="s">
        <v>265</v>
      </c>
      <c r="D10340" s="13" t="s">
        <v>12483</v>
      </c>
      <c r="E10340" s="8">
        <v>65090.6</v>
      </c>
      <c r="F10340" s="13" t="s">
        <v>70</v>
      </c>
      <c r="G10340" s="14">
        <v>44840</v>
      </c>
      <c r="H10340" s="13" t="s">
        <v>35</v>
      </c>
    </row>
    <row r="10341" spans="1:8" ht="14.4" x14ac:dyDescent="0.3">
      <c r="A10341" s="8">
        <v>2092807</v>
      </c>
      <c r="B10341" s="11">
        <v>44838</v>
      </c>
      <c r="C10341" s="13" t="s">
        <v>2906</v>
      </c>
      <c r="D10341" s="13" t="s">
        <v>12465</v>
      </c>
      <c r="E10341" s="8">
        <v>67500</v>
      </c>
      <c r="F10341" s="13" t="s">
        <v>70</v>
      </c>
      <c r="G10341" s="14">
        <v>44854</v>
      </c>
      <c r="H10341" s="13" t="s">
        <v>35</v>
      </c>
    </row>
    <row r="10342" spans="1:8" ht="14.4" x14ac:dyDescent="0.3">
      <c r="A10342" s="8">
        <v>2092808</v>
      </c>
      <c r="B10342" s="11">
        <v>44838</v>
      </c>
      <c r="C10342" s="13" t="s">
        <v>42</v>
      </c>
      <c r="D10342" s="13" t="s">
        <v>12484</v>
      </c>
      <c r="E10342" s="8">
        <v>160766.39000000001</v>
      </c>
      <c r="F10342" s="13" t="s">
        <v>70</v>
      </c>
      <c r="G10342" s="14">
        <v>44841</v>
      </c>
      <c r="H10342" s="13" t="s">
        <v>35</v>
      </c>
    </row>
    <row r="10343" spans="1:8" ht="14.4" x14ac:dyDescent="0.3">
      <c r="A10343" s="8">
        <v>2092809</v>
      </c>
      <c r="B10343" s="11">
        <v>44838</v>
      </c>
      <c r="C10343" s="13" t="s">
        <v>42</v>
      </c>
      <c r="D10343" s="13" t="s">
        <v>12485</v>
      </c>
      <c r="E10343" s="8">
        <v>49699.07</v>
      </c>
      <c r="F10343" s="13" t="s">
        <v>70</v>
      </c>
      <c r="G10343" s="14">
        <v>44841</v>
      </c>
      <c r="H10343" s="13" t="s">
        <v>35</v>
      </c>
    </row>
    <row r="10344" spans="1:8" ht="14.4" x14ac:dyDescent="0.3">
      <c r="A10344" s="8">
        <v>2092810</v>
      </c>
      <c r="B10344" s="11">
        <v>44838</v>
      </c>
      <c r="C10344" s="13" t="s">
        <v>42</v>
      </c>
      <c r="D10344" s="13" t="s">
        <v>12486</v>
      </c>
      <c r="E10344" s="8">
        <v>4182.26</v>
      </c>
      <c r="F10344" s="13" t="s">
        <v>70</v>
      </c>
      <c r="G10344" s="14">
        <v>44841</v>
      </c>
      <c r="H10344" s="13" t="s">
        <v>35</v>
      </c>
    </row>
    <row r="10345" spans="1:8" ht="14.4" x14ac:dyDescent="0.3">
      <c r="A10345" s="8">
        <v>2092811</v>
      </c>
      <c r="B10345" s="11">
        <v>44838</v>
      </c>
      <c r="C10345" s="13" t="s">
        <v>42</v>
      </c>
      <c r="D10345" s="13" t="s">
        <v>12487</v>
      </c>
      <c r="E10345" s="8">
        <v>111871.29</v>
      </c>
      <c r="F10345" s="13" t="s">
        <v>70</v>
      </c>
      <c r="G10345" s="14">
        <v>44841</v>
      </c>
      <c r="H10345" s="13" t="s">
        <v>35</v>
      </c>
    </row>
    <row r="10346" spans="1:8" ht="14.4" x14ac:dyDescent="0.3">
      <c r="A10346" s="8">
        <v>2092812</v>
      </c>
      <c r="B10346" s="11">
        <v>44838</v>
      </c>
      <c r="C10346" s="13" t="s">
        <v>42</v>
      </c>
      <c r="D10346" s="13" t="s">
        <v>12488</v>
      </c>
      <c r="E10346" s="8">
        <v>6570.09</v>
      </c>
      <c r="F10346" s="13" t="s">
        <v>70</v>
      </c>
      <c r="G10346" s="14">
        <v>44841</v>
      </c>
      <c r="H10346" s="13" t="s">
        <v>35</v>
      </c>
    </row>
    <row r="10347" spans="1:8" ht="14.4" x14ac:dyDescent="0.3">
      <c r="A10347" s="8">
        <v>2092813</v>
      </c>
      <c r="B10347" s="11">
        <v>44839</v>
      </c>
      <c r="C10347" s="13" t="s">
        <v>1956</v>
      </c>
      <c r="D10347" s="13" t="s">
        <v>12489</v>
      </c>
      <c r="E10347" s="8">
        <v>4213316.29</v>
      </c>
      <c r="F10347" s="13" t="s">
        <v>70</v>
      </c>
      <c r="G10347" s="14">
        <v>44839</v>
      </c>
      <c r="H10347" s="13" t="s">
        <v>35</v>
      </c>
    </row>
    <row r="10348" spans="1:8" ht="14.4" x14ac:dyDescent="0.3">
      <c r="A10348" s="8">
        <v>2092814</v>
      </c>
      <c r="B10348" s="11">
        <v>44839</v>
      </c>
      <c r="C10348" s="13" t="s">
        <v>1956</v>
      </c>
      <c r="D10348" s="13" t="s">
        <v>12490</v>
      </c>
      <c r="E10348" s="8">
        <v>1647973.48</v>
      </c>
      <c r="F10348" s="13" t="s">
        <v>70</v>
      </c>
      <c r="G10348" s="14">
        <v>44839</v>
      </c>
      <c r="H10348" s="13" t="s">
        <v>35</v>
      </c>
    </row>
    <row r="10349" spans="1:8" ht="14.4" x14ac:dyDescent="0.3">
      <c r="A10349" s="8">
        <v>2092815</v>
      </c>
      <c r="B10349" s="11">
        <v>44839</v>
      </c>
      <c r="C10349" s="13" t="s">
        <v>9339</v>
      </c>
      <c r="D10349" s="13" t="s">
        <v>12491</v>
      </c>
      <c r="E10349" s="8">
        <v>2461502.66</v>
      </c>
      <c r="F10349" s="13" t="s">
        <v>70</v>
      </c>
      <c r="G10349" s="14">
        <v>44841</v>
      </c>
      <c r="H10349" s="13" t="s">
        <v>35</v>
      </c>
    </row>
    <row r="10350" spans="1:8" ht="14.4" x14ac:dyDescent="0.3">
      <c r="A10350" s="8">
        <v>2092816</v>
      </c>
      <c r="B10350" s="11">
        <v>44839</v>
      </c>
      <c r="C10350" s="13" t="s">
        <v>363</v>
      </c>
      <c r="D10350" s="13" t="s">
        <v>12492</v>
      </c>
      <c r="E10350" s="8">
        <v>37952.75</v>
      </c>
      <c r="F10350" s="13" t="s">
        <v>70</v>
      </c>
      <c r="G10350" s="14">
        <v>44840</v>
      </c>
      <c r="H10350" s="13" t="s">
        <v>35</v>
      </c>
    </row>
    <row r="10351" spans="1:8" ht="14.4" x14ac:dyDescent="0.3">
      <c r="A10351" s="8">
        <v>2092817</v>
      </c>
      <c r="B10351" s="11">
        <v>44839</v>
      </c>
      <c r="C10351" s="13" t="s">
        <v>492</v>
      </c>
      <c r="D10351" s="13" t="s">
        <v>12493</v>
      </c>
      <c r="E10351" s="8">
        <v>31227.599999999999</v>
      </c>
      <c r="F10351" s="13" t="s">
        <v>70</v>
      </c>
      <c r="G10351" s="14">
        <v>44840</v>
      </c>
      <c r="H10351" s="13" t="s">
        <v>35</v>
      </c>
    </row>
    <row r="10352" spans="1:8" ht="14.4" x14ac:dyDescent="0.3">
      <c r="A10352" s="8">
        <v>2092818</v>
      </c>
      <c r="B10352" s="11">
        <v>44839</v>
      </c>
      <c r="C10352" s="13" t="s">
        <v>492</v>
      </c>
      <c r="D10352" s="13" t="s">
        <v>12494</v>
      </c>
      <c r="E10352" s="8">
        <v>33518.5</v>
      </c>
      <c r="F10352" s="13" t="s">
        <v>70</v>
      </c>
      <c r="G10352" s="14">
        <v>44840</v>
      </c>
      <c r="H10352" s="13" t="s">
        <v>35</v>
      </c>
    </row>
    <row r="10353" spans="1:8" ht="14.4" x14ac:dyDescent="0.3">
      <c r="A10353" s="8">
        <v>2092819</v>
      </c>
      <c r="B10353" s="11">
        <v>44839</v>
      </c>
      <c r="C10353" s="13" t="s">
        <v>152</v>
      </c>
      <c r="D10353" s="13" t="s">
        <v>12495</v>
      </c>
      <c r="E10353" s="8">
        <v>16000</v>
      </c>
      <c r="F10353" s="13" t="s">
        <v>70</v>
      </c>
      <c r="G10353" s="14">
        <v>44844</v>
      </c>
      <c r="H10353" s="13" t="s">
        <v>35</v>
      </c>
    </row>
    <row r="10354" spans="1:8" ht="14.4" x14ac:dyDescent="0.3">
      <c r="A10354" s="8">
        <v>2092820</v>
      </c>
      <c r="B10354" s="11">
        <v>44839</v>
      </c>
      <c r="C10354" s="13" t="s">
        <v>7575</v>
      </c>
      <c r="D10354" s="13" t="s">
        <v>6739</v>
      </c>
      <c r="E10354" s="8">
        <v>8137.19</v>
      </c>
      <c r="F10354" s="13" t="s">
        <v>70</v>
      </c>
      <c r="G10354" s="14">
        <v>44846</v>
      </c>
      <c r="H10354" s="13" t="s">
        <v>35</v>
      </c>
    </row>
    <row r="10355" spans="1:8" ht="14.4" x14ac:dyDescent="0.3">
      <c r="A10355" s="8">
        <v>2092821</v>
      </c>
      <c r="B10355" s="11">
        <v>44839</v>
      </c>
      <c r="C10355" s="13" t="s">
        <v>1405</v>
      </c>
      <c r="D10355" s="13" t="s">
        <v>12496</v>
      </c>
      <c r="E10355" s="8">
        <v>183817.5</v>
      </c>
      <c r="F10355" s="13" t="s">
        <v>70</v>
      </c>
      <c r="G10355" s="14">
        <v>44844</v>
      </c>
      <c r="H10355" s="13" t="s">
        <v>35</v>
      </c>
    </row>
    <row r="10356" spans="1:8" ht="14.4" x14ac:dyDescent="0.3">
      <c r="A10356" s="8">
        <v>2092822</v>
      </c>
      <c r="B10356" s="11">
        <v>44839</v>
      </c>
      <c r="C10356" s="13" t="s">
        <v>12497</v>
      </c>
      <c r="D10356" s="13" t="s">
        <v>12498</v>
      </c>
      <c r="E10356" s="8">
        <v>2000</v>
      </c>
      <c r="F10356" s="13" t="s">
        <v>70</v>
      </c>
      <c r="G10356" s="14">
        <v>44862</v>
      </c>
      <c r="H10356" s="13" t="s">
        <v>35</v>
      </c>
    </row>
    <row r="10357" spans="1:8" ht="14.4" x14ac:dyDescent="0.3">
      <c r="A10357" s="8">
        <v>2092823</v>
      </c>
      <c r="B10357" s="11">
        <v>44839</v>
      </c>
      <c r="C10357" s="13" t="s">
        <v>12499</v>
      </c>
      <c r="D10357" s="13" t="s">
        <v>12498</v>
      </c>
      <c r="E10357" s="8">
        <v>2000</v>
      </c>
      <c r="F10357" s="13" t="s">
        <v>70</v>
      </c>
      <c r="G10357" s="14">
        <v>44862</v>
      </c>
      <c r="H10357" s="13" t="s">
        <v>35</v>
      </c>
    </row>
    <row r="10358" spans="1:8" ht="14.4" x14ac:dyDescent="0.3">
      <c r="A10358" s="8">
        <v>2092824</v>
      </c>
      <c r="B10358" s="11">
        <v>44839</v>
      </c>
      <c r="C10358" s="13" t="s">
        <v>12500</v>
      </c>
      <c r="D10358" s="13" t="s">
        <v>12498</v>
      </c>
      <c r="E10358" s="8">
        <v>2000</v>
      </c>
      <c r="F10358" s="13" t="s">
        <v>70</v>
      </c>
      <c r="G10358" s="14">
        <v>44862</v>
      </c>
      <c r="H10358" s="13" t="s">
        <v>35</v>
      </c>
    </row>
    <row r="10359" spans="1:8" ht="14.4" x14ac:dyDescent="0.3">
      <c r="A10359" s="8">
        <v>2092825</v>
      </c>
      <c r="B10359" s="11">
        <v>44839</v>
      </c>
      <c r="C10359" s="13" t="s">
        <v>12501</v>
      </c>
      <c r="D10359" s="13" t="s">
        <v>12498</v>
      </c>
      <c r="E10359" s="8">
        <v>2000</v>
      </c>
      <c r="F10359" s="13" t="s">
        <v>70</v>
      </c>
      <c r="G10359" s="14">
        <v>44862</v>
      </c>
      <c r="H10359" s="13" t="s">
        <v>35</v>
      </c>
    </row>
    <row r="10360" spans="1:8" ht="14.4" x14ac:dyDescent="0.3">
      <c r="A10360" s="8">
        <v>2092826</v>
      </c>
      <c r="B10360" s="11">
        <v>44839</v>
      </c>
      <c r="C10360" s="13" t="s">
        <v>1726</v>
      </c>
      <c r="D10360" s="13" t="s">
        <v>12502</v>
      </c>
      <c r="E10360" s="8">
        <v>62080</v>
      </c>
      <c r="F10360" s="13" t="s">
        <v>70</v>
      </c>
      <c r="G10360" s="14">
        <v>44852</v>
      </c>
      <c r="H10360" s="13" t="s">
        <v>35</v>
      </c>
    </row>
    <row r="10361" spans="1:8" ht="14.4" x14ac:dyDescent="0.3">
      <c r="A10361" s="8">
        <v>2092827</v>
      </c>
      <c r="B10361" s="11">
        <v>44839</v>
      </c>
      <c r="C10361" s="13" t="s">
        <v>122</v>
      </c>
      <c r="D10361" s="13" t="s">
        <v>12503</v>
      </c>
      <c r="E10361" s="8">
        <v>58200</v>
      </c>
      <c r="F10361" s="13" t="s">
        <v>70</v>
      </c>
      <c r="G10361" s="14">
        <v>44839</v>
      </c>
      <c r="H10361" s="13" t="s">
        <v>35</v>
      </c>
    </row>
    <row r="10362" spans="1:8" ht="14.4" x14ac:dyDescent="0.3">
      <c r="A10362" s="8">
        <v>2092828</v>
      </c>
      <c r="B10362" s="11">
        <v>44839</v>
      </c>
      <c r="C10362" s="13" t="s">
        <v>122</v>
      </c>
      <c r="D10362" s="13" t="s">
        <v>12504</v>
      </c>
      <c r="E10362" s="8">
        <v>128040</v>
      </c>
      <c r="F10362" s="13" t="s">
        <v>70</v>
      </c>
      <c r="G10362" s="14">
        <v>44839</v>
      </c>
      <c r="H10362" s="13" t="s">
        <v>35</v>
      </c>
    </row>
    <row r="10363" spans="1:8" ht="14.4" x14ac:dyDescent="0.3">
      <c r="A10363" s="8">
        <v>2092829</v>
      </c>
      <c r="B10363" s="11">
        <v>44839</v>
      </c>
      <c r="C10363" s="13" t="s">
        <v>1033</v>
      </c>
      <c r="D10363" s="13" t="s">
        <v>12505</v>
      </c>
      <c r="E10363" s="8">
        <v>77600</v>
      </c>
      <c r="F10363" s="13" t="s">
        <v>70</v>
      </c>
      <c r="G10363" s="14">
        <v>44872</v>
      </c>
      <c r="H10363" s="13" t="s">
        <v>35</v>
      </c>
    </row>
    <row r="10364" spans="1:8" ht="14.4" x14ac:dyDescent="0.3">
      <c r="A10364" s="8">
        <v>2092830</v>
      </c>
      <c r="B10364" s="11">
        <v>44839</v>
      </c>
      <c r="C10364" s="13" t="s">
        <v>12506</v>
      </c>
      <c r="D10364" s="13" t="s">
        <v>12507</v>
      </c>
      <c r="E10364" s="8">
        <v>10000</v>
      </c>
      <c r="F10364" s="13" t="s">
        <v>70</v>
      </c>
      <c r="G10364" s="14">
        <v>44840</v>
      </c>
      <c r="H10364" s="13" t="s">
        <v>35</v>
      </c>
    </row>
    <row r="10365" spans="1:8" ht="14.4" x14ac:dyDescent="0.3">
      <c r="A10365" s="8">
        <v>2092831</v>
      </c>
      <c r="B10365" s="11">
        <v>44839</v>
      </c>
      <c r="C10365" s="13" t="s">
        <v>12508</v>
      </c>
      <c r="D10365" s="13" t="s">
        <v>12509</v>
      </c>
      <c r="E10365" s="8">
        <v>45000</v>
      </c>
      <c r="F10365" s="13" t="s">
        <v>70</v>
      </c>
      <c r="G10365" s="14">
        <v>44840</v>
      </c>
      <c r="H10365" s="13" t="s">
        <v>35</v>
      </c>
    </row>
    <row r="10366" spans="1:8" ht="14.4" x14ac:dyDescent="0.3">
      <c r="A10366" s="8">
        <v>2092832</v>
      </c>
      <c r="B10366" s="11">
        <v>44839</v>
      </c>
      <c r="C10366" s="13" t="s">
        <v>12510</v>
      </c>
      <c r="D10366" s="13" t="s">
        <v>12511</v>
      </c>
      <c r="E10366" s="8">
        <v>10000</v>
      </c>
      <c r="F10366" s="13" t="s">
        <v>70</v>
      </c>
      <c r="G10366" s="14">
        <v>44841</v>
      </c>
      <c r="H10366" s="13" t="s">
        <v>35</v>
      </c>
    </row>
    <row r="10367" spans="1:8" ht="14.4" x14ac:dyDescent="0.3">
      <c r="A10367" s="8">
        <v>2092833</v>
      </c>
      <c r="B10367" s="11">
        <v>44839</v>
      </c>
      <c r="C10367" s="13" t="s">
        <v>12512</v>
      </c>
      <c r="D10367" s="13" t="s">
        <v>12513</v>
      </c>
      <c r="E10367" s="8">
        <v>9000</v>
      </c>
      <c r="F10367" s="13" t="s">
        <v>70</v>
      </c>
      <c r="G10367" s="14">
        <v>44840</v>
      </c>
      <c r="H10367" s="13" t="s">
        <v>35</v>
      </c>
    </row>
    <row r="10368" spans="1:8" ht="14.4" x14ac:dyDescent="0.3">
      <c r="A10368" s="8">
        <v>2092834</v>
      </c>
      <c r="B10368" s="11">
        <v>44839</v>
      </c>
      <c r="C10368" s="13" t="s">
        <v>12514</v>
      </c>
      <c r="D10368" s="13" t="s">
        <v>12515</v>
      </c>
      <c r="E10368" s="8">
        <v>10000</v>
      </c>
      <c r="F10368" s="13" t="s">
        <v>70</v>
      </c>
      <c r="G10368" s="14">
        <v>44841</v>
      </c>
      <c r="H10368" s="13" t="s">
        <v>35</v>
      </c>
    </row>
    <row r="10369" spans="1:8" ht="14.4" x14ac:dyDescent="0.3">
      <c r="A10369" s="8">
        <v>2092835</v>
      </c>
      <c r="B10369" s="11">
        <v>44839</v>
      </c>
      <c r="C10369" s="13" t="s">
        <v>12516</v>
      </c>
      <c r="D10369" s="13" t="s">
        <v>150</v>
      </c>
      <c r="E10369" s="8">
        <v>25000</v>
      </c>
      <c r="F10369" s="13" t="s">
        <v>70</v>
      </c>
      <c r="G10369" s="14">
        <v>44848</v>
      </c>
      <c r="H10369" s="13" t="s">
        <v>35</v>
      </c>
    </row>
    <row r="10370" spans="1:8" ht="14.4" x14ac:dyDescent="0.3">
      <c r="A10370" s="8">
        <v>2092836</v>
      </c>
      <c r="B10370" s="11">
        <v>44839</v>
      </c>
      <c r="C10370" s="13" t="s">
        <v>12517</v>
      </c>
      <c r="D10370" s="13" t="s">
        <v>12518</v>
      </c>
      <c r="E10370" s="8">
        <v>10000</v>
      </c>
      <c r="F10370" s="13" t="s">
        <v>70</v>
      </c>
      <c r="G10370" s="14">
        <v>44840</v>
      </c>
      <c r="H10370" s="13" t="s">
        <v>35</v>
      </c>
    </row>
    <row r="10371" spans="1:8" ht="14.4" x14ac:dyDescent="0.3">
      <c r="A10371" s="8">
        <v>2092837</v>
      </c>
      <c r="B10371" s="11">
        <v>44839</v>
      </c>
      <c r="C10371" s="13" t="s">
        <v>12519</v>
      </c>
      <c r="D10371" s="13" t="s">
        <v>12520</v>
      </c>
      <c r="E10371" s="8">
        <v>9000</v>
      </c>
      <c r="F10371" s="13" t="s">
        <v>70</v>
      </c>
      <c r="G10371" s="14">
        <v>44841</v>
      </c>
      <c r="H10371" s="13" t="s">
        <v>35</v>
      </c>
    </row>
    <row r="10372" spans="1:8" ht="14.4" x14ac:dyDescent="0.3">
      <c r="A10372" s="8">
        <v>2092838</v>
      </c>
      <c r="B10372" s="11">
        <v>44839</v>
      </c>
      <c r="C10372" s="13" t="s">
        <v>12521</v>
      </c>
      <c r="D10372" s="13" t="s">
        <v>12522</v>
      </c>
      <c r="E10372" s="8">
        <v>14000</v>
      </c>
      <c r="F10372" s="13" t="s">
        <v>70</v>
      </c>
      <c r="G10372" s="14">
        <v>44846</v>
      </c>
      <c r="H10372" s="13" t="s">
        <v>35</v>
      </c>
    </row>
    <row r="10373" spans="1:8" ht="14.4" x14ac:dyDescent="0.3">
      <c r="A10373" s="8">
        <v>2092839</v>
      </c>
      <c r="B10373" s="11">
        <v>44839</v>
      </c>
      <c r="C10373" s="13" t="s">
        <v>12523</v>
      </c>
      <c r="D10373" s="13" t="s">
        <v>12524</v>
      </c>
      <c r="E10373" s="8">
        <v>32000</v>
      </c>
      <c r="F10373" s="13" t="s">
        <v>70</v>
      </c>
      <c r="G10373" s="14">
        <v>44841</v>
      </c>
      <c r="H10373" s="13" t="s">
        <v>35</v>
      </c>
    </row>
    <row r="10374" spans="1:8" ht="14.4" x14ac:dyDescent="0.3">
      <c r="A10374" s="8">
        <v>2092840</v>
      </c>
      <c r="B10374" s="11">
        <v>44839</v>
      </c>
      <c r="C10374" s="13" t="s">
        <v>10238</v>
      </c>
      <c r="D10374" s="13" t="s">
        <v>12525</v>
      </c>
      <c r="E10374" s="8">
        <v>10000</v>
      </c>
      <c r="F10374" s="13" t="s">
        <v>70</v>
      </c>
      <c r="G10374" s="14">
        <v>44841</v>
      </c>
      <c r="H10374" s="13" t="s">
        <v>35</v>
      </c>
    </row>
    <row r="10375" spans="1:8" ht="14.4" x14ac:dyDescent="0.3">
      <c r="A10375" s="8">
        <v>2092841</v>
      </c>
      <c r="B10375" s="11">
        <v>44839</v>
      </c>
      <c r="C10375" s="13" t="s">
        <v>8212</v>
      </c>
      <c r="D10375" s="13" t="s">
        <v>12526</v>
      </c>
      <c r="E10375" s="8">
        <v>15000</v>
      </c>
      <c r="F10375" s="13" t="s">
        <v>70</v>
      </c>
      <c r="G10375" s="14">
        <v>44844</v>
      </c>
      <c r="H10375" s="13" t="s">
        <v>35</v>
      </c>
    </row>
    <row r="10376" spans="1:8" ht="14.4" x14ac:dyDescent="0.3">
      <c r="A10376" s="8">
        <v>2092842</v>
      </c>
      <c r="B10376" s="11">
        <v>44839</v>
      </c>
      <c r="C10376" s="13" t="s">
        <v>12527</v>
      </c>
      <c r="D10376" s="13" t="s">
        <v>12528</v>
      </c>
      <c r="E10376" s="8">
        <v>9000</v>
      </c>
      <c r="F10376" s="13" t="s">
        <v>70</v>
      </c>
      <c r="G10376" s="14">
        <v>44841</v>
      </c>
      <c r="H10376" s="13" t="s">
        <v>35</v>
      </c>
    </row>
    <row r="10377" spans="1:8" ht="14.4" x14ac:dyDescent="0.3">
      <c r="A10377" s="8">
        <v>2092843</v>
      </c>
      <c r="B10377" s="11">
        <v>44839</v>
      </c>
      <c r="C10377" s="13" t="s">
        <v>12529</v>
      </c>
      <c r="D10377" s="13" t="s">
        <v>12530</v>
      </c>
      <c r="E10377" s="8">
        <v>10000</v>
      </c>
      <c r="F10377" s="13" t="s">
        <v>70</v>
      </c>
      <c r="G10377" s="14">
        <v>44841</v>
      </c>
      <c r="H10377" s="13" t="s">
        <v>35</v>
      </c>
    </row>
    <row r="10378" spans="1:8" ht="14.4" x14ac:dyDescent="0.3">
      <c r="A10378" s="8">
        <v>2092844</v>
      </c>
      <c r="B10378" s="11">
        <v>44839</v>
      </c>
      <c r="C10378" s="13" t="s">
        <v>12531</v>
      </c>
      <c r="D10378" s="13" t="s">
        <v>12532</v>
      </c>
      <c r="E10378" s="8">
        <v>10000</v>
      </c>
      <c r="F10378" s="13" t="s">
        <v>70</v>
      </c>
      <c r="G10378" s="14">
        <v>44841</v>
      </c>
      <c r="H10378" s="13" t="s">
        <v>35</v>
      </c>
    </row>
    <row r="10379" spans="1:8" ht="14.4" x14ac:dyDescent="0.3">
      <c r="A10379" s="8">
        <v>2092845</v>
      </c>
      <c r="B10379" s="11">
        <v>44839</v>
      </c>
      <c r="C10379" s="13" t="s">
        <v>12533</v>
      </c>
      <c r="D10379" s="13" t="s">
        <v>12534</v>
      </c>
      <c r="E10379" s="8">
        <v>15000</v>
      </c>
      <c r="F10379" s="13" t="s">
        <v>70</v>
      </c>
      <c r="G10379" s="14">
        <v>44841</v>
      </c>
      <c r="H10379" s="13" t="s">
        <v>35</v>
      </c>
    </row>
    <row r="10380" spans="1:8" ht="14.4" x14ac:dyDescent="0.3">
      <c r="A10380" s="8">
        <v>2092846</v>
      </c>
      <c r="B10380" s="11">
        <v>44839</v>
      </c>
      <c r="C10380" s="13" t="s">
        <v>12535</v>
      </c>
      <c r="D10380" s="13" t="s">
        <v>12536</v>
      </c>
      <c r="E10380" s="8">
        <v>10000</v>
      </c>
      <c r="F10380" s="13" t="s">
        <v>70</v>
      </c>
      <c r="G10380" s="14">
        <v>44847</v>
      </c>
      <c r="H10380" s="13" t="s">
        <v>35</v>
      </c>
    </row>
    <row r="10381" spans="1:8" ht="14.4" x14ac:dyDescent="0.3">
      <c r="A10381" s="8">
        <v>2092847</v>
      </c>
      <c r="B10381" s="11">
        <v>44839</v>
      </c>
      <c r="C10381" s="13" t="s">
        <v>12537</v>
      </c>
      <c r="D10381" s="13" t="s">
        <v>12538</v>
      </c>
      <c r="E10381" s="8">
        <v>24000</v>
      </c>
      <c r="F10381" s="13" t="s">
        <v>70</v>
      </c>
      <c r="G10381" s="14">
        <v>44841</v>
      </c>
      <c r="H10381" s="13" t="s">
        <v>35</v>
      </c>
    </row>
    <row r="10382" spans="1:8" ht="14.4" x14ac:dyDescent="0.3">
      <c r="A10382" s="8">
        <v>2092848</v>
      </c>
      <c r="B10382" s="11">
        <v>44839</v>
      </c>
      <c r="C10382" s="13" t="s">
        <v>12539</v>
      </c>
      <c r="D10382" s="13" t="s">
        <v>100</v>
      </c>
      <c r="E10382" s="8">
        <v>50000</v>
      </c>
      <c r="F10382" s="13" t="s">
        <v>70</v>
      </c>
      <c r="G10382" s="14">
        <v>44841</v>
      </c>
      <c r="H10382" s="13" t="s">
        <v>35</v>
      </c>
    </row>
    <row r="10383" spans="1:8" ht="14.4" x14ac:dyDescent="0.3">
      <c r="A10383" s="8">
        <v>2092849</v>
      </c>
      <c r="B10383" s="11">
        <v>44839</v>
      </c>
      <c r="C10383" s="13" t="s">
        <v>12540</v>
      </c>
      <c r="D10383" s="13" t="s">
        <v>12541</v>
      </c>
      <c r="E10383" s="8">
        <v>10000</v>
      </c>
      <c r="F10383" s="13" t="s">
        <v>70</v>
      </c>
      <c r="G10383" s="14">
        <v>44844</v>
      </c>
      <c r="H10383" s="13" t="s">
        <v>35</v>
      </c>
    </row>
    <row r="10384" spans="1:8" ht="14.4" x14ac:dyDescent="0.3">
      <c r="A10384" s="8">
        <v>2092850</v>
      </c>
      <c r="B10384" s="11">
        <v>44839</v>
      </c>
      <c r="C10384" s="13" t="s">
        <v>12542</v>
      </c>
      <c r="D10384" s="13" t="s">
        <v>12543</v>
      </c>
      <c r="E10384" s="8">
        <v>45000</v>
      </c>
      <c r="F10384" s="13" t="s">
        <v>70</v>
      </c>
      <c r="G10384" s="14">
        <v>44844</v>
      </c>
      <c r="H10384" s="13" t="s">
        <v>35</v>
      </c>
    </row>
    <row r="10385" spans="1:8" ht="14.4" x14ac:dyDescent="0.3">
      <c r="A10385" s="8">
        <v>2092851</v>
      </c>
      <c r="B10385" s="11">
        <v>44839</v>
      </c>
      <c r="C10385" s="13" t="s">
        <v>12544</v>
      </c>
      <c r="D10385" s="13" t="s">
        <v>12545</v>
      </c>
      <c r="E10385" s="8">
        <v>8000</v>
      </c>
      <c r="F10385" s="13" t="s">
        <v>70</v>
      </c>
      <c r="G10385" s="14">
        <v>44841</v>
      </c>
      <c r="H10385" s="13" t="s">
        <v>35</v>
      </c>
    </row>
    <row r="10386" spans="1:8" ht="14.4" x14ac:dyDescent="0.3">
      <c r="A10386" s="8">
        <v>2092852</v>
      </c>
      <c r="B10386" s="11">
        <v>44839</v>
      </c>
      <c r="C10386" s="13" t="s">
        <v>12546</v>
      </c>
      <c r="D10386" s="13" t="s">
        <v>12547</v>
      </c>
      <c r="E10386" s="8">
        <v>50000</v>
      </c>
      <c r="F10386" s="13" t="s">
        <v>70</v>
      </c>
      <c r="G10386" s="14">
        <v>44841</v>
      </c>
      <c r="H10386" s="13" t="s">
        <v>35</v>
      </c>
    </row>
    <row r="10387" spans="1:8" ht="14.4" x14ac:dyDescent="0.3">
      <c r="A10387" s="8">
        <v>2092853</v>
      </c>
      <c r="B10387" s="11">
        <v>44839</v>
      </c>
      <c r="C10387" s="13" t="s">
        <v>12548</v>
      </c>
      <c r="D10387" s="13" t="s">
        <v>12549</v>
      </c>
      <c r="E10387" s="8">
        <v>6500</v>
      </c>
      <c r="F10387" s="13" t="s">
        <v>70</v>
      </c>
      <c r="G10387" s="14">
        <v>44845</v>
      </c>
      <c r="H10387" s="13" t="s">
        <v>35</v>
      </c>
    </row>
    <row r="10388" spans="1:8" ht="14.4" x14ac:dyDescent="0.3">
      <c r="A10388" s="8">
        <v>2092854</v>
      </c>
      <c r="B10388" s="11">
        <v>44839</v>
      </c>
      <c r="C10388" s="13" t="s">
        <v>12550</v>
      </c>
      <c r="D10388" s="13" t="s">
        <v>150</v>
      </c>
      <c r="E10388" s="8">
        <v>20000</v>
      </c>
      <c r="F10388" s="13" t="s">
        <v>70</v>
      </c>
      <c r="G10388" s="14">
        <v>44841</v>
      </c>
      <c r="H10388" s="13" t="s">
        <v>35</v>
      </c>
    </row>
    <row r="10389" spans="1:8" ht="14.4" x14ac:dyDescent="0.3">
      <c r="A10389" s="8">
        <v>2092855</v>
      </c>
      <c r="B10389" s="11">
        <v>44839</v>
      </c>
      <c r="C10389" s="13" t="s">
        <v>12551</v>
      </c>
      <c r="D10389" s="13" t="s">
        <v>1166</v>
      </c>
      <c r="E10389" s="8">
        <v>20000</v>
      </c>
      <c r="F10389" s="13" t="s">
        <v>70</v>
      </c>
      <c r="G10389" s="14">
        <v>44844</v>
      </c>
      <c r="H10389" s="13" t="s">
        <v>35</v>
      </c>
    </row>
    <row r="10390" spans="1:8" ht="14.4" x14ac:dyDescent="0.3">
      <c r="A10390" s="8">
        <v>2092856</v>
      </c>
      <c r="B10390" s="11">
        <v>44839</v>
      </c>
      <c r="C10390" s="13" t="s">
        <v>12552</v>
      </c>
      <c r="D10390" s="13" t="s">
        <v>12553</v>
      </c>
      <c r="E10390" s="8">
        <v>8500</v>
      </c>
      <c r="F10390" s="13" t="s">
        <v>70</v>
      </c>
      <c r="G10390" s="14">
        <v>44841</v>
      </c>
      <c r="H10390" s="13" t="s">
        <v>35</v>
      </c>
    </row>
    <row r="10391" spans="1:8" ht="14.4" x14ac:dyDescent="0.3">
      <c r="A10391" s="8">
        <v>2092857</v>
      </c>
      <c r="B10391" s="11">
        <v>44839</v>
      </c>
      <c r="C10391" s="13" t="s">
        <v>12554</v>
      </c>
      <c r="D10391" s="13" t="s">
        <v>12555</v>
      </c>
      <c r="E10391" s="8">
        <v>13000</v>
      </c>
      <c r="F10391" s="13" t="s">
        <v>70</v>
      </c>
      <c r="G10391" s="14">
        <v>44841</v>
      </c>
      <c r="H10391" s="13" t="s">
        <v>35</v>
      </c>
    </row>
    <row r="10392" spans="1:8" ht="14.4" x14ac:dyDescent="0.3">
      <c r="A10392" s="8">
        <v>2092858</v>
      </c>
      <c r="B10392" s="11">
        <v>44839</v>
      </c>
      <c r="C10392" s="13" t="s">
        <v>8946</v>
      </c>
      <c r="D10392" s="13" t="s">
        <v>12556</v>
      </c>
      <c r="E10392" s="8">
        <v>8000</v>
      </c>
      <c r="F10392" s="13" t="s">
        <v>70</v>
      </c>
      <c r="G10392" s="14">
        <v>44841</v>
      </c>
      <c r="H10392" s="13" t="s">
        <v>35</v>
      </c>
    </row>
    <row r="10393" spans="1:8" ht="14.4" x14ac:dyDescent="0.3">
      <c r="A10393" s="8">
        <v>2092859</v>
      </c>
      <c r="B10393" s="11">
        <v>44839</v>
      </c>
      <c r="C10393" s="13" t="s">
        <v>2102</v>
      </c>
      <c r="D10393" s="13" t="s">
        <v>12465</v>
      </c>
      <c r="E10393" s="8">
        <v>185000</v>
      </c>
      <c r="F10393" s="13" t="s">
        <v>70</v>
      </c>
      <c r="G10393" s="14">
        <v>44854</v>
      </c>
      <c r="H10393" s="13" t="s">
        <v>35</v>
      </c>
    </row>
    <row r="10394" spans="1:8" ht="14.4" x14ac:dyDescent="0.3">
      <c r="A10394" s="8">
        <v>2092860</v>
      </c>
      <c r="B10394" s="11">
        <v>44839</v>
      </c>
      <c r="C10394" s="13" t="s">
        <v>1540</v>
      </c>
      <c r="D10394" s="13" t="s">
        <v>12557</v>
      </c>
      <c r="E10394" s="8">
        <v>12766166.810000001</v>
      </c>
      <c r="F10394" s="13" t="s">
        <v>70</v>
      </c>
      <c r="G10394" s="14">
        <v>44840</v>
      </c>
      <c r="H10394" s="13" t="s">
        <v>35</v>
      </c>
    </row>
    <row r="10395" spans="1:8" ht="14.4" x14ac:dyDescent="0.3">
      <c r="A10395" s="8">
        <v>2092861</v>
      </c>
      <c r="B10395" s="11">
        <v>44839</v>
      </c>
      <c r="C10395" s="13" t="s">
        <v>5898</v>
      </c>
      <c r="D10395" s="13" t="s">
        <v>12558</v>
      </c>
      <c r="E10395" s="8">
        <v>20000</v>
      </c>
      <c r="F10395" s="13" t="s">
        <v>70</v>
      </c>
      <c r="G10395" s="14">
        <v>44839</v>
      </c>
      <c r="H10395" s="13" t="s">
        <v>35</v>
      </c>
    </row>
    <row r="10396" spans="1:8" ht="14.4" x14ac:dyDescent="0.3">
      <c r="A10396" s="8">
        <v>2092862</v>
      </c>
      <c r="B10396" s="11">
        <v>44839</v>
      </c>
      <c r="C10396" s="13" t="s">
        <v>275</v>
      </c>
      <c r="D10396" s="13" t="s">
        <v>12559</v>
      </c>
      <c r="E10396" s="8">
        <v>52129.8</v>
      </c>
      <c r="F10396" s="13" t="s">
        <v>70</v>
      </c>
      <c r="G10396" s="14">
        <v>44839</v>
      </c>
      <c r="H10396" s="13" t="s">
        <v>35</v>
      </c>
    </row>
    <row r="10397" spans="1:8" ht="14.4" x14ac:dyDescent="0.3">
      <c r="A10397" s="8">
        <v>2092863</v>
      </c>
      <c r="B10397" s="11">
        <v>44839</v>
      </c>
      <c r="C10397" s="13" t="s">
        <v>42</v>
      </c>
      <c r="D10397" s="13" t="s">
        <v>12208</v>
      </c>
      <c r="E10397" s="8">
        <v>4784.42</v>
      </c>
      <c r="F10397" s="13" t="s">
        <v>70</v>
      </c>
      <c r="G10397" s="14">
        <v>44841</v>
      </c>
      <c r="H10397" s="13" t="s">
        <v>35</v>
      </c>
    </row>
    <row r="10398" spans="1:8" ht="14.4" x14ac:dyDescent="0.3">
      <c r="A10398" s="8">
        <v>2092864</v>
      </c>
      <c r="B10398" s="11">
        <v>44839</v>
      </c>
      <c r="C10398" s="13" t="s">
        <v>12560</v>
      </c>
      <c r="D10398" s="13" t="s">
        <v>12561</v>
      </c>
      <c r="E10398" s="8">
        <v>2085.31</v>
      </c>
      <c r="F10398" s="13" t="s">
        <v>70</v>
      </c>
      <c r="G10398" s="14">
        <v>44846</v>
      </c>
      <c r="H10398" s="13" t="s">
        <v>35</v>
      </c>
    </row>
    <row r="10399" spans="1:8" ht="14.4" x14ac:dyDescent="0.3">
      <c r="A10399" s="8">
        <v>2092865</v>
      </c>
      <c r="B10399" s="11">
        <v>44839</v>
      </c>
      <c r="C10399" s="13" t="s">
        <v>12562</v>
      </c>
      <c r="D10399" s="13" t="s">
        <v>27</v>
      </c>
      <c r="E10399" s="8">
        <v>2491.84</v>
      </c>
      <c r="F10399" s="13" t="s">
        <v>70</v>
      </c>
      <c r="G10399" s="14">
        <v>44851</v>
      </c>
      <c r="H10399" s="13" t="s">
        <v>35</v>
      </c>
    </row>
    <row r="10400" spans="1:8" ht="14.4" x14ac:dyDescent="0.3">
      <c r="A10400" s="8">
        <v>2092866</v>
      </c>
      <c r="B10400" s="11">
        <v>44839</v>
      </c>
      <c r="C10400" s="13" t="s">
        <v>12563</v>
      </c>
      <c r="D10400" s="13" t="s">
        <v>12564</v>
      </c>
      <c r="E10400" s="8">
        <v>2739.5</v>
      </c>
      <c r="F10400" s="13" t="s">
        <v>70</v>
      </c>
      <c r="G10400" s="14">
        <v>44847</v>
      </c>
      <c r="H10400" s="13" t="s">
        <v>35</v>
      </c>
    </row>
    <row r="10401" spans="1:8" ht="14.4" x14ac:dyDescent="0.3">
      <c r="A10401" s="8">
        <v>2092867</v>
      </c>
      <c r="B10401" s="11">
        <v>44839</v>
      </c>
      <c r="C10401" s="13" t="s">
        <v>265</v>
      </c>
      <c r="D10401" s="13" t="s">
        <v>12565</v>
      </c>
      <c r="E10401" s="8">
        <v>34900</v>
      </c>
      <c r="F10401" s="13" t="s">
        <v>70</v>
      </c>
      <c r="G10401" s="14">
        <v>44840</v>
      </c>
      <c r="H10401" s="13" t="s">
        <v>35</v>
      </c>
    </row>
    <row r="10402" spans="1:8" ht="14.4" x14ac:dyDescent="0.3">
      <c r="A10402" s="8">
        <v>2092868</v>
      </c>
      <c r="B10402" s="11">
        <v>44839</v>
      </c>
      <c r="C10402" s="13" t="s">
        <v>265</v>
      </c>
      <c r="D10402" s="13" t="s">
        <v>12566</v>
      </c>
      <c r="E10402" s="8">
        <v>55882.75</v>
      </c>
      <c r="F10402" s="13" t="s">
        <v>70</v>
      </c>
      <c r="G10402" s="14">
        <v>44840</v>
      </c>
      <c r="H10402" s="13" t="s">
        <v>35</v>
      </c>
    </row>
    <row r="10403" spans="1:8" ht="14.4" x14ac:dyDescent="0.3">
      <c r="A10403" s="8">
        <v>2092869</v>
      </c>
      <c r="B10403" s="11">
        <v>44839</v>
      </c>
      <c r="C10403" s="13" t="s">
        <v>265</v>
      </c>
      <c r="D10403" s="13" t="s">
        <v>12567</v>
      </c>
      <c r="E10403" s="8">
        <v>30330</v>
      </c>
      <c r="F10403" s="13" t="s">
        <v>70</v>
      </c>
      <c r="G10403" s="14">
        <v>44840</v>
      </c>
      <c r="H10403" s="13" t="s">
        <v>35</v>
      </c>
    </row>
    <row r="10404" spans="1:8" ht="14.4" x14ac:dyDescent="0.3">
      <c r="A10404" s="8">
        <v>2092870</v>
      </c>
      <c r="B10404" s="11">
        <v>44839</v>
      </c>
      <c r="C10404" s="13" t="s">
        <v>265</v>
      </c>
      <c r="D10404" s="13" t="s">
        <v>12568</v>
      </c>
      <c r="E10404" s="8">
        <v>55178.34</v>
      </c>
      <c r="F10404" s="13" t="s">
        <v>70</v>
      </c>
      <c r="G10404" s="14">
        <v>44840</v>
      </c>
      <c r="H10404" s="13" t="s">
        <v>35</v>
      </c>
    </row>
    <row r="10405" spans="1:8" ht="14.4" x14ac:dyDescent="0.3">
      <c r="A10405" s="8">
        <v>2092871</v>
      </c>
      <c r="B10405" s="11">
        <v>44839</v>
      </c>
      <c r="C10405" s="13" t="s">
        <v>4905</v>
      </c>
      <c r="D10405" s="13" t="s">
        <v>12569</v>
      </c>
      <c r="E10405" s="8">
        <v>10000</v>
      </c>
      <c r="F10405" s="13" t="s">
        <v>70</v>
      </c>
      <c r="G10405" s="14">
        <v>44844</v>
      </c>
      <c r="H10405" s="13" t="s">
        <v>35</v>
      </c>
    </row>
    <row r="10406" spans="1:8" ht="14.4" x14ac:dyDescent="0.3">
      <c r="A10406" s="8">
        <v>2092872</v>
      </c>
      <c r="B10406" s="11">
        <v>44839</v>
      </c>
      <c r="C10406" s="13" t="s">
        <v>195</v>
      </c>
      <c r="D10406" s="13" t="s">
        <v>12570</v>
      </c>
      <c r="E10406" s="8">
        <v>12000</v>
      </c>
      <c r="F10406" s="13" t="s">
        <v>70</v>
      </c>
      <c r="G10406" s="14">
        <v>44841</v>
      </c>
      <c r="H10406" s="13" t="s">
        <v>35</v>
      </c>
    </row>
    <row r="10407" spans="1:8" ht="14.4" x14ac:dyDescent="0.3">
      <c r="A10407" s="8">
        <v>2092873</v>
      </c>
      <c r="B10407" s="11">
        <v>44839</v>
      </c>
      <c r="C10407" s="13" t="s">
        <v>195</v>
      </c>
      <c r="D10407" s="13" t="s">
        <v>11515</v>
      </c>
      <c r="E10407" s="8">
        <v>54972</v>
      </c>
      <c r="F10407" s="13" t="s">
        <v>70</v>
      </c>
      <c r="G10407" s="14">
        <v>44841</v>
      </c>
      <c r="H10407" s="13" t="s">
        <v>35</v>
      </c>
    </row>
    <row r="10408" spans="1:8" ht="14.4" x14ac:dyDescent="0.3">
      <c r="A10408" s="8">
        <v>2092874</v>
      </c>
      <c r="B10408" s="11">
        <v>44839</v>
      </c>
      <c r="C10408" s="13" t="s">
        <v>12571</v>
      </c>
      <c r="D10408" s="13" t="s">
        <v>12572</v>
      </c>
      <c r="E10408" s="8">
        <v>35100</v>
      </c>
      <c r="F10408" s="13" t="s">
        <v>70</v>
      </c>
      <c r="G10408" s="14">
        <v>44875</v>
      </c>
      <c r="H10408" s="13" t="s">
        <v>35</v>
      </c>
    </row>
    <row r="10409" spans="1:8" ht="14.4" x14ac:dyDescent="0.3">
      <c r="A10409" s="8">
        <v>2092875</v>
      </c>
      <c r="B10409" s="11">
        <v>44839</v>
      </c>
      <c r="C10409" s="13" t="s">
        <v>12571</v>
      </c>
      <c r="D10409" s="13" t="s">
        <v>12573</v>
      </c>
      <c r="E10409" s="8">
        <v>39000</v>
      </c>
      <c r="F10409" s="13" t="s">
        <v>70</v>
      </c>
      <c r="G10409" s="14">
        <v>44875</v>
      </c>
      <c r="H10409" s="13" t="s">
        <v>35</v>
      </c>
    </row>
    <row r="10410" spans="1:8" ht="14.4" x14ac:dyDescent="0.3">
      <c r="A10410" s="8">
        <v>2092876</v>
      </c>
      <c r="B10410" s="11">
        <v>44839</v>
      </c>
      <c r="C10410" s="13" t="s">
        <v>2583</v>
      </c>
      <c r="D10410" s="13" t="s">
        <v>12574</v>
      </c>
      <c r="E10410" s="8">
        <v>5623.12</v>
      </c>
      <c r="F10410" s="13" t="s">
        <v>70</v>
      </c>
      <c r="G10410" s="14">
        <v>44876</v>
      </c>
      <c r="H10410" s="13" t="s">
        <v>35</v>
      </c>
    </row>
    <row r="10411" spans="1:8" ht="14.4" x14ac:dyDescent="0.3">
      <c r="A10411" s="8">
        <v>2092877</v>
      </c>
      <c r="B10411" s="11">
        <v>44839</v>
      </c>
      <c r="C10411" s="13" t="s">
        <v>42</v>
      </c>
      <c r="D10411" s="13" t="s">
        <v>12575</v>
      </c>
      <c r="E10411" s="8">
        <v>18064.55</v>
      </c>
      <c r="F10411" s="13" t="s">
        <v>70</v>
      </c>
      <c r="G10411" s="14">
        <v>44841</v>
      </c>
      <c r="H10411" s="13" t="s">
        <v>35</v>
      </c>
    </row>
    <row r="10412" spans="1:8" ht="14.4" x14ac:dyDescent="0.3">
      <c r="A10412" s="8">
        <v>2092878</v>
      </c>
      <c r="B10412" s="11">
        <v>44839</v>
      </c>
      <c r="C10412" s="13" t="s">
        <v>42</v>
      </c>
      <c r="D10412" s="13" t="s">
        <v>12576</v>
      </c>
      <c r="E10412" s="8">
        <v>4411.97</v>
      </c>
      <c r="F10412" s="13" t="s">
        <v>70</v>
      </c>
      <c r="G10412" s="14">
        <v>44841</v>
      </c>
      <c r="H10412" s="13" t="s">
        <v>35</v>
      </c>
    </row>
    <row r="10413" spans="1:8" ht="14.4" x14ac:dyDescent="0.3">
      <c r="A10413" s="8">
        <v>2092879</v>
      </c>
      <c r="B10413" s="11">
        <v>44839</v>
      </c>
      <c r="C10413" s="13" t="s">
        <v>42</v>
      </c>
      <c r="D10413" s="13" t="s">
        <v>12576</v>
      </c>
      <c r="E10413" s="8">
        <v>4981.5600000000004</v>
      </c>
      <c r="F10413" s="13" t="s">
        <v>70</v>
      </c>
      <c r="G10413" s="14">
        <v>44841</v>
      </c>
      <c r="H10413" s="13" t="s">
        <v>35</v>
      </c>
    </row>
    <row r="10414" spans="1:8" ht="14.4" x14ac:dyDescent="0.3">
      <c r="A10414" s="8">
        <v>2092880</v>
      </c>
      <c r="B10414" s="11">
        <v>44839</v>
      </c>
      <c r="C10414" s="13" t="s">
        <v>42</v>
      </c>
      <c r="D10414" s="13" t="s">
        <v>12002</v>
      </c>
      <c r="E10414" s="8">
        <v>4500.8999999999996</v>
      </c>
      <c r="F10414" s="13" t="s">
        <v>70</v>
      </c>
      <c r="G10414" s="14">
        <v>44841</v>
      </c>
      <c r="H10414" s="13" t="s">
        <v>35</v>
      </c>
    </row>
    <row r="10415" spans="1:8" ht="14.4" x14ac:dyDescent="0.3">
      <c r="A10415" s="8">
        <v>2092881</v>
      </c>
      <c r="B10415" s="11">
        <v>44839</v>
      </c>
      <c r="C10415" s="13" t="s">
        <v>42</v>
      </c>
      <c r="D10415" s="13" t="s">
        <v>12577</v>
      </c>
      <c r="E10415" s="8">
        <v>4232.5200000000004</v>
      </c>
      <c r="F10415" s="13" t="s">
        <v>70</v>
      </c>
      <c r="G10415" s="14">
        <v>44841</v>
      </c>
      <c r="H10415" s="13" t="s">
        <v>35</v>
      </c>
    </row>
    <row r="10416" spans="1:8" ht="14.4" x14ac:dyDescent="0.3">
      <c r="A10416" s="8">
        <v>2092882</v>
      </c>
      <c r="B10416" s="11">
        <v>44839</v>
      </c>
      <c r="C10416" s="13" t="s">
        <v>42</v>
      </c>
      <c r="D10416" s="13" t="s">
        <v>12578</v>
      </c>
      <c r="E10416" s="8">
        <v>13603.43</v>
      </c>
      <c r="F10416" s="13" t="s">
        <v>70</v>
      </c>
      <c r="G10416" s="14">
        <v>44841</v>
      </c>
      <c r="H10416" s="13" t="s">
        <v>35</v>
      </c>
    </row>
    <row r="10417" spans="1:8" ht="14.4" x14ac:dyDescent="0.3">
      <c r="A10417" s="8">
        <v>2092883</v>
      </c>
      <c r="B10417" s="11">
        <v>44839</v>
      </c>
      <c r="C10417" s="13" t="s">
        <v>42</v>
      </c>
      <c r="D10417" s="13" t="s">
        <v>12208</v>
      </c>
      <c r="E10417" s="8">
        <v>4105.04</v>
      </c>
      <c r="F10417" s="13" t="s">
        <v>70</v>
      </c>
      <c r="G10417" s="14">
        <v>44841</v>
      </c>
      <c r="H10417" s="13" t="s">
        <v>35</v>
      </c>
    </row>
    <row r="10418" spans="1:8" ht="14.4" x14ac:dyDescent="0.3">
      <c r="A10418" s="8">
        <v>2092884</v>
      </c>
      <c r="B10418" s="11">
        <v>44839</v>
      </c>
      <c r="C10418" s="13" t="s">
        <v>42</v>
      </c>
      <c r="D10418" s="13" t="s">
        <v>12579</v>
      </c>
      <c r="E10418" s="8">
        <v>7244.44</v>
      </c>
      <c r="F10418" s="13" t="s">
        <v>70</v>
      </c>
      <c r="G10418" s="14">
        <v>44841</v>
      </c>
      <c r="H10418" s="13" t="s">
        <v>35</v>
      </c>
    </row>
    <row r="10419" spans="1:8" ht="14.4" x14ac:dyDescent="0.3">
      <c r="A10419" s="8">
        <v>2092885</v>
      </c>
      <c r="B10419" s="11">
        <v>44839</v>
      </c>
      <c r="C10419" s="13" t="s">
        <v>42</v>
      </c>
      <c r="D10419" s="13" t="s">
        <v>12576</v>
      </c>
      <c r="E10419" s="8">
        <v>8747.64</v>
      </c>
      <c r="F10419" s="13" t="s">
        <v>70</v>
      </c>
      <c r="G10419" s="14">
        <v>44841</v>
      </c>
      <c r="H10419" s="13" t="s">
        <v>35</v>
      </c>
    </row>
    <row r="10420" spans="1:8" ht="14.4" x14ac:dyDescent="0.3">
      <c r="A10420" s="8">
        <v>2092886</v>
      </c>
      <c r="B10420" s="11">
        <v>44839</v>
      </c>
      <c r="C10420" s="13" t="s">
        <v>12580</v>
      </c>
      <c r="D10420" s="13" t="s">
        <v>12581</v>
      </c>
      <c r="E10420" s="8">
        <v>35394.26</v>
      </c>
      <c r="F10420" s="13" t="s">
        <v>70</v>
      </c>
      <c r="G10420" s="14">
        <v>44840</v>
      </c>
      <c r="H10420" s="13" t="s">
        <v>35</v>
      </c>
    </row>
    <row r="10421" spans="1:8" ht="14.4" x14ac:dyDescent="0.3">
      <c r="A10421" s="8">
        <v>2092887</v>
      </c>
      <c r="B10421" s="11">
        <v>44839</v>
      </c>
      <c r="C10421" s="13" t="s">
        <v>405</v>
      </c>
      <c r="D10421" s="13" t="s">
        <v>12582</v>
      </c>
      <c r="E10421" s="8">
        <v>18727.759999999998</v>
      </c>
      <c r="F10421" s="13" t="s">
        <v>70</v>
      </c>
      <c r="G10421" s="14">
        <v>44844</v>
      </c>
      <c r="H10421" s="13" t="s">
        <v>35</v>
      </c>
    </row>
    <row r="10422" spans="1:8" ht="14.4" x14ac:dyDescent="0.3">
      <c r="A10422" s="8">
        <v>2092888</v>
      </c>
      <c r="B10422" s="11">
        <v>44839</v>
      </c>
      <c r="C10422" s="13" t="s">
        <v>2567</v>
      </c>
      <c r="D10422" s="13" t="s">
        <v>12583</v>
      </c>
      <c r="E10422" s="8">
        <v>13931.43</v>
      </c>
      <c r="F10422" s="13" t="s">
        <v>70</v>
      </c>
      <c r="G10422" s="14">
        <v>44844</v>
      </c>
      <c r="H10422" s="13" t="s">
        <v>35</v>
      </c>
    </row>
    <row r="10423" spans="1:8" ht="14.4" x14ac:dyDescent="0.3">
      <c r="A10423" s="8">
        <v>2092889</v>
      </c>
      <c r="B10423" s="11">
        <v>44839</v>
      </c>
      <c r="C10423" s="13" t="s">
        <v>1420</v>
      </c>
      <c r="D10423" s="13" t="s">
        <v>12584</v>
      </c>
      <c r="E10423" s="8">
        <v>246983.04000000001</v>
      </c>
      <c r="F10423" s="13" t="s">
        <v>70</v>
      </c>
      <c r="G10423" s="14">
        <v>44840</v>
      </c>
      <c r="H10423" s="13" t="s">
        <v>35</v>
      </c>
    </row>
    <row r="10424" spans="1:8" ht="14.4" x14ac:dyDescent="0.3">
      <c r="A10424" s="8">
        <v>2092890</v>
      </c>
      <c r="B10424" s="11">
        <v>44839</v>
      </c>
      <c r="C10424" s="13" t="s">
        <v>4084</v>
      </c>
      <c r="D10424" s="13" t="s">
        <v>12585</v>
      </c>
      <c r="E10424" s="8">
        <v>217756</v>
      </c>
      <c r="F10424" s="13" t="s">
        <v>70</v>
      </c>
      <c r="G10424" s="14">
        <v>44875</v>
      </c>
      <c r="H10424" s="13" t="s">
        <v>35</v>
      </c>
    </row>
    <row r="10425" spans="1:8" ht="14.4" x14ac:dyDescent="0.3">
      <c r="A10425" s="8">
        <v>2092041</v>
      </c>
      <c r="B10425" s="11">
        <v>44840</v>
      </c>
      <c r="C10425" s="13" t="s">
        <v>12586</v>
      </c>
      <c r="D10425" s="13"/>
      <c r="E10425" s="8">
        <v>4675.8900000000003</v>
      </c>
      <c r="F10425" s="13" t="s">
        <v>70</v>
      </c>
      <c r="G10425" s="14">
        <v>44845</v>
      </c>
      <c r="H10425" s="13" t="s">
        <v>35</v>
      </c>
    </row>
    <row r="10426" spans="1:8" ht="14.4" x14ac:dyDescent="0.3">
      <c r="A10426" s="8">
        <v>2092042</v>
      </c>
      <c r="B10426" s="11">
        <v>44840</v>
      </c>
      <c r="C10426" s="13" t="s">
        <v>44</v>
      </c>
      <c r="D10426" s="13" t="s">
        <v>12587</v>
      </c>
      <c r="E10426" s="8">
        <v>6705.11</v>
      </c>
      <c r="F10426" s="13" t="s">
        <v>70</v>
      </c>
      <c r="G10426" s="14">
        <v>44845</v>
      </c>
      <c r="H10426" s="13" t="s">
        <v>35</v>
      </c>
    </row>
    <row r="10427" spans="1:8" ht="14.4" x14ac:dyDescent="0.3">
      <c r="A10427" s="8">
        <v>2092891</v>
      </c>
      <c r="B10427" s="11">
        <v>44840</v>
      </c>
      <c r="C10427" s="13" t="s">
        <v>52</v>
      </c>
      <c r="D10427" s="13" t="s">
        <v>12588</v>
      </c>
      <c r="E10427" s="8">
        <v>49214.28</v>
      </c>
      <c r="F10427" s="13" t="s">
        <v>70</v>
      </c>
      <c r="G10427" s="14">
        <v>44847</v>
      </c>
      <c r="H10427" s="13" t="s">
        <v>35</v>
      </c>
    </row>
    <row r="10428" spans="1:8" ht="14.4" x14ac:dyDescent="0.3">
      <c r="A10428" s="8">
        <v>2092892</v>
      </c>
      <c r="B10428" s="11">
        <v>44840</v>
      </c>
      <c r="C10428" s="13" t="s">
        <v>376</v>
      </c>
      <c r="D10428" s="13" t="s">
        <v>12589</v>
      </c>
      <c r="E10428" s="8">
        <v>30723</v>
      </c>
      <c r="F10428" s="13" t="s">
        <v>70</v>
      </c>
      <c r="G10428" s="14">
        <v>44875</v>
      </c>
      <c r="H10428" s="13" t="s">
        <v>35</v>
      </c>
    </row>
    <row r="10429" spans="1:8" ht="14.4" x14ac:dyDescent="0.3">
      <c r="A10429" s="8">
        <v>2092893</v>
      </c>
      <c r="B10429" s="11">
        <v>44840</v>
      </c>
      <c r="C10429" s="13" t="s">
        <v>245</v>
      </c>
      <c r="D10429" s="13" t="s">
        <v>12590</v>
      </c>
      <c r="E10429" s="8">
        <v>65456.35</v>
      </c>
      <c r="F10429" s="13" t="s">
        <v>70</v>
      </c>
      <c r="G10429" s="14">
        <v>44873</v>
      </c>
      <c r="H10429" s="13" t="s">
        <v>35</v>
      </c>
    </row>
    <row r="10430" spans="1:8" ht="14.4" x14ac:dyDescent="0.3">
      <c r="A10430" s="8">
        <v>2092894</v>
      </c>
      <c r="B10430" s="11">
        <v>44840</v>
      </c>
      <c r="C10430" s="13" t="s">
        <v>287</v>
      </c>
      <c r="D10430" s="13" t="s">
        <v>12591</v>
      </c>
      <c r="E10430" s="8">
        <v>5125</v>
      </c>
      <c r="F10430" s="13" t="s">
        <v>70</v>
      </c>
      <c r="G10430" s="14">
        <v>44844</v>
      </c>
      <c r="H10430" s="13" t="s">
        <v>35</v>
      </c>
    </row>
    <row r="10431" spans="1:8" ht="14.4" x14ac:dyDescent="0.3">
      <c r="A10431" s="8">
        <v>2092895</v>
      </c>
      <c r="B10431" s="11">
        <v>44840</v>
      </c>
      <c r="C10431" s="13" t="s">
        <v>1581</v>
      </c>
      <c r="D10431" s="13" t="s">
        <v>12592</v>
      </c>
      <c r="E10431" s="8">
        <v>9937.5</v>
      </c>
      <c r="F10431" s="13" t="s">
        <v>70</v>
      </c>
      <c r="G10431" s="14">
        <v>44846</v>
      </c>
      <c r="H10431" s="13" t="s">
        <v>35</v>
      </c>
    </row>
    <row r="10432" spans="1:8" ht="14.4" x14ac:dyDescent="0.3">
      <c r="A10432" s="8">
        <v>2092896</v>
      </c>
      <c r="B10432" s="11">
        <v>44840</v>
      </c>
      <c r="C10432" s="13" t="s">
        <v>12593</v>
      </c>
      <c r="D10432" s="13" t="s">
        <v>12594</v>
      </c>
      <c r="E10432" s="8">
        <v>2839.28</v>
      </c>
      <c r="F10432" s="13" t="s">
        <v>70</v>
      </c>
      <c r="G10432" s="14">
        <v>44851</v>
      </c>
      <c r="H10432" s="13" t="s">
        <v>35</v>
      </c>
    </row>
    <row r="10433" spans="1:8" ht="14.4" x14ac:dyDescent="0.3">
      <c r="A10433" s="8">
        <v>2092897</v>
      </c>
      <c r="B10433" s="11">
        <v>44840</v>
      </c>
      <c r="C10433" s="13" t="s">
        <v>1941</v>
      </c>
      <c r="D10433" s="13" t="s">
        <v>12595</v>
      </c>
      <c r="E10433" s="8">
        <v>33510</v>
      </c>
      <c r="F10433" s="13" t="s">
        <v>70</v>
      </c>
      <c r="G10433" s="14">
        <v>44845</v>
      </c>
      <c r="H10433" s="13" t="s">
        <v>35</v>
      </c>
    </row>
    <row r="10434" spans="1:8" ht="14.4" x14ac:dyDescent="0.3">
      <c r="A10434" s="8">
        <v>2092898</v>
      </c>
      <c r="B10434" s="11">
        <v>44840</v>
      </c>
      <c r="C10434" s="13" t="s">
        <v>1946</v>
      </c>
      <c r="D10434" s="13" t="s">
        <v>58</v>
      </c>
      <c r="E10434" s="8">
        <v>28960.720000000001</v>
      </c>
      <c r="F10434" s="13" t="s">
        <v>70</v>
      </c>
      <c r="G10434" s="14">
        <v>44848</v>
      </c>
      <c r="H10434" s="13" t="s">
        <v>35</v>
      </c>
    </row>
    <row r="10435" spans="1:8" ht="14.4" x14ac:dyDescent="0.3">
      <c r="A10435" s="8">
        <v>2092900</v>
      </c>
      <c r="B10435" s="11">
        <v>44840</v>
      </c>
      <c r="C10435" s="13" t="s">
        <v>1596</v>
      </c>
      <c r="D10435" s="13" t="s">
        <v>12596</v>
      </c>
      <c r="E10435" s="8">
        <v>2793</v>
      </c>
      <c r="F10435" s="13" t="s">
        <v>70</v>
      </c>
      <c r="G10435" s="14">
        <v>44868</v>
      </c>
      <c r="H10435" s="13" t="s">
        <v>35</v>
      </c>
    </row>
    <row r="10436" spans="1:8" ht="14.4" x14ac:dyDescent="0.3">
      <c r="A10436" s="8">
        <v>2092901</v>
      </c>
      <c r="B10436" s="11">
        <v>44840</v>
      </c>
      <c r="C10436" s="13" t="s">
        <v>1412</v>
      </c>
      <c r="D10436" s="13" t="s">
        <v>12597</v>
      </c>
      <c r="E10436" s="8">
        <v>46848.22</v>
      </c>
      <c r="F10436" s="13" t="s">
        <v>70</v>
      </c>
      <c r="G10436" s="14">
        <v>44847</v>
      </c>
      <c r="H10436" s="13" t="s">
        <v>35</v>
      </c>
    </row>
    <row r="10437" spans="1:8" ht="14.4" x14ac:dyDescent="0.3">
      <c r="A10437" s="8">
        <v>2092902</v>
      </c>
      <c r="B10437" s="11">
        <v>44840</v>
      </c>
      <c r="C10437" s="13" t="s">
        <v>1581</v>
      </c>
      <c r="D10437" s="13" t="s">
        <v>12598</v>
      </c>
      <c r="E10437" s="8">
        <v>36910.720000000001</v>
      </c>
      <c r="F10437" s="13" t="s">
        <v>70</v>
      </c>
      <c r="G10437" s="14">
        <v>44846</v>
      </c>
      <c r="H10437" s="13" t="s">
        <v>35</v>
      </c>
    </row>
    <row r="10438" spans="1:8" ht="14.4" x14ac:dyDescent="0.3">
      <c r="A10438" s="8">
        <v>2092903</v>
      </c>
      <c r="B10438" s="11">
        <v>44840</v>
      </c>
      <c r="C10438" s="13" t="s">
        <v>1581</v>
      </c>
      <c r="D10438" s="13" t="s">
        <v>12599</v>
      </c>
      <c r="E10438" s="8">
        <v>14196.43</v>
      </c>
      <c r="F10438" s="13" t="s">
        <v>70</v>
      </c>
      <c r="G10438" s="14">
        <v>44846</v>
      </c>
      <c r="H10438" s="13" t="s">
        <v>35</v>
      </c>
    </row>
    <row r="10439" spans="1:8" ht="14.4" x14ac:dyDescent="0.3">
      <c r="A10439" s="8">
        <v>2092904</v>
      </c>
      <c r="B10439" s="11">
        <v>44840</v>
      </c>
      <c r="C10439" s="13" t="s">
        <v>3174</v>
      </c>
      <c r="D10439" s="13" t="s">
        <v>12600</v>
      </c>
      <c r="E10439" s="8">
        <v>12700</v>
      </c>
      <c r="F10439" s="13" t="s">
        <v>70</v>
      </c>
      <c r="G10439" s="14">
        <v>44855</v>
      </c>
      <c r="H10439" s="13" t="s">
        <v>35</v>
      </c>
    </row>
    <row r="10440" spans="1:8" ht="14.4" x14ac:dyDescent="0.3">
      <c r="A10440" s="8">
        <v>2092905</v>
      </c>
      <c r="B10440" s="11">
        <v>44840</v>
      </c>
      <c r="C10440" s="13" t="s">
        <v>1524</v>
      </c>
      <c r="D10440" s="13" t="s">
        <v>12601</v>
      </c>
      <c r="E10440" s="8">
        <v>2839.28</v>
      </c>
      <c r="F10440" s="13" t="s">
        <v>70</v>
      </c>
      <c r="G10440" s="14">
        <v>44847</v>
      </c>
      <c r="H10440" s="13" t="s">
        <v>35</v>
      </c>
    </row>
    <row r="10441" spans="1:8" ht="14.4" x14ac:dyDescent="0.3">
      <c r="A10441" s="8">
        <v>2092906</v>
      </c>
      <c r="B10441" s="11">
        <v>44840</v>
      </c>
      <c r="C10441" s="13" t="s">
        <v>1412</v>
      </c>
      <c r="D10441" s="13" t="s">
        <v>12602</v>
      </c>
      <c r="E10441" s="8">
        <v>16968.75</v>
      </c>
      <c r="F10441" s="13" t="s">
        <v>70</v>
      </c>
      <c r="G10441" s="14">
        <v>44847</v>
      </c>
      <c r="H10441" s="13" t="s">
        <v>35</v>
      </c>
    </row>
    <row r="10442" spans="1:8" ht="14.4" x14ac:dyDescent="0.3">
      <c r="A10442" s="8">
        <v>2092907</v>
      </c>
      <c r="B10442" s="11">
        <v>44840</v>
      </c>
      <c r="C10442" s="13" t="s">
        <v>2262</v>
      </c>
      <c r="D10442" s="13" t="s">
        <v>12603</v>
      </c>
      <c r="E10442" s="8">
        <v>19803.57</v>
      </c>
      <c r="F10442" s="13" t="s">
        <v>70</v>
      </c>
      <c r="G10442" s="14">
        <v>44852</v>
      </c>
      <c r="H10442" s="13" t="s">
        <v>35</v>
      </c>
    </row>
    <row r="10443" spans="1:8" ht="14.4" x14ac:dyDescent="0.3">
      <c r="A10443" s="8">
        <v>2092908</v>
      </c>
      <c r="B10443" s="11">
        <v>44840</v>
      </c>
      <c r="C10443" s="13" t="s">
        <v>3838</v>
      </c>
      <c r="D10443" s="13" t="s">
        <v>12604</v>
      </c>
      <c r="E10443" s="8">
        <v>47892</v>
      </c>
      <c r="F10443" s="13" t="s">
        <v>70</v>
      </c>
      <c r="G10443" s="14">
        <v>44847</v>
      </c>
      <c r="H10443" s="13" t="s">
        <v>35</v>
      </c>
    </row>
    <row r="10444" spans="1:8" ht="14.4" x14ac:dyDescent="0.3">
      <c r="A10444" s="8">
        <v>2092909</v>
      </c>
      <c r="B10444" s="11">
        <v>44840</v>
      </c>
      <c r="C10444" s="13" t="s">
        <v>25</v>
      </c>
      <c r="D10444" s="13" t="s">
        <v>12605</v>
      </c>
      <c r="E10444" s="8">
        <v>4732.1499999999996</v>
      </c>
      <c r="F10444" s="13" t="s">
        <v>70</v>
      </c>
      <c r="G10444" s="14">
        <v>44845</v>
      </c>
      <c r="H10444" s="13" t="s">
        <v>35</v>
      </c>
    </row>
    <row r="10445" spans="1:8" ht="14.4" x14ac:dyDescent="0.3">
      <c r="A10445" s="8">
        <v>2092910</v>
      </c>
      <c r="B10445" s="11">
        <v>44840</v>
      </c>
      <c r="C10445" s="13" t="s">
        <v>52</v>
      </c>
      <c r="D10445" s="13" t="s">
        <v>12606</v>
      </c>
      <c r="E10445" s="8">
        <v>17559.09</v>
      </c>
      <c r="F10445" s="13" t="s">
        <v>70</v>
      </c>
      <c r="G10445" s="14">
        <v>44847</v>
      </c>
      <c r="H10445" s="13" t="s">
        <v>35</v>
      </c>
    </row>
    <row r="10446" spans="1:8" ht="14.4" x14ac:dyDescent="0.3">
      <c r="A10446" s="8">
        <v>2092043</v>
      </c>
      <c r="B10446" s="11">
        <v>44841</v>
      </c>
      <c r="C10446" s="13" t="s">
        <v>12607</v>
      </c>
      <c r="D10446" s="13" t="s">
        <v>12608</v>
      </c>
      <c r="E10446" s="8">
        <v>16281.06</v>
      </c>
      <c r="F10446" s="13" t="s">
        <v>70</v>
      </c>
      <c r="G10446" s="14">
        <v>44841</v>
      </c>
      <c r="H10446" s="13" t="s">
        <v>35</v>
      </c>
    </row>
    <row r="10447" spans="1:8" ht="14.4" x14ac:dyDescent="0.3">
      <c r="A10447" s="8">
        <v>2092044</v>
      </c>
      <c r="B10447" s="11">
        <v>44841</v>
      </c>
      <c r="C10447" s="13" t="s">
        <v>12609</v>
      </c>
      <c r="D10447" s="13" t="s">
        <v>12610</v>
      </c>
      <c r="E10447" s="8">
        <v>16281.06</v>
      </c>
      <c r="F10447" s="13" t="s">
        <v>70</v>
      </c>
      <c r="G10447" s="14">
        <v>44841</v>
      </c>
      <c r="H10447" s="13" t="s">
        <v>35</v>
      </c>
    </row>
    <row r="10448" spans="1:8" ht="14.4" x14ac:dyDescent="0.3">
      <c r="A10448" s="8">
        <v>2092045</v>
      </c>
      <c r="B10448" s="11">
        <v>44846</v>
      </c>
      <c r="C10448" s="13" t="s">
        <v>180</v>
      </c>
      <c r="D10448" s="13" t="s">
        <v>33</v>
      </c>
      <c r="E10448" s="8">
        <v>79740.66</v>
      </c>
      <c r="F10448" s="13" t="s">
        <v>70</v>
      </c>
      <c r="G10448" s="14">
        <v>44846</v>
      </c>
      <c r="H10448" s="13" t="s">
        <v>35</v>
      </c>
    </row>
    <row r="10449" spans="1:8" ht="14.4" x14ac:dyDescent="0.3">
      <c r="A10449" s="8">
        <v>2092046</v>
      </c>
      <c r="B10449" s="11">
        <v>44847</v>
      </c>
      <c r="C10449" s="13" t="s">
        <v>11920</v>
      </c>
      <c r="D10449" s="13" t="s">
        <v>12611</v>
      </c>
      <c r="E10449" s="8">
        <v>20000</v>
      </c>
      <c r="F10449" s="13" t="s">
        <v>70</v>
      </c>
      <c r="G10449" s="14">
        <v>44848</v>
      </c>
      <c r="H10449" s="13" t="s">
        <v>35</v>
      </c>
    </row>
    <row r="10450" spans="1:8" ht="14.4" x14ac:dyDescent="0.3">
      <c r="A10450" s="8">
        <v>2092047</v>
      </c>
      <c r="B10450" s="11">
        <v>44847</v>
      </c>
      <c r="C10450" s="13" t="s">
        <v>677</v>
      </c>
      <c r="D10450" s="13" t="s">
        <v>12612</v>
      </c>
      <c r="E10450" s="8">
        <v>16995.53</v>
      </c>
      <c r="F10450" s="13" t="s">
        <v>70</v>
      </c>
      <c r="G10450" s="14">
        <v>44852</v>
      </c>
      <c r="H10450" s="13" t="s">
        <v>35</v>
      </c>
    </row>
    <row r="10451" spans="1:8" ht="14.4" x14ac:dyDescent="0.3">
      <c r="A10451" s="8">
        <v>2092048</v>
      </c>
      <c r="B10451" s="11">
        <v>44848</v>
      </c>
      <c r="C10451" s="13" t="s">
        <v>775</v>
      </c>
      <c r="D10451" s="13" t="s">
        <v>12613</v>
      </c>
      <c r="E10451" s="8">
        <v>72300</v>
      </c>
      <c r="F10451" s="13" t="s">
        <v>70</v>
      </c>
      <c r="G10451" s="14">
        <v>44851</v>
      </c>
      <c r="H10451" s="13" t="s">
        <v>35</v>
      </c>
    </row>
    <row r="10452" spans="1:8" ht="14.4" x14ac:dyDescent="0.3">
      <c r="A10452" s="8">
        <v>2092049</v>
      </c>
      <c r="B10452" s="11">
        <v>44851</v>
      </c>
      <c r="C10452" s="13" t="s">
        <v>502</v>
      </c>
      <c r="D10452" s="13" t="s">
        <v>12614</v>
      </c>
      <c r="E10452" s="8">
        <v>20000</v>
      </c>
      <c r="F10452" s="13" t="s">
        <v>70</v>
      </c>
      <c r="G10452" s="14">
        <v>44852</v>
      </c>
      <c r="H10452" s="13" t="s">
        <v>35</v>
      </c>
    </row>
    <row r="10453" spans="1:8" ht="14.4" x14ac:dyDescent="0.3">
      <c r="A10453" s="8">
        <v>2092050</v>
      </c>
      <c r="B10453" s="11">
        <v>44851</v>
      </c>
      <c r="C10453" s="13" t="s">
        <v>1592</v>
      </c>
      <c r="D10453" s="13" t="s">
        <v>12615</v>
      </c>
      <c r="E10453" s="8">
        <v>20000</v>
      </c>
      <c r="F10453" s="13" t="s">
        <v>70</v>
      </c>
      <c r="G10453" s="14">
        <v>44853</v>
      </c>
      <c r="H10453" s="13" t="s">
        <v>35</v>
      </c>
    </row>
    <row r="10454" spans="1:8" ht="14.4" x14ac:dyDescent="0.3">
      <c r="A10454" s="8">
        <v>2092051</v>
      </c>
      <c r="B10454" s="11">
        <v>44851</v>
      </c>
      <c r="C10454" s="13" t="s">
        <v>12616</v>
      </c>
      <c r="D10454" s="13" t="s">
        <v>12617</v>
      </c>
      <c r="E10454" s="8">
        <v>20000</v>
      </c>
      <c r="F10454" s="13" t="s">
        <v>70</v>
      </c>
      <c r="G10454" s="14">
        <v>44853</v>
      </c>
      <c r="H10454" s="13" t="s">
        <v>35</v>
      </c>
    </row>
    <row r="10455" spans="1:8" ht="14.4" x14ac:dyDescent="0.3">
      <c r="A10455" s="8">
        <v>2092911</v>
      </c>
      <c r="B10455" s="11">
        <v>44851</v>
      </c>
      <c r="C10455" s="13" t="s">
        <v>5851</v>
      </c>
      <c r="D10455" s="13" t="s">
        <v>12618</v>
      </c>
      <c r="E10455" s="8">
        <v>1395321.24</v>
      </c>
      <c r="F10455" s="13" t="s">
        <v>70</v>
      </c>
      <c r="G10455" s="14">
        <v>44853</v>
      </c>
      <c r="H10455" s="13" t="s">
        <v>35</v>
      </c>
    </row>
    <row r="10456" spans="1:8" ht="14.4" x14ac:dyDescent="0.3">
      <c r="A10456" s="8">
        <v>2092052</v>
      </c>
      <c r="B10456" s="11">
        <v>44852</v>
      </c>
      <c r="C10456" s="13" t="s">
        <v>677</v>
      </c>
      <c r="D10456" s="13" t="s">
        <v>12619</v>
      </c>
      <c r="E10456" s="8">
        <v>20000</v>
      </c>
      <c r="F10456" s="13" t="s">
        <v>70</v>
      </c>
      <c r="G10456" s="14">
        <v>44854</v>
      </c>
      <c r="H10456" s="13" t="s">
        <v>35</v>
      </c>
    </row>
    <row r="10457" spans="1:8" ht="14.4" x14ac:dyDescent="0.3">
      <c r="A10457" s="8">
        <v>2092053</v>
      </c>
      <c r="B10457" s="11">
        <v>44853</v>
      </c>
      <c r="C10457" s="13" t="s">
        <v>12620</v>
      </c>
      <c r="D10457" s="13" t="s">
        <v>4131</v>
      </c>
      <c r="E10457" s="8">
        <v>20000</v>
      </c>
      <c r="F10457" s="13" t="s">
        <v>70</v>
      </c>
      <c r="G10457" s="14">
        <v>44859</v>
      </c>
      <c r="H10457" s="13" t="s">
        <v>35</v>
      </c>
    </row>
    <row r="10458" spans="1:8" ht="14.4" x14ac:dyDescent="0.3">
      <c r="A10458" s="8">
        <v>2092054</v>
      </c>
      <c r="B10458" s="11">
        <v>44853</v>
      </c>
      <c r="C10458" s="13" t="s">
        <v>12621</v>
      </c>
      <c r="D10458" s="13" t="s">
        <v>12622</v>
      </c>
      <c r="E10458" s="8">
        <v>20000</v>
      </c>
      <c r="F10458" s="13" t="s">
        <v>70</v>
      </c>
      <c r="G10458" s="14">
        <v>44859</v>
      </c>
      <c r="H10458" s="13" t="s">
        <v>35</v>
      </c>
    </row>
    <row r="10459" spans="1:8" ht="14.4" x14ac:dyDescent="0.3">
      <c r="A10459" s="8">
        <v>2092055</v>
      </c>
      <c r="B10459" s="11">
        <v>44853</v>
      </c>
      <c r="C10459" s="13" t="s">
        <v>12623</v>
      </c>
      <c r="D10459" s="13" t="s">
        <v>12624</v>
      </c>
      <c r="E10459" s="8">
        <v>20000</v>
      </c>
      <c r="F10459" s="13" t="s">
        <v>70</v>
      </c>
      <c r="G10459" s="14">
        <v>44859</v>
      </c>
      <c r="H10459" s="13" t="s">
        <v>35</v>
      </c>
    </row>
    <row r="10460" spans="1:8" ht="14.4" x14ac:dyDescent="0.3">
      <c r="A10460" s="8">
        <v>2092912</v>
      </c>
      <c r="B10460" s="11">
        <v>44853</v>
      </c>
      <c r="C10460" s="13" t="s">
        <v>12625</v>
      </c>
      <c r="D10460" s="13" t="s">
        <v>12626</v>
      </c>
      <c r="E10460" s="8">
        <v>1751203.8400000001</v>
      </c>
      <c r="F10460" s="13" t="s">
        <v>70</v>
      </c>
      <c r="G10460" s="14">
        <v>44855</v>
      </c>
      <c r="H10460" s="13" t="s">
        <v>35</v>
      </c>
    </row>
    <row r="10461" spans="1:8" ht="14.4" x14ac:dyDescent="0.3">
      <c r="A10461" s="8">
        <v>2092056</v>
      </c>
      <c r="B10461" s="11">
        <v>44854</v>
      </c>
      <c r="C10461" s="13" t="s">
        <v>12627</v>
      </c>
      <c r="D10461" s="13" t="s">
        <v>12628</v>
      </c>
      <c r="E10461" s="8">
        <v>30000</v>
      </c>
      <c r="F10461" s="13" t="s">
        <v>70</v>
      </c>
      <c r="G10461" s="14">
        <v>44859</v>
      </c>
      <c r="H10461" s="13" t="s">
        <v>35</v>
      </c>
    </row>
    <row r="10462" spans="1:8" ht="14.4" x14ac:dyDescent="0.3">
      <c r="A10462" s="8">
        <v>2092913</v>
      </c>
      <c r="B10462" s="11">
        <v>44854</v>
      </c>
      <c r="C10462" s="13" t="s">
        <v>12629</v>
      </c>
      <c r="D10462" s="13" t="s">
        <v>12630</v>
      </c>
      <c r="E10462" s="8">
        <v>5146120.74</v>
      </c>
      <c r="F10462" s="13" t="s">
        <v>70</v>
      </c>
      <c r="G10462" s="14">
        <v>44854</v>
      </c>
      <c r="H10462" s="13" t="s">
        <v>35</v>
      </c>
    </row>
    <row r="10463" spans="1:8" ht="14.4" x14ac:dyDescent="0.3">
      <c r="A10463" s="8">
        <v>2092914</v>
      </c>
      <c r="B10463" s="11">
        <v>44854</v>
      </c>
      <c r="C10463" s="13" t="s">
        <v>12629</v>
      </c>
      <c r="D10463" s="13" t="s">
        <v>12631</v>
      </c>
      <c r="E10463" s="8">
        <v>3354348.45</v>
      </c>
      <c r="F10463" s="13" t="s">
        <v>70</v>
      </c>
      <c r="G10463" s="14">
        <v>44855</v>
      </c>
      <c r="H10463" s="13" t="s">
        <v>35</v>
      </c>
    </row>
    <row r="10464" spans="1:8" ht="14.4" x14ac:dyDescent="0.3">
      <c r="A10464" s="8">
        <v>2092057</v>
      </c>
      <c r="B10464" s="11">
        <v>44855</v>
      </c>
      <c r="C10464" s="13" t="s">
        <v>2425</v>
      </c>
      <c r="D10464" s="13" t="s">
        <v>12632</v>
      </c>
      <c r="E10464" s="8">
        <v>1575</v>
      </c>
      <c r="F10464" s="13" t="s">
        <v>70</v>
      </c>
      <c r="G10464" s="14">
        <v>44859</v>
      </c>
      <c r="H10464" s="13" t="s">
        <v>35</v>
      </c>
    </row>
    <row r="10465" spans="1:8" ht="14.4" x14ac:dyDescent="0.3">
      <c r="A10465" s="8">
        <v>2092058</v>
      </c>
      <c r="B10465" s="11">
        <v>44855</v>
      </c>
      <c r="C10465" s="13" t="s">
        <v>876</v>
      </c>
      <c r="D10465" s="13" t="s">
        <v>12633</v>
      </c>
      <c r="E10465" s="8">
        <v>20000</v>
      </c>
      <c r="F10465" s="13" t="s">
        <v>70</v>
      </c>
      <c r="G10465" s="14">
        <v>44862</v>
      </c>
      <c r="H10465" s="13" t="s">
        <v>35</v>
      </c>
    </row>
    <row r="10466" spans="1:8" ht="14.4" x14ac:dyDescent="0.3">
      <c r="A10466" s="8">
        <v>2092059</v>
      </c>
      <c r="B10466" s="11">
        <v>44855</v>
      </c>
      <c r="C10466" s="13" t="s">
        <v>677</v>
      </c>
      <c r="D10466" s="13" t="s">
        <v>12634</v>
      </c>
      <c r="E10466" s="8">
        <v>5460</v>
      </c>
      <c r="F10466" s="13" t="s">
        <v>70</v>
      </c>
      <c r="G10466" s="14">
        <v>44873</v>
      </c>
      <c r="H10466" s="13" t="s">
        <v>35</v>
      </c>
    </row>
    <row r="10467" spans="1:8" ht="14.4" x14ac:dyDescent="0.3">
      <c r="A10467" s="8">
        <v>2092060</v>
      </c>
      <c r="B10467" s="11">
        <v>44858</v>
      </c>
      <c r="C10467" s="13" t="s">
        <v>12635</v>
      </c>
      <c r="D10467" s="13" t="s">
        <v>12636</v>
      </c>
      <c r="E10467" s="8">
        <v>10423.31</v>
      </c>
      <c r="F10467" s="13" t="s">
        <v>70</v>
      </c>
      <c r="G10467" s="14">
        <v>44860</v>
      </c>
      <c r="H10467" s="13" t="s">
        <v>35</v>
      </c>
    </row>
    <row r="10468" spans="1:8" ht="14.4" x14ac:dyDescent="0.3">
      <c r="A10468" s="8">
        <v>2092061</v>
      </c>
      <c r="B10468" s="11">
        <v>44859</v>
      </c>
      <c r="C10468" s="13" t="s">
        <v>12616</v>
      </c>
      <c r="D10468" s="13" t="s">
        <v>12637</v>
      </c>
      <c r="E10468" s="8">
        <v>20000</v>
      </c>
      <c r="F10468" s="13" t="s">
        <v>70</v>
      </c>
      <c r="G10468" s="14">
        <v>44861</v>
      </c>
      <c r="H10468" s="13" t="s">
        <v>35</v>
      </c>
    </row>
    <row r="10469" spans="1:8" ht="14.4" x14ac:dyDescent="0.3">
      <c r="A10469" s="8">
        <v>2092062</v>
      </c>
      <c r="B10469" s="11">
        <v>44859</v>
      </c>
      <c r="C10469" s="13" t="s">
        <v>142</v>
      </c>
      <c r="D10469" s="13" t="s">
        <v>12638</v>
      </c>
      <c r="E10469" s="8">
        <v>20000</v>
      </c>
      <c r="F10469" s="13" t="s">
        <v>70</v>
      </c>
      <c r="G10469" s="14">
        <v>44868</v>
      </c>
      <c r="H10469" s="13" t="s">
        <v>35</v>
      </c>
    </row>
    <row r="10470" spans="1:8" ht="14.4" x14ac:dyDescent="0.3">
      <c r="A10470" s="8">
        <v>2092063</v>
      </c>
      <c r="B10470" s="11">
        <v>44859</v>
      </c>
      <c r="C10470" s="13" t="s">
        <v>12639</v>
      </c>
      <c r="D10470" s="13" t="s">
        <v>12636</v>
      </c>
      <c r="E10470" s="8">
        <v>10394.27</v>
      </c>
      <c r="F10470" s="13" t="s">
        <v>70</v>
      </c>
      <c r="G10470" s="14">
        <v>44861</v>
      </c>
      <c r="H10470" s="13" t="s">
        <v>35</v>
      </c>
    </row>
    <row r="10471" spans="1:8" ht="14.4" x14ac:dyDescent="0.3">
      <c r="A10471" s="8">
        <v>2092915</v>
      </c>
      <c r="B10471" s="11">
        <v>44859</v>
      </c>
      <c r="C10471" s="13" t="s">
        <v>12640</v>
      </c>
      <c r="D10471" s="13" t="s">
        <v>12641</v>
      </c>
      <c r="E10471" s="8">
        <v>5000</v>
      </c>
      <c r="F10471" s="13" t="s">
        <v>70</v>
      </c>
      <c r="G10471" s="14">
        <v>44862</v>
      </c>
      <c r="H10471" s="13" t="s">
        <v>35</v>
      </c>
    </row>
    <row r="10472" spans="1:8" ht="14.4" x14ac:dyDescent="0.3">
      <c r="A10472" s="8">
        <v>2092916</v>
      </c>
      <c r="B10472" s="11">
        <v>44859</v>
      </c>
      <c r="C10472" s="13" t="s">
        <v>12642</v>
      </c>
      <c r="D10472" s="13" t="s">
        <v>12643</v>
      </c>
      <c r="E10472" s="8">
        <v>5000</v>
      </c>
      <c r="F10472" s="13" t="s">
        <v>70</v>
      </c>
      <c r="G10472" s="14">
        <v>44862</v>
      </c>
      <c r="H10472" s="13" t="s">
        <v>35</v>
      </c>
    </row>
    <row r="10473" spans="1:8" ht="14.4" x14ac:dyDescent="0.3">
      <c r="A10473" s="8">
        <v>2092917</v>
      </c>
      <c r="B10473" s="11">
        <v>44859</v>
      </c>
      <c r="C10473" s="13" t="s">
        <v>12644</v>
      </c>
      <c r="D10473" s="13" t="s">
        <v>12645</v>
      </c>
      <c r="E10473" s="8">
        <v>5000</v>
      </c>
      <c r="F10473" s="13" t="s">
        <v>70</v>
      </c>
      <c r="G10473" s="14">
        <v>44860</v>
      </c>
      <c r="H10473" s="13" t="s">
        <v>35</v>
      </c>
    </row>
    <row r="10474" spans="1:8" ht="14.4" x14ac:dyDescent="0.3">
      <c r="A10474" s="8">
        <v>2092918</v>
      </c>
      <c r="B10474" s="11">
        <v>44859</v>
      </c>
      <c r="C10474" s="13" t="s">
        <v>12646</v>
      </c>
      <c r="D10474" s="13" t="s">
        <v>12647</v>
      </c>
      <c r="E10474" s="8">
        <v>5000</v>
      </c>
      <c r="F10474" s="13" t="s">
        <v>70</v>
      </c>
      <c r="G10474" s="14">
        <v>44860</v>
      </c>
      <c r="H10474" s="13" t="s">
        <v>35</v>
      </c>
    </row>
    <row r="10475" spans="1:8" ht="14.4" x14ac:dyDescent="0.3">
      <c r="A10475" s="8">
        <v>2092919</v>
      </c>
      <c r="B10475" s="11">
        <v>44859</v>
      </c>
      <c r="C10475" s="13" t="s">
        <v>12648</v>
      </c>
      <c r="D10475" s="13" t="s">
        <v>12649</v>
      </c>
      <c r="E10475" s="8">
        <v>5000</v>
      </c>
      <c r="F10475" s="13" t="s">
        <v>70</v>
      </c>
      <c r="G10475" s="14">
        <v>44860</v>
      </c>
      <c r="H10475" s="13" t="s">
        <v>35</v>
      </c>
    </row>
    <row r="10476" spans="1:8" ht="14.4" x14ac:dyDescent="0.3">
      <c r="A10476" s="8">
        <v>2092920</v>
      </c>
      <c r="B10476" s="11">
        <v>44859</v>
      </c>
      <c r="C10476" s="13" t="s">
        <v>197</v>
      </c>
      <c r="D10476" s="13" t="s">
        <v>12650</v>
      </c>
      <c r="E10476" s="8">
        <v>1916800.71</v>
      </c>
      <c r="F10476" s="13" t="s">
        <v>70</v>
      </c>
      <c r="G10476" s="14">
        <v>44860</v>
      </c>
      <c r="H10476" s="13" t="s">
        <v>35</v>
      </c>
    </row>
    <row r="10477" spans="1:8" ht="14.4" x14ac:dyDescent="0.3">
      <c r="A10477" s="8">
        <v>2092921</v>
      </c>
      <c r="B10477" s="11">
        <v>44861</v>
      </c>
      <c r="C10477" s="13" t="s">
        <v>12651</v>
      </c>
      <c r="D10477" s="13"/>
      <c r="E10477" s="8">
        <v>5000</v>
      </c>
      <c r="F10477" s="13" t="s">
        <v>70</v>
      </c>
      <c r="G10477" s="14">
        <v>44862</v>
      </c>
      <c r="H10477" s="13" t="s">
        <v>35</v>
      </c>
    </row>
    <row r="10478" spans="1:8" ht="14.4" x14ac:dyDescent="0.3">
      <c r="A10478" s="8">
        <v>2092922</v>
      </c>
      <c r="B10478" s="11">
        <v>44861</v>
      </c>
      <c r="C10478" s="13" t="s">
        <v>12652</v>
      </c>
      <c r="D10478" s="13" t="s">
        <v>12653</v>
      </c>
      <c r="E10478" s="8">
        <v>5000</v>
      </c>
      <c r="F10478" s="13" t="s">
        <v>70</v>
      </c>
      <c r="G10478" s="14">
        <v>44868</v>
      </c>
      <c r="H10478" s="13" t="s">
        <v>35</v>
      </c>
    </row>
    <row r="10479" spans="1:8" ht="14.4" x14ac:dyDescent="0.3">
      <c r="A10479" s="8">
        <v>2092923</v>
      </c>
      <c r="B10479" s="11">
        <v>44861</v>
      </c>
      <c r="C10479" s="13" t="s">
        <v>12654</v>
      </c>
      <c r="D10479" s="13" t="s">
        <v>12655</v>
      </c>
      <c r="E10479" s="8">
        <v>5000</v>
      </c>
      <c r="F10479" s="13" t="s">
        <v>70</v>
      </c>
      <c r="G10479" s="14">
        <v>44867</v>
      </c>
      <c r="H10479" s="13" t="s">
        <v>35</v>
      </c>
    </row>
    <row r="10480" spans="1:8" ht="14.4" x14ac:dyDescent="0.3">
      <c r="A10480" s="8">
        <v>2092924</v>
      </c>
      <c r="B10480" s="11">
        <v>44861</v>
      </c>
      <c r="C10480" s="13" t="s">
        <v>12656</v>
      </c>
      <c r="D10480" s="13" t="s">
        <v>12657</v>
      </c>
      <c r="E10480" s="8">
        <v>5000</v>
      </c>
      <c r="F10480" s="13" t="s">
        <v>70</v>
      </c>
      <c r="G10480" s="14">
        <v>44869</v>
      </c>
      <c r="H10480" s="13" t="s">
        <v>35</v>
      </c>
    </row>
    <row r="10481" spans="1:8" ht="14.4" x14ac:dyDescent="0.3">
      <c r="A10481" s="8">
        <v>2092926</v>
      </c>
      <c r="B10481" s="11">
        <v>44867</v>
      </c>
      <c r="C10481" s="13" t="s">
        <v>884</v>
      </c>
      <c r="D10481" s="13" t="s">
        <v>12658</v>
      </c>
      <c r="E10481" s="8">
        <v>1185000</v>
      </c>
      <c r="F10481" s="13" t="s">
        <v>70</v>
      </c>
      <c r="G10481" s="14">
        <v>44868</v>
      </c>
      <c r="H10481" s="13" t="s">
        <v>35</v>
      </c>
    </row>
    <row r="10482" spans="1:8" ht="14.4" x14ac:dyDescent="0.3">
      <c r="A10482" s="8">
        <v>2092927</v>
      </c>
      <c r="B10482" s="11">
        <v>44867</v>
      </c>
      <c r="C10482" s="13" t="s">
        <v>6807</v>
      </c>
      <c r="D10482" s="13" t="s">
        <v>12659</v>
      </c>
      <c r="E10482" s="8">
        <v>30600</v>
      </c>
      <c r="F10482" s="13" t="s">
        <v>70</v>
      </c>
      <c r="G10482" s="14">
        <v>44869</v>
      </c>
      <c r="H10482" s="13" t="s">
        <v>35</v>
      </c>
    </row>
    <row r="10483" spans="1:8" ht="14.4" x14ac:dyDescent="0.3">
      <c r="A10483" s="8">
        <v>2092928</v>
      </c>
      <c r="B10483" s="11">
        <v>44867</v>
      </c>
      <c r="C10483" s="13" t="s">
        <v>12660</v>
      </c>
      <c r="D10483" s="13" t="s">
        <v>12661</v>
      </c>
      <c r="E10483" s="8">
        <v>24000</v>
      </c>
      <c r="F10483" s="13" t="s">
        <v>70</v>
      </c>
      <c r="G10483" s="14">
        <v>44869</v>
      </c>
      <c r="H10483" s="13" t="s">
        <v>35</v>
      </c>
    </row>
    <row r="10484" spans="1:8" ht="14.4" x14ac:dyDescent="0.3">
      <c r="A10484" s="8">
        <v>2092929</v>
      </c>
      <c r="B10484" s="11">
        <v>44867</v>
      </c>
      <c r="C10484" s="13" t="s">
        <v>12662</v>
      </c>
      <c r="D10484" s="13" t="s">
        <v>12663</v>
      </c>
      <c r="E10484" s="8">
        <v>8000</v>
      </c>
      <c r="F10484" s="13" t="s">
        <v>70</v>
      </c>
      <c r="G10484" s="14">
        <v>44869</v>
      </c>
      <c r="H10484" s="13" t="s">
        <v>35</v>
      </c>
    </row>
    <row r="10485" spans="1:8" ht="14.4" x14ac:dyDescent="0.3">
      <c r="A10485" s="8">
        <v>2092930</v>
      </c>
      <c r="B10485" s="11">
        <v>44867</v>
      </c>
      <c r="C10485" s="13" t="s">
        <v>12664</v>
      </c>
      <c r="D10485" s="13"/>
      <c r="E10485" s="8">
        <v>15000</v>
      </c>
      <c r="F10485" s="13" t="s">
        <v>70</v>
      </c>
      <c r="G10485" s="14">
        <v>44869</v>
      </c>
      <c r="H10485" s="13" t="s">
        <v>35</v>
      </c>
    </row>
    <row r="10486" spans="1:8" ht="14.4" x14ac:dyDescent="0.3">
      <c r="A10486" s="8">
        <v>2092931</v>
      </c>
      <c r="B10486" s="11">
        <v>44867</v>
      </c>
      <c r="C10486" s="13" t="s">
        <v>12665</v>
      </c>
      <c r="D10486" s="13" t="s">
        <v>12666</v>
      </c>
      <c r="E10486" s="8">
        <v>12000</v>
      </c>
      <c r="F10486" s="13" t="s">
        <v>70</v>
      </c>
      <c r="G10486" s="14">
        <v>44872</v>
      </c>
      <c r="H10486" s="13" t="s">
        <v>35</v>
      </c>
    </row>
    <row r="10487" spans="1:8" ht="14.4" x14ac:dyDescent="0.3">
      <c r="A10487" s="8">
        <v>2092932</v>
      </c>
      <c r="B10487" s="11">
        <v>44867</v>
      </c>
      <c r="C10487" s="13" t="s">
        <v>1906</v>
      </c>
      <c r="D10487" s="13" t="s">
        <v>12667</v>
      </c>
      <c r="E10487" s="8">
        <v>12000</v>
      </c>
      <c r="F10487" s="13" t="s">
        <v>70</v>
      </c>
      <c r="G10487" s="14">
        <v>44874</v>
      </c>
      <c r="H10487" s="13" t="s">
        <v>35</v>
      </c>
    </row>
    <row r="10488" spans="1:8" ht="14.4" x14ac:dyDescent="0.3">
      <c r="A10488" s="8">
        <v>2092933</v>
      </c>
      <c r="B10488" s="11">
        <v>44867</v>
      </c>
      <c r="C10488" s="13" t="s">
        <v>12668</v>
      </c>
      <c r="D10488" s="13" t="s">
        <v>147</v>
      </c>
      <c r="E10488" s="8">
        <v>20000</v>
      </c>
      <c r="F10488" s="13" t="s">
        <v>70</v>
      </c>
      <c r="G10488" s="14">
        <v>44869</v>
      </c>
      <c r="H10488" s="13" t="s">
        <v>35</v>
      </c>
    </row>
    <row r="10489" spans="1:8" ht="14.4" x14ac:dyDescent="0.3">
      <c r="A10489" s="8">
        <v>2092934</v>
      </c>
      <c r="B10489" s="11">
        <v>44867</v>
      </c>
      <c r="C10489" s="13" t="s">
        <v>12669</v>
      </c>
      <c r="D10489" s="13" t="s">
        <v>12670</v>
      </c>
      <c r="E10489" s="8">
        <v>13900</v>
      </c>
      <c r="F10489" s="13" t="s">
        <v>70</v>
      </c>
      <c r="G10489" s="14">
        <v>44869</v>
      </c>
      <c r="H10489" s="13" t="s">
        <v>35</v>
      </c>
    </row>
    <row r="10490" spans="1:8" ht="14.4" x14ac:dyDescent="0.3">
      <c r="A10490" s="8">
        <v>2092935</v>
      </c>
      <c r="B10490" s="11">
        <v>44867</v>
      </c>
      <c r="C10490" s="13" t="s">
        <v>4457</v>
      </c>
      <c r="D10490" s="13" t="s">
        <v>12671</v>
      </c>
      <c r="E10490" s="8">
        <v>20000</v>
      </c>
      <c r="F10490" s="13" t="s">
        <v>70</v>
      </c>
      <c r="G10490" s="14">
        <v>44869</v>
      </c>
      <c r="H10490" s="13" t="s">
        <v>35</v>
      </c>
    </row>
    <row r="10491" spans="1:8" ht="14.4" x14ac:dyDescent="0.3">
      <c r="A10491" s="8">
        <v>2092936</v>
      </c>
      <c r="B10491" s="11">
        <v>44867</v>
      </c>
      <c r="C10491" s="13" t="s">
        <v>12672</v>
      </c>
      <c r="D10491" s="13" t="s">
        <v>12673</v>
      </c>
      <c r="E10491" s="8">
        <v>10000</v>
      </c>
      <c r="F10491" s="13" t="s">
        <v>70</v>
      </c>
      <c r="G10491" s="14">
        <v>44869</v>
      </c>
      <c r="H10491" s="13" t="s">
        <v>35</v>
      </c>
    </row>
    <row r="10492" spans="1:8" ht="14.4" x14ac:dyDescent="0.3">
      <c r="A10492" s="8">
        <v>2092937</v>
      </c>
      <c r="B10492" s="11">
        <v>44867</v>
      </c>
      <c r="C10492" s="13" t="s">
        <v>12674</v>
      </c>
      <c r="D10492" s="13" t="s">
        <v>12675</v>
      </c>
      <c r="E10492" s="8">
        <v>50000</v>
      </c>
      <c r="F10492" s="13" t="s">
        <v>70</v>
      </c>
      <c r="G10492" s="14">
        <v>44869</v>
      </c>
      <c r="H10492" s="13" t="s">
        <v>35</v>
      </c>
    </row>
    <row r="10493" spans="1:8" ht="14.4" x14ac:dyDescent="0.3">
      <c r="A10493" s="8">
        <v>2092938</v>
      </c>
      <c r="B10493" s="11">
        <v>44867</v>
      </c>
      <c r="C10493" s="13" t="s">
        <v>12676</v>
      </c>
      <c r="D10493" s="13" t="s">
        <v>12677</v>
      </c>
      <c r="E10493" s="8">
        <v>10000</v>
      </c>
      <c r="F10493" s="13" t="s">
        <v>70</v>
      </c>
      <c r="G10493" s="14">
        <v>44873</v>
      </c>
      <c r="H10493" s="13" t="s">
        <v>35</v>
      </c>
    </row>
    <row r="10494" spans="1:8" ht="14.4" x14ac:dyDescent="0.3">
      <c r="A10494" s="8">
        <v>2092939</v>
      </c>
      <c r="B10494" s="11">
        <v>44867</v>
      </c>
      <c r="C10494" s="13" t="s">
        <v>12678</v>
      </c>
      <c r="D10494" s="13" t="s">
        <v>12679</v>
      </c>
      <c r="E10494" s="8">
        <v>50000</v>
      </c>
      <c r="F10494" s="13" t="s">
        <v>70</v>
      </c>
      <c r="G10494" s="14">
        <v>44869</v>
      </c>
      <c r="H10494" s="13" t="s">
        <v>35</v>
      </c>
    </row>
    <row r="10495" spans="1:8" ht="14.4" x14ac:dyDescent="0.3">
      <c r="A10495" s="8">
        <v>2092940</v>
      </c>
      <c r="B10495" s="11">
        <v>44867</v>
      </c>
      <c r="C10495" s="13" t="s">
        <v>3420</v>
      </c>
      <c r="D10495" s="13" t="s">
        <v>47</v>
      </c>
      <c r="E10495" s="8">
        <v>14000</v>
      </c>
      <c r="F10495" s="13" t="s">
        <v>70</v>
      </c>
      <c r="G10495" s="14">
        <v>44869</v>
      </c>
      <c r="H10495" s="13" t="s">
        <v>35</v>
      </c>
    </row>
    <row r="10496" spans="1:8" ht="14.4" x14ac:dyDescent="0.3">
      <c r="A10496" s="8">
        <v>2092941</v>
      </c>
      <c r="B10496" s="11">
        <v>44867</v>
      </c>
      <c r="C10496" s="13" t="s">
        <v>893</v>
      </c>
      <c r="D10496" s="13" t="s">
        <v>12680</v>
      </c>
      <c r="E10496" s="8">
        <v>10000</v>
      </c>
      <c r="F10496" s="13" t="s">
        <v>70</v>
      </c>
      <c r="G10496" s="14">
        <v>44874</v>
      </c>
      <c r="H10496" s="13" t="s">
        <v>35</v>
      </c>
    </row>
    <row r="10497" spans="1:8" ht="14.4" x14ac:dyDescent="0.3">
      <c r="A10497" s="8">
        <v>2092942</v>
      </c>
      <c r="B10497" s="11">
        <v>44867</v>
      </c>
      <c r="C10497" s="13" t="s">
        <v>12681</v>
      </c>
      <c r="D10497" s="13" t="s">
        <v>12682</v>
      </c>
      <c r="E10497" s="8">
        <v>8000</v>
      </c>
      <c r="F10497" s="13" t="s">
        <v>70</v>
      </c>
      <c r="G10497" s="14">
        <v>44869</v>
      </c>
      <c r="H10497" s="13" t="s">
        <v>35</v>
      </c>
    </row>
    <row r="10498" spans="1:8" ht="14.4" x14ac:dyDescent="0.3">
      <c r="A10498" s="8">
        <v>2092943</v>
      </c>
      <c r="B10498" s="11">
        <v>44867</v>
      </c>
      <c r="C10498" s="13" t="s">
        <v>12683</v>
      </c>
      <c r="D10498" s="13" t="s">
        <v>12684</v>
      </c>
      <c r="E10498" s="8">
        <v>50000</v>
      </c>
      <c r="F10498" s="13" t="s">
        <v>70</v>
      </c>
      <c r="G10498" s="14">
        <v>44869</v>
      </c>
      <c r="H10498" s="13" t="s">
        <v>35</v>
      </c>
    </row>
    <row r="10499" spans="1:8" ht="14.4" x14ac:dyDescent="0.3">
      <c r="A10499" s="8">
        <v>2092944</v>
      </c>
      <c r="B10499" s="11">
        <v>44867</v>
      </c>
      <c r="C10499" s="13" t="s">
        <v>12685</v>
      </c>
      <c r="D10499" s="13" t="s">
        <v>12686</v>
      </c>
      <c r="E10499" s="8">
        <v>8000</v>
      </c>
      <c r="F10499" s="13" t="s">
        <v>70</v>
      </c>
      <c r="G10499" s="14">
        <v>44869</v>
      </c>
      <c r="H10499" s="13" t="s">
        <v>35</v>
      </c>
    </row>
    <row r="10500" spans="1:8" ht="14.4" x14ac:dyDescent="0.3">
      <c r="A10500" s="8">
        <v>2092945</v>
      </c>
      <c r="B10500" s="11">
        <v>44867</v>
      </c>
      <c r="C10500" s="13" t="s">
        <v>12687</v>
      </c>
      <c r="D10500" s="13" t="s">
        <v>12688</v>
      </c>
      <c r="E10500" s="8">
        <v>10000</v>
      </c>
      <c r="F10500" s="13" t="s">
        <v>70</v>
      </c>
      <c r="G10500" s="14">
        <v>44869</v>
      </c>
      <c r="H10500" s="13" t="s">
        <v>35</v>
      </c>
    </row>
    <row r="10501" spans="1:8" ht="14.4" x14ac:dyDescent="0.3">
      <c r="A10501" s="8">
        <v>2092946</v>
      </c>
      <c r="B10501" s="11">
        <v>44867</v>
      </c>
      <c r="C10501" s="13" t="s">
        <v>12689</v>
      </c>
      <c r="D10501" s="13" t="s">
        <v>12690</v>
      </c>
      <c r="E10501" s="8">
        <v>10000</v>
      </c>
      <c r="F10501" s="13" t="s">
        <v>70</v>
      </c>
      <c r="G10501" s="14">
        <v>44868</v>
      </c>
      <c r="H10501" s="13" t="s">
        <v>35</v>
      </c>
    </row>
    <row r="10502" spans="1:8" ht="14.4" x14ac:dyDescent="0.3">
      <c r="A10502" s="8">
        <v>2092947</v>
      </c>
      <c r="B10502" s="11">
        <v>44867</v>
      </c>
      <c r="C10502" s="13" t="s">
        <v>12691</v>
      </c>
      <c r="D10502" s="13" t="s">
        <v>16</v>
      </c>
      <c r="E10502" s="8">
        <v>10000</v>
      </c>
      <c r="F10502" s="13" t="s">
        <v>70</v>
      </c>
      <c r="G10502" s="14">
        <v>44869</v>
      </c>
      <c r="H10502" s="13" t="s">
        <v>35</v>
      </c>
    </row>
    <row r="10503" spans="1:8" ht="14.4" x14ac:dyDescent="0.3">
      <c r="A10503" s="8">
        <v>2092948</v>
      </c>
      <c r="B10503" s="11">
        <v>44867</v>
      </c>
      <c r="C10503" s="13" t="s">
        <v>9886</v>
      </c>
      <c r="D10503" s="13" t="s">
        <v>12692</v>
      </c>
      <c r="E10503" s="8">
        <v>12000</v>
      </c>
      <c r="F10503" s="13" t="s">
        <v>70</v>
      </c>
      <c r="G10503" s="14">
        <v>44869</v>
      </c>
      <c r="H10503" s="13" t="s">
        <v>35</v>
      </c>
    </row>
    <row r="10504" spans="1:8" ht="14.4" x14ac:dyDescent="0.3">
      <c r="A10504" s="8">
        <v>2092949</v>
      </c>
      <c r="B10504" s="11">
        <v>44867</v>
      </c>
      <c r="C10504" s="13" t="s">
        <v>12693</v>
      </c>
      <c r="D10504" s="13" t="s">
        <v>12694</v>
      </c>
      <c r="E10504" s="8">
        <v>8000</v>
      </c>
      <c r="F10504" s="13" t="s">
        <v>70</v>
      </c>
      <c r="G10504" s="14">
        <v>44869</v>
      </c>
      <c r="H10504" s="13" t="s">
        <v>35</v>
      </c>
    </row>
    <row r="10505" spans="1:8" ht="14.4" x14ac:dyDescent="0.3">
      <c r="A10505" s="8">
        <v>2092950</v>
      </c>
      <c r="B10505" s="11">
        <v>44867</v>
      </c>
      <c r="C10505" s="13" t="s">
        <v>12695</v>
      </c>
      <c r="D10505" s="13" t="s">
        <v>12696</v>
      </c>
      <c r="E10505" s="8">
        <v>15000</v>
      </c>
      <c r="F10505" s="13" t="s">
        <v>70</v>
      </c>
      <c r="G10505" s="14">
        <v>44869</v>
      </c>
      <c r="H10505" s="13" t="s">
        <v>35</v>
      </c>
    </row>
    <row r="10506" spans="1:8" ht="14.4" x14ac:dyDescent="0.3">
      <c r="A10506" s="8">
        <v>2092951</v>
      </c>
      <c r="B10506" s="11">
        <v>44867</v>
      </c>
      <c r="C10506" s="13" t="s">
        <v>12697</v>
      </c>
      <c r="D10506" s="13" t="s">
        <v>12698</v>
      </c>
      <c r="E10506" s="8">
        <v>8000</v>
      </c>
      <c r="F10506" s="13" t="s">
        <v>70</v>
      </c>
      <c r="G10506" s="14">
        <v>44869</v>
      </c>
      <c r="H10506" s="13" t="s">
        <v>35</v>
      </c>
    </row>
    <row r="10507" spans="1:8" ht="14.4" x14ac:dyDescent="0.3">
      <c r="A10507" s="8">
        <v>2092952</v>
      </c>
      <c r="B10507" s="11">
        <v>44867</v>
      </c>
      <c r="C10507" s="13" t="s">
        <v>12699</v>
      </c>
      <c r="D10507" s="13" t="s">
        <v>12700</v>
      </c>
      <c r="E10507" s="8">
        <v>19800</v>
      </c>
      <c r="F10507" s="13" t="s">
        <v>70</v>
      </c>
      <c r="G10507" s="14">
        <v>44869</v>
      </c>
      <c r="H10507" s="13" t="s">
        <v>35</v>
      </c>
    </row>
    <row r="10508" spans="1:8" ht="14.4" x14ac:dyDescent="0.3">
      <c r="A10508" s="8">
        <v>2092953</v>
      </c>
      <c r="B10508" s="11">
        <v>44867</v>
      </c>
      <c r="C10508" s="13" t="s">
        <v>12701</v>
      </c>
      <c r="D10508" s="13" t="s">
        <v>12702</v>
      </c>
      <c r="E10508" s="8">
        <v>16000</v>
      </c>
      <c r="F10508" s="13" t="s">
        <v>70</v>
      </c>
      <c r="G10508" s="14">
        <v>44869</v>
      </c>
      <c r="H10508" s="13" t="s">
        <v>35</v>
      </c>
    </row>
    <row r="10509" spans="1:8" ht="14.4" x14ac:dyDescent="0.3">
      <c r="A10509" s="8">
        <v>2092954</v>
      </c>
      <c r="B10509" s="11">
        <v>44867</v>
      </c>
      <c r="C10509" s="13" t="s">
        <v>12703</v>
      </c>
      <c r="D10509" s="13" t="s">
        <v>12704</v>
      </c>
      <c r="E10509" s="8">
        <v>24000</v>
      </c>
      <c r="F10509" s="13" t="s">
        <v>70</v>
      </c>
      <c r="G10509" s="14">
        <v>44869</v>
      </c>
      <c r="H10509" s="13" t="s">
        <v>35</v>
      </c>
    </row>
    <row r="10510" spans="1:8" ht="14.4" x14ac:dyDescent="0.3">
      <c r="A10510" s="8">
        <v>2092956</v>
      </c>
      <c r="B10510" s="11">
        <v>44867</v>
      </c>
      <c r="C10510" s="13" t="s">
        <v>3057</v>
      </c>
      <c r="D10510" s="13" t="s">
        <v>12705</v>
      </c>
      <c r="E10510" s="8">
        <v>11000</v>
      </c>
      <c r="F10510" s="13" t="s">
        <v>70</v>
      </c>
      <c r="G10510" s="14">
        <v>44869</v>
      </c>
      <c r="H10510" s="13" t="s">
        <v>35</v>
      </c>
    </row>
    <row r="10511" spans="1:8" ht="14.4" x14ac:dyDescent="0.3">
      <c r="A10511" s="8">
        <v>2092957</v>
      </c>
      <c r="B10511" s="11">
        <v>44867</v>
      </c>
      <c r="C10511" s="13" t="s">
        <v>12706</v>
      </c>
      <c r="D10511" s="13" t="s">
        <v>12707</v>
      </c>
      <c r="E10511" s="8">
        <v>9000</v>
      </c>
      <c r="F10511" s="13" t="s">
        <v>70</v>
      </c>
      <c r="G10511" s="14">
        <v>44869</v>
      </c>
      <c r="H10511" s="13" t="s">
        <v>35</v>
      </c>
    </row>
    <row r="10512" spans="1:8" ht="14.4" x14ac:dyDescent="0.3">
      <c r="A10512" s="8">
        <v>2092958</v>
      </c>
      <c r="B10512" s="11">
        <v>44867</v>
      </c>
      <c r="C10512" s="13" t="s">
        <v>7619</v>
      </c>
      <c r="D10512" s="13" t="s">
        <v>12708</v>
      </c>
      <c r="E10512" s="8">
        <v>15000</v>
      </c>
      <c r="F10512" s="13" t="s">
        <v>70</v>
      </c>
      <c r="G10512" s="14">
        <v>44869</v>
      </c>
      <c r="H10512" s="13" t="s">
        <v>35</v>
      </c>
    </row>
    <row r="10513" spans="1:8" ht="14.4" x14ac:dyDescent="0.3">
      <c r="A10513" s="8">
        <v>2092959</v>
      </c>
      <c r="B10513" s="11">
        <v>44867</v>
      </c>
      <c r="C10513" s="13" t="s">
        <v>12709</v>
      </c>
      <c r="D10513" s="13" t="s">
        <v>12710</v>
      </c>
      <c r="E10513" s="8">
        <v>7200</v>
      </c>
      <c r="F10513" s="13" t="s">
        <v>70</v>
      </c>
      <c r="G10513" s="14">
        <v>44869</v>
      </c>
      <c r="H10513" s="13" t="s">
        <v>35</v>
      </c>
    </row>
    <row r="10514" spans="1:8" ht="14.4" x14ac:dyDescent="0.3">
      <c r="A10514" s="8">
        <v>2092960</v>
      </c>
      <c r="B10514" s="11">
        <v>44867</v>
      </c>
      <c r="C10514" s="13" t="s">
        <v>12711</v>
      </c>
      <c r="D10514" s="13" t="s">
        <v>12712</v>
      </c>
      <c r="E10514" s="8">
        <v>48500</v>
      </c>
      <c r="F10514" s="13" t="s">
        <v>70</v>
      </c>
      <c r="G10514" s="14">
        <v>44869</v>
      </c>
      <c r="H10514" s="13" t="s">
        <v>35</v>
      </c>
    </row>
    <row r="10515" spans="1:8" ht="14.4" x14ac:dyDescent="0.3">
      <c r="A10515" s="8">
        <v>2092961</v>
      </c>
      <c r="B10515" s="11">
        <v>44867</v>
      </c>
      <c r="C10515" s="13" t="s">
        <v>12713</v>
      </c>
      <c r="D10515" s="13"/>
      <c r="E10515" s="8">
        <v>9000</v>
      </c>
      <c r="F10515" s="13" t="s">
        <v>70</v>
      </c>
      <c r="G10515" s="14">
        <v>44869</v>
      </c>
      <c r="H10515" s="13" t="s">
        <v>35</v>
      </c>
    </row>
    <row r="10516" spans="1:8" ht="14.4" x14ac:dyDescent="0.3">
      <c r="A10516" s="8">
        <v>2092962</v>
      </c>
      <c r="B10516" s="11">
        <v>44867</v>
      </c>
      <c r="C10516" s="13" t="s">
        <v>12714</v>
      </c>
      <c r="D10516" s="13" t="s">
        <v>12715</v>
      </c>
      <c r="E10516" s="8">
        <v>9000</v>
      </c>
      <c r="F10516" s="13" t="s">
        <v>70</v>
      </c>
      <c r="G10516" s="14">
        <v>44869</v>
      </c>
      <c r="H10516" s="13" t="s">
        <v>35</v>
      </c>
    </row>
    <row r="10517" spans="1:8" ht="14.4" x14ac:dyDescent="0.3">
      <c r="A10517" s="8">
        <v>2092963</v>
      </c>
      <c r="B10517" s="11">
        <v>44867</v>
      </c>
      <c r="C10517" s="13" t="s">
        <v>12716</v>
      </c>
      <c r="D10517" s="13" t="s">
        <v>12717</v>
      </c>
      <c r="E10517" s="8">
        <v>14000</v>
      </c>
      <c r="F10517" s="13" t="s">
        <v>70</v>
      </c>
      <c r="G10517" s="14">
        <v>44869</v>
      </c>
      <c r="H10517" s="13" t="s">
        <v>35</v>
      </c>
    </row>
    <row r="10518" spans="1:8" ht="14.4" x14ac:dyDescent="0.3">
      <c r="A10518" s="8">
        <v>2092964</v>
      </c>
      <c r="B10518" s="11">
        <v>44867</v>
      </c>
      <c r="C10518" s="13" t="s">
        <v>12718</v>
      </c>
      <c r="D10518" s="13" t="s">
        <v>12700</v>
      </c>
      <c r="E10518" s="8">
        <v>19500</v>
      </c>
      <c r="F10518" s="13" t="s">
        <v>70</v>
      </c>
      <c r="G10518" s="14">
        <v>44875</v>
      </c>
      <c r="H10518" s="13" t="s">
        <v>35</v>
      </c>
    </row>
    <row r="10519" spans="1:8" ht="14.4" x14ac:dyDescent="0.3">
      <c r="A10519" s="8">
        <v>2092965</v>
      </c>
      <c r="B10519" s="11">
        <v>44867</v>
      </c>
      <c r="C10519" s="13" t="s">
        <v>12719</v>
      </c>
      <c r="D10519" s="13" t="s">
        <v>12720</v>
      </c>
      <c r="E10519" s="8">
        <v>17600</v>
      </c>
      <c r="F10519" s="13" t="s">
        <v>70</v>
      </c>
      <c r="G10519" s="14">
        <v>44869</v>
      </c>
      <c r="H10519" s="13" t="s">
        <v>35</v>
      </c>
    </row>
    <row r="10520" spans="1:8" ht="14.4" x14ac:dyDescent="0.3">
      <c r="A10520" s="8">
        <v>2092966</v>
      </c>
      <c r="B10520" s="11">
        <v>44867</v>
      </c>
      <c r="C10520" s="13" t="s">
        <v>12721</v>
      </c>
      <c r="D10520" s="13" t="s">
        <v>12722</v>
      </c>
      <c r="E10520" s="8">
        <v>8000</v>
      </c>
      <c r="F10520" s="13" t="s">
        <v>70</v>
      </c>
      <c r="G10520" s="14">
        <v>44869</v>
      </c>
      <c r="H10520" s="13" t="s">
        <v>35</v>
      </c>
    </row>
    <row r="10521" spans="1:8" ht="14.4" x14ac:dyDescent="0.3">
      <c r="A10521" s="8">
        <v>2092968</v>
      </c>
      <c r="B10521" s="11">
        <v>44867</v>
      </c>
      <c r="C10521" s="13" t="s">
        <v>12723</v>
      </c>
      <c r="D10521" s="13" t="s">
        <v>12724</v>
      </c>
      <c r="E10521" s="8">
        <v>14000</v>
      </c>
      <c r="F10521" s="13" t="s">
        <v>70</v>
      </c>
      <c r="G10521" s="14">
        <v>44869</v>
      </c>
      <c r="H10521" s="13" t="s">
        <v>35</v>
      </c>
    </row>
    <row r="10522" spans="1:8" ht="14.4" x14ac:dyDescent="0.3">
      <c r="A10522" s="8">
        <v>2092969</v>
      </c>
      <c r="B10522" s="11">
        <v>44867</v>
      </c>
      <c r="C10522" s="13" t="s">
        <v>9118</v>
      </c>
      <c r="D10522" s="13" t="s">
        <v>12725</v>
      </c>
      <c r="E10522" s="8">
        <v>20000</v>
      </c>
      <c r="F10522" s="13" t="s">
        <v>70</v>
      </c>
      <c r="G10522" s="14">
        <v>44875</v>
      </c>
      <c r="H10522" s="13" t="s">
        <v>35</v>
      </c>
    </row>
    <row r="10523" spans="1:8" ht="14.4" x14ac:dyDescent="0.3">
      <c r="A10523" s="8">
        <v>2092970</v>
      </c>
      <c r="B10523" s="11">
        <v>44867</v>
      </c>
      <c r="C10523" s="13" t="s">
        <v>12726</v>
      </c>
      <c r="D10523" s="13" t="s">
        <v>12727</v>
      </c>
      <c r="E10523" s="8">
        <v>46000</v>
      </c>
      <c r="F10523" s="13" t="s">
        <v>70</v>
      </c>
      <c r="G10523" s="14">
        <v>44869</v>
      </c>
      <c r="H10523" s="13" t="s">
        <v>35</v>
      </c>
    </row>
    <row r="10524" spans="1:8" ht="14.4" x14ac:dyDescent="0.3">
      <c r="A10524" s="8">
        <v>2092971</v>
      </c>
      <c r="B10524" s="11">
        <v>44867</v>
      </c>
      <c r="C10524" s="13" t="s">
        <v>12728</v>
      </c>
      <c r="D10524" s="13" t="s">
        <v>12729</v>
      </c>
      <c r="E10524" s="8">
        <v>21500</v>
      </c>
      <c r="F10524" s="13" t="s">
        <v>70</v>
      </c>
      <c r="G10524" s="14">
        <v>44869</v>
      </c>
      <c r="H10524" s="13" t="s">
        <v>35</v>
      </c>
    </row>
    <row r="10525" spans="1:8" ht="14.4" x14ac:dyDescent="0.3">
      <c r="A10525" s="8">
        <v>2092972</v>
      </c>
      <c r="B10525" s="11">
        <v>44867</v>
      </c>
      <c r="C10525" s="13" t="s">
        <v>12730</v>
      </c>
      <c r="D10525" s="13" t="s">
        <v>12731</v>
      </c>
      <c r="E10525" s="8">
        <v>18000</v>
      </c>
      <c r="F10525" s="13" t="s">
        <v>70</v>
      </c>
      <c r="G10525" s="14">
        <v>44872</v>
      </c>
      <c r="H10525" s="13" t="s">
        <v>35</v>
      </c>
    </row>
    <row r="10526" spans="1:8" ht="14.4" x14ac:dyDescent="0.3">
      <c r="A10526" s="8">
        <v>2092974</v>
      </c>
      <c r="B10526" s="11">
        <v>44867</v>
      </c>
      <c r="C10526" s="13" t="s">
        <v>12732</v>
      </c>
      <c r="D10526" s="13" t="s">
        <v>12733</v>
      </c>
      <c r="E10526" s="8">
        <v>9000</v>
      </c>
      <c r="F10526" s="13" t="s">
        <v>70</v>
      </c>
      <c r="G10526" s="14">
        <v>44869</v>
      </c>
      <c r="H10526" s="13" t="s">
        <v>35</v>
      </c>
    </row>
    <row r="10527" spans="1:8" ht="14.4" x14ac:dyDescent="0.3">
      <c r="A10527" s="8">
        <v>2092975</v>
      </c>
      <c r="B10527" s="11">
        <v>44867</v>
      </c>
      <c r="C10527" s="13" t="s">
        <v>893</v>
      </c>
      <c r="D10527" s="13" t="s">
        <v>12734</v>
      </c>
      <c r="E10527" s="8">
        <v>380831.06</v>
      </c>
      <c r="F10527" s="13" t="s">
        <v>70</v>
      </c>
      <c r="G10527" s="14">
        <v>44874</v>
      </c>
      <c r="H10527" s="13" t="s">
        <v>35</v>
      </c>
    </row>
    <row r="10528" spans="1:8" ht="14.4" x14ac:dyDescent="0.3">
      <c r="A10528" s="8">
        <v>2092976</v>
      </c>
      <c r="B10528" s="11">
        <v>44867</v>
      </c>
      <c r="C10528" s="13" t="s">
        <v>12735</v>
      </c>
      <c r="D10528" s="13" t="s">
        <v>12736</v>
      </c>
      <c r="E10528" s="8">
        <v>24000</v>
      </c>
      <c r="F10528" s="13" t="s">
        <v>70</v>
      </c>
      <c r="G10528" s="14">
        <v>44869</v>
      </c>
      <c r="H10528" s="13" t="s">
        <v>35</v>
      </c>
    </row>
    <row r="10529" spans="1:8" ht="14.4" x14ac:dyDescent="0.3">
      <c r="A10529" s="8">
        <v>2092065</v>
      </c>
      <c r="B10529" s="11">
        <v>44868</v>
      </c>
      <c r="C10529" s="13" t="s">
        <v>44</v>
      </c>
      <c r="D10529" s="13" t="s">
        <v>45</v>
      </c>
      <c r="E10529" s="8">
        <v>6729.75</v>
      </c>
      <c r="F10529" s="13" t="s">
        <v>70</v>
      </c>
      <c r="G10529" s="14">
        <v>44872</v>
      </c>
      <c r="H10529" s="13" t="s">
        <v>35</v>
      </c>
    </row>
    <row r="10530" spans="1:8" ht="14.4" x14ac:dyDescent="0.3">
      <c r="A10530" s="8">
        <v>2092977</v>
      </c>
      <c r="B10530" s="11">
        <v>44868</v>
      </c>
      <c r="C10530" s="13" t="s">
        <v>3725</v>
      </c>
      <c r="D10530" s="13" t="s">
        <v>12737</v>
      </c>
      <c r="E10530" s="8">
        <v>5500</v>
      </c>
      <c r="F10530" s="13" t="s">
        <v>70</v>
      </c>
      <c r="G10530" s="14">
        <v>44875</v>
      </c>
      <c r="H10530" s="13" t="s">
        <v>35</v>
      </c>
    </row>
    <row r="10531" spans="1:8" ht="14.4" x14ac:dyDescent="0.3">
      <c r="A10531" s="8">
        <v>2092978</v>
      </c>
      <c r="B10531" s="11">
        <v>44868</v>
      </c>
      <c r="C10531" s="13" t="s">
        <v>1430</v>
      </c>
      <c r="D10531" s="13" t="s">
        <v>12738</v>
      </c>
      <c r="E10531" s="8">
        <v>17987.53</v>
      </c>
      <c r="F10531" s="13" t="s">
        <v>70</v>
      </c>
      <c r="G10531" s="14">
        <v>44868</v>
      </c>
      <c r="H10531" s="13" t="s">
        <v>35</v>
      </c>
    </row>
    <row r="10532" spans="1:8" ht="14.4" x14ac:dyDescent="0.3">
      <c r="A10532" s="8">
        <v>2092979</v>
      </c>
      <c r="B10532" s="11">
        <v>44868</v>
      </c>
      <c r="C10532" s="13" t="s">
        <v>12739</v>
      </c>
      <c r="D10532" s="13" t="s">
        <v>12740</v>
      </c>
      <c r="E10532" s="8">
        <v>62452.11</v>
      </c>
      <c r="F10532" s="13" t="s">
        <v>70</v>
      </c>
      <c r="G10532" s="14">
        <v>44875</v>
      </c>
      <c r="H10532" s="13" t="s">
        <v>35</v>
      </c>
    </row>
    <row r="10533" spans="1:8" ht="14.4" x14ac:dyDescent="0.3">
      <c r="A10533" s="8">
        <v>2092980</v>
      </c>
      <c r="B10533" s="11">
        <v>44868</v>
      </c>
      <c r="C10533" s="13" t="s">
        <v>4905</v>
      </c>
      <c r="D10533" s="13" t="s">
        <v>12741</v>
      </c>
      <c r="E10533" s="8">
        <v>16000</v>
      </c>
      <c r="F10533" s="13" t="s">
        <v>70</v>
      </c>
      <c r="G10533" s="14">
        <v>44875</v>
      </c>
      <c r="H10533" s="13" t="s">
        <v>35</v>
      </c>
    </row>
    <row r="10534" spans="1:8" ht="14.4" x14ac:dyDescent="0.3">
      <c r="A10534" s="8">
        <v>2092981</v>
      </c>
      <c r="B10534" s="11">
        <v>44868</v>
      </c>
      <c r="C10534" s="13" t="s">
        <v>12742</v>
      </c>
      <c r="D10534" s="13" t="s">
        <v>12743</v>
      </c>
      <c r="E10534" s="8">
        <v>47412230.579999998</v>
      </c>
      <c r="F10534" s="13" t="s">
        <v>70</v>
      </c>
      <c r="G10534" s="14">
        <v>44869</v>
      </c>
      <c r="H10534" s="13" t="s">
        <v>35</v>
      </c>
    </row>
    <row r="10535" spans="1:8" ht="14.4" x14ac:dyDescent="0.3">
      <c r="A10535" s="8">
        <v>2092982</v>
      </c>
      <c r="B10535" s="11">
        <v>44868</v>
      </c>
      <c r="C10535" s="13" t="s">
        <v>5851</v>
      </c>
      <c r="D10535" s="13" t="s">
        <v>12744</v>
      </c>
      <c r="E10535" s="8">
        <v>5291522.07</v>
      </c>
      <c r="F10535" s="13" t="s">
        <v>70</v>
      </c>
      <c r="G10535" s="14">
        <v>44869</v>
      </c>
      <c r="H10535" s="13" t="s">
        <v>35</v>
      </c>
    </row>
    <row r="10536" spans="1:8" ht="14.4" x14ac:dyDescent="0.3">
      <c r="A10536" s="8">
        <v>2092983</v>
      </c>
      <c r="B10536" s="11">
        <v>44868</v>
      </c>
      <c r="C10536" s="13" t="s">
        <v>12745</v>
      </c>
      <c r="D10536" s="13" t="s">
        <v>12746</v>
      </c>
      <c r="E10536" s="8">
        <v>5386150.46</v>
      </c>
      <c r="F10536" s="13" t="s">
        <v>70</v>
      </c>
      <c r="G10536" s="14">
        <v>44869</v>
      </c>
      <c r="H10536" s="13" t="s">
        <v>35</v>
      </c>
    </row>
    <row r="10537" spans="1:8" ht="14.4" x14ac:dyDescent="0.3">
      <c r="A10537" s="8">
        <v>2092984</v>
      </c>
      <c r="B10537" s="11">
        <v>44868</v>
      </c>
      <c r="C10537" s="13" t="s">
        <v>7101</v>
      </c>
      <c r="D10537" s="13" t="s">
        <v>12747</v>
      </c>
      <c r="E10537" s="8">
        <v>2730874.07</v>
      </c>
      <c r="F10537" s="13" t="s">
        <v>70</v>
      </c>
      <c r="G10537" s="14">
        <v>44869</v>
      </c>
      <c r="H10537" s="13" t="s">
        <v>35</v>
      </c>
    </row>
    <row r="10538" spans="1:8" ht="14.4" x14ac:dyDescent="0.3">
      <c r="A10538" s="8">
        <v>2092985</v>
      </c>
      <c r="B10538" s="11">
        <v>44868</v>
      </c>
      <c r="C10538" s="13" t="s">
        <v>12748</v>
      </c>
      <c r="D10538" s="13" t="s">
        <v>12749</v>
      </c>
      <c r="E10538" s="8">
        <v>1180450.6299999999</v>
      </c>
      <c r="F10538" s="13" t="s">
        <v>70</v>
      </c>
      <c r="G10538" s="14">
        <v>44872</v>
      </c>
      <c r="H10538" s="13" t="s">
        <v>35</v>
      </c>
    </row>
    <row r="10539" spans="1:8" ht="14.4" x14ac:dyDescent="0.3">
      <c r="A10539" s="8">
        <v>2092986</v>
      </c>
      <c r="B10539" s="11">
        <v>44868</v>
      </c>
      <c r="C10539" s="13" t="s">
        <v>1956</v>
      </c>
      <c r="D10539" s="13" t="s">
        <v>12750</v>
      </c>
      <c r="E10539" s="8">
        <v>4228581.93</v>
      </c>
      <c r="F10539" s="13" t="s">
        <v>70</v>
      </c>
      <c r="G10539" s="14">
        <v>44868</v>
      </c>
      <c r="H10539" s="13" t="s">
        <v>35</v>
      </c>
    </row>
    <row r="10540" spans="1:8" ht="14.4" x14ac:dyDescent="0.3">
      <c r="A10540" s="8">
        <v>2092987</v>
      </c>
      <c r="B10540" s="11">
        <v>44868</v>
      </c>
      <c r="C10540" s="13" t="s">
        <v>4191</v>
      </c>
      <c r="D10540" s="13" t="s">
        <v>12751</v>
      </c>
      <c r="E10540" s="8">
        <v>4231573.07</v>
      </c>
      <c r="F10540" s="13" t="s">
        <v>70</v>
      </c>
      <c r="G10540" s="14">
        <v>44868</v>
      </c>
      <c r="H10540" s="13" t="s">
        <v>35</v>
      </c>
    </row>
    <row r="10541" spans="1:8" ht="14.4" x14ac:dyDescent="0.3">
      <c r="A10541" s="8">
        <v>2092988</v>
      </c>
      <c r="B10541" s="11">
        <v>44868</v>
      </c>
      <c r="C10541" s="13" t="s">
        <v>159</v>
      </c>
      <c r="D10541" s="13" t="s">
        <v>12752</v>
      </c>
      <c r="E10541" s="8">
        <v>563200</v>
      </c>
      <c r="F10541" s="13" t="s">
        <v>70</v>
      </c>
      <c r="G10541" s="14">
        <v>44868</v>
      </c>
      <c r="H10541" s="13" t="s">
        <v>35</v>
      </c>
    </row>
    <row r="10542" spans="1:8" ht="14.4" x14ac:dyDescent="0.3">
      <c r="A10542" s="8">
        <v>2092989</v>
      </c>
      <c r="B10542" s="11">
        <v>44868</v>
      </c>
      <c r="C10542" s="13" t="s">
        <v>682</v>
      </c>
      <c r="D10542" s="13" t="s">
        <v>12753</v>
      </c>
      <c r="E10542" s="8">
        <v>120511.79</v>
      </c>
      <c r="F10542" s="13" t="s">
        <v>70</v>
      </c>
      <c r="G10542" s="14">
        <v>44868</v>
      </c>
      <c r="H10542" s="13" t="s">
        <v>35</v>
      </c>
    </row>
    <row r="10543" spans="1:8" ht="14.4" x14ac:dyDescent="0.3">
      <c r="A10543" s="8">
        <v>2092990</v>
      </c>
      <c r="B10543" s="11">
        <v>44868</v>
      </c>
      <c r="C10543" s="13" t="s">
        <v>12754</v>
      </c>
      <c r="D10543" s="13" t="s">
        <v>12755</v>
      </c>
      <c r="E10543" s="8">
        <v>50000</v>
      </c>
      <c r="F10543" s="13" t="s">
        <v>70</v>
      </c>
      <c r="G10543" s="14">
        <v>44868</v>
      </c>
      <c r="H10543" s="13" t="s">
        <v>35</v>
      </c>
    </row>
    <row r="10544" spans="1:8" ht="14.4" x14ac:dyDescent="0.3">
      <c r="A10544" s="8">
        <v>2092991</v>
      </c>
      <c r="B10544" s="11">
        <v>44868</v>
      </c>
      <c r="C10544" s="13" t="s">
        <v>5920</v>
      </c>
      <c r="D10544" s="13" t="s">
        <v>12756</v>
      </c>
      <c r="E10544" s="8">
        <v>787500</v>
      </c>
      <c r="F10544" s="13" t="s">
        <v>70</v>
      </c>
      <c r="G10544" s="14">
        <v>44869</v>
      </c>
      <c r="H10544" s="13" t="s">
        <v>35</v>
      </c>
    </row>
    <row r="10545" spans="1:8" ht="14.4" x14ac:dyDescent="0.3">
      <c r="A10545" s="8">
        <v>2092992</v>
      </c>
      <c r="B10545" s="11">
        <v>44868</v>
      </c>
      <c r="C10545" s="13" t="s">
        <v>12757</v>
      </c>
      <c r="D10545" s="13" t="s">
        <v>12758</v>
      </c>
      <c r="E10545" s="8">
        <v>44100</v>
      </c>
      <c r="F10545" s="13" t="s">
        <v>70</v>
      </c>
      <c r="G10545" s="14">
        <v>44876</v>
      </c>
      <c r="H10545" s="13" t="s">
        <v>35</v>
      </c>
    </row>
    <row r="10546" spans="1:8" ht="14.4" x14ac:dyDescent="0.3">
      <c r="A10546" s="8">
        <v>2092993</v>
      </c>
      <c r="B10546" s="11">
        <v>44868</v>
      </c>
      <c r="C10546" s="13" t="s">
        <v>1716</v>
      </c>
      <c r="D10546" s="13" t="s">
        <v>12759</v>
      </c>
      <c r="E10546" s="8">
        <v>9700</v>
      </c>
      <c r="F10546" s="13" t="s">
        <v>70</v>
      </c>
      <c r="G10546" s="14">
        <v>44872</v>
      </c>
      <c r="H10546" s="13" t="s">
        <v>35</v>
      </c>
    </row>
    <row r="10547" spans="1:8" ht="14.4" x14ac:dyDescent="0.3">
      <c r="A10547" s="8">
        <v>2092994</v>
      </c>
      <c r="B10547" s="11">
        <v>44868</v>
      </c>
      <c r="C10547" s="13" t="s">
        <v>42</v>
      </c>
      <c r="D10547" s="13" t="s">
        <v>12760</v>
      </c>
      <c r="E10547" s="8">
        <v>11720.38</v>
      </c>
      <c r="F10547" s="13" t="s">
        <v>70</v>
      </c>
      <c r="G10547" s="14">
        <v>44873</v>
      </c>
      <c r="H10547" s="13" t="s">
        <v>35</v>
      </c>
    </row>
    <row r="10548" spans="1:8" ht="14.4" x14ac:dyDescent="0.3">
      <c r="A10548" s="8">
        <v>2092995</v>
      </c>
      <c r="B10548" s="11">
        <v>44868</v>
      </c>
      <c r="C10548" s="13" t="s">
        <v>42</v>
      </c>
      <c r="D10548" s="13" t="s">
        <v>12761</v>
      </c>
      <c r="E10548" s="8">
        <v>12231.26</v>
      </c>
      <c r="F10548" s="13" t="s">
        <v>70</v>
      </c>
      <c r="G10548" s="14">
        <v>44873</v>
      </c>
      <c r="H10548" s="13" t="s">
        <v>35</v>
      </c>
    </row>
    <row r="10549" spans="1:8" ht="14.4" x14ac:dyDescent="0.3">
      <c r="A10549" s="8">
        <v>2092996</v>
      </c>
      <c r="B10549" s="11">
        <v>44868</v>
      </c>
      <c r="C10549" s="13" t="s">
        <v>42</v>
      </c>
      <c r="D10549" s="13" t="s">
        <v>12762</v>
      </c>
      <c r="E10549" s="8">
        <v>6295.55</v>
      </c>
      <c r="F10549" s="13" t="s">
        <v>70</v>
      </c>
      <c r="G10549" s="14">
        <v>44873</v>
      </c>
      <c r="H10549" s="13" t="s">
        <v>35</v>
      </c>
    </row>
    <row r="10550" spans="1:8" ht="14.4" x14ac:dyDescent="0.3">
      <c r="A10550" s="8">
        <v>2092997</v>
      </c>
      <c r="B10550" s="11">
        <v>44868</v>
      </c>
      <c r="C10550" s="13" t="s">
        <v>19</v>
      </c>
      <c r="D10550" s="13" t="s">
        <v>12763</v>
      </c>
      <c r="E10550" s="8">
        <v>28303.16</v>
      </c>
      <c r="F10550" s="13" t="s">
        <v>70</v>
      </c>
      <c r="G10550" s="14">
        <v>44872</v>
      </c>
      <c r="H10550" s="13" t="s">
        <v>35</v>
      </c>
    </row>
    <row r="10551" spans="1:8" ht="14.4" x14ac:dyDescent="0.3">
      <c r="A10551" s="8">
        <v>2092998</v>
      </c>
      <c r="B10551" s="11">
        <v>44868</v>
      </c>
      <c r="C10551" s="13" t="s">
        <v>42</v>
      </c>
      <c r="D10551" s="13" t="s">
        <v>12764</v>
      </c>
      <c r="E10551" s="8">
        <v>102959.69</v>
      </c>
      <c r="F10551" s="13" t="s">
        <v>70</v>
      </c>
      <c r="G10551" s="14">
        <v>44873</v>
      </c>
      <c r="H10551" s="13" t="s">
        <v>35</v>
      </c>
    </row>
    <row r="10552" spans="1:8" ht="14.4" x14ac:dyDescent="0.3">
      <c r="A10552" s="8">
        <v>2092999</v>
      </c>
      <c r="B10552" s="11">
        <v>44868</v>
      </c>
      <c r="C10552" s="13" t="s">
        <v>2334</v>
      </c>
      <c r="D10552" s="13" t="s">
        <v>12765</v>
      </c>
      <c r="E10552" s="8">
        <v>118200</v>
      </c>
      <c r="F10552" s="13" t="s">
        <v>70</v>
      </c>
      <c r="G10552" s="14">
        <v>44875</v>
      </c>
      <c r="H10552" s="13" t="s">
        <v>35</v>
      </c>
    </row>
    <row r="10553" spans="1:8" ht="14.4" x14ac:dyDescent="0.3">
      <c r="A10553" s="8">
        <v>2093000</v>
      </c>
      <c r="B10553" s="11">
        <v>44868</v>
      </c>
      <c r="C10553" s="13" t="s">
        <v>3525</v>
      </c>
      <c r="D10553" s="13" t="s">
        <v>12766</v>
      </c>
      <c r="E10553" s="8">
        <v>108640</v>
      </c>
      <c r="F10553" s="13" t="s">
        <v>70</v>
      </c>
      <c r="G10553" s="14">
        <v>44876</v>
      </c>
      <c r="H10553" s="13" t="s">
        <v>35</v>
      </c>
    </row>
    <row r="10554" spans="1:8" ht="14.4" x14ac:dyDescent="0.3">
      <c r="A10554" s="8">
        <v>2093001</v>
      </c>
      <c r="B10554" s="11">
        <v>44868</v>
      </c>
      <c r="C10554" s="13" t="s">
        <v>42</v>
      </c>
      <c r="D10554" s="13" t="s">
        <v>12767</v>
      </c>
      <c r="E10554" s="8">
        <v>42018.5</v>
      </c>
      <c r="F10554" s="13" t="s">
        <v>70</v>
      </c>
      <c r="G10554" s="14">
        <v>44873</v>
      </c>
      <c r="H10554" s="13" t="s">
        <v>35</v>
      </c>
    </row>
    <row r="10555" spans="1:8" ht="14.4" x14ac:dyDescent="0.3">
      <c r="A10555" s="8">
        <v>2093002</v>
      </c>
      <c r="B10555" s="11">
        <v>44868</v>
      </c>
      <c r="C10555" s="13" t="s">
        <v>42</v>
      </c>
      <c r="D10555" s="13" t="s">
        <v>12768</v>
      </c>
      <c r="E10555" s="8">
        <v>32331.13</v>
      </c>
      <c r="F10555" s="13" t="s">
        <v>70</v>
      </c>
      <c r="G10555" s="14">
        <v>44873</v>
      </c>
      <c r="H10555" s="13" t="s">
        <v>35</v>
      </c>
    </row>
    <row r="10556" spans="1:8" ht="14.4" x14ac:dyDescent="0.3">
      <c r="A10556" s="8">
        <v>2093003</v>
      </c>
      <c r="B10556" s="11">
        <v>44868</v>
      </c>
      <c r="C10556" s="13" t="s">
        <v>42</v>
      </c>
      <c r="D10556" s="13" t="s">
        <v>12769</v>
      </c>
      <c r="E10556" s="8">
        <v>11991.63</v>
      </c>
      <c r="F10556" s="13" t="s">
        <v>70</v>
      </c>
      <c r="G10556" s="14">
        <v>44873</v>
      </c>
      <c r="H10556" s="13" t="s">
        <v>35</v>
      </c>
    </row>
    <row r="10557" spans="1:8" ht="14.4" x14ac:dyDescent="0.3">
      <c r="A10557" s="8">
        <v>2093005</v>
      </c>
      <c r="B10557" s="11">
        <v>44868</v>
      </c>
      <c r="C10557" s="13" t="s">
        <v>12228</v>
      </c>
      <c r="D10557" s="13" t="s">
        <v>12770</v>
      </c>
      <c r="E10557" s="8">
        <v>8420</v>
      </c>
      <c r="F10557" s="13" t="s">
        <v>70</v>
      </c>
      <c r="G10557" s="14">
        <v>44874</v>
      </c>
      <c r="H10557" s="13" t="s">
        <v>35</v>
      </c>
    </row>
    <row r="10558" spans="1:8" ht="14.4" x14ac:dyDescent="0.3">
      <c r="A10558" s="8">
        <v>2093006</v>
      </c>
      <c r="B10558" s="11">
        <v>44868</v>
      </c>
      <c r="C10558" s="13" t="s">
        <v>3725</v>
      </c>
      <c r="D10558" s="13" t="s">
        <v>12771</v>
      </c>
      <c r="E10558" s="8">
        <v>5500</v>
      </c>
      <c r="F10558" s="13" t="s">
        <v>70</v>
      </c>
      <c r="G10558" s="14">
        <v>44875</v>
      </c>
      <c r="H10558" s="13" t="s">
        <v>35</v>
      </c>
    </row>
    <row r="10559" spans="1:8" ht="14.4" x14ac:dyDescent="0.3">
      <c r="A10559" s="8">
        <v>2093007</v>
      </c>
      <c r="B10559" s="11">
        <v>44868</v>
      </c>
      <c r="C10559" s="13" t="s">
        <v>12772</v>
      </c>
      <c r="D10559" s="13" t="s">
        <v>12773</v>
      </c>
      <c r="E10559" s="8">
        <v>10000</v>
      </c>
      <c r="F10559" s="13" t="s">
        <v>70</v>
      </c>
      <c r="G10559" s="14">
        <v>44872</v>
      </c>
      <c r="H10559" s="13" t="s">
        <v>35</v>
      </c>
    </row>
    <row r="10560" spans="1:8" ht="14.4" x14ac:dyDescent="0.3">
      <c r="A10560" s="8">
        <v>2093008</v>
      </c>
      <c r="B10560" s="11">
        <v>44868</v>
      </c>
      <c r="C10560" s="13" t="s">
        <v>42</v>
      </c>
      <c r="D10560" s="13" t="s">
        <v>12774</v>
      </c>
      <c r="E10560" s="8">
        <v>59470.239999999998</v>
      </c>
      <c r="F10560" s="13" t="s">
        <v>70</v>
      </c>
      <c r="G10560" s="14">
        <v>44873</v>
      </c>
      <c r="H10560" s="13" t="s">
        <v>35</v>
      </c>
    </row>
    <row r="10561" spans="1:8" ht="14.4" x14ac:dyDescent="0.3">
      <c r="A10561" s="8">
        <v>2093009</v>
      </c>
      <c r="B10561" s="11">
        <v>44868</v>
      </c>
      <c r="C10561" s="13" t="s">
        <v>42</v>
      </c>
      <c r="D10561" s="13" t="s">
        <v>12775</v>
      </c>
      <c r="E10561" s="8">
        <v>54501.87</v>
      </c>
      <c r="F10561" s="13" t="s">
        <v>70</v>
      </c>
      <c r="G10561" s="14">
        <v>44873</v>
      </c>
      <c r="H10561" s="13" t="s">
        <v>35</v>
      </c>
    </row>
    <row r="10562" spans="1:8" ht="14.4" x14ac:dyDescent="0.3">
      <c r="A10562" s="8">
        <v>2093010</v>
      </c>
      <c r="B10562" s="11">
        <v>44868</v>
      </c>
      <c r="C10562" s="13" t="s">
        <v>12776</v>
      </c>
      <c r="D10562" s="13" t="s">
        <v>12777</v>
      </c>
      <c r="E10562" s="8">
        <v>20000</v>
      </c>
      <c r="F10562" s="13" t="s">
        <v>70</v>
      </c>
      <c r="G10562" s="14">
        <v>44869</v>
      </c>
      <c r="H10562" s="13" t="s">
        <v>35</v>
      </c>
    </row>
    <row r="10563" spans="1:8" ht="14.4" x14ac:dyDescent="0.3">
      <c r="A10563" s="8">
        <v>2093011</v>
      </c>
      <c r="B10563" s="11">
        <v>44868</v>
      </c>
      <c r="C10563" s="13" t="s">
        <v>3725</v>
      </c>
      <c r="D10563" s="13" t="s">
        <v>12778</v>
      </c>
      <c r="E10563" s="8">
        <v>5500</v>
      </c>
      <c r="F10563" s="13" t="s">
        <v>70</v>
      </c>
      <c r="G10563" s="14">
        <v>44875</v>
      </c>
      <c r="H10563" s="13" t="s">
        <v>35</v>
      </c>
    </row>
    <row r="10564" spans="1:8" ht="14.4" x14ac:dyDescent="0.3">
      <c r="A10564" s="8">
        <v>2093012</v>
      </c>
      <c r="B10564" s="11">
        <v>44868</v>
      </c>
      <c r="C10564" s="13" t="s">
        <v>189</v>
      </c>
      <c r="D10564" s="13" t="s">
        <v>12779</v>
      </c>
      <c r="E10564" s="8">
        <v>8487759.1099999994</v>
      </c>
      <c r="F10564" s="13" t="s">
        <v>70</v>
      </c>
      <c r="G10564" s="14">
        <v>44869</v>
      </c>
      <c r="H10564" s="13" t="s">
        <v>35</v>
      </c>
    </row>
    <row r="10565" spans="1:8" ht="14.4" x14ac:dyDescent="0.3">
      <c r="A10565" s="8">
        <v>2093013</v>
      </c>
      <c r="B10565" s="11">
        <v>44868</v>
      </c>
      <c r="C10565" s="13" t="s">
        <v>1645</v>
      </c>
      <c r="D10565" s="13" t="s">
        <v>12780</v>
      </c>
      <c r="E10565" s="8">
        <v>754974.25</v>
      </c>
      <c r="F10565" s="13" t="s">
        <v>70</v>
      </c>
      <c r="G10565" s="14">
        <v>44869</v>
      </c>
      <c r="H10565" s="13" t="s">
        <v>35</v>
      </c>
    </row>
    <row r="10566" spans="1:8" ht="14.4" x14ac:dyDescent="0.3">
      <c r="A10566" s="8">
        <v>2093014</v>
      </c>
      <c r="B10566" s="11">
        <v>44868</v>
      </c>
      <c r="C10566" s="13" t="s">
        <v>197</v>
      </c>
      <c r="D10566" s="13" t="s">
        <v>12781</v>
      </c>
      <c r="E10566" s="8">
        <v>1752086.72</v>
      </c>
      <c r="F10566" s="13" t="s">
        <v>70</v>
      </c>
      <c r="G10566" s="14">
        <v>44869</v>
      </c>
      <c r="H10566" s="13" t="s">
        <v>35</v>
      </c>
    </row>
    <row r="10567" spans="1:8" ht="14.4" x14ac:dyDescent="0.3">
      <c r="A10567" s="8">
        <v>2093015</v>
      </c>
      <c r="B10567" s="11">
        <v>44868</v>
      </c>
      <c r="C10567" s="13" t="s">
        <v>2425</v>
      </c>
      <c r="D10567" s="13" t="s">
        <v>12781</v>
      </c>
      <c r="E10567" s="8">
        <v>1730778.58</v>
      </c>
      <c r="F10567" s="13" t="s">
        <v>70</v>
      </c>
      <c r="G10567" s="14">
        <v>44869</v>
      </c>
      <c r="H10567" s="13" t="s">
        <v>35</v>
      </c>
    </row>
    <row r="10568" spans="1:8" ht="14.4" x14ac:dyDescent="0.3">
      <c r="A10568" s="8">
        <v>2093016</v>
      </c>
      <c r="B10568" s="11">
        <v>44868</v>
      </c>
      <c r="C10568" s="13" t="s">
        <v>188</v>
      </c>
      <c r="D10568" s="13" t="s">
        <v>12782</v>
      </c>
      <c r="E10568" s="8">
        <v>7738.88</v>
      </c>
      <c r="F10568" s="13" t="s">
        <v>70</v>
      </c>
      <c r="G10568" s="14">
        <v>44869</v>
      </c>
      <c r="H10568" s="13" t="s">
        <v>35</v>
      </c>
    </row>
    <row r="10569" spans="1:8" ht="14.4" x14ac:dyDescent="0.3">
      <c r="A10569" s="8">
        <v>2093017</v>
      </c>
      <c r="B10569" s="11">
        <v>44868</v>
      </c>
      <c r="C10569" s="13" t="s">
        <v>188</v>
      </c>
      <c r="D10569" s="13" t="s">
        <v>12441</v>
      </c>
      <c r="E10569" s="8">
        <v>3958.44</v>
      </c>
      <c r="F10569" s="13" t="s">
        <v>70</v>
      </c>
      <c r="G10569" s="14">
        <v>44869</v>
      </c>
      <c r="H10569" s="13" t="s">
        <v>35</v>
      </c>
    </row>
    <row r="10570" spans="1:8" ht="14.4" x14ac:dyDescent="0.3">
      <c r="A10570" s="8">
        <v>2093018</v>
      </c>
      <c r="B10570" s="11">
        <v>44868</v>
      </c>
      <c r="C10570" s="13" t="s">
        <v>188</v>
      </c>
      <c r="D10570" s="13" t="s">
        <v>12440</v>
      </c>
      <c r="E10570" s="8">
        <v>2798.52</v>
      </c>
      <c r="F10570" s="13" t="s">
        <v>70</v>
      </c>
      <c r="G10570" s="14">
        <v>44869</v>
      </c>
      <c r="H10570" s="13" t="s">
        <v>35</v>
      </c>
    </row>
    <row r="10571" spans="1:8" ht="14.4" x14ac:dyDescent="0.3">
      <c r="A10571" s="8">
        <v>2093019</v>
      </c>
      <c r="B10571" s="11">
        <v>44868</v>
      </c>
      <c r="C10571" s="13" t="s">
        <v>44</v>
      </c>
      <c r="D10571" s="13" t="s">
        <v>12783</v>
      </c>
      <c r="E10571" s="8">
        <v>2979.55</v>
      </c>
      <c r="F10571" s="13" t="s">
        <v>70</v>
      </c>
      <c r="G10571" s="14">
        <v>44872</v>
      </c>
      <c r="H10571" s="13" t="s">
        <v>35</v>
      </c>
    </row>
    <row r="10572" spans="1:8" ht="14.4" x14ac:dyDescent="0.3">
      <c r="A10572" s="8">
        <v>2093020</v>
      </c>
      <c r="B10572" s="11">
        <v>44868</v>
      </c>
      <c r="C10572" s="13" t="s">
        <v>12784</v>
      </c>
      <c r="D10572" s="13" t="s">
        <v>23</v>
      </c>
      <c r="E10572" s="8">
        <v>10000</v>
      </c>
      <c r="F10572" s="13" t="s">
        <v>70</v>
      </c>
      <c r="G10572" s="14">
        <v>44875</v>
      </c>
      <c r="H10572" s="13" t="s">
        <v>35</v>
      </c>
    </row>
    <row r="10573" spans="1:8" ht="14.4" x14ac:dyDescent="0.3">
      <c r="A10573" s="8">
        <v>2093021</v>
      </c>
      <c r="B10573" s="11">
        <v>44868</v>
      </c>
      <c r="C10573" s="13" t="s">
        <v>361</v>
      </c>
      <c r="D10573" s="13" t="s">
        <v>12785</v>
      </c>
      <c r="E10573" s="8">
        <v>12019.5</v>
      </c>
      <c r="F10573" s="13" t="s">
        <v>70</v>
      </c>
      <c r="G10573" s="14">
        <v>44874</v>
      </c>
      <c r="H10573" s="13" t="s">
        <v>35</v>
      </c>
    </row>
    <row r="10574" spans="1:8" ht="14.4" x14ac:dyDescent="0.3">
      <c r="A10574" s="8">
        <v>2093022</v>
      </c>
      <c r="B10574" s="11">
        <v>44868</v>
      </c>
      <c r="C10574" s="13" t="s">
        <v>7798</v>
      </c>
      <c r="D10574" s="13" t="s">
        <v>12786</v>
      </c>
      <c r="E10574" s="8">
        <v>21142.19</v>
      </c>
      <c r="F10574" s="13" t="s">
        <v>70</v>
      </c>
      <c r="G10574" s="14">
        <v>44875</v>
      </c>
      <c r="H10574" s="13" t="s">
        <v>35</v>
      </c>
    </row>
    <row r="10575" spans="1:8" ht="14.4" x14ac:dyDescent="0.3">
      <c r="A10575" s="8">
        <v>2093023</v>
      </c>
      <c r="B10575" s="11">
        <v>44868</v>
      </c>
      <c r="C10575" s="13" t="s">
        <v>12787</v>
      </c>
      <c r="D10575" s="13" t="s">
        <v>12788</v>
      </c>
      <c r="E10575" s="8">
        <v>6300</v>
      </c>
      <c r="F10575" s="13" t="s">
        <v>70</v>
      </c>
      <c r="G10575" s="14">
        <v>44873</v>
      </c>
      <c r="H10575" s="13" t="s">
        <v>35</v>
      </c>
    </row>
    <row r="10576" spans="1:8" ht="14.4" x14ac:dyDescent="0.3">
      <c r="A10576" s="8">
        <v>2093024</v>
      </c>
      <c r="B10576" s="11">
        <v>44868</v>
      </c>
      <c r="C10576" s="13" t="s">
        <v>1726</v>
      </c>
      <c r="D10576" s="13" t="s">
        <v>12789</v>
      </c>
      <c r="E10576" s="8">
        <v>97000</v>
      </c>
      <c r="F10576" s="13" t="s">
        <v>70</v>
      </c>
      <c r="G10576" s="14">
        <v>44875</v>
      </c>
      <c r="H10576" s="13" t="s">
        <v>35</v>
      </c>
    </row>
    <row r="10577" spans="1:8" ht="14.4" x14ac:dyDescent="0.3">
      <c r="A10577" s="8">
        <v>2093025</v>
      </c>
      <c r="B10577" s="11">
        <v>44868</v>
      </c>
      <c r="C10577" s="13" t="s">
        <v>601</v>
      </c>
      <c r="D10577" s="13" t="s">
        <v>12790</v>
      </c>
      <c r="E10577" s="8">
        <v>65625</v>
      </c>
      <c r="F10577" s="13" t="s">
        <v>70</v>
      </c>
      <c r="G10577" s="14">
        <v>44874</v>
      </c>
      <c r="H10577" s="13" t="s">
        <v>35</v>
      </c>
    </row>
    <row r="10578" spans="1:8" ht="14.4" x14ac:dyDescent="0.3">
      <c r="A10578" s="8">
        <v>2093026</v>
      </c>
      <c r="B10578" s="11">
        <v>44868</v>
      </c>
      <c r="C10578" s="13" t="s">
        <v>42</v>
      </c>
      <c r="D10578" s="13" t="s">
        <v>12791</v>
      </c>
      <c r="E10578" s="8">
        <v>166943.43</v>
      </c>
      <c r="F10578" s="13" t="s">
        <v>70</v>
      </c>
      <c r="G10578" s="14">
        <v>44873</v>
      </c>
      <c r="H10578" s="13" t="s">
        <v>35</v>
      </c>
    </row>
    <row r="10579" spans="1:8" ht="14.4" x14ac:dyDescent="0.3">
      <c r="A10579" s="8">
        <v>2093029</v>
      </c>
      <c r="B10579" s="11">
        <v>44868</v>
      </c>
      <c r="C10579" s="13" t="s">
        <v>4602</v>
      </c>
      <c r="D10579" s="13" t="s">
        <v>12792</v>
      </c>
      <c r="E10579" s="8">
        <v>48500</v>
      </c>
      <c r="F10579" s="13" t="s">
        <v>70</v>
      </c>
      <c r="G10579" s="14">
        <v>44873</v>
      </c>
      <c r="H10579" s="13" t="s">
        <v>35</v>
      </c>
    </row>
    <row r="10580" spans="1:8" ht="14.4" x14ac:dyDescent="0.3">
      <c r="A10580" s="8">
        <v>2093030</v>
      </c>
      <c r="B10580" s="11">
        <v>44868</v>
      </c>
      <c r="C10580" s="13" t="s">
        <v>2428</v>
      </c>
      <c r="D10580" s="13" t="s">
        <v>12793</v>
      </c>
      <c r="E10580" s="8">
        <v>65960</v>
      </c>
      <c r="F10580" s="13" t="s">
        <v>70</v>
      </c>
      <c r="G10580" s="14">
        <v>44879</v>
      </c>
      <c r="H10580" s="13" t="s">
        <v>35</v>
      </c>
    </row>
    <row r="10581" spans="1:8" ht="14.4" x14ac:dyDescent="0.3">
      <c r="A10581" s="8">
        <v>2093031</v>
      </c>
      <c r="B10581" s="11">
        <v>44868</v>
      </c>
      <c r="C10581" s="13" t="s">
        <v>1308</v>
      </c>
      <c r="D10581" s="13" t="s">
        <v>12794</v>
      </c>
      <c r="E10581" s="8">
        <v>46875</v>
      </c>
      <c r="F10581" s="13" t="s">
        <v>70</v>
      </c>
      <c r="G10581" s="14">
        <v>44873</v>
      </c>
      <c r="H10581" s="13" t="s">
        <v>35</v>
      </c>
    </row>
    <row r="10582" spans="1:8" ht="14.4" x14ac:dyDescent="0.3">
      <c r="A10582" s="8">
        <v>2093032</v>
      </c>
      <c r="B10582" s="11">
        <v>44868</v>
      </c>
      <c r="C10582" s="13" t="s">
        <v>1276</v>
      </c>
      <c r="D10582" s="13" t="s">
        <v>12795</v>
      </c>
      <c r="E10582" s="8">
        <v>87300</v>
      </c>
      <c r="F10582" s="13" t="s">
        <v>70</v>
      </c>
      <c r="G10582" s="14">
        <v>44873</v>
      </c>
      <c r="H10582" s="13" t="s">
        <v>35</v>
      </c>
    </row>
    <row r="10583" spans="1:8" ht="14.4" x14ac:dyDescent="0.3">
      <c r="A10583" s="8">
        <v>2093033</v>
      </c>
      <c r="B10583" s="11">
        <v>44868</v>
      </c>
      <c r="C10583" s="13" t="s">
        <v>12796</v>
      </c>
      <c r="D10583" s="13" t="s">
        <v>12797</v>
      </c>
      <c r="E10583" s="8">
        <v>261900</v>
      </c>
      <c r="F10583" s="13" t="s">
        <v>70</v>
      </c>
      <c r="G10583" s="14">
        <v>44875</v>
      </c>
      <c r="H10583" s="13" t="s">
        <v>35</v>
      </c>
    </row>
    <row r="10584" spans="1:8" ht="14.4" x14ac:dyDescent="0.3">
      <c r="A10584" s="8">
        <v>2093034</v>
      </c>
      <c r="B10584" s="11">
        <v>44868</v>
      </c>
      <c r="C10584" s="13" t="s">
        <v>2428</v>
      </c>
      <c r="D10584" s="13" t="s">
        <v>12798</v>
      </c>
      <c r="E10584" s="8">
        <v>112520</v>
      </c>
      <c r="F10584" s="13" t="s">
        <v>70</v>
      </c>
      <c r="G10584" s="14">
        <v>44879</v>
      </c>
      <c r="H10584" s="13" t="s">
        <v>35</v>
      </c>
    </row>
    <row r="10585" spans="1:8" ht="14.4" x14ac:dyDescent="0.3">
      <c r="A10585" s="8">
        <v>2093035</v>
      </c>
      <c r="B10585" s="11">
        <v>44868</v>
      </c>
      <c r="C10585" s="13" t="s">
        <v>604</v>
      </c>
      <c r="D10585" s="13" t="s">
        <v>12799</v>
      </c>
      <c r="E10585" s="8">
        <v>65960</v>
      </c>
      <c r="F10585" s="13" t="s">
        <v>70</v>
      </c>
      <c r="G10585" s="14">
        <v>44876</v>
      </c>
      <c r="H10585" s="13" t="s">
        <v>35</v>
      </c>
    </row>
    <row r="10586" spans="1:8" ht="14.4" x14ac:dyDescent="0.3">
      <c r="A10586" s="8">
        <v>2093037</v>
      </c>
      <c r="B10586" s="11">
        <v>44868</v>
      </c>
      <c r="C10586" s="13" t="s">
        <v>1716</v>
      </c>
      <c r="D10586" s="13" t="s">
        <v>10464</v>
      </c>
      <c r="E10586" s="8">
        <v>65072</v>
      </c>
      <c r="F10586" s="13" t="s">
        <v>70</v>
      </c>
      <c r="G10586" s="14">
        <v>44872</v>
      </c>
      <c r="H10586" s="13" t="s">
        <v>35</v>
      </c>
    </row>
    <row r="10587" spans="1:8" ht="14.4" x14ac:dyDescent="0.3">
      <c r="A10587" s="8">
        <v>2093040</v>
      </c>
      <c r="B10587" s="11">
        <v>44868</v>
      </c>
      <c r="C10587" s="13" t="s">
        <v>180</v>
      </c>
      <c r="D10587" s="13" t="s">
        <v>12800</v>
      </c>
      <c r="E10587" s="8">
        <v>56681.64</v>
      </c>
      <c r="F10587" s="13" t="s">
        <v>70</v>
      </c>
      <c r="G10587" s="14">
        <v>44869</v>
      </c>
      <c r="H10587" s="13" t="s">
        <v>35</v>
      </c>
    </row>
    <row r="10588" spans="1:8" ht="14.4" x14ac:dyDescent="0.3">
      <c r="A10588" s="8">
        <v>2093041</v>
      </c>
      <c r="B10588" s="11">
        <v>44868</v>
      </c>
      <c r="C10588" s="13" t="s">
        <v>1596</v>
      </c>
      <c r="D10588" s="13" t="s">
        <v>12801</v>
      </c>
      <c r="E10588" s="8">
        <v>39200</v>
      </c>
      <c r="F10588" s="13" t="s">
        <v>70</v>
      </c>
      <c r="G10588" s="14">
        <v>44869</v>
      </c>
      <c r="H10588" s="13" t="s">
        <v>35</v>
      </c>
    </row>
    <row r="10589" spans="1:8" ht="14.4" x14ac:dyDescent="0.3">
      <c r="A10589" s="8">
        <v>2092066</v>
      </c>
      <c r="B10589" s="11">
        <v>44869</v>
      </c>
      <c r="C10589" s="13" t="s">
        <v>3210</v>
      </c>
      <c r="D10589" s="13" t="s">
        <v>12802</v>
      </c>
      <c r="E10589" s="8">
        <v>20821.43</v>
      </c>
      <c r="F10589" s="13" t="s">
        <v>70</v>
      </c>
      <c r="G10589" s="14">
        <v>44872</v>
      </c>
      <c r="H10589" s="13" t="s">
        <v>35</v>
      </c>
    </row>
    <row r="10590" spans="1:8" ht="14.4" x14ac:dyDescent="0.3">
      <c r="A10590" s="8">
        <v>2092067</v>
      </c>
      <c r="B10590" s="11">
        <v>44869</v>
      </c>
      <c r="C10590" s="13" t="s">
        <v>11920</v>
      </c>
      <c r="D10590" s="13" t="s">
        <v>12803</v>
      </c>
      <c r="E10590" s="8">
        <v>6138.39</v>
      </c>
      <c r="F10590" s="13" t="s">
        <v>70</v>
      </c>
      <c r="G10590" s="14">
        <v>44875</v>
      </c>
      <c r="H10590" s="13" t="s">
        <v>35</v>
      </c>
    </row>
    <row r="10591" spans="1:8" ht="14.4" x14ac:dyDescent="0.3">
      <c r="A10591" s="8">
        <v>2092068</v>
      </c>
      <c r="B10591" s="11">
        <v>44869</v>
      </c>
      <c r="C10591" s="13" t="s">
        <v>3210</v>
      </c>
      <c r="D10591" s="13" t="s">
        <v>12804</v>
      </c>
      <c r="E10591" s="8">
        <v>12776.78</v>
      </c>
      <c r="F10591" s="13" t="s">
        <v>70</v>
      </c>
      <c r="G10591" s="14">
        <v>44872</v>
      </c>
      <c r="H10591" s="13" t="s">
        <v>35</v>
      </c>
    </row>
    <row r="10592" spans="1:8" ht="14.4" x14ac:dyDescent="0.3">
      <c r="A10592" s="8">
        <v>2092069</v>
      </c>
      <c r="B10592" s="11">
        <v>44869</v>
      </c>
      <c r="C10592" s="13" t="s">
        <v>3210</v>
      </c>
      <c r="D10592" s="13" t="s">
        <v>12805</v>
      </c>
      <c r="E10592" s="8">
        <v>10647.32</v>
      </c>
      <c r="F10592" s="13" t="s">
        <v>70</v>
      </c>
      <c r="G10592" s="14">
        <v>44872</v>
      </c>
      <c r="H10592" s="13" t="s">
        <v>35</v>
      </c>
    </row>
    <row r="10593" spans="1:8" ht="14.4" x14ac:dyDescent="0.3">
      <c r="A10593" s="8">
        <v>2092070</v>
      </c>
      <c r="B10593" s="11">
        <v>44869</v>
      </c>
      <c r="C10593" s="13" t="s">
        <v>3210</v>
      </c>
      <c r="D10593" s="13" t="s">
        <v>12806</v>
      </c>
      <c r="E10593" s="8">
        <v>9464.2800000000007</v>
      </c>
      <c r="F10593" s="13" t="s">
        <v>70</v>
      </c>
      <c r="G10593" s="14">
        <v>44872</v>
      </c>
      <c r="H10593" s="13" t="s">
        <v>35</v>
      </c>
    </row>
    <row r="10594" spans="1:8" ht="14.4" x14ac:dyDescent="0.3">
      <c r="A10594" s="8">
        <v>2092071</v>
      </c>
      <c r="B10594" s="11">
        <v>44869</v>
      </c>
      <c r="C10594" s="13" t="s">
        <v>3210</v>
      </c>
      <c r="D10594" s="13" t="s">
        <v>12807</v>
      </c>
      <c r="E10594" s="8">
        <v>20821.43</v>
      </c>
      <c r="F10594" s="13" t="s">
        <v>70</v>
      </c>
      <c r="G10594" s="14">
        <v>44872</v>
      </c>
      <c r="H10594" s="13" t="s">
        <v>35</v>
      </c>
    </row>
    <row r="10595" spans="1:8" ht="14.4" x14ac:dyDescent="0.3">
      <c r="A10595" s="8">
        <v>2092072</v>
      </c>
      <c r="B10595" s="11">
        <v>44869</v>
      </c>
      <c r="C10595" s="13" t="s">
        <v>1941</v>
      </c>
      <c r="D10595" s="13" t="s">
        <v>12808</v>
      </c>
      <c r="E10595" s="8">
        <v>30150</v>
      </c>
      <c r="F10595" s="13" t="s">
        <v>70</v>
      </c>
      <c r="G10595" s="14">
        <v>44874</v>
      </c>
      <c r="H10595" s="13" t="s">
        <v>35</v>
      </c>
    </row>
    <row r="10596" spans="1:8" ht="14.4" x14ac:dyDescent="0.3">
      <c r="A10596" s="8">
        <v>2092073</v>
      </c>
      <c r="B10596" s="11">
        <v>44869</v>
      </c>
      <c r="C10596" s="13" t="s">
        <v>1584</v>
      </c>
      <c r="D10596" s="13" t="s">
        <v>12809</v>
      </c>
      <c r="E10596" s="8">
        <v>18928.57</v>
      </c>
      <c r="F10596" s="13" t="s">
        <v>70</v>
      </c>
      <c r="G10596" s="14">
        <v>44873</v>
      </c>
      <c r="H10596" s="13" t="s">
        <v>35</v>
      </c>
    </row>
    <row r="10597" spans="1:8" ht="14.4" x14ac:dyDescent="0.3">
      <c r="A10597" s="8">
        <v>2092074</v>
      </c>
      <c r="B10597" s="11">
        <v>44869</v>
      </c>
      <c r="C10597" s="13" t="s">
        <v>12810</v>
      </c>
      <c r="D10597" s="13" t="s">
        <v>12811</v>
      </c>
      <c r="E10597" s="8">
        <v>5891.52</v>
      </c>
      <c r="F10597" s="13" t="s">
        <v>70</v>
      </c>
      <c r="G10597" s="14">
        <v>44876</v>
      </c>
      <c r="H10597" s="13" t="s">
        <v>35</v>
      </c>
    </row>
    <row r="10598" spans="1:8" ht="14.4" x14ac:dyDescent="0.3">
      <c r="A10598" s="8">
        <v>2092075</v>
      </c>
      <c r="B10598" s="11">
        <v>44869</v>
      </c>
      <c r="C10598" s="13" t="s">
        <v>1592</v>
      </c>
      <c r="D10598" s="13" t="s">
        <v>12812</v>
      </c>
      <c r="E10598" s="8">
        <v>6616.07</v>
      </c>
      <c r="F10598" s="13" t="s">
        <v>70</v>
      </c>
      <c r="G10598" s="14">
        <v>44873</v>
      </c>
      <c r="H10598" s="13" t="s">
        <v>35</v>
      </c>
    </row>
    <row r="10599" spans="1:8" ht="14.4" x14ac:dyDescent="0.3">
      <c r="A10599" s="8">
        <v>2092076</v>
      </c>
      <c r="B10599" s="11">
        <v>44869</v>
      </c>
      <c r="C10599" s="13" t="s">
        <v>405</v>
      </c>
      <c r="D10599" s="13" t="s">
        <v>12813</v>
      </c>
      <c r="E10599" s="8">
        <v>29420.240000000002</v>
      </c>
      <c r="F10599" s="13" t="s">
        <v>70</v>
      </c>
      <c r="G10599" s="14">
        <v>44879</v>
      </c>
      <c r="H10599" s="13" t="s">
        <v>35</v>
      </c>
    </row>
    <row r="10600" spans="1:8" ht="14.4" x14ac:dyDescent="0.3">
      <c r="A10600" s="8">
        <v>2093042</v>
      </c>
      <c r="B10600" s="11">
        <v>44869</v>
      </c>
      <c r="C10600" s="13" t="s">
        <v>184</v>
      </c>
      <c r="D10600" s="13" t="s">
        <v>12814</v>
      </c>
      <c r="E10600" s="8">
        <v>193000</v>
      </c>
      <c r="F10600" s="13" t="s">
        <v>70</v>
      </c>
      <c r="G10600" s="14">
        <v>44869</v>
      </c>
      <c r="H10600" s="13" t="s">
        <v>35</v>
      </c>
    </row>
    <row r="10601" spans="1:8" ht="14.4" x14ac:dyDescent="0.3">
      <c r="A10601" s="8">
        <v>2093043</v>
      </c>
      <c r="B10601" s="11">
        <v>44869</v>
      </c>
      <c r="C10601" s="13" t="s">
        <v>12815</v>
      </c>
      <c r="D10601" s="13" t="s">
        <v>12816</v>
      </c>
      <c r="E10601" s="8">
        <v>20000</v>
      </c>
      <c r="F10601" s="13" t="s">
        <v>70</v>
      </c>
      <c r="G10601" s="14">
        <v>44872</v>
      </c>
      <c r="H10601" s="13" t="s">
        <v>35</v>
      </c>
    </row>
    <row r="10602" spans="1:8" ht="14.4" x14ac:dyDescent="0.3">
      <c r="A10602" s="8">
        <v>2093044</v>
      </c>
      <c r="B10602" s="11">
        <v>44869</v>
      </c>
      <c r="C10602" s="13" t="s">
        <v>12817</v>
      </c>
      <c r="D10602" s="13" t="s">
        <v>12818</v>
      </c>
      <c r="E10602" s="8">
        <v>5000</v>
      </c>
      <c r="F10602" s="13" t="s">
        <v>70</v>
      </c>
      <c r="G10602" s="14">
        <v>44873</v>
      </c>
      <c r="H10602" s="13" t="s">
        <v>35</v>
      </c>
    </row>
    <row r="10603" spans="1:8" ht="14.4" x14ac:dyDescent="0.3">
      <c r="A10603" s="8">
        <v>2093045</v>
      </c>
      <c r="B10603" s="11">
        <v>44869</v>
      </c>
      <c r="C10603" s="13" t="s">
        <v>85</v>
      </c>
      <c r="D10603" s="13" t="s">
        <v>86</v>
      </c>
      <c r="E10603" s="8">
        <v>900</v>
      </c>
      <c r="F10603" s="13" t="s">
        <v>70</v>
      </c>
      <c r="G10603" s="14">
        <v>44872</v>
      </c>
      <c r="H10603" s="13" t="s">
        <v>35</v>
      </c>
    </row>
    <row r="10604" spans="1:8" ht="14.4" x14ac:dyDescent="0.3">
      <c r="A10604" s="8">
        <v>2093046</v>
      </c>
      <c r="B10604" s="11">
        <v>44869</v>
      </c>
      <c r="C10604" s="13" t="s">
        <v>1784</v>
      </c>
      <c r="D10604" s="13" t="s">
        <v>12819</v>
      </c>
      <c r="E10604" s="8">
        <v>14400</v>
      </c>
      <c r="F10604" s="13" t="s">
        <v>70</v>
      </c>
      <c r="G10604" s="14">
        <v>44873</v>
      </c>
      <c r="H10604" s="13" t="s">
        <v>35</v>
      </c>
    </row>
    <row r="10605" spans="1:8" ht="14.4" x14ac:dyDescent="0.3">
      <c r="A10605" s="8">
        <v>2093047</v>
      </c>
      <c r="B10605" s="11">
        <v>44869</v>
      </c>
      <c r="C10605" s="13" t="s">
        <v>1784</v>
      </c>
      <c r="D10605" s="13" t="s">
        <v>12820</v>
      </c>
      <c r="E10605" s="8">
        <v>10000</v>
      </c>
      <c r="F10605" s="13" t="s">
        <v>70</v>
      </c>
      <c r="G10605" s="14">
        <v>44873</v>
      </c>
      <c r="H10605" s="13" t="s">
        <v>35</v>
      </c>
    </row>
    <row r="10606" spans="1:8" ht="14.4" x14ac:dyDescent="0.3">
      <c r="A10606" s="8">
        <v>2093048</v>
      </c>
      <c r="B10606" s="11">
        <v>44869</v>
      </c>
      <c r="C10606" s="13" t="s">
        <v>2074</v>
      </c>
      <c r="D10606" s="13" t="s">
        <v>12821</v>
      </c>
      <c r="E10606" s="8">
        <v>11250</v>
      </c>
      <c r="F10606" s="13" t="s">
        <v>70</v>
      </c>
      <c r="G10606" s="14">
        <v>44874</v>
      </c>
      <c r="H10606" s="13" t="s">
        <v>35</v>
      </c>
    </row>
    <row r="10607" spans="1:8" ht="14.4" x14ac:dyDescent="0.3">
      <c r="A10607" s="8">
        <v>2093049</v>
      </c>
      <c r="B10607" s="11">
        <v>44869</v>
      </c>
      <c r="C10607" s="13" t="s">
        <v>2074</v>
      </c>
      <c r="D10607" s="13" t="s">
        <v>12822</v>
      </c>
      <c r="E10607" s="8">
        <v>3281.25</v>
      </c>
      <c r="F10607" s="13" t="s">
        <v>70</v>
      </c>
      <c r="G10607" s="14">
        <v>44874</v>
      </c>
      <c r="H10607" s="13" t="s">
        <v>35</v>
      </c>
    </row>
    <row r="10608" spans="1:8" ht="14.4" x14ac:dyDescent="0.3">
      <c r="A10608" s="8">
        <v>2093050</v>
      </c>
      <c r="B10608" s="11">
        <v>44869</v>
      </c>
      <c r="C10608" s="13" t="s">
        <v>1596</v>
      </c>
      <c r="D10608" s="13" t="s">
        <v>12823</v>
      </c>
      <c r="E10608" s="8">
        <v>1499.4</v>
      </c>
      <c r="F10608" s="13" t="s">
        <v>70</v>
      </c>
      <c r="G10608" s="14">
        <v>44873</v>
      </c>
      <c r="H10608" s="13" t="s">
        <v>35</v>
      </c>
    </row>
    <row r="10609" spans="1:8" ht="14.4" x14ac:dyDescent="0.3">
      <c r="A10609" s="8">
        <v>2093051</v>
      </c>
      <c r="B10609" s="11">
        <v>44869</v>
      </c>
      <c r="C10609" s="13" t="s">
        <v>12824</v>
      </c>
      <c r="D10609" s="13" t="s">
        <v>12825</v>
      </c>
      <c r="E10609" s="8">
        <v>1419.65</v>
      </c>
      <c r="F10609" s="13" t="s">
        <v>70</v>
      </c>
      <c r="G10609" s="14">
        <v>44873</v>
      </c>
      <c r="H10609" s="13" t="s">
        <v>35</v>
      </c>
    </row>
    <row r="10610" spans="1:8" ht="14.4" x14ac:dyDescent="0.3">
      <c r="A10610" s="8">
        <v>2093053</v>
      </c>
      <c r="B10610" s="11">
        <v>44869</v>
      </c>
      <c r="C10610" s="13" t="s">
        <v>12826</v>
      </c>
      <c r="D10610" s="13" t="s">
        <v>12827</v>
      </c>
      <c r="E10610" s="8">
        <v>548.79999999999995</v>
      </c>
      <c r="F10610" s="13" t="s">
        <v>70</v>
      </c>
      <c r="G10610" s="14">
        <v>44879</v>
      </c>
      <c r="H10610" s="13" t="s">
        <v>35</v>
      </c>
    </row>
    <row r="10611" spans="1:8" ht="14.4" x14ac:dyDescent="0.3">
      <c r="A10611" s="8">
        <v>2093054</v>
      </c>
      <c r="B10611" s="11">
        <v>44869</v>
      </c>
      <c r="C10611" s="13" t="s">
        <v>1524</v>
      </c>
      <c r="D10611" s="13" t="s">
        <v>12828</v>
      </c>
      <c r="E10611" s="8">
        <v>16089.28</v>
      </c>
      <c r="F10611" s="13" t="s">
        <v>70</v>
      </c>
      <c r="G10611" s="14">
        <v>44873</v>
      </c>
      <c r="H10611" s="13" t="s">
        <v>35</v>
      </c>
    </row>
    <row r="10612" spans="1:8" ht="14.4" x14ac:dyDescent="0.3">
      <c r="A10612" s="8">
        <v>2093055</v>
      </c>
      <c r="B10612" s="11">
        <v>44869</v>
      </c>
      <c r="C10612" s="13" t="s">
        <v>1524</v>
      </c>
      <c r="D10612" s="13" t="s">
        <v>12829</v>
      </c>
      <c r="E10612" s="8">
        <v>32699.11</v>
      </c>
      <c r="F10612" s="13" t="s">
        <v>70</v>
      </c>
      <c r="G10612" s="14">
        <v>44873</v>
      </c>
      <c r="H10612" s="13" t="s">
        <v>35</v>
      </c>
    </row>
    <row r="10613" spans="1:8" ht="14.4" x14ac:dyDescent="0.3">
      <c r="A10613" s="8">
        <v>2093056</v>
      </c>
      <c r="B10613" s="11">
        <v>44869</v>
      </c>
      <c r="C10613" s="13" t="s">
        <v>1524</v>
      </c>
      <c r="D10613" s="13" t="s">
        <v>12830</v>
      </c>
      <c r="E10613" s="8">
        <v>54568.51</v>
      </c>
      <c r="F10613" s="13" t="s">
        <v>70</v>
      </c>
      <c r="G10613" s="14">
        <v>44873</v>
      </c>
      <c r="H10613" s="13" t="s">
        <v>35</v>
      </c>
    </row>
    <row r="10614" spans="1:8" ht="14.4" x14ac:dyDescent="0.3">
      <c r="A10614" s="8">
        <v>2093057</v>
      </c>
      <c r="B10614" s="11">
        <v>44869</v>
      </c>
      <c r="C10614" s="13" t="s">
        <v>1524</v>
      </c>
      <c r="D10614" s="13" t="s">
        <v>12831</v>
      </c>
      <c r="E10614" s="8">
        <v>183446.35</v>
      </c>
      <c r="F10614" s="13" t="s">
        <v>70</v>
      </c>
      <c r="G10614" s="14">
        <v>44873</v>
      </c>
      <c r="H10614" s="13" t="s">
        <v>35</v>
      </c>
    </row>
    <row r="10615" spans="1:8" ht="14.4" x14ac:dyDescent="0.3">
      <c r="A10615" s="8">
        <v>2093058</v>
      </c>
      <c r="B10615" s="11">
        <v>44869</v>
      </c>
      <c r="C10615" s="13" t="s">
        <v>1524</v>
      </c>
      <c r="D10615" s="13" t="s">
        <v>12832</v>
      </c>
      <c r="E10615" s="8">
        <v>7240.18</v>
      </c>
      <c r="F10615" s="13" t="s">
        <v>70</v>
      </c>
      <c r="G10615" s="14">
        <v>44873</v>
      </c>
      <c r="H10615" s="13" t="s">
        <v>35</v>
      </c>
    </row>
    <row r="10616" spans="1:8" ht="14.4" x14ac:dyDescent="0.3">
      <c r="A10616" s="8">
        <v>2093059</v>
      </c>
      <c r="B10616" s="11">
        <v>44869</v>
      </c>
      <c r="C10616" s="13" t="s">
        <v>127</v>
      </c>
      <c r="D10616" s="13" t="s">
        <v>12833</v>
      </c>
      <c r="E10616" s="8">
        <v>9464.2800000000007</v>
      </c>
      <c r="F10616" s="13" t="s">
        <v>70</v>
      </c>
      <c r="G10616" s="14">
        <v>44873</v>
      </c>
      <c r="H10616" s="13" t="s">
        <v>35</v>
      </c>
    </row>
    <row r="10617" spans="1:8" ht="14.4" x14ac:dyDescent="0.3">
      <c r="A10617" s="8">
        <v>2093060</v>
      </c>
      <c r="B10617" s="11">
        <v>44869</v>
      </c>
      <c r="C10617" s="13" t="s">
        <v>127</v>
      </c>
      <c r="D10617" s="13" t="s">
        <v>12834</v>
      </c>
      <c r="E10617" s="8">
        <v>29547.5</v>
      </c>
      <c r="F10617" s="13" t="s">
        <v>70</v>
      </c>
      <c r="G10617" s="14">
        <v>44873</v>
      </c>
      <c r="H10617" s="13" t="s">
        <v>35</v>
      </c>
    </row>
    <row r="10618" spans="1:8" ht="14.4" x14ac:dyDescent="0.3">
      <c r="A10618" s="8">
        <v>2093061</v>
      </c>
      <c r="B10618" s="11">
        <v>44869</v>
      </c>
      <c r="C10618" s="13" t="s">
        <v>4084</v>
      </c>
      <c r="D10618" s="13" t="s">
        <v>12835</v>
      </c>
      <c r="E10618" s="8">
        <v>236474</v>
      </c>
      <c r="F10618" s="13" t="s">
        <v>70</v>
      </c>
      <c r="G10618" s="14">
        <v>44875</v>
      </c>
      <c r="H10618" s="13" t="s">
        <v>35</v>
      </c>
    </row>
    <row r="10619" spans="1:8" ht="14.4" x14ac:dyDescent="0.3">
      <c r="A10619" s="8">
        <v>2093062</v>
      </c>
      <c r="B10619" s="11">
        <v>44869</v>
      </c>
      <c r="C10619" s="13" t="s">
        <v>376</v>
      </c>
      <c r="D10619" s="13" t="s">
        <v>12836</v>
      </c>
      <c r="E10619" s="8">
        <v>26607</v>
      </c>
      <c r="F10619" s="13" t="s">
        <v>70</v>
      </c>
      <c r="G10619" s="14">
        <v>44875</v>
      </c>
      <c r="H10619" s="13" t="s">
        <v>35</v>
      </c>
    </row>
    <row r="10620" spans="1:8" ht="14.4" x14ac:dyDescent="0.3">
      <c r="A10620" s="8">
        <v>2093063</v>
      </c>
      <c r="B10620" s="11">
        <v>44869</v>
      </c>
      <c r="C10620" s="13" t="s">
        <v>127</v>
      </c>
      <c r="D10620" s="13" t="s">
        <v>12837</v>
      </c>
      <c r="E10620" s="8">
        <v>23282.15</v>
      </c>
      <c r="F10620" s="13" t="s">
        <v>70</v>
      </c>
      <c r="G10620" s="14">
        <v>44873</v>
      </c>
      <c r="H10620" s="13" t="s">
        <v>35</v>
      </c>
    </row>
    <row r="10621" spans="1:8" ht="14.4" x14ac:dyDescent="0.3">
      <c r="A10621" s="8">
        <v>2093064</v>
      </c>
      <c r="B10621" s="11">
        <v>44869</v>
      </c>
      <c r="C10621" s="13" t="s">
        <v>3210</v>
      </c>
      <c r="D10621" s="13" t="s">
        <v>12838</v>
      </c>
      <c r="E10621" s="8">
        <v>205848.22</v>
      </c>
      <c r="F10621" s="13" t="s">
        <v>70</v>
      </c>
      <c r="G10621" s="14">
        <v>44872</v>
      </c>
      <c r="H10621" s="13" t="s">
        <v>35</v>
      </c>
    </row>
    <row r="10622" spans="1:8" ht="14.4" x14ac:dyDescent="0.3">
      <c r="A10622" s="8">
        <v>2093065</v>
      </c>
      <c r="B10622" s="11">
        <v>44869</v>
      </c>
      <c r="C10622" s="13" t="s">
        <v>3210</v>
      </c>
      <c r="D10622" s="13" t="s">
        <v>12839</v>
      </c>
      <c r="E10622" s="8">
        <v>16089.28</v>
      </c>
      <c r="F10622" s="13" t="s">
        <v>70</v>
      </c>
      <c r="G10622" s="14">
        <v>44872</v>
      </c>
      <c r="H10622" s="13" t="s">
        <v>35</v>
      </c>
    </row>
    <row r="10623" spans="1:8" ht="14.4" x14ac:dyDescent="0.3">
      <c r="A10623" s="8">
        <v>2093066</v>
      </c>
      <c r="B10623" s="11">
        <v>44869</v>
      </c>
      <c r="C10623" s="13" t="s">
        <v>3210</v>
      </c>
      <c r="D10623" s="13" t="s">
        <v>12840</v>
      </c>
      <c r="E10623" s="8">
        <v>15616.07</v>
      </c>
      <c r="F10623" s="13" t="s">
        <v>70</v>
      </c>
      <c r="G10623" s="14">
        <v>44872</v>
      </c>
      <c r="H10623" s="13" t="s">
        <v>35</v>
      </c>
    </row>
    <row r="10624" spans="1:8" ht="14.4" x14ac:dyDescent="0.3">
      <c r="A10624" s="8">
        <v>2093067</v>
      </c>
      <c r="B10624" s="11">
        <v>44869</v>
      </c>
      <c r="C10624" s="13" t="s">
        <v>3210</v>
      </c>
      <c r="D10624" s="13" t="s">
        <v>12841</v>
      </c>
      <c r="E10624" s="8">
        <v>22714.28</v>
      </c>
      <c r="F10624" s="13" t="s">
        <v>70</v>
      </c>
      <c r="G10624" s="14">
        <v>44872</v>
      </c>
      <c r="H10624" s="13" t="s">
        <v>35</v>
      </c>
    </row>
    <row r="10625" spans="1:8" ht="14.4" x14ac:dyDescent="0.3">
      <c r="A10625" s="8">
        <v>2093068</v>
      </c>
      <c r="B10625" s="11">
        <v>44869</v>
      </c>
      <c r="C10625" s="13" t="s">
        <v>3210</v>
      </c>
      <c r="D10625" s="13" t="s">
        <v>12842</v>
      </c>
      <c r="E10625" s="8">
        <v>12776.28</v>
      </c>
      <c r="F10625" s="13" t="s">
        <v>70</v>
      </c>
      <c r="G10625" s="14">
        <v>44872</v>
      </c>
      <c r="H10625" s="13" t="s">
        <v>35</v>
      </c>
    </row>
    <row r="10626" spans="1:8" ht="14.4" x14ac:dyDescent="0.3">
      <c r="A10626" s="8">
        <v>2093069</v>
      </c>
      <c r="B10626" s="11">
        <v>44869</v>
      </c>
      <c r="C10626" s="13" t="s">
        <v>3210</v>
      </c>
      <c r="D10626" s="13" t="s">
        <v>12843</v>
      </c>
      <c r="E10626" s="8">
        <v>14196.43</v>
      </c>
      <c r="F10626" s="13" t="s">
        <v>70</v>
      </c>
      <c r="G10626" s="14">
        <v>44872</v>
      </c>
      <c r="H10626" s="13" t="s">
        <v>35</v>
      </c>
    </row>
    <row r="10627" spans="1:8" ht="14.4" x14ac:dyDescent="0.3">
      <c r="A10627" s="8">
        <v>2093070</v>
      </c>
      <c r="B10627" s="11">
        <v>44869</v>
      </c>
      <c r="C10627" s="13" t="s">
        <v>3210</v>
      </c>
      <c r="D10627" s="13" t="s">
        <v>12844</v>
      </c>
      <c r="E10627" s="8">
        <v>3194.2</v>
      </c>
      <c r="F10627" s="13" t="s">
        <v>70</v>
      </c>
      <c r="G10627" s="14">
        <v>44872</v>
      </c>
      <c r="H10627" s="13" t="s">
        <v>35</v>
      </c>
    </row>
    <row r="10628" spans="1:8" ht="14.4" x14ac:dyDescent="0.3">
      <c r="A10628" s="8">
        <v>2093072</v>
      </c>
      <c r="B10628" s="11">
        <v>44869</v>
      </c>
      <c r="C10628" s="13" t="s">
        <v>361</v>
      </c>
      <c r="D10628" s="13" t="s">
        <v>12845</v>
      </c>
      <c r="E10628" s="8">
        <v>6093.75</v>
      </c>
      <c r="F10628" s="13" t="s">
        <v>70</v>
      </c>
      <c r="G10628" s="14">
        <v>44874</v>
      </c>
      <c r="H10628" s="13" t="s">
        <v>35</v>
      </c>
    </row>
    <row r="10629" spans="1:8" ht="14.4" x14ac:dyDescent="0.3">
      <c r="A10629" s="8">
        <v>2093073</v>
      </c>
      <c r="B10629" s="11">
        <v>44869</v>
      </c>
      <c r="C10629" s="13" t="s">
        <v>3210</v>
      </c>
      <c r="D10629" s="13" t="s">
        <v>12846</v>
      </c>
      <c r="E10629" s="8">
        <v>5323.66</v>
      </c>
      <c r="F10629" s="13" t="s">
        <v>70</v>
      </c>
      <c r="G10629" s="14">
        <v>44872</v>
      </c>
      <c r="H10629" s="13" t="s">
        <v>35</v>
      </c>
    </row>
    <row r="10630" spans="1:8" ht="14.4" x14ac:dyDescent="0.3">
      <c r="A10630" s="8">
        <v>2093074</v>
      </c>
      <c r="B10630" s="11">
        <v>44869</v>
      </c>
      <c r="C10630" s="13" t="s">
        <v>3210</v>
      </c>
      <c r="D10630" s="13" t="s">
        <v>12847</v>
      </c>
      <c r="E10630" s="8">
        <v>2129.46</v>
      </c>
      <c r="F10630" s="13" t="s">
        <v>70</v>
      </c>
      <c r="G10630" s="14">
        <v>44872</v>
      </c>
      <c r="H10630" s="13" t="s">
        <v>35</v>
      </c>
    </row>
    <row r="10631" spans="1:8" ht="14.4" x14ac:dyDescent="0.3">
      <c r="A10631" s="8">
        <v>2093075</v>
      </c>
      <c r="B10631" s="11">
        <v>44869</v>
      </c>
      <c r="C10631" s="13" t="s">
        <v>265</v>
      </c>
      <c r="D10631" s="13" t="s">
        <v>12848</v>
      </c>
      <c r="E10631" s="8">
        <v>62730</v>
      </c>
      <c r="F10631" s="13" t="s">
        <v>70</v>
      </c>
      <c r="G10631" s="14">
        <v>44873</v>
      </c>
      <c r="H10631" s="13" t="s">
        <v>35</v>
      </c>
    </row>
    <row r="10632" spans="1:8" ht="14.4" x14ac:dyDescent="0.3">
      <c r="A10632" s="8">
        <v>2093076</v>
      </c>
      <c r="B10632" s="11">
        <v>44869</v>
      </c>
      <c r="C10632" s="13" t="s">
        <v>12849</v>
      </c>
      <c r="D10632" s="13" t="s">
        <v>12850</v>
      </c>
      <c r="E10632" s="8">
        <v>4370.82</v>
      </c>
      <c r="F10632" s="13" t="s">
        <v>70</v>
      </c>
      <c r="G10632" s="14">
        <v>44872</v>
      </c>
      <c r="H10632" s="13" t="s">
        <v>35</v>
      </c>
    </row>
    <row r="10633" spans="1:8" ht="14.4" x14ac:dyDescent="0.3">
      <c r="A10633" s="8">
        <v>2093077</v>
      </c>
      <c r="B10633" s="11">
        <v>44869</v>
      </c>
      <c r="C10633" s="13" t="s">
        <v>3210</v>
      </c>
      <c r="D10633" s="13" t="s">
        <v>12851</v>
      </c>
      <c r="E10633" s="8">
        <v>28392.85</v>
      </c>
      <c r="F10633" s="13" t="s">
        <v>70</v>
      </c>
      <c r="G10633" s="14">
        <v>44872</v>
      </c>
      <c r="H10633" s="13" t="s">
        <v>35</v>
      </c>
    </row>
    <row r="10634" spans="1:8" ht="14.4" x14ac:dyDescent="0.3">
      <c r="A10634" s="8">
        <v>2093078</v>
      </c>
      <c r="B10634" s="11">
        <v>44869</v>
      </c>
      <c r="C10634" s="13" t="s">
        <v>3210</v>
      </c>
      <c r="D10634" s="13" t="s">
        <v>12852</v>
      </c>
      <c r="E10634" s="8">
        <v>19875</v>
      </c>
      <c r="F10634" s="13" t="s">
        <v>70</v>
      </c>
      <c r="G10634" s="14">
        <v>44872</v>
      </c>
      <c r="H10634" s="13" t="s">
        <v>35</v>
      </c>
    </row>
    <row r="10635" spans="1:8" ht="14.4" x14ac:dyDescent="0.3">
      <c r="A10635" s="8">
        <v>2093079</v>
      </c>
      <c r="B10635" s="11">
        <v>44869</v>
      </c>
      <c r="C10635" s="13" t="s">
        <v>127</v>
      </c>
      <c r="D10635" s="13" t="s">
        <v>12853</v>
      </c>
      <c r="E10635" s="8">
        <v>5678.57</v>
      </c>
      <c r="F10635" s="13" t="s">
        <v>70</v>
      </c>
      <c r="G10635" s="14">
        <v>44873</v>
      </c>
      <c r="H10635" s="13" t="s">
        <v>35</v>
      </c>
    </row>
    <row r="10636" spans="1:8" ht="14.4" x14ac:dyDescent="0.3">
      <c r="A10636" s="8">
        <v>2093080</v>
      </c>
      <c r="B10636" s="11">
        <v>44869</v>
      </c>
      <c r="C10636" s="13" t="s">
        <v>1784</v>
      </c>
      <c r="D10636" s="13" t="s">
        <v>12854</v>
      </c>
      <c r="E10636" s="8">
        <v>1000</v>
      </c>
      <c r="F10636" s="13" t="s">
        <v>70</v>
      </c>
      <c r="G10636" s="14">
        <v>44873</v>
      </c>
      <c r="H10636" s="13" t="s">
        <v>35</v>
      </c>
    </row>
    <row r="10637" spans="1:8" ht="14.4" x14ac:dyDescent="0.3">
      <c r="A10637" s="8">
        <v>2093081</v>
      </c>
      <c r="B10637" s="11">
        <v>44869</v>
      </c>
      <c r="C10637" s="13" t="s">
        <v>3210</v>
      </c>
      <c r="D10637" s="13" t="s">
        <v>12855</v>
      </c>
      <c r="E10637" s="8">
        <v>1419.65</v>
      </c>
      <c r="F10637" s="13" t="s">
        <v>70</v>
      </c>
      <c r="G10637" s="14">
        <v>44872</v>
      </c>
      <c r="H10637" s="13" t="s">
        <v>35</v>
      </c>
    </row>
    <row r="10638" spans="1:8" ht="14.4" x14ac:dyDescent="0.3">
      <c r="A10638" s="8">
        <v>2093082</v>
      </c>
      <c r="B10638" s="11">
        <v>44869</v>
      </c>
      <c r="C10638" s="13" t="s">
        <v>1596</v>
      </c>
      <c r="D10638" s="13" t="s">
        <v>12856</v>
      </c>
      <c r="E10638" s="8">
        <v>1528.8</v>
      </c>
      <c r="F10638" s="13" t="s">
        <v>70</v>
      </c>
      <c r="G10638" s="14">
        <v>44873</v>
      </c>
      <c r="H10638" s="13" t="s">
        <v>35</v>
      </c>
    </row>
    <row r="10639" spans="1:8" ht="14.4" x14ac:dyDescent="0.3">
      <c r="A10639" s="8">
        <v>2093083</v>
      </c>
      <c r="B10639" s="11">
        <v>44869</v>
      </c>
      <c r="C10639" s="13" t="s">
        <v>1784</v>
      </c>
      <c r="D10639" s="13" t="s">
        <v>12857</v>
      </c>
      <c r="E10639" s="8">
        <v>12000</v>
      </c>
      <c r="F10639" s="13" t="s">
        <v>70</v>
      </c>
      <c r="G10639" s="14">
        <v>44873</v>
      </c>
      <c r="H10639" s="13" t="s">
        <v>35</v>
      </c>
    </row>
    <row r="10640" spans="1:8" ht="14.4" x14ac:dyDescent="0.3">
      <c r="A10640" s="8">
        <v>2093084</v>
      </c>
      <c r="B10640" s="11">
        <v>44869</v>
      </c>
      <c r="C10640" s="13" t="s">
        <v>1596</v>
      </c>
      <c r="D10640" s="13" t="s">
        <v>12858</v>
      </c>
      <c r="E10640" s="8">
        <v>352.8</v>
      </c>
      <c r="F10640" s="13" t="s">
        <v>70</v>
      </c>
      <c r="G10640" s="14">
        <v>44873</v>
      </c>
      <c r="H10640" s="13" t="s">
        <v>35</v>
      </c>
    </row>
    <row r="10641" spans="1:8" ht="14.4" x14ac:dyDescent="0.3">
      <c r="A10641" s="8">
        <v>2093085</v>
      </c>
      <c r="B10641" s="11">
        <v>44869</v>
      </c>
      <c r="C10641" s="13" t="s">
        <v>1596</v>
      </c>
      <c r="D10641" s="13" t="s">
        <v>12859</v>
      </c>
      <c r="E10641" s="8">
        <v>1764</v>
      </c>
      <c r="F10641" s="13" t="s">
        <v>70</v>
      </c>
      <c r="G10641" s="14">
        <v>44873</v>
      </c>
      <c r="H10641" s="13" t="s">
        <v>35</v>
      </c>
    </row>
    <row r="10642" spans="1:8" ht="14.4" x14ac:dyDescent="0.3">
      <c r="A10642" s="8">
        <v>2093086</v>
      </c>
      <c r="B10642" s="11">
        <v>44869</v>
      </c>
      <c r="C10642" s="13" t="s">
        <v>1596</v>
      </c>
      <c r="D10642" s="13" t="s">
        <v>12860</v>
      </c>
      <c r="E10642" s="8">
        <v>1470</v>
      </c>
      <c r="F10642" s="13" t="s">
        <v>70</v>
      </c>
      <c r="G10642" s="14">
        <v>44873</v>
      </c>
      <c r="H10642" s="13" t="s">
        <v>35</v>
      </c>
    </row>
    <row r="10643" spans="1:8" ht="14.4" x14ac:dyDescent="0.3">
      <c r="A10643" s="8">
        <v>2093088</v>
      </c>
      <c r="B10643" s="11">
        <v>44869</v>
      </c>
      <c r="C10643" s="13" t="s">
        <v>1424</v>
      </c>
      <c r="D10643" s="13" t="s">
        <v>4672</v>
      </c>
      <c r="E10643" s="8">
        <v>89461.16</v>
      </c>
      <c r="F10643" s="13" t="s">
        <v>70</v>
      </c>
      <c r="G10643" s="14">
        <v>44874</v>
      </c>
      <c r="H10643" s="13" t="s">
        <v>35</v>
      </c>
    </row>
    <row r="10644" spans="1:8" ht="14.4" x14ac:dyDescent="0.3">
      <c r="A10644" s="8">
        <v>2093089</v>
      </c>
      <c r="B10644" s="11">
        <v>44869</v>
      </c>
      <c r="C10644" s="13" t="s">
        <v>2711</v>
      </c>
      <c r="D10644" s="13" t="s">
        <v>12861</v>
      </c>
      <c r="E10644" s="8">
        <v>25127.68</v>
      </c>
      <c r="F10644" s="13" t="s">
        <v>70</v>
      </c>
      <c r="G10644" s="14">
        <v>44873</v>
      </c>
      <c r="H10644" s="13" t="s">
        <v>35</v>
      </c>
    </row>
    <row r="10645" spans="1:8" ht="14.4" x14ac:dyDescent="0.3">
      <c r="A10645" s="8">
        <v>2093091</v>
      </c>
      <c r="B10645" s="11">
        <v>44869</v>
      </c>
      <c r="C10645" s="13" t="s">
        <v>2567</v>
      </c>
      <c r="D10645" s="13" t="s">
        <v>12862</v>
      </c>
      <c r="E10645" s="8">
        <v>18490.37</v>
      </c>
      <c r="F10645" s="13" t="s">
        <v>70</v>
      </c>
      <c r="G10645" s="14">
        <v>44873</v>
      </c>
      <c r="H10645" s="13" t="s">
        <v>35</v>
      </c>
    </row>
    <row r="10646" spans="1:8" ht="14.4" x14ac:dyDescent="0.3">
      <c r="A10646" s="8">
        <v>2093093</v>
      </c>
      <c r="B10646" s="11">
        <v>44869</v>
      </c>
      <c r="C10646" s="13" t="s">
        <v>3210</v>
      </c>
      <c r="D10646" s="13" t="s">
        <v>12863</v>
      </c>
      <c r="E10646" s="8">
        <v>15970.98</v>
      </c>
      <c r="F10646" s="13" t="s">
        <v>70</v>
      </c>
      <c r="G10646" s="14">
        <v>44872</v>
      </c>
      <c r="H10646" s="13" t="s">
        <v>35</v>
      </c>
    </row>
    <row r="10647" spans="1:8" ht="14.4" x14ac:dyDescent="0.3">
      <c r="A10647" s="8">
        <v>2093094</v>
      </c>
      <c r="B10647" s="11">
        <v>44869</v>
      </c>
      <c r="C10647" s="13" t="s">
        <v>1784</v>
      </c>
      <c r="D10647" s="13" t="s">
        <v>12864</v>
      </c>
      <c r="E10647" s="8">
        <v>4000</v>
      </c>
      <c r="F10647" s="13" t="s">
        <v>70</v>
      </c>
      <c r="G10647" s="14">
        <v>44873</v>
      </c>
      <c r="H10647" s="13" t="s">
        <v>35</v>
      </c>
    </row>
    <row r="10648" spans="1:8" ht="14.4" x14ac:dyDescent="0.3">
      <c r="A10648" s="8">
        <v>2093095</v>
      </c>
      <c r="B10648" s="11">
        <v>44869</v>
      </c>
      <c r="C10648" s="13" t="s">
        <v>3210</v>
      </c>
      <c r="D10648" s="13" t="s">
        <v>12865</v>
      </c>
      <c r="E10648" s="8">
        <v>67220.09</v>
      </c>
      <c r="F10648" s="13" t="s">
        <v>70</v>
      </c>
      <c r="G10648" s="14">
        <v>44872</v>
      </c>
      <c r="H10648" s="13" t="s">
        <v>35</v>
      </c>
    </row>
    <row r="10649" spans="1:8" ht="14.4" x14ac:dyDescent="0.3">
      <c r="A10649" s="8">
        <v>2093096</v>
      </c>
      <c r="B10649" s="11">
        <v>44869</v>
      </c>
      <c r="C10649" s="13" t="s">
        <v>2571</v>
      </c>
      <c r="D10649" s="13" t="s">
        <v>12866</v>
      </c>
      <c r="E10649" s="8">
        <v>4785426.3600000003</v>
      </c>
      <c r="F10649" s="13" t="s">
        <v>70</v>
      </c>
      <c r="G10649" s="14">
        <v>44872</v>
      </c>
      <c r="H10649" s="13" t="s">
        <v>35</v>
      </c>
    </row>
    <row r="10650" spans="1:8" ht="14.4" x14ac:dyDescent="0.3">
      <c r="A10650" s="8">
        <v>2093097</v>
      </c>
      <c r="B10650" s="11">
        <v>44869</v>
      </c>
      <c r="C10650" s="13" t="s">
        <v>228</v>
      </c>
      <c r="D10650" s="13" t="s">
        <v>12867</v>
      </c>
      <c r="E10650" s="8">
        <v>4396.87</v>
      </c>
      <c r="F10650" s="13" t="s">
        <v>70</v>
      </c>
      <c r="G10650" s="14">
        <v>44873</v>
      </c>
      <c r="H10650" s="13" t="s">
        <v>35</v>
      </c>
    </row>
    <row r="10651" spans="1:8" ht="14.4" x14ac:dyDescent="0.3">
      <c r="A10651" s="8">
        <v>2093098</v>
      </c>
      <c r="B10651" s="11">
        <v>44869</v>
      </c>
      <c r="C10651" s="13" t="s">
        <v>12868</v>
      </c>
      <c r="D10651" s="13" t="s">
        <v>12869</v>
      </c>
      <c r="E10651" s="8">
        <v>22466.32</v>
      </c>
      <c r="F10651" s="13" t="s">
        <v>70</v>
      </c>
      <c r="G10651" s="14">
        <v>44869</v>
      </c>
      <c r="H10651" s="13" t="s">
        <v>35</v>
      </c>
    </row>
    <row r="10652" spans="1:8" ht="14.4" x14ac:dyDescent="0.3">
      <c r="A10652" s="8">
        <v>2093099</v>
      </c>
      <c r="B10652" s="11">
        <v>44869</v>
      </c>
      <c r="C10652" s="13" t="s">
        <v>4765</v>
      </c>
      <c r="D10652" s="13" t="s">
        <v>12870</v>
      </c>
      <c r="E10652" s="8">
        <v>8031.32</v>
      </c>
      <c r="F10652" s="13" t="s">
        <v>70</v>
      </c>
      <c r="G10652" s="14">
        <v>44869</v>
      </c>
      <c r="H10652" s="13" t="s">
        <v>35</v>
      </c>
    </row>
    <row r="10653" spans="1:8" ht="14.4" x14ac:dyDescent="0.3">
      <c r="A10653" s="8">
        <v>2093100</v>
      </c>
      <c r="B10653" s="11">
        <v>44869</v>
      </c>
      <c r="C10653" s="13" t="s">
        <v>12871</v>
      </c>
      <c r="D10653" s="13" t="s">
        <v>12872</v>
      </c>
      <c r="E10653" s="8">
        <v>8628.2199999999993</v>
      </c>
      <c r="F10653" s="13" t="s">
        <v>70</v>
      </c>
      <c r="G10653" s="14">
        <v>44872</v>
      </c>
      <c r="H10653" s="13" t="s">
        <v>35</v>
      </c>
    </row>
    <row r="10654" spans="1:8" ht="14.4" x14ac:dyDescent="0.3">
      <c r="A10654" s="8">
        <v>2093101</v>
      </c>
      <c r="B10654" s="11">
        <v>44869</v>
      </c>
      <c r="C10654" s="13" t="s">
        <v>12873</v>
      </c>
      <c r="D10654" s="13" t="s">
        <v>12874</v>
      </c>
      <c r="E10654" s="8">
        <v>7056.78</v>
      </c>
      <c r="F10654" s="13" t="s">
        <v>70</v>
      </c>
      <c r="G10654" s="14">
        <v>44869</v>
      </c>
      <c r="H10654" s="13" t="s">
        <v>35</v>
      </c>
    </row>
    <row r="10655" spans="1:8" ht="14.4" x14ac:dyDescent="0.3">
      <c r="A10655" s="8">
        <v>2093102</v>
      </c>
      <c r="B10655" s="11">
        <v>44869</v>
      </c>
      <c r="C10655" s="13" t="s">
        <v>1420</v>
      </c>
      <c r="D10655" s="13" t="s">
        <v>12875</v>
      </c>
      <c r="E10655" s="8">
        <v>830949.25</v>
      </c>
      <c r="F10655" s="13" t="s">
        <v>70</v>
      </c>
      <c r="G10655" s="14">
        <v>44873</v>
      </c>
      <c r="H10655" s="13" t="s">
        <v>35</v>
      </c>
    </row>
    <row r="10656" spans="1:8" ht="14.4" x14ac:dyDescent="0.3">
      <c r="A10656" s="8">
        <v>2093103</v>
      </c>
      <c r="B10656" s="11">
        <v>44869</v>
      </c>
      <c r="C10656" s="13" t="s">
        <v>3174</v>
      </c>
      <c r="D10656" s="13" t="s">
        <v>12876</v>
      </c>
      <c r="E10656" s="8">
        <v>28900</v>
      </c>
      <c r="F10656" s="13" t="s">
        <v>70</v>
      </c>
      <c r="G10656" s="14">
        <v>44874</v>
      </c>
      <c r="H10656" s="13" t="s">
        <v>35</v>
      </c>
    </row>
    <row r="10657" spans="1:8" ht="14.4" x14ac:dyDescent="0.3">
      <c r="A10657" s="8">
        <v>2093104</v>
      </c>
      <c r="B10657" s="11">
        <v>44869</v>
      </c>
      <c r="C10657" s="13" t="s">
        <v>2711</v>
      </c>
      <c r="D10657" s="13" t="s">
        <v>12877</v>
      </c>
      <c r="E10657" s="8">
        <v>6625</v>
      </c>
      <c r="F10657" s="13" t="s">
        <v>70</v>
      </c>
      <c r="G10657" s="14">
        <v>44873</v>
      </c>
      <c r="H10657" s="13" t="s">
        <v>35</v>
      </c>
    </row>
    <row r="10658" spans="1:8" ht="14.4" x14ac:dyDescent="0.3">
      <c r="A10658" s="8">
        <v>2093106</v>
      </c>
      <c r="B10658" s="11">
        <v>44869</v>
      </c>
      <c r="C10658" s="13" t="s">
        <v>5769</v>
      </c>
      <c r="D10658" s="13" t="s">
        <v>12878</v>
      </c>
      <c r="E10658" s="8">
        <v>341273.62</v>
      </c>
      <c r="F10658" s="13" t="s">
        <v>70</v>
      </c>
      <c r="G10658" s="14">
        <v>44873</v>
      </c>
      <c r="H10658" s="13" t="s">
        <v>35</v>
      </c>
    </row>
    <row r="10659" spans="1:8" ht="14.4" x14ac:dyDescent="0.3">
      <c r="A10659" s="8">
        <v>2093107</v>
      </c>
      <c r="B10659" s="11">
        <v>44869</v>
      </c>
      <c r="C10659" s="13" t="s">
        <v>67</v>
      </c>
      <c r="D10659" s="13" t="s">
        <v>12879</v>
      </c>
      <c r="E10659" s="8">
        <v>42582.28</v>
      </c>
      <c r="F10659" s="13" t="s">
        <v>70</v>
      </c>
      <c r="G10659" s="14">
        <v>44872</v>
      </c>
      <c r="H10659" s="13" t="s">
        <v>35</v>
      </c>
    </row>
    <row r="10660" spans="1:8" ht="14.4" x14ac:dyDescent="0.3">
      <c r="A10660" s="8">
        <v>2093108</v>
      </c>
      <c r="B10660" s="11">
        <v>44869</v>
      </c>
      <c r="C10660" s="13" t="s">
        <v>4765</v>
      </c>
      <c r="D10660" s="13" t="s">
        <v>3195</v>
      </c>
      <c r="E10660" s="8">
        <v>28567.61</v>
      </c>
      <c r="F10660" s="13" t="s">
        <v>70</v>
      </c>
      <c r="G10660" s="14">
        <v>44874</v>
      </c>
      <c r="H10660" s="13" t="s">
        <v>35</v>
      </c>
    </row>
    <row r="10661" spans="1:8" ht="14.4" x14ac:dyDescent="0.3">
      <c r="A10661" s="8">
        <v>2093113</v>
      </c>
      <c r="B10661" s="11">
        <v>44869</v>
      </c>
      <c r="C10661" s="13" t="s">
        <v>1342</v>
      </c>
      <c r="D10661" s="13" t="s">
        <v>12880</v>
      </c>
      <c r="E10661" s="8">
        <v>14455</v>
      </c>
      <c r="F10661" s="13" t="s">
        <v>70</v>
      </c>
      <c r="G10661" s="14">
        <v>44873</v>
      </c>
      <c r="H10661" s="13" t="s">
        <v>35</v>
      </c>
    </row>
    <row r="10662" spans="1:8" ht="14.4" x14ac:dyDescent="0.3">
      <c r="A10662" s="8">
        <v>2093114</v>
      </c>
      <c r="B10662" s="11">
        <v>44869</v>
      </c>
      <c r="C10662" s="13" t="s">
        <v>1342</v>
      </c>
      <c r="D10662" s="13" t="s">
        <v>12881</v>
      </c>
      <c r="E10662" s="8">
        <v>19551</v>
      </c>
      <c r="F10662" s="13" t="s">
        <v>70</v>
      </c>
      <c r="G10662" s="14">
        <v>44873</v>
      </c>
      <c r="H10662" s="13" t="s">
        <v>35</v>
      </c>
    </row>
    <row r="10663" spans="1:8" ht="14.4" x14ac:dyDescent="0.3">
      <c r="A10663" s="8">
        <v>2093115</v>
      </c>
      <c r="B10663" s="11">
        <v>44869</v>
      </c>
      <c r="C10663" s="13" t="s">
        <v>1522</v>
      </c>
      <c r="D10663" s="13" t="s">
        <v>12882</v>
      </c>
      <c r="E10663" s="8">
        <v>48343.4</v>
      </c>
      <c r="F10663" s="13" t="s">
        <v>70</v>
      </c>
      <c r="G10663" s="14">
        <v>44873</v>
      </c>
      <c r="H10663" s="13" t="s">
        <v>35</v>
      </c>
    </row>
    <row r="10664" spans="1:8" ht="14.4" x14ac:dyDescent="0.3">
      <c r="A10664" s="8">
        <v>2093116</v>
      </c>
      <c r="B10664" s="11">
        <v>44869</v>
      </c>
      <c r="C10664" s="13" t="s">
        <v>1522</v>
      </c>
      <c r="D10664" s="13" t="s">
        <v>12883</v>
      </c>
      <c r="E10664" s="8">
        <v>10670</v>
      </c>
      <c r="F10664" s="13" t="s">
        <v>70</v>
      </c>
      <c r="G10664" s="14">
        <v>44873</v>
      </c>
      <c r="H10664" s="13" t="s">
        <v>35</v>
      </c>
    </row>
    <row r="10665" spans="1:8" ht="14.4" x14ac:dyDescent="0.3">
      <c r="A10665" s="8">
        <v>2093117</v>
      </c>
      <c r="B10665" s="11">
        <v>44869</v>
      </c>
      <c r="C10665" s="13" t="s">
        <v>1342</v>
      </c>
      <c r="D10665" s="13" t="s">
        <v>12884</v>
      </c>
      <c r="E10665" s="8">
        <v>27195</v>
      </c>
      <c r="F10665" s="13" t="s">
        <v>70</v>
      </c>
      <c r="G10665" s="14">
        <v>44873</v>
      </c>
      <c r="H10665" s="13" t="s">
        <v>35</v>
      </c>
    </row>
    <row r="10666" spans="1:8" ht="14.4" x14ac:dyDescent="0.3">
      <c r="A10666" s="8">
        <v>2093118</v>
      </c>
      <c r="B10666" s="11">
        <v>44869</v>
      </c>
      <c r="C10666" s="13" t="s">
        <v>1342</v>
      </c>
      <c r="D10666" s="13" t="s">
        <v>12885</v>
      </c>
      <c r="E10666" s="8">
        <v>5635</v>
      </c>
      <c r="F10666" s="13" t="s">
        <v>70</v>
      </c>
      <c r="G10666" s="14">
        <v>44873</v>
      </c>
      <c r="H10666" s="13" t="s">
        <v>35</v>
      </c>
    </row>
    <row r="10667" spans="1:8" ht="14.4" x14ac:dyDescent="0.3">
      <c r="A10667" s="8">
        <v>2093119</v>
      </c>
      <c r="B10667" s="11">
        <v>44869</v>
      </c>
      <c r="C10667" s="13" t="s">
        <v>1342</v>
      </c>
      <c r="D10667" s="13" t="s">
        <v>12886</v>
      </c>
      <c r="E10667" s="8">
        <v>13720</v>
      </c>
      <c r="F10667" s="13" t="s">
        <v>70</v>
      </c>
      <c r="G10667" s="14">
        <v>44873</v>
      </c>
      <c r="H10667" s="13" t="s">
        <v>35</v>
      </c>
    </row>
    <row r="10668" spans="1:8" ht="14.4" x14ac:dyDescent="0.3">
      <c r="A10668" s="8">
        <v>2093120</v>
      </c>
      <c r="B10668" s="11">
        <v>44869</v>
      </c>
      <c r="C10668" s="13" t="s">
        <v>1522</v>
      </c>
      <c r="D10668" s="13" t="s">
        <v>12887</v>
      </c>
      <c r="E10668" s="8">
        <v>5341</v>
      </c>
      <c r="F10668" s="13" t="s">
        <v>70</v>
      </c>
      <c r="G10668" s="14">
        <v>44873</v>
      </c>
      <c r="H10668" s="13" t="s">
        <v>35</v>
      </c>
    </row>
    <row r="10669" spans="1:8" ht="14.4" x14ac:dyDescent="0.3">
      <c r="A10669" s="8">
        <v>2093121</v>
      </c>
      <c r="B10669" s="11">
        <v>44869</v>
      </c>
      <c r="C10669" s="13" t="s">
        <v>1522</v>
      </c>
      <c r="D10669" s="13" t="s">
        <v>12888</v>
      </c>
      <c r="E10669" s="8">
        <v>3910.2</v>
      </c>
      <c r="F10669" s="13" t="s">
        <v>70</v>
      </c>
      <c r="G10669" s="14">
        <v>44873</v>
      </c>
      <c r="H10669" s="13" t="s">
        <v>35</v>
      </c>
    </row>
    <row r="10670" spans="1:8" ht="14.4" x14ac:dyDescent="0.3">
      <c r="A10670" s="8">
        <v>2093122</v>
      </c>
      <c r="B10670" s="11">
        <v>44869</v>
      </c>
      <c r="C10670" s="13" t="s">
        <v>1342</v>
      </c>
      <c r="D10670" s="13" t="s">
        <v>12889</v>
      </c>
      <c r="E10670" s="8">
        <v>392000</v>
      </c>
      <c r="F10670" s="13" t="s">
        <v>70</v>
      </c>
      <c r="G10670" s="14">
        <v>44873</v>
      </c>
      <c r="H10670" s="13" t="s">
        <v>35</v>
      </c>
    </row>
    <row r="10671" spans="1:8" ht="14.4" x14ac:dyDescent="0.3">
      <c r="A10671" s="8">
        <v>2093123</v>
      </c>
      <c r="B10671" s="11">
        <v>44869</v>
      </c>
      <c r="C10671" s="13" t="s">
        <v>1420</v>
      </c>
      <c r="D10671" s="13" t="s">
        <v>12890</v>
      </c>
      <c r="E10671" s="8">
        <v>9506.8700000000008</v>
      </c>
      <c r="F10671" s="13" t="s">
        <v>70</v>
      </c>
      <c r="G10671" s="14">
        <v>44873</v>
      </c>
      <c r="H10671" s="13" t="s">
        <v>35</v>
      </c>
    </row>
    <row r="10672" spans="1:8" ht="14.4" x14ac:dyDescent="0.3">
      <c r="A10672" s="8">
        <v>2093124</v>
      </c>
      <c r="B10672" s="11">
        <v>44869</v>
      </c>
      <c r="C10672" s="13" t="s">
        <v>4567</v>
      </c>
      <c r="D10672" s="13" t="s">
        <v>12891</v>
      </c>
      <c r="E10672" s="8">
        <v>78498.460000000006</v>
      </c>
      <c r="F10672" s="13" t="s">
        <v>70</v>
      </c>
      <c r="G10672" s="14">
        <v>44876</v>
      </c>
      <c r="H10672" s="13" t="s">
        <v>35</v>
      </c>
    </row>
    <row r="10673" spans="1:8" ht="14.4" x14ac:dyDescent="0.3">
      <c r="A10673" s="8">
        <v>2093125</v>
      </c>
      <c r="B10673" s="11">
        <v>44869</v>
      </c>
      <c r="C10673" s="13" t="s">
        <v>245</v>
      </c>
      <c r="D10673" s="13" t="s">
        <v>4970</v>
      </c>
      <c r="E10673" s="8">
        <v>730264.45</v>
      </c>
      <c r="F10673" s="13" t="s">
        <v>70</v>
      </c>
      <c r="G10673" s="14">
        <v>44873</v>
      </c>
      <c r="H10673" s="13" t="s">
        <v>35</v>
      </c>
    </row>
    <row r="10674" spans="1:8" ht="14.4" x14ac:dyDescent="0.3">
      <c r="A10674" s="8">
        <v>2093126</v>
      </c>
      <c r="B10674" s="11">
        <v>44869</v>
      </c>
      <c r="C10674" s="13" t="s">
        <v>245</v>
      </c>
      <c r="D10674" s="13" t="s">
        <v>12892</v>
      </c>
      <c r="E10674" s="8">
        <v>363427.93</v>
      </c>
      <c r="F10674" s="13" t="s">
        <v>70</v>
      </c>
      <c r="G10674" s="14">
        <v>44873</v>
      </c>
      <c r="H10674" s="13" t="s">
        <v>35</v>
      </c>
    </row>
    <row r="10675" spans="1:8" ht="14.4" x14ac:dyDescent="0.3">
      <c r="A10675" s="8">
        <v>2093127</v>
      </c>
      <c r="B10675" s="11">
        <v>44869</v>
      </c>
      <c r="C10675" s="13" t="s">
        <v>245</v>
      </c>
      <c r="D10675" s="13" t="s">
        <v>4970</v>
      </c>
      <c r="E10675" s="8">
        <v>833917.74</v>
      </c>
      <c r="F10675" s="13" t="s">
        <v>70</v>
      </c>
      <c r="G10675" s="14">
        <v>44873</v>
      </c>
      <c r="H10675" s="13" t="s">
        <v>35</v>
      </c>
    </row>
    <row r="10676" spans="1:8" ht="14.4" x14ac:dyDescent="0.3">
      <c r="A10676" s="8">
        <v>2093128</v>
      </c>
      <c r="B10676" s="11">
        <v>44869</v>
      </c>
      <c r="C10676" s="13" t="s">
        <v>7485</v>
      </c>
      <c r="D10676" s="13" t="s">
        <v>4970</v>
      </c>
      <c r="E10676" s="8">
        <v>559662.16</v>
      </c>
      <c r="F10676" s="13" t="s">
        <v>70</v>
      </c>
      <c r="G10676" s="14">
        <v>44872</v>
      </c>
      <c r="H10676" s="13" t="s">
        <v>35</v>
      </c>
    </row>
    <row r="10677" spans="1:8" ht="14.4" x14ac:dyDescent="0.3">
      <c r="A10677" s="8">
        <v>2093129</v>
      </c>
      <c r="B10677" s="11">
        <v>44869</v>
      </c>
      <c r="C10677" s="13" t="s">
        <v>7485</v>
      </c>
      <c r="D10677" s="13" t="s">
        <v>4970</v>
      </c>
      <c r="E10677" s="8">
        <v>259158.48</v>
      </c>
      <c r="F10677" s="13" t="s">
        <v>70</v>
      </c>
      <c r="G10677" s="14">
        <v>44872</v>
      </c>
      <c r="H10677" s="13" t="s">
        <v>35</v>
      </c>
    </row>
    <row r="10678" spans="1:8" ht="14.4" x14ac:dyDescent="0.3">
      <c r="A10678" s="8">
        <v>2093130</v>
      </c>
      <c r="B10678" s="11">
        <v>44869</v>
      </c>
      <c r="C10678" s="13" t="s">
        <v>7485</v>
      </c>
      <c r="D10678" s="13" t="s">
        <v>2570</v>
      </c>
      <c r="E10678" s="8">
        <v>251749.45</v>
      </c>
      <c r="F10678" s="13" t="s">
        <v>70</v>
      </c>
      <c r="G10678" s="14">
        <v>44872</v>
      </c>
      <c r="H10678" s="13" t="s">
        <v>35</v>
      </c>
    </row>
    <row r="10679" spans="1:8" ht="14.4" x14ac:dyDescent="0.3">
      <c r="A10679" s="8">
        <v>2093131</v>
      </c>
      <c r="B10679" s="11">
        <v>44869</v>
      </c>
      <c r="C10679" s="13" t="s">
        <v>3203</v>
      </c>
      <c r="D10679" s="13" t="s">
        <v>12893</v>
      </c>
      <c r="E10679" s="8">
        <v>250325.15</v>
      </c>
      <c r="F10679" s="13" t="s">
        <v>70</v>
      </c>
      <c r="G10679" s="14">
        <v>44873</v>
      </c>
      <c r="H10679" s="13" t="s">
        <v>35</v>
      </c>
    </row>
    <row r="10680" spans="1:8" ht="14.4" x14ac:dyDescent="0.3">
      <c r="A10680" s="8">
        <v>2093132</v>
      </c>
      <c r="B10680" s="11">
        <v>44869</v>
      </c>
      <c r="C10680" s="13" t="s">
        <v>1745</v>
      </c>
      <c r="D10680" s="13" t="s">
        <v>12894</v>
      </c>
      <c r="E10680" s="8">
        <v>4410</v>
      </c>
      <c r="F10680" s="13" t="s">
        <v>70</v>
      </c>
      <c r="G10680" s="14">
        <v>44873</v>
      </c>
      <c r="H10680" s="13" t="s">
        <v>35</v>
      </c>
    </row>
    <row r="10681" spans="1:8" ht="14.4" x14ac:dyDescent="0.3">
      <c r="A10681" s="8">
        <v>2093133</v>
      </c>
      <c r="B10681" s="11">
        <v>44869</v>
      </c>
      <c r="C10681" s="13" t="s">
        <v>1420</v>
      </c>
      <c r="D10681" s="13" t="s">
        <v>12895</v>
      </c>
      <c r="E10681" s="8">
        <v>49939.74</v>
      </c>
      <c r="F10681" s="13" t="s">
        <v>70</v>
      </c>
      <c r="G10681" s="14">
        <v>44873</v>
      </c>
      <c r="H10681" s="13" t="s">
        <v>35</v>
      </c>
    </row>
    <row r="10682" spans="1:8" ht="14.4" x14ac:dyDescent="0.3">
      <c r="A10682" s="8">
        <v>2093134</v>
      </c>
      <c r="B10682" s="11">
        <v>44869</v>
      </c>
      <c r="C10682" s="13" t="s">
        <v>12896</v>
      </c>
      <c r="D10682" s="13" t="s">
        <v>12897</v>
      </c>
      <c r="E10682" s="8">
        <v>22000000</v>
      </c>
      <c r="F10682" s="13" t="s">
        <v>70</v>
      </c>
      <c r="G10682" s="14">
        <v>44874</v>
      </c>
      <c r="H10682" s="13" t="s">
        <v>35</v>
      </c>
    </row>
    <row r="10683" spans="1:8" ht="14.4" x14ac:dyDescent="0.3">
      <c r="A10683" s="8">
        <v>2093135</v>
      </c>
      <c r="B10683" s="11">
        <v>44869</v>
      </c>
      <c r="C10683" s="13" t="s">
        <v>12896</v>
      </c>
      <c r="D10683" s="13" t="s">
        <v>12898</v>
      </c>
      <c r="E10683" s="8">
        <v>1000000</v>
      </c>
      <c r="F10683" s="13" t="s">
        <v>70</v>
      </c>
      <c r="G10683" s="14">
        <v>44874</v>
      </c>
      <c r="H10683" s="13" t="s">
        <v>35</v>
      </c>
    </row>
    <row r="10684" spans="1:8" ht="14.4" x14ac:dyDescent="0.3">
      <c r="A10684" s="8">
        <v>2093137</v>
      </c>
      <c r="B10684" s="11">
        <v>44869</v>
      </c>
      <c r="C10684" s="13" t="s">
        <v>405</v>
      </c>
      <c r="D10684" s="13" t="s">
        <v>12899</v>
      </c>
      <c r="E10684" s="8">
        <v>27935.16</v>
      </c>
      <c r="F10684" s="13" t="s">
        <v>70</v>
      </c>
      <c r="G10684" s="14">
        <v>44879</v>
      </c>
      <c r="H10684" s="13" t="s">
        <v>35</v>
      </c>
    </row>
    <row r="10685" spans="1:8" ht="14.4" x14ac:dyDescent="0.3">
      <c r="A10685" s="8">
        <v>2093138</v>
      </c>
      <c r="B10685" s="11">
        <v>44869</v>
      </c>
      <c r="C10685" s="13" t="s">
        <v>1596</v>
      </c>
      <c r="D10685" s="13" t="s">
        <v>12900</v>
      </c>
      <c r="E10685" s="8">
        <v>396.9</v>
      </c>
      <c r="F10685" s="13" t="s">
        <v>70</v>
      </c>
      <c r="G10685" s="14">
        <v>44873</v>
      </c>
      <c r="H10685" s="13" t="s">
        <v>35</v>
      </c>
    </row>
    <row r="10686" spans="1:8" ht="14.4" x14ac:dyDescent="0.3">
      <c r="A10686" s="8">
        <v>2093140</v>
      </c>
      <c r="B10686" s="11">
        <v>44869</v>
      </c>
      <c r="C10686" s="13" t="s">
        <v>1342</v>
      </c>
      <c r="D10686" s="13" t="s">
        <v>12901</v>
      </c>
      <c r="E10686" s="8">
        <v>74382</v>
      </c>
      <c r="F10686" s="13" t="s">
        <v>70</v>
      </c>
      <c r="G10686" s="14">
        <v>44873</v>
      </c>
      <c r="H10686" s="13" t="s">
        <v>35</v>
      </c>
    </row>
    <row r="10687" spans="1:8" ht="14.4" x14ac:dyDescent="0.3">
      <c r="A10687" s="8">
        <v>2093141</v>
      </c>
      <c r="B10687" s="11">
        <v>44869</v>
      </c>
      <c r="C10687" s="13" t="s">
        <v>67</v>
      </c>
      <c r="D10687" s="13" t="s">
        <v>12902</v>
      </c>
      <c r="E10687" s="8">
        <v>85178.57</v>
      </c>
      <c r="F10687" s="13" t="s">
        <v>70</v>
      </c>
      <c r="G10687" s="14">
        <v>44872</v>
      </c>
      <c r="H10687" s="13" t="s">
        <v>35</v>
      </c>
    </row>
    <row r="10688" spans="1:8" ht="14.4" x14ac:dyDescent="0.3">
      <c r="A10688" s="8">
        <v>2093142</v>
      </c>
      <c r="B10688" s="11">
        <v>44869</v>
      </c>
      <c r="C10688" s="13" t="s">
        <v>673</v>
      </c>
      <c r="D10688" s="13" t="s">
        <v>12903</v>
      </c>
      <c r="E10688" s="8">
        <v>59170</v>
      </c>
      <c r="F10688" s="13" t="s">
        <v>70</v>
      </c>
      <c r="G10688" s="14">
        <v>44873</v>
      </c>
      <c r="H10688" s="13" t="s">
        <v>35</v>
      </c>
    </row>
    <row r="10689" spans="1:8" ht="14.4" x14ac:dyDescent="0.3">
      <c r="A10689" s="8">
        <v>2093143</v>
      </c>
      <c r="B10689" s="11">
        <v>44869</v>
      </c>
      <c r="C10689" s="13" t="s">
        <v>2711</v>
      </c>
      <c r="D10689" s="13" t="s">
        <v>12904</v>
      </c>
      <c r="E10689" s="8">
        <v>24275.89</v>
      </c>
      <c r="F10689" s="13" t="s">
        <v>70</v>
      </c>
      <c r="G10689" s="14">
        <v>44873</v>
      </c>
      <c r="H10689" s="13" t="s">
        <v>35</v>
      </c>
    </row>
    <row r="10690" spans="1:8" ht="14.4" x14ac:dyDescent="0.3">
      <c r="A10690" s="8">
        <v>2093144</v>
      </c>
      <c r="B10690" s="11">
        <v>44869</v>
      </c>
      <c r="C10690" s="13" t="s">
        <v>2711</v>
      </c>
      <c r="D10690" s="13" t="s">
        <v>12905</v>
      </c>
      <c r="E10690" s="8">
        <v>25127.68</v>
      </c>
      <c r="F10690" s="13" t="s">
        <v>70</v>
      </c>
      <c r="G10690" s="14">
        <v>44873</v>
      </c>
      <c r="H10690" s="13" t="s">
        <v>35</v>
      </c>
    </row>
    <row r="10691" spans="1:8" ht="14.4" x14ac:dyDescent="0.3">
      <c r="A10691" s="8">
        <v>2093145</v>
      </c>
      <c r="B10691" s="11">
        <v>44869</v>
      </c>
      <c r="C10691" s="13" t="s">
        <v>2711</v>
      </c>
      <c r="D10691" s="13" t="s">
        <v>12906</v>
      </c>
      <c r="E10691" s="8">
        <v>38425</v>
      </c>
      <c r="F10691" s="13" t="s">
        <v>70</v>
      </c>
      <c r="G10691" s="14">
        <v>44873</v>
      </c>
      <c r="H10691" s="13" t="s">
        <v>35</v>
      </c>
    </row>
    <row r="10692" spans="1:8" ht="14.4" x14ac:dyDescent="0.3">
      <c r="A10692" s="8">
        <v>2093146</v>
      </c>
      <c r="B10692" s="11">
        <v>44869</v>
      </c>
      <c r="C10692" s="13" t="s">
        <v>2262</v>
      </c>
      <c r="D10692" s="13" t="s">
        <v>12907</v>
      </c>
      <c r="E10692" s="8">
        <v>15500.89</v>
      </c>
      <c r="F10692" s="13" t="s">
        <v>70</v>
      </c>
      <c r="G10692" s="14">
        <v>44873</v>
      </c>
      <c r="H10692" s="13" t="s">
        <v>35</v>
      </c>
    </row>
    <row r="10693" spans="1:8" ht="14.4" x14ac:dyDescent="0.3">
      <c r="A10693" s="8">
        <v>2093147</v>
      </c>
      <c r="B10693" s="11">
        <v>44869</v>
      </c>
      <c r="C10693" s="13" t="s">
        <v>2262</v>
      </c>
      <c r="D10693" s="13" t="s">
        <v>12908</v>
      </c>
      <c r="E10693" s="8">
        <v>16299.99</v>
      </c>
      <c r="F10693" s="13" t="s">
        <v>70</v>
      </c>
      <c r="G10693" s="14">
        <v>44873</v>
      </c>
      <c r="H10693" s="13" t="s">
        <v>35</v>
      </c>
    </row>
    <row r="10694" spans="1:8" ht="14.4" x14ac:dyDescent="0.3">
      <c r="A10694" s="8">
        <v>2093148</v>
      </c>
      <c r="B10694" s="11">
        <v>44869</v>
      </c>
      <c r="C10694" s="13" t="s">
        <v>2262</v>
      </c>
      <c r="D10694" s="13" t="s">
        <v>12909</v>
      </c>
      <c r="E10694" s="8">
        <v>35671.42</v>
      </c>
      <c r="F10694" s="13" t="s">
        <v>70</v>
      </c>
      <c r="G10694" s="14">
        <v>44873</v>
      </c>
      <c r="H10694" s="13" t="s">
        <v>35</v>
      </c>
    </row>
    <row r="10695" spans="1:8" ht="14.4" x14ac:dyDescent="0.3">
      <c r="A10695" s="8">
        <v>2093149</v>
      </c>
      <c r="B10695" s="11">
        <v>44869</v>
      </c>
      <c r="C10695" s="13" t="s">
        <v>2262</v>
      </c>
      <c r="D10695" s="13" t="s">
        <v>12910</v>
      </c>
      <c r="E10695" s="8">
        <v>29718.75</v>
      </c>
      <c r="F10695" s="13" t="s">
        <v>70</v>
      </c>
      <c r="G10695" s="14">
        <v>44873</v>
      </c>
      <c r="H10695" s="13" t="s">
        <v>35</v>
      </c>
    </row>
    <row r="10696" spans="1:8" ht="14.4" x14ac:dyDescent="0.3">
      <c r="A10696" s="8">
        <v>2093150</v>
      </c>
      <c r="B10696" s="11">
        <v>44869</v>
      </c>
      <c r="C10696" s="13" t="s">
        <v>2262</v>
      </c>
      <c r="D10696" s="13" t="s">
        <v>12911</v>
      </c>
      <c r="E10696" s="8">
        <v>78562.5</v>
      </c>
      <c r="F10696" s="13" t="s">
        <v>70</v>
      </c>
      <c r="G10696" s="14">
        <v>44873</v>
      </c>
      <c r="H10696" s="13" t="s">
        <v>35</v>
      </c>
    </row>
    <row r="10697" spans="1:8" ht="14.4" x14ac:dyDescent="0.3">
      <c r="A10697" s="8">
        <v>2093151</v>
      </c>
      <c r="B10697" s="11">
        <v>44869</v>
      </c>
      <c r="C10697" s="13" t="s">
        <v>2262</v>
      </c>
      <c r="D10697" s="13" t="s">
        <v>12912</v>
      </c>
      <c r="E10697" s="8">
        <v>3312.5</v>
      </c>
      <c r="F10697" s="13" t="s">
        <v>70</v>
      </c>
      <c r="G10697" s="14">
        <v>44873</v>
      </c>
      <c r="H10697" s="13" t="s">
        <v>35</v>
      </c>
    </row>
    <row r="10698" spans="1:8" ht="14.4" x14ac:dyDescent="0.3">
      <c r="A10698" s="8">
        <v>2093152</v>
      </c>
      <c r="B10698" s="11">
        <v>44869</v>
      </c>
      <c r="C10698" s="13" t="s">
        <v>2262</v>
      </c>
      <c r="D10698" s="13" t="s">
        <v>12913</v>
      </c>
      <c r="E10698" s="8">
        <v>23178.57</v>
      </c>
      <c r="F10698" s="13" t="s">
        <v>70</v>
      </c>
      <c r="G10698" s="14">
        <v>44873</v>
      </c>
      <c r="H10698" s="13" t="s">
        <v>35</v>
      </c>
    </row>
    <row r="10699" spans="1:8" ht="14.4" x14ac:dyDescent="0.3">
      <c r="A10699" s="8">
        <v>2093153</v>
      </c>
      <c r="B10699" s="11">
        <v>44869</v>
      </c>
      <c r="C10699" s="13" t="s">
        <v>2262</v>
      </c>
      <c r="D10699" s="13" t="s">
        <v>12914</v>
      </c>
      <c r="E10699" s="8">
        <v>40500</v>
      </c>
      <c r="F10699" s="13" t="s">
        <v>70</v>
      </c>
      <c r="G10699" s="14">
        <v>44873</v>
      </c>
      <c r="H10699" s="13" t="s">
        <v>35</v>
      </c>
    </row>
    <row r="10700" spans="1:8" ht="14.4" x14ac:dyDescent="0.3">
      <c r="A10700" s="8">
        <v>2093154</v>
      </c>
      <c r="B10700" s="11">
        <v>44869</v>
      </c>
      <c r="C10700" s="13" t="s">
        <v>2262</v>
      </c>
      <c r="D10700" s="13" t="s">
        <v>12915</v>
      </c>
      <c r="E10700" s="8">
        <v>23738.39</v>
      </c>
      <c r="F10700" s="13" t="s">
        <v>70</v>
      </c>
      <c r="G10700" s="14">
        <v>44873</v>
      </c>
      <c r="H10700" s="13" t="s">
        <v>35</v>
      </c>
    </row>
    <row r="10701" spans="1:8" ht="14.4" x14ac:dyDescent="0.3">
      <c r="A10701" s="8">
        <v>2093155</v>
      </c>
      <c r="B10701" s="11">
        <v>44869</v>
      </c>
      <c r="C10701" s="13" t="s">
        <v>1941</v>
      </c>
      <c r="D10701" s="13" t="s">
        <v>12916</v>
      </c>
      <c r="E10701" s="8">
        <v>45313.57</v>
      </c>
      <c r="F10701" s="13" t="s">
        <v>70</v>
      </c>
      <c r="G10701" s="14">
        <v>44874</v>
      </c>
      <c r="H10701" s="13" t="s">
        <v>35</v>
      </c>
    </row>
    <row r="10702" spans="1:8" ht="14.4" x14ac:dyDescent="0.3">
      <c r="A10702" s="8">
        <v>2093156</v>
      </c>
      <c r="B10702" s="11">
        <v>44869</v>
      </c>
      <c r="C10702" s="13" t="s">
        <v>1342</v>
      </c>
      <c r="D10702" s="13" t="s">
        <v>12917</v>
      </c>
      <c r="E10702" s="8">
        <v>31850</v>
      </c>
      <c r="F10702" s="13" t="s">
        <v>70</v>
      </c>
      <c r="G10702" s="14">
        <v>44873</v>
      </c>
      <c r="H10702" s="13" t="s">
        <v>35</v>
      </c>
    </row>
    <row r="10703" spans="1:8" ht="14.4" x14ac:dyDescent="0.3">
      <c r="A10703" s="8">
        <v>2093157</v>
      </c>
      <c r="B10703" s="11">
        <v>44869</v>
      </c>
      <c r="C10703" s="13" t="s">
        <v>1743</v>
      </c>
      <c r="D10703" s="13" t="s">
        <v>12918</v>
      </c>
      <c r="E10703" s="8">
        <v>13230</v>
      </c>
      <c r="F10703" s="13" t="s">
        <v>70</v>
      </c>
      <c r="G10703" s="14">
        <v>44873</v>
      </c>
      <c r="H10703" s="13" t="s">
        <v>35</v>
      </c>
    </row>
    <row r="10704" spans="1:8" ht="14.4" x14ac:dyDescent="0.3">
      <c r="A10704" s="8">
        <v>2093158</v>
      </c>
      <c r="B10704" s="11">
        <v>44869</v>
      </c>
      <c r="C10704" s="13" t="s">
        <v>1743</v>
      </c>
      <c r="D10704" s="13" t="s">
        <v>12919</v>
      </c>
      <c r="E10704" s="8">
        <v>23054.5</v>
      </c>
      <c r="F10704" s="13" t="s">
        <v>70</v>
      </c>
      <c r="G10704" s="14">
        <v>44873</v>
      </c>
      <c r="H10704" s="13" t="s">
        <v>35</v>
      </c>
    </row>
    <row r="10705" spans="1:8" ht="14.4" x14ac:dyDescent="0.3">
      <c r="A10705" s="8">
        <v>2093159</v>
      </c>
      <c r="B10705" s="11">
        <v>44869</v>
      </c>
      <c r="C10705" s="13" t="s">
        <v>1743</v>
      </c>
      <c r="D10705" s="13" t="s">
        <v>12920</v>
      </c>
      <c r="E10705" s="8">
        <v>14700</v>
      </c>
      <c r="F10705" s="13" t="s">
        <v>70</v>
      </c>
      <c r="G10705" s="14">
        <v>44873</v>
      </c>
      <c r="H10705" s="13" t="s">
        <v>35</v>
      </c>
    </row>
    <row r="10706" spans="1:8" ht="14.4" x14ac:dyDescent="0.3">
      <c r="A10706" s="8">
        <v>2093160</v>
      </c>
      <c r="B10706" s="11">
        <v>44869</v>
      </c>
      <c r="C10706" s="13" t="s">
        <v>1587</v>
      </c>
      <c r="D10706" s="13" t="s">
        <v>12921</v>
      </c>
      <c r="E10706" s="8">
        <v>26831.24</v>
      </c>
      <c r="F10706" s="13" t="s">
        <v>70</v>
      </c>
      <c r="G10706" s="14">
        <v>44879</v>
      </c>
      <c r="H10706" s="13" t="s">
        <v>35</v>
      </c>
    </row>
    <row r="10707" spans="1:8" ht="14.4" x14ac:dyDescent="0.3">
      <c r="A10707" s="8">
        <v>2093161</v>
      </c>
      <c r="B10707" s="11">
        <v>44869</v>
      </c>
      <c r="C10707" s="13" t="s">
        <v>4211</v>
      </c>
      <c r="D10707" s="13" t="s">
        <v>12922</v>
      </c>
      <c r="E10707" s="8">
        <v>6135.53</v>
      </c>
      <c r="F10707" s="13" t="s">
        <v>70</v>
      </c>
      <c r="G10707" s="14">
        <v>44873</v>
      </c>
      <c r="H10707" s="13" t="s">
        <v>35</v>
      </c>
    </row>
    <row r="10708" spans="1:8" ht="14.4" x14ac:dyDescent="0.3">
      <c r="A10708" s="8">
        <v>2093162</v>
      </c>
      <c r="B10708" s="11">
        <v>44869</v>
      </c>
      <c r="C10708" s="13" t="s">
        <v>673</v>
      </c>
      <c r="D10708" s="13" t="s">
        <v>12923</v>
      </c>
      <c r="E10708" s="8">
        <v>1666</v>
      </c>
      <c r="F10708" s="13" t="s">
        <v>70</v>
      </c>
      <c r="G10708" s="14">
        <v>44873</v>
      </c>
      <c r="H10708" s="13" t="s">
        <v>35</v>
      </c>
    </row>
    <row r="10709" spans="1:8" ht="14.4" x14ac:dyDescent="0.3">
      <c r="A10709" s="8">
        <v>2093163</v>
      </c>
      <c r="B10709" s="11">
        <v>44869</v>
      </c>
      <c r="C10709" s="13" t="s">
        <v>1596</v>
      </c>
      <c r="D10709" s="13" t="s">
        <v>12924</v>
      </c>
      <c r="E10709" s="8">
        <v>705.6</v>
      </c>
      <c r="F10709" s="13" t="s">
        <v>70</v>
      </c>
      <c r="G10709" s="14">
        <v>44873</v>
      </c>
      <c r="H10709" s="13" t="s">
        <v>35</v>
      </c>
    </row>
    <row r="10710" spans="1:8" ht="14.4" x14ac:dyDescent="0.3">
      <c r="A10710" s="8">
        <v>2093164</v>
      </c>
      <c r="B10710" s="11">
        <v>44869</v>
      </c>
      <c r="C10710" s="13" t="s">
        <v>259</v>
      </c>
      <c r="D10710" s="13" t="s">
        <v>12925</v>
      </c>
      <c r="E10710" s="8">
        <v>7618.74</v>
      </c>
      <c r="F10710" s="13" t="s">
        <v>70</v>
      </c>
      <c r="G10710" s="14">
        <v>44879</v>
      </c>
      <c r="H10710" s="13" t="s">
        <v>35</v>
      </c>
    </row>
    <row r="10711" spans="1:8" ht="14.4" x14ac:dyDescent="0.3">
      <c r="A10711" s="8">
        <v>2093165</v>
      </c>
      <c r="B10711" s="11">
        <v>44869</v>
      </c>
      <c r="C10711" s="13" t="s">
        <v>127</v>
      </c>
      <c r="D10711" s="13" t="s">
        <v>12926</v>
      </c>
      <c r="E10711" s="8">
        <v>5962.5</v>
      </c>
      <c r="F10711" s="13" t="s">
        <v>70</v>
      </c>
      <c r="G10711" s="14">
        <v>44873</v>
      </c>
      <c r="H10711" s="13" t="s">
        <v>35</v>
      </c>
    </row>
    <row r="10712" spans="1:8" ht="14.4" x14ac:dyDescent="0.3">
      <c r="A10712" s="8">
        <v>2093167</v>
      </c>
      <c r="B10712" s="11">
        <v>44869</v>
      </c>
      <c r="C10712" s="13" t="s">
        <v>2583</v>
      </c>
      <c r="D10712" s="13" t="s">
        <v>12927</v>
      </c>
      <c r="E10712" s="8">
        <v>4682.8100000000004</v>
      </c>
      <c r="F10712" s="13" t="s">
        <v>70</v>
      </c>
      <c r="G10712" s="14">
        <v>44876</v>
      </c>
      <c r="H10712" s="13" t="s">
        <v>35</v>
      </c>
    </row>
    <row r="10713" spans="1:8" ht="14.4" x14ac:dyDescent="0.3">
      <c r="A10713" s="8">
        <v>2093169</v>
      </c>
      <c r="B10713" s="11">
        <v>44869</v>
      </c>
      <c r="C10713" s="13" t="s">
        <v>1420</v>
      </c>
      <c r="D10713" s="13" t="s">
        <v>34</v>
      </c>
      <c r="E10713" s="8">
        <v>18624.05</v>
      </c>
      <c r="F10713" s="13" t="s">
        <v>70</v>
      </c>
      <c r="G10713" s="14">
        <v>44873</v>
      </c>
      <c r="H10713" s="13" t="s">
        <v>35</v>
      </c>
    </row>
    <row r="10714" spans="1:8" ht="14.4" x14ac:dyDescent="0.3">
      <c r="A10714" s="8">
        <v>2093171</v>
      </c>
      <c r="B10714" s="11">
        <v>44869</v>
      </c>
      <c r="C10714" s="13" t="s">
        <v>1784</v>
      </c>
      <c r="D10714" s="13" t="s">
        <v>12928</v>
      </c>
      <c r="E10714" s="8">
        <v>40985</v>
      </c>
      <c r="F10714" s="13" t="s">
        <v>70</v>
      </c>
      <c r="G10714" s="14">
        <v>44873</v>
      </c>
      <c r="H10714" s="13" t="s">
        <v>35</v>
      </c>
    </row>
    <row r="10715" spans="1:8" ht="14.4" x14ac:dyDescent="0.3">
      <c r="A10715" s="8">
        <v>2093172</v>
      </c>
      <c r="B10715" s="11">
        <v>44869</v>
      </c>
      <c r="C10715" s="13" t="s">
        <v>1424</v>
      </c>
      <c r="D10715" s="13" t="s">
        <v>12929</v>
      </c>
      <c r="E10715" s="8">
        <v>7192.85</v>
      </c>
      <c r="F10715" s="13" t="s">
        <v>70</v>
      </c>
      <c r="G10715" s="14">
        <v>44874</v>
      </c>
      <c r="H10715" s="13" t="s">
        <v>35</v>
      </c>
    </row>
    <row r="10716" spans="1:8" ht="14.4" x14ac:dyDescent="0.3">
      <c r="A10716" s="8">
        <v>2093173</v>
      </c>
      <c r="B10716" s="11">
        <v>44869</v>
      </c>
      <c r="C10716" s="13" t="s">
        <v>152</v>
      </c>
      <c r="D10716" s="13" t="s">
        <v>12930</v>
      </c>
      <c r="E10716" s="8">
        <v>8050</v>
      </c>
      <c r="F10716" s="13" t="s">
        <v>70</v>
      </c>
      <c r="G10716" s="14">
        <v>44875</v>
      </c>
      <c r="H10716" s="13" t="s">
        <v>35</v>
      </c>
    </row>
    <row r="10717" spans="1:8" ht="14.4" x14ac:dyDescent="0.3">
      <c r="A10717" s="8">
        <v>2093174</v>
      </c>
      <c r="B10717" s="11">
        <v>44869</v>
      </c>
      <c r="C10717" s="13" t="s">
        <v>211</v>
      </c>
      <c r="D10717" s="13" t="s">
        <v>12931</v>
      </c>
      <c r="E10717" s="8">
        <v>45000</v>
      </c>
      <c r="F10717" s="13" t="s">
        <v>70</v>
      </c>
      <c r="G10717" s="14">
        <v>44873</v>
      </c>
      <c r="H10717" s="13" t="s">
        <v>35</v>
      </c>
    </row>
    <row r="10718" spans="1:8" ht="14.4" x14ac:dyDescent="0.3">
      <c r="A10718" s="8">
        <v>2093177</v>
      </c>
      <c r="B10718" s="11">
        <v>44869</v>
      </c>
      <c r="C10718" s="13" t="s">
        <v>211</v>
      </c>
      <c r="D10718" s="13" t="s">
        <v>12932</v>
      </c>
      <c r="E10718" s="8">
        <v>21600</v>
      </c>
      <c r="F10718" s="13" t="s">
        <v>70</v>
      </c>
      <c r="G10718" s="14">
        <v>44873</v>
      </c>
      <c r="H10718" s="13" t="s">
        <v>35</v>
      </c>
    </row>
    <row r="10719" spans="1:8" ht="14.4" x14ac:dyDescent="0.3">
      <c r="A10719" s="8">
        <v>2093178</v>
      </c>
      <c r="B10719" s="11">
        <v>44869</v>
      </c>
      <c r="C10719" s="13" t="s">
        <v>12933</v>
      </c>
      <c r="D10719" s="13" t="s">
        <v>12934</v>
      </c>
      <c r="E10719" s="8">
        <v>13000</v>
      </c>
      <c r="F10719" s="13" t="s">
        <v>70</v>
      </c>
      <c r="G10719" s="14">
        <v>44873</v>
      </c>
      <c r="H10719" s="13" t="s">
        <v>35</v>
      </c>
    </row>
    <row r="10720" spans="1:8" ht="14.4" x14ac:dyDescent="0.3">
      <c r="A10720" s="8">
        <v>2093179</v>
      </c>
      <c r="B10720" s="11">
        <v>44869</v>
      </c>
      <c r="C10720" s="13" t="s">
        <v>12935</v>
      </c>
      <c r="D10720" s="13" t="s">
        <v>12936</v>
      </c>
      <c r="E10720" s="8">
        <v>50000</v>
      </c>
      <c r="F10720" s="13" t="s">
        <v>70</v>
      </c>
      <c r="G10720" s="14">
        <v>44873</v>
      </c>
      <c r="H10720" s="13" t="s">
        <v>35</v>
      </c>
    </row>
    <row r="10721" spans="1:8" ht="14.4" x14ac:dyDescent="0.3">
      <c r="A10721" s="8">
        <v>2093180</v>
      </c>
      <c r="B10721" s="11">
        <v>44869</v>
      </c>
      <c r="C10721" s="13" t="s">
        <v>12937</v>
      </c>
      <c r="D10721" s="13" t="s">
        <v>12938</v>
      </c>
      <c r="E10721" s="8">
        <v>15000</v>
      </c>
      <c r="F10721" s="13" t="s">
        <v>70</v>
      </c>
      <c r="G10721" s="14">
        <v>44873</v>
      </c>
      <c r="H10721" s="13" t="s">
        <v>35</v>
      </c>
    </row>
    <row r="10722" spans="1:8" ht="14.4" x14ac:dyDescent="0.3">
      <c r="A10722" s="8">
        <v>2093181</v>
      </c>
      <c r="B10722" s="11">
        <v>44869</v>
      </c>
      <c r="C10722" s="13" t="s">
        <v>12939</v>
      </c>
      <c r="D10722" s="13" t="s">
        <v>12940</v>
      </c>
      <c r="E10722" s="8">
        <v>16000</v>
      </c>
      <c r="F10722" s="13" t="s">
        <v>70</v>
      </c>
      <c r="G10722" s="14">
        <v>44873</v>
      </c>
      <c r="H10722" s="13" t="s">
        <v>35</v>
      </c>
    </row>
    <row r="10723" spans="1:8" ht="14.4" x14ac:dyDescent="0.3">
      <c r="A10723" s="8">
        <v>2093182</v>
      </c>
      <c r="B10723" s="11">
        <v>44869</v>
      </c>
      <c r="C10723" s="13" t="s">
        <v>12941</v>
      </c>
      <c r="D10723" s="13" t="s">
        <v>12942</v>
      </c>
      <c r="E10723" s="8">
        <v>10000</v>
      </c>
      <c r="F10723" s="13" t="s">
        <v>70</v>
      </c>
      <c r="G10723" s="14">
        <v>44873</v>
      </c>
      <c r="H10723" s="13" t="s">
        <v>35</v>
      </c>
    </row>
    <row r="10724" spans="1:8" ht="14.4" x14ac:dyDescent="0.3">
      <c r="A10724" s="8">
        <v>2093183</v>
      </c>
      <c r="B10724" s="11">
        <v>44869</v>
      </c>
      <c r="C10724" s="13" t="s">
        <v>12943</v>
      </c>
      <c r="D10724" s="13" t="s">
        <v>12944</v>
      </c>
      <c r="E10724" s="8">
        <v>12000</v>
      </c>
      <c r="F10724" s="13" t="s">
        <v>70</v>
      </c>
      <c r="G10724" s="14">
        <v>44873</v>
      </c>
      <c r="H10724" s="13" t="s">
        <v>35</v>
      </c>
    </row>
    <row r="10725" spans="1:8" ht="14.4" x14ac:dyDescent="0.3">
      <c r="A10725" s="8">
        <v>2093184</v>
      </c>
      <c r="B10725" s="11">
        <v>44869</v>
      </c>
      <c r="C10725" s="13" t="s">
        <v>12945</v>
      </c>
      <c r="D10725" s="13" t="s">
        <v>147</v>
      </c>
      <c r="E10725" s="8">
        <v>25000</v>
      </c>
      <c r="F10725" s="13" t="s">
        <v>70</v>
      </c>
      <c r="G10725" s="14">
        <v>44874</v>
      </c>
      <c r="H10725" s="13" t="s">
        <v>35</v>
      </c>
    </row>
    <row r="10726" spans="1:8" ht="14.4" x14ac:dyDescent="0.3">
      <c r="A10726" s="8">
        <v>2093185</v>
      </c>
      <c r="B10726" s="11">
        <v>44869</v>
      </c>
      <c r="C10726" s="13" t="s">
        <v>12946</v>
      </c>
      <c r="D10726" s="13" t="s">
        <v>12947</v>
      </c>
      <c r="E10726" s="8">
        <v>22000</v>
      </c>
      <c r="F10726" s="13" t="s">
        <v>70</v>
      </c>
      <c r="G10726" s="14">
        <v>44873</v>
      </c>
      <c r="H10726" s="13" t="s">
        <v>35</v>
      </c>
    </row>
    <row r="10727" spans="1:8" ht="14.4" x14ac:dyDescent="0.3">
      <c r="A10727" s="8">
        <v>2093186</v>
      </c>
      <c r="B10727" s="11">
        <v>44869</v>
      </c>
      <c r="C10727" s="13" t="s">
        <v>12948</v>
      </c>
      <c r="D10727" s="13" t="s">
        <v>12949</v>
      </c>
      <c r="E10727" s="8">
        <v>12600</v>
      </c>
      <c r="F10727" s="13" t="s">
        <v>70</v>
      </c>
      <c r="G10727" s="14">
        <v>44873</v>
      </c>
      <c r="H10727" s="13" t="s">
        <v>35</v>
      </c>
    </row>
    <row r="10728" spans="1:8" ht="14.4" x14ac:dyDescent="0.3">
      <c r="A10728" s="8">
        <v>2093187</v>
      </c>
      <c r="B10728" s="11">
        <v>44869</v>
      </c>
      <c r="C10728" s="13" t="s">
        <v>363</v>
      </c>
      <c r="D10728" s="13" t="s">
        <v>12950</v>
      </c>
      <c r="E10728" s="8">
        <v>34983.75</v>
      </c>
      <c r="F10728" s="13" t="s">
        <v>70</v>
      </c>
      <c r="G10728" s="14">
        <v>44873</v>
      </c>
      <c r="H10728" s="13" t="s">
        <v>35</v>
      </c>
    </row>
    <row r="10729" spans="1:8" ht="14.4" x14ac:dyDescent="0.3">
      <c r="A10729" s="8">
        <v>2093188</v>
      </c>
      <c r="B10729" s="11">
        <v>44869</v>
      </c>
      <c r="C10729" s="13" t="s">
        <v>395</v>
      </c>
      <c r="D10729" s="13" t="s">
        <v>12951</v>
      </c>
      <c r="E10729" s="8">
        <v>45037.5</v>
      </c>
      <c r="F10729" s="13" t="s">
        <v>70</v>
      </c>
      <c r="G10729" s="14">
        <v>44875</v>
      </c>
      <c r="H10729" s="13" t="s">
        <v>35</v>
      </c>
    </row>
    <row r="10730" spans="1:8" ht="14.4" x14ac:dyDescent="0.3">
      <c r="A10730" s="8">
        <v>2093189</v>
      </c>
      <c r="B10730" s="11">
        <v>44869</v>
      </c>
      <c r="C10730" s="13" t="s">
        <v>492</v>
      </c>
      <c r="D10730" s="13" t="s">
        <v>12952</v>
      </c>
      <c r="E10730" s="8">
        <v>32075.55</v>
      </c>
      <c r="F10730" s="13" t="s">
        <v>70</v>
      </c>
      <c r="G10730" s="14">
        <v>44873</v>
      </c>
      <c r="H10730" s="13" t="s">
        <v>35</v>
      </c>
    </row>
    <row r="10731" spans="1:8" ht="14.4" x14ac:dyDescent="0.3">
      <c r="A10731" s="8">
        <v>2093190</v>
      </c>
      <c r="B10731" s="11">
        <v>44869</v>
      </c>
      <c r="C10731" s="13" t="s">
        <v>42</v>
      </c>
      <c r="D10731" s="13" t="s">
        <v>12953</v>
      </c>
      <c r="E10731" s="8">
        <v>255261.29</v>
      </c>
      <c r="F10731" s="13" t="s">
        <v>70</v>
      </c>
      <c r="G10731" s="14">
        <v>44873</v>
      </c>
      <c r="H10731" s="13" t="s">
        <v>35</v>
      </c>
    </row>
    <row r="10732" spans="1:8" ht="14.4" x14ac:dyDescent="0.3">
      <c r="A10732" s="8">
        <v>2093191</v>
      </c>
      <c r="B10732" s="11">
        <v>44869</v>
      </c>
      <c r="C10732" s="13" t="s">
        <v>180</v>
      </c>
      <c r="D10732" s="13" t="s">
        <v>12954</v>
      </c>
      <c r="E10732" s="8">
        <v>55397.84</v>
      </c>
      <c r="F10732" s="13" t="s">
        <v>70</v>
      </c>
      <c r="G10732" s="14">
        <v>44872</v>
      </c>
      <c r="H10732" s="13" t="s">
        <v>35</v>
      </c>
    </row>
    <row r="10733" spans="1:8" ht="14.4" x14ac:dyDescent="0.3">
      <c r="A10733" s="8">
        <v>2093192</v>
      </c>
      <c r="B10733" s="11">
        <v>44869</v>
      </c>
      <c r="C10733" s="13" t="s">
        <v>3838</v>
      </c>
      <c r="D10733" s="13" t="s">
        <v>12955</v>
      </c>
      <c r="E10733" s="8">
        <v>6355</v>
      </c>
      <c r="F10733" s="13" t="s">
        <v>70</v>
      </c>
      <c r="G10733" s="14">
        <v>44874</v>
      </c>
      <c r="H10733" s="13" t="s">
        <v>35</v>
      </c>
    </row>
    <row r="10734" spans="1:8" ht="14.4" x14ac:dyDescent="0.3">
      <c r="A10734" s="8">
        <v>2093195</v>
      </c>
      <c r="B10734" s="11">
        <v>44869</v>
      </c>
      <c r="C10734" s="13" t="s">
        <v>1784</v>
      </c>
      <c r="D10734" s="13" t="s">
        <v>12956</v>
      </c>
      <c r="E10734" s="8">
        <v>6000</v>
      </c>
      <c r="F10734" s="13" t="s">
        <v>70</v>
      </c>
      <c r="G10734" s="14">
        <v>44873</v>
      </c>
      <c r="H10734" s="13" t="s">
        <v>35</v>
      </c>
    </row>
    <row r="10735" spans="1:8" ht="14.4" x14ac:dyDescent="0.3">
      <c r="A10735" s="8">
        <v>2093196</v>
      </c>
      <c r="B10735" s="11">
        <v>44869</v>
      </c>
      <c r="C10735" s="13" t="s">
        <v>201</v>
      </c>
      <c r="D10735" s="13" t="s">
        <v>12957</v>
      </c>
      <c r="E10735" s="8">
        <v>2724359.42</v>
      </c>
      <c r="F10735" s="13" t="s">
        <v>70</v>
      </c>
      <c r="G10735" s="14">
        <v>44873</v>
      </c>
      <c r="H10735" s="13" t="s">
        <v>35</v>
      </c>
    </row>
    <row r="10736" spans="1:8" ht="14.4" x14ac:dyDescent="0.3">
      <c r="A10736" s="8">
        <v>2093197</v>
      </c>
      <c r="B10736" s="11">
        <v>44869</v>
      </c>
      <c r="C10736" s="13" t="s">
        <v>405</v>
      </c>
      <c r="D10736" s="13" t="s">
        <v>12958</v>
      </c>
      <c r="E10736" s="8">
        <v>92104.47</v>
      </c>
      <c r="F10736" s="13" t="s">
        <v>70</v>
      </c>
      <c r="G10736" s="14">
        <v>44879</v>
      </c>
      <c r="H10736" s="13" t="s">
        <v>35</v>
      </c>
    </row>
    <row r="10737" spans="1:8" ht="14.4" x14ac:dyDescent="0.3">
      <c r="A10737" s="8">
        <v>2093198</v>
      </c>
      <c r="B10737" s="11">
        <v>44869</v>
      </c>
      <c r="C10737" s="13" t="s">
        <v>12959</v>
      </c>
      <c r="D10737" s="13" t="s">
        <v>4190</v>
      </c>
      <c r="E10737" s="8">
        <v>49735</v>
      </c>
      <c r="F10737" s="13" t="s">
        <v>70</v>
      </c>
      <c r="G10737" s="14">
        <v>44876</v>
      </c>
      <c r="H10737" s="13" t="s">
        <v>35</v>
      </c>
    </row>
    <row r="10738" spans="1:8" ht="14.4" x14ac:dyDescent="0.3">
      <c r="A10738" s="8">
        <v>2093199</v>
      </c>
      <c r="B10738" s="11">
        <v>44869</v>
      </c>
      <c r="C10738" s="13" t="s">
        <v>4947</v>
      </c>
      <c r="D10738" s="13" t="s">
        <v>12960</v>
      </c>
      <c r="E10738" s="8">
        <v>46375</v>
      </c>
      <c r="F10738" s="13" t="s">
        <v>70</v>
      </c>
      <c r="G10738" s="14">
        <v>44879</v>
      </c>
      <c r="H10738" s="13" t="s">
        <v>35</v>
      </c>
    </row>
    <row r="10739" spans="1:8" ht="14.4" x14ac:dyDescent="0.3">
      <c r="A10739" s="8">
        <v>2093200</v>
      </c>
      <c r="B10739" s="11">
        <v>44869</v>
      </c>
      <c r="C10739" s="13" t="s">
        <v>2262</v>
      </c>
      <c r="D10739" s="13" t="s">
        <v>12961</v>
      </c>
      <c r="E10739" s="8">
        <v>45135.72</v>
      </c>
      <c r="F10739" s="13" t="s">
        <v>70</v>
      </c>
      <c r="G10739" s="14">
        <v>44873</v>
      </c>
      <c r="H10739" s="13" t="s">
        <v>35</v>
      </c>
    </row>
    <row r="10740" spans="1:8" ht="14.4" x14ac:dyDescent="0.3">
      <c r="A10740" s="8">
        <v>2093202</v>
      </c>
      <c r="B10740" s="11">
        <v>44869</v>
      </c>
      <c r="C10740" s="13" t="s">
        <v>405</v>
      </c>
      <c r="D10740" s="13" t="s">
        <v>12962</v>
      </c>
      <c r="E10740" s="8">
        <v>34132.51</v>
      </c>
      <c r="F10740" s="13" t="s">
        <v>70</v>
      </c>
      <c r="G10740" s="14">
        <v>44879</v>
      </c>
      <c r="H10740" s="13" t="s">
        <v>35</v>
      </c>
    </row>
    <row r="10741" spans="1:8" ht="14.4" x14ac:dyDescent="0.3">
      <c r="A10741" s="8">
        <v>2093203</v>
      </c>
      <c r="B10741" s="11">
        <v>44869</v>
      </c>
      <c r="C10741" s="13" t="s">
        <v>1596</v>
      </c>
      <c r="D10741" s="13" t="s">
        <v>12963</v>
      </c>
      <c r="E10741" s="8">
        <v>1411.2</v>
      </c>
      <c r="F10741" s="13" t="s">
        <v>70</v>
      </c>
      <c r="G10741" s="14">
        <v>44873</v>
      </c>
      <c r="H10741" s="13" t="s">
        <v>35</v>
      </c>
    </row>
    <row r="10742" spans="1:8" ht="14.4" x14ac:dyDescent="0.3">
      <c r="A10742" s="8">
        <v>2093204</v>
      </c>
      <c r="B10742" s="11">
        <v>44869</v>
      </c>
      <c r="C10742" s="13" t="s">
        <v>3113</v>
      </c>
      <c r="D10742" s="13" t="s">
        <v>12964</v>
      </c>
      <c r="E10742" s="8">
        <v>50000000</v>
      </c>
      <c r="F10742" s="13" t="s">
        <v>70</v>
      </c>
      <c r="G10742" s="14">
        <v>44872</v>
      </c>
      <c r="H10742" s="13" t="s">
        <v>35</v>
      </c>
    </row>
    <row r="10743" spans="1:8" ht="14.4" x14ac:dyDescent="0.3">
      <c r="A10743" s="8">
        <v>2093205</v>
      </c>
      <c r="B10743" s="11">
        <v>44869</v>
      </c>
      <c r="C10743" s="13" t="s">
        <v>893</v>
      </c>
      <c r="D10743" s="13" t="s">
        <v>177</v>
      </c>
      <c r="E10743" s="8">
        <v>200000</v>
      </c>
      <c r="F10743" s="13" t="s">
        <v>70</v>
      </c>
      <c r="G10743" s="14">
        <v>44874</v>
      </c>
      <c r="H10743" s="13" t="s">
        <v>35</v>
      </c>
    </row>
    <row r="10744" spans="1:8" ht="14.4" x14ac:dyDescent="0.3">
      <c r="A10744" s="8">
        <v>2093206</v>
      </c>
      <c r="B10744" s="11">
        <v>44869</v>
      </c>
      <c r="C10744" s="13" t="s">
        <v>3210</v>
      </c>
      <c r="D10744" s="13" t="s">
        <v>12965</v>
      </c>
      <c r="E10744" s="8">
        <v>19165.18</v>
      </c>
      <c r="F10744" s="13" t="s">
        <v>70</v>
      </c>
      <c r="G10744" s="14">
        <v>44872</v>
      </c>
      <c r="H10744" s="13" t="s">
        <v>35</v>
      </c>
    </row>
    <row r="10745" spans="1:8" ht="14.4" x14ac:dyDescent="0.3">
      <c r="A10745" s="8">
        <v>2093207</v>
      </c>
      <c r="B10745" s="11">
        <v>44869</v>
      </c>
      <c r="C10745" s="13" t="s">
        <v>2512</v>
      </c>
      <c r="D10745" s="13" t="s">
        <v>12966</v>
      </c>
      <c r="E10745" s="8">
        <v>128040</v>
      </c>
      <c r="F10745" s="13" t="s">
        <v>70</v>
      </c>
      <c r="G10745" s="14">
        <v>44873</v>
      </c>
      <c r="H10745" s="13" t="s">
        <v>35</v>
      </c>
    </row>
    <row r="10746" spans="1:8" ht="14.4" x14ac:dyDescent="0.3">
      <c r="A10746" s="8">
        <v>2093208</v>
      </c>
      <c r="B10746" s="11">
        <v>44869</v>
      </c>
      <c r="C10746" s="13" t="s">
        <v>3210</v>
      </c>
      <c r="D10746" s="13" t="s">
        <v>12967</v>
      </c>
      <c r="E10746" s="8">
        <v>11357.15</v>
      </c>
      <c r="F10746" s="13" t="s">
        <v>70</v>
      </c>
      <c r="G10746" s="14">
        <v>44872</v>
      </c>
      <c r="H10746" s="13" t="s">
        <v>35</v>
      </c>
    </row>
    <row r="10747" spans="1:8" ht="14.4" x14ac:dyDescent="0.3">
      <c r="A10747" s="8">
        <v>2093210</v>
      </c>
      <c r="B10747" s="11">
        <v>44869</v>
      </c>
      <c r="C10747" s="13" t="s">
        <v>3210</v>
      </c>
      <c r="D10747" s="13" t="s">
        <v>12968</v>
      </c>
      <c r="E10747" s="8">
        <v>4258.93</v>
      </c>
      <c r="F10747" s="13" t="s">
        <v>70</v>
      </c>
      <c r="G10747" s="14">
        <v>44872</v>
      </c>
      <c r="H10747" s="13" t="s">
        <v>35</v>
      </c>
    </row>
    <row r="10748" spans="1:8" ht="14.4" x14ac:dyDescent="0.3">
      <c r="A10748" s="8">
        <v>2093211</v>
      </c>
      <c r="B10748" s="11">
        <v>44869</v>
      </c>
      <c r="C10748" s="13" t="s">
        <v>1424</v>
      </c>
      <c r="D10748" s="13" t="s">
        <v>12969</v>
      </c>
      <c r="E10748" s="8">
        <v>269732.15000000002</v>
      </c>
      <c r="F10748" s="13" t="s">
        <v>70</v>
      </c>
      <c r="G10748" s="14">
        <v>44874</v>
      </c>
      <c r="H10748" s="13" t="s">
        <v>35</v>
      </c>
    </row>
    <row r="10749" spans="1:8" ht="14.4" x14ac:dyDescent="0.3">
      <c r="A10749" s="8">
        <v>2093212</v>
      </c>
      <c r="B10749" s="11">
        <v>44869</v>
      </c>
      <c r="C10749" s="13" t="s">
        <v>259</v>
      </c>
      <c r="D10749" s="13" t="s">
        <v>12970</v>
      </c>
      <c r="E10749" s="8">
        <v>8872.76</v>
      </c>
      <c r="F10749" s="13" t="s">
        <v>70</v>
      </c>
      <c r="G10749" s="14">
        <v>44879</v>
      </c>
      <c r="H10749" s="13" t="s">
        <v>35</v>
      </c>
    </row>
    <row r="10750" spans="1:8" ht="14.4" x14ac:dyDescent="0.3">
      <c r="A10750" s="8">
        <v>2093213</v>
      </c>
      <c r="B10750" s="11">
        <v>44869</v>
      </c>
      <c r="C10750" s="13" t="s">
        <v>12971</v>
      </c>
      <c r="D10750" s="13" t="s">
        <v>12972</v>
      </c>
      <c r="E10750" s="8">
        <v>9464.2800000000007</v>
      </c>
      <c r="F10750" s="13" t="s">
        <v>70</v>
      </c>
      <c r="G10750" s="14">
        <v>44876</v>
      </c>
      <c r="H10750" s="13" t="s">
        <v>35</v>
      </c>
    </row>
    <row r="10751" spans="1:8" ht="14.4" x14ac:dyDescent="0.3">
      <c r="A10751" s="8">
        <v>2093214</v>
      </c>
      <c r="B10751" s="11">
        <v>44869</v>
      </c>
      <c r="C10751" s="13" t="s">
        <v>1522</v>
      </c>
      <c r="D10751" s="13" t="s">
        <v>12973</v>
      </c>
      <c r="E10751" s="8">
        <v>16072</v>
      </c>
      <c r="F10751" s="13" t="s">
        <v>70</v>
      </c>
      <c r="G10751" s="14">
        <v>44873</v>
      </c>
      <c r="H10751" s="13" t="s">
        <v>35</v>
      </c>
    </row>
    <row r="10752" spans="1:8" ht="14.4" x14ac:dyDescent="0.3">
      <c r="A10752" s="8">
        <v>2093215</v>
      </c>
      <c r="B10752" s="11">
        <v>44869</v>
      </c>
      <c r="C10752" s="13" t="s">
        <v>7485</v>
      </c>
      <c r="D10752" s="13" t="s">
        <v>12974</v>
      </c>
      <c r="E10752" s="8">
        <v>717220.01</v>
      </c>
      <c r="F10752" s="13" t="s">
        <v>70</v>
      </c>
      <c r="G10752" s="14">
        <v>44872</v>
      </c>
      <c r="H10752" s="13" t="s">
        <v>35</v>
      </c>
    </row>
    <row r="10753" spans="1:8" ht="14.4" x14ac:dyDescent="0.3">
      <c r="A10753" s="8">
        <v>2093216</v>
      </c>
      <c r="B10753" s="11">
        <v>44869</v>
      </c>
      <c r="C10753" s="13" t="s">
        <v>2711</v>
      </c>
      <c r="D10753" s="13" t="s">
        <v>12975</v>
      </c>
      <c r="E10753" s="8">
        <v>72837.149999999994</v>
      </c>
      <c r="F10753" s="13" t="s">
        <v>70</v>
      </c>
      <c r="G10753" s="14">
        <v>44873</v>
      </c>
      <c r="H10753" s="13" t="s">
        <v>35</v>
      </c>
    </row>
    <row r="10754" spans="1:8" ht="14.4" x14ac:dyDescent="0.3">
      <c r="A10754" s="8">
        <v>2093217</v>
      </c>
      <c r="B10754" s="11">
        <v>44869</v>
      </c>
      <c r="C10754" s="13" t="s">
        <v>1743</v>
      </c>
      <c r="D10754" s="13" t="s">
        <v>12976</v>
      </c>
      <c r="E10754" s="8">
        <v>38220</v>
      </c>
      <c r="F10754" s="13" t="s">
        <v>70</v>
      </c>
      <c r="G10754" s="14">
        <v>44873</v>
      </c>
      <c r="H10754" s="13" t="s">
        <v>35</v>
      </c>
    </row>
    <row r="10755" spans="1:8" ht="14.4" x14ac:dyDescent="0.3">
      <c r="A10755" s="8">
        <v>2093218</v>
      </c>
      <c r="B10755" s="11">
        <v>44869</v>
      </c>
      <c r="C10755" s="13" t="s">
        <v>12977</v>
      </c>
      <c r="D10755" s="13" t="s">
        <v>12978</v>
      </c>
      <c r="E10755" s="8">
        <v>28379.65</v>
      </c>
      <c r="F10755" s="13" t="s">
        <v>70</v>
      </c>
      <c r="G10755" s="14">
        <v>44876</v>
      </c>
      <c r="H10755" s="13" t="s">
        <v>35</v>
      </c>
    </row>
    <row r="10756" spans="1:8" ht="14.4" x14ac:dyDescent="0.3">
      <c r="A10756" s="8">
        <v>2093219</v>
      </c>
      <c r="B10756" s="11">
        <v>44869</v>
      </c>
      <c r="C10756" s="13" t="s">
        <v>180</v>
      </c>
      <c r="D10756" s="13" t="s">
        <v>901</v>
      </c>
      <c r="E10756" s="8">
        <v>44102.7</v>
      </c>
      <c r="F10756" s="13" t="s">
        <v>70</v>
      </c>
      <c r="G10756" s="14">
        <v>44873</v>
      </c>
      <c r="H10756" s="13" t="s">
        <v>35</v>
      </c>
    </row>
    <row r="10757" spans="1:8" ht="14.4" x14ac:dyDescent="0.3">
      <c r="A10757" s="8">
        <v>2093220</v>
      </c>
      <c r="B10757" s="11">
        <v>44869</v>
      </c>
      <c r="C10757" s="13" t="s">
        <v>12849</v>
      </c>
      <c r="D10757" s="13" t="s">
        <v>12413</v>
      </c>
      <c r="E10757" s="8">
        <v>213368.41</v>
      </c>
      <c r="F10757" s="13" t="s">
        <v>70</v>
      </c>
      <c r="G10757" s="14">
        <v>44875</v>
      </c>
      <c r="H10757" s="13" t="s">
        <v>35</v>
      </c>
    </row>
    <row r="10758" spans="1:8" ht="14.4" x14ac:dyDescent="0.3">
      <c r="A10758" s="8">
        <v>2093221</v>
      </c>
      <c r="B10758" s="11">
        <v>44869</v>
      </c>
      <c r="C10758" s="13" t="s">
        <v>12979</v>
      </c>
      <c r="D10758" s="13" t="s">
        <v>10625</v>
      </c>
      <c r="E10758" s="8">
        <v>11000</v>
      </c>
      <c r="F10758" s="13" t="s">
        <v>70</v>
      </c>
      <c r="G10758" s="14">
        <v>44875</v>
      </c>
      <c r="H10758" s="13" t="s">
        <v>35</v>
      </c>
    </row>
    <row r="10759" spans="1:8" ht="14.4" x14ac:dyDescent="0.3">
      <c r="A10759" s="8">
        <v>2093222</v>
      </c>
      <c r="B10759" s="11">
        <v>44869</v>
      </c>
      <c r="C10759" s="13" t="s">
        <v>12980</v>
      </c>
      <c r="D10759" s="13" t="s">
        <v>10664</v>
      </c>
      <c r="E10759" s="8">
        <v>12500</v>
      </c>
      <c r="F10759" s="13" t="s">
        <v>70</v>
      </c>
      <c r="G10759" s="14">
        <v>44876</v>
      </c>
      <c r="H10759" s="13" t="s">
        <v>35</v>
      </c>
    </row>
    <row r="10760" spans="1:8" ht="14.4" x14ac:dyDescent="0.3">
      <c r="A10760" s="8">
        <v>2093223</v>
      </c>
      <c r="B10760" s="11">
        <v>44869</v>
      </c>
      <c r="C10760" s="13" t="s">
        <v>12981</v>
      </c>
      <c r="D10760" s="13" t="s">
        <v>10625</v>
      </c>
      <c r="E10760" s="8">
        <v>11000</v>
      </c>
      <c r="F10760" s="13" t="s">
        <v>70</v>
      </c>
      <c r="G10760" s="14">
        <v>44875</v>
      </c>
      <c r="H10760" s="13" t="s">
        <v>35</v>
      </c>
    </row>
    <row r="10761" spans="1:8" ht="14.4" x14ac:dyDescent="0.3">
      <c r="A10761" s="8">
        <v>2093224</v>
      </c>
      <c r="B10761" s="11">
        <v>44869</v>
      </c>
      <c r="C10761" s="13" t="s">
        <v>8652</v>
      </c>
      <c r="D10761" s="13" t="s">
        <v>12982</v>
      </c>
      <c r="E10761" s="8">
        <v>200000</v>
      </c>
      <c r="F10761" s="13" t="s">
        <v>70</v>
      </c>
      <c r="G10761" s="14">
        <v>44873</v>
      </c>
      <c r="H10761" s="13" t="s">
        <v>35</v>
      </c>
    </row>
    <row r="10762" spans="1:8" ht="14.4" x14ac:dyDescent="0.3">
      <c r="A10762" s="8">
        <v>2093226</v>
      </c>
      <c r="B10762" s="11">
        <v>44869</v>
      </c>
      <c r="C10762" s="13" t="s">
        <v>12983</v>
      </c>
      <c r="D10762" s="13" t="s">
        <v>63</v>
      </c>
      <c r="E10762" s="8">
        <v>11000</v>
      </c>
      <c r="F10762" s="13" t="s">
        <v>70</v>
      </c>
      <c r="G10762" s="14">
        <v>44876</v>
      </c>
      <c r="H10762" s="13" t="s">
        <v>35</v>
      </c>
    </row>
    <row r="10763" spans="1:8" ht="14.4" x14ac:dyDescent="0.3">
      <c r="A10763" s="8">
        <v>2093228</v>
      </c>
      <c r="B10763" s="11">
        <v>44869</v>
      </c>
      <c r="C10763" s="13" t="s">
        <v>265</v>
      </c>
      <c r="D10763" s="13" t="s">
        <v>12984</v>
      </c>
      <c r="E10763" s="8">
        <v>88330.5</v>
      </c>
      <c r="F10763" s="13" t="s">
        <v>70</v>
      </c>
      <c r="G10763" s="14">
        <v>44873</v>
      </c>
      <c r="H10763" s="13" t="s">
        <v>35</v>
      </c>
    </row>
    <row r="10764" spans="1:8" ht="14.4" x14ac:dyDescent="0.3">
      <c r="A10764" s="8">
        <v>2093229</v>
      </c>
      <c r="B10764" s="11">
        <v>44869</v>
      </c>
      <c r="C10764" s="13" t="s">
        <v>2906</v>
      </c>
      <c r="D10764" s="13" t="s">
        <v>12985</v>
      </c>
      <c r="E10764" s="8">
        <v>93000</v>
      </c>
      <c r="F10764" s="13" t="s">
        <v>70</v>
      </c>
      <c r="G10764" s="14">
        <v>44874</v>
      </c>
      <c r="H10764" s="13" t="s">
        <v>35</v>
      </c>
    </row>
    <row r="10765" spans="1:8" ht="14.4" x14ac:dyDescent="0.3">
      <c r="A10765" s="8">
        <v>2093230</v>
      </c>
      <c r="B10765" s="11">
        <v>44869</v>
      </c>
      <c r="C10765" s="13" t="s">
        <v>12986</v>
      </c>
      <c r="D10765" s="13" t="s">
        <v>12987</v>
      </c>
      <c r="E10765" s="8">
        <v>9000</v>
      </c>
      <c r="F10765" s="13" t="s">
        <v>70</v>
      </c>
      <c r="G10765" s="14">
        <v>44874</v>
      </c>
      <c r="H10765" s="13" t="s">
        <v>35</v>
      </c>
    </row>
    <row r="10766" spans="1:8" ht="14.4" x14ac:dyDescent="0.3">
      <c r="A10766" s="8">
        <v>2093231</v>
      </c>
      <c r="B10766" s="11">
        <v>44869</v>
      </c>
      <c r="C10766" s="13" t="s">
        <v>12988</v>
      </c>
      <c r="D10766" s="13" t="s">
        <v>11518</v>
      </c>
      <c r="E10766" s="8">
        <v>60</v>
      </c>
      <c r="F10766" s="13" t="s">
        <v>70</v>
      </c>
      <c r="G10766" s="14">
        <v>44873</v>
      </c>
      <c r="H10766" s="13" t="s">
        <v>35</v>
      </c>
    </row>
    <row r="10767" spans="1:8" ht="14.4" x14ac:dyDescent="0.3">
      <c r="A10767" s="8">
        <v>2093233</v>
      </c>
      <c r="B10767" s="11">
        <v>44869</v>
      </c>
      <c r="C10767" s="13" t="s">
        <v>12988</v>
      </c>
      <c r="D10767" s="13" t="s">
        <v>12989</v>
      </c>
      <c r="E10767" s="8">
        <v>200</v>
      </c>
      <c r="F10767" s="13" t="s">
        <v>70</v>
      </c>
      <c r="G10767" s="14">
        <v>44873</v>
      </c>
      <c r="H10767" s="13" t="s">
        <v>35</v>
      </c>
    </row>
    <row r="10768" spans="1:8" ht="14.4" x14ac:dyDescent="0.3">
      <c r="A10768" s="8">
        <v>2093234</v>
      </c>
      <c r="B10768" s="11">
        <v>44869</v>
      </c>
      <c r="C10768" s="13" t="s">
        <v>12988</v>
      </c>
      <c r="D10768" s="13" t="s">
        <v>12990</v>
      </c>
      <c r="E10768" s="8">
        <v>772.64</v>
      </c>
      <c r="F10768" s="13" t="s">
        <v>70</v>
      </c>
      <c r="G10768" s="14">
        <v>44873</v>
      </c>
      <c r="H10768" s="13" t="s">
        <v>35</v>
      </c>
    </row>
    <row r="10769" spans="1:8" ht="14.4" x14ac:dyDescent="0.3">
      <c r="A10769" s="8">
        <v>2093235</v>
      </c>
      <c r="B10769" s="11">
        <v>44869</v>
      </c>
      <c r="C10769" s="13" t="s">
        <v>44</v>
      </c>
      <c r="D10769" s="13" t="s">
        <v>12991</v>
      </c>
      <c r="E10769" s="8">
        <v>5787.76</v>
      </c>
      <c r="F10769" s="13" t="s">
        <v>70</v>
      </c>
      <c r="G10769" s="14">
        <v>44872</v>
      </c>
      <c r="H10769" s="13" t="s">
        <v>35</v>
      </c>
    </row>
    <row r="10770" spans="1:8" ht="14.4" x14ac:dyDescent="0.3">
      <c r="A10770" s="8">
        <v>2093236</v>
      </c>
      <c r="B10770" s="11">
        <v>44869</v>
      </c>
      <c r="C10770" s="13" t="s">
        <v>1784</v>
      </c>
      <c r="D10770" s="13" t="s">
        <v>12992</v>
      </c>
      <c r="E10770" s="8">
        <v>3000</v>
      </c>
      <c r="F10770" s="13" t="s">
        <v>70</v>
      </c>
      <c r="G10770" s="14">
        <v>44873</v>
      </c>
      <c r="H10770" s="13" t="s">
        <v>35</v>
      </c>
    </row>
    <row r="10771" spans="1:8" ht="14.4" x14ac:dyDescent="0.3">
      <c r="A10771" s="8">
        <v>2093237</v>
      </c>
      <c r="B10771" s="11">
        <v>44869</v>
      </c>
      <c r="C10771" s="13" t="s">
        <v>1596</v>
      </c>
      <c r="D10771" s="13" t="s">
        <v>12993</v>
      </c>
      <c r="E10771" s="8">
        <v>35088.9</v>
      </c>
      <c r="F10771" s="13" t="s">
        <v>70</v>
      </c>
      <c r="G10771" s="14">
        <v>44873</v>
      </c>
      <c r="H10771" s="13" t="s">
        <v>35</v>
      </c>
    </row>
    <row r="10772" spans="1:8" ht="14.4" x14ac:dyDescent="0.3">
      <c r="A10772" s="8">
        <v>2093238</v>
      </c>
      <c r="B10772" s="11">
        <v>44869</v>
      </c>
      <c r="C10772" s="13" t="s">
        <v>255</v>
      </c>
      <c r="D10772" s="13" t="s">
        <v>12994</v>
      </c>
      <c r="E10772" s="8">
        <v>280029.59999999998</v>
      </c>
      <c r="F10772" s="13" t="s">
        <v>70</v>
      </c>
      <c r="G10772" s="14">
        <v>44874</v>
      </c>
      <c r="H10772" s="13" t="s">
        <v>35</v>
      </c>
    </row>
    <row r="10773" spans="1:8" ht="14.4" x14ac:dyDescent="0.3">
      <c r="A10773" s="8">
        <v>2093240</v>
      </c>
      <c r="B10773" s="11">
        <v>44869</v>
      </c>
      <c r="C10773" s="13" t="s">
        <v>3210</v>
      </c>
      <c r="D10773" s="13" t="s">
        <v>12995</v>
      </c>
      <c r="E10773" s="8">
        <v>19875</v>
      </c>
      <c r="F10773" s="13" t="s">
        <v>70</v>
      </c>
      <c r="G10773" s="14">
        <v>44872</v>
      </c>
      <c r="H10773" s="13" t="s">
        <v>35</v>
      </c>
    </row>
    <row r="10774" spans="1:8" ht="14.4" x14ac:dyDescent="0.3">
      <c r="A10774" s="8">
        <v>2093241</v>
      </c>
      <c r="B10774" s="11">
        <v>44869</v>
      </c>
      <c r="C10774" s="13" t="s">
        <v>2711</v>
      </c>
      <c r="D10774" s="13" t="s">
        <v>10720</v>
      </c>
      <c r="E10774" s="8">
        <v>6625</v>
      </c>
      <c r="F10774" s="13" t="s">
        <v>70</v>
      </c>
      <c r="G10774" s="14">
        <v>44873</v>
      </c>
      <c r="H10774" s="13" t="s">
        <v>35</v>
      </c>
    </row>
    <row r="10775" spans="1:8" ht="14.4" x14ac:dyDescent="0.3">
      <c r="A10775" s="8">
        <v>2093245</v>
      </c>
      <c r="B10775" s="11">
        <v>44869</v>
      </c>
      <c r="C10775" s="13" t="s">
        <v>405</v>
      </c>
      <c r="D10775" s="13" t="s">
        <v>12996</v>
      </c>
      <c r="E10775" s="8">
        <v>12601.97</v>
      </c>
      <c r="F10775" s="13" t="s">
        <v>70</v>
      </c>
      <c r="G10775" s="14">
        <v>44879</v>
      </c>
      <c r="H10775" s="13" t="s">
        <v>35</v>
      </c>
    </row>
    <row r="10776" spans="1:8" ht="14.4" x14ac:dyDescent="0.3">
      <c r="A10776" s="8">
        <v>2093246</v>
      </c>
      <c r="B10776" s="11">
        <v>44869</v>
      </c>
      <c r="C10776" s="13" t="s">
        <v>7485</v>
      </c>
      <c r="D10776" s="13" t="s">
        <v>9971</v>
      </c>
      <c r="E10776" s="8">
        <v>870152.84</v>
      </c>
      <c r="F10776" s="13" t="s">
        <v>70</v>
      </c>
      <c r="G10776" s="14">
        <v>44873</v>
      </c>
      <c r="H10776" s="13" t="s">
        <v>35</v>
      </c>
    </row>
    <row r="10777" spans="1:8" ht="14.4" x14ac:dyDescent="0.3">
      <c r="A10777" s="8">
        <v>2093247</v>
      </c>
      <c r="B10777" s="11">
        <v>44869</v>
      </c>
      <c r="C10777" s="13" t="s">
        <v>127</v>
      </c>
      <c r="D10777" s="13" t="s">
        <v>12997</v>
      </c>
      <c r="E10777" s="8">
        <v>4542.8500000000004</v>
      </c>
      <c r="F10777" s="13" t="s">
        <v>70</v>
      </c>
      <c r="G10777" s="14">
        <v>44873</v>
      </c>
      <c r="H10777" s="13" t="s">
        <v>35</v>
      </c>
    </row>
    <row r="10778" spans="1:8" ht="14.4" x14ac:dyDescent="0.3">
      <c r="A10778" s="8">
        <v>2093250</v>
      </c>
      <c r="B10778" s="11">
        <v>44869</v>
      </c>
      <c r="C10778" s="13" t="s">
        <v>3210</v>
      </c>
      <c r="D10778" s="13" t="s">
        <v>12998</v>
      </c>
      <c r="E10778" s="8">
        <v>19875</v>
      </c>
      <c r="F10778" s="13" t="s">
        <v>70</v>
      </c>
      <c r="G10778" s="14">
        <v>44873</v>
      </c>
      <c r="H10778" s="13" t="s">
        <v>35</v>
      </c>
    </row>
    <row r="10779" spans="1:8" ht="14.4" x14ac:dyDescent="0.3">
      <c r="A10779" s="8">
        <v>2093252</v>
      </c>
      <c r="B10779" s="11">
        <v>44869</v>
      </c>
      <c r="C10779" s="13" t="s">
        <v>25</v>
      </c>
      <c r="D10779" s="13" t="s">
        <v>12999</v>
      </c>
      <c r="E10779" s="8">
        <v>6576</v>
      </c>
      <c r="F10779" s="13" t="s">
        <v>70</v>
      </c>
      <c r="G10779" s="14">
        <v>44873</v>
      </c>
      <c r="H10779" s="13" t="s">
        <v>35</v>
      </c>
    </row>
    <row r="10780" spans="1:8" ht="14.4" x14ac:dyDescent="0.3">
      <c r="A10780" s="8">
        <v>2093253</v>
      </c>
      <c r="B10780" s="11">
        <v>44869</v>
      </c>
      <c r="C10780" s="13" t="s">
        <v>405</v>
      </c>
      <c r="D10780" s="13" t="s">
        <v>13000</v>
      </c>
      <c r="E10780" s="8">
        <v>3913.23</v>
      </c>
      <c r="F10780" s="13" t="s">
        <v>70</v>
      </c>
      <c r="G10780" s="14">
        <v>44879</v>
      </c>
      <c r="H10780" s="13" t="s">
        <v>35</v>
      </c>
    </row>
    <row r="10781" spans="1:8" ht="14.4" x14ac:dyDescent="0.3">
      <c r="A10781" s="8">
        <v>2093255</v>
      </c>
      <c r="B10781" s="11">
        <v>44869</v>
      </c>
      <c r="C10781" s="13" t="s">
        <v>1522</v>
      </c>
      <c r="D10781" s="13" t="s">
        <v>13001</v>
      </c>
      <c r="E10781" s="8">
        <v>96980.6</v>
      </c>
      <c r="F10781" s="13" t="s">
        <v>70</v>
      </c>
      <c r="G10781" s="14">
        <v>44873</v>
      </c>
      <c r="H10781" s="13" t="s">
        <v>35</v>
      </c>
    </row>
    <row r="10782" spans="1:8" ht="14.4" x14ac:dyDescent="0.3">
      <c r="A10782" s="8">
        <v>2093256</v>
      </c>
      <c r="B10782" s="11">
        <v>44869</v>
      </c>
      <c r="C10782" s="13" t="s">
        <v>3210</v>
      </c>
      <c r="D10782" s="13" t="s">
        <v>13002</v>
      </c>
      <c r="E10782" s="8">
        <v>22714.28</v>
      </c>
      <c r="F10782" s="13" t="s">
        <v>70</v>
      </c>
      <c r="G10782" s="14">
        <v>44873</v>
      </c>
      <c r="H10782" s="13" t="s">
        <v>35</v>
      </c>
    </row>
    <row r="10783" spans="1:8" ht="14.4" x14ac:dyDescent="0.3">
      <c r="A10783" s="8">
        <v>2093257</v>
      </c>
      <c r="B10783" s="11">
        <v>44869</v>
      </c>
      <c r="C10783" s="13" t="s">
        <v>259</v>
      </c>
      <c r="D10783" s="13" t="s">
        <v>11522</v>
      </c>
      <c r="E10783" s="8">
        <v>8872.76</v>
      </c>
      <c r="F10783" s="13" t="s">
        <v>70</v>
      </c>
      <c r="G10783" s="14">
        <v>44879</v>
      </c>
      <c r="H10783" s="13" t="s">
        <v>35</v>
      </c>
    </row>
    <row r="10784" spans="1:8" ht="14.4" x14ac:dyDescent="0.3">
      <c r="A10784" s="8">
        <v>2093258</v>
      </c>
      <c r="B10784" s="11">
        <v>44869</v>
      </c>
      <c r="C10784" s="13" t="s">
        <v>405</v>
      </c>
      <c r="D10784" s="13" t="s">
        <v>13003</v>
      </c>
      <c r="E10784" s="8">
        <v>43875.45</v>
      </c>
      <c r="F10784" s="13" t="s">
        <v>70</v>
      </c>
      <c r="G10784" s="14">
        <v>44879</v>
      </c>
      <c r="H10784" s="13" t="s">
        <v>35</v>
      </c>
    </row>
    <row r="10785" spans="1:8" ht="14.4" x14ac:dyDescent="0.3">
      <c r="A10785" s="8">
        <v>2093259</v>
      </c>
      <c r="B10785" s="11">
        <v>44869</v>
      </c>
      <c r="C10785" s="13" t="s">
        <v>1946</v>
      </c>
      <c r="D10785" s="13" t="s">
        <v>13004</v>
      </c>
      <c r="E10785" s="8">
        <v>31042.85</v>
      </c>
      <c r="F10785" s="13" t="s">
        <v>70</v>
      </c>
      <c r="G10785" s="14">
        <v>44874</v>
      </c>
      <c r="H10785" s="13" t="s">
        <v>35</v>
      </c>
    </row>
    <row r="10786" spans="1:8" ht="14.4" x14ac:dyDescent="0.3">
      <c r="A10786" s="8">
        <v>2093260</v>
      </c>
      <c r="B10786" s="11">
        <v>44869</v>
      </c>
      <c r="C10786" s="13" t="s">
        <v>3210</v>
      </c>
      <c r="D10786" s="13" t="s">
        <v>13005</v>
      </c>
      <c r="E10786" s="8">
        <v>19875</v>
      </c>
      <c r="F10786" s="13" t="s">
        <v>70</v>
      </c>
      <c r="G10786" s="14">
        <v>44873</v>
      </c>
      <c r="H10786" s="13" t="s">
        <v>35</v>
      </c>
    </row>
    <row r="10787" spans="1:8" ht="14.4" x14ac:dyDescent="0.3">
      <c r="A10787" s="8">
        <v>2093261</v>
      </c>
      <c r="B10787" s="11">
        <v>44869</v>
      </c>
      <c r="C10787" s="13" t="s">
        <v>12988</v>
      </c>
      <c r="D10787" s="13" t="s">
        <v>11519</v>
      </c>
      <c r="E10787" s="8">
        <v>168</v>
      </c>
      <c r="F10787" s="13" t="s">
        <v>70</v>
      </c>
      <c r="G10787" s="14">
        <v>44873</v>
      </c>
      <c r="H10787" s="13" t="s">
        <v>35</v>
      </c>
    </row>
    <row r="10788" spans="1:8" ht="14.4" x14ac:dyDescent="0.3">
      <c r="A10788" s="8">
        <v>2092077</v>
      </c>
      <c r="B10788" s="11">
        <v>44872</v>
      </c>
      <c r="C10788" s="13" t="s">
        <v>13006</v>
      </c>
      <c r="D10788" s="13" t="s">
        <v>13007</v>
      </c>
      <c r="E10788" s="8">
        <v>6053.58</v>
      </c>
      <c r="F10788" s="13" t="s">
        <v>70</v>
      </c>
      <c r="G10788" s="14">
        <v>44872</v>
      </c>
      <c r="H10788" s="13" t="s">
        <v>35</v>
      </c>
    </row>
    <row r="10789" spans="1:8" ht="14.4" x14ac:dyDescent="0.3">
      <c r="A10789" s="8">
        <v>2092078</v>
      </c>
      <c r="B10789" s="11">
        <v>44872</v>
      </c>
      <c r="C10789" s="13" t="s">
        <v>775</v>
      </c>
      <c r="D10789" s="13" t="s">
        <v>13008</v>
      </c>
      <c r="E10789" s="8">
        <v>20300</v>
      </c>
      <c r="F10789" s="13" t="s">
        <v>70</v>
      </c>
      <c r="G10789" s="14">
        <v>44872</v>
      </c>
      <c r="H10789" s="13" t="s">
        <v>35</v>
      </c>
    </row>
    <row r="10790" spans="1:8" ht="14.4" x14ac:dyDescent="0.3">
      <c r="A10790" s="8">
        <v>2093262</v>
      </c>
      <c r="B10790" s="11">
        <v>44872</v>
      </c>
      <c r="C10790" s="13" t="s">
        <v>186</v>
      </c>
      <c r="D10790" s="13" t="s">
        <v>6354</v>
      </c>
      <c r="E10790" s="8">
        <v>251891.33</v>
      </c>
      <c r="F10790" s="13" t="s">
        <v>70</v>
      </c>
      <c r="G10790" s="14">
        <v>44873</v>
      </c>
      <c r="H10790" s="13" t="s">
        <v>35</v>
      </c>
    </row>
    <row r="10791" spans="1:8" ht="14.4" x14ac:dyDescent="0.3">
      <c r="A10791" s="8">
        <v>2093263</v>
      </c>
      <c r="B10791" s="11">
        <v>44872</v>
      </c>
      <c r="C10791" s="13" t="s">
        <v>5682</v>
      </c>
      <c r="D10791" s="13" t="s">
        <v>6353</v>
      </c>
      <c r="E10791" s="8">
        <v>372690</v>
      </c>
      <c r="F10791" s="13" t="s">
        <v>70</v>
      </c>
      <c r="G10791" s="14">
        <v>44873</v>
      </c>
      <c r="H10791" s="13" t="s">
        <v>35</v>
      </c>
    </row>
    <row r="10792" spans="1:8" ht="14.4" x14ac:dyDescent="0.3">
      <c r="A10792" s="8">
        <v>2093264</v>
      </c>
      <c r="B10792" s="11">
        <v>44872</v>
      </c>
      <c r="C10792" s="13" t="s">
        <v>13009</v>
      </c>
      <c r="D10792" s="13" t="s">
        <v>13010</v>
      </c>
      <c r="E10792" s="8">
        <v>50000</v>
      </c>
      <c r="F10792" s="13" t="s">
        <v>70</v>
      </c>
      <c r="G10792" s="14">
        <v>44873</v>
      </c>
      <c r="H10792" s="13" t="s">
        <v>35</v>
      </c>
    </row>
    <row r="10793" spans="1:8" ht="14.4" x14ac:dyDescent="0.3">
      <c r="A10793" s="8">
        <v>2092079</v>
      </c>
      <c r="B10793" s="11">
        <v>44873</v>
      </c>
      <c r="C10793" s="13" t="s">
        <v>1941</v>
      </c>
      <c r="D10793" s="13" t="s">
        <v>13011</v>
      </c>
      <c r="E10793" s="8">
        <v>22946.52</v>
      </c>
      <c r="F10793" s="13" t="s">
        <v>70</v>
      </c>
      <c r="G10793" s="14">
        <v>44875</v>
      </c>
      <c r="H10793" s="13" t="s">
        <v>35</v>
      </c>
    </row>
    <row r="10794" spans="1:8" ht="14.4" x14ac:dyDescent="0.3">
      <c r="A10794" s="8">
        <v>2092080</v>
      </c>
      <c r="B10794" s="11">
        <v>44873</v>
      </c>
      <c r="C10794" s="13" t="s">
        <v>1941</v>
      </c>
      <c r="D10794" s="13" t="s">
        <v>13012</v>
      </c>
      <c r="E10794" s="8">
        <v>12046.88</v>
      </c>
      <c r="F10794" s="13" t="s">
        <v>70</v>
      </c>
      <c r="G10794" s="14">
        <v>44875</v>
      </c>
      <c r="H10794" s="13" t="s">
        <v>35</v>
      </c>
    </row>
    <row r="10795" spans="1:8" ht="14.4" x14ac:dyDescent="0.3">
      <c r="A10795" s="8">
        <v>2093265</v>
      </c>
      <c r="B10795" s="11">
        <v>44873</v>
      </c>
      <c r="C10795" s="13" t="s">
        <v>127</v>
      </c>
      <c r="D10795" s="13" t="s">
        <v>13013</v>
      </c>
      <c r="E10795" s="8">
        <v>5867.85</v>
      </c>
      <c r="F10795" s="13" t="s">
        <v>70</v>
      </c>
      <c r="G10795" s="14">
        <v>44874</v>
      </c>
      <c r="H10795" s="13" t="s">
        <v>35</v>
      </c>
    </row>
    <row r="10796" spans="1:8" ht="14.4" x14ac:dyDescent="0.3">
      <c r="A10796" s="8">
        <v>2093267</v>
      </c>
      <c r="B10796" s="11">
        <v>44873</v>
      </c>
      <c r="C10796" s="13" t="s">
        <v>13014</v>
      </c>
      <c r="D10796" s="13" t="s">
        <v>13015</v>
      </c>
      <c r="E10796" s="8">
        <v>10144.23</v>
      </c>
      <c r="F10796" s="13" t="s">
        <v>70</v>
      </c>
      <c r="G10796" s="14">
        <v>44874</v>
      </c>
      <c r="H10796" s="13" t="s">
        <v>35</v>
      </c>
    </row>
    <row r="10797" spans="1:8" ht="14.4" x14ac:dyDescent="0.3">
      <c r="A10797" s="8">
        <v>2093268</v>
      </c>
      <c r="B10797" s="11">
        <v>44873</v>
      </c>
      <c r="C10797" s="13" t="s">
        <v>13016</v>
      </c>
      <c r="D10797" s="13" t="s">
        <v>13017</v>
      </c>
      <c r="E10797" s="8">
        <v>20035.810000000001</v>
      </c>
      <c r="F10797" s="13" t="s">
        <v>70</v>
      </c>
      <c r="G10797" s="14">
        <v>44876</v>
      </c>
      <c r="H10797" s="13" t="s">
        <v>35</v>
      </c>
    </row>
    <row r="10798" spans="1:8" ht="14.4" x14ac:dyDescent="0.3">
      <c r="A10798" s="8">
        <v>2093269</v>
      </c>
      <c r="B10798" s="11">
        <v>44873</v>
      </c>
      <c r="C10798" s="13" t="s">
        <v>13018</v>
      </c>
      <c r="D10798" s="13" t="s">
        <v>13019</v>
      </c>
      <c r="E10798" s="8">
        <v>10000</v>
      </c>
      <c r="F10798" s="13" t="s">
        <v>70</v>
      </c>
      <c r="G10798" s="14">
        <v>44875</v>
      </c>
      <c r="H10798" s="13" t="s">
        <v>35</v>
      </c>
    </row>
    <row r="10799" spans="1:8" ht="14.4" x14ac:dyDescent="0.3">
      <c r="A10799" s="8">
        <v>2093270</v>
      </c>
      <c r="B10799" s="11">
        <v>44873</v>
      </c>
      <c r="C10799" s="13" t="s">
        <v>13020</v>
      </c>
      <c r="D10799" s="13" t="s">
        <v>13021</v>
      </c>
      <c r="E10799" s="8">
        <v>50000</v>
      </c>
      <c r="F10799" s="13" t="s">
        <v>70</v>
      </c>
      <c r="G10799" s="14">
        <v>44875</v>
      </c>
      <c r="H10799" s="13" t="s">
        <v>35</v>
      </c>
    </row>
    <row r="10800" spans="1:8" ht="14.4" x14ac:dyDescent="0.3">
      <c r="A10800" s="8">
        <v>2093271</v>
      </c>
      <c r="B10800" s="11">
        <v>44873</v>
      </c>
      <c r="C10800" s="13" t="s">
        <v>68</v>
      </c>
      <c r="D10800" s="13" t="s">
        <v>69</v>
      </c>
      <c r="E10800" s="8">
        <v>27000</v>
      </c>
      <c r="F10800" s="13" t="s">
        <v>70</v>
      </c>
      <c r="G10800" s="14">
        <v>44880</v>
      </c>
      <c r="H10800" s="13" t="s">
        <v>35</v>
      </c>
    </row>
    <row r="10801" spans="1:8" ht="14.4" x14ac:dyDescent="0.3">
      <c r="A10801" s="8">
        <v>2093272</v>
      </c>
      <c r="B10801" s="11">
        <v>44873</v>
      </c>
      <c r="C10801" s="13" t="s">
        <v>13022</v>
      </c>
      <c r="D10801" s="13" t="s">
        <v>13023</v>
      </c>
      <c r="E10801" s="8">
        <v>20000</v>
      </c>
      <c r="F10801" s="13" t="s">
        <v>70</v>
      </c>
      <c r="G10801" s="14">
        <v>44875</v>
      </c>
      <c r="H10801" s="13" t="s">
        <v>35</v>
      </c>
    </row>
    <row r="10802" spans="1:8" ht="14.4" x14ac:dyDescent="0.3">
      <c r="A10802" s="8">
        <v>2093273</v>
      </c>
      <c r="B10802" s="11">
        <v>44873</v>
      </c>
      <c r="C10802" s="13" t="s">
        <v>13024</v>
      </c>
      <c r="D10802" s="13" t="s">
        <v>13025</v>
      </c>
      <c r="E10802" s="8">
        <v>22000</v>
      </c>
      <c r="F10802" s="13" t="s">
        <v>70</v>
      </c>
      <c r="G10802" s="14">
        <v>44875</v>
      </c>
      <c r="H10802" s="13" t="s">
        <v>35</v>
      </c>
    </row>
    <row r="10803" spans="1:8" ht="14.4" x14ac:dyDescent="0.3">
      <c r="A10803" s="8">
        <v>2093274</v>
      </c>
      <c r="B10803" s="11">
        <v>44873</v>
      </c>
      <c r="C10803" s="13" t="s">
        <v>13026</v>
      </c>
      <c r="D10803" s="13" t="s">
        <v>13027</v>
      </c>
      <c r="E10803" s="8">
        <v>40000</v>
      </c>
      <c r="F10803" s="13" t="s">
        <v>70</v>
      </c>
      <c r="G10803" s="14">
        <v>44875</v>
      </c>
      <c r="H10803" s="13" t="s">
        <v>35</v>
      </c>
    </row>
    <row r="10804" spans="1:8" ht="14.4" x14ac:dyDescent="0.3">
      <c r="A10804" s="8">
        <v>2093275</v>
      </c>
      <c r="B10804" s="11">
        <v>44873</v>
      </c>
      <c r="C10804" s="13" t="s">
        <v>569</v>
      </c>
      <c r="D10804" s="13" t="s">
        <v>13028</v>
      </c>
      <c r="E10804" s="8">
        <v>18000</v>
      </c>
      <c r="F10804" s="13" t="s">
        <v>70</v>
      </c>
      <c r="G10804" s="14">
        <v>44875</v>
      </c>
      <c r="H10804" s="13" t="s">
        <v>35</v>
      </c>
    </row>
    <row r="10805" spans="1:8" ht="14.4" x14ac:dyDescent="0.3">
      <c r="A10805" s="8">
        <v>2093276</v>
      </c>
      <c r="B10805" s="11">
        <v>44873</v>
      </c>
      <c r="C10805" s="13" t="s">
        <v>13029</v>
      </c>
      <c r="D10805" s="13" t="s">
        <v>13030</v>
      </c>
      <c r="E10805" s="8">
        <v>11000</v>
      </c>
      <c r="F10805" s="13" t="s">
        <v>70</v>
      </c>
      <c r="G10805" s="14">
        <v>44875</v>
      </c>
      <c r="H10805" s="13" t="s">
        <v>35</v>
      </c>
    </row>
    <row r="10806" spans="1:8" ht="14.4" x14ac:dyDescent="0.3">
      <c r="A10806" s="8">
        <v>2093278</v>
      </c>
      <c r="B10806" s="11">
        <v>44873</v>
      </c>
      <c r="C10806" s="13" t="s">
        <v>13031</v>
      </c>
      <c r="D10806" s="13" t="s">
        <v>13032</v>
      </c>
      <c r="E10806" s="8">
        <v>16000</v>
      </c>
      <c r="F10806" s="13" t="s">
        <v>70</v>
      </c>
      <c r="G10806" s="14">
        <v>44876</v>
      </c>
      <c r="H10806" s="13" t="s">
        <v>35</v>
      </c>
    </row>
    <row r="10807" spans="1:8" ht="14.4" x14ac:dyDescent="0.3">
      <c r="A10807" s="8">
        <v>2093279</v>
      </c>
      <c r="B10807" s="11">
        <v>44873</v>
      </c>
      <c r="C10807" s="13" t="s">
        <v>13033</v>
      </c>
      <c r="D10807" s="13" t="s">
        <v>13034</v>
      </c>
      <c r="E10807" s="8">
        <v>20000</v>
      </c>
      <c r="F10807" s="13" t="s">
        <v>70</v>
      </c>
      <c r="G10807" s="14">
        <v>44875</v>
      </c>
      <c r="H10807" s="13" t="s">
        <v>35</v>
      </c>
    </row>
    <row r="10808" spans="1:8" ht="14.4" x14ac:dyDescent="0.3">
      <c r="A10808" s="8">
        <v>2093280</v>
      </c>
      <c r="B10808" s="11">
        <v>44873</v>
      </c>
      <c r="C10808" s="13" t="s">
        <v>13035</v>
      </c>
      <c r="D10808" s="13" t="s">
        <v>13036</v>
      </c>
      <c r="E10808" s="8">
        <v>12000</v>
      </c>
      <c r="F10808" s="13" t="s">
        <v>70</v>
      </c>
      <c r="G10808" s="14">
        <v>44875</v>
      </c>
      <c r="H10808" s="13" t="s">
        <v>35</v>
      </c>
    </row>
    <row r="10809" spans="1:8" ht="14.4" x14ac:dyDescent="0.3">
      <c r="A10809" s="8">
        <v>2093281</v>
      </c>
      <c r="B10809" s="11">
        <v>44873</v>
      </c>
      <c r="C10809" s="13" t="s">
        <v>13037</v>
      </c>
      <c r="D10809" s="13" t="s">
        <v>13038</v>
      </c>
      <c r="E10809" s="8">
        <v>8000</v>
      </c>
      <c r="F10809" s="13" t="s">
        <v>70</v>
      </c>
      <c r="G10809" s="14">
        <v>44876</v>
      </c>
      <c r="H10809" s="13" t="s">
        <v>35</v>
      </c>
    </row>
    <row r="10810" spans="1:8" ht="14.4" x14ac:dyDescent="0.3">
      <c r="A10810" s="8">
        <v>2093282</v>
      </c>
      <c r="B10810" s="11">
        <v>44873</v>
      </c>
      <c r="C10810" s="13" t="s">
        <v>13039</v>
      </c>
      <c r="D10810" s="13" t="s">
        <v>13040</v>
      </c>
      <c r="E10810" s="8">
        <v>25000</v>
      </c>
      <c r="F10810" s="13" t="s">
        <v>70</v>
      </c>
      <c r="G10810" s="14">
        <v>44876</v>
      </c>
      <c r="H10810" s="13" t="s">
        <v>35</v>
      </c>
    </row>
    <row r="10811" spans="1:8" ht="14.4" x14ac:dyDescent="0.3">
      <c r="A10811" s="8">
        <v>2093283</v>
      </c>
      <c r="B10811" s="11">
        <v>44873</v>
      </c>
      <c r="C10811" s="13" t="s">
        <v>13041</v>
      </c>
      <c r="D10811" s="13" t="s">
        <v>13042</v>
      </c>
      <c r="E10811" s="8">
        <v>11000</v>
      </c>
      <c r="F10811" s="13" t="s">
        <v>70</v>
      </c>
      <c r="G10811" s="14">
        <v>44875</v>
      </c>
      <c r="H10811" s="13" t="s">
        <v>35</v>
      </c>
    </row>
    <row r="10812" spans="1:8" ht="14.4" x14ac:dyDescent="0.3">
      <c r="A10812" s="8">
        <v>2093284</v>
      </c>
      <c r="B10812" s="11">
        <v>44873</v>
      </c>
      <c r="C10812" s="13" t="s">
        <v>13043</v>
      </c>
      <c r="D10812" s="13" t="s">
        <v>13044</v>
      </c>
      <c r="E10812" s="8">
        <v>20000</v>
      </c>
      <c r="F10812" s="13" t="s">
        <v>70</v>
      </c>
      <c r="G10812" s="14">
        <v>44875</v>
      </c>
      <c r="H10812" s="13" t="s">
        <v>35</v>
      </c>
    </row>
    <row r="10813" spans="1:8" ht="14.4" x14ac:dyDescent="0.3">
      <c r="A10813" s="8">
        <v>2093285</v>
      </c>
      <c r="B10813" s="11">
        <v>44873</v>
      </c>
      <c r="C10813" s="13" t="s">
        <v>3924</v>
      </c>
      <c r="D10813" s="13" t="s">
        <v>150</v>
      </c>
      <c r="E10813" s="8">
        <v>9000</v>
      </c>
      <c r="F10813" s="13" t="s">
        <v>70</v>
      </c>
      <c r="G10813" s="14">
        <v>44876</v>
      </c>
      <c r="H10813" s="13" t="s">
        <v>35</v>
      </c>
    </row>
    <row r="10814" spans="1:8" ht="14.4" x14ac:dyDescent="0.3">
      <c r="A10814" s="8">
        <v>2093286</v>
      </c>
      <c r="B10814" s="11">
        <v>44873</v>
      </c>
      <c r="C10814" s="13" t="s">
        <v>13045</v>
      </c>
      <c r="D10814" s="13" t="s">
        <v>13046</v>
      </c>
      <c r="E10814" s="8">
        <v>15000</v>
      </c>
      <c r="F10814" s="13" t="s">
        <v>70</v>
      </c>
      <c r="G10814" s="14">
        <v>44876</v>
      </c>
      <c r="H10814" s="13" t="s">
        <v>35</v>
      </c>
    </row>
    <row r="10815" spans="1:8" ht="14.4" x14ac:dyDescent="0.3">
      <c r="A10815" s="8">
        <v>2093287</v>
      </c>
      <c r="B10815" s="11">
        <v>44873</v>
      </c>
      <c r="C10815" s="13" t="s">
        <v>13047</v>
      </c>
      <c r="D10815" s="13" t="s">
        <v>150</v>
      </c>
      <c r="E10815" s="8">
        <v>14000</v>
      </c>
      <c r="F10815" s="13" t="s">
        <v>70</v>
      </c>
      <c r="G10815" s="14">
        <v>44875</v>
      </c>
      <c r="H10815" s="13" t="s">
        <v>35</v>
      </c>
    </row>
    <row r="10816" spans="1:8" ht="14.4" x14ac:dyDescent="0.3">
      <c r="A10816" s="8">
        <v>2093288</v>
      </c>
      <c r="B10816" s="11">
        <v>44873</v>
      </c>
      <c r="C10816" s="13" t="s">
        <v>13048</v>
      </c>
      <c r="D10816" s="13" t="s">
        <v>13049</v>
      </c>
      <c r="E10816" s="8">
        <v>8000</v>
      </c>
      <c r="F10816" s="13" t="s">
        <v>70</v>
      </c>
      <c r="G10816" s="14">
        <v>44875</v>
      </c>
      <c r="H10816" s="13" t="s">
        <v>35</v>
      </c>
    </row>
    <row r="10817" spans="1:8" ht="14.4" x14ac:dyDescent="0.3">
      <c r="A10817" s="8">
        <v>2093289</v>
      </c>
      <c r="B10817" s="11">
        <v>44873</v>
      </c>
      <c r="C10817" s="13" t="s">
        <v>13050</v>
      </c>
      <c r="D10817" s="13" t="s">
        <v>13051</v>
      </c>
      <c r="E10817" s="8">
        <v>19000</v>
      </c>
      <c r="F10817" s="13" t="s">
        <v>70</v>
      </c>
      <c r="G10817" s="14">
        <v>44875</v>
      </c>
      <c r="H10817" s="13" t="s">
        <v>35</v>
      </c>
    </row>
    <row r="10818" spans="1:8" ht="14.4" x14ac:dyDescent="0.3">
      <c r="A10818" s="8">
        <v>2093290</v>
      </c>
      <c r="B10818" s="11">
        <v>44873</v>
      </c>
      <c r="C10818" s="13" t="s">
        <v>13052</v>
      </c>
      <c r="D10818" s="13" t="s">
        <v>100</v>
      </c>
      <c r="E10818" s="8">
        <v>23800</v>
      </c>
      <c r="F10818" s="13" t="s">
        <v>70</v>
      </c>
      <c r="G10818" s="14">
        <v>44876</v>
      </c>
      <c r="H10818" s="13" t="s">
        <v>35</v>
      </c>
    </row>
    <row r="10819" spans="1:8" ht="14.4" x14ac:dyDescent="0.3">
      <c r="A10819" s="8">
        <v>2093291</v>
      </c>
      <c r="B10819" s="11">
        <v>44873</v>
      </c>
      <c r="C10819" s="13" t="s">
        <v>13053</v>
      </c>
      <c r="D10819" s="13" t="s">
        <v>13054</v>
      </c>
      <c r="E10819" s="8">
        <v>16000</v>
      </c>
      <c r="F10819" s="13" t="s">
        <v>70</v>
      </c>
      <c r="G10819" s="14">
        <v>44875</v>
      </c>
      <c r="H10819" s="13" t="s">
        <v>35</v>
      </c>
    </row>
    <row r="10820" spans="1:8" ht="14.4" x14ac:dyDescent="0.3">
      <c r="A10820" s="8">
        <v>2093292</v>
      </c>
      <c r="B10820" s="11">
        <v>44873</v>
      </c>
      <c r="C10820" s="13" t="s">
        <v>13055</v>
      </c>
      <c r="D10820" s="13" t="s">
        <v>13056</v>
      </c>
      <c r="E10820" s="8">
        <v>11000</v>
      </c>
      <c r="F10820" s="13" t="s">
        <v>70</v>
      </c>
      <c r="G10820" s="14">
        <v>44875</v>
      </c>
      <c r="H10820" s="13" t="s">
        <v>35</v>
      </c>
    </row>
    <row r="10821" spans="1:8" ht="14.4" x14ac:dyDescent="0.3">
      <c r="A10821" s="8">
        <v>2093293</v>
      </c>
      <c r="B10821" s="11">
        <v>44873</v>
      </c>
      <c r="C10821" s="13" t="s">
        <v>13057</v>
      </c>
      <c r="D10821" s="13" t="s">
        <v>13058</v>
      </c>
      <c r="E10821" s="8">
        <v>9000</v>
      </c>
      <c r="F10821" s="13" t="s">
        <v>70</v>
      </c>
      <c r="G10821" s="14">
        <v>44875</v>
      </c>
      <c r="H10821" s="13" t="s">
        <v>35</v>
      </c>
    </row>
    <row r="10822" spans="1:8" ht="14.4" x14ac:dyDescent="0.3">
      <c r="A10822" s="8">
        <v>2093294</v>
      </c>
      <c r="B10822" s="11">
        <v>44873</v>
      </c>
      <c r="C10822" s="13" t="s">
        <v>13059</v>
      </c>
      <c r="D10822" s="13" t="s">
        <v>13060</v>
      </c>
      <c r="E10822" s="8">
        <v>12000</v>
      </c>
      <c r="F10822" s="13" t="s">
        <v>70</v>
      </c>
      <c r="G10822" s="14">
        <v>44876</v>
      </c>
      <c r="H10822" s="13" t="s">
        <v>35</v>
      </c>
    </row>
    <row r="10823" spans="1:8" ht="14.4" x14ac:dyDescent="0.3">
      <c r="A10823" s="8">
        <v>2093295</v>
      </c>
      <c r="B10823" s="11">
        <v>44873</v>
      </c>
      <c r="C10823" s="13" t="s">
        <v>13061</v>
      </c>
      <c r="D10823" s="13" t="s">
        <v>150</v>
      </c>
      <c r="E10823" s="8">
        <v>7000</v>
      </c>
      <c r="F10823" s="13" t="s">
        <v>70</v>
      </c>
      <c r="G10823" s="14">
        <v>44875</v>
      </c>
      <c r="H10823" s="13" t="s">
        <v>35</v>
      </c>
    </row>
    <row r="10824" spans="1:8" ht="14.4" x14ac:dyDescent="0.3">
      <c r="A10824" s="8">
        <v>2093296</v>
      </c>
      <c r="B10824" s="11">
        <v>44873</v>
      </c>
      <c r="C10824" s="13" t="s">
        <v>13062</v>
      </c>
      <c r="D10824" s="13" t="s">
        <v>13063</v>
      </c>
      <c r="E10824" s="8">
        <v>15000</v>
      </c>
      <c r="F10824" s="13" t="s">
        <v>70</v>
      </c>
      <c r="G10824" s="14">
        <v>44875</v>
      </c>
      <c r="H10824" s="13" t="s">
        <v>35</v>
      </c>
    </row>
    <row r="10825" spans="1:8" ht="14.4" x14ac:dyDescent="0.3">
      <c r="A10825" s="8">
        <v>2093297</v>
      </c>
      <c r="B10825" s="11">
        <v>44873</v>
      </c>
      <c r="C10825" s="13" t="s">
        <v>13064</v>
      </c>
      <c r="D10825" s="13" t="s">
        <v>13065</v>
      </c>
      <c r="E10825" s="8">
        <v>24000</v>
      </c>
      <c r="F10825" s="13" t="s">
        <v>70</v>
      </c>
      <c r="G10825" s="14">
        <v>44876</v>
      </c>
      <c r="H10825" s="13" t="s">
        <v>35</v>
      </c>
    </row>
    <row r="10826" spans="1:8" ht="14.4" x14ac:dyDescent="0.3">
      <c r="A10826" s="8">
        <v>2093298</v>
      </c>
      <c r="B10826" s="11">
        <v>44873</v>
      </c>
      <c r="C10826" s="13" t="s">
        <v>13066</v>
      </c>
      <c r="D10826" s="13" t="s">
        <v>13067</v>
      </c>
      <c r="E10826" s="8">
        <v>50000</v>
      </c>
      <c r="F10826" s="13" t="s">
        <v>70</v>
      </c>
      <c r="G10826" s="14">
        <v>44879</v>
      </c>
      <c r="H10826" s="13" t="s">
        <v>35</v>
      </c>
    </row>
    <row r="10827" spans="1:8" ht="14.4" x14ac:dyDescent="0.3">
      <c r="A10827" s="8">
        <v>2093299</v>
      </c>
      <c r="B10827" s="11">
        <v>44873</v>
      </c>
      <c r="C10827" s="13" t="s">
        <v>4457</v>
      </c>
      <c r="D10827" s="13" t="s">
        <v>12671</v>
      </c>
      <c r="E10827" s="8">
        <v>22000</v>
      </c>
      <c r="F10827" s="13" t="s">
        <v>70</v>
      </c>
      <c r="G10827" s="14">
        <v>44876</v>
      </c>
      <c r="H10827" s="13" t="s">
        <v>35</v>
      </c>
    </row>
    <row r="10828" spans="1:8" ht="14.4" x14ac:dyDescent="0.3">
      <c r="A10828" s="8">
        <v>2093300</v>
      </c>
      <c r="B10828" s="11">
        <v>44873</v>
      </c>
      <c r="C10828" s="13" t="s">
        <v>13068</v>
      </c>
      <c r="D10828" s="13" t="s">
        <v>13069</v>
      </c>
      <c r="E10828" s="8">
        <v>10000</v>
      </c>
      <c r="F10828" s="13" t="s">
        <v>70</v>
      </c>
      <c r="G10828" s="14">
        <v>44875</v>
      </c>
      <c r="H10828" s="13" t="s">
        <v>35</v>
      </c>
    </row>
    <row r="10829" spans="1:8" ht="14.4" x14ac:dyDescent="0.3">
      <c r="A10829" s="8">
        <v>2093301</v>
      </c>
      <c r="B10829" s="11">
        <v>44873</v>
      </c>
      <c r="C10829" s="13" t="s">
        <v>13070</v>
      </c>
      <c r="D10829" s="13" t="s">
        <v>150</v>
      </c>
      <c r="E10829" s="8">
        <v>25000</v>
      </c>
      <c r="F10829" s="13" t="s">
        <v>70</v>
      </c>
      <c r="G10829" s="14">
        <v>44876</v>
      </c>
      <c r="H10829" s="13" t="s">
        <v>35</v>
      </c>
    </row>
    <row r="10830" spans="1:8" ht="14.4" x14ac:dyDescent="0.3">
      <c r="A10830" s="8">
        <v>2093302</v>
      </c>
      <c r="B10830" s="11">
        <v>44873</v>
      </c>
      <c r="C10830" s="13" t="s">
        <v>13071</v>
      </c>
      <c r="D10830" s="13" t="s">
        <v>13072</v>
      </c>
      <c r="E10830" s="8">
        <v>8000</v>
      </c>
      <c r="F10830" s="13" t="s">
        <v>70</v>
      </c>
      <c r="G10830" s="14">
        <v>44876</v>
      </c>
      <c r="H10830" s="13" t="s">
        <v>35</v>
      </c>
    </row>
    <row r="10831" spans="1:8" ht="14.4" x14ac:dyDescent="0.3">
      <c r="A10831" s="8">
        <v>2093303</v>
      </c>
      <c r="B10831" s="11">
        <v>44873</v>
      </c>
      <c r="C10831" s="13" t="s">
        <v>148</v>
      </c>
      <c r="D10831" s="13" t="s">
        <v>13073</v>
      </c>
      <c r="E10831" s="8">
        <v>12000</v>
      </c>
      <c r="F10831" s="13" t="s">
        <v>70</v>
      </c>
      <c r="G10831" s="14">
        <v>44875</v>
      </c>
      <c r="H10831" s="13" t="s">
        <v>35</v>
      </c>
    </row>
    <row r="10832" spans="1:8" ht="14.4" x14ac:dyDescent="0.3">
      <c r="A10832" s="8">
        <v>2093304</v>
      </c>
      <c r="B10832" s="11">
        <v>44873</v>
      </c>
      <c r="C10832" s="13" t="s">
        <v>277</v>
      </c>
      <c r="D10832" s="13" t="s">
        <v>47</v>
      </c>
      <c r="E10832" s="8">
        <v>50000</v>
      </c>
      <c r="F10832" s="13" t="s">
        <v>70</v>
      </c>
      <c r="G10832" s="14">
        <v>44875</v>
      </c>
      <c r="H10832" s="13" t="s">
        <v>35</v>
      </c>
    </row>
    <row r="10833" spans="1:8" ht="14.4" x14ac:dyDescent="0.3">
      <c r="A10833" s="8">
        <v>2093305</v>
      </c>
      <c r="B10833" s="11">
        <v>44873</v>
      </c>
      <c r="C10833" s="13" t="s">
        <v>11759</v>
      </c>
      <c r="D10833" s="13" t="s">
        <v>13074</v>
      </c>
      <c r="E10833" s="8">
        <v>26589.62</v>
      </c>
      <c r="F10833" s="13" t="s">
        <v>70</v>
      </c>
      <c r="G10833" s="14">
        <v>44876</v>
      </c>
      <c r="H10833" s="13" t="s">
        <v>35</v>
      </c>
    </row>
    <row r="10834" spans="1:8" ht="14.4" x14ac:dyDescent="0.3">
      <c r="A10834" s="8">
        <v>2093306</v>
      </c>
      <c r="B10834" s="11">
        <v>44873</v>
      </c>
      <c r="C10834" s="13" t="s">
        <v>13075</v>
      </c>
      <c r="D10834" s="13" t="s">
        <v>10625</v>
      </c>
      <c r="E10834" s="8">
        <v>12500</v>
      </c>
      <c r="F10834" s="13" t="s">
        <v>70</v>
      </c>
      <c r="G10834" s="14">
        <v>44876</v>
      </c>
      <c r="H10834" s="13" t="s">
        <v>35</v>
      </c>
    </row>
    <row r="10835" spans="1:8" ht="14.4" x14ac:dyDescent="0.3">
      <c r="A10835" s="8">
        <v>2093308</v>
      </c>
      <c r="B10835" s="11">
        <v>44874</v>
      </c>
      <c r="C10835" s="13" t="s">
        <v>10037</v>
      </c>
      <c r="D10835" s="13" t="s">
        <v>13076</v>
      </c>
      <c r="E10835" s="8">
        <v>6550</v>
      </c>
      <c r="F10835" s="13" t="s">
        <v>70</v>
      </c>
      <c r="G10835" s="14">
        <v>44879</v>
      </c>
      <c r="H10835" s="13" t="s">
        <v>35</v>
      </c>
    </row>
    <row r="10836" spans="1:8" ht="14.4" x14ac:dyDescent="0.3">
      <c r="A10836" s="8">
        <v>2093309</v>
      </c>
      <c r="B10836" s="11">
        <v>44874</v>
      </c>
      <c r="C10836" s="13" t="s">
        <v>72</v>
      </c>
      <c r="D10836" s="13" t="s">
        <v>73</v>
      </c>
      <c r="E10836" s="8">
        <v>7840.07</v>
      </c>
      <c r="F10836" s="13" t="s">
        <v>70</v>
      </c>
      <c r="G10836" s="14">
        <v>44880</v>
      </c>
      <c r="H10836" s="13" t="s">
        <v>35</v>
      </c>
    </row>
    <row r="10837" spans="1:8" ht="14.4" x14ac:dyDescent="0.3">
      <c r="A10837" s="8">
        <v>2093312</v>
      </c>
      <c r="B10837" s="11">
        <v>44874</v>
      </c>
      <c r="C10837" s="13" t="s">
        <v>85</v>
      </c>
      <c r="D10837" s="13" t="s">
        <v>13077</v>
      </c>
      <c r="E10837" s="8">
        <v>3375</v>
      </c>
      <c r="F10837" s="13" t="s">
        <v>70</v>
      </c>
      <c r="G10837" s="14">
        <v>44875</v>
      </c>
      <c r="H10837" s="13" t="s">
        <v>35</v>
      </c>
    </row>
    <row r="10838" spans="1:8" ht="14.4" x14ac:dyDescent="0.3">
      <c r="A10838" s="8">
        <v>2093313</v>
      </c>
      <c r="B10838" s="11">
        <v>44874</v>
      </c>
      <c r="C10838" s="13" t="s">
        <v>13078</v>
      </c>
      <c r="D10838" s="13" t="s">
        <v>150</v>
      </c>
      <c r="E10838" s="8">
        <v>50000</v>
      </c>
      <c r="F10838" s="13" t="s">
        <v>70</v>
      </c>
      <c r="G10838" s="14">
        <v>44875</v>
      </c>
      <c r="H10838" s="13" t="s">
        <v>35</v>
      </c>
    </row>
    <row r="10839" spans="1:8" ht="14.4" x14ac:dyDescent="0.3">
      <c r="A10839" s="8">
        <v>2093314</v>
      </c>
      <c r="B10839" s="11">
        <v>44874</v>
      </c>
      <c r="C10839" s="13" t="s">
        <v>13079</v>
      </c>
      <c r="D10839" s="13" t="s">
        <v>13080</v>
      </c>
      <c r="E10839" s="8">
        <v>18000</v>
      </c>
      <c r="F10839" s="13" t="s">
        <v>70</v>
      </c>
      <c r="G10839" s="14">
        <v>44876</v>
      </c>
      <c r="H10839" s="13" t="s">
        <v>35</v>
      </c>
    </row>
    <row r="10840" spans="1:8" ht="14.4" x14ac:dyDescent="0.3">
      <c r="A10840" s="8">
        <v>2093315</v>
      </c>
      <c r="B10840" s="11">
        <v>44874</v>
      </c>
      <c r="C10840" s="13" t="s">
        <v>13081</v>
      </c>
      <c r="D10840" s="13" t="s">
        <v>13082</v>
      </c>
      <c r="E10840" s="8">
        <v>8000</v>
      </c>
      <c r="F10840" s="13" t="s">
        <v>70</v>
      </c>
      <c r="G10840" s="14">
        <v>44879</v>
      </c>
      <c r="H10840" s="13" t="s">
        <v>35</v>
      </c>
    </row>
    <row r="10841" spans="1:8" ht="14.4" x14ac:dyDescent="0.3">
      <c r="A10841" s="8">
        <v>2093323</v>
      </c>
      <c r="B10841" s="11">
        <v>44874</v>
      </c>
      <c r="C10841" s="13" t="s">
        <v>528</v>
      </c>
      <c r="D10841" s="13" t="s">
        <v>13083</v>
      </c>
      <c r="E10841" s="8">
        <v>5000</v>
      </c>
      <c r="F10841" s="13" t="s">
        <v>70</v>
      </c>
      <c r="G10841" s="14">
        <v>44879</v>
      </c>
      <c r="H10841" s="13" t="s">
        <v>35</v>
      </c>
    </row>
    <row r="10842" spans="1:8" ht="14.4" x14ac:dyDescent="0.3">
      <c r="A10842" s="8">
        <v>2093324</v>
      </c>
      <c r="B10842" s="11">
        <v>44874</v>
      </c>
      <c r="C10842" s="13" t="s">
        <v>530</v>
      </c>
      <c r="D10842" s="13" t="s">
        <v>13083</v>
      </c>
      <c r="E10842" s="8">
        <v>3000</v>
      </c>
      <c r="F10842" s="13" t="s">
        <v>70</v>
      </c>
      <c r="G10842" s="14">
        <v>44879</v>
      </c>
      <c r="H10842" s="13" t="s">
        <v>35</v>
      </c>
    </row>
    <row r="10843" spans="1:8" ht="14.4" x14ac:dyDescent="0.3">
      <c r="A10843" s="8">
        <v>2093325</v>
      </c>
      <c r="B10843" s="11">
        <v>44874</v>
      </c>
      <c r="C10843" s="13" t="s">
        <v>295</v>
      </c>
      <c r="D10843" s="13" t="s">
        <v>76</v>
      </c>
      <c r="E10843" s="8">
        <v>20000</v>
      </c>
      <c r="F10843" s="13" t="s">
        <v>70</v>
      </c>
      <c r="G10843" s="14">
        <v>44875</v>
      </c>
      <c r="H10843" s="13" t="s">
        <v>35</v>
      </c>
    </row>
    <row r="10844" spans="1:8" ht="14.4" x14ac:dyDescent="0.3">
      <c r="A10844" s="8">
        <v>2093326</v>
      </c>
      <c r="B10844" s="11">
        <v>44874</v>
      </c>
      <c r="C10844" s="13" t="s">
        <v>303</v>
      </c>
      <c r="D10844" s="13" t="s">
        <v>76</v>
      </c>
      <c r="E10844" s="8">
        <v>6000</v>
      </c>
      <c r="F10844" s="13" t="s">
        <v>70</v>
      </c>
      <c r="G10844" s="14">
        <v>44876</v>
      </c>
      <c r="H10844" s="13" t="s">
        <v>35</v>
      </c>
    </row>
    <row r="10845" spans="1:8" ht="14.4" x14ac:dyDescent="0.3">
      <c r="A10845" s="8">
        <v>2093327</v>
      </c>
      <c r="B10845" s="11">
        <v>44874</v>
      </c>
      <c r="C10845" s="13" t="s">
        <v>304</v>
      </c>
      <c r="D10845" s="13" t="s">
        <v>76</v>
      </c>
      <c r="E10845" s="8">
        <v>5000</v>
      </c>
      <c r="F10845" s="13" t="s">
        <v>70</v>
      </c>
      <c r="G10845" s="14">
        <v>44875</v>
      </c>
      <c r="H10845" s="13" t="s">
        <v>35</v>
      </c>
    </row>
    <row r="10846" spans="1:8" ht="14.4" x14ac:dyDescent="0.3">
      <c r="A10846" s="8">
        <v>2093328</v>
      </c>
      <c r="B10846" s="11">
        <v>44874</v>
      </c>
      <c r="C10846" s="13" t="s">
        <v>305</v>
      </c>
      <c r="D10846" s="13" t="s">
        <v>76</v>
      </c>
      <c r="E10846" s="8">
        <v>3000</v>
      </c>
      <c r="F10846" s="13" t="s">
        <v>70</v>
      </c>
      <c r="G10846" s="14">
        <v>44875</v>
      </c>
      <c r="H10846" s="13" t="s">
        <v>35</v>
      </c>
    </row>
    <row r="10847" spans="1:8" ht="14.4" x14ac:dyDescent="0.3">
      <c r="A10847" s="8">
        <v>2093329</v>
      </c>
      <c r="B10847" s="11">
        <v>44874</v>
      </c>
      <c r="C10847" s="13" t="s">
        <v>4972</v>
      </c>
      <c r="D10847" s="13" t="s">
        <v>76</v>
      </c>
      <c r="E10847" s="8">
        <v>20000</v>
      </c>
      <c r="F10847" s="13" t="s">
        <v>70</v>
      </c>
      <c r="G10847" s="14">
        <v>44876</v>
      </c>
      <c r="H10847" s="13" t="s">
        <v>35</v>
      </c>
    </row>
    <row r="10848" spans="1:8" ht="14.4" x14ac:dyDescent="0.3">
      <c r="A10848" s="8">
        <v>2093330</v>
      </c>
      <c r="B10848" s="11">
        <v>44874</v>
      </c>
      <c r="C10848" s="13" t="s">
        <v>350</v>
      </c>
      <c r="D10848" s="13" t="s">
        <v>76</v>
      </c>
      <c r="E10848" s="8">
        <v>10000</v>
      </c>
      <c r="F10848" s="13" t="s">
        <v>70</v>
      </c>
      <c r="G10848" s="14">
        <v>44876</v>
      </c>
      <c r="H10848" s="13" t="s">
        <v>35</v>
      </c>
    </row>
    <row r="10849" spans="1:8" ht="14.4" x14ac:dyDescent="0.3">
      <c r="A10849" s="8">
        <v>2093331</v>
      </c>
      <c r="B10849" s="11">
        <v>44874</v>
      </c>
      <c r="C10849" s="13" t="s">
        <v>356</v>
      </c>
      <c r="D10849" s="13" t="s">
        <v>76</v>
      </c>
      <c r="E10849" s="8">
        <v>3000</v>
      </c>
      <c r="F10849" s="13" t="s">
        <v>70</v>
      </c>
      <c r="G10849" s="14">
        <v>44876</v>
      </c>
      <c r="H10849" s="13" t="s">
        <v>35</v>
      </c>
    </row>
    <row r="10850" spans="1:8" ht="14.4" x14ac:dyDescent="0.3">
      <c r="A10850" s="8">
        <v>2093334</v>
      </c>
      <c r="B10850" s="11">
        <v>44874</v>
      </c>
      <c r="C10850" s="13" t="s">
        <v>606</v>
      </c>
      <c r="D10850" s="13" t="s">
        <v>13083</v>
      </c>
      <c r="E10850" s="8">
        <v>10000</v>
      </c>
      <c r="F10850" s="13" t="s">
        <v>70</v>
      </c>
      <c r="G10850" s="14">
        <v>44879</v>
      </c>
      <c r="H10850" s="13" t="s">
        <v>35</v>
      </c>
    </row>
    <row r="10851" spans="1:8" ht="14.4" x14ac:dyDescent="0.3">
      <c r="A10851" s="8">
        <v>2093335</v>
      </c>
      <c r="B10851" s="11">
        <v>44874</v>
      </c>
      <c r="C10851" s="13" t="s">
        <v>671</v>
      </c>
      <c r="D10851" s="13" t="s">
        <v>13083</v>
      </c>
      <c r="E10851" s="8">
        <v>20000</v>
      </c>
      <c r="F10851" s="13" t="s">
        <v>70</v>
      </c>
      <c r="G10851" s="14">
        <v>44879</v>
      </c>
      <c r="H10851" s="13" t="s">
        <v>35</v>
      </c>
    </row>
    <row r="10852" spans="1:8" ht="14.4" x14ac:dyDescent="0.3">
      <c r="A10852" s="8">
        <v>2093336</v>
      </c>
      <c r="B10852" s="11">
        <v>44874</v>
      </c>
      <c r="C10852" s="13" t="s">
        <v>539</v>
      </c>
      <c r="D10852" s="13" t="s">
        <v>13084</v>
      </c>
      <c r="E10852" s="8">
        <v>6000</v>
      </c>
      <c r="F10852" s="13" t="s">
        <v>70</v>
      </c>
      <c r="G10852" s="14">
        <v>44875</v>
      </c>
      <c r="H10852" s="13" t="s">
        <v>35</v>
      </c>
    </row>
    <row r="10853" spans="1:8" ht="14.4" x14ac:dyDescent="0.3">
      <c r="A10853" s="8">
        <v>2093337</v>
      </c>
      <c r="B10853" s="11">
        <v>44874</v>
      </c>
      <c r="C10853" s="13" t="s">
        <v>543</v>
      </c>
      <c r="D10853" s="13" t="s">
        <v>13084</v>
      </c>
      <c r="E10853" s="8">
        <v>4500</v>
      </c>
      <c r="F10853" s="13" t="s">
        <v>70</v>
      </c>
      <c r="G10853" s="14">
        <v>44875</v>
      </c>
      <c r="H10853" s="13" t="s">
        <v>35</v>
      </c>
    </row>
    <row r="10854" spans="1:8" ht="14.4" x14ac:dyDescent="0.3">
      <c r="A10854" s="8">
        <v>2093338</v>
      </c>
      <c r="B10854" s="11">
        <v>44874</v>
      </c>
      <c r="C10854" s="13" t="s">
        <v>544</v>
      </c>
      <c r="D10854" s="13" t="s">
        <v>13084</v>
      </c>
      <c r="E10854" s="8">
        <v>4500</v>
      </c>
      <c r="F10854" s="13" t="s">
        <v>70</v>
      </c>
      <c r="G10854" s="14">
        <v>44875</v>
      </c>
      <c r="H10854" s="13" t="s">
        <v>35</v>
      </c>
    </row>
    <row r="10855" spans="1:8" ht="14.4" x14ac:dyDescent="0.3">
      <c r="A10855" s="8">
        <v>2093339</v>
      </c>
      <c r="B10855" s="11">
        <v>44874</v>
      </c>
      <c r="C10855" s="13" t="s">
        <v>542</v>
      </c>
      <c r="D10855" s="13" t="s">
        <v>13084</v>
      </c>
      <c r="E10855" s="8">
        <v>4500</v>
      </c>
      <c r="F10855" s="13" t="s">
        <v>70</v>
      </c>
      <c r="G10855" s="14">
        <v>44875</v>
      </c>
      <c r="H10855" s="13" t="s">
        <v>35</v>
      </c>
    </row>
    <row r="10856" spans="1:8" ht="14.4" x14ac:dyDescent="0.3">
      <c r="A10856" s="8">
        <v>2093340</v>
      </c>
      <c r="B10856" s="11">
        <v>44874</v>
      </c>
      <c r="C10856" s="13" t="s">
        <v>541</v>
      </c>
      <c r="D10856" s="13" t="s">
        <v>13084</v>
      </c>
      <c r="E10856" s="8">
        <v>4500</v>
      </c>
      <c r="F10856" s="13" t="s">
        <v>70</v>
      </c>
      <c r="G10856" s="14">
        <v>44875</v>
      </c>
      <c r="H10856" s="13" t="s">
        <v>35</v>
      </c>
    </row>
    <row r="10857" spans="1:8" ht="14.4" x14ac:dyDescent="0.3">
      <c r="A10857" s="8">
        <v>2093341</v>
      </c>
      <c r="B10857" s="11">
        <v>44874</v>
      </c>
      <c r="C10857" s="13" t="s">
        <v>159</v>
      </c>
      <c r="D10857" s="13" t="s">
        <v>2705</v>
      </c>
      <c r="E10857" s="8">
        <v>322000</v>
      </c>
      <c r="F10857" s="13" t="s">
        <v>70</v>
      </c>
      <c r="G10857" s="14">
        <v>44874</v>
      </c>
      <c r="H10857" s="13" t="s">
        <v>35</v>
      </c>
    </row>
    <row r="10858" spans="1:8" ht="14.4" x14ac:dyDescent="0.3">
      <c r="A10858" s="8">
        <v>2093342</v>
      </c>
      <c r="B10858" s="11">
        <v>44874</v>
      </c>
      <c r="C10858" s="13" t="s">
        <v>1932</v>
      </c>
      <c r="D10858" s="13" t="s">
        <v>1089</v>
      </c>
      <c r="E10858" s="8">
        <v>200262.96</v>
      </c>
      <c r="F10858" s="13" t="s">
        <v>70</v>
      </c>
      <c r="G10858" s="14">
        <v>44874</v>
      </c>
      <c r="H10858" s="13" t="s">
        <v>35</v>
      </c>
    </row>
    <row r="10859" spans="1:8" ht="14.4" x14ac:dyDescent="0.3">
      <c r="A10859" s="8">
        <v>2093344</v>
      </c>
      <c r="B10859" s="11">
        <v>44874</v>
      </c>
      <c r="C10859" s="13" t="s">
        <v>13085</v>
      </c>
      <c r="D10859" s="13" t="s">
        <v>47</v>
      </c>
      <c r="E10859" s="8">
        <v>10000</v>
      </c>
      <c r="F10859" s="13" t="s">
        <v>70</v>
      </c>
      <c r="G10859" s="14">
        <v>44875</v>
      </c>
      <c r="H10859" s="13" t="s">
        <v>35</v>
      </c>
    </row>
    <row r="10860" spans="1:8" ht="14.4" x14ac:dyDescent="0.3">
      <c r="A10860" s="8">
        <v>2093345</v>
      </c>
      <c r="B10860" s="11">
        <v>44874</v>
      </c>
      <c r="C10860" s="13" t="s">
        <v>180</v>
      </c>
      <c r="D10860" s="13" t="s">
        <v>13086</v>
      </c>
      <c r="E10860" s="8">
        <v>91737.19</v>
      </c>
      <c r="F10860" s="13" t="s">
        <v>70</v>
      </c>
      <c r="G10860" s="14">
        <v>44874</v>
      </c>
      <c r="H10860" s="13" t="s">
        <v>35</v>
      </c>
    </row>
    <row r="10861" spans="1:8" ht="14.4" x14ac:dyDescent="0.3">
      <c r="A10861" s="8">
        <v>2093346</v>
      </c>
      <c r="B10861" s="11">
        <v>44874</v>
      </c>
      <c r="C10861" s="13" t="s">
        <v>180</v>
      </c>
      <c r="D10861" s="13" t="s">
        <v>13087</v>
      </c>
      <c r="E10861" s="8">
        <v>135199.85</v>
      </c>
      <c r="F10861" s="13" t="s">
        <v>70</v>
      </c>
      <c r="G10861" s="14">
        <v>44874</v>
      </c>
      <c r="H10861" s="13" t="s">
        <v>35</v>
      </c>
    </row>
    <row r="10862" spans="1:8" ht="14.4" x14ac:dyDescent="0.3">
      <c r="A10862" s="8">
        <v>2093347</v>
      </c>
      <c r="B10862" s="11">
        <v>44874</v>
      </c>
      <c r="C10862" s="13" t="s">
        <v>184</v>
      </c>
      <c r="D10862" s="13" t="s">
        <v>6357</v>
      </c>
      <c r="E10862" s="8">
        <v>213501.1</v>
      </c>
      <c r="F10862" s="13" t="s">
        <v>70</v>
      </c>
      <c r="G10862" s="14">
        <v>44875</v>
      </c>
      <c r="H10862" s="13" t="s">
        <v>35</v>
      </c>
    </row>
    <row r="10863" spans="1:8" ht="14.4" x14ac:dyDescent="0.3">
      <c r="A10863" s="8">
        <v>2093348</v>
      </c>
      <c r="B10863" s="11">
        <v>44874</v>
      </c>
      <c r="C10863" s="13" t="s">
        <v>184</v>
      </c>
      <c r="D10863" s="13" t="s">
        <v>6356</v>
      </c>
      <c r="E10863" s="8">
        <v>254600</v>
      </c>
      <c r="F10863" s="13" t="s">
        <v>70</v>
      </c>
      <c r="G10863" s="14">
        <v>44875</v>
      </c>
      <c r="H10863" s="13" t="s">
        <v>35</v>
      </c>
    </row>
    <row r="10864" spans="1:8" ht="14.4" x14ac:dyDescent="0.3">
      <c r="A10864" s="8">
        <v>2093355</v>
      </c>
      <c r="B10864" s="11">
        <v>44874</v>
      </c>
      <c r="C10864" s="13" t="s">
        <v>13088</v>
      </c>
      <c r="D10864" s="13" t="s">
        <v>13089</v>
      </c>
      <c r="E10864" s="8">
        <v>10000</v>
      </c>
      <c r="F10864" s="13" t="s">
        <v>70</v>
      </c>
      <c r="G10864" s="14">
        <v>44876</v>
      </c>
      <c r="H10864" s="13" t="s">
        <v>35</v>
      </c>
    </row>
    <row r="10865" spans="1:8" ht="14.4" x14ac:dyDescent="0.3">
      <c r="A10865" s="8">
        <v>2093356</v>
      </c>
      <c r="B10865" s="11">
        <v>44874</v>
      </c>
      <c r="C10865" s="13" t="s">
        <v>13090</v>
      </c>
      <c r="D10865" s="13" t="s">
        <v>13089</v>
      </c>
      <c r="E10865" s="8">
        <v>10000</v>
      </c>
      <c r="F10865" s="13" t="s">
        <v>70</v>
      </c>
      <c r="G10865" s="14">
        <v>44876</v>
      </c>
      <c r="H10865" s="13" t="s">
        <v>35</v>
      </c>
    </row>
    <row r="10866" spans="1:8" ht="14.4" x14ac:dyDescent="0.3">
      <c r="A10866" s="8">
        <v>2093357</v>
      </c>
      <c r="B10866" s="11">
        <v>44874</v>
      </c>
      <c r="C10866" s="13" t="s">
        <v>13091</v>
      </c>
      <c r="D10866" s="13" t="s">
        <v>13089</v>
      </c>
      <c r="E10866" s="8">
        <v>10000</v>
      </c>
      <c r="F10866" s="13" t="s">
        <v>70</v>
      </c>
      <c r="G10866" s="14">
        <v>44876</v>
      </c>
      <c r="H10866" s="13" t="s">
        <v>35</v>
      </c>
    </row>
    <row r="10867" spans="1:8" ht="14.4" x14ac:dyDescent="0.3">
      <c r="A10867" s="8">
        <v>2093358</v>
      </c>
      <c r="B10867" s="11">
        <v>44874</v>
      </c>
      <c r="C10867" s="13" t="s">
        <v>13092</v>
      </c>
      <c r="D10867" s="13" t="s">
        <v>13089</v>
      </c>
      <c r="E10867" s="8">
        <v>12000</v>
      </c>
      <c r="F10867" s="13" t="s">
        <v>70</v>
      </c>
      <c r="G10867" s="14">
        <v>44876</v>
      </c>
      <c r="H10867" s="13" t="s">
        <v>35</v>
      </c>
    </row>
    <row r="10868" spans="1:8" ht="14.4" x14ac:dyDescent="0.3">
      <c r="A10868" s="8">
        <v>2093359</v>
      </c>
      <c r="B10868" s="11">
        <v>44874</v>
      </c>
      <c r="C10868" s="13" t="s">
        <v>13093</v>
      </c>
      <c r="D10868" s="13" t="s">
        <v>13089</v>
      </c>
      <c r="E10868" s="8">
        <v>10000</v>
      </c>
      <c r="F10868" s="13" t="s">
        <v>70</v>
      </c>
      <c r="G10868" s="14">
        <v>44876</v>
      </c>
      <c r="H10868" s="13" t="s">
        <v>35</v>
      </c>
    </row>
    <row r="10869" spans="1:8" ht="14.4" x14ac:dyDescent="0.3">
      <c r="A10869" s="8">
        <v>2093360</v>
      </c>
      <c r="B10869" s="11">
        <v>44874</v>
      </c>
      <c r="C10869" s="13" t="s">
        <v>13094</v>
      </c>
      <c r="D10869" s="13" t="s">
        <v>13089</v>
      </c>
      <c r="E10869" s="8">
        <v>12000</v>
      </c>
      <c r="F10869" s="13" t="s">
        <v>70</v>
      </c>
      <c r="G10869" s="14">
        <v>44876</v>
      </c>
      <c r="H10869" s="13" t="s">
        <v>35</v>
      </c>
    </row>
    <row r="10870" spans="1:8" ht="14.4" x14ac:dyDescent="0.3">
      <c r="A10870" s="8">
        <v>2093361</v>
      </c>
      <c r="B10870" s="11">
        <v>44874</v>
      </c>
      <c r="C10870" s="13" t="s">
        <v>13095</v>
      </c>
      <c r="D10870" s="13" t="s">
        <v>13089</v>
      </c>
      <c r="E10870" s="8">
        <v>10000</v>
      </c>
      <c r="F10870" s="13" t="s">
        <v>70</v>
      </c>
      <c r="G10870" s="14">
        <v>44876</v>
      </c>
      <c r="H10870" s="13" t="s">
        <v>35</v>
      </c>
    </row>
    <row r="10871" spans="1:8" ht="14.4" x14ac:dyDescent="0.3">
      <c r="A10871" s="8">
        <v>2093362</v>
      </c>
      <c r="B10871" s="11">
        <v>44874</v>
      </c>
      <c r="C10871" s="13" t="s">
        <v>13096</v>
      </c>
      <c r="D10871" s="13" t="s">
        <v>5214</v>
      </c>
      <c r="E10871" s="8">
        <v>12000</v>
      </c>
      <c r="F10871" s="13" t="s">
        <v>70</v>
      </c>
      <c r="G10871" s="14">
        <v>44876</v>
      </c>
      <c r="H10871" s="13" t="s">
        <v>35</v>
      </c>
    </row>
    <row r="10872" spans="1:8" ht="14.4" x14ac:dyDescent="0.3">
      <c r="A10872" s="8">
        <v>2093363</v>
      </c>
      <c r="B10872" s="11">
        <v>44874</v>
      </c>
      <c r="C10872" s="13" t="s">
        <v>13097</v>
      </c>
      <c r="D10872" s="13" t="s">
        <v>13089</v>
      </c>
      <c r="E10872" s="8">
        <v>10000</v>
      </c>
      <c r="F10872" s="13" t="s">
        <v>70</v>
      </c>
      <c r="G10872" s="14">
        <v>44876</v>
      </c>
      <c r="H10872" s="13" t="s">
        <v>35</v>
      </c>
    </row>
    <row r="10873" spans="1:8" ht="14.4" x14ac:dyDescent="0.3">
      <c r="A10873" s="8">
        <v>2093364</v>
      </c>
      <c r="B10873" s="11">
        <v>44874</v>
      </c>
      <c r="C10873" s="13" t="s">
        <v>13098</v>
      </c>
      <c r="D10873" s="13" t="s">
        <v>13089</v>
      </c>
      <c r="E10873" s="8">
        <v>10000</v>
      </c>
      <c r="F10873" s="13" t="s">
        <v>70</v>
      </c>
      <c r="G10873" s="14">
        <v>44876</v>
      </c>
      <c r="H10873" s="13" t="s">
        <v>35</v>
      </c>
    </row>
    <row r="10874" spans="1:8" ht="14.4" x14ac:dyDescent="0.3">
      <c r="A10874" s="8">
        <v>2093365</v>
      </c>
      <c r="B10874" s="11">
        <v>44874</v>
      </c>
      <c r="C10874" s="13" t="s">
        <v>13099</v>
      </c>
      <c r="D10874" s="13" t="s">
        <v>13089</v>
      </c>
      <c r="E10874" s="8">
        <v>10000</v>
      </c>
      <c r="F10874" s="13" t="s">
        <v>70</v>
      </c>
      <c r="G10874" s="14">
        <v>44876</v>
      </c>
      <c r="H10874" s="13" t="s">
        <v>35</v>
      </c>
    </row>
    <row r="10875" spans="1:8" ht="14.4" x14ac:dyDescent="0.3">
      <c r="A10875" s="8">
        <v>2093366</v>
      </c>
      <c r="B10875" s="11">
        <v>44874</v>
      </c>
      <c r="C10875" s="13" t="s">
        <v>13100</v>
      </c>
      <c r="D10875" s="13" t="s">
        <v>13089</v>
      </c>
      <c r="E10875" s="8">
        <v>10000</v>
      </c>
      <c r="F10875" s="13" t="s">
        <v>70</v>
      </c>
      <c r="G10875" s="14">
        <v>44876</v>
      </c>
      <c r="H10875" s="13" t="s">
        <v>35</v>
      </c>
    </row>
    <row r="10876" spans="1:8" ht="14.4" x14ac:dyDescent="0.3">
      <c r="A10876" s="8">
        <v>2093367</v>
      </c>
      <c r="B10876" s="11">
        <v>44874</v>
      </c>
      <c r="C10876" s="13" t="s">
        <v>334</v>
      </c>
      <c r="D10876" s="13" t="s">
        <v>13101</v>
      </c>
      <c r="E10876" s="8">
        <v>10000</v>
      </c>
      <c r="F10876" s="13" t="s">
        <v>70</v>
      </c>
      <c r="G10876" s="14">
        <v>44879</v>
      </c>
      <c r="H10876" s="13" t="s">
        <v>35</v>
      </c>
    </row>
    <row r="10877" spans="1:8" ht="14.4" x14ac:dyDescent="0.3">
      <c r="A10877" s="8">
        <v>2093368</v>
      </c>
      <c r="B10877" s="11">
        <v>44874</v>
      </c>
      <c r="C10877" s="13" t="s">
        <v>8382</v>
      </c>
      <c r="D10877" s="13" t="s">
        <v>13101</v>
      </c>
      <c r="E10877" s="8">
        <v>20000</v>
      </c>
      <c r="F10877" s="13" t="s">
        <v>70</v>
      </c>
      <c r="G10877" s="14">
        <v>44879</v>
      </c>
      <c r="H10877" s="13" t="s">
        <v>35</v>
      </c>
    </row>
    <row r="10878" spans="1:8" ht="14.4" x14ac:dyDescent="0.3">
      <c r="A10878" s="8">
        <v>2093369</v>
      </c>
      <c r="B10878" s="11">
        <v>44874</v>
      </c>
      <c r="C10878" s="13" t="s">
        <v>2355</v>
      </c>
      <c r="D10878" s="13" t="s">
        <v>13101</v>
      </c>
      <c r="E10878" s="8">
        <v>6000</v>
      </c>
      <c r="F10878" s="13" t="s">
        <v>70</v>
      </c>
      <c r="G10878" s="14">
        <v>44879</v>
      </c>
      <c r="H10878" s="13" t="s">
        <v>35</v>
      </c>
    </row>
    <row r="10879" spans="1:8" ht="14.4" x14ac:dyDescent="0.3">
      <c r="A10879" s="8">
        <v>2093370</v>
      </c>
      <c r="B10879" s="11">
        <v>44874</v>
      </c>
      <c r="C10879" s="13" t="s">
        <v>339</v>
      </c>
      <c r="D10879" s="13" t="s">
        <v>13101</v>
      </c>
      <c r="E10879" s="8">
        <v>5000</v>
      </c>
      <c r="F10879" s="13" t="s">
        <v>70</v>
      </c>
      <c r="G10879" s="14">
        <v>44879</v>
      </c>
      <c r="H10879" s="13" t="s">
        <v>35</v>
      </c>
    </row>
    <row r="10880" spans="1:8" ht="14.4" x14ac:dyDescent="0.3">
      <c r="A10880" s="8">
        <v>2093371</v>
      </c>
      <c r="B10880" s="11">
        <v>44874</v>
      </c>
      <c r="C10880" s="13" t="s">
        <v>340</v>
      </c>
      <c r="D10880" s="13" t="s">
        <v>13101</v>
      </c>
      <c r="E10880" s="8">
        <v>5000</v>
      </c>
      <c r="F10880" s="13" t="s">
        <v>70</v>
      </c>
      <c r="G10880" s="14">
        <v>44879</v>
      </c>
      <c r="H10880" s="13" t="s">
        <v>35</v>
      </c>
    </row>
    <row r="10881" spans="1:8" ht="14.4" x14ac:dyDescent="0.3">
      <c r="A10881" s="8">
        <v>2093372</v>
      </c>
      <c r="B10881" s="11">
        <v>44874</v>
      </c>
      <c r="C10881" s="13" t="s">
        <v>2365</v>
      </c>
      <c r="D10881" s="13" t="s">
        <v>13101</v>
      </c>
      <c r="E10881" s="8">
        <v>5000</v>
      </c>
      <c r="F10881" s="13" t="s">
        <v>70</v>
      </c>
      <c r="G10881" s="14">
        <v>44879</v>
      </c>
      <c r="H10881" s="13" t="s">
        <v>35</v>
      </c>
    </row>
    <row r="10882" spans="1:8" ht="14.4" x14ac:dyDescent="0.3">
      <c r="A10882" s="8">
        <v>2093373</v>
      </c>
      <c r="B10882" s="11">
        <v>44874</v>
      </c>
      <c r="C10882" s="13" t="s">
        <v>342</v>
      </c>
      <c r="D10882" s="13" t="s">
        <v>13101</v>
      </c>
      <c r="E10882" s="8">
        <v>3000</v>
      </c>
      <c r="F10882" s="13" t="s">
        <v>70</v>
      </c>
      <c r="G10882" s="14">
        <v>44879</v>
      </c>
      <c r="H10882" s="13" t="s">
        <v>35</v>
      </c>
    </row>
    <row r="10883" spans="1:8" ht="14.4" x14ac:dyDescent="0.3">
      <c r="A10883" s="8">
        <v>2093374</v>
      </c>
      <c r="B10883" s="11">
        <v>44874</v>
      </c>
      <c r="C10883" s="13" t="s">
        <v>344</v>
      </c>
      <c r="D10883" s="13" t="s">
        <v>13101</v>
      </c>
      <c r="E10883" s="8">
        <v>3000</v>
      </c>
      <c r="F10883" s="13" t="s">
        <v>70</v>
      </c>
      <c r="G10883" s="14">
        <v>44879</v>
      </c>
      <c r="H10883" s="13" t="s">
        <v>35</v>
      </c>
    </row>
    <row r="10884" spans="1:8" ht="14.4" x14ac:dyDescent="0.3">
      <c r="A10884" s="8">
        <v>2093375</v>
      </c>
      <c r="B10884" s="11">
        <v>44874</v>
      </c>
      <c r="C10884" s="13" t="s">
        <v>390</v>
      </c>
      <c r="D10884" s="13" t="s">
        <v>13102</v>
      </c>
      <c r="E10884" s="8">
        <v>20000</v>
      </c>
      <c r="F10884" s="13" t="s">
        <v>70</v>
      </c>
      <c r="G10884" s="14">
        <v>44876</v>
      </c>
      <c r="H10884" s="13" t="s">
        <v>35</v>
      </c>
    </row>
    <row r="10885" spans="1:8" ht="14.4" x14ac:dyDescent="0.3">
      <c r="A10885" s="8">
        <v>2093376</v>
      </c>
      <c r="B10885" s="11">
        <v>44874</v>
      </c>
      <c r="C10885" s="13" t="s">
        <v>392</v>
      </c>
      <c r="D10885" s="13" t="s">
        <v>13102</v>
      </c>
      <c r="E10885" s="8">
        <v>10000</v>
      </c>
      <c r="F10885" s="13" t="s">
        <v>70</v>
      </c>
      <c r="G10885" s="14">
        <v>44876</v>
      </c>
      <c r="H10885" s="13" t="s">
        <v>35</v>
      </c>
    </row>
    <row r="10886" spans="1:8" ht="14.4" x14ac:dyDescent="0.3">
      <c r="A10886" s="8">
        <v>2093377</v>
      </c>
      <c r="B10886" s="11">
        <v>44874</v>
      </c>
      <c r="C10886" s="13" t="s">
        <v>393</v>
      </c>
      <c r="D10886" s="13" t="s">
        <v>13102</v>
      </c>
      <c r="E10886" s="8">
        <v>5000</v>
      </c>
      <c r="F10886" s="13" t="s">
        <v>70</v>
      </c>
      <c r="G10886" s="14">
        <v>44876</v>
      </c>
      <c r="H10886" s="13" t="s">
        <v>35</v>
      </c>
    </row>
    <row r="10887" spans="1:8" ht="14.4" x14ac:dyDescent="0.3">
      <c r="A10887" s="8">
        <v>2093378</v>
      </c>
      <c r="B10887" s="11">
        <v>44874</v>
      </c>
      <c r="C10887" s="13" t="s">
        <v>394</v>
      </c>
      <c r="D10887" s="13" t="s">
        <v>13102</v>
      </c>
      <c r="E10887" s="8">
        <v>3000</v>
      </c>
      <c r="F10887" s="13" t="s">
        <v>70</v>
      </c>
      <c r="G10887" s="14">
        <v>44876</v>
      </c>
      <c r="H10887" s="13" t="s">
        <v>35</v>
      </c>
    </row>
    <row r="10888" spans="1:8" ht="14.4" x14ac:dyDescent="0.3">
      <c r="A10888" s="8">
        <v>2093379</v>
      </c>
      <c r="B10888" s="11">
        <v>44874</v>
      </c>
      <c r="C10888" s="13" t="s">
        <v>159</v>
      </c>
      <c r="D10888" s="13" t="s">
        <v>13103</v>
      </c>
      <c r="E10888" s="8">
        <v>308500</v>
      </c>
      <c r="F10888" s="13" t="s">
        <v>70</v>
      </c>
      <c r="G10888" s="14">
        <v>44876</v>
      </c>
      <c r="H10888" s="13" t="s">
        <v>35</v>
      </c>
    </row>
    <row r="10889" spans="1:8" ht="14.4" x14ac:dyDescent="0.3">
      <c r="A10889" s="8">
        <v>2093381</v>
      </c>
      <c r="B10889" s="11">
        <v>44874</v>
      </c>
      <c r="C10889" s="13" t="s">
        <v>1509</v>
      </c>
      <c r="D10889" s="13" t="s">
        <v>94</v>
      </c>
      <c r="E10889" s="8">
        <v>23770.58</v>
      </c>
      <c r="F10889" s="13" t="s">
        <v>70</v>
      </c>
      <c r="G10889" s="14">
        <v>44876</v>
      </c>
      <c r="H10889" s="13" t="s">
        <v>35</v>
      </c>
    </row>
    <row r="10890" spans="1:8" ht="14.4" x14ac:dyDescent="0.3">
      <c r="A10890" s="8">
        <v>2093382</v>
      </c>
      <c r="B10890" s="11">
        <v>44874</v>
      </c>
      <c r="C10890" s="13" t="s">
        <v>1513</v>
      </c>
      <c r="D10890" s="13" t="s">
        <v>94</v>
      </c>
      <c r="E10890" s="8">
        <v>25408.67</v>
      </c>
      <c r="F10890" s="13" t="s">
        <v>70</v>
      </c>
      <c r="G10890" s="14">
        <v>44875</v>
      </c>
      <c r="H10890" s="13" t="s">
        <v>35</v>
      </c>
    </row>
    <row r="10891" spans="1:8" ht="14.4" x14ac:dyDescent="0.3">
      <c r="A10891" s="8">
        <v>2093383</v>
      </c>
      <c r="B10891" s="11">
        <v>44874</v>
      </c>
      <c r="C10891" s="13" t="s">
        <v>3902</v>
      </c>
      <c r="D10891" s="13" t="s">
        <v>94</v>
      </c>
      <c r="E10891" s="8">
        <v>21508.2</v>
      </c>
      <c r="F10891" s="13" t="s">
        <v>70</v>
      </c>
      <c r="G10891" s="14">
        <v>44879</v>
      </c>
      <c r="H10891" s="13" t="s">
        <v>35</v>
      </c>
    </row>
    <row r="10892" spans="1:8" ht="14.4" x14ac:dyDescent="0.3">
      <c r="A10892" s="8">
        <v>2093387</v>
      </c>
      <c r="B10892" s="11">
        <v>44874</v>
      </c>
      <c r="C10892" s="13" t="s">
        <v>1514</v>
      </c>
      <c r="D10892" s="13" t="s">
        <v>94</v>
      </c>
      <c r="E10892" s="8">
        <v>23420.400000000001</v>
      </c>
      <c r="F10892" s="13" t="s">
        <v>70</v>
      </c>
      <c r="G10892" s="14">
        <v>44876</v>
      </c>
      <c r="H10892" s="13" t="s">
        <v>35</v>
      </c>
    </row>
    <row r="10893" spans="1:8" ht="14.4" x14ac:dyDescent="0.3">
      <c r="A10893" s="8">
        <v>2092081</v>
      </c>
      <c r="B10893" s="11">
        <v>44875</v>
      </c>
      <c r="C10893" s="13" t="s">
        <v>13104</v>
      </c>
      <c r="D10893" s="13" t="s">
        <v>13105</v>
      </c>
      <c r="E10893" s="8">
        <v>7210.85</v>
      </c>
      <c r="F10893" s="13" t="s">
        <v>70</v>
      </c>
      <c r="G10893" s="14">
        <v>44876</v>
      </c>
      <c r="H10893" s="13" t="s">
        <v>35</v>
      </c>
    </row>
    <row r="10894" spans="1:8" ht="14.4" x14ac:dyDescent="0.3">
      <c r="A10894" s="8">
        <v>2093388</v>
      </c>
      <c r="B10894" s="11">
        <v>44875</v>
      </c>
      <c r="C10894" s="13" t="s">
        <v>5851</v>
      </c>
      <c r="D10894" s="13" t="s">
        <v>13106</v>
      </c>
      <c r="E10894" s="8">
        <v>4563926.0599999996</v>
      </c>
      <c r="F10894" s="13" t="s">
        <v>70</v>
      </c>
      <c r="G10894" s="14">
        <v>44876</v>
      </c>
      <c r="H10894" s="13" t="s">
        <v>35</v>
      </c>
    </row>
    <row r="10895" spans="1:8" ht="14.4" x14ac:dyDescent="0.3">
      <c r="A10895" s="8">
        <v>2093389</v>
      </c>
      <c r="B10895" s="11">
        <v>44875</v>
      </c>
      <c r="C10895" s="13" t="s">
        <v>13107</v>
      </c>
      <c r="D10895" s="13" t="s">
        <v>13108</v>
      </c>
      <c r="E10895" s="8">
        <v>28146.9</v>
      </c>
      <c r="F10895" s="13" t="s">
        <v>70</v>
      </c>
      <c r="G10895" s="14">
        <v>44876</v>
      </c>
      <c r="H10895" s="13" t="s">
        <v>35</v>
      </c>
    </row>
    <row r="10896" spans="1:8" ht="14.4" x14ac:dyDescent="0.3">
      <c r="A10896" s="8">
        <v>2093390</v>
      </c>
      <c r="B10896" s="11">
        <v>44875</v>
      </c>
      <c r="C10896" s="13" t="s">
        <v>13109</v>
      </c>
      <c r="D10896" s="13" t="s">
        <v>13110</v>
      </c>
      <c r="E10896" s="8">
        <v>17000</v>
      </c>
      <c r="F10896" s="13" t="s">
        <v>70</v>
      </c>
      <c r="G10896" s="14">
        <v>44876</v>
      </c>
      <c r="H10896" s="13" t="s">
        <v>35</v>
      </c>
    </row>
    <row r="10897" spans="1:8" ht="14.4" x14ac:dyDescent="0.3">
      <c r="A10897" s="8">
        <v>2093391</v>
      </c>
      <c r="B10897" s="11">
        <v>44875</v>
      </c>
      <c r="C10897" s="13" t="s">
        <v>506</v>
      </c>
      <c r="D10897" s="13" t="s">
        <v>13111</v>
      </c>
      <c r="E10897" s="8">
        <v>78000</v>
      </c>
      <c r="F10897" s="13" t="s">
        <v>70</v>
      </c>
      <c r="G10897" s="14">
        <v>44876</v>
      </c>
      <c r="H10897" s="13" t="s">
        <v>35</v>
      </c>
    </row>
    <row r="10898" spans="1:8" ht="14.4" x14ac:dyDescent="0.3">
      <c r="A10898" s="8">
        <v>2093392</v>
      </c>
      <c r="B10898" s="11">
        <v>44875</v>
      </c>
      <c r="C10898" s="13" t="s">
        <v>176</v>
      </c>
      <c r="D10898" s="13" t="s">
        <v>13112</v>
      </c>
      <c r="E10898" s="8">
        <v>94000</v>
      </c>
      <c r="F10898" s="13" t="s">
        <v>70</v>
      </c>
      <c r="G10898" s="14">
        <v>44876</v>
      </c>
      <c r="H10898" s="13" t="s">
        <v>35</v>
      </c>
    </row>
    <row r="10899" spans="1:8" ht="14.4" x14ac:dyDescent="0.3">
      <c r="A10899" s="8">
        <v>2093393</v>
      </c>
      <c r="B10899" s="11">
        <v>44875</v>
      </c>
      <c r="C10899" s="13" t="s">
        <v>13113</v>
      </c>
      <c r="D10899" s="13" t="s">
        <v>13114</v>
      </c>
      <c r="E10899" s="8">
        <v>14000</v>
      </c>
      <c r="F10899" s="13" t="s">
        <v>70</v>
      </c>
      <c r="G10899" s="14">
        <v>44876</v>
      </c>
      <c r="H10899" s="13" t="s">
        <v>35</v>
      </c>
    </row>
    <row r="10900" spans="1:8" ht="14.4" x14ac:dyDescent="0.3">
      <c r="A10900" s="8">
        <v>2093394</v>
      </c>
      <c r="B10900" s="11">
        <v>44875</v>
      </c>
      <c r="C10900" s="13" t="s">
        <v>831</v>
      </c>
      <c r="D10900" s="13" t="s">
        <v>13115</v>
      </c>
      <c r="E10900" s="8">
        <v>10000</v>
      </c>
      <c r="F10900" s="13" t="s">
        <v>70</v>
      </c>
      <c r="G10900" s="14">
        <v>44876</v>
      </c>
      <c r="H10900" s="13" t="s">
        <v>35</v>
      </c>
    </row>
    <row r="10901" spans="1:8" ht="14.4" x14ac:dyDescent="0.3">
      <c r="A10901" s="8">
        <v>2093395</v>
      </c>
      <c r="B10901" s="11">
        <v>44875</v>
      </c>
      <c r="C10901" s="13" t="s">
        <v>833</v>
      </c>
      <c r="D10901" s="13" t="s">
        <v>13115</v>
      </c>
      <c r="E10901" s="8">
        <v>10000</v>
      </c>
      <c r="F10901" s="13" t="s">
        <v>70</v>
      </c>
      <c r="G10901" s="14">
        <v>44876</v>
      </c>
      <c r="H10901" s="13" t="s">
        <v>35</v>
      </c>
    </row>
    <row r="10902" spans="1:8" ht="14.4" x14ac:dyDescent="0.3">
      <c r="A10902" s="8">
        <v>2093396</v>
      </c>
      <c r="B10902" s="11">
        <v>44875</v>
      </c>
      <c r="C10902" s="13" t="s">
        <v>834</v>
      </c>
      <c r="D10902" s="13" t="s">
        <v>13115</v>
      </c>
      <c r="E10902" s="8">
        <v>10000</v>
      </c>
      <c r="F10902" s="13" t="s">
        <v>70</v>
      </c>
      <c r="G10902" s="14">
        <v>44876</v>
      </c>
      <c r="H10902" s="13" t="s">
        <v>35</v>
      </c>
    </row>
    <row r="10903" spans="1:8" ht="14.4" x14ac:dyDescent="0.3">
      <c r="A10903" s="8">
        <v>2093397</v>
      </c>
      <c r="B10903" s="11">
        <v>44875</v>
      </c>
      <c r="C10903" s="13" t="s">
        <v>13116</v>
      </c>
      <c r="D10903" s="13" t="s">
        <v>76</v>
      </c>
      <c r="E10903" s="8">
        <v>10000</v>
      </c>
      <c r="F10903" s="13" t="s">
        <v>70</v>
      </c>
      <c r="G10903" s="14">
        <v>44876</v>
      </c>
      <c r="H10903" s="13" t="s">
        <v>35</v>
      </c>
    </row>
    <row r="10904" spans="1:8" ht="14.4" x14ac:dyDescent="0.3">
      <c r="A10904" s="8">
        <v>2093398</v>
      </c>
      <c r="B10904" s="11">
        <v>44875</v>
      </c>
      <c r="C10904" s="13" t="s">
        <v>839</v>
      </c>
      <c r="D10904" s="13" t="s">
        <v>76</v>
      </c>
      <c r="E10904" s="8">
        <v>10000</v>
      </c>
      <c r="F10904" s="13" t="s">
        <v>70</v>
      </c>
      <c r="G10904" s="14">
        <v>44876</v>
      </c>
      <c r="H10904" s="13" t="s">
        <v>35</v>
      </c>
    </row>
    <row r="10905" spans="1:8" ht="14.4" x14ac:dyDescent="0.3">
      <c r="A10905" s="8">
        <v>2093399</v>
      </c>
      <c r="B10905" s="11">
        <v>44875</v>
      </c>
      <c r="C10905" s="13" t="s">
        <v>840</v>
      </c>
      <c r="D10905" s="13" t="s">
        <v>76</v>
      </c>
      <c r="E10905" s="8">
        <v>10000</v>
      </c>
      <c r="F10905" s="13" t="s">
        <v>70</v>
      </c>
      <c r="G10905" s="14">
        <v>44876</v>
      </c>
      <c r="H10905" s="13" t="s">
        <v>35</v>
      </c>
    </row>
    <row r="10906" spans="1:8" ht="14.4" x14ac:dyDescent="0.3">
      <c r="A10906" s="8">
        <v>2093400</v>
      </c>
      <c r="B10906" s="11">
        <v>44875</v>
      </c>
      <c r="C10906" s="13" t="s">
        <v>841</v>
      </c>
      <c r="D10906" s="13" t="s">
        <v>76</v>
      </c>
      <c r="E10906" s="8">
        <v>10000</v>
      </c>
      <c r="F10906" s="13" t="s">
        <v>70</v>
      </c>
      <c r="G10906" s="14">
        <v>44876</v>
      </c>
      <c r="H10906" s="13" t="s">
        <v>35</v>
      </c>
    </row>
    <row r="10907" spans="1:8" ht="14.4" x14ac:dyDescent="0.3">
      <c r="A10907" s="8">
        <v>2093401</v>
      </c>
      <c r="B10907" s="11">
        <v>44875</v>
      </c>
      <c r="C10907" s="13" t="s">
        <v>2447</v>
      </c>
      <c r="D10907" s="13" t="s">
        <v>76</v>
      </c>
      <c r="E10907" s="8">
        <v>15000</v>
      </c>
      <c r="F10907" s="13" t="s">
        <v>70</v>
      </c>
      <c r="G10907" s="14">
        <v>44876</v>
      </c>
      <c r="H10907" s="13" t="s">
        <v>35</v>
      </c>
    </row>
    <row r="10908" spans="1:8" ht="14.4" x14ac:dyDescent="0.3">
      <c r="A10908" s="8">
        <v>2093402</v>
      </c>
      <c r="B10908" s="11">
        <v>44875</v>
      </c>
      <c r="C10908" s="13" t="s">
        <v>306</v>
      </c>
      <c r="D10908" s="13" t="s">
        <v>13089</v>
      </c>
      <c r="E10908" s="8">
        <v>15000</v>
      </c>
      <c r="F10908" s="13" t="s">
        <v>70</v>
      </c>
      <c r="G10908" s="14">
        <v>44876</v>
      </c>
      <c r="H10908" s="13" t="s">
        <v>35</v>
      </c>
    </row>
    <row r="10909" spans="1:8" ht="14.4" x14ac:dyDescent="0.3">
      <c r="A10909" s="8">
        <v>2093403</v>
      </c>
      <c r="B10909" s="11">
        <v>44875</v>
      </c>
      <c r="C10909" s="13" t="s">
        <v>13117</v>
      </c>
      <c r="D10909" s="13" t="s">
        <v>13089</v>
      </c>
      <c r="E10909" s="8">
        <v>10000</v>
      </c>
      <c r="F10909" s="13" t="s">
        <v>70</v>
      </c>
      <c r="G10909" s="14">
        <v>44876</v>
      </c>
      <c r="H10909" s="13" t="s">
        <v>35</v>
      </c>
    </row>
    <row r="10910" spans="1:8" ht="14.4" x14ac:dyDescent="0.3">
      <c r="A10910" s="8">
        <v>2093404</v>
      </c>
      <c r="B10910" s="11">
        <v>44875</v>
      </c>
      <c r="C10910" s="13" t="s">
        <v>13118</v>
      </c>
      <c r="D10910" s="13" t="s">
        <v>13089</v>
      </c>
      <c r="E10910" s="8">
        <v>10000</v>
      </c>
      <c r="F10910" s="13" t="s">
        <v>70</v>
      </c>
      <c r="G10910" s="14">
        <v>44876</v>
      </c>
      <c r="H10910" s="13" t="s">
        <v>35</v>
      </c>
    </row>
    <row r="10911" spans="1:8" ht="14.4" x14ac:dyDescent="0.3">
      <c r="A10911" s="8">
        <v>2093405</v>
      </c>
      <c r="B10911" s="11">
        <v>44875</v>
      </c>
      <c r="C10911" s="13" t="s">
        <v>13119</v>
      </c>
      <c r="D10911" s="13" t="s">
        <v>13089</v>
      </c>
      <c r="E10911" s="8">
        <v>10000</v>
      </c>
      <c r="F10911" s="13" t="s">
        <v>70</v>
      </c>
      <c r="G10911" s="14">
        <v>44876</v>
      </c>
      <c r="H10911" s="13" t="s">
        <v>35</v>
      </c>
    </row>
    <row r="10912" spans="1:8" ht="14.4" x14ac:dyDescent="0.3">
      <c r="A10912" s="8">
        <v>2093406</v>
      </c>
      <c r="B10912" s="11">
        <v>44875</v>
      </c>
      <c r="C10912" s="13" t="s">
        <v>13120</v>
      </c>
      <c r="D10912" s="13" t="s">
        <v>13089</v>
      </c>
      <c r="E10912" s="8">
        <v>10000</v>
      </c>
      <c r="F10912" s="13" t="s">
        <v>70</v>
      </c>
      <c r="G10912" s="14">
        <v>44876</v>
      </c>
      <c r="H10912" s="13" t="s">
        <v>35</v>
      </c>
    </row>
    <row r="10913" spans="1:8" ht="14.4" x14ac:dyDescent="0.3">
      <c r="A10913" s="8">
        <v>2093407</v>
      </c>
      <c r="B10913" s="11">
        <v>44875</v>
      </c>
      <c r="C10913" s="13" t="s">
        <v>13121</v>
      </c>
      <c r="D10913" s="13" t="s">
        <v>13089</v>
      </c>
      <c r="E10913" s="8">
        <v>10000</v>
      </c>
      <c r="F10913" s="13" t="s">
        <v>70</v>
      </c>
      <c r="G10913" s="14">
        <v>44876</v>
      </c>
      <c r="H10913" s="13" t="s">
        <v>35</v>
      </c>
    </row>
    <row r="10914" spans="1:8" ht="14.4" x14ac:dyDescent="0.3">
      <c r="A10914" s="8">
        <v>2093408</v>
      </c>
      <c r="B10914" s="11">
        <v>44875</v>
      </c>
      <c r="C10914" s="13" t="s">
        <v>531</v>
      </c>
      <c r="D10914" s="13" t="s">
        <v>76</v>
      </c>
      <c r="E10914" s="8">
        <v>10000</v>
      </c>
      <c r="F10914" s="13" t="s">
        <v>70</v>
      </c>
      <c r="G10914" s="14">
        <v>44875</v>
      </c>
      <c r="H10914" s="13" t="s">
        <v>35</v>
      </c>
    </row>
    <row r="10915" spans="1:8" ht="14.4" x14ac:dyDescent="0.3">
      <c r="A10915" s="8">
        <v>2093409</v>
      </c>
      <c r="B10915" s="11">
        <v>44875</v>
      </c>
      <c r="C10915" s="13" t="s">
        <v>532</v>
      </c>
      <c r="D10915" s="13" t="s">
        <v>76</v>
      </c>
      <c r="E10915" s="8">
        <v>10000</v>
      </c>
      <c r="F10915" s="13" t="s">
        <v>70</v>
      </c>
      <c r="G10915" s="14">
        <v>44876</v>
      </c>
      <c r="H10915" s="13" t="s">
        <v>35</v>
      </c>
    </row>
    <row r="10916" spans="1:8" ht="14.4" x14ac:dyDescent="0.3">
      <c r="A10916" s="8">
        <v>2093411</v>
      </c>
      <c r="B10916" s="11">
        <v>44875</v>
      </c>
      <c r="C10916" s="13" t="s">
        <v>533</v>
      </c>
      <c r="D10916" s="13" t="s">
        <v>76</v>
      </c>
      <c r="E10916" s="8">
        <v>3000</v>
      </c>
      <c r="F10916" s="13" t="s">
        <v>70</v>
      </c>
      <c r="G10916" s="14">
        <v>44876</v>
      </c>
      <c r="H10916" s="13" t="s">
        <v>35</v>
      </c>
    </row>
    <row r="10917" spans="1:8" ht="14.4" x14ac:dyDescent="0.3">
      <c r="A10917" s="8">
        <v>2093412</v>
      </c>
      <c r="B10917" s="11">
        <v>44875</v>
      </c>
      <c r="C10917" s="13" t="s">
        <v>13122</v>
      </c>
      <c r="D10917" s="13" t="s">
        <v>13123</v>
      </c>
      <c r="E10917" s="8">
        <v>20000</v>
      </c>
      <c r="F10917" s="13" t="s">
        <v>70</v>
      </c>
      <c r="G10917" s="14">
        <v>44875</v>
      </c>
      <c r="H10917" s="13" t="s">
        <v>35</v>
      </c>
    </row>
    <row r="10918" spans="1:8" ht="14.4" x14ac:dyDescent="0.3">
      <c r="A10918" s="8">
        <v>2093413</v>
      </c>
      <c r="B10918" s="11">
        <v>44875</v>
      </c>
      <c r="C10918" s="13" t="s">
        <v>2401</v>
      </c>
      <c r="D10918" s="13" t="s">
        <v>13123</v>
      </c>
      <c r="E10918" s="8">
        <v>6000</v>
      </c>
      <c r="F10918" s="13" t="s">
        <v>70</v>
      </c>
      <c r="G10918" s="14">
        <v>44876</v>
      </c>
      <c r="H10918" s="13" t="s">
        <v>35</v>
      </c>
    </row>
    <row r="10919" spans="1:8" ht="14.4" x14ac:dyDescent="0.3">
      <c r="A10919" s="8">
        <v>2093414</v>
      </c>
      <c r="B10919" s="11">
        <v>44875</v>
      </c>
      <c r="C10919" s="13" t="s">
        <v>299</v>
      </c>
      <c r="D10919" s="13" t="s">
        <v>13123</v>
      </c>
      <c r="E10919" s="8">
        <v>3000</v>
      </c>
      <c r="F10919" s="13" t="s">
        <v>70</v>
      </c>
      <c r="G10919" s="14">
        <v>44876</v>
      </c>
      <c r="H10919" s="13" t="s">
        <v>35</v>
      </c>
    </row>
    <row r="10920" spans="1:8" ht="14.4" x14ac:dyDescent="0.3">
      <c r="A10920" s="8">
        <v>2093415</v>
      </c>
      <c r="B10920" s="11">
        <v>44875</v>
      </c>
      <c r="C10920" s="13" t="s">
        <v>390</v>
      </c>
      <c r="D10920" s="13" t="s">
        <v>13124</v>
      </c>
      <c r="E10920" s="8">
        <v>20000</v>
      </c>
      <c r="F10920" s="13" t="s">
        <v>70</v>
      </c>
      <c r="G10920" s="14">
        <v>44876</v>
      </c>
      <c r="H10920" s="13" t="s">
        <v>35</v>
      </c>
    </row>
    <row r="10921" spans="1:8" ht="14.4" x14ac:dyDescent="0.3">
      <c r="A10921" s="8">
        <v>2093416</v>
      </c>
      <c r="B10921" s="11">
        <v>44875</v>
      </c>
      <c r="C10921" s="13" t="s">
        <v>387</v>
      </c>
      <c r="D10921" s="13" t="s">
        <v>13124</v>
      </c>
      <c r="E10921" s="8">
        <v>10000</v>
      </c>
      <c r="F10921" s="13" t="s">
        <v>70</v>
      </c>
      <c r="G10921" s="14">
        <v>44876</v>
      </c>
      <c r="H10921" s="13" t="s">
        <v>35</v>
      </c>
    </row>
    <row r="10922" spans="1:8" ht="14.4" x14ac:dyDescent="0.3">
      <c r="A10922" s="8">
        <v>2093417</v>
      </c>
      <c r="B10922" s="11">
        <v>44875</v>
      </c>
      <c r="C10922" s="13" t="s">
        <v>389</v>
      </c>
      <c r="D10922" s="13" t="s">
        <v>13124</v>
      </c>
      <c r="E10922" s="8">
        <v>5000</v>
      </c>
      <c r="F10922" s="13" t="s">
        <v>70</v>
      </c>
      <c r="G10922" s="14">
        <v>44876</v>
      </c>
      <c r="H10922" s="13" t="s">
        <v>35</v>
      </c>
    </row>
    <row r="10923" spans="1:8" ht="14.4" x14ac:dyDescent="0.3">
      <c r="A10923" s="8">
        <v>2093418</v>
      </c>
      <c r="B10923" s="11">
        <v>44875</v>
      </c>
      <c r="C10923" s="13" t="s">
        <v>2399</v>
      </c>
      <c r="D10923" s="13" t="s">
        <v>13124</v>
      </c>
      <c r="E10923" s="8">
        <v>3000</v>
      </c>
      <c r="F10923" s="13" t="s">
        <v>70</v>
      </c>
      <c r="G10923" s="14">
        <v>44876</v>
      </c>
      <c r="H10923" s="13" t="s">
        <v>35</v>
      </c>
    </row>
    <row r="10924" spans="1:8" ht="14.4" x14ac:dyDescent="0.3">
      <c r="A10924" s="8">
        <v>2093420</v>
      </c>
      <c r="B10924" s="11">
        <v>44875</v>
      </c>
      <c r="C10924" s="13" t="s">
        <v>2232</v>
      </c>
      <c r="D10924" s="13" t="s">
        <v>76</v>
      </c>
      <c r="E10924" s="8">
        <v>10000</v>
      </c>
      <c r="F10924" s="13" t="s">
        <v>70</v>
      </c>
      <c r="G10924" s="14">
        <v>44879</v>
      </c>
      <c r="H10924" s="13" t="s">
        <v>35</v>
      </c>
    </row>
    <row r="10925" spans="1:8" ht="14.4" x14ac:dyDescent="0.3">
      <c r="A10925" s="8">
        <v>2093421</v>
      </c>
      <c r="B10925" s="11">
        <v>44875</v>
      </c>
      <c r="C10925" s="13" t="s">
        <v>2233</v>
      </c>
      <c r="D10925" s="13" t="s">
        <v>76</v>
      </c>
      <c r="E10925" s="8">
        <v>5000</v>
      </c>
      <c r="F10925" s="13" t="s">
        <v>70</v>
      </c>
      <c r="G10925" s="14">
        <v>44879</v>
      </c>
      <c r="H10925" s="13" t="s">
        <v>35</v>
      </c>
    </row>
    <row r="10926" spans="1:8" ht="14.4" x14ac:dyDescent="0.3">
      <c r="A10926" s="8">
        <v>2093422</v>
      </c>
      <c r="B10926" s="11">
        <v>44875</v>
      </c>
      <c r="C10926" s="13" t="s">
        <v>2234</v>
      </c>
      <c r="D10926" s="13" t="s">
        <v>76</v>
      </c>
      <c r="E10926" s="8">
        <v>3000</v>
      </c>
      <c r="F10926" s="13" t="s">
        <v>70</v>
      </c>
      <c r="G10926" s="14">
        <v>44879</v>
      </c>
      <c r="H10926" s="13" t="s">
        <v>35</v>
      </c>
    </row>
    <row r="10927" spans="1:8" ht="14.4" x14ac:dyDescent="0.3">
      <c r="A10927" s="8">
        <v>2093425</v>
      </c>
      <c r="B10927" s="11">
        <v>44875</v>
      </c>
      <c r="C10927" s="13" t="s">
        <v>13125</v>
      </c>
      <c r="D10927" s="13" t="s">
        <v>13126</v>
      </c>
      <c r="E10927" s="8">
        <v>50000</v>
      </c>
      <c r="F10927" s="13" t="s">
        <v>70</v>
      </c>
      <c r="G10927" s="14">
        <v>44879</v>
      </c>
      <c r="H10927" s="13" t="s">
        <v>35</v>
      </c>
    </row>
    <row r="10928" spans="1:8" ht="14.4" x14ac:dyDescent="0.3">
      <c r="A10928" s="8">
        <v>2093426</v>
      </c>
      <c r="B10928" s="11">
        <v>44875</v>
      </c>
      <c r="C10928" s="13" t="s">
        <v>13127</v>
      </c>
      <c r="D10928" s="13" t="s">
        <v>13128</v>
      </c>
      <c r="E10928" s="8">
        <v>10000</v>
      </c>
      <c r="F10928" s="13" t="s">
        <v>70</v>
      </c>
      <c r="G10928" s="14">
        <v>44879</v>
      </c>
      <c r="H10928" s="13" t="s">
        <v>35</v>
      </c>
    </row>
    <row r="10929" spans="1:8" ht="14.4" x14ac:dyDescent="0.3">
      <c r="A10929" s="8">
        <v>2093427</v>
      </c>
      <c r="B10929" s="11">
        <v>44875</v>
      </c>
      <c r="C10929" s="13" t="s">
        <v>13129</v>
      </c>
      <c r="D10929" s="13" t="s">
        <v>13130</v>
      </c>
      <c r="E10929" s="8">
        <v>10000</v>
      </c>
      <c r="F10929" s="13" t="s">
        <v>70</v>
      </c>
      <c r="G10929" s="14">
        <v>44879</v>
      </c>
      <c r="H10929" s="13" t="s">
        <v>35</v>
      </c>
    </row>
    <row r="10930" spans="1:8" ht="14.4" x14ac:dyDescent="0.3">
      <c r="A10930" s="8">
        <v>2093428</v>
      </c>
      <c r="B10930" s="11">
        <v>44875</v>
      </c>
      <c r="C10930" s="13" t="s">
        <v>13131</v>
      </c>
      <c r="D10930" s="13" t="s">
        <v>13132</v>
      </c>
      <c r="E10930" s="8">
        <v>32000</v>
      </c>
      <c r="F10930" s="13" t="s">
        <v>70</v>
      </c>
      <c r="G10930" s="14">
        <v>44879</v>
      </c>
      <c r="H10930" s="13" t="s">
        <v>35</v>
      </c>
    </row>
    <row r="10931" spans="1:8" ht="14.4" x14ac:dyDescent="0.3">
      <c r="A10931" s="8">
        <v>2093430</v>
      </c>
      <c r="B10931" s="11">
        <v>44875</v>
      </c>
      <c r="C10931" s="13" t="s">
        <v>13133</v>
      </c>
      <c r="D10931" s="13" t="s">
        <v>13134</v>
      </c>
      <c r="E10931" s="8">
        <v>18900</v>
      </c>
      <c r="F10931" s="13" t="s">
        <v>70</v>
      </c>
      <c r="G10931" s="14">
        <v>44879</v>
      </c>
      <c r="H10931" s="13" t="s">
        <v>35</v>
      </c>
    </row>
    <row r="10932" spans="1:8" ht="14.4" x14ac:dyDescent="0.3">
      <c r="A10932" s="8">
        <v>2093432</v>
      </c>
      <c r="B10932" s="11">
        <v>44875</v>
      </c>
      <c r="C10932" s="13" t="s">
        <v>68</v>
      </c>
      <c r="D10932" s="13" t="s">
        <v>101</v>
      </c>
      <c r="E10932" s="8">
        <v>50000</v>
      </c>
      <c r="F10932" s="13" t="s">
        <v>70</v>
      </c>
      <c r="G10932" s="14">
        <v>44880</v>
      </c>
      <c r="H10932" s="13" t="s">
        <v>35</v>
      </c>
    </row>
    <row r="10933" spans="1:8" ht="14.4" x14ac:dyDescent="0.3">
      <c r="A10933" s="8">
        <v>2093435</v>
      </c>
      <c r="B10933" s="11">
        <v>44875</v>
      </c>
      <c r="C10933" s="13" t="s">
        <v>13135</v>
      </c>
      <c r="D10933" s="13" t="s">
        <v>13136</v>
      </c>
      <c r="E10933" s="8">
        <v>24000</v>
      </c>
      <c r="F10933" s="13" t="s">
        <v>70</v>
      </c>
      <c r="G10933" s="14">
        <v>44879</v>
      </c>
      <c r="H10933" s="13" t="s">
        <v>35</v>
      </c>
    </row>
    <row r="10934" spans="1:8" ht="14.4" x14ac:dyDescent="0.3">
      <c r="A10934" s="8">
        <v>2093436</v>
      </c>
      <c r="B10934" s="11">
        <v>44875</v>
      </c>
      <c r="C10934" s="13" t="s">
        <v>13137</v>
      </c>
      <c r="D10934" s="13" t="s">
        <v>13138</v>
      </c>
      <c r="E10934" s="8">
        <v>40000</v>
      </c>
      <c r="F10934" s="13" t="s">
        <v>70</v>
      </c>
      <c r="G10934" s="14">
        <v>44879</v>
      </c>
      <c r="H10934" s="13" t="s">
        <v>35</v>
      </c>
    </row>
    <row r="10935" spans="1:8" ht="14.4" x14ac:dyDescent="0.3">
      <c r="A10935" s="8">
        <v>2093438</v>
      </c>
      <c r="B10935" s="11">
        <v>44875</v>
      </c>
      <c r="C10935" s="13" t="s">
        <v>13139</v>
      </c>
      <c r="D10935" s="13" t="s">
        <v>13140</v>
      </c>
      <c r="E10935" s="8">
        <v>9000</v>
      </c>
      <c r="F10935" s="13" t="s">
        <v>70</v>
      </c>
      <c r="G10935" s="14">
        <v>44879</v>
      </c>
      <c r="H10935" s="13" t="s">
        <v>35</v>
      </c>
    </row>
    <row r="10936" spans="1:8" ht="14.4" x14ac:dyDescent="0.3">
      <c r="A10936" s="8">
        <v>2093439</v>
      </c>
      <c r="B10936" s="11">
        <v>44875</v>
      </c>
      <c r="C10936" s="13" t="s">
        <v>103</v>
      </c>
      <c r="D10936" s="13" t="s">
        <v>104</v>
      </c>
      <c r="E10936" s="8">
        <v>25000</v>
      </c>
      <c r="F10936" s="13" t="s">
        <v>70</v>
      </c>
      <c r="G10936" s="14">
        <v>44880</v>
      </c>
      <c r="H10936" s="13" t="s">
        <v>35</v>
      </c>
    </row>
    <row r="10937" spans="1:8" ht="14.4" x14ac:dyDescent="0.3">
      <c r="A10937" s="8">
        <v>2093440</v>
      </c>
      <c r="B10937" s="11">
        <v>44875</v>
      </c>
      <c r="C10937" s="13" t="s">
        <v>13141</v>
      </c>
      <c r="D10937" s="13" t="s">
        <v>13142</v>
      </c>
      <c r="E10937" s="8">
        <v>9000</v>
      </c>
      <c r="F10937" s="13" t="s">
        <v>70</v>
      </c>
      <c r="G10937" s="14">
        <v>44879</v>
      </c>
      <c r="H10937" s="13" t="s">
        <v>35</v>
      </c>
    </row>
    <row r="10938" spans="1:8" ht="14.4" x14ac:dyDescent="0.3">
      <c r="A10938" s="8">
        <v>2093441</v>
      </c>
      <c r="B10938" s="11">
        <v>44875</v>
      </c>
      <c r="C10938" s="13" t="s">
        <v>13143</v>
      </c>
      <c r="D10938" s="13" t="s">
        <v>13144</v>
      </c>
      <c r="E10938" s="8">
        <v>18000</v>
      </c>
      <c r="F10938" s="13" t="s">
        <v>70</v>
      </c>
      <c r="G10938" s="14">
        <v>44879</v>
      </c>
      <c r="H10938" s="13" t="s">
        <v>35</v>
      </c>
    </row>
    <row r="10939" spans="1:8" ht="14.4" x14ac:dyDescent="0.3">
      <c r="A10939" s="8">
        <v>2093442</v>
      </c>
      <c r="B10939" s="11">
        <v>44875</v>
      </c>
      <c r="C10939" s="13" t="s">
        <v>13145</v>
      </c>
      <c r="D10939" s="13" t="s">
        <v>13146</v>
      </c>
      <c r="E10939" s="8">
        <v>14000</v>
      </c>
      <c r="F10939" s="13" t="s">
        <v>70</v>
      </c>
      <c r="G10939" s="14">
        <v>44879</v>
      </c>
      <c r="H10939" s="13" t="s">
        <v>35</v>
      </c>
    </row>
    <row r="10940" spans="1:8" ht="14.4" x14ac:dyDescent="0.3">
      <c r="A10940" s="8">
        <v>2093444</v>
      </c>
      <c r="B10940" s="11">
        <v>44875</v>
      </c>
      <c r="C10940" s="13" t="s">
        <v>13147</v>
      </c>
      <c r="D10940" s="13" t="s">
        <v>13148</v>
      </c>
      <c r="E10940" s="8">
        <v>8000</v>
      </c>
      <c r="F10940" s="13" t="s">
        <v>70</v>
      </c>
      <c r="G10940" s="14">
        <v>44879</v>
      </c>
      <c r="H10940" s="13" t="s">
        <v>35</v>
      </c>
    </row>
    <row r="10941" spans="1:8" ht="14.4" x14ac:dyDescent="0.3">
      <c r="A10941" s="8">
        <v>2093445</v>
      </c>
      <c r="B10941" s="11">
        <v>44875</v>
      </c>
      <c r="C10941" s="13" t="s">
        <v>13149</v>
      </c>
      <c r="D10941" s="13" t="s">
        <v>13150</v>
      </c>
      <c r="E10941" s="8">
        <v>10000</v>
      </c>
      <c r="F10941" s="13" t="s">
        <v>70</v>
      </c>
      <c r="G10941" s="14">
        <v>44879</v>
      </c>
      <c r="H10941" s="13" t="s">
        <v>35</v>
      </c>
    </row>
    <row r="10942" spans="1:8" ht="14.4" x14ac:dyDescent="0.3">
      <c r="A10942" s="8">
        <v>2093446</v>
      </c>
      <c r="B10942" s="11">
        <v>44875</v>
      </c>
      <c r="C10942" s="13" t="s">
        <v>13151</v>
      </c>
      <c r="D10942" s="13" t="s">
        <v>13152</v>
      </c>
      <c r="E10942" s="8">
        <v>10000</v>
      </c>
      <c r="F10942" s="13" t="s">
        <v>70</v>
      </c>
      <c r="G10942" s="14">
        <v>44879</v>
      </c>
      <c r="H10942" s="13" t="s">
        <v>35</v>
      </c>
    </row>
    <row r="10943" spans="1:8" ht="14.4" x14ac:dyDescent="0.3">
      <c r="A10943" s="8">
        <v>2093448</v>
      </c>
      <c r="B10943" s="11">
        <v>44875</v>
      </c>
      <c r="C10943" s="13" t="s">
        <v>13153</v>
      </c>
      <c r="D10943" s="13" t="s">
        <v>13154</v>
      </c>
      <c r="E10943" s="8">
        <v>8000</v>
      </c>
      <c r="F10943" s="13" t="s">
        <v>70</v>
      </c>
      <c r="G10943" s="14">
        <v>44879</v>
      </c>
      <c r="H10943" s="13" t="s">
        <v>35</v>
      </c>
    </row>
    <row r="10944" spans="1:8" ht="14.4" x14ac:dyDescent="0.3">
      <c r="A10944" s="8">
        <v>2093449</v>
      </c>
      <c r="B10944" s="11">
        <v>44875</v>
      </c>
      <c r="C10944" s="13" t="s">
        <v>13155</v>
      </c>
      <c r="D10944" s="13" t="s">
        <v>13156</v>
      </c>
      <c r="E10944" s="8">
        <v>50000</v>
      </c>
      <c r="F10944" s="13" t="s">
        <v>70</v>
      </c>
      <c r="G10944" s="14">
        <v>44879</v>
      </c>
      <c r="H10944" s="13" t="s">
        <v>35</v>
      </c>
    </row>
    <row r="10945" spans="1:8" ht="14.4" x14ac:dyDescent="0.3">
      <c r="A10945" s="8">
        <v>2093450</v>
      </c>
      <c r="B10945" s="11">
        <v>44875</v>
      </c>
      <c r="C10945" s="13" t="s">
        <v>13157</v>
      </c>
      <c r="D10945" s="13" t="s">
        <v>13158</v>
      </c>
      <c r="E10945" s="8">
        <v>35000</v>
      </c>
      <c r="F10945" s="13" t="s">
        <v>70</v>
      </c>
      <c r="G10945" s="14">
        <v>44879</v>
      </c>
      <c r="H10945" s="13" t="s">
        <v>35</v>
      </c>
    </row>
    <row r="10946" spans="1:8" ht="14.4" x14ac:dyDescent="0.3">
      <c r="A10946" s="8">
        <v>2093452</v>
      </c>
      <c r="B10946" s="11">
        <v>44875</v>
      </c>
      <c r="C10946" s="13" t="s">
        <v>105</v>
      </c>
      <c r="D10946" s="13" t="s">
        <v>106</v>
      </c>
      <c r="E10946" s="8">
        <v>10950</v>
      </c>
      <c r="F10946" s="13" t="s">
        <v>70</v>
      </c>
      <c r="G10946" s="14">
        <v>44880</v>
      </c>
      <c r="H10946" s="13" t="s">
        <v>35</v>
      </c>
    </row>
    <row r="10947" spans="1:8" ht="14.4" x14ac:dyDescent="0.3">
      <c r="A10947" s="8">
        <v>2093461</v>
      </c>
      <c r="B10947" s="11">
        <v>44875</v>
      </c>
      <c r="C10947" s="13" t="s">
        <v>2236</v>
      </c>
      <c r="D10947" s="13" t="s">
        <v>13101</v>
      </c>
      <c r="E10947" s="8">
        <v>10000</v>
      </c>
      <c r="F10947" s="13" t="s">
        <v>70</v>
      </c>
      <c r="G10947" s="14">
        <v>44876</v>
      </c>
      <c r="H10947" s="13" t="s">
        <v>35</v>
      </c>
    </row>
    <row r="10948" spans="1:8" ht="14.4" x14ac:dyDescent="0.3">
      <c r="A10948" s="8">
        <v>2093462</v>
      </c>
      <c r="B10948" s="11">
        <v>44875</v>
      </c>
      <c r="C10948" s="13" t="s">
        <v>2176</v>
      </c>
      <c r="D10948" s="13" t="s">
        <v>13101</v>
      </c>
      <c r="E10948" s="8">
        <v>5000</v>
      </c>
      <c r="F10948" s="13" t="s">
        <v>70</v>
      </c>
      <c r="G10948" s="14">
        <v>44876</v>
      </c>
      <c r="H10948" s="13" t="s">
        <v>35</v>
      </c>
    </row>
    <row r="10949" spans="1:8" ht="14.4" x14ac:dyDescent="0.3">
      <c r="A10949" s="8">
        <v>2093463</v>
      </c>
      <c r="B10949" s="11">
        <v>44875</v>
      </c>
      <c r="C10949" s="13" t="s">
        <v>2178</v>
      </c>
      <c r="D10949" s="13" t="s">
        <v>13101</v>
      </c>
      <c r="E10949" s="8">
        <v>3000</v>
      </c>
      <c r="F10949" s="13" t="s">
        <v>70</v>
      </c>
      <c r="G10949" s="14">
        <v>44876</v>
      </c>
      <c r="H10949" s="13" t="s">
        <v>35</v>
      </c>
    </row>
    <row r="10950" spans="1:8" ht="14.4" x14ac:dyDescent="0.3">
      <c r="A10950" s="8">
        <v>2093464</v>
      </c>
      <c r="B10950" s="11">
        <v>44875</v>
      </c>
      <c r="C10950" s="13" t="s">
        <v>13159</v>
      </c>
      <c r="D10950" s="13" t="s">
        <v>13160</v>
      </c>
      <c r="E10950" s="8">
        <v>7390.2</v>
      </c>
      <c r="F10950" s="13" t="s">
        <v>70</v>
      </c>
      <c r="G10950" s="14">
        <v>44879</v>
      </c>
      <c r="H10950" s="13" t="s">
        <v>35</v>
      </c>
    </row>
    <row r="10951" spans="1:8" ht="14.4" x14ac:dyDescent="0.3">
      <c r="A10951" s="8">
        <v>2093465</v>
      </c>
      <c r="B10951" s="11">
        <v>44875</v>
      </c>
      <c r="C10951" s="13" t="s">
        <v>2480</v>
      </c>
      <c r="D10951" s="13" t="s">
        <v>13161</v>
      </c>
      <c r="E10951" s="8">
        <v>89000</v>
      </c>
      <c r="F10951" s="13" t="s">
        <v>70</v>
      </c>
      <c r="G10951" s="14">
        <v>44876</v>
      </c>
      <c r="H10951" s="13" t="s">
        <v>35</v>
      </c>
    </row>
    <row r="10952" spans="1:8" ht="14.4" x14ac:dyDescent="0.3">
      <c r="A10952" s="8">
        <v>2093466</v>
      </c>
      <c r="B10952" s="11">
        <v>44875</v>
      </c>
      <c r="C10952" s="13" t="s">
        <v>2231</v>
      </c>
      <c r="D10952" s="13" t="s">
        <v>76</v>
      </c>
      <c r="E10952" s="8">
        <v>20000</v>
      </c>
      <c r="F10952" s="13" t="s">
        <v>70</v>
      </c>
      <c r="G10952" s="14">
        <v>44879</v>
      </c>
      <c r="H10952" s="13" t="s">
        <v>35</v>
      </c>
    </row>
    <row r="10953" spans="1:8" ht="14.4" x14ac:dyDescent="0.3">
      <c r="A10953" s="8">
        <v>2093467</v>
      </c>
      <c r="B10953" s="11">
        <v>44875</v>
      </c>
      <c r="C10953" s="13" t="s">
        <v>13162</v>
      </c>
      <c r="D10953" s="13" t="s">
        <v>13163</v>
      </c>
      <c r="E10953" s="8">
        <v>10000</v>
      </c>
      <c r="F10953" s="13" t="s">
        <v>70</v>
      </c>
      <c r="G10953" s="14">
        <v>44876</v>
      </c>
      <c r="H10953" s="13" t="s">
        <v>35</v>
      </c>
    </row>
    <row r="10954" spans="1:8" ht="14.4" x14ac:dyDescent="0.3">
      <c r="A10954" s="8">
        <v>2093468</v>
      </c>
      <c r="B10954" s="11">
        <v>44875</v>
      </c>
      <c r="C10954" s="13" t="s">
        <v>13164</v>
      </c>
      <c r="D10954" s="13" t="s">
        <v>13165</v>
      </c>
      <c r="E10954" s="8">
        <v>9000</v>
      </c>
      <c r="F10954" s="13" t="s">
        <v>70</v>
      </c>
      <c r="G10954" s="14">
        <v>44879</v>
      </c>
      <c r="H10954" s="13" t="s">
        <v>35</v>
      </c>
    </row>
    <row r="10955" spans="1:8" ht="14.4" x14ac:dyDescent="0.3">
      <c r="A10955" s="8">
        <v>2093469</v>
      </c>
      <c r="B10955" s="11">
        <v>44875</v>
      </c>
      <c r="C10955" s="13" t="s">
        <v>13166</v>
      </c>
      <c r="D10955" s="13" t="s">
        <v>13167</v>
      </c>
      <c r="E10955" s="8">
        <v>35000</v>
      </c>
      <c r="F10955" s="13" t="s">
        <v>70</v>
      </c>
      <c r="G10955" s="14">
        <v>44879</v>
      </c>
      <c r="H10955" s="13" t="s">
        <v>35</v>
      </c>
    </row>
    <row r="10956" spans="1:8" ht="14.4" x14ac:dyDescent="0.3">
      <c r="A10956" s="8">
        <v>2093470</v>
      </c>
      <c r="B10956" s="11">
        <v>44875</v>
      </c>
      <c r="C10956" s="13" t="s">
        <v>13168</v>
      </c>
      <c r="D10956" s="13" t="s">
        <v>13169</v>
      </c>
      <c r="E10956" s="8">
        <v>20000</v>
      </c>
      <c r="F10956" s="13" t="s">
        <v>70</v>
      </c>
      <c r="G10956" s="14">
        <v>44879</v>
      </c>
      <c r="H10956" s="13" t="s">
        <v>35</v>
      </c>
    </row>
    <row r="10957" spans="1:8" ht="14.4" x14ac:dyDescent="0.3">
      <c r="A10957" s="8">
        <v>2093471</v>
      </c>
      <c r="B10957" s="11">
        <v>44875</v>
      </c>
      <c r="C10957" s="13" t="s">
        <v>13170</v>
      </c>
      <c r="D10957" s="13" t="s">
        <v>9822</v>
      </c>
      <c r="E10957" s="8">
        <v>26000</v>
      </c>
      <c r="F10957" s="13" t="s">
        <v>70</v>
      </c>
      <c r="G10957" s="14">
        <v>44879</v>
      </c>
      <c r="H10957" s="13" t="s">
        <v>35</v>
      </c>
    </row>
    <row r="10958" spans="1:8" ht="14.4" x14ac:dyDescent="0.3">
      <c r="A10958" s="8">
        <v>2093472</v>
      </c>
      <c r="B10958" s="11">
        <v>44875</v>
      </c>
      <c r="C10958" s="13" t="s">
        <v>176</v>
      </c>
      <c r="D10958" s="13" t="s">
        <v>13171</v>
      </c>
      <c r="E10958" s="8">
        <v>16000</v>
      </c>
      <c r="F10958" s="13" t="s">
        <v>70</v>
      </c>
      <c r="G10958" s="14">
        <v>44879</v>
      </c>
      <c r="H10958" s="13" t="s">
        <v>35</v>
      </c>
    </row>
    <row r="10959" spans="1:8" ht="14.4" x14ac:dyDescent="0.3">
      <c r="A10959" s="8">
        <v>2093473</v>
      </c>
      <c r="B10959" s="11">
        <v>44875</v>
      </c>
      <c r="C10959" s="13" t="s">
        <v>13172</v>
      </c>
      <c r="D10959" s="13" t="s">
        <v>13173</v>
      </c>
      <c r="E10959" s="8">
        <v>10000</v>
      </c>
      <c r="F10959" s="13" t="s">
        <v>70</v>
      </c>
      <c r="G10959" s="14">
        <v>44879</v>
      </c>
      <c r="H10959" s="13" t="s">
        <v>35</v>
      </c>
    </row>
    <row r="10960" spans="1:8" ht="14.4" x14ac:dyDescent="0.3">
      <c r="A10960" s="8">
        <v>2093474</v>
      </c>
      <c r="B10960" s="11">
        <v>44875</v>
      </c>
      <c r="C10960" s="13" t="s">
        <v>13174</v>
      </c>
      <c r="D10960" s="13" t="s">
        <v>13175</v>
      </c>
      <c r="E10960" s="8">
        <v>21000</v>
      </c>
      <c r="F10960" s="13" t="s">
        <v>70</v>
      </c>
      <c r="G10960" s="14">
        <v>44879</v>
      </c>
      <c r="H10960" s="13" t="s">
        <v>35</v>
      </c>
    </row>
    <row r="10961" spans="1:8" ht="14.4" x14ac:dyDescent="0.3">
      <c r="A10961" s="8">
        <v>2093475</v>
      </c>
      <c r="B10961" s="11">
        <v>44875</v>
      </c>
      <c r="C10961" s="13" t="s">
        <v>176</v>
      </c>
      <c r="D10961" s="13" t="s">
        <v>13176</v>
      </c>
      <c r="E10961" s="8">
        <v>126000</v>
      </c>
      <c r="F10961" s="13" t="s">
        <v>70</v>
      </c>
      <c r="G10961" s="14">
        <v>44879</v>
      </c>
      <c r="H10961" s="13" t="s">
        <v>35</v>
      </c>
    </row>
    <row r="10962" spans="1:8" ht="14.4" x14ac:dyDescent="0.3">
      <c r="A10962" s="8">
        <v>2093476</v>
      </c>
      <c r="B10962" s="11">
        <v>44875</v>
      </c>
      <c r="C10962" s="13" t="s">
        <v>506</v>
      </c>
      <c r="D10962" s="13" t="s">
        <v>112</v>
      </c>
      <c r="E10962" s="8">
        <v>102000</v>
      </c>
      <c r="F10962" s="13" t="s">
        <v>70</v>
      </c>
      <c r="G10962" s="14">
        <v>44879</v>
      </c>
      <c r="H10962" s="13" t="s">
        <v>35</v>
      </c>
    </row>
    <row r="10963" spans="1:8" ht="14.4" x14ac:dyDescent="0.3">
      <c r="A10963" s="8">
        <v>2093477</v>
      </c>
      <c r="B10963" s="11">
        <v>44875</v>
      </c>
      <c r="C10963" s="13" t="s">
        <v>669</v>
      </c>
      <c r="D10963" s="13" t="s">
        <v>13177</v>
      </c>
      <c r="E10963" s="8">
        <v>64000</v>
      </c>
      <c r="F10963" s="13" t="s">
        <v>70</v>
      </c>
      <c r="G10963" s="14">
        <v>44879</v>
      </c>
      <c r="H10963" s="13" t="s">
        <v>35</v>
      </c>
    </row>
    <row r="10964" spans="1:8" ht="14.4" x14ac:dyDescent="0.3">
      <c r="A10964" s="8">
        <v>2093479</v>
      </c>
      <c r="B10964" s="11">
        <v>44875</v>
      </c>
      <c r="C10964" s="13" t="s">
        <v>13113</v>
      </c>
      <c r="D10964" s="13" t="s">
        <v>13178</v>
      </c>
      <c r="E10964" s="8">
        <v>15000</v>
      </c>
      <c r="F10964" s="13" t="s">
        <v>70</v>
      </c>
      <c r="G10964" s="14">
        <v>44876</v>
      </c>
      <c r="H10964" s="13" t="s">
        <v>35</v>
      </c>
    </row>
    <row r="10965" spans="1:8" ht="14.4" x14ac:dyDescent="0.3">
      <c r="A10965" s="8">
        <v>2093480</v>
      </c>
      <c r="B10965" s="11">
        <v>44875</v>
      </c>
      <c r="C10965" s="13" t="s">
        <v>13179</v>
      </c>
      <c r="D10965" s="13" t="s">
        <v>13180</v>
      </c>
      <c r="E10965" s="8">
        <v>312000</v>
      </c>
      <c r="F10965" s="13" t="s">
        <v>70</v>
      </c>
      <c r="G10965" s="14">
        <v>44879</v>
      </c>
      <c r="H10965" s="13" t="s">
        <v>35</v>
      </c>
    </row>
    <row r="10966" spans="1:8" ht="14.4" x14ac:dyDescent="0.3">
      <c r="A10966" s="8">
        <v>2093481</v>
      </c>
      <c r="B10966" s="11">
        <v>44875</v>
      </c>
      <c r="C10966" s="13" t="s">
        <v>563</v>
      </c>
      <c r="D10966" s="13" t="s">
        <v>111</v>
      </c>
      <c r="E10966" s="8">
        <v>5000</v>
      </c>
      <c r="F10966" s="13" t="s">
        <v>70</v>
      </c>
      <c r="G10966" s="14">
        <v>44876</v>
      </c>
      <c r="H10966" s="13" t="s">
        <v>35</v>
      </c>
    </row>
    <row r="10967" spans="1:8" ht="14.4" x14ac:dyDescent="0.3">
      <c r="A10967" s="8">
        <v>2093482</v>
      </c>
      <c r="B10967" s="11">
        <v>44875</v>
      </c>
      <c r="C10967" s="13" t="s">
        <v>534</v>
      </c>
      <c r="D10967" s="13" t="s">
        <v>13102</v>
      </c>
      <c r="E10967" s="8">
        <v>20000</v>
      </c>
      <c r="F10967" s="13" t="s">
        <v>70</v>
      </c>
      <c r="G10967" s="14">
        <v>44879</v>
      </c>
      <c r="H10967" s="13" t="s">
        <v>35</v>
      </c>
    </row>
    <row r="10968" spans="1:8" ht="14.4" x14ac:dyDescent="0.3">
      <c r="A10968" s="8">
        <v>2093483</v>
      </c>
      <c r="B10968" s="11">
        <v>44875</v>
      </c>
      <c r="C10968" s="13" t="s">
        <v>536</v>
      </c>
      <c r="D10968" s="13" t="s">
        <v>13102</v>
      </c>
      <c r="E10968" s="8">
        <v>5000</v>
      </c>
      <c r="F10968" s="13" t="s">
        <v>70</v>
      </c>
      <c r="G10968" s="14">
        <v>44879</v>
      </c>
      <c r="H10968" s="13" t="s">
        <v>35</v>
      </c>
    </row>
    <row r="10969" spans="1:8" ht="14.4" x14ac:dyDescent="0.3">
      <c r="A10969" s="8">
        <v>2093484</v>
      </c>
      <c r="B10969" s="11">
        <v>44875</v>
      </c>
      <c r="C10969" s="13" t="s">
        <v>526</v>
      </c>
      <c r="D10969" s="13" t="s">
        <v>13102</v>
      </c>
      <c r="E10969" s="8">
        <v>3000</v>
      </c>
      <c r="F10969" s="13" t="s">
        <v>70</v>
      </c>
      <c r="G10969" s="14">
        <v>44879</v>
      </c>
      <c r="H10969" s="13" t="s">
        <v>35</v>
      </c>
    </row>
    <row r="10970" spans="1:8" ht="14.4" x14ac:dyDescent="0.3">
      <c r="A10970" s="8">
        <v>2093492</v>
      </c>
      <c r="B10970" s="11">
        <v>44875</v>
      </c>
      <c r="C10970" s="13" t="s">
        <v>13181</v>
      </c>
      <c r="D10970" s="13" t="s">
        <v>76</v>
      </c>
      <c r="E10970" s="8">
        <v>15000</v>
      </c>
      <c r="F10970" s="13" t="s">
        <v>70</v>
      </c>
      <c r="G10970" s="14">
        <v>44879</v>
      </c>
      <c r="H10970" s="13" t="s">
        <v>35</v>
      </c>
    </row>
    <row r="10971" spans="1:8" ht="14.4" x14ac:dyDescent="0.3">
      <c r="A10971" s="8">
        <v>2093495</v>
      </c>
      <c r="B10971" s="11">
        <v>44875</v>
      </c>
      <c r="C10971" s="13" t="s">
        <v>2443</v>
      </c>
      <c r="D10971" s="13" t="s">
        <v>76</v>
      </c>
      <c r="E10971" s="8">
        <v>15000</v>
      </c>
      <c r="F10971" s="13" t="s">
        <v>70</v>
      </c>
      <c r="G10971" s="14">
        <v>44876</v>
      </c>
      <c r="H10971" s="13" t="s">
        <v>35</v>
      </c>
    </row>
    <row r="10972" spans="1:8" ht="14.4" x14ac:dyDescent="0.3">
      <c r="A10972" s="8">
        <v>2093498</v>
      </c>
      <c r="B10972" s="11">
        <v>44875</v>
      </c>
      <c r="C10972" s="13" t="s">
        <v>535</v>
      </c>
      <c r="D10972" s="13" t="s">
        <v>13102</v>
      </c>
      <c r="E10972" s="8">
        <v>10000</v>
      </c>
      <c r="F10972" s="13" t="s">
        <v>70</v>
      </c>
      <c r="G10972" s="14">
        <v>44879</v>
      </c>
      <c r="H10972" s="13" t="s">
        <v>35</v>
      </c>
    </row>
    <row r="10973" spans="1:8" ht="14.4" x14ac:dyDescent="0.3">
      <c r="A10973" s="8">
        <v>2093499</v>
      </c>
      <c r="B10973" s="11">
        <v>44875</v>
      </c>
      <c r="C10973" s="13" t="s">
        <v>13182</v>
      </c>
      <c r="D10973" s="13" t="s">
        <v>13183</v>
      </c>
      <c r="E10973" s="8">
        <v>20000</v>
      </c>
      <c r="F10973" s="13" t="s">
        <v>70</v>
      </c>
      <c r="G10973" s="14">
        <v>44879</v>
      </c>
      <c r="H10973" s="13" t="s">
        <v>35</v>
      </c>
    </row>
    <row r="10974" spans="1:8" ht="14.4" x14ac:dyDescent="0.3">
      <c r="A10974" s="8">
        <v>2093500</v>
      </c>
      <c r="B10974" s="11">
        <v>44875</v>
      </c>
      <c r="C10974" s="13" t="s">
        <v>13184</v>
      </c>
      <c r="D10974" s="13" t="s">
        <v>150</v>
      </c>
      <c r="E10974" s="8">
        <v>9000</v>
      </c>
      <c r="F10974" s="13" t="s">
        <v>70</v>
      </c>
      <c r="G10974" s="14">
        <v>44879</v>
      </c>
      <c r="H10974" s="13" t="s">
        <v>35</v>
      </c>
    </row>
    <row r="10975" spans="1:8" ht="14.4" x14ac:dyDescent="0.3">
      <c r="A10975" s="8">
        <v>2093501</v>
      </c>
      <c r="B10975" s="11">
        <v>44875</v>
      </c>
      <c r="C10975" s="13" t="s">
        <v>13185</v>
      </c>
      <c r="D10975" s="13" t="s">
        <v>13186</v>
      </c>
      <c r="E10975" s="8">
        <v>11000</v>
      </c>
      <c r="F10975" s="13" t="s">
        <v>70</v>
      </c>
      <c r="G10975" s="14">
        <v>44879</v>
      </c>
      <c r="H10975" s="13" t="s">
        <v>35</v>
      </c>
    </row>
    <row r="10976" spans="1:8" ht="14.4" x14ac:dyDescent="0.3">
      <c r="A10976" s="8">
        <v>2093503</v>
      </c>
      <c r="B10976" s="11">
        <v>44875</v>
      </c>
      <c r="C10976" s="13" t="s">
        <v>13187</v>
      </c>
      <c r="D10976" s="13" t="s">
        <v>13188</v>
      </c>
      <c r="E10976" s="8">
        <v>50000</v>
      </c>
      <c r="F10976" s="13" t="s">
        <v>70</v>
      </c>
      <c r="G10976" s="14">
        <v>44879</v>
      </c>
      <c r="H10976" s="13" t="s">
        <v>35</v>
      </c>
    </row>
    <row r="10977" spans="1:8" ht="14.4" x14ac:dyDescent="0.3">
      <c r="A10977" s="8">
        <v>2093506</v>
      </c>
      <c r="B10977" s="11">
        <v>44875</v>
      </c>
      <c r="C10977" s="13" t="s">
        <v>13189</v>
      </c>
      <c r="D10977" s="13" t="s">
        <v>47</v>
      </c>
      <c r="E10977" s="8">
        <v>9360</v>
      </c>
      <c r="F10977" s="13" t="s">
        <v>70</v>
      </c>
      <c r="G10977" s="14">
        <v>44879</v>
      </c>
      <c r="H10977" s="13" t="s">
        <v>35</v>
      </c>
    </row>
    <row r="10978" spans="1:8" ht="14.4" x14ac:dyDescent="0.3">
      <c r="A10978" s="8">
        <v>2093508</v>
      </c>
      <c r="B10978" s="11">
        <v>44875</v>
      </c>
      <c r="C10978" s="13" t="s">
        <v>13190</v>
      </c>
      <c r="D10978" s="13" t="s">
        <v>147</v>
      </c>
      <c r="E10978" s="8">
        <v>16500</v>
      </c>
      <c r="F10978" s="13" t="s">
        <v>70</v>
      </c>
      <c r="G10978" s="14">
        <v>44876</v>
      </c>
      <c r="H10978" s="13" t="s">
        <v>35</v>
      </c>
    </row>
    <row r="10979" spans="1:8" ht="14.4" x14ac:dyDescent="0.3">
      <c r="A10979" s="8">
        <v>2093509</v>
      </c>
      <c r="B10979" s="11">
        <v>44875</v>
      </c>
      <c r="C10979" s="13" t="s">
        <v>13191</v>
      </c>
      <c r="D10979" s="13" t="s">
        <v>13192</v>
      </c>
      <c r="E10979" s="8">
        <v>12500</v>
      </c>
      <c r="F10979" s="13" t="s">
        <v>70</v>
      </c>
      <c r="G10979" s="14">
        <v>44879</v>
      </c>
      <c r="H10979" s="13" t="s">
        <v>35</v>
      </c>
    </row>
    <row r="10980" spans="1:8" ht="14.4" x14ac:dyDescent="0.3">
      <c r="A10980" s="8">
        <v>2093510</v>
      </c>
      <c r="B10980" s="11">
        <v>44875</v>
      </c>
      <c r="C10980" s="13" t="s">
        <v>13193</v>
      </c>
      <c r="D10980" s="13" t="s">
        <v>13194</v>
      </c>
      <c r="E10980" s="8">
        <v>110431.07</v>
      </c>
      <c r="F10980" s="13" t="s">
        <v>70</v>
      </c>
      <c r="G10980" s="14">
        <v>44876</v>
      </c>
      <c r="H10980" s="13" t="s">
        <v>35</v>
      </c>
    </row>
    <row r="10981" spans="1:8" ht="14.4" x14ac:dyDescent="0.3">
      <c r="A10981" s="8">
        <v>2093513</v>
      </c>
      <c r="B10981" s="11">
        <v>44875</v>
      </c>
      <c r="C10981" s="13" t="s">
        <v>562</v>
      </c>
      <c r="D10981" s="13" t="s">
        <v>84</v>
      </c>
      <c r="E10981" s="8">
        <v>6000</v>
      </c>
      <c r="F10981" s="13" t="s">
        <v>70</v>
      </c>
      <c r="G10981" s="14">
        <v>44879</v>
      </c>
      <c r="H10981" s="13" t="s">
        <v>35</v>
      </c>
    </row>
    <row r="10982" spans="1:8" ht="14.4" x14ac:dyDescent="0.3">
      <c r="A10982" s="8">
        <v>2093517</v>
      </c>
      <c r="B10982" s="11">
        <v>44875</v>
      </c>
      <c r="C10982" s="13" t="s">
        <v>259</v>
      </c>
      <c r="D10982" s="13" t="s">
        <v>13195</v>
      </c>
      <c r="E10982" s="8">
        <v>26618.3</v>
      </c>
      <c r="F10982" s="13" t="s">
        <v>70</v>
      </c>
      <c r="G10982" s="14">
        <v>44879</v>
      </c>
      <c r="H10982" s="13" t="s">
        <v>35</v>
      </c>
    </row>
    <row r="10983" spans="1:8" ht="14.4" x14ac:dyDescent="0.3">
      <c r="A10983" s="8">
        <v>2093536</v>
      </c>
      <c r="B10983" s="11">
        <v>44875</v>
      </c>
      <c r="C10983" s="13" t="s">
        <v>180</v>
      </c>
      <c r="D10983" s="13" t="s">
        <v>13196</v>
      </c>
      <c r="E10983" s="8">
        <v>59421.26</v>
      </c>
      <c r="F10983" s="13" t="s">
        <v>70</v>
      </c>
      <c r="G10983" s="14">
        <v>44876</v>
      </c>
      <c r="H10983" s="13" t="s">
        <v>35</v>
      </c>
    </row>
    <row r="10984" spans="1:8" ht="14.4" x14ac:dyDescent="0.3">
      <c r="A10984" s="8">
        <v>2093537</v>
      </c>
      <c r="B10984" s="11">
        <v>44875</v>
      </c>
      <c r="C10984" s="13" t="s">
        <v>13197</v>
      </c>
      <c r="D10984" s="13" t="s">
        <v>13198</v>
      </c>
      <c r="E10984" s="8">
        <v>8000</v>
      </c>
      <c r="F10984" s="13" t="s">
        <v>70</v>
      </c>
      <c r="G10984" s="14">
        <v>44879</v>
      </c>
      <c r="H10984" s="13" t="s">
        <v>35</v>
      </c>
    </row>
    <row r="10985" spans="1:8" ht="14.4" x14ac:dyDescent="0.3">
      <c r="A10985" s="8">
        <v>2093539</v>
      </c>
      <c r="B10985" s="11">
        <v>44876</v>
      </c>
      <c r="C10985" s="13" t="s">
        <v>143</v>
      </c>
      <c r="D10985" s="13" t="s">
        <v>144</v>
      </c>
      <c r="E10985" s="8">
        <v>10000</v>
      </c>
      <c r="F10985" s="13" t="s">
        <v>70</v>
      </c>
      <c r="G10985" s="14">
        <v>44880</v>
      </c>
      <c r="H10985" s="13" t="s">
        <v>35</v>
      </c>
    </row>
    <row r="10986" spans="1:8" ht="14.4" x14ac:dyDescent="0.3">
      <c r="A10986" s="8">
        <v>2093544</v>
      </c>
      <c r="B10986" s="11">
        <v>44876</v>
      </c>
      <c r="C10986" s="13" t="s">
        <v>145</v>
      </c>
      <c r="D10986" s="13" t="s">
        <v>146</v>
      </c>
      <c r="E10986" s="8">
        <v>8000</v>
      </c>
      <c r="F10986" s="13" t="s">
        <v>70</v>
      </c>
      <c r="G10986" s="14">
        <v>44880</v>
      </c>
      <c r="H10986" s="13" t="s">
        <v>35</v>
      </c>
    </row>
    <row r="10987" spans="1:8" ht="14.4" x14ac:dyDescent="0.3">
      <c r="A10987" s="8">
        <v>2093555</v>
      </c>
      <c r="B10987" s="11">
        <v>44876</v>
      </c>
      <c r="C10987" s="13" t="s">
        <v>188</v>
      </c>
      <c r="D10987" s="13" t="s">
        <v>13199</v>
      </c>
      <c r="E10987" s="8">
        <v>101128</v>
      </c>
      <c r="F10987" s="13" t="s">
        <v>70</v>
      </c>
      <c r="G10987" s="14">
        <v>44879</v>
      </c>
      <c r="H10987" s="13" t="s">
        <v>35</v>
      </c>
    </row>
    <row r="10988" spans="1:8" ht="14.4" x14ac:dyDescent="0.3">
      <c r="A10988" s="8">
        <v>2093556</v>
      </c>
      <c r="B10988" s="11">
        <v>44876</v>
      </c>
      <c r="C10988" s="13" t="s">
        <v>265</v>
      </c>
      <c r="D10988" s="13" t="s">
        <v>13200</v>
      </c>
      <c r="E10988" s="8">
        <v>96383.65</v>
      </c>
      <c r="F10988" s="13" t="s">
        <v>70</v>
      </c>
      <c r="G10988" s="14">
        <v>44879</v>
      </c>
      <c r="H10988" s="13" t="s">
        <v>35</v>
      </c>
    </row>
    <row r="10989" spans="1:8" ht="14.4" x14ac:dyDescent="0.3">
      <c r="A10989" s="8">
        <v>2093557</v>
      </c>
      <c r="B10989" s="11">
        <v>44876</v>
      </c>
      <c r="C10989" s="13" t="s">
        <v>265</v>
      </c>
      <c r="D10989" s="13" t="s">
        <v>13201</v>
      </c>
      <c r="E10989" s="8">
        <v>39990</v>
      </c>
      <c r="F10989" s="13" t="s">
        <v>70</v>
      </c>
      <c r="G10989" s="14">
        <v>44879</v>
      </c>
      <c r="H10989" s="13" t="s">
        <v>35</v>
      </c>
    </row>
    <row r="10990" spans="1:8" ht="14.4" x14ac:dyDescent="0.3">
      <c r="A10990" s="8">
        <v>2093558</v>
      </c>
      <c r="B10990" s="11">
        <v>44876</v>
      </c>
      <c r="C10990" s="13" t="s">
        <v>265</v>
      </c>
      <c r="D10990" s="13" t="s">
        <v>13202</v>
      </c>
      <c r="E10990" s="8">
        <v>48670</v>
      </c>
      <c r="F10990" s="13" t="s">
        <v>70</v>
      </c>
      <c r="G10990" s="14">
        <v>44879</v>
      </c>
      <c r="H10990" s="13" t="s">
        <v>35</v>
      </c>
    </row>
    <row r="10991" spans="1:8" ht="14.4" x14ac:dyDescent="0.3">
      <c r="A10991" s="8">
        <v>2093559</v>
      </c>
      <c r="B10991" s="11">
        <v>44876</v>
      </c>
      <c r="C10991" s="13" t="s">
        <v>265</v>
      </c>
      <c r="D10991" s="13" t="s">
        <v>13203</v>
      </c>
      <c r="E10991" s="8">
        <v>86907.5</v>
      </c>
      <c r="F10991" s="13" t="s">
        <v>70</v>
      </c>
      <c r="G10991" s="14">
        <v>44879</v>
      </c>
      <c r="H10991" s="13" t="s">
        <v>35</v>
      </c>
    </row>
    <row r="10992" spans="1:8" ht="14.4" x14ac:dyDescent="0.3">
      <c r="A10992" s="8">
        <v>2093560</v>
      </c>
      <c r="B10992" s="11">
        <v>44876</v>
      </c>
      <c r="C10992" s="13" t="s">
        <v>265</v>
      </c>
      <c r="D10992" s="13" t="s">
        <v>13204</v>
      </c>
      <c r="E10992" s="8">
        <v>29600</v>
      </c>
      <c r="F10992" s="13" t="s">
        <v>70</v>
      </c>
      <c r="G10992" s="14">
        <v>44879</v>
      </c>
      <c r="H10992" s="13" t="s">
        <v>35</v>
      </c>
    </row>
    <row r="10993" spans="1:8" ht="14.4" x14ac:dyDescent="0.3">
      <c r="A10993" s="8">
        <v>2093561</v>
      </c>
      <c r="B10993" s="11">
        <v>44876</v>
      </c>
      <c r="C10993" s="13" t="s">
        <v>13205</v>
      </c>
      <c r="D10993" s="13" t="s">
        <v>13206</v>
      </c>
      <c r="E10993" s="8">
        <v>30000</v>
      </c>
      <c r="F10993" s="13" t="s">
        <v>70</v>
      </c>
      <c r="G10993" s="14">
        <v>44879</v>
      </c>
      <c r="H10993" s="13" t="s">
        <v>35</v>
      </c>
    </row>
    <row r="10994" spans="1:8" ht="14.4" x14ac:dyDescent="0.3">
      <c r="A10994" s="8">
        <v>2093565</v>
      </c>
      <c r="B10994" s="11">
        <v>44876</v>
      </c>
      <c r="C10994" s="13" t="s">
        <v>13207</v>
      </c>
      <c r="D10994" s="13" t="s">
        <v>13208</v>
      </c>
      <c r="E10994" s="8">
        <v>40804.879999999997</v>
      </c>
      <c r="F10994" s="13" t="s">
        <v>70</v>
      </c>
      <c r="G10994" s="14">
        <v>44879</v>
      </c>
      <c r="H10994" s="13" t="s">
        <v>35</v>
      </c>
    </row>
    <row r="10995" spans="1:8" ht="14.4" x14ac:dyDescent="0.3">
      <c r="A10995" s="8">
        <v>2093566</v>
      </c>
      <c r="B10995" s="11">
        <v>44876</v>
      </c>
      <c r="C10995" s="13" t="s">
        <v>13207</v>
      </c>
      <c r="D10995" s="13" t="s">
        <v>13209</v>
      </c>
      <c r="E10995" s="8">
        <v>33310.75</v>
      </c>
      <c r="F10995" s="13" t="s">
        <v>70</v>
      </c>
      <c r="G10995" s="14">
        <v>44879</v>
      </c>
      <c r="H10995" s="13" t="s">
        <v>35</v>
      </c>
    </row>
    <row r="10996" spans="1:8" ht="14.4" x14ac:dyDescent="0.3">
      <c r="A10996" s="8">
        <v>2093567</v>
      </c>
      <c r="B10996" s="11">
        <v>44876</v>
      </c>
      <c r="C10996" s="13" t="s">
        <v>492</v>
      </c>
      <c r="D10996" s="13" t="s">
        <v>13210</v>
      </c>
      <c r="E10996" s="8">
        <v>33796.1</v>
      </c>
      <c r="F10996" s="13" t="s">
        <v>70</v>
      </c>
      <c r="G10996" s="14">
        <v>44879</v>
      </c>
      <c r="H10996" s="13" t="s">
        <v>35</v>
      </c>
    </row>
    <row r="10997" spans="1:8" ht="14.4" x14ac:dyDescent="0.3">
      <c r="A10997" s="8">
        <v>2093568</v>
      </c>
      <c r="B10997" s="11">
        <v>44876</v>
      </c>
      <c r="C10997" s="13" t="s">
        <v>395</v>
      </c>
      <c r="D10997" s="13" t="s">
        <v>13211</v>
      </c>
      <c r="E10997" s="8">
        <v>50666</v>
      </c>
      <c r="F10997" s="13" t="s">
        <v>70</v>
      </c>
      <c r="G10997" s="14">
        <v>44879</v>
      </c>
      <c r="H10997" s="13" t="s">
        <v>35</v>
      </c>
    </row>
    <row r="10998" spans="1:8" ht="14.4" x14ac:dyDescent="0.3">
      <c r="A10998" s="8">
        <v>2093571</v>
      </c>
      <c r="B10998" s="11">
        <v>44876</v>
      </c>
      <c r="C10998" s="13" t="s">
        <v>180</v>
      </c>
      <c r="D10998" s="13" t="s">
        <v>901</v>
      </c>
      <c r="E10998" s="8">
        <v>45398.03</v>
      </c>
      <c r="F10998" s="13" t="s">
        <v>70</v>
      </c>
      <c r="G10998" s="14">
        <v>44879</v>
      </c>
      <c r="H10998" s="13" t="s">
        <v>35</v>
      </c>
    </row>
    <row r="10999" spans="1:8" ht="14.4" x14ac:dyDescent="0.3">
      <c r="A10999" s="8">
        <v>2093572</v>
      </c>
      <c r="B10999" s="11">
        <v>44879</v>
      </c>
      <c r="C10999" s="13" t="s">
        <v>159</v>
      </c>
      <c r="D10999" s="13" t="s">
        <v>160</v>
      </c>
      <c r="E10999" s="8">
        <v>323900</v>
      </c>
      <c r="F10999" s="13" t="s">
        <v>70</v>
      </c>
      <c r="G10999" s="14">
        <v>44880</v>
      </c>
      <c r="H10999" s="13" t="s">
        <v>35</v>
      </c>
    </row>
    <row r="11000" spans="1:8" ht="14.4" x14ac:dyDescent="0.3">
      <c r="A11000" s="8">
        <v>1689488</v>
      </c>
      <c r="B11000" s="11">
        <v>44805</v>
      </c>
      <c r="C11000" s="13" t="s">
        <v>5954</v>
      </c>
      <c r="D11000" s="13" t="s">
        <v>13212</v>
      </c>
      <c r="E11000" s="8">
        <v>200910314.80000001</v>
      </c>
      <c r="F11000" s="13" t="s">
        <v>70</v>
      </c>
      <c r="G11000" s="14">
        <v>44806</v>
      </c>
      <c r="H11000" s="13" t="s">
        <v>13213</v>
      </c>
    </row>
    <row r="11001" spans="1:8" ht="14.4" x14ac:dyDescent="0.3">
      <c r="A11001" s="8">
        <v>1689489</v>
      </c>
      <c r="B11001" s="11">
        <v>44868</v>
      </c>
      <c r="C11001" s="13" t="s">
        <v>13214</v>
      </c>
      <c r="D11001" s="13" t="s">
        <v>13215</v>
      </c>
      <c r="E11001" s="8">
        <v>15480706.5</v>
      </c>
      <c r="F11001" s="13" t="s">
        <v>70</v>
      </c>
      <c r="G11001" s="14">
        <v>44869</v>
      </c>
      <c r="H11001" s="13" t="s">
        <v>13213</v>
      </c>
    </row>
    <row r="11002" spans="1:8" ht="14.4" x14ac:dyDescent="0.3">
      <c r="A11002" s="8">
        <v>2016383</v>
      </c>
      <c r="B11002" s="11">
        <v>44564</v>
      </c>
      <c r="C11002" s="13" t="s">
        <v>13216</v>
      </c>
      <c r="D11002" s="13" t="s">
        <v>13217</v>
      </c>
      <c r="E11002" s="8">
        <v>673241.72</v>
      </c>
      <c r="F11002" s="13" t="s">
        <v>70</v>
      </c>
      <c r="G11002" s="14">
        <v>44565</v>
      </c>
      <c r="H11002" s="13" t="s">
        <v>163</v>
      </c>
    </row>
    <row r="11003" spans="1:8" ht="14.4" x14ac:dyDescent="0.3">
      <c r="A11003" s="8">
        <v>2016384</v>
      </c>
      <c r="B11003" s="11">
        <v>44567</v>
      </c>
      <c r="C11003" s="13" t="s">
        <v>2624</v>
      </c>
      <c r="D11003" s="13" t="s">
        <v>5752</v>
      </c>
      <c r="E11003" s="8">
        <v>1256818.44</v>
      </c>
      <c r="F11003" s="13" t="s">
        <v>70</v>
      </c>
      <c r="G11003" s="14">
        <v>44567</v>
      </c>
      <c r="H11003" s="13" t="s">
        <v>163</v>
      </c>
    </row>
    <row r="11004" spans="1:8" ht="14.4" x14ac:dyDescent="0.3">
      <c r="A11004" s="8">
        <v>2016385</v>
      </c>
      <c r="B11004" s="11">
        <v>44567</v>
      </c>
      <c r="C11004" s="13" t="s">
        <v>13218</v>
      </c>
      <c r="D11004" s="13" t="s">
        <v>13219</v>
      </c>
      <c r="E11004" s="8">
        <v>32428.7</v>
      </c>
      <c r="F11004" s="13" t="s">
        <v>70</v>
      </c>
      <c r="G11004" s="14">
        <v>44606</v>
      </c>
      <c r="H11004" s="13" t="s">
        <v>163</v>
      </c>
    </row>
    <row r="11005" spans="1:8" ht="14.4" x14ac:dyDescent="0.3">
      <c r="A11005" s="8">
        <v>2016386</v>
      </c>
      <c r="B11005" s="11">
        <v>44567</v>
      </c>
      <c r="C11005" s="13" t="s">
        <v>405</v>
      </c>
      <c r="D11005" s="13" t="s">
        <v>13220</v>
      </c>
      <c r="E11005" s="8">
        <v>5489285.7199999997</v>
      </c>
      <c r="F11005" s="13" t="s">
        <v>70</v>
      </c>
      <c r="G11005" s="14">
        <v>44571</v>
      </c>
      <c r="H11005" s="13" t="s">
        <v>163</v>
      </c>
    </row>
    <row r="11006" spans="1:8" ht="14.4" x14ac:dyDescent="0.3">
      <c r="A11006" s="8">
        <v>2016387</v>
      </c>
      <c r="B11006" s="11">
        <v>44567</v>
      </c>
      <c r="C11006" s="13" t="s">
        <v>13221</v>
      </c>
      <c r="D11006" s="13" t="s">
        <v>13222</v>
      </c>
      <c r="E11006" s="8">
        <v>10688277.789999999</v>
      </c>
      <c r="F11006" s="13" t="s">
        <v>70</v>
      </c>
      <c r="G11006" s="14">
        <v>44568</v>
      </c>
      <c r="H11006" s="13" t="s">
        <v>163</v>
      </c>
    </row>
    <row r="11007" spans="1:8" ht="14.4" x14ac:dyDescent="0.3">
      <c r="A11007" s="8">
        <v>2016388</v>
      </c>
      <c r="B11007" s="11">
        <v>44568</v>
      </c>
      <c r="C11007" s="13" t="s">
        <v>13223</v>
      </c>
      <c r="D11007" s="13" t="s">
        <v>13224</v>
      </c>
      <c r="E11007" s="8">
        <v>4000</v>
      </c>
      <c r="F11007" s="13" t="s">
        <v>70</v>
      </c>
      <c r="G11007" s="14">
        <v>44579</v>
      </c>
      <c r="H11007" s="13" t="s">
        <v>163</v>
      </c>
    </row>
    <row r="11008" spans="1:8" ht="14.4" x14ac:dyDescent="0.3">
      <c r="A11008" s="8">
        <v>2016389</v>
      </c>
      <c r="B11008" s="11">
        <v>44571</v>
      </c>
      <c r="C11008" s="13" t="s">
        <v>2624</v>
      </c>
      <c r="D11008" s="13" t="s">
        <v>13225</v>
      </c>
      <c r="E11008" s="8">
        <v>667440</v>
      </c>
      <c r="F11008" s="13" t="s">
        <v>70</v>
      </c>
      <c r="G11008" s="14">
        <v>44573</v>
      </c>
      <c r="H11008" s="13" t="s">
        <v>163</v>
      </c>
    </row>
    <row r="11009" spans="1:8" ht="14.4" x14ac:dyDescent="0.3">
      <c r="A11009" s="8">
        <v>2016390</v>
      </c>
      <c r="B11009" s="11">
        <v>44571</v>
      </c>
      <c r="C11009" s="13" t="s">
        <v>3203</v>
      </c>
      <c r="D11009" s="13" t="s">
        <v>13226</v>
      </c>
      <c r="E11009" s="8">
        <v>206014.28</v>
      </c>
      <c r="F11009" s="13" t="s">
        <v>70</v>
      </c>
      <c r="G11009" s="14">
        <v>44586</v>
      </c>
      <c r="H11009" s="13" t="s">
        <v>163</v>
      </c>
    </row>
    <row r="11010" spans="1:8" ht="14.4" x14ac:dyDescent="0.3">
      <c r="A11010" s="8">
        <v>2016391</v>
      </c>
      <c r="B11010" s="11">
        <v>44571</v>
      </c>
      <c r="C11010" s="13" t="s">
        <v>13227</v>
      </c>
      <c r="D11010" s="13" t="s">
        <v>13228</v>
      </c>
      <c r="E11010" s="8">
        <v>6000</v>
      </c>
      <c r="F11010" s="13" t="s">
        <v>70</v>
      </c>
      <c r="G11010" s="14">
        <v>44582</v>
      </c>
      <c r="H11010" s="13" t="s">
        <v>163</v>
      </c>
    </row>
    <row r="11011" spans="1:8" ht="14.4" x14ac:dyDescent="0.3">
      <c r="A11011" s="8">
        <v>2016392</v>
      </c>
      <c r="B11011" s="11">
        <v>44571</v>
      </c>
      <c r="C11011" s="13" t="s">
        <v>13229</v>
      </c>
      <c r="D11011" s="13" t="s">
        <v>13230</v>
      </c>
      <c r="E11011" s="8">
        <v>20000</v>
      </c>
      <c r="F11011" s="13" t="s">
        <v>70</v>
      </c>
      <c r="G11011" s="14">
        <v>44581</v>
      </c>
      <c r="H11011" s="13" t="s">
        <v>163</v>
      </c>
    </row>
    <row r="11012" spans="1:8" ht="14.4" x14ac:dyDescent="0.3">
      <c r="A11012" s="8">
        <v>2016393</v>
      </c>
      <c r="B11012" s="11">
        <v>44571</v>
      </c>
      <c r="C11012" s="13" t="s">
        <v>13231</v>
      </c>
      <c r="D11012" s="13" t="s">
        <v>13232</v>
      </c>
      <c r="E11012" s="8">
        <v>6000</v>
      </c>
      <c r="F11012" s="13" t="s">
        <v>70</v>
      </c>
      <c r="G11012" s="14">
        <v>44581</v>
      </c>
      <c r="H11012" s="13" t="s">
        <v>163</v>
      </c>
    </row>
    <row r="11013" spans="1:8" ht="14.4" x14ac:dyDescent="0.3">
      <c r="A11013" s="8">
        <v>2016394</v>
      </c>
      <c r="B11013" s="11">
        <v>44571</v>
      </c>
      <c r="C11013" s="13" t="s">
        <v>13233</v>
      </c>
      <c r="D11013" s="13" t="s">
        <v>13234</v>
      </c>
      <c r="E11013" s="8">
        <v>6000</v>
      </c>
      <c r="F11013" s="13" t="s">
        <v>70</v>
      </c>
      <c r="G11013" s="14">
        <v>44582</v>
      </c>
      <c r="H11013" s="13" t="s">
        <v>163</v>
      </c>
    </row>
    <row r="11014" spans="1:8" ht="14.4" x14ac:dyDescent="0.3">
      <c r="A11014" s="8">
        <v>2016395</v>
      </c>
      <c r="B11014" s="11">
        <v>44571</v>
      </c>
      <c r="C11014" s="13" t="s">
        <v>13235</v>
      </c>
      <c r="D11014" s="13" t="s">
        <v>13236</v>
      </c>
      <c r="E11014" s="8">
        <v>8000</v>
      </c>
      <c r="F11014" s="13" t="s">
        <v>70</v>
      </c>
      <c r="G11014" s="14">
        <v>44585</v>
      </c>
      <c r="H11014" s="13" t="s">
        <v>163</v>
      </c>
    </row>
    <row r="11015" spans="1:8" ht="14.4" x14ac:dyDescent="0.3">
      <c r="A11015" s="8">
        <v>2016396</v>
      </c>
      <c r="B11015" s="11">
        <v>44571</v>
      </c>
      <c r="C11015" s="13" t="s">
        <v>13237</v>
      </c>
      <c r="D11015" s="13" t="s">
        <v>13238</v>
      </c>
      <c r="E11015" s="8">
        <v>4000</v>
      </c>
      <c r="F11015" s="13" t="s">
        <v>70</v>
      </c>
      <c r="G11015" s="14">
        <v>44585</v>
      </c>
      <c r="H11015" s="13" t="s">
        <v>163</v>
      </c>
    </row>
    <row r="11016" spans="1:8" ht="14.4" x14ac:dyDescent="0.3">
      <c r="A11016" s="8">
        <v>2016397</v>
      </c>
      <c r="B11016" s="11">
        <v>44571</v>
      </c>
      <c r="C11016" s="13" t="s">
        <v>581</v>
      </c>
      <c r="D11016" s="13" t="s">
        <v>13239</v>
      </c>
      <c r="E11016" s="8">
        <v>4000</v>
      </c>
      <c r="F11016" s="13" t="s">
        <v>70</v>
      </c>
      <c r="G11016" s="14">
        <v>44579</v>
      </c>
      <c r="H11016" s="13" t="s">
        <v>163</v>
      </c>
    </row>
    <row r="11017" spans="1:8" ht="14.4" x14ac:dyDescent="0.3">
      <c r="A11017" s="8">
        <v>2016398</v>
      </c>
      <c r="B11017" s="11">
        <v>44571</v>
      </c>
      <c r="C11017" s="13" t="s">
        <v>13240</v>
      </c>
      <c r="D11017" s="13" t="s">
        <v>13241</v>
      </c>
      <c r="E11017" s="8">
        <v>8000</v>
      </c>
      <c r="F11017" s="13" t="s">
        <v>70</v>
      </c>
      <c r="G11017" s="14">
        <v>44582</v>
      </c>
      <c r="H11017" s="13" t="s">
        <v>163</v>
      </c>
    </row>
    <row r="11018" spans="1:8" ht="14.4" x14ac:dyDescent="0.3">
      <c r="A11018" s="8">
        <v>2016399</v>
      </c>
      <c r="B11018" s="11">
        <v>44571</v>
      </c>
      <c r="C11018" s="13" t="s">
        <v>13242</v>
      </c>
      <c r="D11018" s="13" t="s">
        <v>13243</v>
      </c>
      <c r="E11018" s="8">
        <v>8000</v>
      </c>
      <c r="F11018" s="13" t="s">
        <v>70</v>
      </c>
      <c r="G11018" s="14">
        <v>44574</v>
      </c>
      <c r="H11018" s="13" t="s">
        <v>163</v>
      </c>
    </row>
    <row r="11019" spans="1:8" ht="14.4" x14ac:dyDescent="0.3">
      <c r="A11019" s="8">
        <v>2016400</v>
      </c>
      <c r="B11019" s="11">
        <v>44571</v>
      </c>
      <c r="C11019" s="13" t="s">
        <v>571</v>
      </c>
      <c r="D11019" s="13" t="s">
        <v>13244</v>
      </c>
      <c r="E11019" s="8">
        <v>4000</v>
      </c>
      <c r="F11019" s="13" t="s">
        <v>70</v>
      </c>
      <c r="G11019" s="14">
        <v>44582</v>
      </c>
      <c r="H11019" s="13" t="s">
        <v>163</v>
      </c>
    </row>
    <row r="11020" spans="1:8" ht="14.4" x14ac:dyDescent="0.3">
      <c r="A11020" s="8">
        <v>2016401</v>
      </c>
      <c r="B11020" s="11">
        <v>44574</v>
      </c>
      <c r="C11020" s="13" t="s">
        <v>5786</v>
      </c>
      <c r="D11020" s="13" t="s">
        <v>13245</v>
      </c>
      <c r="E11020" s="8">
        <v>68272.009999999995</v>
      </c>
      <c r="F11020" s="13" t="s">
        <v>70</v>
      </c>
      <c r="G11020" s="14">
        <v>44575</v>
      </c>
      <c r="H11020" s="13" t="s">
        <v>163</v>
      </c>
    </row>
    <row r="11021" spans="1:8" ht="14.4" x14ac:dyDescent="0.3">
      <c r="A11021" s="8">
        <v>2016402</v>
      </c>
      <c r="B11021" s="11">
        <v>44574</v>
      </c>
      <c r="C11021" s="13" t="s">
        <v>13246</v>
      </c>
      <c r="D11021" s="13" t="s">
        <v>13247</v>
      </c>
      <c r="E11021" s="8">
        <v>2000</v>
      </c>
      <c r="F11021" s="13" t="s">
        <v>70</v>
      </c>
      <c r="G11021" s="14">
        <v>44582</v>
      </c>
      <c r="H11021" s="13" t="s">
        <v>163</v>
      </c>
    </row>
    <row r="11022" spans="1:8" ht="14.4" x14ac:dyDescent="0.3">
      <c r="A11022" s="8">
        <v>2016403</v>
      </c>
      <c r="B11022" s="11">
        <v>44574</v>
      </c>
      <c r="C11022" s="13" t="s">
        <v>13248</v>
      </c>
      <c r="D11022" s="13" t="s">
        <v>13249</v>
      </c>
      <c r="E11022" s="8">
        <v>4000</v>
      </c>
      <c r="F11022" s="13" t="s">
        <v>70</v>
      </c>
      <c r="G11022" s="14">
        <v>44582</v>
      </c>
      <c r="H11022" s="13" t="s">
        <v>163</v>
      </c>
    </row>
    <row r="11023" spans="1:8" ht="14.4" x14ac:dyDescent="0.3">
      <c r="A11023" s="8">
        <v>2016404</v>
      </c>
      <c r="B11023" s="11">
        <v>44575</v>
      </c>
      <c r="C11023" s="13" t="s">
        <v>908</v>
      </c>
      <c r="D11023" s="13" t="s">
        <v>13250</v>
      </c>
      <c r="E11023" s="8">
        <v>20000</v>
      </c>
      <c r="F11023" s="13" t="s">
        <v>70</v>
      </c>
      <c r="G11023" s="14">
        <v>44582</v>
      </c>
      <c r="H11023" s="13" t="s">
        <v>163</v>
      </c>
    </row>
    <row r="11024" spans="1:8" ht="14.4" x14ac:dyDescent="0.3">
      <c r="A11024" s="8">
        <v>2016405</v>
      </c>
      <c r="B11024" s="11">
        <v>44575</v>
      </c>
      <c r="C11024" s="13" t="s">
        <v>13251</v>
      </c>
      <c r="D11024" s="13" t="s">
        <v>13252</v>
      </c>
      <c r="E11024" s="8">
        <v>8000</v>
      </c>
      <c r="F11024" s="13" t="s">
        <v>70</v>
      </c>
      <c r="G11024" s="14">
        <v>44582</v>
      </c>
      <c r="H11024" s="13" t="s">
        <v>163</v>
      </c>
    </row>
    <row r="11025" spans="1:8" ht="14.4" x14ac:dyDescent="0.3">
      <c r="A11025" s="8">
        <v>2016406</v>
      </c>
      <c r="B11025" s="11">
        <v>44575</v>
      </c>
      <c r="C11025" s="13" t="s">
        <v>13253</v>
      </c>
      <c r="D11025" s="13" t="s">
        <v>13254</v>
      </c>
      <c r="E11025" s="8">
        <v>4000</v>
      </c>
      <c r="F11025" s="13" t="s">
        <v>70</v>
      </c>
      <c r="G11025" s="14">
        <v>44581</v>
      </c>
      <c r="H11025" s="13" t="s">
        <v>163</v>
      </c>
    </row>
    <row r="11026" spans="1:8" ht="14.4" x14ac:dyDescent="0.3">
      <c r="A11026" s="8">
        <v>2016407</v>
      </c>
      <c r="B11026" s="11">
        <v>44575</v>
      </c>
      <c r="C11026" s="13" t="s">
        <v>13255</v>
      </c>
      <c r="D11026" s="13" t="s">
        <v>13256</v>
      </c>
      <c r="E11026" s="8">
        <v>4000</v>
      </c>
      <c r="F11026" s="13" t="s">
        <v>70</v>
      </c>
      <c r="G11026" s="14">
        <v>44582</v>
      </c>
      <c r="H11026" s="13" t="s">
        <v>163</v>
      </c>
    </row>
    <row r="11027" spans="1:8" ht="14.4" x14ac:dyDescent="0.3">
      <c r="A11027" s="8">
        <v>2016408</v>
      </c>
      <c r="B11027" s="11">
        <v>44575</v>
      </c>
      <c r="C11027" s="13" t="s">
        <v>13257</v>
      </c>
      <c r="D11027" s="13" t="s">
        <v>13258</v>
      </c>
      <c r="E11027" s="8">
        <v>8000</v>
      </c>
      <c r="F11027" s="13" t="s">
        <v>70</v>
      </c>
      <c r="G11027" s="14">
        <v>44582</v>
      </c>
      <c r="H11027" s="13" t="s">
        <v>163</v>
      </c>
    </row>
    <row r="11028" spans="1:8" ht="14.4" x14ac:dyDescent="0.3">
      <c r="A11028" s="8">
        <v>2016409</v>
      </c>
      <c r="B11028" s="11">
        <v>44575</v>
      </c>
      <c r="C11028" s="13" t="s">
        <v>13259</v>
      </c>
      <c r="D11028" s="13" t="s">
        <v>13260</v>
      </c>
      <c r="E11028" s="8">
        <v>6000</v>
      </c>
      <c r="F11028" s="13" t="s">
        <v>70</v>
      </c>
      <c r="G11028" s="14">
        <v>44582</v>
      </c>
      <c r="H11028" s="13" t="s">
        <v>163</v>
      </c>
    </row>
    <row r="11029" spans="1:8" ht="14.4" x14ac:dyDescent="0.3">
      <c r="A11029" s="8">
        <v>2016410</v>
      </c>
      <c r="B11029" s="11">
        <v>44575</v>
      </c>
      <c r="C11029" s="13" t="s">
        <v>13261</v>
      </c>
      <c r="D11029" s="13" t="s">
        <v>13262</v>
      </c>
      <c r="E11029" s="8">
        <v>6000</v>
      </c>
      <c r="F11029" s="13" t="s">
        <v>70</v>
      </c>
      <c r="G11029" s="14">
        <v>44581</v>
      </c>
      <c r="H11029" s="13" t="s">
        <v>163</v>
      </c>
    </row>
    <row r="11030" spans="1:8" ht="14.4" x14ac:dyDescent="0.3">
      <c r="A11030" s="8">
        <v>2016411</v>
      </c>
      <c r="B11030" s="11">
        <v>44575</v>
      </c>
      <c r="C11030" s="13" t="s">
        <v>13263</v>
      </c>
      <c r="D11030" s="13" t="s">
        <v>13264</v>
      </c>
      <c r="E11030" s="8">
        <v>2000</v>
      </c>
      <c r="F11030" s="13" t="s">
        <v>70</v>
      </c>
      <c r="G11030" s="14">
        <v>44582</v>
      </c>
      <c r="H11030" s="13" t="s">
        <v>163</v>
      </c>
    </row>
    <row r="11031" spans="1:8" ht="14.4" x14ac:dyDescent="0.3">
      <c r="A11031" s="8">
        <v>2016412</v>
      </c>
      <c r="B11031" s="11">
        <v>44575</v>
      </c>
      <c r="C11031" s="13" t="s">
        <v>645</v>
      </c>
      <c r="D11031" s="13" t="s">
        <v>13265</v>
      </c>
      <c r="E11031" s="8">
        <v>8000</v>
      </c>
      <c r="F11031" s="13" t="s">
        <v>70</v>
      </c>
      <c r="G11031" s="14">
        <v>44582</v>
      </c>
      <c r="H11031" s="13" t="s">
        <v>163</v>
      </c>
    </row>
    <row r="11032" spans="1:8" ht="14.4" x14ac:dyDescent="0.3">
      <c r="A11032" s="8">
        <v>2016413</v>
      </c>
      <c r="B11032" s="11">
        <v>44575</v>
      </c>
      <c r="C11032" s="13" t="s">
        <v>1229</v>
      </c>
      <c r="D11032" s="13" t="s">
        <v>13266</v>
      </c>
      <c r="E11032" s="8">
        <v>4000</v>
      </c>
      <c r="F11032" s="13" t="s">
        <v>70</v>
      </c>
      <c r="G11032" s="14">
        <v>44582</v>
      </c>
      <c r="H11032" s="13" t="s">
        <v>163</v>
      </c>
    </row>
    <row r="11033" spans="1:8" ht="14.4" x14ac:dyDescent="0.3">
      <c r="A11033" s="8">
        <v>2016414</v>
      </c>
      <c r="B11033" s="11">
        <v>44575</v>
      </c>
      <c r="C11033" s="13" t="s">
        <v>13267</v>
      </c>
      <c r="D11033" s="13" t="s">
        <v>13268</v>
      </c>
      <c r="E11033" s="8">
        <v>2000</v>
      </c>
      <c r="F11033" s="13" t="s">
        <v>70</v>
      </c>
      <c r="G11033" s="14">
        <v>44582</v>
      </c>
      <c r="H11033" s="13" t="s">
        <v>163</v>
      </c>
    </row>
    <row r="11034" spans="1:8" ht="14.4" x14ac:dyDescent="0.3">
      <c r="A11034" s="8">
        <v>2016415</v>
      </c>
      <c r="B11034" s="11">
        <v>44575</v>
      </c>
      <c r="C11034" s="13" t="s">
        <v>13269</v>
      </c>
      <c r="D11034" s="13" t="s">
        <v>13270</v>
      </c>
      <c r="E11034" s="8">
        <v>4000</v>
      </c>
      <c r="F11034" s="13" t="s">
        <v>70</v>
      </c>
      <c r="G11034" s="14">
        <v>44581</v>
      </c>
      <c r="H11034" s="13" t="s">
        <v>163</v>
      </c>
    </row>
    <row r="11035" spans="1:8" ht="14.4" x14ac:dyDescent="0.3">
      <c r="A11035" s="8">
        <v>2016416</v>
      </c>
      <c r="B11035" s="11">
        <v>44575</v>
      </c>
      <c r="C11035" s="13" t="s">
        <v>13271</v>
      </c>
      <c r="D11035" s="13" t="s">
        <v>13272</v>
      </c>
      <c r="E11035" s="8">
        <v>4000</v>
      </c>
      <c r="F11035" s="13" t="s">
        <v>70</v>
      </c>
      <c r="G11035" s="14">
        <v>44582</v>
      </c>
      <c r="H11035" s="13" t="s">
        <v>163</v>
      </c>
    </row>
    <row r="11036" spans="1:8" ht="14.4" x14ac:dyDescent="0.3">
      <c r="A11036" s="8">
        <v>2016417</v>
      </c>
      <c r="B11036" s="11">
        <v>44575</v>
      </c>
      <c r="C11036" s="13" t="s">
        <v>13273</v>
      </c>
      <c r="D11036" s="13" t="s">
        <v>13274</v>
      </c>
      <c r="E11036" s="8">
        <v>4000</v>
      </c>
      <c r="F11036" s="13" t="s">
        <v>70</v>
      </c>
      <c r="G11036" s="14">
        <v>44582</v>
      </c>
      <c r="H11036" s="13" t="s">
        <v>163</v>
      </c>
    </row>
    <row r="11037" spans="1:8" ht="14.4" x14ac:dyDescent="0.3">
      <c r="A11037" s="8">
        <v>2016418</v>
      </c>
      <c r="B11037" s="11">
        <v>44575</v>
      </c>
      <c r="C11037" s="13" t="s">
        <v>6937</v>
      </c>
      <c r="D11037" s="13" t="s">
        <v>13275</v>
      </c>
      <c r="E11037" s="8">
        <v>6000</v>
      </c>
      <c r="F11037" s="13" t="s">
        <v>70</v>
      </c>
      <c r="G11037" s="14">
        <v>44586</v>
      </c>
      <c r="H11037" s="13" t="s">
        <v>163</v>
      </c>
    </row>
    <row r="11038" spans="1:8" ht="14.4" x14ac:dyDescent="0.3">
      <c r="A11038" s="8">
        <v>2016419</v>
      </c>
      <c r="B11038" s="11">
        <v>44575</v>
      </c>
      <c r="C11038" s="13" t="s">
        <v>13276</v>
      </c>
      <c r="D11038" s="13" t="s">
        <v>13277</v>
      </c>
      <c r="E11038" s="8">
        <v>20000</v>
      </c>
      <c r="F11038" s="13" t="s">
        <v>70</v>
      </c>
      <c r="G11038" s="14">
        <v>44581</v>
      </c>
      <c r="H11038" s="13" t="s">
        <v>163</v>
      </c>
    </row>
    <row r="11039" spans="1:8" ht="14.4" x14ac:dyDescent="0.3">
      <c r="A11039" s="8">
        <v>2016420</v>
      </c>
      <c r="B11039" s="11">
        <v>44575</v>
      </c>
      <c r="C11039" s="13" t="s">
        <v>13278</v>
      </c>
      <c r="D11039" s="13" t="s">
        <v>13279</v>
      </c>
      <c r="E11039" s="8">
        <v>8000</v>
      </c>
      <c r="F11039" s="13" t="s">
        <v>70</v>
      </c>
      <c r="G11039" s="14">
        <v>44582</v>
      </c>
      <c r="H11039" s="13" t="s">
        <v>163</v>
      </c>
    </row>
    <row r="11040" spans="1:8" ht="14.4" x14ac:dyDescent="0.3">
      <c r="A11040" s="8">
        <v>2016421</v>
      </c>
      <c r="B11040" s="11">
        <v>44575</v>
      </c>
      <c r="C11040" s="13" t="s">
        <v>13280</v>
      </c>
      <c r="D11040" s="13" t="s">
        <v>13281</v>
      </c>
      <c r="E11040" s="8">
        <v>6000</v>
      </c>
      <c r="F11040" s="13" t="s">
        <v>70</v>
      </c>
      <c r="G11040" s="14">
        <v>44582</v>
      </c>
      <c r="H11040" s="13" t="s">
        <v>163</v>
      </c>
    </row>
    <row r="11041" spans="1:8" ht="14.4" x14ac:dyDescent="0.3">
      <c r="A11041" s="8">
        <v>2016422</v>
      </c>
      <c r="B11041" s="11">
        <v>44575</v>
      </c>
      <c r="C11041" s="13" t="s">
        <v>13282</v>
      </c>
      <c r="D11041" s="13" t="s">
        <v>13283</v>
      </c>
      <c r="E11041" s="8">
        <v>6000</v>
      </c>
      <c r="F11041" s="13" t="s">
        <v>70</v>
      </c>
      <c r="G11041" s="14">
        <v>44581</v>
      </c>
      <c r="H11041" s="13" t="s">
        <v>163</v>
      </c>
    </row>
    <row r="11042" spans="1:8" ht="14.4" x14ac:dyDescent="0.3">
      <c r="A11042" s="8">
        <v>2016423</v>
      </c>
      <c r="B11042" s="11">
        <v>44575</v>
      </c>
      <c r="C11042" s="13" t="s">
        <v>13284</v>
      </c>
      <c r="D11042" s="13" t="s">
        <v>13285</v>
      </c>
      <c r="E11042" s="8">
        <v>4000</v>
      </c>
      <c r="F11042" s="13" t="s">
        <v>70</v>
      </c>
      <c r="G11042" s="14">
        <v>44589</v>
      </c>
      <c r="H11042" s="13" t="s">
        <v>163</v>
      </c>
    </row>
    <row r="11043" spans="1:8" ht="14.4" x14ac:dyDescent="0.3">
      <c r="A11043" s="8">
        <v>2016424</v>
      </c>
      <c r="B11043" s="11">
        <v>44575</v>
      </c>
      <c r="C11043" s="13" t="s">
        <v>13286</v>
      </c>
      <c r="D11043" s="13" t="s">
        <v>13287</v>
      </c>
      <c r="E11043" s="8">
        <v>8000</v>
      </c>
      <c r="F11043" s="13" t="s">
        <v>70</v>
      </c>
      <c r="G11043" s="14">
        <v>44581</v>
      </c>
      <c r="H11043" s="13" t="s">
        <v>163</v>
      </c>
    </row>
    <row r="11044" spans="1:8" ht="14.4" x14ac:dyDescent="0.3">
      <c r="A11044" s="8">
        <v>2016425</v>
      </c>
      <c r="B11044" s="11">
        <v>44575</v>
      </c>
      <c r="C11044" s="13" t="s">
        <v>13288</v>
      </c>
      <c r="D11044" s="13" t="s">
        <v>13289</v>
      </c>
      <c r="E11044" s="8">
        <v>6000</v>
      </c>
      <c r="F11044" s="13" t="s">
        <v>70</v>
      </c>
      <c r="G11044" s="14">
        <v>44582</v>
      </c>
      <c r="H11044" s="13" t="s">
        <v>163</v>
      </c>
    </row>
    <row r="11045" spans="1:8" ht="14.4" x14ac:dyDescent="0.3">
      <c r="A11045" s="8">
        <v>2016426</v>
      </c>
      <c r="B11045" s="11">
        <v>44575</v>
      </c>
      <c r="C11045" s="13" t="s">
        <v>13290</v>
      </c>
      <c r="D11045" s="13" t="s">
        <v>13291</v>
      </c>
      <c r="E11045" s="8">
        <v>4000</v>
      </c>
      <c r="F11045" s="13" t="s">
        <v>70</v>
      </c>
      <c r="G11045" s="14">
        <v>44582</v>
      </c>
      <c r="H11045" s="13" t="s">
        <v>163</v>
      </c>
    </row>
    <row r="11046" spans="1:8" ht="14.4" x14ac:dyDescent="0.3">
      <c r="A11046" s="8">
        <v>2016427</v>
      </c>
      <c r="B11046" s="11">
        <v>44575</v>
      </c>
      <c r="C11046" s="13" t="s">
        <v>13292</v>
      </c>
      <c r="D11046" s="13" t="s">
        <v>13293</v>
      </c>
      <c r="E11046" s="8">
        <v>2000</v>
      </c>
      <c r="F11046" s="13" t="s">
        <v>70</v>
      </c>
      <c r="G11046" s="14">
        <v>44685</v>
      </c>
      <c r="H11046" s="13" t="s">
        <v>163</v>
      </c>
    </row>
    <row r="11047" spans="1:8" ht="14.4" x14ac:dyDescent="0.3">
      <c r="A11047" s="8">
        <v>2016429</v>
      </c>
      <c r="B11047" s="11">
        <v>44575</v>
      </c>
      <c r="C11047" s="13" t="s">
        <v>13294</v>
      </c>
      <c r="D11047" s="13"/>
      <c r="E11047" s="8">
        <v>578120</v>
      </c>
      <c r="F11047" s="13" t="s">
        <v>70</v>
      </c>
      <c r="G11047" s="14">
        <v>44578</v>
      </c>
      <c r="H11047" s="13" t="s">
        <v>163</v>
      </c>
    </row>
    <row r="11048" spans="1:8" ht="14.4" x14ac:dyDescent="0.3">
      <c r="A11048" s="8">
        <v>2016430</v>
      </c>
      <c r="B11048" s="11">
        <v>44578</v>
      </c>
      <c r="C11048" s="13" t="s">
        <v>13294</v>
      </c>
      <c r="D11048" s="13" t="s">
        <v>13295</v>
      </c>
      <c r="E11048" s="8">
        <v>754660</v>
      </c>
      <c r="F11048" s="13" t="s">
        <v>70</v>
      </c>
      <c r="G11048" s="14">
        <v>44579</v>
      </c>
      <c r="H11048" s="13" t="s">
        <v>163</v>
      </c>
    </row>
    <row r="11049" spans="1:8" ht="14.4" x14ac:dyDescent="0.3">
      <c r="A11049" s="8">
        <v>2016431</v>
      </c>
      <c r="B11049" s="11">
        <v>44579</v>
      </c>
      <c r="C11049" s="13" t="s">
        <v>521</v>
      </c>
      <c r="D11049" s="13" t="s">
        <v>13296</v>
      </c>
      <c r="E11049" s="8">
        <v>10000</v>
      </c>
      <c r="F11049" s="13" t="s">
        <v>70</v>
      </c>
      <c r="G11049" s="14">
        <v>44581</v>
      </c>
      <c r="H11049" s="13" t="s">
        <v>163</v>
      </c>
    </row>
    <row r="11050" spans="1:8" ht="14.4" x14ac:dyDescent="0.3">
      <c r="A11050" s="8">
        <v>2016432</v>
      </c>
      <c r="B11050" s="11">
        <v>44579</v>
      </c>
      <c r="C11050" s="13" t="s">
        <v>7543</v>
      </c>
      <c r="D11050" s="13" t="s">
        <v>13297</v>
      </c>
      <c r="E11050" s="8">
        <v>10000</v>
      </c>
      <c r="F11050" s="13" t="s">
        <v>70</v>
      </c>
      <c r="G11050" s="14">
        <v>44589</v>
      </c>
      <c r="H11050" s="13" t="s">
        <v>163</v>
      </c>
    </row>
    <row r="11051" spans="1:8" ht="14.4" x14ac:dyDescent="0.3">
      <c r="A11051" s="8">
        <v>2016433</v>
      </c>
      <c r="B11051" s="11">
        <v>44579</v>
      </c>
      <c r="C11051" s="13" t="s">
        <v>13298</v>
      </c>
      <c r="D11051" s="13" t="s">
        <v>13299</v>
      </c>
      <c r="E11051" s="8">
        <v>16000</v>
      </c>
      <c r="F11051" s="13" t="s">
        <v>70</v>
      </c>
      <c r="G11051" s="14">
        <v>44588</v>
      </c>
      <c r="H11051" s="13" t="s">
        <v>163</v>
      </c>
    </row>
    <row r="11052" spans="1:8" ht="14.4" x14ac:dyDescent="0.3">
      <c r="A11052" s="8">
        <v>2016434</v>
      </c>
      <c r="B11052" s="11">
        <v>44579</v>
      </c>
      <c r="C11052" s="13" t="s">
        <v>712</v>
      </c>
      <c r="D11052" s="13" t="s">
        <v>13300</v>
      </c>
      <c r="E11052" s="8">
        <v>10000</v>
      </c>
      <c r="F11052" s="13" t="s">
        <v>70</v>
      </c>
      <c r="G11052" s="14">
        <v>44581</v>
      </c>
      <c r="H11052" s="13" t="s">
        <v>163</v>
      </c>
    </row>
    <row r="11053" spans="1:8" ht="14.4" x14ac:dyDescent="0.3">
      <c r="A11053" s="8">
        <v>2016435</v>
      </c>
      <c r="B11053" s="11">
        <v>44579</v>
      </c>
      <c r="C11053" s="13" t="s">
        <v>13301</v>
      </c>
      <c r="D11053" s="13" t="s">
        <v>13302</v>
      </c>
      <c r="E11053" s="8">
        <v>25000</v>
      </c>
      <c r="F11053" s="13" t="s">
        <v>70</v>
      </c>
      <c r="G11053" s="14">
        <v>44582</v>
      </c>
      <c r="H11053" s="13" t="s">
        <v>163</v>
      </c>
    </row>
    <row r="11054" spans="1:8" ht="14.4" x14ac:dyDescent="0.3">
      <c r="A11054" s="8">
        <v>2016436</v>
      </c>
      <c r="B11054" s="11">
        <v>44579</v>
      </c>
      <c r="C11054" s="13" t="s">
        <v>13303</v>
      </c>
      <c r="D11054" s="13" t="s">
        <v>13304</v>
      </c>
      <c r="E11054" s="8">
        <v>6000</v>
      </c>
      <c r="F11054" s="13" t="s">
        <v>70</v>
      </c>
      <c r="G11054" s="14">
        <v>44602</v>
      </c>
      <c r="H11054" s="13" t="s">
        <v>163</v>
      </c>
    </row>
    <row r="11055" spans="1:8" ht="14.4" x14ac:dyDescent="0.3">
      <c r="A11055" s="8">
        <v>2016437</v>
      </c>
      <c r="B11055" s="11">
        <v>44579</v>
      </c>
      <c r="C11055" s="13" t="s">
        <v>13305</v>
      </c>
      <c r="D11055" s="13" t="s">
        <v>13306</v>
      </c>
      <c r="E11055" s="8">
        <v>2000</v>
      </c>
      <c r="F11055" s="13" t="s">
        <v>70</v>
      </c>
      <c r="G11055" s="14">
        <v>44588</v>
      </c>
      <c r="H11055" s="13" t="s">
        <v>163</v>
      </c>
    </row>
    <row r="11056" spans="1:8" ht="14.4" x14ac:dyDescent="0.3">
      <c r="A11056" s="8">
        <v>2016438</v>
      </c>
      <c r="B11056" s="11">
        <v>44579</v>
      </c>
      <c r="C11056" s="13" t="s">
        <v>817</v>
      </c>
      <c r="D11056" s="13" t="s">
        <v>13307</v>
      </c>
      <c r="E11056" s="8">
        <v>12000</v>
      </c>
      <c r="F11056" s="13" t="s">
        <v>70</v>
      </c>
      <c r="G11056" s="14">
        <v>44589</v>
      </c>
      <c r="H11056" s="13" t="s">
        <v>163</v>
      </c>
    </row>
    <row r="11057" spans="1:8" ht="14.4" x14ac:dyDescent="0.3">
      <c r="A11057" s="8">
        <v>2016439</v>
      </c>
      <c r="B11057" s="11">
        <v>44579</v>
      </c>
      <c r="C11057" s="13" t="s">
        <v>4744</v>
      </c>
      <c r="D11057" s="13" t="s">
        <v>13308</v>
      </c>
      <c r="E11057" s="8">
        <v>6000</v>
      </c>
      <c r="F11057" s="13" t="s">
        <v>70</v>
      </c>
      <c r="G11057" s="14">
        <v>44589</v>
      </c>
      <c r="H11057" s="13" t="s">
        <v>163</v>
      </c>
    </row>
    <row r="11058" spans="1:8" ht="14.4" x14ac:dyDescent="0.3">
      <c r="A11058" s="8">
        <v>2016440</v>
      </c>
      <c r="B11058" s="11">
        <v>44579</v>
      </c>
      <c r="C11058" s="13" t="s">
        <v>827</v>
      </c>
      <c r="D11058" s="13" t="s">
        <v>13309</v>
      </c>
      <c r="E11058" s="8">
        <v>14000</v>
      </c>
      <c r="F11058" s="13" t="s">
        <v>70</v>
      </c>
      <c r="G11058" s="14">
        <v>44599</v>
      </c>
      <c r="H11058" s="13" t="s">
        <v>163</v>
      </c>
    </row>
    <row r="11059" spans="1:8" ht="14.4" x14ac:dyDescent="0.3">
      <c r="A11059" s="8">
        <v>2016441</v>
      </c>
      <c r="B11059" s="11">
        <v>44579</v>
      </c>
      <c r="C11059" s="13" t="s">
        <v>13310</v>
      </c>
      <c r="D11059" s="13" t="s">
        <v>13311</v>
      </c>
      <c r="E11059" s="8">
        <v>8000</v>
      </c>
      <c r="F11059" s="13" t="s">
        <v>70</v>
      </c>
      <c r="G11059" s="14">
        <v>44589</v>
      </c>
      <c r="H11059" s="13" t="s">
        <v>163</v>
      </c>
    </row>
    <row r="11060" spans="1:8" ht="14.4" x14ac:dyDescent="0.3">
      <c r="A11060" s="8">
        <v>2016442</v>
      </c>
      <c r="B11060" s="11">
        <v>44579</v>
      </c>
      <c r="C11060" s="13" t="s">
        <v>710</v>
      </c>
      <c r="D11060" s="13" t="s">
        <v>13312</v>
      </c>
      <c r="E11060" s="8">
        <v>14000</v>
      </c>
      <c r="F11060" s="13" t="s">
        <v>70</v>
      </c>
      <c r="G11060" s="14">
        <v>44582</v>
      </c>
      <c r="H11060" s="13" t="s">
        <v>163</v>
      </c>
    </row>
    <row r="11061" spans="1:8" ht="14.4" x14ac:dyDescent="0.3">
      <c r="A11061" s="8">
        <v>2016443</v>
      </c>
      <c r="B11061" s="11">
        <v>44579</v>
      </c>
      <c r="C11061" s="13" t="s">
        <v>13313</v>
      </c>
      <c r="D11061" s="13" t="s">
        <v>13314</v>
      </c>
      <c r="E11061" s="8">
        <v>2000</v>
      </c>
      <c r="F11061" s="13" t="s">
        <v>70</v>
      </c>
      <c r="G11061" s="14">
        <v>44589</v>
      </c>
      <c r="H11061" s="13" t="s">
        <v>163</v>
      </c>
    </row>
    <row r="11062" spans="1:8" ht="14.4" x14ac:dyDescent="0.3">
      <c r="A11062" s="8">
        <v>2016444</v>
      </c>
      <c r="B11062" s="11">
        <v>44579</v>
      </c>
      <c r="C11062" s="13" t="s">
        <v>13315</v>
      </c>
      <c r="D11062" s="13" t="s">
        <v>13316</v>
      </c>
      <c r="E11062" s="8">
        <v>20000</v>
      </c>
      <c r="F11062" s="13" t="s">
        <v>70</v>
      </c>
      <c r="G11062" s="14">
        <v>44588</v>
      </c>
      <c r="H11062" s="13" t="s">
        <v>163</v>
      </c>
    </row>
    <row r="11063" spans="1:8" ht="14.4" x14ac:dyDescent="0.3">
      <c r="A11063" s="8">
        <v>2016445</v>
      </c>
      <c r="B11063" s="11">
        <v>44579</v>
      </c>
      <c r="C11063" s="13" t="s">
        <v>13317</v>
      </c>
      <c r="D11063" s="13" t="s">
        <v>13318</v>
      </c>
      <c r="E11063" s="8">
        <v>4000</v>
      </c>
      <c r="F11063" s="13" t="s">
        <v>70</v>
      </c>
      <c r="G11063" s="14">
        <v>44589</v>
      </c>
      <c r="H11063" s="13" t="s">
        <v>163</v>
      </c>
    </row>
    <row r="11064" spans="1:8" ht="14.4" x14ac:dyDescent="0.3">
      <c r="A11064" s="8">
        <v>2016446</v>
      </c>
      <c r="B11064" s="11">
        <v>44579</v>
      </c>
      <c r="C11064" s="13" t="s">
        <v>13319</v>
      </c>
      <c r="D11064" s="13" t="s">
        <v>13320</v>
      </c>
      <c r="E11064" s="8">
        <v>6000</v>
      </c>
      <c r="F11064" s="13" t="s">
        <v>70</v>
      </c>
      <c r="G11064" s="14">
        <v>44589</v>
      </c>
      <c r="H11064" s="13" t="s">
        <v>163</v>
      </c>
    </row>
    <row r="11065" spans="1:8" ht="14.4" x14ac:dyDescent="0.3">
      <c r="A11065" s="8">
        <v>2016447</v>
      </c>
      <c r="B11065" s="11">
        <v>44579</v>
      </c>
      <c r="C11065" s="13" t="s">
        <v>13321</v>
      </c>
      <c r="D11065" s="13" t="s">
        <v>13322</v>
      </c>
      <c r="E11065" s="8">
        <v>8000</v>
      </c>
      <c r="F11065" s="13" t="s">
        <v>70</v>
      </c>
      <c r="G11065" s="14">
        <v>44589</v>
      </c>
      <c r="H11065" s="13" t="s">
        <v>163</v>
      </c>
    </row>
    <row r="11066" spans="1:8" ht="14.4" x14ac:dyDescent="0.3">
      <c r="A11066" s="8">
        <v>2016448</v>
      </c>
      <c r="B11066" s="11">
        <v>44579</v>
      </c>
      <c r="C11066" s="13" t="s">
        <v>13323</v>
      </c>
      <c r="D11066" s="13" t="s">
        <v>13324</v>
      </c>
      <c r="E11066" s="8">
        <v>30000</v>
      </c>
      <c r="F11066" s="13" t="s">
        <v>70</v>
      </c>
      <c r="G11066" s="14">
        <v>44582</v>
      </c>
      <c r="H11066" s="13" t="s">
        <v>163</v>
      </c>
    </row>
    <row r="11067" spans="1:8" ht="14.4" x14ac:dyDescent="0.3">
      <c r="A11067" s="8">
        <v>2016449</v>
      </c>
      <c r="B11067" s="11">
        <v>44579</v>
      </c>
      <c r="C11067" s="13" t="s">
        <v>13325</v>
      </c>
      <c r="D11067" s="13" t="s">
        <v>13326</v>
      </c>
      <c r="E11067" s="8">
        <v>20000</v>
      </c>
      <c r="F11067" s="13" t="s">
        <v>70</v>
      </c>
      <c r="G11067" s="14">
        <v>44589</v>
      </c>
      <c r="H11067" s="13" t="s">
        <v>163</v>
      </c>
    </row>
    <row r="11068" spans="1:8" ht="14.4" x14ac:dyDescent="0.3">
      <c r="A11068" s="8">
        <v>2016450</v>
      </c>
      <c r="B11068" s="11">
        <v>44579</v>
      </c>
      <c r="C11068" s="13" t="s">
        <v>13327</v>
      </c>
      <c r="D11068" s="13" t="s">
        <v>13328</v>
      </c>
      <c r="E11068" s="8">
        <v>8000</v>
      </c>
      <c r="F11068" s="13" t="s">
        <v>70</v>
      </c>
      <c r="G11068" s="14">
        <v>44585</v>
      </c>
      <c r="H11068" s="13" t="s">
        <v>163</v>
      </c>
    </row>
    <row r="11069" spans="1:8" ht="14.4" x14ac:dyDescent="0.3">
      <c r="A11069" s="8">
        <v>2016451</v>
      </c>
      <c r="B11069" s="11">
        <v>44579</v>
      </c>
      <c r="C11069" s="13" t="s">
        <v>12668</v>
      </c>
      <c r="D11069" s="13" t="s">
        <v>13329</v>
      </c>
      <c r="E11069" s="8">
        <v>4000</v>
      </c>
      <c r="F11069" s="13" t="s">
        <v>70</v>
      </c>
      <c r="G11069" s="14">
        <v>44588</v>
      </c>
      <c r="H11069" s="13" t="s">
        <v>163</v>
      </c>
    </row>
    <row r="11070" spans="1:8" ht="14.4" x14ac:dyDescent="0.3">
      <c r="A11070" s="8">
        <v>2016452</v>
      </c>
      <c r="B11070" s="11">
        <v>44579</v>
      </c>
      <c r="C11070" s="13" t="s">
        <v>13330</v>
      </c>
      <c r="D11070" s="13" t="s">
        <v>13331</v>
      </c>
      <c r="E11070" s="8">
        <v>40000</v>
      </c>
      <c r="F11070" s="13" t="s">
        <v>70</v>
      </c>
      <c r="G11070" s="14">
        <v>44596</v>
      </c>
      <c r="H11070" s="13" t="s">
        <v>163</v>
      </c>
    </row>
    <row r="11071" spans="1:8" ht="14.4" x14ac:dyDescent="0.3">
      <c r="A11071" s="8">
        <v>2016453</v>
      </c>
      <c r="B11071" s="11">
        <v>44579</v>
      </c>
      <c r="C11071" s="13" t="s">
        <v>13332</v>
      </c>
      <c r="D11071" s="13" t="s">
        <v>13333</v>
      </c>
      <c r="E11071" s="8">
        <v>2000</v>
      </c>
      <c r="F11071" s="13" t="s">
        <v>70</v>
      </c>
      <c r="G11071" s="14">
        <v>44588</v>
      </c>
      <c r="H11071" s="13" t="s">
        <v>163</v>
      </c>
    </row>
    <row r="11072" spans="1:8" ht="14.4" x14ac:dyDescent="0.3">
      <c r="A11072" s="8">
        <v>2016454</v>
      </c>
      <c r="B11072" s="11">
        <v>44579</v>
      </c>
      <c r="C11072" s="13" t="s">
        <v>13334</v>
      </c>
      <c r="D11072" s="13" t="s">
        <v>13335</v>
      </c>
      <c r="E11072" s="8">
        <v>8000</v>
      </c>
      <c r="F11072" s="13" t="s">
        <v>70</v>
      </c>
      <c r="G11072" s="14">
        <v>44589</v>
      </c>
      <c r="H11072" s="13" t="s">
        <v>163</v>
      </c>
    </row>
    <row r="11073" spans="1:8" ht="14.4" x14ac:dyDescent="0.3">
      <c r="A11073" s="8">
        <v>2016455</v>
      </c>
      <c r="B11073" s="11">
        <v>44579</v>
      </c>
      <c r="C11073" s="13" t="s">
        <v>13336</v>
      </c>
      <c r="D11073" s="13" t="s">
        <v>13337</v>
      </c>
      <c r="E11073" s="8">
        <v>2000</v>
      </c>
      <c r="F11073" s="13" t="s">
        <v>70</v>
      </c>
      <c r="G11073" s="14">
        <v>44608</v>
      </c>
      <c r="H11073" s="13" t="s">
        <v>163</v>
      </c>
    </row>
    <row r="11074" spans="1:8" ht="14.4" x14ac:dyDescent="0.3">
      <c r="A11074" s="8">
        <v>2016456</v>
      </c>
      <c r="B11074" s="11">
        <v>44579</v>
      </c>
      <c r="C11074" s="13" t="s">
        <v>13338</v>
      </c>
      <c r="D11074" s="13" t="s">
        <v>13339</v>
      </c>
      <c r="E11074" s="8">
        <v>4000</v>
      </c>
      <c r="F11074" s="13" t="s">
        <v>70</v>
      </c>
      <c r="G11074" s="14">
        <v>44589</v>
      </c>
      <c r="H11074" s="13" t="s">
        <v>163</v>
      </c>
    </row>
    <row r="11075" spans="1:8" ht="14.4" x14ac:dyDescent="0.3">
      <c r="A11075" s="8">
        <v>2016457</v>
      </c>
      <c r="B11075" s="11">
        <v>44579</v>
      </c>
      <c r="C11075" s="13" t="s">
        <v>13340</v>
      </c>
      <c r="D11075" s="13" t="s">
        <v>13341</v>
      </c>
      <c r="E11075" s="8">
        <v>4000</v>
      </c>
      <c r="F11075" s="13" t="s">
        <v>70</v>
      </c>
      <c r="G11075" s="14">
        <v>44589</v>
      </c>
      <c r="H11075" s="13" t="s">
        <v>163</v>
      </c>
    </row>
    <row r="11076" spans="1:8" ht="14.4" x14ac:dyDescent="0.3">
      <c r="A11076" s="8">
        <v>2016458</v>
      </c>
      <c r="B11076" s="11">
        <v>44579</v>
      </c>
      <c r="C11076" s="13" t="s">
        <v>13342</v>
      </c>
      <c r="D11076" s="13" t="s">
        <v>13343</v>
      </c>
      <c r="E11076" s="8">
        <v>4000</v>
      </c>
      <c r="F11076" s="13" t="s">
        <v>70</v>
      </c>
      <c r="G11076" s="14">
        <v>44582</v>
      </c>
      <c r="H11076" s="13" t="s">
        <v>163</v>
      </c>
    </row>
    <row r="11077" spans="1:8" ht="14.4" x14ac:dyDescent="0.3">
      <c r="A11077" s="8">
        <v>2016459</v>
      </c>
      <c r="B11077" s="11">
        <v>44579</v>
      </c>
      <c r="C11077" s="13" t="s">
        <v>13344</v>
      </c>
      <c r="D11077" s="13" t="s">
        <v>13345</v>
      </c>
      <c r="E11077" s="8">
        <v>6000</v>
      </c>
      <c r="F11077" s="13" t="s">
        <v>70</v>
      </c>
      <c r="G11077" s="14">
        <v>44589</v>
      </c>
      <c r="H11077" s="13" t="s">
        <v>163</v>
      </c>
    </row>
    <row r="11078" spans="1:8" ht="14.4" x14ac:dyDescent="0.3">
      <c r="A11078" s="8">
        <v>2016460</v>
      </c>
      <c r="B11078" s="11">
        <v>44579</v>
      </c>
      <c r="C11078" s="13" t="s">
        <v>13346</v>
      </c>
      <c r="D11078" s="13" t="s">
        <v>13347</v>
      </c>
      <c r="E11078" s="8">
        <v>20000</v>
      </c>
      <c r="F11078" s="13" t="s">
        <v>70</v>
      </c>
      <c r="G11078" s="14">
        <v>44581</v>
      </c>
      <c r="H11078" s="13" t="s">
        <v>163</v>
      </c>
    </row>
    <row r="11079" spans="1:8" ht="14.4" x14ac:dyDescent="0.3">
      <c r="A11079" s="8">
        <v>2016461</v>
      </c>
      <c r="B11079" s="11">
        <v>44579</v>
      </c>
      <c r="C11079" s="13" t="s">
        <v>13348</v>
      </c>
      <c r="D11079" s="13" t="s">
        <v>13349</v>
      </c>
      <c r="E11079" s="8">
        <v>6000</v>
      </c>
      <c r="F11079" s="13" t="s">
        <v>70</v>
      </c>
      <c r="G11079" s="14">
        <v>44589</v>
      </c>
      <c r="H11079" s="13" t="s">
        <v>163</v>
      </c>
    </row>
    <row r="11080" spans="1:8" ht="14.4" x14ac:dyDescent="0.3">
      <c r="A11080" s="8">
        <v>2016462</v>
      </c>
      <c r="B11080" s="11">
        <v>44579</v>
      </c>
      <c r="C11080" s="13" t="s">
        <v>13350</v>
      </c>
      <c r="D11080" s="13" t="s">
        <v>13351</v>
      </c>
      <c r="E11080" s="8">
        <v>6000</v>
      </c>
      <c r="F11080" s="13" t="s">
        <v>70</v>
      </c>
      <c r="G11080" s="14">
        <v>44585</v>
      </c>
      <c r="H11080" s="13" t="s">
        <v>163</v>
      </c>
    </row>
    <row r="11081" spans="1:8" ht="14.4" x14ac:dyDescent="0.3">
      <c r="A11081" s="8">
        <v>2016463</v>
      </c>
      <c r="B11081" s="11">
        <v>44579</v>
      </c>
      <c r="C11081" s="13" t="s">
        <v>1219</v>
      </c>
      <c r="D11081" s="13" t="s">
        <v>13352</v>
      </c>
      <c r="E11081" s="8">
        <v>30000</v>
      </c>
      <c r="F11081" s="13" t="s">
        <v>70</v>
      </c>
      <c r="G11081" s="14">
        <v>44589</v>
      </c>
      <c r="H11081" s="13" t="s">
        <v>163</v>
      </c>
    </row>
    <row r="11082" spans="1:8" ht="14.4" x14ac:dyDescent="0.3">
      <c r="A11082" s="8">
        <v>2016464</v>
      </c>
      <c r="B11082" s="11">
        <v>44579</v>
      </c>
      <c r="C11082" s="13" t="s">
        <v>433</v>
      </c>
      <c r="D11082" s="13" t="s">
        <v>13353</v>
      </c>
      <c r="E11082" s="8">
        <v>6000</v>
      </c>
      <c r="F11082" s="13" t="s">
        <v>70</v>
      </c>
      <c r="G11082" s="14">
        <v>44589</v>
      </c>
      <c r="H11082" s="13" t="s">
        <v>163</v>
      </c>
    </row>
    <row r="11083" spans="1:8" ht="14.4" x14ac:dyDescent="0.3">
      <c r="A11083" s="8">
        <v>2016465</v>
      </c>
      <c r="B11083" s="11">
        <v>44579</v>
      </c>
      <c r="C11083" s="13" t="s">
        <v>13354</v>
      </c>
      <c r="D11083" s="13" t="s">
        <v>13355</v>
      </c>
      <c r="E11083" s="8">
        <v>4000</v>
      </c>
      <c r="F11083" s="13" t="s">
        <v>70</v>
      </c>
      <c r="G11083" s="14">
        <v>44588</v>
      </c>
      <c r="H11083" s="13" t="s">
        <v>163</v>
      </c>
    </row>
    <row r="11084" spans="1:8" ht="14.4" x14ac:dyDescent="0.3">
      <c r="A11084" s="8">
        <v>2016466</v>
      </c>
      <c r="B11084" s="11">
        <v>44579</v>
      </c>
      <c r="C11084" s="13" t="s">
        <v>13356</v>
      </c>
      <c r="D11084" s="13" t="s">
        <v>13357</v>
      </c>
      <c r="E11084" s="8">
        <v>20000</v>
      </c>
      <c r="F11084" s="13" t="s">
        <v>70</v>
      </c>
      <c r="G11084" s="14">
        <v>44589</v>
      </c>
      <c r="H11084" s="13" t="s">
        <v>163</v>
      </c>
    </row>
    <row r="11085" spans="1:8" ht="14.4" x14ac:dyDescent="0.3">
      <c r="A11085" s="8">
        <v>2016467</v>
      </c>
      <c r="B11085" s="11">
        <v>44579</v>
      </c>
      <c r="C11085" s="13" t="s">
        <v>13358</v>
      </c>
      <c r="D11085" s="13" t="s">
        <v>13359</v>
      </c>
      <c r="E11085" s="8">
        <v>4000</v>
      </c>
      <c r="F11085" s="13" t="s">
        <v>70</v>
      </c>
      <c r="G11085" s="14">
        <v>44592</v>
      </c>
      <c r="H11085" s="13" t="s">
        <v>163</v>
      </c>
    </row>
    <row r="11086" spans="1:8" ht="14.4" x14ac:dyDescent="0.3">
      <c r="A11086" s="8">
        <v>2016468</v>
      </c>
      <c r="B11086" s="11">
        <v>44579</v>
      </c>
      <c r="C11086" s="13" t="s">
        <v>13360</v>
      </c>
      <c r="D11086" s="13" t="s">
        <v>13361</v>
      </c>
      <c r="E11086" s="8">
        <v>2000</v>
      </c>
      <c r="F11086" s="13" t="s">
        <v>70</v>
      </c>
      <c r="G11086" s="14">
        <v>44589</v>
      </c>
      <c r="H11086" s="13" t="s">
        <v>163</v>
      </c>
    </row>
    <row r="11087" spans="1:8" ht="14.4" x14ac:dyDescent="0.3">
      <c r="A11087" s="8">
        <v>2016469</v>
      </c>
      <c r="B11087" s="11">
        <v>44579</v>
      </c>
      <c r="C11087" s="13" t="s">
        <v>13362</v>
      </c>
      <c r="D11087" s="13" t="s">
        <v>13363</v>
      </c>
      <c r="E11087" s="8">
        <v>20000</v>
      </c>
      <c r="F11087" s="13" t="s">
        <v>70</v>
      </c>
      <c r="G11087" s="14">
        <v>44589</v>
      </c>
      <c r="H11087" s="13" t="s">
        <v>163</v>
      </c>
    </row>
    <row r="11088" spans="1:8" ht="14.4" x14ac:dyDescent="0.3">
      <c r="A11088" s="8">
        <v>2016470</v>
      </c>
      <c r="B11088" s="11">
        <v>44579</v>
      </c>
      <c r="C11088" s="13" t="s">
        <v>13364</v>
      </c>
      <c r="D11088" s="13" t="s">
        <v>13365</v>
      </c>
      <c r="E11088" s="8">
        <v>2000</v>
      </c>
      <c r="F11088" s="13" t="s">
        <v>70</v>
      </c>
      <c r="G11088" s="14">
        <v>44589</v>
      </c>
      <c r="H11088" s="13" t="s">
        <v>163</v>
      </c>
    </row>
    <row r="11089" spans="1:8" ht="14.4" x14ac:dyDescent="0.3">
      <c r="A11089" s="8">
        <v>2016471</v>
      </c>
      <c r="B11089" s="11">
        <v>44579</v>
      </c>
      <c r="C11089" s="13" t="s">
        <v>13366</v>
      </c>
      <c r="D11089" s="13" t="s">
        <v>13367</v>
      </c>
      <c r="E11089" s="8">
        <v>2000</v>
      </c>
      <c r="F11089" s="13" t="s">
        <v>70</v>
      </c>
      <c r="G11089" s="14">
        <v>44589</v>
      </c>
      <c r="H11089" s="13" t="s">
        <v>163</v>
      </c>
    </row>
    <row r="11090" spans="1:8" ht="14.4" x14ac:dyDescent="0.3">
      <c r="A11090" s="8">
        <v>2016472</v>
      </c>
      <c r="B11090" s="11">
        <v>44579</v>
      </c>
      <c r="C11090" s="13" t="s">
        <v>13368</v>
      </c>
      <c r="D11090" s="13" t="s">
        <v>13369</v>
      </c>
      <c r="E11090" s="8">
        <v>10000</v>
      </c>
      <c r="F11090" s="13" t="s">
        <v>70</v>
      </c>
      <c r="G11090" s="14">
        <v>44589</v>
      </c>
      <c r="H11090" s="13" t="s">
        <v>163</v>
      </c>
    </row>
    <row r="11091" spans="1:8" ht="14.4" x14ac:dyDescent="0.3">
      <c r="A11091" s="8">
        <v>2016473</v>
      </c>
      <c r="B11091" s="11">
        <v>44579</v>
      </c>
      <c r="C11091" s="13" t="s">
        <v>13370</v>
      </c>
      <c r="D11091" s="13" t="s">
        <v>13371</v>
      </c>
      <c r="E11091" s="8">
        <v>8000</v>
      </c>
      <c r="F11091" s="13" t="s">
        <v>70</v>
      </c>
      <c r="G11091" s="14">
        <v>44589</v>
      </c>
      <c r="H11091" s="13" t="s">
        <v>163</v>
      </c>
    </row>
    <row r="11092" spans="1:8" ht="14.4" x14ac:dyDescent="0.3">
      <c r="A11092" s="8">
        <v>2016474</v>
      </c>
      <c r="B11092" s="11">
        <v>44579</v>
      </c>
      <c r="C11092" s="13" t="s">
        <v>13372</v>
      </c>
      <c r="D11092" s="13" t="s">
        <v>13373</v>
      </c>
      <c r="E11092" s="8">
        <v>4000</v>
      </c>
      <c r="F11092" s="13" t="s">
        <v>70</v>
      </c>
      <c r="G11092" s="14">
        <v>44592</v>
      </c>
      <c r="H11092" s="13" t="s">
        <v>163</v>
      </c>
    </row>
    <row r="11093" spans="1:8" ht="14.4" x14ac:dyDescent="0.3">
      <c r="A11093" s="8">
        <v>2016475</v>
      </c>
      <c r="B11093" s="11">
        <v>44579</v>
      </c>
      <c r="C11093" s="13" t="s">
        <v>13374</v>
      </c>
      <c r="D11093" s="13" t="s">
        <v>13375</v>
      </c>
      <c r="E11093" s="8">
        <v>6000</v>
      </c>
      <c r="F11093" s="13" t="s">
        <v>70</v>
      </c>
      <c r="G11093" s="14">
        <v>44589</v>
      </c>
      <c r="H11093" s="13" t="s">
        <v>163</v>
      </c>
    </row>
    <row r="11094" spans="1:8" ht="14.4" x14ac:dyDescent="0.3">
      <c r="A11094" s="8">
        <v>2016476</v>
      </c>
      <c r="B11094" s="11">
        <v>44579</v>
      </c>
      <c r="C11094" s="13" t="s">
        <v>13376</v>
      </c>
      <c r="D11094" s="13" t="s">
        <v>13377</v>
      </c>
      <c r="E11094" s="8">
        <v>4000</v>
      </c>
      <c r="F11094" s="13" t="s">
        <v>70</v>
      </c>
      <c r="G11094" s="14">
        <v>44589</v>
      </c>
      <c r="H11094" s="13" t="s">
        <v>163</v>
      </c>
    </row>
    <row r="11095" spans="1:8" ht="14.4" x14ac:dyDescent="0.3">
      <c r="A11095" s="8">
        <v>2016477</v>
      </c>
      <c r="B11095" s="11">
        <v>44579</v>
      </c>
      <c r="C11095" s="13" t="s">
        <v>13378</v>
      </c>
      <c r="D11095" s="13" t="s">
        <v>13379</v>
      </c>
      <c r="E11095" s="8">
        <v>2000</v>
      </c>
      <c r="F11095" s="13" t="s">
        <v>70</v>
      </c>
      <c r="G11095" s="14">
        <v>44589</v>
      </c>
      <c r="H11095" s="13" t="s">
        <v>163</v>
      </c>
    </row>
    <row r="11096" spans="1:8" ht="14.4" x14ac:dyDescent="0.3">
      <c r="A11096" s="8">
        <v>2016478</v>
      </c>
      <c r="B11096" s="11">
        <v>44579</v>
      </c>
      <c r="C11096" s="13" t="s">
        <v>13380</v>
      </c>
      <c r="D11096" s="13" t="s">
        <v>13381</v>
      </c>
      <c r="E11096" s="8">
        <v>10000</v>
      </c>
      <c r="F11096" s="13" t="s">
        <v>70</v>
      </c>
      <c r="G11096" s="14">
        <v>44589</v>
      </c>
      <c r="H11096" s="13" t="s">
        <v>163</v>
      </c>
    </row>
    <row r="11097" spans="1:8" ht="14.4" x14ac:dyDescent="0.3">
      <c r="A11097" s="8">
        <v>2016479</v>
      </c>
      <c r="B11097" s="11">
        <v>44579</v>
      </c>
      <c r="C11097" s="13" t="s">
        <v>734</v>
      </c>
      <c r="D11097" s="13" t="s">
        <v>13382</v>
      </c>
      <c r="E11097" s="8">
        <v>10000</v>
      </c>
      <c r="F11097" s="13" t="s">
        <v>70</v>
      </c>
      <c r="G11097" s="14">
        <v>44589</v>
      </c>
      <c r="H11097" s="13" t="s">
        <v>163</v>
      </c>
    </row>
    <row r="11098" spans="1:8" ht="14.4" x14ac:dyDescent="0.3">
      <c r="A11098" s="8">
        <v>2016480</v>
      </c>
      <c r="B11098" s="11">
        <v>44579</v>
      </c>
      <c r="C11098" s="13" t="s">
        <v>13383</v>
      </c>
      <c r="D11098" s="13" t="s">
        <v>13384</v>
      </c>
      <c r="E11098" s="8">
        <v>2000</v>
      </c>
      <c r="F11098" s="13" t="s">
        <v>70</v>
      </c>
      <c r="G11098" s="14">
        <v>44589</v>
      </c>
      <c r="H11098" s="13" t="s">
        <v>163</v>
      </c>
    </row>
    <row r="11099" spans="1:8" ht="14.4" x14ac:dyDescent="0.3">
      <c r="A11099" s="8">
        <v>2016481</v>
      </c>
      <c r="B11099" s="11">
        <v>44579</v>
      </c>
      <c r="C11099" s="13" t="s">
        <v>13385</v>
      </c>
      <c r="D11099" s="13" t="s">
        <v>13386</v>
      </c>
      <c r="E11099" s="8">
        <v>8000</v>
      </c>
      <c r="F11099" s="13" t="s">
        <v>70</v>
      </c>
      <c r="G11099" s="14">
        <v>44582</v>
      </c>
      <c r="H11099" s="13" t="s">
        <v>163</v>
      </c>
    </row>
    <row r="11100" spans="1:8" ht="14.4" x14ac:dyDescent="0.3">
      <c r="A11100" s="8">
        <v>2016482</v>
      </c>
      <c r="B11100" s="11">
        <v>44579</v>
      </c>
      <c r="C11100" s="13" t="s">
        <v>13387</v>
      </c>
      <c r="D11100" s="13" t="s">
        <v>13388</v>
      </c>
      <c r="E11100" s="8">
        <v>20000</v>
      </c>
      <c r="F11100" s="13" t="s">
        <v>70</v>
      </c>
      <c r="G11100" s="14">
        <v>44596</v>
      </c>
      <c r="H11100" s="13" t="s">
        <v>163</v>
      </c>
    </row>
    <row r="11101" spans="1:8" ht="14.4" x14ac:dyDescent="0.3">
      <c r="A11101" s="8">
        <v>2016483</v>
      </c>
      <c r="B11101" s="11">
        <v>44580</v>
      </c>
      <c r="C11101" s="13" t="s">
        <v>13389</v>
      </c>
      <c r="D11101" s="13" t="s">
        <v>13390</v>
      </c>
      <c r="E11101" s="8">
        <v>6000</v>
      </c>
      <c r="F11101" s="13" t="s">
        <v>70</v>
      </c>
      <c r="G11101" s="14">
        <v>44589</v>
      </c>
      <c r="H11101" s="13" t="s">
        <v>163</v>
      </c>
    </row>
    <row r="11102" spans="1:8" ht="14.4" x14ac:dyDescent="0.3">
      <c r="A11102" s="8">
        <v>2016485</v>
      </c>
      <c r="B11102" s="11">
        <v>44580</v>
      </c>
      <c r="C11102" s="13" t="s">
        <v>13391</v>
      </c>
      <c r="D11102" s="13" t="s">
        <v>13392</v>
      </c>
      <c r="E11102" s="8">
        <v>16000</v>
      </c>
      <c r="F11102" s="13" t="s">
        <v>70</v>
      </c>
      <c r="G11102" s="14">
        <v>44592</v>
      </c>
      <c r="H11102" s="13" t="s">
        <v>163</v>
      </c>
    </row>
    <row r="11103" spans="1:8" ht="14.4" x14ac:dyDescent="0.3">
      <c r="A11103" s="8">
        <v>2016486</v>
      </c>
      <c r="B11103" s="11">
        <v>44580</v>
      </c>
      <c r="C11103" s="13" t="s">
        <v>13393</v>
      </c>
      <c r="D11103" s="13" t="s">
        <v>13394</v>
      </c>
      <c r="E11103" s="8">
        <v>6000</v>
      </c>
      <c r="F11103" s="13" t="s">
        <v>70</v>
      </c>
      <c r="G11103" s="14">
        <v>44589</v>
      </c>
      <c r="H11103" s="13" t="s">
        <v>163</v>
      </c>
    </row>
    <row r="11104" spans="1:8" ht="14.4" x14ac:dyDescent="0.3">
      <c r="A11104" s="8">
        <v>2016487</v>
      </c>
      <c r="B11104" s="11">
        <v>44580</v>
      </c>
      <c r="C11104" s="13" t="s">
        <v>13395</v>
      </c>
      <c r="D11104" s="13" t="s">
        <v>13396</v>
      </c>
      <c r="E11104" s="8">
        <v>16000</v>
      </c>
      <c r="F11104" s="13" t="s">
        <v>70</v>
      </c>
      <c r="G11104" s="14">
        <v>44596</v>
      </c>
      <c r="H11104" s="13" t="s">
        <v>163</v>
      </c>
    </row>
    <row r="11105" spans="1:8" ht="14.4" x14ac:dyDescent="0.3">
      <c r="A11105" s="8">
        <v>2016488</v>
      </c>
      <c r="B11105" s="11">
        <v>44580</v>
      </c>
      <c r="C11105" s="13" t="s">
        <v>13397</v>
      </c>
      <c r="D11105" s="13" t="s">
        <v>13398</v>
      </c>
      <c r="E11105" s="8">
        <v>20000</v>
      </c>
      <c r="F11105" s="13" t="s">
        <v>70</v>
      </c>
      <c r="G11105" s="14">
        <v>44588</v>
      </c>
      <c r="H11105" s="13" t="s">
        <v>163</v>
      </c>
    </row>
    <row r="11106" spans="1:8" ht="14.4" x14ac:dyDescent="0.3">
      <c r="A11106" s="8">
        <v>2016489</v>
      </c>
      <c r="B11106" s="11">
        <v>44580</v>
      </c>
      <c r="C11106" s="13" t="s">
        <v>13399</v>
      </c>
      <c r="D11106" s="13" t="s">
        <v>13400</v>
      </c>
      <c r="E11106" s="8">
        <v>6000</v>
      </c>
      <c r="F11106" s="13" t="s">
        <v>70</v>
      </c>
      <c r="G11106" s="14">
        <v>44589</v>
      </c>
      <c r="H11106" s="13" t="s">
        <v>163</v>
      </c>
    </row>
    <row r="11107" spans="1:8" ht="14.4" x14ac:dyDescent="0.3">
      <c r="A11107" s="8">
        <v>2016490</v>
      </c>
      <c r="B11107" s="11">
        <v>44580</v>
      </c>
      <c r="C11107" s="13" t="s">
        <v>13401</v>
      </c>
      <c r="D11107" s="13" t="s">
        <v>13402</v>
      </c>
      <c r="E11107" s="8">
        <v>6000</v>
      </c>
      <c r="F11107" s="13" t="s">
        <v>70</v>
      </c>
      <c r="G11107" s="14">
        <v>44589</v>
      </c>
      <c r="H11107" s="13" t="s">
        <v>163</v>
      </c>
    </row>
    <row r="11108" spans="1:8" ht="14.4" x14ac:dyDescent="0.3">
      <c r="A11108" s="8">
        <v>2016491</v>
      </c>
      <c r="B11108" s="11">
        <v>44580</v>
      </c>
      <c r="C11108" s="13" t="s">
        <v>13403</v>
      </c>
      <c r="D11108" s="13" t="s">
        <v>13404</v>
      </c>
      <c r="E11108" s="8">
        <v>6000</v>
      </c>
      <c r="F11108" s="13" t="s">
        <v>70</v>
      </c>
      <c r="G11108" s="14">
        <v>44589</v>
      </c>
      <c r="H11108" s="13" t="s">
        <v>163</v>
      </c>
    </row>
    <row r="11109" spans="1:8" ht="14.4" x14ac:dyDescent="0.3">
      <c r="A11109" s="8">
        <v>2016492</v>
      </c>
      <c r="B11109" s="11">
        <v>44580</v>
      </c>
      <c r="C11109" s="13" t="s">
        <v>13405</v>
      </c>
      <c r="D11109" s="13" t="s">
        <v>13406</v>
      </c>
      <c r="E11109" s="8">
        <v>6000</v>
      </c>
      <c r="F11109" s="13" t="s">
        <v>70</v>
      </c>
      <c r="G11109" s="14">
        <v>44589</v>
      </c>
      <c r="H11109" s="13" t="s">
        <v>163</v>
      </c>
    </row>
    <row r="11110" spans="1:8" ht="14.4" x14ac:dyDescent="0.3">
      <c r="A11110" s="8">
        <v>2016493</v>
      </c>
      <c r="B11110" s="11">
        <v>44580</v>
      </c>
      <c r="C11110" s="13" t="s">
        <v>13407</v>
      </c>
      <c r="D11110" s="13" t="s">
        <v>13408</v>
      </c>
      <c r="E11110" s="8">
        <v>6000</v>
      </c>
      <c r="F11110" s="13" t="s">
        <v>70</v>
      </c>
      <c r="G11110" s="14">
        <v>44589</v>
      </c>
      <c r="H11110" s="13" t="s">
        <v>163</v>
      </c>
    </row>
    <row r="11111" spans="1:8" ht="14.4" x14ac:dyDescent="0.3">
      <c r="A11111" s="8">
        <v>2016494</v>
      </c>
      <c r="B11111" s="11">
        <v>44580</v>
      </c>
      <c r="C11111" s="13" t="s">
        <v>13409</v>
      </c>
      <c r="D11111" s="13" t="s">
        <v>13410</v>
      </c>
      <c r="E11111" s="8">
        <v>4000</v>
      </c>
      <c r="F11111" s="13" t="s">
        <v>70</v>
      </c>
      <c r="G11111" s="14">
        <v>44589</v>
      </c>
      <c r="H11111" s="13" t="s">
        <v>163</v>
      </c>
    </row>
    <row r="11112" spans="1:8" ht="14.4" x14ac:dyDescent="0.3">
      <c r="A11112" s="8">
        <v>2016495</v>
      </c>
      <c r="B11112" s="11">
        <v>44580</v>
      </c>
      <c r="C11112" s="13" t="s">
        <v>922</v>
      </c>
      <c r="D11112" s="13" t="s">
        <v>13411</v>
      </c>
      <c r="E11112" s="8">
        <v>8000</v>
      </c>
      <c r="F11112" s="13" t="s">
        <v>70</v>
      </c>
      <c r="G11112" s="14">
        <v>44588</v>
      </c>
      <c r="H11112" s="13" t="s">
        <v>163</v>
      </c>
    </row>
    <row r="11113" spans="1:8" ht="14.4" x14ac:dyDescent="0.3">
      <c r="A11113" s="8">
        <v>2016496</v>
      </c>
      <c r="B11113" s="11">
        <v>44580</v>
      </c>
      <c r="C11113" s="13" t="s">
        <v>7081</v>
      </c>
      <c r="D11113" s="13" t="s">
        <v>13412</v>
      </c>
      <c r="E11113" s="8">
        <v>6000</v>
      </c>
      <c r="F11113" s="13" t="s">
        <v>70</v>
      </c>
      <c r="G11113" s="14">
        <v>44589</v>
      </c>
      <c r="H11113" s="13" t="s">
        <v>163</v>
      </c>
    </row>
    <row r="11114" spans="1:8" ht="14.4" x14ac:dyDescent="0.3">
      <c r="A11114" s="8">
        <v>2016497</v>
      </c>
      <c r="B11114" s="11">
        <v>44580</v>
      </c>
      <c r="C11114" s="13" t="s">
        <v>13413</v>
      </c>
      <c r="D11114" s="13" t="s">
        <v>13414</v>
      </c>
      <c r="E11114" s="8">
        <v>24000</v>
      </c>
      <c r="F11114" s="13" t="s">
        <v>70</v>
      </c>
      <c r="G11114" s="14">
        <v>44592</v>
      </c>
      <c r="H11114" s="13" t="s">
        <v>163</v>
      </c>
    </row>
    <row r="11115" spans="1:8" ht="14.4" x14ac:dyDescent="0.3">
      <c r="A11115" s="8">
        <v>2016498</v>
      </c>
      <c r="B11115" s="11">
        <v>44580</v>
      </c>
      <c r="C11115" s="13" t="s">
        <v>13415</v>
      </c>
      <c r="D11115" s="13" t="s">
        <v>13416</v>
      </c>
      <c r="E11115" s="8">
        <v>2000</v>
      </c>
      <c r="F11115" s="13" t="s">
        <v>70</v>
      </c>
      <c r="G11115" s="14">
        <v>44589</v>
      </c>
      <c r="H11115" s="13" t="s">
        <v>163</v>
      </c>
    </row>
    <row r="11116" spans="1:8" ht="14.4" x14ac:dyDescent="0.3">
      <c r="A11116" s="8">
        <v>2016499</v>
      </c>
      <c r="B11116" s="11">
        <v>44580</v>
      </c>
      <c r="C11116" s="13" t="s">
        <v>13417</v>
      </c>
      <c r="D11116" s="13" t="s">
        <v>13418</v>
      </c>
      <c r="E11116" s="8">
        <v>10000</v>
      </c>
      <c r="F11116" s="13" t="s">
        <v>70</v>
      </c>
      <c r="G11116" s="14">
        <v>44589</v>
      </c>
      <c r="H11116" s="13" t="s">
        <v>163</v>
      </c>
    </row>
    <row r="11117" spans="1:8" ht="14.4" x14ac:dyDescent="0.3">
      <c r="A11117" s="8">
        <v>2016500</v>
      </c>
      <c r="B11117" s="11">
        <v>44580</v>
      </c>
      <c r="C11117" s="13" t="s">
        <v>1221</v>
      </c>
      <c r="D11117" s="13" t="s">
        <v>13419</v>
      </c>
      <c r="E11117" s="8">
        <v>6000</v>
      </c>
      <c r="F11117" s="13" t="s">
        <v>70</v>
      </c>
      <c r="G11117" s="14">
        <v>44599</v>
      </c>
      <c r="H11117" s="13" t="s">
        <v>163</v>
      </c>
    </row>
    <row r="11118" spans="1:8" ht="14.4" x14ac:dyDescent="0.3">
      <c r="A11118" s="8">
        <v>2027501</v>
      </c>
      <c r="B11118" s="11">
        <v>44596</v>
      </c>
      <c r="C11118" s="13" t="s">
        <v>13420</v>
      </c>
      <c r="D11118" s="13" t="s">
        <v>13421</v>
      </c>
      <c r="E11118" s="8">
        <v>8000</v>
      </c>
      <c r="F11118" s="13" t="s">
        <v>70</v>
      </c>
      <c r="G11118" s="14">
        <v>44606</v>
      </c>
      <c r="H11118" s="13" t="s">
        <v>163</v>
      </c>
    </row>
    <row r="11119" spans="1:8" ht="14.4" x14ac:dyDescent="0.3">
      <c r="A11119" s="8">
        <v>2027502</v>
      </c>
      <c r="B11119" s="11">
        <v>44596</v>
      </c>
      <c r="C11119" s="13" t="s">
        <v>13422</v>
      </c>
      <c r="D11119" s="13" t="s">
        <v>13423</v>
      </c>
      <c r="E11119" s="8">
        <v>12000</v>
      </c>
      <c r="F11119" s="13" t="s">
        <v>70</v>
      </c>
      <c r="G11119" s="14">
        <v>44603</v>
      </c>
      <c r="H11119" s="13" t="s">
        <v>163</v>
      </c>
    </row>
    <row r="11120" spans="1:8" ht="14.4" x14ac:dyDescent="0.3">
      <c r="A11120" s="8">
        <v>2027503</v>
      </c>
      <c r="B11120" s="11">
        <v>44596</v>
      </c>
      <c r="C11120" s="13" t="s">
        <v>13424</v>
      </c>
      <c r="D11120" s="13" t="s">
        <v>13425</v>
      </c>
      <c r="E11120" s="8">
        <v>6000</v>
      </c>
      <c r="F11120" s="13" t="s">
        <v>70</v>
      </c>
      <c r="G11120" s="14">
        <v>44602</v>
      </c>
      <c r="H11120" s="13" t="s">
        <v>163</v>
      </c>
    </row>
    <row r="11121" spans="1:8" ht="14.4" x14ac:dyDescent="0.3">
      <c r="A11121" s="8">
        <v>2027504</v>
      </c>
      <c r="B11121" s="11">
        <v>44596</v>
      </c>
      <c r="C11121" s="13" t="s">
        <v>13426</v>
      </c>
      <c r="D11121" s="13" t="s">
        <v>13427</v>
      </c>
      <c r="E11121" s="8">
        <v>10000</v>
      </c>
      <c r="F11121" s="13" t="s">
        <v>70</v>
      </c>
      <c r="G11121" s="14">
        <v>44603</v>
      </c>
      <c r="H11121" s="13" t="s">
        <v>163</v>
      </c>
    </row>
    <row r="11122" spans="1:8" ht="14.4" x14ac:dyDescent="0.3">
      <c r="A11122" s="8">
        <v>2027505</v>
      </c>
      <c r="B11122" s="11">
        <v>44596</v>
      </c>
      <c r="C11122" s="13" t="s">
        <v>667</v>
      </c>
      <c r="D11122" s="13" t="s">
        <v>13428</v>
      </c>
      <c r="E11122" s="8">
        <v>12000</v>
      </c>
      <c r="F11122" s="13" t="s">
        <v>70</v>
      </c>
      <c r="G11122" s="14">
        <v>44603</v>
      </c>
      <c r="H11122" s="13" t="s">
        <v>163</v>
      </c>
    </row>
    <row r="11123" spans="1:8" ht="14.4" x14ac:dyDescent="0.3">
      <c r="A11123" s="8">
        <v>2027506</v>
      </c>
      <c r="B11123" s="11">
        <v>44596</v>
      </c>
      <c r="C11123" s="13" t="s">
        <v>13429</v>
      </c>
      <c r="D11123" s="13" t="s">
        <v>13430</v>
      </c>
      <c r="E11123" s="8">
        <v>4000</v>
      </c>
      <c r="F11123" s="13" t="s">
        <v>70</v>
      </c>
      <c r="G11123" s="14">
        <v>44603</v>
      </c>
      <c r="H11123" s="13" t="s">
        <v>163</v>
      </c>
    </row>
    <row r="11124" spans="1:8" ht="14.4" x14ac:dyDescent="0.3">
      <c r="A11124" s="8">
        <v>2027507</v>
      </c>
      <c r="B11124" s="11">
        <v>44596</v>
      </c>
      <c r="C11124" s="13" t="s">
        <v>13431</v>
      </c>
      <c r="D11124" s="13" t="s">
        <v>13432</v>
      </c>
      <c r="E11124" s="8">
        <v>10000</v>
      </c>
      <c r="F11124" s="13" t="s">
        <v>70</v>
      </c>
      <c r="G11124" s="14">
        <v>44603</v>
      </c>
      <c r="H11124" s="13" t="s">
        <v>163</v>
      </c>
    </row>
    <row r="11125" spans="1:8" ht="14.4" x14ac:dyDescent="0.3">
      <c r="A11125" s="8">
        <v>2027508</v>
      </c>
      <c r="B11125" s="11">
        <v>44596</v>
      </c>
      <c r="C11125" s="13" t="s">
        <v>13433</v>
      </c>
      <c r="D11125" s="13" t="s">
        <v>13434</v>
      </c>
      <c r="E11125" s="8">
        <v>4000</v>
      </c>
      <c r="F11125" s="13" t="s">
        <v>70</v>
      </c>
      <c r="G11125" s="14">
        <v>44603</v>
      </c>
      <c r="H11125" s="13" t="s">
        <v>163</v>
      </c>
    </row>
    <row r="11126" spans="1:8" ht="14.4" x14ac:dyDescent="0.3">
      <c r="A11126" s="8">
        <v>2027509</v>
      </c>
      <c r="B11126" s="11">
        <v>44596</v>
      </c>
      <c r="C11126" s="13" t="s">
        <v>13435</v>
      </c>
      <c r="D11126" s="13" t="s">
        <v>13436</v>
      </c>
      <c r="E11126" s="8">
        <v>4000</v>
      </c>
      <c r="F11126" s="13" t="s">
        <v>70</v>
      </c>
      <c r="G11126" s="14">
        <v>44603</v>
      </c>
      <c r="H11126" s="13" t="s">
        <v>163</v>
      </c>
    </row>
    <row r="11127" spans="1:8" ht="14.4" x14ac:dyDescent="0.3">
      <c r="A11127" s="8">
        <v>2027510</v>
      </c>
      <c r="B11127" s="11">
        <v>44596</v>
      </c>
      <c r="C11127" s="13" t="s">
        <v>13437</v>
      </c>
      <c r="D11127" s="13" t="s">
        <v>13438</v>
      </c>
      <c r="E11127" s="8">
        <v>4000</v>
      </c>
      <c r="F11127" s="13" t="s">
        <v>70</v>
      </c>
      <c r="G11127" s="14">
        <v>44603</v>
      </c>
      <c r="H11127" s="13" t="s">
        <v>163</v>
      </c>
    </row>
    <row r="11128" spans="1:8" ht="14.4" x14ac:dyDescent="0.3">
      <c r="A11128" s="8">
        <v>2027511</v>
      </c>
      <c r="B11128" s="11">
        <v>44596</v>
      </c>
      <c r="C11128" s="13" t="s">
        <v>767</v>
      </c>
      <c r="D11128" s="13" t="s">
        <v>13439</v>
      </c>
      <c r="E11128" s="8">
        <v>20000</v>
      </c>
      <c r="F11128" s="13" t="s">
        <v>70</v>
      </c>
      <c r="G11128" s="14">
        <v>44603</v>
      </c>
      <c r="H11128" s="13" t="s">
        <v>163</v>
      </c>
    </row>
    <row r="11129" spans="1:8" ht="14.4" x14ac:dyDescent="0.3">
      <c r="A11129" s="8">
        <v>2027512</v>
      </c>
      <c r="B11129" s="11">
        <v>44596</v>
      </c>
      <c r="C11129" s="13" t="s">
        <v>13440</v>
      </c>
      <c r="D11129" s="13" t="s">
        <v>13441</v>
      </c>
      <c r="E11129" s="8">
        <v>8000</v>
      </c>
      <c r="F11129" s="13" t="s">
        <v>70</v>
      </c>
      <c r="G11129" s="14">
        <v>44603</v>
      </c>
      <c r="H11129" s="13" t="s">
        <v>163</v>
      </c>
    </row>
    <row r="11130" spans="1:8" ht="14.4" x14ac:dyDescent="0.3">
      <c r="A11130" s="8">
        <v>2027513</v>
      </c>
      <c r="B11130" s="11">
        <v>44596</v>
      </c>
      <c r="C11130" s="13" t="s">
        <v>13442</v>
      </c>
      <c r="D11130" s="13" t="s">
        <v>13443</v>
      </c>
      <c r="E11130" s="8">
        <v>4000</v>
      </c>
      <c r="F11130" s="13" t="s">
        <v>70</v>
      </c>
      <c r="G11130" s="14">
        <v>44603</v>
      </c>
      <c r="H11130" s="13" t="s">
        <v>163</v>
      </c>
    </row>
    <row r="11131" spans="1:8" ht="14.4" x14ac:dyDescent="0.3">
      <c r="A11131" s="8">
        <v>2027514</v>
      </c>
      <c r="B11131" s="11">
        <v>44596</v>
      </c>
      <c r="C11131" s="13" t="s">
        <v>13444</v>
      </c>
      <c r="D11131" s="13" t="s">
        <v>13445</v>
      </c>
      <c r="E11131" s="8">
        <v>4000</v>
      </c>
      <c r="F11131" s="13" t="s">
        <v>70</v>
      </c>
      <c r="G11131" s="14">
        <v>44603</v>
      </c>
      <c r="H11131" s="13" t="s">
        <v>163</v>
      </c>
    </row>
    <row r="11132" spans="1:8" ht="14.4" x14ac:dyDescent="0.3">
      <c r="A11132" s="8">
        <v>2027515</v>
      </c>
      <c r="B11132" s="11">
        <v>44596</v>
      </c>
      <c r="C11132" s="13" t="s">
        <v>13446</v>
      </c>
      <c r="D11132" s="13" t="s">
        <v>13447</v>
      </c>
      <c r="E11132" s="8">
        <v>4000</v>
      </c>
      <c r="F11132" s="13" t="s">
        <v>70</v>
      </c>
      <c r="G11132" s="14">
        <v>44603</v>
      </c>
      <c r="H11132" s="13" t="s">
        <v>163</v>
      </c>
    </row>
    <row r="11133" spans="1:8" ht="14.4" x14ac:dyDescent="0.3">
      <c r="A11133" s="8">
        <v>2027516</v>
      </c>
      <c r="B11133" s="11">
        <v>44596</v>
      </c>
      <c r="C11133" s="13" t="s">
        <v>13448</v>
      </c>
      <c r="D11133" s="13" t="s">
        <v>13449</v>
      </c>
      <c r="E11133" s="8">
        <v>12000</v>
      </c>
      <c r="F11133" s="13" t="s">
        <v>70</v>
      </c>
      <c r="G11133" s="14">
        <v>44603</v>
      </c>
      <c r="H11133" s="13" t="s">
        <v>163</v>
      </c>
    </row>
    <row r="11134" spans="1:8" ht="14.4" x14ac:dyDescent="0.3">
      <c r="A11134" s="8">
        <v>2027517</v>
      </c>
      <c r="B11134" s="11">
        <v>44596</v>
      </c>
      <c r="C11134" s="13" t="s">
        <v>13450</v>
      </c>
      <c r="D11134" s="13" t="s">
        <v>13451</v>
      </c>
      <c r="E11134" s="8">
        <v>4000</v>
      </c>
      <c r="F11134" s="13" t="s">
        <v>70</v>
      </c>
      <c r="G11134" s="14">
        <v>44603</v>
      </c>
      <c r="H11134" s="13" t="s">
        <v>163</v>
      </c>
    </row>
    <row r="11135" spans="1:8" ht="14.4" x14ac:dyDescent="0.3">
      <c r="A11135" s="8">
        <v>2027518</v>
      </c>
      <c r="B11135" s="11">
        <v>44596</v>
      </c>
      <c r="C11135" s="13" t="s">
        <v>13452</v>
      </c>
      <c r="D11135" s="13" t="s">
        <v>13453</v>
      </c>
      <c r="E11135" s="8">
        <v>6000</v>
      </c>
      <c r="F11135" s="13" t="s">
        <v>70</v>
      </c>
      <c r="G11135" s="14">
        <v>44603</v>
      </c>
      <c r="H11135" s="13" t="s">
        <v>163</v>
      </c>
    </row>
    <row r="11136" spans="1:8" ht="14.4" x14ac:dyDescent="0.3">
      <c r="A11136" s="8">
        <v>2027519</v>
      </c>
      <c r="B11136" s="11">
        <v>44596</v>
      </c>
      <c r="C11136" s="13" t="s">
        <v>13454</v>
      </c>
      <c r="D11136" s="13" t="s">
        <v>13455</v>
      </c>
      <c r="E11136" s="8">
        <v>7000</v>
      </c>
      <c r="F11136" s="13" t="s">
        <v>70</v>
      </c>
      <c r="G11136" s="14">
        <v>44600</v>
      </c>
      <c r="H11136" s="13" t="s">
        <v>163</v>
      </c>
    </row>
    <row r="11137" spans="1:8" ht="14.4" x14ac:dyDescent="0.3">
      <c r="A11137" s="8">
        <v>2027520</v>
      </c>
      <c r="B11137" s="11">
        <v>44596</v>
      </c>
      <c r="C11137" s="13" t="s">
        <v>13454</v>
      </c>
      <c r="D11137" s="13" t="s">
        <v>13456</v>
      </c>
      <c r="E11137" s="8">
        <v>7000</v>
      </c>
      <c r="F11137" s="13" t="s">
        <v>70</v>
      </c>
      <c r="G11137" s="14">
        <v>44600</v>
      </c>
      <c r="H11137" s="13" t="s">
        <v>163</v>
      </c>
    </row>
    <row r="11138" spans="1:8" ht="14.4" x14ac:dyDescent="0.3">
      <c r="A11138" s="8">
        <v>2027521</v>
      </c>
      <c r="B11138" s="11">
        <v>44596</v>
      </c>
      <c r="C11138" s="13" t="s">
        <v>9355</v>
      </c>
      <c r="D11138" s="13" t="s">
        <v>13457</v>
      </c>
      <c r="E11138" s="8">
        <v>321195</v>
      </c>
      <c r="F11138" s="13" t="s">
        <v>70</v>
      </c>
      <c r="G11138" s="14">
        <v>44603</v>
      </c>
      <c r="H11138" s="13" t="s">
        <v>163</v>
      </c>
    </row>
    <row r="11139" spans="1:8" ht="14.4" x14ac:dyDescent="0.3">
      <c r="A11139" s="8">
        <v>2027522</v>
      </c>
      <c r="B11139" s="11">
        <v>44596</v>
      </c>
      <c r="C11139" s="13" t="s">
        <v>13458</v>
      </c>
      <c r="D11139" s="13" t="s">
        <v>13459</v>
      </c>
      <c r="E11139" s="8">
        <v>4100</v>
      </c>
      <c r="F11139" s="13" t="s">
        <v>70</v>
      </c>
      <c r="G11139" s="14">
        <v>44600</v>
      </c>
      <c r="H11139" s="13" t="s">
        <v>163</v>
      </c>
    </row>
    <row r="11140" spans="1:8" ht="14.4" x14ac:dyDescent="0.3">
      <c r="A11140" s="8">
        <v>2027523</v>
      </c>
      <c r="B11140" s="11">
        <v>44596</v>
      </c>
      <c r="C11140" s="13" t="s">
        <v>13460</v>
      </c>
      <c r="D11140" s="13" t="s">
        <v>13461</v>
      </c>
      <c r="E11140" s="8">
        <v>477533.3</v>
      </c>
      <c r="F11140" s="13" t="s">
        <v>70</v>
      </c>
      <c r="G11140" s="14">
        <v>44600</v>
      </c>
      <c r="H11140" s="13" t="s">
        <v>163</v>
      </c>
    </row>
    <row r="11141" spans="1:8" ht="14.4" x14ac:dyDescent="0.3">
      <c r="A11141" s="8">
        <v>2027524</v>
      </c>
      <c r="B11141" s="11">
        <v>44596</v>
      </c>
      <c r="C11141" s="13" t="s">
        <v>13462</v>
      </c>
      <c r="D11141" s="13" t="s">
        <v>13463</v>
      </c>
      <c r="E11141" s="8">
        <v>297928.5</v>
      </c>
      <c r="F11141" s="13" t="s">
        <v>70</v>
      </c>
      <c r="G11141" s="14">
        <v>44600</v>
      </c>
      <c r="H11141" s="13" t="s">
        <v>163</v>
      </c>
    </row>
    <row r="11142" spans="1:8" ht="14.4" x14ac:dyDescent="0.3">
      <c r="A11142" s="8">
        <v>2027527</v>
      </c>
      <c r="B11142" s="11">
        <v>44599</v>
      </c>
      <c r="C11142" s="13" t="s">
        <v>13464</v>
      </c>
      <c r="D11142" s="13" t="s">
        <v>13465</v>
      </c>
      <c r="E11142" s="8">
        <v>2000</v>
      </c>
      <c r="F11142" s="13" t="s">
        <v>70</v>
      </c>
      <c r="G11142" s="14">
        <v>44603</v>
      </c>
      <c r="H11142" s="13" t="s">
        <v>163</v>
      </c>
    </row>
    <row r="11143" spans="1:8" ht="14.4" x14ac:dyDescent="0.3">
      <c r="A11143" s="8">
        <v>2027528</v>
      </c>
      <c r="B11143" s="11">
        <v>44599</v>
      </c>
      <c r="C11143" s="13" t="s">
        <v>13466</v>
      </c>
      <c r="D11143" s="13" t="s">
        <v>13467</v>
      </c>
      <c r="E11143" s="8">
        <v>10000</v>
      </c>
      <c r="F11143" s="13" t="s">
        <v>70</v>
      </c>
      <c r="G11143" s="14">
        <v>44602</v>
      </c>
      <c r="H11143" s="13" t="s">
        <v>163</v>
      </c>
    </row>
    <row r="11144" spans="1:8" ht="14.4" x14ac:dyDescent="0.3">
      <c r="A11144" s="8">
        <v>2027529</v>
      </c>
      <c r="B11144" s="11">
        <v>44599</v>
      </c>
      <c r="C11144" s="13" t="s">
        <v>585</v>
      </c>
      <c r="D11144" s="13" t="s">
        <v>13468</v>
      </c>
      <c r="E11144" s="8">
        <v>4000</v>
      </c>
      <c r="F11144" s="13" t="s">
        <v>70</v>
      </c>
      <c r="G11144" s="14">
        <v>44610</v>
      </c>
      <c r="H11144" s="13" t="s">
        <v>163</v>
      </c>
    </row>
    <row r="11145" spans="1:8" ht="14.4" x14ac:dyDescent="0.3">
      <c r="A11145" s="8">
        <v>2027530</v>
      </c>
      <c r="B11145" s="11">
        <v>44599</v>
      </c>
      <c r="C11145" s="13" t="s">
        <v>2770</v>
      </c>
      <c r="D11145" s="13" t="s">
        <v>13469</v>
      </c>
      <c r="E11145" s="8">
        <v>10000</v>
      </c>
      <c r="F11145" s="13" t="s">
        <v>70</v>
      </c>
      <c r="G11145" s="14">
        <v>44601</v>
      </c>
      <c r="H11145" s="13" t="s">
        <v>163</v>
      </c>
    </row>
    <row r="11146" spans="1:8" ht="14.4" x14ac:dyDescent="0.3">
      <c r="A11146" s="8">
        <v>2027531</v>
      </c>
      <c r="B11146" s="11">
        <v>44599</v>
      </c>
      <c r="C11146" s="13" t="s">
        <v>13470</v>
      </c>
      <c r="D11146" s="13" t="s">
        <v>13471</v>
      </c>
      <c r="E11146" s="8">
        <v>4000</v>
      </c>
      <c r="F11146" s="13" t="s">
        <v>70</v>
      </c>
      <c r="G11146" s="14">
        <v>44606</v>
      </c>
      <c r="H11146" s="13" t="s">
        <v>163</v>
      </c>
    </row>
    <row r="11147" spans="1:8" ht="14.4" x14ac:dyDescent="0.3">
      <c r="A11147" s="8">
        <v>2027532</v>
      </c>
      <c r="B11147" s="11">
        <v>44599</v>
      </c>
      <c r="C11147" s="13" t="s">
        <v>13472</v>
      </c>
      <c r="D11147" s="13" t="s">
        <v>13473</v>
      </c>
      <c r="E11147" s="8">
        <v>2000</v>
      </c>
      <c r="F11147" s="13" t="s">
        <v>70</v>
      </c>
      <c r="G11147" s="14">
        <v>44606</v>
      </c>
      <c r="H11147" s="13" t="s">
        <v>163</v>
      </c>
    </row>
    <row r="11148" spans="1:8" ht="14.4" x14ac:dyDescent="0.3">
      <c r="A11148" s="8">
        <v>2027533</v>
      </c>
      <c r="B11148" s="11">
        <v>44599</v>
      </c>
      <c r="C11148" s="13" t="s">
        <v>13474</v>
      </c>
      <c r="D11148" s="13" t="s">
        <v>13475</v>
      </c>
      <c r="E11148" s="8">
        <v>4000</v>
      </c>
      <c r="F11148" s="13" t="s">
        <v>70</v>
      </c>
      <c r="G11148" s="14">
        <v>44606</v>
      </c>
      <c r="H11148" s="13" t="s">
        <v>163</v>
      </c>
    </row>
    <row r="11149" spans="1:8" ht="14.4" x14ac:dyDescent="0.3">
      <c r="A11149" s="8">
        <v>2027534</v>
      </c>
      <c r="B11149" s="11">
        <v>44599</v>
      </c>
      <c r="C11149" s="13" t="s">
        <v>705</v>
      </c>
      <c r="D11149" s="13" t="s">
        <v>13476</v>
      </c>
      <c r="E11149" s="8">
        <v>6000</v>
      </c>
      <c r="F11149" s="13" t="s">
        <v>70</v>
      </c>
      <c r="G11149" s="14">
        <v>44606</v>
      </c>
      <c r="H11149" s="13" t="s">
        <v>163</v>
      </c>
    </row>
    <row r="11150" spans="1:8" ht="14.4" x14ac:dyDescent="0.3">
      <c r="A11150" s="8">
        <v>2027535</v>
      </c>
      <c r="B11150" s="11">
        <v>44599</v>
      </c>
      <c r="C11150" s="13" t="s">
        <v>9650</v>
      </c>
      <c r="D11150" s="13" t="s">
        <v>13477</v>
      </c>
      <c r="E11150" s="8">
        <v>2000</v>
      </c>
      <c r="F11150" s="13" t="s">
        <v>70</v>
      </c>
      <c r="G11150" s="14">
        <v>44603</v>
      </c>
      <c r="H11150" s="13" t="s">
        <v>163</v>
      </c>
    </row>
    <row r="11151" spans="1:8" ht="14.4" x14ac:dyDescent="0.3">
      <c r="A11151" s="8">
        <v>2027536</v>
      </c>
      <c r="B11151" s="11">
        <v>44599</v>
      </c>
      <c r="C11151" s="13" t="s">
        <v>6980</v>
      </c>
      <c r="D11151" s="13" t="s">
        <v>13478</v>
      </c>
      <c r="E11151" s="8">
        <v>10000</v>
      </c>
      <c r="F11151" s="13" t="s">
        <v>70</v>
      </c>
      <c r="G11151" s="14">
        <v>44603</v>
      </c>
      <c r="H11151" s="13" t="s">
        <v>163</v>
      </c>
    </row>
    <row r="11152" spans="1:8" ht="14.4" x14ac:dyDescent="0.3">
      <c r="A11152" s="8">
        <v>2027537</v>
      </c>
      <c r="B11152" s="11">
        <v>44599</v>
      </c>
      <c r="C11152" s="13" t="s">
        <v>6986</v>
      </c>
      <c r="D11152" s="13" t="s">
        <v>13479</v>
      </c>
      <c r="E11152" s="8">
        <v>10000</v>
      </c>
      <c r="F11152" s="13" t="s">
        <v>70</v>
      </c>
      <c r="G11152" s="14">
        <v>44603</v>
      </c>
      <c r="H11152" s="13" t="s">
        <v>163</v>
      </c>
    </row>
    <row r="11153" spans="1:8" ht="14.4" x14ac:dyDescent="0.3">
      <c r="A11153" s="8">
        <v>2027538</v>
      </c>
      <c r="B11153" s="11">
        <v>44599</v>
      </c>
      <c r="C11153" s="13" t="s">
        <v>13480</v>
      </c>
      <c r="D11153" s="13" t="s">
        <v>13481</v>
      </c>
      <c r="E11153" s="8">
        <v>6000</v>
      </c>
      <c r="F11153" s="13" t="s">
        <v>70</v>
      </c>
      <c r="G11153" s="14">
        <v>44634</v>
      </c>
      <c r="H11153" s="13" t="s">
        <v>163</v>
      </c>
    </row>
    <row r="11154" spans="1:8" ht="14.4" x14ac:dyDescent="0.3">
      <c r="A11154" s="8">
        <v>2027539</v>
      </c>
      <c r="B11154" s="11">
        <v>44599</v>
      </c>
      <c r="C11154" s="13" t="s">
        <v>7257</v>
      </c>
      <c r="D11154" s="13" t="s">
        <v>13482</v>
      </c>
      <c r="E11154" s="8">
        <v>6000</v>
      </c>
      <c r="F11154" s="13" t="s">
        <v>70</v>
      </c>
      <c r="G11154" s="14">
        <v>44606</v>
      </c>
      <c r="H11154" s="13" t="s">
        <v>163</v>
      </c>
    </row>
    <row r="11155" spans="1:8" ht="14.4" x14ac:dyDescent="0.3">
      <c r="A11155" s="8">
        <v>2027540</v>
      </c>
      <c r="B11155" s="11">
        <v>44599</v>
      </c>
      <c r="C11155" s="13" t="s">
        <v>7257</v>
      </c>
      <c r="D11155" s="13" t="s">
        <v>13483</v>
      </c>
      <c r="E11155" s="8">
        <v>4000</v>
      </c>
      <c r="F11155" s="13" t="s">
        <v>70</v>
      </c>
      <c r="G11155" s="14">
        <v>44606</v>
      </c>
      <c r="H11155" s="13" t="s">
        <v>163</v>
      </c>
    </row>
    <row r="11156" spans="1:8" ht="14.4" x14ac:dyDescent="0.3">
      <c r="A11156" s="8">
        <v>2027541</v>
      </c>
      <c r="B11156" s="11">
        <v>44599</v>
      </c>
      <c r="C11156" s="13" t="s">
        <v>13484</v>
      </c>
      <c r="D11156" s="13" t="s">
        <v>13485</v>
      </c>
      <c r="E11156" s="8">
        <v>16000</v>
      </c>
      <c r="F11156" s="13" t="s">
        <v>70</v>
      </c>
      <c r="G11156" s="14">
        <v>44606</v>
      </c>
      <c r="H11156" s="13" t="s">
        <v>163</v>
      </c>
    </row>
    <row r="11157" spans="1:8" ht="14.4" x14ac:dyDescent="0.3">
      <c r="A11157" s="8">
        <v>2027542</v>
      </c>
      <c r="B11157" s="11">
        <v>44599</v>
      </c>
      <c r="C11157" s="13" t="s">
        <v>13486</v>
      </c>
      <c r="D11157" s="13" t="s">
        <v>13487</v>
      </c>
      <c r="E11157" s="8">
        <v>20000</v>
      </c>
      <c r="F11157" s="13" t="s">
        <v>70</v>
      </c>
      <c r="G11157" s="14">
        <v>44606</v>
      </c>
      <c r="H11157" s="13" t="s">
        <v>163</v>
      </c>
    </row>
    <row r="11158" spans="1:8" ht="14.4" x14ac:dyDescent="0.3">
      <c r="A11158" s="8">
        <v>2027543</v>
      </c>
      <c r="B11158" s="11">
        <v>44599</v>
      </c>
      <c r="C11158" s="13" t="s">
        <v>13488</v>
      </c>
      <c r="D11158" s="13" t="s">
        <v>13489</v>
      </c>
      <c r="E11158" s="8">
        <v>2000</v>
      </c>
      <c r="F11158" s="13" t="s">
        <v>70</v>
      </c>
      <c r="G11158" s="14">
        <v>44606</v>
      </c>
      <c r="H11158" s="13" t="s">
        <v>163</v>
      </c>
    </row>
    <row r="11159" spans="1:8" ht="14.4" x14ac:dyDescent="0.3">
      <c r="A11159" s="8">
        <v>2027544</v>
      </c>
      <c r="B11159" s="11">
        <v>44599</v>
      </c>
      <c r="C11159" s="13" t="s">
        <v>13490</v>
      </c>
      <c r="D11159" s="13" t="s">
        <v>13491</v>
      </c>
      <c r="E11159" s="8">
        <v>2000</v>
      </c>
      <c r="F11159" s="13" t="s">
        <v>70</v>
      </c>
      <c r="G11159" s="14">
        <v>44711</v>
      </c>
      <c r="H11159" s="13" t="s">
        <v>163</v>
      </c>
    </row>
    <row r="11160" spans="1:8" ht="14.4" x14ac:dyDescent="0.3">
      <c r="A11160" s="8">
        <v>2027545</v>
      </c>
      <c r="B11160" s="11">
        <v>44599</v>
      </c>
      <c r="C11160" s="13" t="s">
        <v>13492</v>
      </c>
      <c r="D11160" s="13" t="s">
        <v>13493</v>
      </c>
      <c r="E11160" s="8">
        <v>8000</v>
      </c>
      <c r="F11160" s="13" t="s">
        <v>70</v>
      </c>
      <c r="G11160" s="14">
        <v>44629</v>
      </c>
      <c r="H11160" s="13" t="s">
        <v>163</v>
      </c>
    </row>
    <row r="11161" spans="1:8" ht="14.4" x14ac:dyDescent="0.3">
      <c r="A11161" s="8">
        <v>2027546</v>
      </c>
      <c r="B11161" s="11">
        <v>44599</v>
      </c>
      <c r="C11161" s="13" t="s">
        <v>7286</v>
      </c>
      <c r="D11161" s="13" t="s">
        <v>13494</v>
      </c>
      <c r="E11161" s="8">
        <v>6000</v>
      </c>
      <c r="F11161" s="13" t="s">
        <v>70</v>
      </c>
      <c r="G11161" s="14">
        <v>44609</v>
      </c>
      <c r="H11161" s="13" t="s">
        <v>163</v>
      </c>
    </row>
    <row r="11162" spans="1:8" ht="14.4" x14ac:dyDescent="0.3">
      <c r="A11162" s="8">
        <v>2027547</v>
      </c>
      <c r="B11162" s="11">
        <v>44599</v>
      </c>
      <c r="C11162" s="13" t="s">
        <v>13495</v>
      </c>
      <c r="D11162" s="13" t="s">
        <v>13496</v>
      </c>
      <c r="E11162" s="8">
        <v>20000</v>
      </c>
      <c r="F11162" s="13" t="s">
        <v>70</v>
      </c>
      <c r="G11162" s="14">
        <v>44606</v>
      </c>
      <c r="H11162" s="13" t="s">
        <v>163</v>
      </c>
    </row>
    <row r="11163" spans="1:8" ht="14.4" x14ac:dyDescent="0.3">
      <c r="A11163" s="8">
        <v>2027548</v>
      </c>
      <c r="B11163" s="11">
        <v>44599</v>
      </c>
      <c r="C11163" s="13" t="s">
        <v>7916</v>
      </c>
      <c r="D11163" s="13" t="s">
        <v>13497</v>
      </c>
      <c r="E11163" s="8">
        <v>6000</v>
      </c>
      <c r="F11163" s="13" t="s">
        <v>70</v>
      </c>
      <c r="G11163" s="14">
        <v>44603</v>
      </c>
      <c r="H11163" s="13" t="s">
        <v>163</v>
      </c>
    </row>
    <row r="11164" spans="1:8" ht="14.4" x14ac:dyDescent="0.3">
      <c r="A11164" s="8">
        <v>2027549</v>
      </c>
      <c r="B11164" s="11">
        <v>44599</v>
      </c>
      <c r="C11164" s="13" t="s">
        <v>13498</v>
      </c>
      <c r="D11164" s="13" t="s">
        <v>13499</v>
      </c>
      <c r="E11164" s="8">
        <v>6000</v>
      </c>
      <c r="F11164" s="13" t="s">
        <v>70</v>
      </c>
      <c r="G11164" s="14">
        <v>44603</v>
      </c>
      <c r="H11164" s="13" t="s">
        <v>163</v>
      </c>
    </row>
    <row r="11165" spans="1:8" ht="14.4" x14ac:dyDescent="0.3">
      <c r="A11165" s="8">
        <v>2027550</v>
      </c>
      <c r="B11165" s="11">
        <v>44599</v>
      </c>
      <c r="C11165" s="13" t="s">
        <v>13500</v>
      </c>
      <c r="D11165" s="13" t="s">
        <v>13501</v>
      </c>
      <c r="E11165" s="8">
        <v>4000</v>
      </c>
      <c r="F11165" s="13" t="s">
        <v>70</v>
      </c>
      <c r="G11165" s="14">
        <v>44603</v>
      </c>
      <c r="H11165" s="13" t="s">
        <v>163</v>
      </c>
    </row>
    <row r="11166" spans="1:8" ht="14.4" x14ac:dyDescent="0.3">
      <c r="A11166" s="8">
        <v>2027551</v>
      </c>
      <c r="B11166" s="11">
        <v>44600</v>
      </c>
      <c r="C11166" s="13" t="s">
        <v>85</v>
      </c>
      <c r="D11166" s="13" t="s">
        <v>13502</v>
      </c>
      <c r="E11166" s="8">
        <v>373100</v>
      </c>
      <c r="F11166" s="13" t="s">
        <v>70</v>
      </c>
      <c r="G11166" s="14">
        <v>44602</v>
      </c>
      <c r="H11166" s="13" t="s">
        <v>163</v>
      </c>
    </row>
    <row r="11167" spans="1:8" ht="14.4" x14ac:dyDescent="0.3">
      <c r="A11167" s="8">
        <v>2027552</v>
      </c>
      <c r="B11167" s="11">
        <v>44600</v>
      </c>
      <c r="C11167" s="13" t="s">
        <v>85</v>
      </c>
      <c r="D11167" s="13" t="s">
        <v>13503</v>
      </c>
      <c r="E11167" s="8">
        <v>31615</v>
      </c>
      <c r="F11167" s="13" t="s">
        <v>70</v>
      </c>
      <c r="G11167" s="14">
        <v>44602</v>
      </c>
      <c r="H11167" s="13" t="s">
        <v>163</v>
      </c>
    </row>
    <row r="11168" spans="1:8" ht="14.4" x14ac:dyDescent="0.3">
      <c r="A11168" s="8">
        <v>2027553</v>
      </c>
      <c r="B11168" s="11">
        <v>44601</v>
      </c>
      <c r="C11168" s="13" t="s">
        <v>7309</v>
      </c>
      <c r="D11168" s="13" t="s">
        <v>13504</v>
      </c>
      <c r="E11168" s="8">
        <v>6000</v>
      </c>
      <c r="F11168" s="13" t="s">
        <v>70</v>
      </c>
      <c r="G11168" s="14">
        <v>44606</v>
      </c>
      <c r="H11168" s="13" t="s">
        <v>163</v>
      </c>
    </row>
    <row r="11169" spans="1:8" ht="14.4" x14ac:dyDescent="0.3">
      <c r="A11169" s="8">
        <v>2027554</v>
      </c>
      <c r="B11169" s="11">
        <v>44601</v>
      </c>
      <c r="C11169" s="13" t="s">
        <v>13505</v>
      </c>
      <c r="D11169" s="13" t="s">
        <v>13506</v>
      </c>
      <c r="E11169" s="8">
        <v>8000</v>
      </c>
      <c r="F11169" s="13" t="s">
        <v>70</v>
      </c>
      <c r="G11169" s="14">
        <v>44606</v>
      </c>
      <c r="H11169" s="13" t="s">
        <v>163</v>
      </c>
    </row>
    <row r="11170" spans="1:8" ht="14.4" x14ac:dyDescent="0.3">
      <c r="A11170" s="8">
        <v>2027555</v>
      </c>
      <c r="B11170" s="11">
        <v>44601</v>
      </c>
      <c r="C11170" s="13" t="s">
        <v>13507</v>
      </c>
      <c r="D11170" s="13" t="s">
        <v>13508</v>
      </c>
      <c r="E11170" s="8">
        <v>8000</v>
      </c>
      <c r="F11170" s="13" t="s">
        <v>70</v>
      </c>
      <c r="G11170" s="14">
        <v>44603</v>
      </c>
      <c r="H11170" s="13" t="s">
        <v>163</v>
      </c>
    </row>
    <row r="11171" spans="1:8" ht="14.4" x14ac:dyDescent="0.3">
      <c r="A11171" s="8">
        <v>2027556</v>
      </c>
      <c r="B11171" s="11">
        <v>44601</v>
      </c>
      <c r="C11171" s="13" t="s">
        <v>13509</v>
      </c>
      <c r="D11171" s="13" t="s">
        <v>13510</v>
      </c>
      <c r="E11171" s="8">
        <v>6000</v>
      </c>
      <c r="F11171" s="13" t="s">
        <v>70</v>
      </c>
      <c r="G11171" s="14">
        <v>44606</v>
      </c>
      <c r="H11171" s="13" t="s">
        <v>163</v>
      </c>
    </row>
    <row r="11172" spans="1:8" ht="14.4" x14ac:dyDescent="0.3">
      <c r="A11172" s="8">
        <v>2027557</v>
      </c>
      <c r="B11172" s="11">
        <v>44601</v>
      </c>
      <c r="C11172" s="13" t="s">
        <v>13511</v>
      </c>
      <c r="D11172" s="13" t="s">
        <v>13512</v>
      </c>
      <c r="E11172" s="8">
        <v>4000</v>
      </c>
      <c r="F11172" s="13" t="s">
        <v>70</v>
      </c>
      <c r="G11172" s="14">
        <v>44606</v>
      </c>
      <c r="H11172" s="13" t="s">
        <v>163</v>
      </c>
    </row>
    <row r="11173" spans="1:8" ht="14.4" x14ac:dyDescent="0.3">
      <c r="A11173" s="8">
        <v>2027558</v>
      </c>
      <c r="B11173" s="11">
        <v>44601</v>
      </c>
      <c r="C11173" s="13" t="s">
        <v>13513</v>
      </c>
      <c r="D11173" s="13" t="s">
        <v>13514</v>
      </c>
      <c r="E11173" s="8">
        <v>30000</v>
      </c>
      <c r="F11173" s="13" t="s">
        <v>70</v>
      </c>
      <c r="G11173" s="14">
        <v>44609</v>
      </c>
      <c r="H11173" s="13" t="s">
        <v>163</v>
      </c>
    </row>
    <row r="11174" spans="1:8" ht="14.4" x14ac:dyDescent="0.3">
      <c r="A11174" s="8">
        <v>2027559</v>
      </c>
      <c r="B11174" s="11">
        <v>44601</v>
      </c>
      <c r="C11174" s="13" t="s">
        <v>13515</v>
      </c>
      <c r="D11174" s="13" t="s">
        <v>13516</v>
      </c>
      <c r="E11174" s="8">
        <v>2000</v>
      </c>
      <c r="F11174" s="13" t="s">
        <v>70</v>
      </c>
      <c r="G11174" s="14">
        <v>44606</v>
      </c>
      <c r="H11174" s="13" t="s">
        <v>163</v>
      </c>
    </row>
    <row r="11175" spans="1:8" ht="14.4" x14ac:dyDescent="0.3">
      <c r="A11175" s="8">
        <v>2027560</v>
      </c>
      <c r="B11175" s="11">
        <v>44601</v>
      </c>
      <c r="C11175" s="13" t="s">
        <v>13517</v>
      </c>
      <c r="D11175" s="13" t="s">
        <v>13518</v>
      </c>
      <c r="E11175" s="8">
        <v>2000</v>
      </c>
      <c r="F11175" s="13" t="s">
        <v>70</v>
      </c>
      <c r="G11175" s="14">
        <v>44606</v>
      </c>
      <c r="H11175" s="13" t="s">
        <v>163</v>
      </c>
    </row>
    <row r="11176" spans="1:8" ht="14.4" x14ac:dyDescent="0.3">
      <c r="A11176" s="8">
        <v>2027561</v>
      </c>
      <c r="B11176" s="11">
        <v>44601</v>
      </c>
      <c r="C11176" s="13" t="s">
        <v>13519</v>
      </c>
      <c r="D11176" s="13" t="s">
        <v>13520</v>
      </c>
      <c r="E11176" s="8">
        <v>8000</v>
      </c>
      <c r="F11176" s="13" t="s">
        <v>70</v>
      </c>
      <c r="G11176" s="14">
        <v>44606</v>
      </c>
      <c r="H11176" s="13" t="s">
        <v>163</v>
      </c>
    </row>
    <row r="11177" spans="1:8" ht="14.4" x14ac:dyDescent="0.3">
      <c r="A11177" s="8">
        <v>2027562</v>
      </c>
      <c r="B11177" s="11">
        <v>44601</v>
      </c>
      <c r="C11177" s="13" t="s">
        <v>13521</v>
      </c>
      <c r="D11177" s="13" t="s">
        <v>13522</v>
      </c>
      <c r="E11177" s="8">
        <v>2000</v>
      </c>
      <c r="F11177" s="13" t="s">
        <v>70</v>
      </c>
      <c r="G11177" s="14">
        <v>44606</v>
      </c>
      <c r="H11177" s="13" t="s">
        <v>163</v>
      </c>
    </row>
    <row r="11178" spans="1:8" ht="14.4" x14ac:dyDescent="0.3">
      <c r="A11178" s="8">
        <v>2027563</v>
      </c>
      <c r="B11178" s="11">
        <v>44601</v>
      </c>
      <c r="C11178" s="13" t="s">
        <v>7764</v>
      </c>
      <c r="D11178" s="13" t="s">
        <v>13523</v>
      </c>
      <c r="E11178" s="8">
        <v>4000</v>
      </c>
      <c r="F11178" s="13" t="s">
        <v>70</v>
      </c>
      <c r="G11178" s="14">
        <v>44603</v>
      </c>
      <c r="H11178" s="13" t="s">
        <v>163</v>
      </c>
    </row>
    <row r="11179" spans="1:8" ht="14.4" x14ac:dyDescent="0.3">
      <c r="A11179" s="8">
        <v>2027564</v>
      </c>
      <c r="B11179" s="11">
        <v>44601</v>
      </c>
      <c r="C11179" s="13" t="s">
        <v>8942</v>
      </c>
      <c r="D11179" s="13" t="s">
        <v>13524</v>
      </c>
      <c r="E11179" s="8">
        <v>6000</v>
      </c>
      <c r="F11179" s="13" t="s">
        <v>70</v>
      </c>
      <c r="G11179" s="14">
        <v>44606</v>
      </c>
      <c r="H11179" s="13" t="s">
        <v>163</v>
      </c>
    </row>
    <row r="11180" spans="1:8" ht="14.4" x14ac:dyDescent="0.3">
      <c r="A11180" s="8">
        <v>2027565</v>
      </c>
      <c r="B11180" s="11">
        <v>44601</v>
      </c>
      <c r="C11180" s="13" t="s">
        <v>7203</v>
      </c>
      <c r="D11180" s="13" t="s">
        <v>13525</v>
      </c>
      <c r="E11180" s="8">
        <v>10000</v>
      </c>
      <c r="F11180" s="13" t="s">
        <v>70</v>
      </c>
      <c r="G11180" s="14">
        <v>44606</v>
      </c>
      <c r="H11180" s="13" t="s">
        <v>163</v>
      </c>
    </row>
    <row r="11181" spans="1:8" ht="14.4" x14ac:dyDescent="0.3">
      <c r="A11181" s="8">
        <v>2027566</v>
      </c>
      <c r="B11181" s="11">
        <v>44601</v>
      </c>
      <c r="C11181" s="13" t="s">
        <v>12135</v>
      </c>
      <c r="D11181" s="13" t="s">
        <v>13526</v>
      </c>
      <c r="E11181" s="8">
        <v>26000</v>
      </c>
      <c r="F11181" s="13" t="s">
        <v>70</v>
      </c>
      <c r="G11181" s="14">
        <v>44606</v>
      </c>
      <c r="H11181" s="13" t="s">
        <v>163</v>
      </c>
    </row>
    <row r="11182" spans="1:8" ht="14.4" x14ac:dyDescent="0.3">
      <c r="A11182" s="8">
        <v>2027567</v>
      </c>
      <c r="B11182" s="11">
        <v>44601</v>
      </c>
      <c r="C11182" s="13" t="s">
        <v>13527</v>
      </c>
      <c r="D11182" s="13" t="s">
        <v>13528</v>
      </c>
      <c r="E11182" s="8">
        <v>6000</v>
      </c>
      <c r="F11182" s="13" t="s">
        <v>70</v>
      </c>
      <c r="G11182" s="14">
        <v>44606</v>
      </c>
      <c r="H11182" s="13" t="s">
        <v>163</v>
      </c>
    </row>
    <row r="11183" spans="1:8" ht="14.4" x14ac:dyDescent="0.3">
      <c r="A11183" s="8">
        <v>2027568</v>
      </c>
      <c r="B11183" s="11">
        <v>44601</v>
      </c>
      <c r="C11183" s="13" t="s">
        <v>13529</v>
      </c>
      <c r="D11183" s="13" t="s">
        <v>13530</v>
      </c>
      <c r="E11183" s="8">
        <v>20000</v>
      </c>
      <c r="F11183" s="13" t="s">
        <v>70</v>
      </c>
      <c r="G11183" s="14">
        <v>44606</v>
      </c>
      <c r="H11183" s="13" t="s">
        <v>163</v>
      </c>
    </row>
    <row r="11184" spans="1:8" ht="14.4" x14ac:dyDescent="0.3">
      <c r="A11184" s="8">
        <v>2027569</v>
      </c>
      <c r="B11184" s="11">
        <v>44601</v>
      </c>
      <c r="C11184" s="13" t="s">
        <v>1268</v>
      </c>
      <c r="D11184" s="13" t="s">
        <v>13531</v>
      </c>
      <c r="E11184" s="8">
        <v>2000</v>
      </c>
      <c r="F11184" s="13" t="s">
        <v>70</v>
      </c>
      <c r="G11184" s="14">
        <v>44606</v>
      </c>
      <c r="H11184" s="13" t="s">
        <v>163</v>
      </c>
    </row>
    <row r="11185" spans="1:8" ht="14.4" x14ac:dyDescent="0.3">
      <c r="A11185" s="8">
        <v>2027570</v>
      </c>
      <c r="B11185" s="11">
        <v>44601</v>
      </c>
      <c r="C11185" s="13" t="s">
        <v>13532</v>
      </c>
      <c r="D11185" s="13" t="s">
        <v>13533</v>
      </c>
      <c r="E11185" s="8">
        <v>2000</v>
      </c>
      <c r="F11185" s="13" t="s">
        <v>70</v>
      </c>
      <c r="G11185" s="14">
        <v>44603</v>
      </c>
      <c r="H11185" s="13" t="s">
        <v>163</v>
      </c>
    </row>
    <row r="11186" spans="1:8" ht="14.4" x14ac:dyDescent="0.3">
      <c r="A11186" s="8">
        <v>2027571</v>
      </c>
      <c r="B11186" s="11">
        <v>44601</v>
      </c>
      <c r="C11186" s="13" t="s">
        <v>13534</v>
      </c>
      <c r="D11186" s="13" t="s">
        <v>13535</v>
      </c>
      <c r="E11186" s="8">
        <v>6000</v>
      </c>
      <c r="F11186" s="13" t="s">
        <v>70</v>
      </c>
      <c r="G11186" s="14">
        <v>44606</v>
      </c>
      <c r="H11186" s="13" t="s">
        <v>163</v>
      </c>
    </row>
    <row r="11187" spans="1:8" ht="14.4" x14ac:dyDescent="0.3">
      <c r="A11187" s="8">
        <v>2027572</v>
      </c>
      <c r="B11187" s="11">
        <v>44601</v>
      </c>
      <c r="C11187" s="13" t="s">
        <v>13536</v>
      </c>
      <c r="D11187" s="13" t="s">
        <v>13537</v>
      </c>
      <c r="E11187" s="8">
        <v>12000</v>
      </c>
      <c r="F11187" s="13" t="s">
        <v>70</v>
      </c>
      <c r="G11187" s="14">
        <v>44607</v>
      </c>
      <c r="H11187" s="13" t="s">
        <v>163</v>
      </c>
    </row>
    <row r="11188" spans="1:8" ht="14.4" x14ac:dyDescent="0.3">
      <c r="A11188" s="8">
        <v>2027573</v>
      </c>
      <c r="B11188" s="11">
        <v>44601</v>
      </c>
      <c r="C11188" s="13" t="s">
        <v>13538</v>
      </c>
      <c r="D11188" s="13" t="s">
        <v>13539</v>
      </c>
      <c r="E11188" s="8">
        <v>8000</v>
      </c>
      <c r="F11188" s="13" t="s">
        <v>70</v>
      </c>
      <c r="G11188" s="14">
        <v>44603</v>
      </c>
      <c r="H11188" s="13" t="s">
        <v>163</v>
      </c>
    </row>
    <row r="11189" spans="1:8" ht="14.4" x14ac:dyDescent="0.3">
      <c r="A11189" s="8">
        <v>2027574</v>
      </c>
      <c r="B11189" s="11">
        <v>44601</v>
      </c>
      <c r="C11189" s="13" t="s">
        <v>13540</v>
      </c>
      <c r="D11189" s="13" t="s">
        <v>13541</v>
      </c>
      <c r="E11189" s="8">
        <v>6000</v>
      </c>
      <c r="F11189" s="13" t="s">
        <v>70</v>
      </c>
      <c r="G11189" s="14">
        <v>44609</v>
      </c>
      <c r="H11189" s="13" t="s">
        <v>163</v>
      </c>
    </row>
    <row r="11190" spans="1:8" ht="14.4" x14ac:dyDescent="0.3">
      <c r="A11190" s="8">
        <v>2027575</v>
      </c>
      <c r="B11190" s="11">
        <v>44601</v>
      </c>
      <c r="C11190" s="13" t="s">
        <v>13542</v>
      </c>
      <c r="D11190" s="13" t="s">
        <v>13543</v>
      </c>
      <c r="E11190" s="8">
        <v>22000</v>
      </c>
      <c r="F11190" s="13" t="s">
        <v>70</v>
      </c>
      <c r="G11190" s="14">
        <v>44603</v>
      </c>
      <c r="H11190" s="13" t="s">
        <v>163</v>
      </c>
    </row>
    <row r="11191" spans="1:8" ht="14.4" x14ac:dyDescent="0.3">
      <c r="A11191" s="8">
        <v>2027576</v>
      </c>
      <c r="B11191" s="11">
        <v>44601</v>
      </c>
      <c r="C11191" s="13" t="s">
        <v>7255</v>
      </c>
      <c r="D11191" s="13" t="s">
        <v>13544</v>
      </c>
      <c r="E11191" s="8">
        <v>50000</v>
      </c>
      <c r="F11191" s="13" t="s">
        <v>70</v>
      </c>
      <c r="G11191" s="14">
        <v>44606</v>
      </c>
      <c r="H11191" s="13" t="s">
        <v>163</v>
      </c>
    </row>
    <row r="11192" spans="1:8" ht="14.4" x14ac:dyDescent="0.3">
      <c r="A11192" s="8">
        <v>2027577</v>
      </c>
      <c r="B11192" s="11">
        <v>44601</v>
      </c>
      <c r="C11192" s="13" t="s">
        <v>13545</v>
      </c>
      <c r="D11192" s="13" t="s">
        <v>13546</v>
      </c>
      <c r="E11192" s="8">
        <v>2000</v>
      </c>
      <c r="F11192" s="13" t="s">
        <v>70</v>
      </c>
      <c r="G11192" s="14">
        <v>44606</v>
      </c>
      <c r="H11192" s="13" t="s">
        <v>163</v>
      </c>
    </row>
    <row r="11193" spans="1:8" ht="14.4" x14ac:dyDescent="0.3">
      <c r="A11193" s="8">
        <v>2027579</v>
      </c>
      <c r="B11193" s="11">
        <v>44601</v>
      </c>
      <c r="C11193" s="13" t="s">
        <v>13547</v>
      </c>
      <c r="D11193" s="13" t="s">
        <v>13548</v>
      </c>
      <c r="E11193" s="8">
        <v>16000</v>
      </c>
      <c r="F11193" s="13" t="s">
        <v>70</v>
      </c>
      <c r="G11193" s="14">
        <v>44606</v>
      </c>
      <c r="H11193" s="13" t="s">
        <v>163</v>
      </c>
    </row>
    <row r="11194" spans="1:8" ht="14.4" x14ac:dyDescent="0.3">
      <c r="A11194" s="8">
        <v>2027580</v>
      </c>
      <c r="B11194" s="11">
        <v>44601</v>
      </c>
      <c r="C11194" s="13" t="s">
        <v>13549</v>
      </c>
      <c r="D11194" s="13" t="s">
        <v>13550</v>
      </c>
      <c r="E11194" s="8">
        <v>10000</v>
      </c>
      <c r="F11194" s="13" t="s">
        <v>70</v>
      </c>
      <c r="G11194" s="14">
        <v>44606</v>
      </c>
      <c r="H11194" s="13" t="s">
        <v>163</v>
      </c>
    </row>
    <row r="11195" spans="1:8" ht="14.4" x14ac:dyDescent="0.3">
      <c r="A11195" s="8">
        <v>2027581</v>
      </c>
      <c r="B11195" s="11">
        <v>44601</v>
      </c>
      <c r="C11195" s="13" t="s">
        <v>7450</v>
      </c>
      <c r="D11195" s="13" t="s">
        <v>13551</v>
      </c>
      <c r="E11195" s="8">
        <v>6000</v>
      </c>
      <c r="F11195" s="13" t="s">
        <v>70</v>
      </c>
      <c r="G11195" s="14">
        <v>44608</v>
      </c>
      <c r="H11195" s="13" t="s">
        <v>163</v>
      </c>
    </row>
    <row r="11196" spans="1:8" ht="14.4" x14ac:dyDescent="0.3">
      <c r="A11196" s="8">
        <v>2027582</v>
      </c>
      <c r="B11196" s="11">
        <v>44601</v>
      </c>
      <c r="C11196" s="13" t="s">
        <v>7450</v>
      </c>
      <c r="D11196" s="13" t="s">
        <v>13552</v>
      </c>
      <c r="E11196" s="8">
        <v>14000</v>
      </c>
      <c r="F11196" s="13" t="s">
        <v>70</v>
      </c>
      <c r="G11196" s="14">
        <v>44606</v>
      </c>
      <c r="H11196" s="13" t="s">
        <v>163</v>
      </c>
    </row>
    <row r="11197" spans="1:8" ht="14.4" x14ac:dyDescent="0.3">
      <c r="A11197" s="8">
        <v>2027583</v>
      </c>
      <c r="B11197" s="11">
        <v>44601</v>
      </c>
      <c r="C11197" s="13" t="s">
        <v>13553</v>
      </c>
      <c r="D11197" s="13" t="s">
        <v>13554</v>
      </c>
      <c r="E11197" s="8">
        <v>2000</v>
      </c>
      <c r="F11197" s="13" t="s">
        <v>70</v>
      </c>
      <c r="G11197" s="14">
        <v>44603</v>
      </c>
      <c r="H11197" s="13" t="s">
        <v>163</v>
      </c>
    </row>
    <row r="11198" spans="1:8" ht="14.4" x14ac:dyDescent="0.3">
      <c r="A11198" s="8">
        <v>2027584</v>
      </c>
      <c r="B11198" s="11">
        <v>44601</v>
      </c>
      <c r="C11198" s="13" t="s">
        <v>13555</v>
      </c>
      <c r="D11198" s="13" t="s">
        <v>13556</v>
      </c>
      <c r="E11198" s="8">
        <v>6000</v>
      </c>
      <c r="F11198" s="13" t="s">
        <v>70</v>
      </c>
      <c r="G11198" s="14">
        <v>44643</v>
      </c>
      <c r="H11198" s="13" t="s">
        <v>163</v>
      </c>
    </row>
    <row r="11199" spans="1:8" ht="14.4" x14ac:dyDescent="0.3">
      <c r="A11199" s="8">
        <v>2027585</v>
      </c>
      <c r="B11199" s="11">
        <v>44601</v>
      </c>
      <c r="C11199" s="13" t="s">
        <v>13557</v>
      </c>
      <c r="D11199" s="13" t="s">
        <v>13558</v>
      </c>
      <c r="E11199" s="8">
        <v>10000</v>
      </c>
      <c r="F11199" s="13" t="s">
        <v>70</v>
      </c>
      <c r="G11199" s="14">
        <v>44606</v>
      </c>
      <c r="H11199" s="13" t="s">
        <v>163</v>
      </c>
    </row>
    <row r="11200" spans="1:8" ht="14.4" x14ac:dyDescent="0.3">
      <c r="A11200" s="8">
        <v>2027586</v>
      </c>
      <c r="B11200" s="11">
        <v>44601</v>
      </c>
      <c r="C11200" s="13" t="s">
        <v>13559</v>
      </c>
      <c r="D11200" s="13" t="s">
        <v>13560</v>
      </c>
      <c r="E11200" s="8">
        <v>8000</v>
      </c>
      <c r="F11200" s="13" t="s">
        <v>70</v>
      </c>
      <c r="G11200" s="14">
        <v>44606</v>
      </c>
      <c r="H11200" s="13" t="s">
        <v>163</v>
      </c>
    </row>
    <row r="11201" spans="1:8" ht="14.4" x14ac:dyDescent="0.3">
      <c r="A11201" s="8">
        <v>2027587</v>
      </c>
      <c r="B11201" s="11">
        <v>44601</v>
      </c>
      <c r="C11201" s="13" t="s">
        <v>13561</v>
      </c>
      <c r="D11201" s="13" t="s">
        <v>13562</v>
      </c>
      <c r="E11201" s="8">
        <v>14000</v>
      </c>
      <c r="F11201" s="13" t="s">
        <v>70</v>
      </c>
      <c r="G11201" s="14">
        <v>44606</v>
      </c>
      <c r="H11201" s="13" t="s">
        <v>163</v>
      </c>
    </row>
    <row r="11202" spans="1:8" ht="14.4" x14ac:dyDescent="0.3">
      <c r="A11202" s="8">
        <v>2027588</v>
      </c>
      <c r="B11202" s="11">
        <v>44601</v>
      </c>
      <c r="C11202" s="13" t="s">
        <v>7925</v>
      </c>
      <c r="D11202" s="13" t="s">
        <v>13563</v>
      </c>
      <c r="E11202" s="8">
        <v>16000</v>
      </c>
      <c r="F11202" s="13" t="s">
        <v>70</v>
      </c>
      <c r="G11202" s="14">
        <v>44606</v>
      </c>
      <c r="H11202" s="13" t="s">
        <v>163</v>
      </c>
    </row>
    <row r="11203" spans="1:8" ht="14.4" x14ac:dyDescent="0.3">
      <c r="A11203" s="8">
        <v>2027590</v>
      </c>
      <c r="B11203" s="11">
        <v>44601</v>
      </c>
      <c r="C11203" s="13" t="s">
        <v>13564</v>
      </c>
      <c r="D11203" s="13" t="s">
        <v>13565</v>
      </c>
      <c r="E11203" s="8">
        <v>6000</v>
      </c>
      <c r="F11203" s="13" t="s">
        <v>70</v>
      </c>
      <c r="G11203" s="14">
        <v>44606</v>
      </c>
      <c r="H11203" s="13" t="s">
        <v>163</v>
      </c>
    </row>
    <row r="11204" spans="1:8" ht="14.4" x14ac:dyDescent="0.3">
      <c r="A11204" s="8">
        <v>2027591</v>
      </c>
      <c r="B11204" s="11">
        <v>44601</v>
      </c>
      <c r="C11204" s="13" t="s">
        <v>13566</v>
      </c>
      <c r="D11204" s="13" t="s">
        <v>13567</v>
      </c>
      <c r="E11204" s="8">
        <v>8000</v>
      </c>
      <c r="F11204" s="13" t="s">
        <v>70</v>
      </c>
      <c r="G11204" s="14">
        <v>44609</v>
      </c>
      <c r="H11204" s="13" t="s">
        <v>163</v>
      </c>
    </row>
    <row r="11205" spans="1:8" ht="14.4" x14ac:dyDescent="0.3">
      <c r="A11205" s="8">
        <v>2027592</v>
      </c>
      <c r="B11205" s="11">
        <v>44601</v>
      </c>
      <c r="C11205" s="13" t="s">
        <v>7524</v>
      </c>
      <c r="D11205" s="13" t="s">
        <v>13568</v>
      </c>
      <c r="E11205" s="8">
        <v>16000</v>
      </c>
      <c r="F11205" s="13" t="s">
        <v>70</v>
      </c>
      <c r="G11205" s="14">
        <v>44606</v>
      </c>
      <c r="H11205" s="13" t="s">
        <v>163</v>
      </c>
    </row>
    <row r="11206" spans="1:8" ht="14.4" x14ac:dyDescent="0.3">
      <c r="A11206" s="8">
        <v>2027593</v>
      </c>
      <c r="B11206" s="11">
        <v>44601</v>
      </c>
      <c r="C11206" s="13" t="s">
        <v>1278</v>
      </c>
      <c r="D11206" s="13" t="s">
        <v>13569</v>
      </c>
      <c r="E11206" s="8">
        <v>20000</v>
      </c>
      <c r="F11206" s="13" t="s">
        <v>70</v>
      </c>
      <c r="G11206" s="14">
        <v>44603</v>
      </c>
      <c r="H11206" s="13" t="s">
        <v>163</v>
      </c>
    </row>
    <row r="11207" spans="1:8" ht="14.4" x14ac:dyDescent="0.3">
      <c r="A11207" s="8">
        <v>2027594</v>
      </c>
      <c r="B11207" s="11">
        <v>44601</v>
      </c>
      <c r="C11207" s="13" t="s">
        <v>8204</v>
      </c>
      <c r="D11207" s="13" t="s">
        <v>13570</v>
      </c>
      <c r="E11207" s="8">
        <v>2000</v>
      </c>
      <c r="F11207" s="13" t="s">
        <v>70</v>
      </c>
      <c r="G11207" s="14">
        <v>44606</v>
      </c>
      <c r="H11207" s="13" t="s">
        <v>163</v>
      </c>
    </row>
    <row r="11208" spans="1:8" ht="14.4" x14ac:dyDescent="0.3">
      <c r="A11208" s="8">
        <v>2027597</v>
      </c>
      <c r="B11208" s="11">
        <v>44601</v>
      </c>
      <c r="C11208" s="13" t="s">
        <v>13571</v>
      </c>
      <c r="D11208" s="13" t="s">
        <v>13572</v>
      </c>
      <c r="E11208" s="8">
        <v>10000</v>
      </c>
      <c r="F11208" s="13" t="s">
        <v>70</v>
      </c>
      <c r="G11208" s="14">
        <v>44606</v>
      </c>
      <c r="H11208" s="13" t="s">
        <v>163</v>
      </c>
    </row>
    <row r="11209" spans="1:8" ht="14.4" x14ac:dyDescent="0.3">
      <c r="A11209" s="8">
        <v>2027598</v>
      </c>
      <c r="B11209" s="11">
        <v>44601</v>
      </c>
      <c r="C11209" s="13" t="s">
        <v>13573</v>
      </c>
      <c r="D11209" s="13" t="s">
        <v>13574</v>
      </c>
      <c r="E11209" s="8">
        <v>2000</v>
      </c>
      <c r="F11209" s="13" t="s">
        <v>70</v>
      </c>
      <c r="G11209" s="14">
        <v>44606</v>
      </c>
      <c r="H11209" s="13" t="s">
        <v>163</v>
      </c>
    </row>
    <row r="11210" spans="1:8" ht="14.4" x14ac:dyDescent="0.3">
      <c r="A11210" s="8">
        <v>2027599</v>
      </c>
      <c r="B11210" s="11">
        <v>44601</v>
      </c>
      <c r="C11210" s="13" t="s">
        <v>13575</v>
      </c>
      <c r="D11210" s="13" t="s">
        <v>13576</v>
      </c>
      <c r="E11210" s="8">
        <v>20000</v>
      </c>
      <c r="F11210" s="13" t="s">
        <v>70</v>
      </c>
      <c r="G11210" s="14">
        <v>44606</v>
      </c>
      <c r="H11210" s="13" t="s">
        <v>163</v>
      </c>
    </row>
    <row r="11211" spans="1:8" ht="14.4" x14ac:dyDescent="0.3">
      <c r="A11211" s="8">
        <v>2027600</v>
      </c>
      <c r="B11211" s="11">
        <v>44601</v>
      </c>
      <c r="C11211" s="13" t="s">
        <v>914</v>
      </c>
      <c r="D11211" s="13" t="s">
        <v>13577</v>
      </c>
      <c r="E11211" s="8">
        <v>30000</v>
      </c>
      <c r="F11211" s="13" t="s">
        <v>70</v>
      </c>
      <c r="G11211" s="14">
        <v>44607</v>
      </c>
      <c r="H11211" s="13" t="s">
        <v>163</v>
      </c>
    </row>
    <row r="11212" spans="1:8" ht="14.4" x14ac:dyDescent="0.3">
      <c r="A11212" s="8">
        <v>2027601</v>
      </c>
      <c r="B11212" s="11">
        <v>44601</v>
      </c>
      <c r="C11212" s="13" t="s">
        <v>9749</v>
      </c>
      <c r="D11212" s="13" t="s">
        <v>13578</v>
      </c>
      <c r="E11212" s="8">
        <v>8000</v>
      </c>
      <c r="F11212" s="13" t="s">
        <v>70</v>
      </c>
      <c r="G11212" s="14">
        <v>44603</v>
      </c>
      <c r="H11212" s="13" t="s">
        <v>163</v>
      </c>
    </row>
    <row r="11213" spans="1:8" ht="14.4" x14ac:dyDescent="0.3">
      <c r="A11213" s="8">
        <v>2027602</v>
      </c>
      <c r="B11213" s="11">
        <v>44601</v>
      </c>
      <c r="C11213" s="13" t="s">
        <v>13579</v>
      </c>
      <c r="D11213" s="13" t="s">
        <v>13580</v>
      </c>
      <c r="E11213" s="8">
        <v>14000</v>
      </c>
      <c r="F11213" s="13" t="s">
        <v>70</v>
      </c>
      <c r="G11213" s="14">
        <v>44603</v>
      </c>
      <c r="H11213" s="13" t="s">
        <v>163</v>
      </c>
    </row>
    <row r="11214" spans="1:8" ht="14.4" x14ac:dyDescent="0.3">
      <c r="A11214" s="8">
        <v>2027603</v>
      </c>
      <c r="B11214" s="11">
        <v>44601</v>
      </c>
      <c r="C11214" s="13" t="s">
        <v>669</v>
      </c>
      <c r="D11214" s="13" t="s">
        <v>13581</v>
      </c>
      <c r="E11214" s="8">
        <v>2359</v>
      </c>
      <c r="F11214" s="13" t="s">
        <v>70</v>
      </c>
      <c r="G11214" s="14">
        <v>44609</v>
      </c>
      <c r="H11214" s="13" t="s">
        <v>163</v>
      </c>
    </row>
    <row r="11215" spans="1:8" ht="14.4" x14ac:dyDescent="0.3">
      <c r="A11215" s="8">
        <v>2027604</v>
      </c>
      <c r="B11215" s="11">
        <v>44601</v>
      </c>
      <c r="C11215" s="13" t="s">
        <v>13582</v>
      </c>
      <c r="D11215" s="13" t="s">
        <v>13583</v>
      </c>
      <c r="E11215" s="8">
        <v>10000</v>
      </c>
      <c r="F11215" s="13" t="s">
        <v>70</v>
      </c>
      <c r="G11215" s="14">
        <v>44606</v>
      </c>
      <c r="H11215" s="13" t="s">
        <v>163</v>
      </c>
    </row>
    <row r="11216" spans="1:8" ht="14.4" x14ac:dyDescent="0.3">
      <c r="A11216" s="8">
        <v>2027606</v>
      </c>
      <c r="B11216" s="11">
        <v>44601</v>
      </c>
      <c r="C11216" s="13" t="s">
        <v>13584</v>
      </c>
      <c r="D11216" s="13" t="s">
        <v>13585</v>
      </c>
      <c r="E11216" s="8">
        <v>2000</v>
      </c>
      <c r="F11216" s="13" t="s">
        <v>70</v>
      </c>
      <c r="G11216" s="14">
        <v>44606</v>
      </c>
      <c r="H11216" s="13" t="s">
        <v>163</v>
      </c>
    </row>
    <row r="11217" spans="1:8" ht="14.4" x14ac:dyDescent="0.3">
      <c r="A11217" s="8">
        <v>2027607</v>
      </c>
      <c r="B11217" s="11">
        <v>44602</v>
      </c>
      <c r="C11217" s="13" t="s">
        <v>13586</v>
      </c>
      <c r="D11217" s="13" t="s">
        <v>13587</v>
      </c>
      <c r="E11217" s="8">
        <v>2000</v>
      </c>
      <c r="F11217" s="13" t="s">
        <v>70</v>
      </c>
      <c r="G11217" s="14">
        <v>44606</v>
      </c>
      <c r="H11217" s="13" t="s">
        <v>163</v>
      </c>
    </row>
    <row r="11218" spans="1:8" ht="14.4" x14ac:dyDescent="0.3">
      <c r="A11218" s="8">
        <v>2027608</v>
      </c>
      <c r="B11218" s="11">
        <v>44602</v>
      </c>
      <c r="C11218" s="13" t="s">
        <v>13588</v>
      </c>
      <c r="D11218" s="13" t="s">
        <v>13589</v>
      </c>
      <c r="E11218" s="8">
        <v>5000</v>
      </c>
      <c r="F11218" s="13" t="s">
        <v>70</v>
      </c>
      <c r="G11218" s="14">
        <v>44608</v>
      </c>
      <c r="H11218" s="13" t="s">
        <v>163</v>
      </c>
    </row>
    <row r="11219" spans="1:8" ht="14.4" x14ac:dyDescent="0.3">
      <c r="A11219" s="8">
        <v>2027609</v>
      </c>
      <c r="B11219" s="11">
        <v>44602</v>
      </c>
      <c r="C11219" s="13" t="s">
        <v>13590</v>
      </c>
      <c r="D11219" s="13" t="s">
        <v>13591</v>
      </c>
      <c r="E11219" s="8">
        <v>6000</v>
      </c>
      <c r="F11219" s="13" t="s">
        <v>70</v>
      </c>
      <c r="G11219" s="14">
        <v>44607</v>
      </c>
      <c r="H11219" s="13" t="s">
        <v>163</v>
      </c>
    </row>
    <row r="11220" spans="1:8" ht="14.4" x14ac:dyDescent="0.3">
      <c r="A11220" s="8">
        <v>2027610</v>
      </c>
      <c r="B11220" s="11">
        <v>44602</v>
      </c>
      <c r="C11220" s="13" t="s">
        <v>13592</v>
      </c>
      <c r="D11220" s="13" t="s">
        <v>13593</v>
      </c>
      <c r="E11220" s="8">
        <v>20000</v>
      </c>
      <c r="F11220" s="13" t="s">
        <v>70</v>
      </c>
      <c r="G11220" s="14">
        <v>44609</v>
      </c>
      <c r="H11220" s="13" t="s">
        <v>163</v>
      </c>
    </row>
    <row r="11221" spans="1:8" ht="14.4" x14ac:dyDescent="0.3">
      <c r="A11221" s="8">
        <v>2027611</v>
      </c>
      <c r="B11221" s="11">
        <v>44602</v>
      </c>
      <c r="C11221" s="13" t="s">
        <v>13594</v>
      </c>
      <c r="D11221" s="13" t="s">
        <v>13595</v>
      </c>
      <c r="E11221" s="8">
        <v>30000</v>
      </c>
      <c r="F11221" s="13" t="s">
        <v>70</v>
      </c>
      <c r="G11221" s="14">
        <v>44614</v>
      </c>
      <c r="H11221" s="13" t="s">
        <v>163</v>
      </c>
    </row>
    <row r="11222" spans="1:8" ht="14.4" x14ac:dyDescent="0.3">
      <c r="A11222" s="8">
        <v>2027612</v>
      </c>
      <c r="B11222" s="11">
        <v>44602</v>
      </c>
      <c r="C11222" s="13" t="s">
        <v>13596</v>
      </c>
      <c r="D11222" s="13" t="s">
        <v>13597</v>
      </c>
      <c r="E11222" s="8">
        <v>8000</v>
      </c>
      <c r="F11222" s="13" t="s">
        <v>70</v>
      </c>
      <c r="G11222" s="14">
        <v>44610</v>
      </c>
      <c r="H11222" s="13" t="s">
        <v>163</v>
      </c>
    </row>
    <row r="11223" spans="1:8" ht="14.4" x14ac:dyDescent="0.3">
      <c r="A11223" s="8">
        <v>2027613</v>
      </c>
      <c r="B11223" s="11">
        <v>44602</v>
      </c>
      <c r="C11223" s="13" t="s">
        <v>13598</v>
      </c>
      <c r="D11223" s="13" t="s">
        <v>13599</v>
      </c>
      <c r="E11223" s="8">
        <v>6000</v>
      </c>
      <c r="F11223" s="13" t="s">
        <v>70</v>
      </c>
      <c r="G11223" s="14">
        <v>44630</v>
      </c>
      <c r="H11223" s="13" t="s">
        <v>163</v>
      </c>
    </row>
    <row r="11224" spans="1:8" ht="14.4" x14ac:dyDescent="0.3">
      <c r="A11224" s="8">
        <v>2027614</v>
      </c>
      <c r="B11224" s="11">
        <v>44602</v>
      </c>
      <c r="C11224" s="13" t="s">
        <v>13600</v>
      </c>
      <c r="D11224" s="13" t="s">
        <v>13601</v>
      </c>
      <c r="E11224" s="8">
        <v>6000</v>
      </c>
      <c r="F11224" s="13" t="s">
        <v>70</v>
      </c>
      <c r="G11224" s="14">
        <v>44609</v>
      </c>
      <c r="H11224" s="13" t="s">
        <v>163</v>
      </c>
    </row>
    <row r="11225" spans="1:8" ht="14.4" x14ac:dyDescent="0.3">
      <c r="A11225" s="8">
        <v>2027615</v>
      </c>
      <c r="B11225" s="11">
        <v>44602</v>
      </c>
      <c r="C11225" s="13" t="s">
        <v>13602</v>
      </c>
      <c r="D11225" s="13" t="s">
        <v>13603</v>
      </c>
      <c r="E11225" s="8">
        <v>2000</v>
      </c>
      <c r="F11225" s="13" t="s">
        <v>70</v>
      </c>
      <c r="G11225" s="14">
        <v>44608</v>
      </c>
      <c r="H11225" s="13" t="s">
        <v>163</v>
      </c>
    </row>
    <row r="11226" spans="1:8" ht="14.4" x14ac:dyDescent="0.3">
      <c r="A11226" s="8">
        <v>2027616</v>
      </c>
      <c r="B11226" s="11">
        <v>44602</v>
      </c>
      <c r="C11226" s="13" t="s">
        <v>13604</v>
      </c>
      <c r="D11226" s="13" t="s">
        <v>13605</v>
      </c>
      <c r="E11226" s="8">
        <v>2000</v>
      </c>
      <c r="F11226" s="13" t="s">
        <v>70</v>
      </c>
      <c r="G11226" s="14">
        <v>44608</v>
      </c>
      <c r="H11226" s="13" t="s">
        <v>163</v>
      </c>
    </row>
    <row r="11227" spans="1:8" ht="14.4" x14ac:dyDescent="0.3">
      <c r="A11227" s="8">
        <v>2027617</v>
      </c>
      <c r="B11227" s="11">
        <v>44602</v>
      </c>
      <c r="C11227" s="13" t="s">
        <v>13606</v>
      </c>
      <c r="D11227" s="13" t="s">
        <v>13607</v>
      </c>
      <c r="E11227" s="8">
        <v>4000</v>
      </c>
      <c r="F11227" s="13" t="s">
        <v>70</v>
      </c>
      <c r="G11227" s="14">
        <v>44609</v>
      </c>
      <c r="H11227" s="13" t="s">
        <v>163</v>
      </c>
    </row>
    <row r="11228" spans="1:8" ht="14.4" x14ac:dyDescent="0.3">
      <c r="A11228" s="8">
        <v>2027618</v>
      </c>
      <c r="B11228" s="11">
        <v>44602</v>
      </c>
      <c r="C11228" s="13" t="s">
        <v>13608</v>
      </c>
      <c r="D11228" s="13" t="s">
        <v>13609</v>
      </c>
      <c r="E11228" s="8">
        <v>6000</v>
      </c>
      <c r="F11228" s="13" t="s">
        <v>70</v>
      </c>
      <c r="G11228" s="14">
        <v>44630</v>
      </c>
      <c r="H11228" s="13" t="s">
        <v>163</v>
      </c>
    </row>
    <row r="11229" spans="1:8" ht="14.4" x14ac:dyDescent="0.3">
      <c r="A11229" s="8">
        <v>2027619</v>
      </c>
      <c r="B11229" s="11">
        <v>44602</v>
      </c>
      <c r="C11229" s="13" t="s">
        <v>13610</v>
      </c>
      <c r="D11229" s="13" t="s">
        <v>13611</v>
      </c>
      <c r="E11229" s="8">
        <v>12000</v>
      </c>
      <c r="F11229" s="13" t="s">
        <v>70</v>
      </c>
      <c r="G11229" s="14">
        <v>44608</v>
      </c>
      <c r="H11229" s="13" t="s">
        <v>163</v>
      </c>
    </row>
    <row r="11230" spans="1:8" ht="14.4" x14ac:dyDescent="0.3">
      <c r="A11230" s="8">
        <v>2027620</v>
      </c>
      <c r="B11230" s="11">
        <v>44602</v>
      </c>
      <c r="C11230" s="13" t="s">
        <v>13612</v>
      </c>
      <c r="D11230" s="13" t="s">
        <v>13613</v>
      </c>
      <c r="E11230" s="8">
        <v>6000</v>
      </c>
      <c r="F11230" s="13" t="s">
        <v>70</v>
      </c>
      <c r="G11230" s="14">
        <v>44608</v>
      </c>
      <c r="H11230" s="13" t="s">
        <v>163</v>
      </c>
    </row>
    <row r="11231" spans="1:8" ht="14.4" x14ac:dyDescent="0.3">
      <c r="A11231" s="8">
        <v>2027621</v>
      </c>
      <c r="B11231" s="11">
        <v>44602</v>
      </c>
      <c r="C11231" s="13" t="s">
        <v>13614</v>
      </c>
      <c r="D11231" s="13" t="s">
        <v>13615</v>
      </c>
      <c r="E11231" s="8">
        <v>2000</v>
      </c>
      <c r="F11231" s="13" t="s">
        <v>70</v>
      </c>
      <c r="G11231" s="14">
        <v>44608</v>
      </c>
      <c r="H11231" s="13" t="s">
        <v>163</v>
      </c>
    </row>
    <row r="11232" spans="1:8" ht="14.4" x14ac:dyDescent="0.3">
      <c r="A11232" s="8">
        <v>2027622</v>
      </c>
      <c r="B11232" s="11">
        <v>44603</v>
      </c>
      <c r="C11232" s="13" t="s">
        <v>13616</v>
      </c>
      <c r="D11232" s="13" t="s">
        <v>13617</v>
      </c>
      <c r="E11232" s="8">
        <v>4000</v>
      </c>
      <c r="F11232" s="13" t="s">
        <v>70</v>
      </c>
      <c r="G11232" s="14">
        <v>44608</v>
      </c>
      <c r="H11232" s="13" t="s">
        <v>163</v>
      </c>
    </row>
    <row r="11233" spans="1:8" ht="14.4" x14ac:dyDescent="0.3">
      <c r="A11233" s="8">
        <v>2027623</v>
      </c>
      <c r="B11233" s="11">
        <v>44603</v>
      </c>
      <c r="C11233" s="13" t="s">
        <v>13618</v>
      </c>
      <c r="D11233" s="13" t="s">
        <v>13619</v>
      </c>
      <c r="E11233" s="8">
        <v>10000</v>
      </c>
      <c r="F11233" s="13" t="s">
        <v>70</v>
      </c>
      <c r="G11233" s="14">
        <v>44609</v>
      </c>
      <c r="H11233" s="13" t="s">
        <v>163</v>
      </c>
    </row>
    <row r="11234" spans="1:8" ht="14.4" x14ac:dyDescent="0.3">
      <c r="A11234" s="8">
        <v>2027624</v>
      </c>
      <c r="B11234" s="11">
        <v>44603</v>
      </c>
      <c r="C11234" s="13" t="s">
        <v>13620</v>
      </c>
      <c r="D11234" s="13" t="s">
        <v>34</v>
      </c>
      <c r="E11234" s="8">
        <v>5558.1</v>
      </c>
      <c r="F11234" s="13" t="s">
        <v>70</v>
      </c>
      <c r="G11234" s="14">
        <v>44620</v>
      </c>
      <c r="H11234" s="13" t="s">
        <v>163</v>
      </c>
    </row>
    <row r="11235" spans="1:8" ht="14.4" x14ac:dyDescent="0.3">
      <c r="A11235" s="8">
        <v>2027625</v>
      </c>
      <c r="B11235" s="11">
        <v>44606</v>
      </c>
      <c r="C11235" s="13" t="s">
        <v>13621</v>
      </c>
      <c r="D11235" s="13" t="s">
        <v>13622</v>
      </c>
      <c r="E11235" s="8">
        <v>6000</v>
      </c>
      <c r="F11235" s="13" t="s">
        <v>70</v>
      </c>
      <c r="G11235" s="14">
        <v>44609</v>
      </c>
      <c r="H11235" s="13" t="s">
        <v>163</v>
      </c>
    </row>
    <row r="11236" spans="1:8" ht="14.4" x14ac:dyDescent="0.3">
      <c r="A11236" s="8">
        <v>2027626</v>
      </c>
      <c r="B11236" s="11">
        <v>44606</v>
      </c>
      <c r="C11236" s="13" t="s">
        <v>13623</v>
      </c>
      <c r="D11236" s="13" t="s">
        <v>13624</v>
      </c>
      <c r="E11236" s="8">
        <v>12000</v>
      </c>
      <c r="F11236" s="13" t="s">
        <v>70</v>
      </c>
      <c r="G11236" s="14">
        <v>44609</v>
      </c>
      <c r="H11236" s="13" t="s">
        <v>163</v>
      </c>
    </row>
    <row r="11237" spans="1:8" ht="14.4" x14ac:dyDescent="0.3">
      <c r="A11237" s="8">
        <v>2027627</v>
      </c>
      <c r="B11237" s="11">
        <v>44606</v>
      </c>
      <c r="C11237" s="13" t="s">
        <v>7874</v>
      </c>
      <c r="D11237" s="13" t="s">
        <v>13625</v>
      </c>
      <c r="E11237" s="8">
        <v>20000</v>
      </c>
      <c r="F11237" s="13" t="s">
        <v>70</v>
      </c>
      <c r="G11237" s="14">
        <v>44608</v>
      </c>
      <c r="H11237" s="13" t="s">
        <v>163</v>
      </c>
    </row>
    <row r="11238" spans="1:8" ht="14.4" x14ac:dyDescent="0.3">
      <c r="A11238" s="8">
        <v>2027628</v>
      </c>
      <c r="B11238" s="11">
        <v>44606</v>
      </c>
      <c r="C11238" s="13" t="s">
        <v>12706</v>
      </c>
      <c r="D11238" s="13" t="s">
        <v>13626</v>
      </c>
      <c r="E11238" s="8">
        <v>2000</v>
      </c>
      <c r="F11238" s="13" t="s">
        <v>70</v>
      </c>
      <c r="G11238" s="14">
        <v>44608</v>
      </c>
      <c r="H11238" s="13" t="s">
        <v>163</v>
      </c>
    </row>
    <row r="11239" spans="1:8" ht="14.4" x14ac:dyDescent="0.3">
      <c r="A11239" s="8">
        <v>2027629</v>
      </c>
      <c r="B11239" s="11">
        <v>44606</v>
      </c>
      <c r="C11239" s="13" t="s">
        <v>13627</v>
      </c>
      <c r="D11239" s="13" t="s">
        <v>13628</v>
      </c>
      <c r="E11239" s="8">
        <v>2000</v>
      </c>
      <c r="F11239" s="13" t="s">
        <v>70</v>
      </c>
      <c r="G11239" s="14">
        <v>44608</v>
      </c>
      <c r="H11239" s="13" t="s">
        <v>163</v>
      </c>
    </row>
    <row r="11240" spans="1:8" ht="14.4" x14ac:dyDescent="0.3">
      <c r="A11240" s="8">
        <v>2027630</v>
      </c>
      <c r="B11240" s="11">
        <v>44606</v>
      </c>
      <c r="C11240" s="13" t="s">
        <v>13629</v>
      </c>
      <c r="D11240" s="13" t="s">
        <v>13630</v>
      </c>
      <c r="E11240" s="8">
        <v>20000</v>
      </c>
      <c r="F11240" s="13" t="s">
        <v>70</v>
      </c>
      <c r="G11240" s="14">
        <v>44609</v>
      </c>
      <c r="H11240" s="13" t="s">
        <v>163</v>
      </c>
    </row>
    <row r="11241" spans="1:8" ht="14.4" x14ac:dyDescent="0.3">
      <c r="A11241" s="8">
        <v>2027631</v>
      </c>
      <c r="B11241" s="11">
        <v>44606</v>
      </c>
      <c r="C11241" s="13" t="s">
        <v>13631</v>
      </c>
      <c r="D11241" s="13" t="s">
        <v>13632</v>
      </c>
      <c r="E11241" s="8">
        <v>12000</v>
      </c>
      <c r="F11241" s="13" t="s">
        <v>70</v>
      </c>
      <c r="G11241" s="14">
        <v>44712</v>
      </c>
      <c r="H11241" s="13" t="s">
        <v>163</v>
      </c>
    </row>
    <row r="11242" spans="1:8" ht="14.4" x14ac:dyDescent="0.3">
      <c r="A11242" s="8">
        <v>2027632</v>
      </c>
      <c r="B11242" s="11">
        <v>44606</v>
      </c>
      <c r="C11242" s="13" t="s">
        <v>13633</v>
      </c>
      <c r="D11242" s="13" t="s">
        <v>13634</v>
      </c>
      <c r="E11242" s="8">
        <v>20000</v>
      </c>
      <c r="F11242" s="13" t="s">
        <v>70</v>
      </c>
      <c r="G11242" s="14">
        <v>44610</v>
      </c>
      <c r="H11242" s="13" t="s">
        <v>163</v>
      </c>
    </row>
    <row r="11243" spans="1:8" ht="14.4" x14ac:dyDescent="0.3">
      <c r="A11243" s="8">
        <v>2027633</v>
      </c>
      <c r="B11243" s="11">
        <v>44606</v>
      </c>
      <c r="C11243" s="13" t="s">
        <v>7658</v>
      </c>
      <c r="D11243" s="13" t="s">
        <v>13635</v>
      </c>
      <c r="E11243" s="8">
        <v>16000</v>
      </c>
      <c r="F11243" s="13" t="s">
        <v>70</v>
      </c>
      <c r="G11243" s="14">
        <v>44609</v>
      </c>
      <c r="H11243" s="13" t="s">
        <v>163</v>
      </c>
    </row>
    <row r="11244" spans="1:8" ht="14.4" x14ac:dyDescent="0.3">
      <c r="A11244" s="8">
        <v>2027634</v>
      </c>
      <c r="B11244" s="11">
        <v>44606</v>
      </c>
      <c r="C11244" s="13" t="s">
        <v>13636</v>
      </c>
      <c r="D11244" s="13" t="s">
        <v>13637</v>
      </c>
      <c r="E11244" s="8">
        <v>8000</v>
      </c>
      <c r="F11244" s="13" t="s">
        <v>70</v>
      </c>
      <c r="G11244" s="14">
        <v>44610</v>
      </c>
      <c r="H11244" s="13" t="s">
        <v>163</v>
      </c>
    </row>
    <row r="11245" spans="1:8" ht="14.4" x14ac:dyDescent="0.3">
      <c r="A11245" s="8">
        <v>2027635</v>
      </c>
      <c r="B11245" s="11">
        <v>44606</v>
      </c>
      <c r="C11245" s="13" t="s">
        <v>7591</v>
      </c>
      <c r="D11245" s="13" t="s">
        <v>13638</v>
      </c>
      <c r="E11245" s="8">
        <v>30000</v>
      </c>
      <c r="F11245" s="13" t="s">
        <v>70</v>
      </c>
      <c r="G11245" s="14">
        <v>44610</v>
      </c>
      <c r="H11245" s="13" t="s">
        <v>163</v>
      </c>
    </row>
    <row r="11246" spans="1:8" ht="14.4" x14ac:dyDescent="0.3">
      <c r="A11246" s="8">
        <v>2027636</v>
      </c>
      <c r="B11246" s="11">
        <v>44606</v>
      </c>
      <c r="C11246" s="13" t="s">
        <v>13639</v>
      </c>
      <c r="D11246" s="13" t="s">
        <v>13640</v>
      </c>
      <c r="E11246" s="8">
        <v>12000</v>
      </c>
      <c r="F11246" s="13" t="s">
        <v>70</v>
      </c>
      <c r="G11246" s="14">
        <v>44610</v>
      </c>
      <c r="H11246" s="13" t="s">
        <v>163</v>
      </c>
    </row>
    <row r="11247" spans="1:8" ht="14.4" x14ac:dyDescent="0.3">
      <c r="A11247" s="8">
        <v>2027637</v>
      </c>
      <c r="B11247" s="11">
        <v>44606</v>
      </c>
      <c r="C11247" s="13" t="s">
        <v>7463</v>
      </c>
      <c r="D11247" s="13" t="s">
        <v>13641</v>
      </c>
      <c r="E11247" s="8">
        <v>50000</v>
      </c>
      <c r="F11247" s="13" t="s">
        <v>70</v>
      </c>
      <c r="G11247" s="14">
        <v>44614</v>
      </c>
      <c r="H11247" s="13" t="s">
        <v>163</v>
      </c>
    </row>
    <row r="11248" spans="1:8" ht="14.4" x14ac:dyDescent="0.3">
      <c r="A11248" s="8">
        <v>2027638</v>
      </c>
      <c r="B11248" s="11">
        <v>44606</v>
      </c>
      <c r="C11248" s="13" t="s">
        <v>13642</v>
      </c>
      <c r="D11248" s="13" t="s">
        <v>13643</v>
      </c>
      <c r="E11248" s="8">
        <v>20000</v>
      </c>
      <c r="F11248" s="13" t="s">
        <v>70</v>
      </c>
      <c r="G11248" s="14">
        <v>44610</v>
      </c>
      <c r="H11248" s="13" t="s">
        <v>163</v>
      </c>
    </row>
    <row r="11249" spans="1:8" ht="14.4" x14ac:dyDescent="0.3">
      <c r="A11249" s="8">
        <v>2027639</v>
      </c>
      <c r="B11249" s="11">
        <v>44606</v>
      </c>
      <c r="C11249" s="13" t="s">
        <v>13644</v>
      </c>
      <c r="D11249" s="13" t="s">
        <v>13645</v>
      </c>
      <c r="E11249" s="8">
        <v>50000</v>
      </c>
      <c r="F11249" s="13" t="s">
        <v>70</v>
      </c>
      <c r="G11249" s="14">
        <v>44712</v>
      </c>
      <c r="H11249" s="13" t="s">
        <v>163</v>
      </c>
    </row>
    <row r="11250" spans="1:8" ht="14.4" x14ac:dyDescent="0.3">
      <c r="A11250" s="8">
        <v>2027640</v>
      </c>
      <c r="B11250" s="11">
        <v>44606</v>
      </c>
      <c r="C11250" s="13" t="s">
        <v>13646</v>
      </c>
      <c r="D11250" s="13" t="s">
        <v>13647</v>
      </c>
      <c r="E11250" s="8">
        <v>50000</v>
      </c>
      <c r="F11250" s="13" t="s">
        <v>70</v>
      </c>
      <c r="G11250" s="14">
        <v>44609</v>
      </c>
      <c r="H11250" s="13" t="s">
        <v>163</v>
      </c>
    </row>
    <row r="11251" spans="1:8" ht="14.4" x14ac:dyDescent="0.3">
      <c r="A11251" s="8">
        <v>2027641</v>
      </c>
      <c r="B11251" s="11">
        <v>44606</v>
      </c>
      <c r="C11251" s="13" t="s">
        <v>13648</v>
      </c>
      <c r="D11251" s="13" t="s">
        <v>13649</v>
      </c>
      <c r="E11251" s="8">
        <v>20000</v>
      </c>
      <c r="F11251" s="13" t="s">
        <v>70</v>
      </c>
      <c r="G11251" s="14">
        <v>44610</v>
      </c>
      <c r="H11251" s="13" t="s">
        <v>163</v>
      </c>
    </row>
    <row r="11252" spans="1:8" ht="14.4" x14ac:dyDescent="0.3">
      <c r="A11252" s="8">
        <v>2027642</v>
      </c>
      <c r="B11252" s="11">
        <v>44606</v>
      </c>
      <c r="C11252" s="13" t="s">
        <v>13650</v>
      </c>
      <c r="D11252" s="13" t="s">
        <v>13651</v>
      </c>
      <c r="E11252" s="8">
        <v>30000</v>
      </c>
      <c r="F11252" s="13" t="s">
        <v>70</v>
      </c>
      <c r="G11252" s="14">
        <v>44610</v>
      </c>
      <c r="H11252" s="13" t="s">
        <v>163</v>
      </c>
    </row>
    <row r="11253" spans="1:8" ht="14.4" x14ac:dyDescent="0.3">
      <c r="A11253" s="8">
        <v>2027643</v>
      </c>
      <c r="B11253" s="11">
        <v>44606</v>
      </c>
      <c r="C11253" s="13" t="s">
        <v>13652</v>
      </c>
      <c r="D11253" s="13" t="s">
        <v>13653</v>
      </c>
      <c r="E11253" s="8">
        <v>20000</v>
      </c>
      <c r="F11253" s="13" t="s">
        <v>70</v>
      </c>
      <c r="G11253" s="14">
        <v>44610</v>
      </c>
      <c r="H11253" s="13" t="s">
        <v>163</v>
      </c>
    </row>
    <row r="11254" spans="1:8" ht="14.4" x14ac:dyDescent="0.3">
      <c r="A11254" s="8">
        <v>2027644</v>
      </c>
      <c r="B11254" s="11">
        <v>44607</v>
      </c>
      <c r="C11254" s="13" t="s">
        <v>13462</v>
      </c>
      <c r="D11254" s="13" t="s">
        <v>13654</v>
      </c>
      <c r="E11254" s="8">
        <v>327993.23</v>
      </c>
      <c r="F11254" s="13" t="s">
        <v>70</v>
      </c>
      <c r="G11254" s="14">
        <v>44609</v>
      </c>
      <c r="H11254" s="13" t="s">
        <v>163</v>
      </c>
    </row>
    <row r="11255" spans="1:8" ht="14.4" x14ac:dyDescent="0.3">
      <c r="A11255" s="8">
        <v>2027645</v>
      </c>
      <c r="B11255" s="11">
        <v>44607</v>
      </c>
      <c r="C11255" s="13" t="s">
        <v>13655</v>
      </c>
      <c r="D11255" s="13" t="s">
        <v>13656</v>
      </c>
      <c r="E11255" s="8">
        <v>12000</v>
      </c>
      <c r="F11255" s="13" t="s">
        <v>70</v>
      </c>
      <c r="G11255" s="14">
        <v>44610</v>
      </c>
      <c r="H11255" s="13" t="s">
        <v>163</v>
      </c>
    </row>
    <row r="11256" spans="1:8" ht="14.4" x14ac:dyDescent="0.3">
      <c r="A11256" s="8">
        <v>2027646</v>
      </c>
      <c r="B11256" s="11">
        <v>44607</v>
      </c>
      <c r="C11256" s="13" t="s">
        <v>1234</v>
      </c>
      <c r="D11256" s="13" t="s">
        <v>13657</v>
      </c>
      <c r="E11256" s="8">
        <v>50000</v>
      </c>
      <c r="F11256" s="13" t="s">
        <v>70</v>
      </c>
      <c r="G11256" s="14">
        <v>44615</v>
      </c>
      <c r="H11256" s="13" t="s">
        <v>163</v>
      </c>
    </row>
    <row r="11257" spans="1:8" ht="14.4" x14ac:dyDescent="0.3">
      <c r="A11257" s="8">
        <v>2027647</v>
      </c>
      <c r="B11257" s="11">
        <v>44607</v>
      </c>
      <c r="C11257" s="13" t="s">
        <v>7039</v>
      </c>
      <c r="D11257" s="13" t="s">
        <v>13658</v>
      </c>
      <c r="E11257" s="8">
        <v>30000</v>
      </c>
      <c r="F11257" s="13" t="s">
        <v>70</v>
      </c>
      <c r="G11257" s="14">
        <v>44610</v>
      </c>
      <c r="H11257" s="13" t="s">
        <v>163</v>
      </c>
    </row>
    <row r="11258" spans="1:8" ht="14.4" x14ac:dyDescent="0.3">
      <c r="A11258" s="8">
        <v>2027648</v>
      </c>
      <c r="B11258" s="11">
        <v>44607</v>
      </c>
      <c r="C11258" s="13" t="s">
        <v>7668</v>
      </c>
      <c r="D11258" s="13" t="s">
        <v>13659</v>
      </c>
      <c r="E11258" s="8">
        <v>10000</v>
      </c>
      <c r="F11258" s="13" t="s">
        <v>70</v>
      </c>
      <c r="G11258" s="14">
        <v>44610</v>
      </c>
      <c r="H11258" s="13" t="s">
        <v>163</v>
      </c>
    </row>
    <row r="11259" spans="1:8" ht="14.4" x14ac:dyDescent="0.3">
      <c r="A11259" s="8">
        <v>2027649</v>
      </c>
      <c r="B11259" s="11">
        <v>44607</v>
      </c>
      <c r="C11259" s="13" t="s">
        <v>13660</v>
      </c>
      <c r="D11259" s="13" t="s">
        <v>13661</v>
      </c>
      <c r="E11259" s="8">
        <v>10000</v>
      </c>
      <c r="F11259" s="13" t="s">
        <v>70</v>
      </c>
      <c r="G11259" s="14">
        <v>44614</v>
      </c>
      <c r="H11259" s="13" t="s">
        <v>163</v>
      </c>
    </row>
    <row r="11260" spans="1:8" ht="14.4" x14ac:dyDescent="0.3">
      <c r="A11260" s="8">
        <v>2027650</v>
      </c>
      <c r="B11260" s="11">
        <v>44607</v>
      </c>
      <c r="C11260" s="13" t="s">
        <v>13662</v>
      </c>
      <c r="D11260" s="13" t="s">
        <v>13663</v>
      </c>
      <c r="E11260" s="8">
        <v>8000</v>
      </c>
      <c r="F11260" s="13" t="s">
        <v>70</v>
      </c>
      <c r="G11260" s="14">
        <v>44610</v>
      </c>
      <c r="H11260" s="13" t="s">
        <v>163</v>
      </c>
    </row>
    <row r="11261" spans="1:8" ht="14.4" x14ac:dyDescent="0.3">
      <c r="A11261" s="8">
        <v>2027651</v>
      </c>
      <c r="B11261" s="11">
        <v>44607</v>
      </c>
      <c r="C11261" s="13" t="s">
        <v>13664</v>
      </c>
      <c r="D11261" s="13" t="s">
        <v>13665</v>
      </c>
      <c r="E11261" s="8">
        <v>12000</v>
      </c>
      <c r="F11261" s="13" t="s">
        <v>70</v>
      </c>
      <c r="G11261" s="14">
        <v>44609</v>
      </c>
      <c r="H11261" s="13" t="s">
        <v>163</v>
      </c>
    </row>
    <row r="11262" spans="1:8" ht="14.4" x14ac:dyDescent="0.3">
      <c r="A11262" s="8">
        <v>2027652</v>
      </c>
      <c r="B11262" s="11">
        <v>44607</v>
      </c>
      <c r="C11262" s="13" t="s">
        <v>13666</v>
      </c>
      <c r="D11262" s="13" t="s">
        <v>13667</v>
      </c>
      <c r="E11262" s="8">
        <v>6000</v>
      </c>
      <c r="F11262" s="13" t="s">
        <v>70</v>
      </c>
      <c r="G11262" s="14">
        <v>44610</v>
      </c>
      <c r="H11262" s="13" t="s">
        <v>163</v>
      </c>
    </row>
    <row r="11263" spans="1:8" ht="14.4" x14ac:dyDescent="0.3">
      <c r="A11263" s="8">
        <v>2027653</v>
      </c>
      <c r="B11263" s="11">
        <v>44607</v>
      </c>
      <c r="C11263" s="13" t="s">
        <v>13668</v>
      </c>
      <c r="D11263" s="16" t="s">
        <v>13669</v>
      </c>
      <c r="E11263" s="8">
        <v>10000</v>
      </c>
      <c r="F11263" s="13" t="s">
        <v>70</v>
      </c>
      <c r="G11263" s="14">
        <v>44610</v>
      </c>
      <c r="H11263" s="13" t="s">
        <v>163</v>
      </c>
    </row>
    <row r="11264" spans="1:8" ht="14.4" x14ac:dyDescent="0.3">
      <c r="A11264" s="8">
        <v>2027654</v>
      </c>
      <c r="B11264" s="11">
        <v>44607</v>
      </c>
      <c r="C11264" s="13" t="s">
        <v>1225</v>
      </c>
      <c r="D11264" s="13" t="s">
        <v>13670</v>
      </c>
      <c r="E11264" s="8">
        <v>50000</v>
      </c>
      <c r="F11264" s="13" t="s">
        <v>70</v>
      </c>
      <c r="G11264" s="14">
        <v>44614</v>
      </c>
      <c r="H11264" s="13" t="s">
        <v>163</v>
      </c>
    </row>
    <row r="11265" spans="1:8" ht="14.4" x14ac:dyDescent="0.3">
      <c r="A11265" s="8">
        <v>2027655</v>
      </c>
      <c r="B11265" s="11">
        <v>44607</v>
      </c>
      <c r="C11265" s="13" t="s">
        <v>13671</v>
      </c>
      <c r="D11265" s="16" t="s">
        <v>13672</v>
      </c>
      <c r="E11265" s="8">
        <v>20000</v>
      </c>
      <c r="F11265" s="13" t="s">
        <v>70</v>
      </c>
      <c r="G11265" s="14">
        <v>44609</v>
      </c>
      <c r="H11265" s="13" t="s">
        <v>163</v>
      </c>
    </row>
    <row r="11266" spans="1:8" ht="14.4" x14ac:dyDescent="0.3">
      <c r="A11266" s="8">
        <v>2027656</v>
      </c>
      <c r="B11266" s="11">
        <v>44607</v>
      </c>
      <c r="C11266" s="13" t="s">
        <v>13673</v>
      </c>
      <c r="D11266" s="16" t="s">
        <v>13674</v>
      </c>
      <c r="E11266" s="8">
        <v>5000</v>
      </c>
      <c r="F11266" s="13" t="s">
        <v>70</v>
      </c>
      <c r="G11266" s="14">
        <v>44610</v>
      </c>
      <c r="H11266" s="13" t="s">
        <v>163</v>
      </c>
    </row>
    <row r="11267" spans="1:8" ht="14.4" x14ac:dyDescent="0.3">
      <c r="A11267" s="8">
        <v>2027657</v>
      </c>
      <c r="B11267" s="11">
        <v>44607</v>
      </c>
      <c r="C11267" s="13" t="s">
        <v>13675</v>
      </c>
      <c r="D11267" s="13" t="s">
        <v>13676</v>
      </c>
      <c r="E11267" s="8">
        <v>10000</v>
      </c>
      <c r="F11267" s="13" t="s">
        <v>70</v>
      </c>
      <c r="G11267" s="14">
        <v>44614</v>
      </c>
      <c r="H11267" s="13" t="s">
        <v>163</v>
      </c>
    </row>
    <row r="11268" spans="1:8" ht="14.4" x14ac:dyDescent="0.3">
      <c r="A11268" s="8">
        <v>2027658</v>
      </c>
      <c r="B11268" s="11">
        <v>44607</v>
      </c>
      <c r="C11268" s="13" t="s">
        <v>13677</v>
      </c>
      <c r="D11268" s="13" t="s">
        <v>13678</v>
      </c>
      <c r="E11268" s="8">
        <v>8000</v>
      </c>
      <c r="F11268" s="13" t="s">
        <v>70</v>
      </c>
      <c r="G11268" s="14">
        <v>44614</v>
      </c>
      <c r="H11268" s="13" t="s">
        <v>163</v>
      </c>
    </row>
    <row r="11269" spans="1:8" ht="14.4" x14ac:dyDescent="0.3">
      <c r="A11269" s="8">
        <v>2027659</v>
      </c>
      <c r="B11269" s="11">
        <v>44607</v>
      </c>
      <c r="C11269" s="13" t="s">
        <v>13679</v>
      </c>
      <c r="D11269" s="13" t="s">
        <v>13680</v>
      </c>
      <c r="E11269" s="8">
        <v>50000</v>
      </c>
      <c r="F11269" s="13" t="s">
        <v>70</v>
      </c>
      <c r="G11269" s="14">
        <v>44683</v>
      </c>
      <c r="H11269" s="13" t="s">
        <v>163</v>
      </c>
    </row>
    <row r="11270" spans="1:8" ht="14.4" x14ac:dyDescent="0.3">
      <c r="A11270" s="8">
        <v>2027660</v>
      </c>
      <c r="B11270" s="11">
        <v>44607</v>
      </c>
      <c r="C11270" s="13" t="s">
        <v>13681</v>
      </c>
      <c r="D11270" s="13" t="s">
        <v>13682</v>
      </c>
      <c r="E11270" s="8">
        <v>30000</v>
      </c>
      <c r="F11270" s="13" t="s">
        <v>70</v>
      </c>
      <c r="G11270" s="14">
        <v>44630</v>
      </c>
      <c r="H11270" s="13" t="s">
        <v>163</v>
      </c>
    </row>
    <row r="11271" spans="1:8" ht="14.4" x14ac:dyDescent="0.3">
      <c r="A11271" s="8">
        <v>2027661</v>
      </c>
      <c r="B11271" s="11">
        <v>44607</v>
      </c>
      <c r="C11271" s="13" t="s">
        <v>13683</v>
      </c>
      <c r="D11271" s="13" t="s">
        <v>13684</v>
      </c>
      <c r="E11271" s="8">
        <v>8000</v>
      </c>
      <c r="F11271" s="13" t="s">
        <v>70</v>
      </c>
      <c r="G11271" s="14">
        <v>44610</v>
      </c>
      <c r="H11271" s="13" t="s">
        <v>163</v>
      </c>
    </row>
    <row r="11272" spans="1:8" ht="14.4" x14ac:dyDescent="0.3">
      <c r="A11272" s="8">
        <v>2027662</v>
      </c>
      <c r="B11272" s="11">
        <v>44607</v>
      </c>
      <c r="C11272" s="13" t="s">
        <v>13685</v>
      </c>
      <c r="D11272" s="16" t="s">
        <v>13686</v>
      </c>
      <c r="E11272" s="8">
        <v>14000</v>
      </c>
      <c r="F11272" s="13" t="s">
        <v>70</v>
      </c>
      <c r="G11272" s="14">
        <v>44610</v>
      </c>
      <c r="H11272" s="13" t="s">
        <v>163</v>
      </c>
    </row>
    <row r="11273" spans="1:8" ht="14.4" x14ac:dyDescent="0.3">
      <c r="A11273" s="8">
        <v>2027664</v>
      </c>
      <c r="B11273" s="11">
        <v>44607</v>
      </c>
      <c r="C11273" s="13" t="s">
        <v>13687</v>
      </c>
      <c r="D11273" s="13" t="s">
        <v>13688</v>
      </c>
      <c r="E11273" s="8">
        <v>30000</v>
      </c>
      <c r="F11273" s="13" t="s">
        <v>70</v>
      </c>
      <c r="G11273" s="14">
        <v>44610</v>
      </c>
      <c r="H11273" s="13" t="s">
        <v>163</v>
      </c>
    </row>
    <row r="11274" spans="1:8" ht="14.4" x14ac:dyDescent="0.3">
      <c r="A11274" s="8">
        <v>2027665</v>
      </c>
      <c r="B11274" s="11">
        <v>44607</v>
      </c>
      <c r="C11274" s="13" t="s">
        <v>7463</v>
      </c>
      <c r="D11274" s="16" t="s">
        <v>13689</v>
      </c>
      <c r="E11274" s="8">
        <v>26000</v>
      </c>
      <c r="F11274" s="13" t="s">
        <v>70</v>
      </c>
      <c r="G11274" s="14">
        <v>44614</v>
      </c>
      <c r="H11274" s="13" t="s">
        <v>163</v>
      </c>
    </row>
    <row r="11275" spans="1:8" ht="14.4" x14ac:dyDescent="0.3">
      <c r="A11275" s="8">
        <v>2027666</v>
      </c>
      <c r="B11275" s="11">
        <v>44607</v>
      </c>
      <c r="C11275" s="13" t="s">
        <v>13690</v>
      </c>
      <c r="D11275" s="13" t="s">
        <v>13691</v>
      </c>
      <c r="E11275" s="8">
        <v>10000</v>
      </c>
      <c r="F11275" s="13" t="s">
        <v>70</v>
      </c>
      <c r="G11275" s="14">
        <v>44713</v>
      </c>
      <c r="H11275" s="13" t="s">
        <v>163</v>
      </c>
    </row>
    <row r="11276" spans="1:8" ht="14.4" x14ac:dyDescent="0.3">
      <c r="A11276" s="8">
        <v>2027667</v>
      </c>
      <c r="B11276" s="11">
        <v>44607</v>
      </c>
      <c r="C11276" s="13" t="s">
        <v>13692</v>
      </c>
      <c r="D11276" s="13" t="s">
        <v>13693</v>
      </c>
      <c r="E11276" s="8">
        <v>26000</v>
      </c>
      <c r="F11276" s="13" t="s">
        <v>70</v>
      </c>
      <c r="G11276" s="14">
        <v>44610</v>
      </c>
      <c r="H11276" s="13" t="s">
        <v>163</v>
      </c>
    </row>
    <row r="11277" spans="1:8" ht="14.4" x14ac:dyDescent="0.3">
      <c r="A11277" s="8">
        <v>2027668</v>
      </c>
      <c r="B11277" s="11">
        <v>44607</v>
      </c>
      <c r="C11277" s="13" t="s">
        <v>13694</v>
      </c>
      <c r="D11277" s="13" t="s">
        <v>13695</v>
      </c>
      <c r="E11277" s="8">
        <v>4000</v>
      </c>
      <c r="F11277" s="13" t="s">
        <v>70</v>
      </c>
      <c r="G11277" s="14">
        <v>44610</v>
      </c>
      <c r="H11277" s="13" t="s">
        <v>163</v>
      </c>
    </row>
    <row r="11278" spans="1:8" ht="14.4" x14ac:dyDescent="0.3">
      <c r="A11278" s="8">
        <v>2027669</v>
      </c>
      <c r="B11278" s="11">
        <v>44607</v>
      </c>
      <c r="C11278" s="13" t="s">
        <v>13696</v>
      </c>
      <c r="D11278" s="13" t="s">
        <v>13697</v>
      </c>
      <c r="E11278" s="8">
        <v>30000</v>
      </c>
      <c r="F11278" s="13" t="s">
        <v>70</v>
      </c>
      <c r="G11278" s="14">
        <v>44610</v>
      </c>
      <c r="H11278" s="13" t="s">
        <v>163</v>
      </c>
    </row>
    <row r="11279" spans="1:8" ht="14.4" x14ac:dyDescent="0.3">
      <c r="A11279" s="8">
        <v>2027670</v>
      </c>
      <c r="B11279" s="11">
        <v>44607</v>
      </c>
      <c r="C11279" s="13" t="s">
        <v>13698</v>
      </c>
      <c r="D11279" s="13" t="s">
        <v>13699</v>
      </c>
      <c r="E11279" s="8">
        <v>6000</v>
      </c>
      <c r="F11279" s="13" t="s">
        <v>70</v>
      </c>
      <c r="G11279" s="14">
        <v>44610</v>
      </c>
      <c r="H11279" s="13" t="s">
        <v>163</v>
      </c>
    </row>
    <row r="11280" spans="1:8" ht="14.4" x14ac:dyDescent="0.3">
      <c r="A11280" s="8">
        <v>2027671</v>
      </c>
      <c r="B11280" s="11">
        <v>44607</v>
      </c>
      <c r="C11280" s="13" t="s">
        <v>13700</v>
      </c>
      <c r="D11280" s="13" t="s">
        <v>13701</v>
      </c>
      <c r="E11280" s="8">
        <v>20000</v>
      </c>
      <c r="F11280" s="13" t="s">
        <v>70</v>
      </c>
      <c r="G11280" s="14">
        <v>44610</v>
      </c>
      <c r="H11280" s="13" t="s">
        <v>163</v>
      </c>
    </row>
    <row r="11281" spans="1:8" ht="14.4" x14ac:dyDescent="0.3">
      <c r="A11281" s="8">
        <v>2027672</v>
      </c>
      <c r="B11281" s="11">
        <v>44607</v>
      </c>
      <c r="C11281" s="13" t="s">
        <v>13462</v>
      </c>
      <c r="D11281" s="13" t="s">
        <v>13702</v>
      </c>
      <c r="E11281" s="8">
        <v>241957.84</v>
      </c>
      <c r="F11281" s="13" t="s">
        <v>70</v>
      </c>
      <c r="G11281" s="14">
        <v>44609</v>
      </c>
      <c r="H11281" s="13" t="s">
        <v>163</v>
      </c>
    </row>
    <row r="11282" spans="1:8" ht="14.4" x14ac:dyDescent="0.3">
      <c r="A11282" s="8">
        <v>2027673</v>
      </c>
      <c r="B11282" s="11">
        <v>44607</v>
      </c>
      <c r="C11282" s="13" t="s">
        <v>13703</v>
      </c>
      <c r="D11282" s="13" t="s">
        <v>13597</v>
      </c>
      <c r="E11282" s="8">
        <v>22000</v>
      </c>
      <c r="F11282" s="13" t="s">
        <v>70</v>
      </c>
      <c r="G11282" s="14">
        <v>44720</v>
      </c>
      <c r="H11282" s="13" t="s">
        <v>163</v>
      </c>
    </row>
    <row r="11283" spans="1:8" ht="14.4" x14ac:dyDescent="0.3">
      <c r="A11283" s="8">
        <v>2027674</v>
      </c>
      <c r="B11283" s="11">
        <v>44607</v>
      </c>
      <c r="C11283" s="13" t="s">
        <v>13704</v>
      </c>
      <c r="D11283" s="13" t="s">
        <v>13705</v>
      </c>
      <c r="E11283" s="8">
        <v>10000</v>
      </c>
      <c r="F11283" s="13" t="s">
        <v>70</v>
      </c>
      <c r="G11283" s="14">
        <v>44610</v>
      </c>
      <c r="H11283" s="13" t="s">
        <v>163</v>
      </c>
    </row>
    <row r="11284" spans="1:8" ht="14.4" x14ac:dyDescent="0.3">
      <c r="A11284" s="8">
        <v>2027675</v>
      </c>
      <c r="B11284" s="11">
        <v>44607</v>
      </c>
      <c r="C11284" s="13" t="s">
        <v>13706</v>
      </c>
      <c r="D11284" s="13" t="s">
        <v>13707</v>
      </c>
      <c r="E11284" s="8">
        <v>12000</v>
      </c>
      <c r="F11284" s="13" t="s">
        <v>70</v>
      </c>
      <c r="G11284" s="14">
        <v>44614</v>
      </c>
      <c r="H11284" s="13" t="s">
        <v>163</v>
      </c>
    </row>
    <row r="11285" spans="1:8" ht="14.4" x14ac:dyDescent="0.3">
      <c r="A11285" s="8">
        <v>2027676</v>
      </c>
      <c r="B11285" s="11">
        <v>44607</v>
      </c>
      <c r="C11285" s="13" t="s">
        <v>13708</v>
      </c>
      <c r="D11285" s="13" t="s">
        <v>13709</v>
      </c>
      <c r="E11285" s="8">
        <v>5000</v>
      </c>
      <c r="F11285" s="13" t="s">
        <v>70</v>
      </c>
      <c r="G11285" s="14">
        <v>44614</v>
      </c>
      <c r="H11285" s="13" t="s">
        <v>163</v>
      </c>
    </row>
    <row r="11286" spans="1:8" ht="14.4" x14ac:dyDescent="0.3">
      <c r="A11286" s="8">
        <v>2027677</v>
      </c>
      <c r="B11286" s="11">
        <v>44607</v>
      </c>
      <c r="C11286" s="13" t="s">
        <v>13710</v>
      </c>
      <c r="D11286" s="13" t="s">
        <v>13711</v>
      </c>
      <c r="E11286" s="8">
        <v>12000</v>
      </c>
      <c r="F11286" s="13" t="s">
        <v>70</v>
      </c>
      <c r="G11286" s="14">
        <v>44610</v>
      </c>
      <c r="H11286" s="13" t="s">
        <v>163</v>
      </c>
    </row>
    <row r="11287" spans="1:8" ht="14.4" x14ac:dyDescent="0.3">
      <c r="A11287" s="8">
        <v>2027678</v>
      </c>
      <c r="B11287" s="11">
        <v>44607</v>
      </c>
      <c r="C11287" s="13" t="s">
        <v>13712</v>
      </c>
      <c r="D11287" s="13" t="s">
        <v>13713</v>
      </c>
      <c r="E11287" s="8">
        <v>12000</v>
      </c>
      <c r="F11287" s="13" t="s">
        <v>70</v>
      </c>
      <c r="G11287" s="14">
        <v>44609</v>
      </c>
      <c r="H11287" s="13" t="s">
        <v>163</v>
      </c>
    </row>
    <row r="11288" spans="1:8" ht="14.4" x14ac:dyDescent="0.3">
      <c r="A11288" s="8">
        <v>2027679</v>
      </c>
      <c r="B11288" s="11">
        <v>44607</v>
      </c>
      <c r="C11288" s="13" t="s">
        <v>13714</v>
      </c>
      <c r="D11288" s="13" t="s">
        <v>13715</v>
      </c>
      <c r="E11288" s="8">
        <v>10000</v>
      </c>
      <c r="F11288" s="13" t="s">
        <v>70</v>
      </c>
      <c r="G11288" s="14">
        <v>44609</v>
      </c>
      <c r="H11288" s="13" t="s">
        <v>163</v>
      </c>
    </row>
    <row r="11289" spans="1:8" ht="14.4" x14ac:dyDescent="0.3">
      <c r="A11289" s="8">
        <v>2027680</v>
      </c>
      <c r="B11289" s="11">
        <v>44607</v>
      </c>
      <c r="C11289" s="13" t="s">
        <v>13716</v>
      </c>
      <c r="D11289" s="13" t="s">
        <v>13717</v>
      </c>
      <c r="E11289" s="8">
        <v>12000</v>
      </c>
      <c r="F11289" s="13" t="s">
        <v>70</v>
      </c>
      <c r="G11289" s="14">
        <v>44610</v>
      </c>
      <c r="H11289" s="13" t="s">
        <v>163</v>
      </c>
    </row>
    <row r="11290" spans="1:8" ht="14.4" x14ac:dyDescent="0.3">
      <c r="A11290" s="8">
        <v>2027681</v>
      </c>
      <c r="B11290" s="11">
        <v>44607</v>
      </c>
      <c r="C11290" s="13" t="s">
        <v>7648</v>
      </c>
      <c r="D11290" s="13" t="s">
        <v>13718</v>
      </c>
      <c r="E11290" s="8">
        <v>30000</v>
      </c>
      <c r="F11290" s="13" t="s">
        <v>70</v>
      </c>
      <c r="G11290" s="14">
        <v>44614</v>
      </c>
      <c r="H11290" s="13" t="s">
        <v>163</v>
      </c>
    </row>
    <row r="11291" spans="1:8" ht="14.4" x14ac:dyDescent="0.3">
      <c r="A11291" s="8">
        <v>2027682</v>
      </c>
      <c r="B11291" s="11">
        <v>44607</v>
      </c>
      <c r="C11291" s="13" t="s">
        <v>7660</v>
      </c>
      <c r="D11291" s="13" t="s">
        <v>13719</v>
      </c>
      <c r="E11291" s="8">
        <v>20000</v>
      </c>
      <c r="F11291" s="13" t="s">
        <v>70</v>
      </c>
      <c r="G11291" s="14">
        <v>44610</v>
      </c>
      <c r="H11291" s="13" t="s">
        <v>163</v>
      </c>
    </row>
    <row r="11292" spans="1:8" ht="14.4" x14ac:dyDescent="0.3">
      <c r="A11292" s="8">
        <v>2027683</v>
      </c>
      <c r="B11292" s="11">
        <v>44607</v>
      </c>
      <c r="C11292" s="13" t="s">
        <v>13720</v>
      </c>
      <c r="D11292" s="13" t="s">
        <v>13721</v>
      </c>
      <c r="E11292" s="8">
        <v>8000</v>
      </c>
      <c r="F11292" s="13" t="s">
        <v>70</v>
      </c>
      <c r="G11292" s="14">
        <v>44610</v>
      </c>
      <c r="H11292" s="13" t="s">
        <v>163</v>
      </c>
    </row>
    <row r="11293" spans="1:8" ht="14.4" x14ac:dyDescent="0.3">
      <c r="A11293" s="8">
        <v>2027684</v>
      </c>
      <c r="B11293" s="11">
        <v>44607</v>
      </c>
      <c r="C11293" s="13" t="s">
        <v>8195</v>
      </c>
      <c r="D11293" s="13" t="s">
        <v>13722</v>
      </c>
      <c r="E11293" s="8">
        <v>20000</v>
      </c>
      <c r="F11293" s="13" t="s">
        <v>70</v>
      </c>
      <c r="G11293" s="14">
        <v>44610</v>
      </c>
      <c r="H11293" s="13" t="s">
        <v>163</v>
      </c>
    </row>
    <row r="11294" spans="1:8" ht="14.4" x14ac:dyDescent="0.3">
      <c r="A11294" s="8">
        <v>2027685</v>
      </c>
      <c r="B11294" s="11">
        <v>44607</v>
      </c>
      <c r="C11294" s="13" t="s">
        <v>13723</v>
      </c>
      <c r="D11294" s="13" t="s">
        <v>13724</v>
      </c>
      <c r="E11294" s="8">
        <v>20000</v>
      </c>
      <c r="F11294" s="13" t="s">
        <v>70</v>
      </c>
      <c r="G11294" s="14">
        <v>44609</v>
      </c>
      <c r="H11294" s="13" t="s">
        <v>163</v>
      </c>
    </row>
    <row r="11295" spans="1:8" ht="14.4" x14ac:dyDescent="0.3">
      <c r="A11295" s="8">
        <v>2027686</v>
      </c>
      <c r="B11295" s="11">
        <v>44607</v>
      </c>
      <c r="C11295" s="13" t="s">
        <v>13725</v>
      </c>
      <c r="D11295" s="13" t="s">
        <v>13726</v>
      </c>
      <c r="E11295" s="8">
        <v>4000</v>
      </c>
      <c r="F11295" s="13" t="s">
        <v>70</v>
      </c>
      <c r="G11295" s="14">
        <v>44614</v>
      </c>
      <c r="H11295" s="13" t="s">
        <v>163</v>
      </c>
    </row>
    <row r="11296" spans="1:8" ht="14.4" x14ac:dyDescent="0.3">
      <c r="A11296" s="8">
        <v>2027687</v>
      </c>
      <c r="B11296" s="11">
        <v>44607</v>
      </c>
      <c r="C11296" s="13" t="s">
        <v>13727</v>
      </c>
      <c r="D11296" s="13" t="s">
        <v>13728</v>
      </c>
      <c r="E11296" s="8">
        <v>4000</v>
      </c>
      <c r="F11296" s="13" t="s">
        <v>70</v>
      </c>
      <c r="G11296" s="14">
        <v>44614</v>
      </c>
      <c r="H11296" s="13" t="s">
        <v>163</v>
      </c>
    </row>
    <row r="11297" spans="1:8" ht="14.4" x14ac:dyDescent="0.3">
      <c r="A11297" s="8">
        <v>2027688</v>
      </c>
      <c r="B11297" s="11">
        <v>44607</v>
      </c>
      <c r="C11297" s="13" t="s">
        <v>893</v>
      </c>
      <c r="D11297" s="13" t="s">
        <v>13729</v>
      </c>
      <c r="E11297" s="8">
        <v>10000</v>
      </c>
      <c r="F11297" s="13" t="s">
        <v>70</v>
      </c>
      <c r="G11297" s="14">
        <v>44624</v>
      </c>
      <c r="H11297" s="13" t="s">
        <v>163</v>
      </c>
    </row>
    <row r="11298" spans="1:8" ht="14.4" x14ac:dyDescent="0.3">
      <c r="A11298" s="8">
        <v>2027689</v>
      </c>
      <c r="B11298" s="11">
        <v>44607</v>
      </c>
      <c r="C11298" s="13" t="s">
        <v>176</v>
      </c>
      <c r="D11298" s="13" t="s">
        <v>13730</v>
      </c>
      <c r="E11298" s="8">
        <v>11501</v>
      </c>
      <c r="F11298" s="13" t="s">
        <v>70</v>
      </c>
      <c r="G11298" s="14">
        <v>44624</v>
      </c>
      <c r="H11298" s="13" t="s">
        <v>163</v>
      </c>
    </row>
    <row r="11299" spans="1:8" ht="14.4" x14ac:dyDescent="0.3">
      <c r="A11299" s="8">
        <v>2027690</v>
      </c>
      <c r="B11299" s="11">
        <v>44607</v>
      </c>
      <c r="C11299" s="13" t="s">
        <v>13731</v>
      </c>
      <c r="D11299" s="13" t="s">
        <v>13732</v>
      </c>
      <c r="E11299" s="8">
        <v>16000</v>
      </c>
      <c r="F11299" s="13" t="s">
        <v>70</v>
      </c>
      <c r="G11299" s="14">
        <v>44614</v>
      </c>
      <c r="H11299" s="13" t="s">
        <v>163</v>
      </c>
    </row>
    <row r="11300" spans="1:8" ht="14.4" x14ac:dyDescent="0.3">
      <c r="A11300" s="8">
        <v>2027691</v>
      </c>
      <c r="B11300" s="11">
        <v>44607</v>
      </c>
      <c r="C11300" s="13" t="s">
        <v>13733</v>
      </c>
      <c r="D11300" s="13" t="s">
        <v>13734</v>
      </c>
      <c r="E11300" s="8">
        <v>10000</v>
      </c>
      <c r="F11300" s="13" t="s">
        <v>70</v>
      </c>
      <c r="G11300" s="14">
        <v>44722</v>
      </c>
      <c r="H11300" s="13" t="s">
        <v>163</v>
      </c>
    </row>
    <row r="11301" spans="1:8" ht="14.4" x14ac:dyDescent="0.3">
      <c r="A11301" s="8">
        <v>2027692</v>
      </c>
      <c r="B11301" s="11">
        <v>44607</v>
      </c>
      <c r="C11301" s="13" t="s">
        <v>13735</v>
      </c>
      <c r="D11301" s="13" t="s">
        <v>13736</v>
      </c>
      <c r="E11301" s="8">
        <v>4949683.2</v>
      </c>
      <c r="F11301" s="13" t="s">
        <v>70</v>
      </c>
      <c r="G11301" s="14">
        <v>44614</v>
      </c>
      <c r="H11301" s="13" t="s">
        <v>163</v>
      </c>
    </row>
    <row r="11302" spans="1:8" ht="14.4" x14ac:dyDescent="0.3">
      <c r="A11302" s="8">
        <v>2027693</v>
      </c>
      <c r="B11302" s="11">
        <v>44608</v>
      </c>
      <c r="C11302" s="13" t="s">
        <v>7711</v>
      </c>
      <c r="D11302" s="13" t="s">
        <v>13737</v>
      </c>
      <c r="E11302" s="8">
        <v>50000</v>
      </c>
      <c r="F11302" s="13" t="s">
        <v>70</v>
      </c>
      <c r="G11302" s="14">
        <v>44610</v>
      </c>
      <c r="H11302" s="13" t="s">
        <v>163</v>
      </c>
    </row>
    <row r="11303" spans="1:8" ht="14.4" x14ac:dyDescent="0.3">
      <c r="A11303" s="8">
        <v>2027694</v>
      </c>
      <c r="B11303" s="11">
        <v>44608</v>
      </c>
      <c r="C11303" s="13" t="s">
        <v>13738</v>
      </c>
      <c r="D11303" s="13" t="s">
        <v>13739</v>
      </c>
      <c r="E11303" s="8">
        <v>12000</v>
      </c>
      <c r="F11303" s="13" t="s">
        <v>70</v>
      </c>
      <c r="G11303" s="14">
        <v>44610</v>
      </c>
      <c r="H11303" s="13" t="s">
        <v>163</v>
      </c>
    </row>
    <row r="11304" spans="1:8" ht="14.4" x14ac:dyDescent="0.3">
      <c r="A11304" s="8">
        <v>2027695</v>
      </c>
      <c r="B11304" s="11">
        <v>44608</v>
      </c>
      <c r="C11304" s="13" t="s">
        <v>13740</v>
      </c>
      <c r="D11304" s="13" t="s">
        <v>13741</v>
      </c>
      <c r="E11304" s="8">
        <v>16000</v>
      </c>
      <c r="F11304" s="13" t="s">
        <v>70</v>
      </c>
      <c r="G11304" s="14">
        <v>44614</v>
      </c>
      <c r="H11304" s="13" t="s">
        <v>163</v>
      </c>
    </row>
    <row r="11305" spans="1:8" ht="14.4" x14ac:dyDescent="0.3">
      <c r="A11305" s="8">
        <v>2027696</v>
      </c>
      <c r="B11305" s="11">
        <v>44608</v>
      </c>
      <c r="C11305" s="13" t="s">
        <v>13742</v>
      </c>
      <c r="D11305" s="13" t="s">
        <v>13743</v>
      </c>
      <c r="E11305" s="8">
        <v>10000</v>
      </c>
      <c r="F11305" s="13" t="s">
        <v>70</v>
      </c>
      <c r="G11305" s="14">
        <v>44614</v>
      </c>
      <c r="H11305" s="13" t="s">
        <v>163</v>
      </c>
    </row>
    <row r="11306" spans="1:8" ht="14.4" x14ac:dyDescent="0.3">
      <c r="A11306" s="8">
        <v>2027697</v>
      </c>
      <c r="B11306" s="11">
        <v>44608</v>
      </c>
      <c r="C11306" s="13" t="s">
        <v>13742</v>
      </c>
      <c r="D11306" s="13" t="s">
        <v>13744</v>
      </c>
      <c r="E11306" s="8">
        <v>4000</v>
      </c>
      <c r="F11306" s="13" t="s">
        <v>70</v>
      </c>
      <c r="G11306" s="14">
        <v>44614</v>
      </c>
      <c r="H11306" s="13" t="s">
        <v>163</v>
      </c>
    </row>
    <row r="11307" spans="1:8" ht="14.4" x14ac:dyDescent="0.3">
      <c r="A11307" s="8">
        <v>2027698</v>
      </c>
      <c r="B11307" s="11">
        <v>44608</v>
      </c>
      <c r="C11307" s="13" t="s">
        <v>13745</v>
      </c>
      <c r="D11307" s="13" t="s">
        <v>13746</v>
      </c>
      <c r="E11307" s="8">
        <v>30000</v>
      </c>
      <c r="F11307" s="13" t="s">
        <v>70</v>
      </c>
      <c r="G11307" s="14">
        <v>44614</v>
      </c>
      <c r="H11307" s="13" t="s">
        <v>163</v>
      </c>
    </row>
    <row r="11308" spans="1:8" ht="14.4" x14ac:dyDescent="0.3">
      <c r="A11308" s="8">
        <v>2027699</v>
      </c>
      <c r="B11308" s="11">
        <v>44608</v>
      </c>
      <c r="C11308" s="13" t="s">
        <v>7553</v>
      </c>
      <c r="D11308" s="16" t="s">
        <v>13747</v>
      </c>
      <c r="E11308" s="8">
        <v>20000</v>
      </c>
      <c r="F11308" s="13" t="s">
        <v>70</v>
      </c>
      <c r="G11308" s="14">
        <v>44614</v>
      </c>
      <c r="H11308" s="13" t="s">
        <v>163</v>
      </c>
    </row>
    <row r="11309" spans="1:8" ht="14.4" x14ac:dyDescent="0.3">
      <c r="A11309" s="8">
        <v>2027700</v>
      </c>
      <c r="B11309" s="11">
        <v>44608</v>
      </c>
      <c r="C11309" s="13" t="s">
        <v>7278</v>
      </c>
      <c r="D11309" s="13" t="s">
        <v>13748</v>
      </c>
      <c r="E11309" s="8">
        <v>20000</v>
      </c>
      <c r="F11309" s="13" t="s">
        <v>70</v>
      </c>
      <c r="G11309" s="14">
        <v>44614</v>
      </c>
      <c r="H11309" s="13" t="s">
        <v>163</v>
      </c>
    </row>
    <row r="11310" spans="1:8" ht="14.4" x14ac:dyDescent="0.3">
      <c r="A11310" s="8">
        <v>2027701</v>
      </c>
      <c r="B11310" s="11">
        <v>44609</v>
      </c>
      <c r="C11310" s="13" t="s">
        <v>7373</v>
      </c>
      <c r="D11310" s="13" t="s">
        <v>13749</v>
      </c>
      <c r="E11310" s="8">
        <v>10000</v>
      </c>
      <c r="F11310" s="13" t="s">
        <v>70</v>
      </c>
      <c r="G11310" s="14">
        <v>44614</v>
      </c>
      <c r="H11310" s="13" t="s">
        <v>163</v>
      </c>
    </row>
    <row r="11311" spans="1:8" ht="14.4" x14ac:dyDescent="0.3">
      <c r="A11311" s="8">
        <v>2027702</v>
      </c>
      <c r="B11311" s="11">
        <v>44609</v>
      </c>
      <c r="C11311" s="13" t="s">
        <v>13750</v>
      </c>
      <c r="D11311" s="13" t="s">
        <v>13751</v>
      </c>
      <c r="E11311" s="8">
        <v>20000</v>
      </c>
      <c r="F11311" s="13" t="s">
        <v>70</v>
      </c>
      <c r="G11311" s="14">
        <v>44614</v>
      </c>
      <c r="H11311" s="13" t="s">
        <v>163</v>
      </c>
    </row>
    <row r="11312" spans="1:8" ht="14.4" x14ac:dyDescent="0.3">
      <c r="A11312" s="8">
        <v>2027703</v>
      </c>
      <c r="B11312" s="11">
        <v>44609</v>
      </c>
      <c r="C11312" s="13" t="s">
        <v>13752</v>
      </c>
      <c r="D11312" s="13" t="s">
        <v>13753</v>
      </c>
      <c r="E11312" s="8">
        <v>8000</v>
      </c>
      <c r="F11312" s="13" t="s">
        <v>70</v>
      </c>
      <c r="G11312" s="14">
        <v>44614</v>
      </c>
      <c r="H11312" s="13" t="s">
        <v>163</v>
      </c>
    </row>
    <row r="11313" spans="1:8" ht="14.4" x14ac:dyDescent="0.3">
      <c r="A11313" s="8">
        <v>2027704</v>
      </c>
      <c r="B11313" s="11">
        <v>44609</v>
      </c>
      <c r="C11313" s="13" t="s">
        <v>13754</v>
      </c>
      <c r="D11313" s="13" t="s">
        <v>13755</v>
      </c>
      <c r="E11313" s="8">
        <v>20000</v>
      </c>
      <c r="F11313" s="13" t="s">
        <v>70</v>
      </c>
      <c r="G11313" s="14">
        <v>44614</v>
      </c>
      <c r="H11313" s="13" t="s">
        <v>163</v>
      </c>
    </row>
    <row r="11314" spans="1:8" ht="14.4" x14ac:dyDescent="0.3">
      <c r="A11314" s="8">
        <v>2027705</v>
      </c>
      <c r="B11314" s="11">
        <v>44609</v>
      </c>
      <c r="C11314" s="13" t="s">
        <v>7721</v>
      </c>
      <c r="D11314" s="13" t="s">
        <v>13756</v>
      </c>
      <c r="E11314" s="8">
        <v>50000</v>
      </c>
      <c r="F11314" s="13" t="s">
        <v>70</v>
      </c>
      <c r="G11314" s="14">
        <v>44614</v>
      </c>
      <c r="H11314" s="13" t="s">
        <v>163</v>
      </c>
    </row>
    <row r="11315" spans="1:8" ht="14.4" x14ac:dyDescent="0.3">
      <c r="A11315" s="8">
        <v>2027706</v>
      </c>
      <c r="B11315" s="11">
        <v>44609</v>
      </c>
      <c r="C11315" s="13" t="s">
        <v>13757</v>
      </c>
      <c r="D11315" s="13" t="s">
        <v>13758</v>
      </c>
      <c r="E11315" s="8">
        <v>5000</v>
      </c>
      <c r="F11315" s="13" t="s">
        <v>70</v>
      </c>
      <c r="G11315" s="14">
        <v>44614</v>
      </c>
      <c r="H11315" s="13" t="s">
        <v>163</v>
      </c>
    </row>
    <row r="11316" spans="1:8" ht="14.4" x14ac:dyDescent="0.3">
      <c r="A11316" s="8">
        <v>2027707</v>
      </c>
      <c r="B11316" s="11">
        <v>44609</v>
      </c>
      <c r="C11316" s="13" t="s">
        <v>13759</v>
      </c>
      <c r="D11316" s="13" t="s">
        <v>13760</v>
      </c>
      <c r="E11316" s="8">
        <v>6000</v>
      </c>
      <c r="F11316" s="13" t="s">
        <v>70</v>
      </c>
      <c r="G11316" s="14">
        <v>44614</v>
      </c>
      <c r="H11316" s="13" t="s">
        <v>163</v>
      </c>
    </row>
    <row r="11317" spans="1:8" ht="14.4" x14ac:dyDescent="0.3">
      <c r="A11317" s="8">
        <v>2027708</v>
      </c>
      <c r="B11317" s="11">
        <v>44609</v>
      </c>
      <c r="C11317" s="13" t="s">
        <v>13761</v>
      </c>
      <c r="D11317" s="13" t="s">
        <v>13762</v>
      </c>
      <c r="E11317" s="8">
        <v>8000</v>
      </c>
      <c r="F11317" s="13" t="s">
        <v>70</v>
      </c>
      <c r="G11317" s="14">
        <v>44614</v>
      </c>
      <c r="H11317" s="13" t="s">
        <v>163</v>
      </c>
    </row>
    <row r="11318" spans="1:8" ht="14.4" x14ac:dyDescent="0.3">
      <c r="A11318" s="8">
        <v>2027710</v>
      </c>
      <c r="B11318" s="11">
        <v>44609</v>
      </c>
      <c r="C11318" s="13" t="s">
        <v>11072</v>
      </c>
      <c r="D11318" s="13" t="s">
        <v>13763</v>
      </c>
      <c r="E11318" s="8">
        <v>2000</v>
      </c>
      <c r="F11318" s="13" t="s">
        <v>70</v>
      </c>
      <c r="G11318" s="14">
        <v>44615</v>
      </c>
      <c r="H11318" s="13" t="s">
        <v>163</v>
      </c>
    </row>
    <row r="11319" spans="1:8" ht="14.4" x14ac:dyDescent="0.3">
      <c r="A11319" s="8">
        <v>2027711</v>
      </c>
      <c r="B11319" s="11">
        <v>44609</v>
      </c>
      <c r="C11319" s="13" t="s">
        <v>13764</v>
      </c>
      <c r="D11319" s="13" t="s">
        <v>13765</v>
      </c>
      <c r="E11319" s="8">
        <v>10000</v>
      </c>
      <c r="F11319" s="13" t="s">
        <v>70</v>
      </c>
      <c r="G11319" s="14">
        <v>44614</v>
      </c>
      <c r="H11319" s="13" t="s">
        <v>163</v>
      </c>
    </row>
    <row r="11320" spans="1:8" ht="14.4" x14ac:dyDescent="0.3">
      <c r="A11320" s="8">
        <v>2027712</v>
      </c>
      <c r="B11320" s="11">
        <v>44609</v>
      </c>
      <c r="C11320" s="13" t="s">
        <v>13766</v>
      </c>
      <c r="D11320" s="13" t="s">
        <v>13767</v>
      </c>
      <c r="E11320" s="8">
        <v>14000</v>
      </c>
      <c r="F11320" s="13" t="s">
        <v>70</v>
      </c>
      <c r="G11320" s="14">
        <v>44614</v>
      </c>
      <c r="H11320" s="13" t="s">
        <v>163</v>
      </c>
    </row>
    <row r="11321" spans="1:8" ht="14.4" x14ac:dyDescent="0.3">
      <c r="A11321" s="8">
        <v>2027713</v>
      </c>
      <c r="B11321" s="11">
        <v>44609</v>
      </c>
      <c r="C11321" s="13" t="s">
        <v>451</v>
      </c>
      <c r="D11321" s="13" t="s">
        <v>13768</v>
      </c>
      <c r="E11321" s="8">
        <v>20000</v>
      </c>
      <c r="F11321" s="13" t="s">
        <v>70</v>
      </c>
      <c r="G11321" s="14">
        <v>44614</v>
      </c>
      <c r="H11321" s="13" t="s">
        <v>163</v>
      </c>
    </row>
    <row r="11322" spans="1:8" ht="14.4" x14ac:dyDescent="0.3">
      <c r="A11322" s="8">
        <v>2027714</v>
      </c>
      <c r="B11322" s="11">
        <v>44609</v>
      </c>
      <c r="C11322" s="13" t="s">
        <v>7318</v>
      </c>
      <c r="D11322" s="13" t="s">
        <v>13769</v>
      </c>
      <c r="E11322" s="8">
        <v>20000</v>
      </c>
      <c r="F11322" s="13" t="s">
        <v>70</v>
      </c>
      <c r="G11322" s="14">
        <v>44614</v>
      </c>
      <c r="H11322" s="13" t="s">
        <v>163</v>
      </c>
    </row>
    <row r="11323" spans="1:8" ht="14.4" x14ac:dyDescent="0.3">
      <c r="A11323" s="8">
        <v>2027715</v>
      </c>
      <c r="B11323" s="11">
        <v>44609</v>
      </c>
      <c r="C11323" s="13" t="s">
        <v>7654</v>
      </c>
      <c r="D11323" s="13" t="s">
        <v>13770</v>
      </c>
      <c r="E11323" s="8">
        <v>20000</v>
      </c>
      <c r="F11323" s="13" t="s">
        <v>70</v>
      </c>
      <c r="G11323" s="14">
        <v>44614</v>
      </c>
      <c r="H11323" s="13" t="s">
        <v>163</v>
      </c>
    </row>
    <row r="11324" spans="1:8" ht="14.4" x14ac:dyDescent="0.3">
      <c r="A11324" s="8">
        <v>2027716</v>
      </c>
      <c r="B11324" s="11">
        <v>44610</v>
      </c>
      <c r="C11324" s="13" t="s">
        <v>13771</v>
      </c>
      <c r="D11324" s="13" t="s">
        <v>13772</v>
      </c>
      <c r="E11324" s="8">
        <v>20000</v>
      </c>
      <c r="F11324" s="13" t="s">
        <v>70</v>
      </c>
      <c r="G11324" s="14">
        <v>44620</v>
      </c>
      <c r="H11324" s="13" t="s">
        <v>163</v>
      </c>
    </row>
    <row r="11325" spans="1:8" ht="14.4" x14ac:dyDescent="0.3">
      <c r="A11325" s="8">
        <v>2027717</v>
      </c>
      <c r="B11325" s="11">
        <v>44610</v>
      </c>
      <c r="C11325" s="13" t="s">
        <v>7652</v>
      </c>
      <c r="D11325" s="13" t="s">
        <v>13773</v>
      </c>
      <c r="E11325" s="8">
        <v>20000</v>
      </c>
      <c r="F11325" s="13" t="s">
        <v>70</v>
      </c>
      <c r="G11325" s="14">
        <v>44616</v>
      </c>
      <c r="H11325" s="13" t="s">
        <v>163</v>
      </c>
    </row>
    <row r="11326" spans="1:8" ht="14.4" x14ac:dyDescent="0.3">
      <c r="A11326" s="8">
        <v>2027718</v>
      </c>
      <c r="B11326" s="11">
        <v>44610</v>
      </c>
      <c r="C11326" s="13" t="s">
        <v>7991</v>
      </c>
      <c r="D11326" s="13" t="s">
        <v>13774</v>
      </c>
      <c r="E11326" s="8">
        <v>20000</v>
      </c>
      <c r="F11326" s="13" t="s">
        <v>70</v>
      </c>
      <c r="G11326" s="14">
        <v>44614</v>
      </c>
      <c r="H11326" s="13" t="s">
        <v>163</v>
      </c>
    </row>
    <row r="11327" spans="1:8" ht="14.4" x14ac:dyDescent="0.3">
      <c r="A11327" s="8">
        <v>2027719</v>
      </c>
      <c r="B11327" s="11">
        <v>44610</v>
      </c>
      <c r="C11327" s="13" t="s">
        <v>6788</v>
      </c>
      <c r="D11327" s="13" t="s">
        <v>13775</v>
      </c>
      <c r="E11327" s="8">
        <v>16000</v>
      </c>
      <c r="F11327" s="13" t="s">
        <v>70</v>
      </c>
      <c r="G11327" s="14">
        <v>44616</v>
      </c>
      <c r="H11327" s="13" t="s">
        <v>163</v>
      </c>
    </row>
    <row r="11328" spans="1:8" ht="14.4" x14ac:dyDescent="0.3">
      <c r="A11328" s="8">
        <v>2027720</v>
      </c>
      <c r="B11328" s="11">
        <v>44610</v>
      </c>
      <c r="C11328" s="13" t="s">
        <v>7259</v>
      </c>
      <c r="D11328" s="13" t="s">
        <v>13776</v>
      </c>
      <c r="E11328" s="8">
        <v>40000</v>
      </c>
      <c r="F11328" s="13" t="s">
        <v>70</v>
      </c>
      <c r="G11328" s="14">
        <v>44680</v>
      </c>
      <c r="H11328" s="13" t="s">
        <v>163</v>
      </c>
    </row>
    <row r="11329" spans="1:8" ht="14.4" x14ac:dyDescent="0.3">
      <c r="A11329" s="8">
        <v>2027721</v>
      </c>
      <c r="B11329" s="11">
        <v>44610</v>
      </c>
      <c r="C11329" s="13" t="s">
        <v>13777</v>
      </c>
      <c r="D11329" s="13" t="s">
        <v>13778</v>
      </c>
      <c r="E11329" s="8">
        <v>5000</v>
      </c>
      <c r="F11329" s="13" t="s">
        <v>70</v>
      </c>
      <c r="G11329" s="14">
        <v>44616</v>
      </c>
      <c r="H11329" s="13" t="s">
        <v>163</v>
      </c>
    </row>
    <row r="11330" spans="1:8" ht="14.4" x14ac:dyDescent="0.3">
      <c r="A11330" s="8">
        <v>2027722</v>
      </c>
      <c r="B11330" s="11">
        <v>44610</v>
      </c>
      <c r="C11330" s="13" t="s">
        <v>13779</v>
      </c>
      <c r="D11330" s="13" t="s">
        <v>13780</v>
      </c>
      <c r="E11330" s="8">
        <v>5000</v>
      </c>
      <c r="F11330" s="13" t="s">
        <v>70</v>
      </c>
      <c r="G11330" s="14">
        <v>44616</v>
      </c>
      <c r="H11330" s="13" t="s">
        <v>163</v>
      </c>
    </row>
    <row r="11331" spans="1:8" ht="14.4" x14ac:dyDescent="0.3">
      <c r="A11331" s="8">
        <v>2027723</v>
      </c>
      <c r="B11331" s="11">
        <v>44610</v>
      </c>
      <c r="C11331" s="13" t="s">
        <v>13781</v>
      </c>
      <c r="D11331" s="13" t="s">
        <v>13782</v>
      </c>
      <c r="E11331" s="8">
        <v>16000</v>
      </c>
      <c r="F11331" s="13" t="s">
        <v>70</v>
      </c>
      <c r="G11331" s="14">
        <v>44616</v>
      </c>
      <c r="H11331" s="13" t="s">
        <v>163</v>
      </c>
    </row>
    <row r="11332" spans="1:8" ht="14.4" x14ac:dyDescent="0.3">
      <c r="A11332" s="8">
        <v>2027724</v>
      </c>
      <c r="B11332" s="11">
        <v>44610</v>
      </c>
      <c r="C11332" s="13" t="s">
        <v>13783</v>
      </c>
      <c r="D11332" s="13" t="s">
        <v>13784</v>
      </c>
      <c r="E11332" s="8">
        <v>8000</v>
      </c>
      <c r="F11332" s="13" t="s">
        <v>70</v>
      </c>
      <c r="G11332" s="14">
        <v>44616</v>
      </c>
      <c r="H11332" s="13" t="s">
        <v>163</v>
      </c>
    </row>
    <row r="11333" spans="1:8" ht="14.4" x14ac:dyDescent="0.3">
      <c r="A11333" s="8">
        <v>2027725</v>
      </c>
      <c r="B11333" s="11">
        <v>44610</v>
      </c>
      <c r="C11333" s="13" t="s">
        <v>13261</v>
      </c>
      <c r="D11333" s="13" t="s">
        <v>13785</v>
      </c>
      <c r="E11333" s="8">
        <v>8000</v>
      </c>
      <c r="F11333" s="13" t="s">
        <v>70</v>
      </c>
      <c r="G11333" s="14">
        <v>44620</v>
      </c>
      <c r="H11333" s="13" t="s">
        <v>163</v>
      </c>
    </row>
    <row r="11334" spans="1:8" ht="14.4" x14ac:dyDescent="0.3">
      <c r="A11334" s="8">
        <v>2027726</v>
      </c>
      <c r="B11334" s="11">
        <v>44610</v>
      </c>
      <c r="C11334" s="13" t="s">
        <v>13786</v>
      </c>
      <c r="D11334" s="13" t="s">
        <v>13787</v>
      </c>
      <c r="E11334" s="8">
        <v>6000</v>
      </c>
      <c r="F11334" s="13" t="s">
        <v>70</v>
      </c>
      <c r="G11334" s="14">
        <v>44615</v>
      </c>
      <c r="H11334" s="13" t="s">
        <v>163</v>
      </c>
    </row>
    <row r="11335" spans="1:8" ht="14.4" x14ac:dyDescent="0.3">
      <c r="A11335" s="8">
        <v>2027727</v>
      </c>
      <c r="B11335" s="11">
        <v>44610</v>
      </c>
      <c r="C11335" s="13" t="s">
        <v>13788</v>
      </c>
      <c r="D11335" s="13" t="s">
        <v>13789</v>
      </c>
      <c r="E11335" s="8">
        <v>5000</v>
      </c>
      <c r="F11335" s="13" t="s">
        <v>70</v>
      </c>
      <c r="G11335" s="14">
        <v>44621</v>
      </c>
      <c r="H11335" s="13" t="s">
        <v>163</v>
      </c>
    </row>
    <row r="11336" spans="1:8" ht="14.4" x14ac:dyDescent="0.3">
      <c r="A11336" s="8">
        <v>2027728</v>
      </c>
      <c r="B11336" s="11">
        <v>44610</v>
      </c>
      <c r="C11336" s="13" t="s">
        <v>13790</v>
      </c>
      <c r="D11336" s="13" t="s">
        <v>13791</v>
      </c>
      <c r="E11336" s="8">
        <v>8000</v>
      </c>
      <c r="F11336" s="13" t="s">
        <v>70</v>
      </c>
      <c r="G11336" s="14">
        <v>44620</v>
      </c>
      <c r="H11336" s="13" t="s">
        <v>163</v>
      </c>
    </row>
    <row r="11337" spans="1:8" ht="14.4" x14ac:dyDescent="0.3">
      <c r="A11337" s="8">
        <v>2027729</v>
      </c>
      <c r="B11337" s="11">
        <v>44610</v>
      </c>
      <c r="C11337" s="13" t="s">
        <v>13792</v>
      </c>
      <c r="D11337" s="13" t="s">
        <v>13793</v>
      </c>
      <c r="E11337" s="8">
        <v>12000</v>
      </c>
      <c r="F11337" s="13" t="s">
        <v>70</v>
      </c>
      <c r="G11337" s="14">
        <v>44616</v>
      </c>
      <c r="H11337" s="13" t="s">
        <v>163</v>
      </c>
    </row>
    <row r="11338" spans="1:8" ht="14.4" x14ac:dyDescent="0.3">
      <c r="A11338" s="8">
        <v>2027730</v>
      </c>
      <c r="B11338" s="11">
        <v>44610</v>
      </c>
      <c r="C11338" s="13" t="s">
        <v>13794</v>
      </c>
      <c r="D11338" s="13" t="s">
        <v>13795</v>
      </c>
      <c r="E11338" s="8">
        <v>8000</v>
      </c>
      <c r="F11338" s="13" t="s">
        <v>70</v>
      </c>
      <c r="G11338" s="14">
        <v>44620</v>
      </c>
      <c r="H11338" s="13" t="s">
        <v>163</v>
      </c>
    </row>
    <row r="11339" spans="1:8" ht="14.4" x14ac:dyDescent="0.3">
      <c r="A11339" s="8">
        <v>2027731</v>
      </c>
      <c r="B11339" s="11">
        <v>44610</v>
      </c>
      <c r="C11339" s="13" t="s">
        <v>9055</v>
      </c>
      <c r="D11339" s="13" t="s">
        <v>13796</v>
      </c>
      <c r="E11339" s="8">
        <v>30000</v>
      </c>
      <c r="F11339" s="13" t="s">
        <v>70</v>
      </c>
      <c r="G11339" s="14">
        <v>44616</v>
      </c>
      <c r="H11339" s="13" t="s">
        <v>163</v>
      </c>
    </row>
    <row r="11340" spans="1:8" ht="14.4" x14ac:dyDescent="0.3">
      <c r="A11340" s="8">
        <v>2027732</v>
      </c>
      <c r="B11340" s="11">
        <v>44610</v>
      </c>
      <c r="C11340" s="13" t="s">
        <v>7456</v>
      </c>
      <c r="D11340" s="13" t="s">
        <v>13797</v>
      </c>
      <c r="E11340" s="8">
        <v>20000</v>
      </c>
      <c r="F11340" s="13" t="s">
        <v>70</v>
      </c>
      <c r="G11340" s="14">
        <v>44616</v>
      </c>
      <c r="H11340" s="13" t="s">
        <v>163</v>
      </c>
    </row>
    <row r="11341" spans="1:8" ht="14.4" x14ac:dyDescent="0.3">
      <c r="A11341" s="8">
        <v>2027733</v>
      </c>
      <c r="B11341" s="11">
        <v>44610</v>
      </c>
      <c r="C11341" s="13" t="s">
        <v>7662</v>
      </c>
      <c r="D11341" s="13" t="s">
        <v>13798</v>
      </c>
      <c r="E11341" s="8">
        <v>20000</v>
      </c>
      <c r="F11341" s="13" t="s">
        <v>70</v>
      </c>
      <c r="G11341" s="14">
        <v>44620</v>
      </c>
      <c r="H11341" s="13" t="s">
        <v>163</v>
      </c>
    </row>
    <row r="11342" spans="1:8" ht="14.4" x14ac:dyDescent="0.3">
      <c r="A11342" s="8">
        <v>2027734</v>
      </c>
      <c r="B11342" s="11">
        <v>44610</v>
      </c>
      <c r="C11342" s="13" t="s">
        <v>13799</v>
      </c>
      <c r="D11342" s="13" t="s">
        <v>13800</v>
      </c>
      <c r="E11342" s="8">
        <v>6000</v>
      </c>
      <c r="F11342" s="13" t="s">
        <v>70</v>
      </c>
      <c r="G11342" s="14">
        <v>44620</v>
      </c>
      <c r="H11342" s="13" t="s">
        <v>163</v>
      </c>
    </row>
    <row r="11343" spans="1:8" ht="14.4" x14ac:dyDescent="0.3">
      <c r="A11343" s="8">
        <v>2027735</v>
      </c>
      <c r="B11343" s="11">
        <v>44610</v>
      </c>
      <c r="C11343" s="13" t="s">
        <v>13801</v>
      </c>
      <c r="D11343" s="13" t="s">
        <v>13802</v>
      </c>
      <c r="E11343" s="8">
        <v>16000</v>
      </c>
      <c r="F11343" s="13" t="s">
        <v>70</v>
      </c>
      <c r="G11343" s="14">
        <v>44614</v>
      </c>
      <c r="H11343" s="13" t="s">
        <v>163</v>
      </c>
    </row>
    <row r="11344" spans="1:8" ht="14.4" x14ac:dyDescent="0.3">
      <c r="A11344" s="8">
        <v>2027737</v>
      </c>
      <c r="B11344" s="11">
        <v>44610</v>
      </c>
      <c r="C11344" s="13" t="s">
        <v>7717</v>
      </c>
      <c r="D11344" s="13" t="s">
        <v>13803</v>
      </c>
      <c r="E11344" s="8">
        <v>20000</v>
      </c>
      <c r="F11344" s="13" t="s">
        <v>70</v>
      </c>
      <c r="G11344" s="14">
        <v>44615</v>
      </c>
      <c r="H11344" s="13" t="s">
        <v>163</v>
      </c>
    </row>
    <row r="11345" spans="1:8" ht="14.4" x14ac:dyDescent="0.3">
      <c r="A11345" s="8">
        <v>2027738</v>
      </c>
      <c r="B11345" s="11">
        <v>44610</v>
      </c>
      <c r="C11345" s="13" t="s">
        <v>13804</v>
      </c>
      <c r="D11345" s="13" t="s">
        <v>13805</v>
      </c>
      <c r="E11345" s="8">
        <v>12000</v>
      </c>
      <c r="F11345" s="13" t="s">
        <v>70</v>
      </c>
      <c r="G11345" s="14">
        <v>44616</v>
      </c>
      <c r="H11345" s="13" t="s">
        <v>163</v>
      </c>
    </row>
    <row r="11346" spans="1:8" ht="14.4" x14ac:dyDescent="0.3">
      <c r="A11346" s="8">
        <v>2027739</v>
      </c>
      <c r="B11346" s="11">
        <v>44610</v>
      </c>
      <c r="C11346" s="13" t="s">
        <v>7526</v>
      </c>
      <c r="D11346" s="13" t="s">
        <v>13806</v>
      </c>
      <c r="E11346" s="8">
        <v>50000</v>
      </c>
      <c r="F11346" s="13" t="s">
        <v>70</v>
      </c>
      <c r="G11346" s="14">
        <v>44615</v>
      </c>
      <c r="H11346" s="13" t="s">
        <v>163</v>
      </c>
    </row>
    <row r="11347" spans="1:8" ht="14.4" x14ac:dyDescent="0.3">
      <c r="A11347" s="8">
        <v>2027740</v>
      </c>
      <c r="B11347" s="11">
        <v>44610</v>
      </c>
      <c r="C11347" s="13" t="s">
        <v>13807</v>
      </c>
      <c r="D11347" s="13" t="s">
        <v>13808</v>
      </c>
      <c r="E11347" s="8">
        <v>20000</v>
      </c>
      <c r="F11347" s="13" t="s">
        <v>70</v>
      </c>
      <c r="G11347" s="14">
        <v>44622</v>
      </c>
      <c r="H11347" s="13" t="s">
        <v>163</v>
      </c>
    </row>
    <row r="11348" spans="1:8" ht="14.4" x14ac:dyDescent="0.3">
      <c r="A11348" s="8">
        <v>2027741</v>
      </c>
      <c r="B11348" s="11">
        <v>44610</v>
      </c>
      <c r="C11348" s="13" t="s">
        <v>13809</v>
      </c>
      <c r="D11348" s="13" t="s">
        <v>13810</v>
      </c>
      <c r="E11348" s="8">
        <v>5000</v>
      </c>
      <c r="F11348" s="13" t="s">
        <v>70</v>
      </c>
      <c r="G11348" s="14">
        <v>44615</v>
      </c>
      <c r="H11348" s="13" t="s">
        <v>163</v>
      </c>
    </row>
    <row r="11349" spans="1:8" ht="14.4" x14ac:dyDescent="0.3">
      <c r="A11349" s="8">
        <v>2027742</v>
      </c>
      <c r="B11349" s="11">
        <v>44610</v>
      </c>
      <c r="C11349" s="13" t="s">
        <v>13811</v>
      </c>
      <c r="D11349" s="13" t="s">
        <v>13812</v>
      </c>
      <c r="E11349" s="8">
        <v>966.5</v>
      </c>
      <c r="F11349" s="13" t="s">
        <v>70</v>
      </c>
      <c r="G11349" s="14">
        <v>44615</v>
      </c>
      <c r="H11349" s="13" t="s">
        <v>163</v>
      </c>
    </row>
    <row r="11350" spans="1:8" ht="14.4" x14ac:dyDescent="0.3">
      <c r="A11350" s="8">
        <v>2027743</v>
      </c>
      <c r="B11350" s="11">
        <v>44610</v>
      </c>
      <c r="C11350" s="13" t="s">
        <v>7619</v>
      </c>
      <c r="D11350" s="13" t="s">
        <v>13813</v>
      </c>
      <c r="E11350" s="8">
        <v>20000</v>
      </c>
      <c r="F11350" s="13" t="s">
        <v>70</v>
      </c>
      <c r="G11350" s="14">
        <v>44616</v>
      </c>
      <c r="H11350" s="13" t="s">
        <v>163</v>
      </c>
    </row>
    <row r="11351" spans="1:8" ht="14.4" x14ac:dyDescent="0.3">
      <c r="A11351" s="8">
        <v>2027745</v>
      </c>
      <c r="B11351" s="11">
        <v>44610</v>
      </c>
      <c r="C11351" s="13" t="s">
        <v>13814</v>
      </c>
      <c r="D11351" s="13" t="s">
        <v>13815</v>
      </c>
      <c r="E11351" s="8">
        <v>20000</v>
      </c>
      <c r="F11351" s="13" t="s">
        <v>70</v>
      </c>
      <c r="G11351" s="14">
        <v>44615</v>
      </c>
      <c r="H11351" s="13" t="s">
        <v>163</v>
      </c>
    </row>
    <row r="11352" spans="1:8" ht="14.4" x14ac:dyDescent="0.3">
      <c r="A11352" s="8">
        <v>2027746</v>
      </c>
      <c r="B11352" s="11">
        <v>44610</v>
      </c>
      <c r="C11352" s="13" t="s">
        <v>13816</v>
      </c>
      <c r="D11352" s="13" t="s">
        <v>13817</v>
      </c>
      <c r="E11352" s="8">
        <v>8000</v>
      </c>
      <c r="F11352" s="13" t="s">
        <v>70</v>
      </c>
      <c r="G11352" s="14">
        <v>44615</v>
      </c>
      <c r="H11352" s="13" t="s">
        <v>163</v>
      </c>
    </row>
    <row r="11353" spans="1:8" ht="14.4" x14ac:dyDescent="0.3">
      <c r="A11353" s="8">
        <v>2027747</v>
      </c>
      <c r="B11353" s="11">
        <v>44610</v>
      </c>
      <c r="C11353" s="13" t="s">
        <v>122</v>
      </c>
      <c r="D11353" s="13" t="s">
        <v>13818</v>
      </c>
      <c r="E11353" s="8">
        <v>12000</v>
      </c>
      <c r="F11353" s="13" t="s">
        <v>70</v>
      </c>
      <c r="G11353" s="14">
        <v>44616</v>
      </c>
      <c r="H11353" s="13" t="s">
        <v>163</v>
      </c>
    </row>
    <row r="11354" spans="1:8" ht="14.4" x14ac:dyDescent="0.3">
      <c r="A11354" s="8">
        <v>2027748</v>
      </c>
      <c r="B11354" s="11">
        <v>44610</v>
      </c>
      <c r="C11354" s="13" t="s">
        <v>13819</v>
      </c>
      <c r="D11354" s="13" t="s">
        <v>13820</v>
      </c>
      <c r="E11354" s="8">
        <v>12000</v>
      </c>
      <c r="F11354" s="13" t="s">
        <v>70</v>
      </c>
      <c r="G11354" s="14">
        <v>44615</v>
      </c>
      <c r="H11354" s="13" t="s">
        <v>163</v>
      </c>
    </row>
    <row r="11355" spans="1:8" ht="14.4" x14ac:dyDescent="0.3">
      <c r="A11355" s="8">
        <v>2027749</v>
      </c>
      <c r="B11355" s="11">
        <v>44610</v>
      </c>
      <c r="C11355" s="13" t="s">
        <v>13821</v>
      </c>
      <c r="D11355" s="13" t="s">
        <v>13822</v>
      </c>
      <c r="E11355" s="8">
        <v>16000</v>
      </c>
      <c r="F11355" s="13" t="s">
        <v>70</v>
      </c>
      <c r="G11355" s="14">
        <v>44615</v>
      </c>
      <c r="H11355" s="13" t="s">
        <v>163</v>
      </c>
    </row>
    <row r="11356" spans="1:8" ht="14.4" x14ac:dyDescent="0.3">
      <c r="A11356" s="8">
        <v>2027750</v>
      </c>
      <c r="B11356" s="11">
        <v>44610</v>
      </c>
      <c r="C11356" s="13" t="s">
        <v>7063</v>
      </c>
      <c r="D11356" s="13" t="s">
        <v>13823</v>
      </c>
      <c r="E11356" s="8">
        <v>10000</v>
      </c>
      <c r="F11356" s="13" t="s">
        <v>70</v>
      </c>
      <c r="G11356" s="14">
        <v>44620</v>
      </c>
      <c r="H11356" s="13" t="s">
        <v>163</v>
      </c>
    </row>
    <row r="11357" spans="1:8" ht="14.4" x14ac:dyDescent="0.3">
      <c r="A11357" s="8">
        <v>2027751</v>
      </c>
      <c r="B11357" s="11">
        <v>44610</v>
      </c>
      <c r="C11357" s="13" t="s">
        <v>13824</v>
      </c>
      <c r="D11357" s="13" t="s">
        <v>13825</v>
      </c>
      <c r="E11357" s="8">
        <v>7203</v>
      </c>
      <c r="F11357" s="13" t="s">
        <v>70</v>
      </c>
      <c r="G11357" s="14">
        <v>44615</v>
      </c>
      <c r="H11357" s="13" t="s">
        <v>163</v>
      </c>
    </row>
    <row r="11358" spans="1:8" ht="14.4" x14ac:dyDescent="0.3">
      <c r="A11358" s="8">
        <v>2027752</v>
      </c>
      <c r="B11358" s="11">
        <v>44610</v>
      </c>
      <c r="C11358" s="13" t="s">
        <v>13826</v>
      </c>
      <c r="D11358" s="13" t="s">
        <v>13827</v>
      </c>
      <c r="E11358" s="8">
        <v>2000</v>
      </c>
      <c r="F11358" s="13" t="s">
        <v>70</v>
      </c>
      <c r="G11358" s="14">
        <v>44620</v>
      </c>
      <c r="H11358" s="13" t="s">
        <v>163</v>
      </c>
    </row>
    <row r="11359" spans="1:8" ht="14.4" x14ac:dyDescent="0.3">
      <c r="A11359" s="8">
        <v>2027753</v>
      </c>
      <c r="B11359" s="11">
        <v>44610</v>
      </c>
      <c r="C11359" s="13" t="s">
        <v>7726</v>
      </c>
      <c r="D11359" s="13" t="s">
        <v>13828</v>
      </c>
      <c r="E11359" s="8">
        <v>40000</v>
      </c>
      <c r="F11359" s="13" t="s">
        <v>70</v>
      </c>
      <c r="G11359" s="14">
        <v>44621</v>
      </c>
      <c r="H11359" s="13" t="s">
        <v>163</v>
      </c>
    </row>
    <row r="11360" spans="1:8" ht="14.4" x14ac:dyDescent="0.3">
      <c r="A11360" s="8">
        <v>2027754</v>
      </c>
      <c r="B11360" s="11">
        <v>44610</v>
      </c>
      <c r="C11360" s="13" t="s">
        <v>13829</v>
      </c>
      <c r="D11360" s="13" t="s">
        <v>13830</v>
      </c>
      <c r="E11360" s="8">
        <v>16000</v>
      </c>
      <c r="F11360" s="13" t="s">
        <v>70</v>
      </c>
      <c r="G11360" s="14">
        <v>44620</v>
      </c>
      <c r="H11360" s="13" t="s">
        <v>163</v>
      </c>
    </row>
    <row r="11361" spans="1:8" ht="14.4" x14ac:dyDescent="0.3">
      <c r="A11361" s="8">
        <v>2027755</v>
      </c>
      <c r="B11361" s="11">
        <v>44610</v>
      </c>
      <c r="C11361" s="13" t="s">
        <v>13829</v>
      </c>
      <c r="D11361" s="13" t="s">
        <v>13831</v>
      </c>
      <c r="E11361" s="8">
        <v>7599.64</v>
      </c>
      <c r="F11361" s="13" t="s">
        <v>70</v>
      </c>
      <c r="G11361" s="14">
        <v>44620</v>
      </c>
      <c r="H11361" s="13" t="s">
        <v>163</v>
      </c>
    </row>
    <row r="11362" spans="1:8" ht="14.4" x14ac:dyDescent="0.3">
      <c r="A11362" s="8">
        <v>2027756</v>
      </c>
      <c r="B11362" s="11">
        <v>44610</v>
      </c>
      <c r="C11362" s="13" t="s">
        <v>13832</v>
      </c>
      <c r="D11362" s="13" t="s">
        <v>13833</v>
      </c>
      <c r="E11362" s="8">
        <v>30000</v>
      </c>
      <c r="F11362" s="13" t="s">
        <v>70</v>
      </c>
      <c r="G11362" s="14">
        <v>44615</v>
      </c>
      <c r="H11362" s="13" t="s">
        <v>163</v>
      </c>
    </row>
    <row r="11363" spans="1:8" ht="14.4" x14ac:dyDescent="0.3">
      <c r="A11363" s="8">
        <v>2027757</v>
      </c>
      <c r="B11363" s="11">
        <v>44610</v>
      </c>
      <c r="C11363" s="13" t="s">
        <v>13834</v>
      </c>
      <c r="D11363" s="13" t="s">
        <v>13835</v>
      </c>
      <c r="E11363" s="8">
        <v>10000</v>
      </c>
      <c r="F11363" s="13" t="s">
        <v>70</v>
      </c>
      <c r="G11363" s="14">
        <v>44615</v>
      </c>
      <c r="H11363" s="13" t="s">
        <v>163</v>
      </c>
    </row>
    <row r="11364" spans="1:8" ht="14.4" x14ac:dyDescent="0.3">
      <c r="A11364" s="8">
        <v>2027758</v>
      </c>
      <c r="B11364" s="11">
        <v>44610</v>
      </c>
      <c r="C11364" s="13" t="s">
        <v>13836</v>
      </c>
      <c r="D11364" s="13" t="s">
        <v>13837</v>
      </c>
      <c r="E11364" s="8">
        <v>16000</v>
      </c>
      <c r="F11364" s="13" t="s">
        <v>70</v>
      </c>
      <c r="G11364" s="14">
        <v>44615</v>
      </c>
      <c r="H11364" s="13" t="s">
        <v>163</v>
      </c>
    </row>
    <row r="11365" spans="1:8" ht="14.4" x14ac:dyDescent="0.3">
      <c r="A11365" s="8">
        <v>2027759</v>
      </c>
      <c r="B11365" s="11">
        <v>44610</v>
      </c>
      <c r="C11365" s="13" t="s">
        <v>6974</v>
      </c>
      <c r="D11365" s="13" t="s">
        <v>13838</v>
      </c>
      <c r="E11365" s="8">
        <v>50000</v>
      </c>
      <c r="F11365" s="13" t="s">
        <v>70</v>
      </c>
      <c r="G11365" s="14">
        <v>44621</v>
      </c>
      <c r="H11365" s="13" t="s">
        <v>163</v>
      </c>
    </row>
    <row r="11366" spans="1:8" ht="14.4" x14ac:dyDescent="0.3">
      <c r="A11366" s="8">
        <v>2027760</v>
      </c>
      <c r="B11366" s="11">
        <v>44610</v>
      </c>
      <c r="C11366" s="13" t="s">
        <v>13839</v>
      </c>
      <c r="D11366" s="13" t="s">
        <v>13840</v>
      </c>
      <c r="E11366" s="8">
        <v>10000</v>
      </c>
      <c r="F11366" s="13" t="s">
        <v>70</v>
      </c>
      <c r="G11366" s="14">
        <v>44616</v>
      </c>
      <c r="H11366" s="13" t="s">
        <v>163</v>
      </c>
    </row>
    <row r="11367" spans="1:8" ht="14.4" x14ac:dyDescent="0.3">
      <c r="A11367" s="8">
        <v>2027761</v>
      </c>
      <c r="B11367" s="11">
        <v>44610</v>
      </c>
      <c r="C11367" s="13" t="s">
        <v>13841</v>
      </c>
      <c r="D11367" s="13" t="s">
        <v>13842</v>
      </c>
      <c r="E11367" s="8">
        <v>16000</v>
      </c>
      <c r="F11367" s="13" t="s">
        <v>70</v>
      </c>
      <c r="G11367" s="14">
        <v>44616</v>
      </c>
      <c r="H11367" s="13" t="s">
        <v>163</v>
      </c>
    </row>
    <row r="11368" spans="1:8" ht="14.4" x14ac:dyDescent="0.3">
      <c r="A11368" s="8">
        <v>2027762</v>
      </c>
      <c r="B11368" s="11">
        <v>44610</v>
      </c>
      <c r="C11368" s="13" t="s">
        <v>13843</v>
      </c>
      <c r="D11368" s="13" t="s">
        <v>13844</v>
      </c>
      <c r="E11368" s="8">
        <v>8903</v>
      </c>
      <c r="F11368" s="13" t="s">
        <v>70</v>
      </c>
      <c r="G11368" s="14">
        <v>44616</v>
      </c>
      <c r="H11368" s="13" t="s">
        <v>163</v>
      </c>
    </row>
    <row r="11369" spans="1:8" ht="14.4" x14ac:dyDescent="0.3">
      <c r="A11369" s="8">
        <v>2027763</v>
      </c>
      <c r="B11369" s="11">
        <v>44610</v>
      </c>
      <c r="C11369" s="13" t="s">
        <v>7715</v>
      </c>
      <c r="D11369" s="13" t="s">
        <v>13845</v>
      </c>
      <c r="E11369" s="8">
        <v>20000</v>
      </c>
      <c r="F11369" s="13" t="s">
        <v>70</v>
      </c>
      <c r="G11369" s="14">
        <v>44616</v>
      </c>
      <c r="H11369" s="13" t="s">
        <v>163</v>
      </c>
    </row>
    <row r="11370" spans="1:8" ht="14.4" x14ac:dyDescent="0.3">
      <c r="A11370" s="8">
        <v>2027764</v>
      </c>
      <c r="B11370" s="11">
        <v>44610</v>
      </c>
      <c r="C11370" s="13" t="s">
        <v>13846</v>
      </c>
      <c r="D11370" s="13" t="s">
        <v>13847</v>
      </c>
      <c r="E11370" s="8">
        <v>30000</v>
      </c>
      <c r="F11370" s="13" t="s">
        <v>70</v>
      </c>
      <c r="G11370" s="14">
        <v>44615</v>
      </c>
      <c r="H11370" s="13" t="s">
        <v>163</v>
      </c>
    </row>
    <row r="11371" spans="1:8" ht="14.4" x14ac:dyDescent="0.3">
      <c r="A11371" s="8">
        <v>2027765</v>
      </c>
      <c r="B11371" s="11">
        <v>44610</v>
      </c>
      <c r="C11371" s="13" t="s">
        <v>13848</v>
      </c>
      <c r="D11371" s="13" t="s">
        <v>13849</v>
      </c>
      <c r="E11371" s="8">
        <v>5000</v>
      </c>
      <c r="F11371" s="13" t="s">
        <v>70</v>
      </c>
      <c r="G11371" s="14">
        <v>44616</v>
      </c>
      <c r="H11371" s="13" t="s">
        <v>163</v>
      </c>
    </row>
    <row r="11372" spans="1:8" ht="14.4" x14ac:dyDescent="0.3">
      <c r="A11372" s="8">
        <v>2027766</v>
      </c>
      <c r="B11372" s="11">
        <v>44610</v>
      </c>
      <c r="C11372" s="13" t="s">
        <v>4744</v>
      </c>
      <c r="D11372" s="13" t="s">
        <v>13850</v>
      </c>
      <c r="E11372" s="8">
        <v>8000</v>
      </c>
      <c r="F11372" s="13" t="s">
        <v>70</v>
      </c>
      <c r="G11372" s="14">
        <v>44614</v>
      </c>
      <c r="H11372" s="13" t="s">
        <v>163</v>
      </c>
    </row>
    <row r="11373" spans="1:8" ht="14.4" x14ac:dyDescent="0.3">
      <c r="A11373" s="8">
        <v>2027767</v>
      </c>
      <c r="B11373" s="11">
        <v>44610</v>
      </c>
      <c r="C11373" s="13" t="s">
        <v>506</v>
      </c>
      <c r="D11373" s="13" t="s">
        <v>13851</v>
      </c>
      <c r="E11373" s="8">
        <v>60307</v>
      </c>
      <c r="F11373" s="13" t="s">
        <v>70</v>
      </c>
      <c r="G11373" s="14">
        <v>44624</v>
      </c>
      <c r="H11373" s="13" t="s">
        <v>163</v>
      </c>
    </row>
    <row r="11374" spans="1:8" ht="14.4" x14ac:dyDescent="0.3">
      <c r="A11374" s="8">
        <v>2027768</v>
      </c>
      <c r="B11374" s="11">
        <v>44610</v>
      </c>
      <c r="C11374" s="13" t="s">
        <v>13852</v>
      </c>
      <c r="D11374" s="13" t="s">
        <v>13853</v>
      </c>
      <c r="E11374" s="8">
        <v>50000</v>
      </c>
      <c r="F11374" s="13" t="s">
        <v>70</v>
      </c>
      <c r="G11374" s="14">
        <v>44628</v>
      </c>
      <c r="H11374" s="13" t="s">
        <v>163</v>
      </c>
    </row>
    <row r="11375" spans="1:8" ht="14.4" x14ac:dyDescent="0.3">
      <c r="A11375" s="8">
        <v>2027769</v>
      </c>
      <c r="B11375" s="11">
        <v>44610</v>
      </c>
      <c r="C11375" s="13" t="s">
        <v>13854</v>
      </c>
      <c r="D11375" s="13" t="s">
        <v>13855</v>
      </c>
      <c r="E11375" s="8">
        <v>20000</v>
      </c>
      <c r="F11375" s="13" t="s">
        <v>70</v>
      </c>
      <c r="G11375" s="14">
        <v>44620</v>
      </c>
      <c r="H11375" s="13" t="s">
        <v>163</v>
      </c>
    </row>
    <row r="11376" spans="1:8" ht="14.4" x14ac:dyDescent="0.3">
      <c r="A11376" s="8">
        <v>2027770</v>
      </c>
      <c r="B11376" s="11">
        <v>44610</v>
      </c>
      <c r="C11376" s="13" t="s">
        <v>13856</v>
      </c>
      <c r="D11376" s="13" t="s">
        <v>13857</v>
      </c>
      <c r="E11376" s="8">
        <v>16000</v>
      </c>
      <c r="F11376" s="13" t="s">
        <v>70</v>
      </c>
      <c r="G11376" s="14">
        <v>44616</v>
      </c>
      <c r="H11376" s="13" t="s">
        <v>163</v>
      </c>
    </row>
    <row r="11377" spans="1:8" ht="14.4" x14ac:dyDescent="0.3">
      <c r="A11377" s="8">
        <v>2027771</v>
      </c>
      <c r="B11377" s="11">
        <v>44610</v>
      </c>
      <c r="C11377" s="13" t="s">
        <v>13858</v>
      </c>
      <c r="D11377" s="13" t="s">
        <v>13859</v>
      </c>
      <c r="E11377" s="8">
        <v>10000</v>
      </c>
      <c r="F11377" s="13" t="s">
        <v>70</v>
      </c>
      <c r="G11377" s="14">
        <v>44615</v>
      </c>
      <c r="H11377" s="13" t="s">
        <v>163</v>
      </c>
    </row>
    <row r="11378" spans="1:8" ht="14.4" x14ac:dyDescent="0.3">
      <c r="A11378" s="8">
        <v>2027772</v>
      </c>
      <c r="B11378" s="11">
        <v>44610</v>
      </c>
      <c r="C11378" s="13" t="s">
        <v>13860</v>
      </c>
      <c r="D11378" s="13" t="s">
        <v>13861</v>
      </c>
      <c r="E11378" s="8">
        <v>18000</v>
      </c>
      <c r="F11378" s="13" t="s">
        <v>70</v>
      </c>
      <c r="G11378" s="14">
        <v>44615</v>
      </c>
      <c r="H11378" s="13" t="s">
        <v>163</v>
      </c>
    </row>
    <row r="11379" spans="1:8" ht="14.4" x14ac:dyDescent="0.3">
      <c r="A11379" s="8">
        <v>2027773</v>
      </c>
      <c r="B11379" s="11">
        <v>44610</v>
      </c>
      <c r="C11379" s="13" t="s">
        <v>6788</v>
      </c>
      <c r="D11379" s="13" t="s">
        <v>13862</v>
      </c>
      <c r="E11379" s="8">
        <v>16000</v>
      </c>
      <c r="F11379" s="13" t="s">
        <v>70</v>
      </c>
      <c r="G11379" s="14">
        <v>44616</v>
      </c>
      <c r="H11379" s="13" t="s">
        <v>163</v>
      </c>
    </row>
    <row r="11380" spans="1:8" ht="14.4" x14ac:dyDescent="0.3">
      <c r="A11380" s="8">
        <v>2027774</v>
      </c>
      <c r="B11380" s="11">
        <v>44610</v>
      </c>
      <c r="C11380" s="13" t="s">
        <v>13863</v>
      </c>
      <c r="D11380" s="13" t="s">
        <v>13864</v>
      </c>
      <c r="E11380" s="8">
        <v>8000</v>
      </c>
      <c r="F11380" s="13" t="s">
        <v>70</v>
      </c>
      <c r="G11380" s="14">
        <v>44615</v>
      </c>
      <c r="H11380" s="13" t="s">
        <v>163</v>
      </c>
    </row>
    <row r="11381" spans="1:8" ht="14.4" x14ac:dyDescent="0.3">
      <c r="A11381" s="8">
        <v>2027775</v>
      </c>
      <c r="B11381" s="11">
        <v>44610</v>
      </c>
      <c r="C11381" s="13" t="s">
        <v>165</v>
      </c>
      <c r="D11381" s="13" t="s">
        <v>13865</v>
      </c>
      <c r="E11381" s="8">
        <v>5000</v>
      </c>
      <c r="F11381" s="13" t="s">
        <v>70</v>
      </c>
      <c r="G11381" s="14">
        <v>44616</v>
      </c>
      <c r="H11381" s="13" t="s">
        <v>163</v>
      </c>
    </row>
    <row r="11382" spans="1:8" ht="14.4" x14ac:dyDescent="0.3">
      <c r="A11382" s="8">
        <v>2027776</v>
      </c>
      <c r="B11382" s="11">
        <v>44610</v>
      </c>
      <c r="C11382" s="13" t="s">
        <v>13866</v>
      </c>
      <c r="D11382" s="13" t="s">
        <v>13867</v>
      </c>
      <c r="E11382" s="8">
        <v>20000</v>
      </c>
      <c r="F11382" s="13" t="s">
        <v>70</v>
      </c>
      <c r="G11382" s="14">
        <v>44615</v>
      </c>
      <c r="H11382" s="13" t="s">
        <v>163</v>
      </c>
    </row>
    <row r="11383" spans="1:8" ht="14.4" x14ac:dyDescent="0.3">
      <c r="A11383" s="8">
        <v>2027777</v>
      </c>
      <c r="B11383" s="11">
        <v>44610</v>
      </c>
      <c r="C11383" s="13" t="s">
        <v>13868</v>
      </c>
      <c r="D11383" s="13" t="s">
        <v>13869</v>
      </c>
      <c r="E11383" s="8">
        <v>16000</v>
      </c>
      <c r="F11383" s="13" t="s">
        <v>70</v>
      </c>
      <c r="G11383" s="14">
        <v>44615</v>
      </c>
      <c r="H11383" s="13" t="s">
        <v>163</v>
      </c>
    </row>
    <row r="11384" spans="1:8" ht="14.4" x14ac:dyDescent="0.3">
      <c r="A11384" s="8">
        <v>2027778</v>
      </c>
      <c r="B11384" s="11">
        <v>44610</v>
      </c>
      <c r="C11384" s="13" t="s">
        <v>1193</v>
      </c>
      <c r="D11384" s="13" t="s">
        <v>13870</v>
      </c>
      <c r="E11384" s="8">
        <v>10000</v>
      </c>
      <c r="F11384" s="13" t="s">
        <v>70</v>
      </c>
      <c r="G11384" s="14">
        <v>44624</v>
      </c>
      <c r="H11384" s="13" t="s">
        <v>163</v>
      </c>
    </row>
    <row r="11385" spans="1:8" ht="14.4" x14ac:dyDescent="0.3">
      <c r="A11385" s="8">
        <v>2027779</v>
      </c>
      <c r="B11385" s="11">
        <v>44610</v>
      </c>
      <c r="C11385" s="13" t="s">
        <v>7719</v>
      </c>
      <c r="D11385" s="13" t="s">
        <v>13871</v>
      </c>
      <c r="E11385" s="8">
        <v>20000</v>
      </c>
      <c r="F11385" s="13" t="s">
        <v>70</v>
      </c>
      <c r="G11385" s="14">
        <v>44620</v>
      </c>
      <c r="H11385" s="13" t="s">
        <v>163</v>
      </c>
    </row>
    <row r="11386" spans="1:8" ht="14.4" x14ac:dyDescent="0.3">
      <c r="A11386" s="8">
        <v>2027780</v>
      </c>
      <c r="B11386" s="11">
        <v>44610</v>
      </c>
      <c r="C11386" s="13" t="s">
        <v>13872</v>
      </c>
      <c r="D11386" s="13" t="s">
        <v>13873</v>
      </c>
      <c r="E11386" s="8">
        <v>10000</v>
      </c>
      <c r="F11386" s="13" t="s">
        <v>70</v>
      </c>
      <c r="G11386" s="14">
        <v>44620</v>
      </c>
      <c r="H11386" s="13" t="s">
        <v>163</v>
      </c>
    </row>
    <row r="11387" spans="1:8" ht="14.4" x14ac:dyDescent="0.3">
      <c r="A11387" s="8">
        <v>2027781</v>
      </c>
      <c r="B11387" s="11">
        <v>44610</v>
      </c>
      <c r="C11387" s="13" t="s">
        <v>13874</v>
      </c>
      <c r="D11387" s="13" t="s">
        <v>13875</v>
      </c>
      <c r="E11387" s="8">
        <v>8000</v>
      </c>
      <c r="F11387" s="13" t="s">
        <v>70</v>
      </c>
      <c r="G11387" s="14">
        <v>44621</v>
      </c>
      <c r="H11387" s="13" t="s">
        <v>163</v>
      </c>
    </row>
    <row r="11388" spans="1:8" ht="14.4" x14ac:dyDescent="0.3">
      <c r="A11388" s="8">
        <v>2027782</v>
      </c>
      <c r="B11388" s="11">
        <v>44610</v>
      </c>
      <c r="C11388" s="13" t="s">
        <v>13876</v>
      </c>
      <c r="D11388" s="13" t="s">
        <v>13877</v>
      </c>
      <c r="E11388" s="8">
        <v>10000</v>
      </c>
      <c r="F11388" s="13" t="s">
        <v>70</v>
      </c>
      <c r="G11388" s="14">
        <v>44620</v>
      </c>
      <c r="H11388" s="13" t="s">
        <v>163</v>
      </c>
    </row>
    <row r="11389" spans="1:8" ht="14.4" x14ac:dyDescent="0.3">
      <c r="A11389" s="8">
        <v>2027783</v>
      </c>
      <c r="B11389" s="11">
        <v>44610</v>
      </c>
      <c r="C11389" s="13" t="s">
        <v>13878</v>
      </c>
      <c r="D11389" s="13" t="s">
        <v>13879</v>
      </c>
      <c r="E11389" s="8">
        <v>8000</v>
      </c>
      <c r="F11389" s="13" t="s">
        <v>70</v>
      </c>
      <c r="G11389" s="14">
        <v>44622</v>
      </c>
      <c r="H11389" s="13" t="s">
        <v>163</v>
      </c>
    </row>
    <row r="11390" spans="1:8" ht="14.4" x14ac:dyDescent="0.3">
      <c r="A11390" s="8">
        <v>2027784</v>
      </c>
      <c r="B11390" s="11">
        <v>44610</v>
      </c>
      <c r="C11390" s="13" t="s">
        <v>633</v>
      </c>
      <c r="D11390" s="13" t="s">
        <v>13880</v>
      </c>
      <c r="E11390" s="8">
        <v>10000</v>
      </c>
      <c r="F11390" s="13" t="s">
        <v>70</v>
      </c>
      <c r="G11390" s="14">
        <v>44614</v>
      </c>
      <c r="H11390" s="13" t="s">
        <v>163</v>
      </c>
    </row>
    <row r="11391" spans="1:8" ht="14.4" x14ac:dyDescent="0.3">
      <c r="A11391" s="8">
        <v>2027785</v>
      </c>
      <c r="B11391" s="11">
        <v>44610</v>
      </c>
      <c r="C11391" s="13" t="s">
        <v>13881</v>
      </c>
      <c r="D11391" s="13" t="s">
        <v>13882</v>
      </c>
      <c r="E11391" s="8">
        <v>10000</v>
      </c>
      <c r="F11391" s="13" t="s">
        <v>70</v>
      </c>
      <c r="G11391" s="14">
        <v>44616</v>
      </c>
      <c r="H11391" s="13" t="s">
        <v>163</v>
      </c>
    </row>
    <row r="11392" spans="1:8" ht="14.4" x14ac:dyDescent="0.3">
      <c r="A11392" s="8">
        <v>2027786</v>
      </c>
      <c r="B11392" s="11">
        <v>44610</v>
      </c>
      <c r="C11392" s="13" t="s">
        <v>13883</v>
      </c>
      <c r="D11392" s="13" t="s">
        <v>13884</v>
      </c>
      <c r="E11392" s="8">
        <v>5000</v>
      </c>
      <c r="F11392" s="13" t="s">
        <v>70</v>
      </c>
      <c r="G11392" s="14">
        <v>44616</v>
      </c>
      <c r="H11392" s="13" t="s">
        <v>163</v>
      </c>
    </row>
    <row r="11393" spans="1:8" ht="14.4" x14ac:dyDescent="0.3">
      <c r="A11393" s="8">
        <v>2027787</v>
      </c>
      <c r="B11393" s="11">
        <v>44610</v>
      </c>
      <c r="C11393" s="13" t="s">
        <v>13885</v>
      </c>
      <c r="D11393" s="13" t="s">
        <v>13886</v>
      </c>
      <c r="E11393" s="8">
        <v>12000</v>
      </c>
      <c r="F11393" s="13" t="s">
        <v>70</v>
      </c>
      <c r="G11393" s="14">
        <v>44616</v>
      </c>
      <c r="H11393" s="13" t="s">
        <v>163</v>
      </c>
    </row>
    <row r="11394" spans="1:8" ht="14.4" x14ac:dyDescent="0.3">
      <c r="A11394" s="8">
        <v>2027788</v>
      </c>
      <c r="B11394" s="11">
        <v>44610</v>
      </c>
      <c r="C11394" s="13" t="s">
        <v>13887</v>
      </c>
      <c r="D11394" s="13" t="s">
        <v>13888</v>
      </c>
      <c r="E11394" s="8">
        <v>10000</v>
      </c>
      <c r="F11394" s="13" t="s">
        <v>70</v>
      </c>
      <c r="G11394" s="14">
        <v>44620</v>
      </c>
      <c r="H11394" s="13" t="s">
        <v>163</v>
      </c>
    </row>
    <row r="11395" spans="1:8" ht="14.4" x14ac:dyDescent="0.3">
      <c r="A11395" s="8">
        <v>2027789</v>
      </c>
      <c r="B11395" s="11">
        <v>44610</v>
      </c>
      <c r="C11395" s="13" t="s">
        <v>13889</v>
      </c>
      <c r="D11395" s="13" t="s">
        <v>13890</v>
      </c>
      <c r="E11395" s="8">
        <v>20000</v>
      </c>
      <c r="F11395" s="13" t="s">
        <v>70</v>
      </c>
      <c r="G11395" s="14">
        <v>44616</v>
      </c>
      <c r="H11395" s="13" t="s">
        <v>163</v>
      </c>
    </row>
    <row r="11396" spans="1:8" ht="14.4" x14ac:dyDescent="0.3">
      <c r="A11396" s="8">
        <v>2027790</v>
      </c>
      <c r="B11396" s="11">
        <v>44610</v>
      </c>
      <c r="C11396" s="13" t="s">
        <v>13891</v>
      </c>
      <c r="D11396" s="13" t="s">
        <v>13892</v>
      </c>
      <c r="E11396" s="8">
        <v>10000</v>
      </c>
      <c r="F11396" s="13" t="s">
        <v>70</v>
      </c>
      <c r="G11396" s="14">
        <v>44641</v>
      </c>
      <c r="H11396" s="13" t="s">
        <v>163</v>
      </c>
    </row>
    <row r="11397" spans="1:8" ht="14.4" x14ac:dyDescent="0.3">
      <c r="A11397" s="8">
        <v>2027791</v>
      </c>
      <c r="B11397" s="11">
        <v>44613</v>
      </c>
      <c r="C11397" s="13" t="s">
        <v>13893</v>
      </c>
      <c r="D11397" s="13" t="s">
        <v>13894</v>
      </c>
      <c r="E11397" s="8">
        <v>30000</v>
      </c>
      <c r="F11397" s="13" t="s">
        <v>70</v>
      </c>
      <c r="G11397" s="14">
        <v>44614</v>
      </c>
      <c r="H11397" s="13" t="s">
        <v>163</v>
      </c>
    </row>
    <row r="11398" spans="1:8" ht="14.4" x14ac:dyDescent="0.3">
      <c r="A11398" s="8">
        <v>2027792</v>
      </c>
      <c r="B11398" s="11">
        <v>44613</v>
      </c>
      <c r="C11398" s="13" t="s">
        <v>122</v>
      </c>
      <c r="D11398" s="13" t="s">
        <v>13895</v>
      </c>
      <c r="E11398" s="8">
        <v>12000</v>
      </c>
      <c r="F11398" s="13" t="s">
        <v>70</v>
      </c>
      <c r="G11398" s="14">
        <v>44616</v>
      </c>
      <c r="H11398" s="13" t="s">
        <v>163</v>
      </c>
    </row>
    <row r="11399" spans="1:8" ht="14.4" x14ac:dyDescent="0.3">
      <c r="A11399" s="8">
        <v>2027793</v>
      </c>
      <c r="B11399" s="11">
        <v>44613</v>
      </c>
      <c r="C11399" s="13" t="s">
        <v>7730</v>
      </c>
      <c r="D11399" s="13" t="s">
        <v>13896</v>
      </c>
      <c r="E11399" s="8">
        <v>30000</v>
      </c>
      <c r="F11399" s="13" t="s">
        <v>70</v>
      </c>
      <c r="G11399" s="14">
        <v>44616</v>
      </c>
      <c r="H11399" s="13" t="s">
        <v>163</v>
      </c>
    </row>
    <row r="11400" spans="1:8" ht="14.4" x14ac:dyDescent="0.3">
      <c r="A11400" s="8">
        <v>2027794</v>
      </c>
      <c r="B11400" s="11">
        <v>44613</v>
      </c>
      <c r="C11400" s="13" t="s">
        <v>13897</v>
      </c>
      <c r="D11400" s="13" t="s">
        <v>13898</v>
      </c>
      <c r="E11400" s="8">
        <v>6000</v>
      </c>
      <c r="F11400" s="13" t="s">
        <v>70</v>
      </c>
      <c r="G11400" s="14">
        <v>44615</v>
      </c>
      <c r="H11400" s="13" t="s">
        <v>163</v>
      </c>
    </row>
    <row r="11401" spans="1:8" ht="14.4" x14ac:dyDescent="0.3">
      <c r="A11401" s="8">
        <v>2027795</v>
      </c>
      <c r="B11401" s="11">
        <v>44613</v>
      </c>
      <c r="C11401" s="13" t="s">
        <v>8132</v>
      </c>
      <c r="D11401" s="13" t="s">
        <v>13899</v>
      </c>
      <c r="E11401" s="8">
        <v>20000</v>
      </c>
      <c r="F11401" s="13" t="s">
        <v>70</v>
      </c>
      <c r="G11401" s="14">
        <v>44615</v>
      </c>
      <c r="H11401" s="13" t="s">
        <v>163</v>
      </c>
    </row>
    <row r="11402" spans="1:8" ht="14.4" x14ac:dyDescent="0.3">
      <c r="A11402" s="8">
        <v>2027796</v>
      </c>
      <c r="B11402" s="11">
        <v>44613</v>
      </c>
      <c r="C11402" s="13" t="s">
        <v>7914</v>
      </c>
      <c r="D11402" s="13" t="s">
        <v>13900</v>
      </c>
      <c r="E11402" s="8">
        <v>14000</v>
      </c>
      <c r="F11402" s="13" t="s">
        <v>70</v>
      </c>
      <c r="G11402" s="14">
        <v>44615</v>
      </c>
      <c r="H11402" s="13" t="s">
        <v>163</v>
      </c>
    </row>
    <row r="11403" spans="1:8" ht="14.4" x14ac:dyDescent="0.3">
      <c r="A11403" s="8">
        <v>2027797</v>
      </c>
      <c r="B11403" s="11">
        <v>44613</v>
      </c>
      <c r="C11403" s="13" t="s">
        <v>13901</v>
      </c>
      <c r="D11403" s="13" t="s">
        <v>13902</v>
      </c>
      <c r="E11403" s="8">
        <v>8000</v>
      </c>
      <c r="F11403" s="13" t="s">
        <v>70</v>
      </c>
      <c r="G11403" s="14">
        <v>44616</v>
      </c>
      <c r="H11403" s="13" t="s">
        <v>163</v>
      </c>
    </row>
    <row r="11404" spans="1:8" ht="14.4" x14ac:dyDescent="0.3">
      <c r="A11404" s="8">
        <v>2027798</v>
      </c>
      <c r="B11404" s="11">
        <v>44613</v>
      </c>
      <c r="C11404" s="13" t="s">
        <v>13903</v>
      </c>
      <c r="D11404" s="13" t="s">
        <v>13904</v>
      </c>
      <c r="E11404" s="8">
        <v>5000</v>
      </c>
      <c r="F11404" s="13" t="s">
        <v>70</v>
      </c>
      <c r="G11404" s="14">
        <v>44615</v>
      </c>
      <c r="H11404" s="13" t="s">
        <v>163</v>
      </c>
    </row>
    <row r="11405" spans="1:8" ht="14.4" x14ac:dyDescent="0.3">
      <c r="A11405" s="8">
        <v>2027799</v>
      </c>
      <c r="B11405" s="11">
        <v>44613</v>
      </c>
      <c r="C11405" s="13" t="s">
        <v>13905</v>
      </c>
      <c r="D11405" s="13" t="s">
        <v>13906</v>
      </c>
      <c r="E11405" s="8">
        <v>5000</v>
      </c>
      <c r="F11405" s="13" t="s">
        <v>70</v>
      </c>
      <c r="G11405" s="14">
        <v>44615</v>
      </c>
      <c r="H11405" s="13" t="s">
        <v>163</v>
      </c>
    </row>
    <row r="11406" spans="1:8" ht="14.4" x14ac:dyDescent="0.3">
      <c r="A11406" s="8">
        <v>2027800</v>
      </c>
      <c r="B11406" s="11">
        <v>44613</v>
      </c>
      <c r="C11406" s="13" t="s">
        <v>13907</v>
      </c>
      <c r="D11406" s="13" t="s">
        <v>13908</v>
      </c>
      <c r="E11406" s="8">
        <v>6000</v>
      </c>
      <c r="F11406" s="13" t="s">
        <v>70</v>
      </c>
      <c r="G11406" s="14">
        <v>44615</v>
      </c>
      <c r="H11406" s="13" t="s">
        <v>163</v>
      </c>
    </row>
    <row r="11407" spans="1:8" ht="14.4" x14ac:dyDescent="0.3">
      <c r="A11407" s="8">
        <v>2027801</v>
      </c>
      <c r="B11407" s="11">
        <v>44613</v>
      </c>
      <c r="C11407" s="13" t="s">
        <v>13909</v>
      </c>
      <c r="D11407" s="13" t="s">
        <v>13910</v>
      </c>
      <c r="E11407" s="8">
        <v>5000</v>
      </c>
      <c r="F11407" s="13" t="s">
        <v>70</v>
      </c>
      <c r="G11407" s="14">
        <v>44614</v>
      </c>
      <c r="H11407" s="13" t="s">
        <v>163</v>
      </c>
    </row>
    <row r="11408" spans="1:8" ht="14.4" x14ac:dyDescent="0.3">
      <c r="A11408" s="8">
        <v>2027802</v>
      </c>
      <c r="B11408" s="11">
        <v>44613</v>
      </c>
      <c r="C11408" s="13" t="s">
        <v>13911</v>
      </c>
      <c r="D11408" s="13" t="s">
        <v>13912</v>
      </c>
      <c r="E11408" s="8">
        <v>5000</v>
      </c>
      <c r="F11408" s="13" t="s">
        <v>70</v>
      </c>
      <c r="G11408" s="14">
        <v>44616</v>
      </c>
      <c r="H11408" s="13" t="s">
        <v>163</v>
      </c>
    </row>
    <row r="11409" spans="1:8" ht="14.4" x14ac:dyDescent="0.3">
      <c r="A11409" s="8">
        <v>2027803</v>
      </c>
      <c r="B11409" s="11">
        <v>44613</v>
      </c>
      <c r="C11409" s="13" t="s">
        <v>13913</v>
      </c>
      <c r="D11409" s="13" t="s">
        <v>13914</v>
      </c>
      <c r="E11409" s="8">
        <v>12000</v>
      </c>
      <c r="F11409" s="13" t="s">
        <v>70</v>
      </c>
      <c r="G11409" s="14">
        <v>44616</v>
      </c>
      <c r="H11409" s="13" t="s">
        <v>163</v>
      </c>
    </row>
    <row r="11410" spans="1:8" ht="14.4" x14ac:dyDescent="0.3">
      <c r="A11410" s="8">
        <v>2027804</v>
      </c>
      <c r="B11410" s="11">
        <v>44613</v>
      </c>
      <c r="C11410" s="13" t="s">
        <v>13735</v>
      </c>
      <c r="D11410" s="13" t="s">
        <v>13915</v>
      </c>
      <c r="E11410" s="8">
        <v>4949683.2</v>
      </c>
      <c r="F11410" s="13" t="s">
        <v>70</v>
      </c>
      <c r="G11410" s="14">
        <v>44614</v>
      </c>
      <c r="H11410" s="13" t="s">
        <v>163</v>
      </c>
    </row>
    <row r="11411" spans="1:8" ht="14.4" x14ac:dyDescent="0.3">
      <c r="A11411" s="8">
        <v>2027805</v>
      </c>
      <c r="B11411" s="11">
        <v>44614</v>
      </c>
      <c r="C11411" s="13" t="s">
        <v>893</v>
      </c>
      <c r="D11411" s="13" t="s">
        <v>13916</v>
      </c>
      <c r="E11411" s="8">
        <v>88500</v>
      </c>
      <c r="F11411" s="13" t="s">
        <v>70</v>
      </c>
      <c r="G11411" s="14">
        <v>44624</v>
      </c>
      <c r="H11411" s="13" t="s">
        <v>163</v>
      </c>
    </row>
    <row r="11412" spans="1:8" ht="14.4" x14ac:dyDescent="0.3">
      <c r="A11412" s="8">
        <v>2027806</v>
      </c>
      <c r="B11412" s="11">
        <v>44614</v>
      </c>
      <c r="C11412" s="13" t="s">
        <v>669</v>
      </c>
      <c r="D11412" s="13" t="s">
        <v>13917</v>
      </c>
      <c r="E11412" s="8">
        <v>271470</v>
      </c>
      <c r="F11412" s="13" t="s">
        <v>70</v>
      </c>
      <c r="G11412" s="14">
        <v>44624</v>
      </c>
      <c r="H11412" s="13" t="s">
        <v>163</v>
      </c>
    </row>
    <row r="11413" spans="1:8" ht="14.4" x14ac:dyDescent="0.3">
      <c r="A11413" s="8">
        <v>2027807</v>
      </c>
      <c r="B11413" s="11">
        <v>44614</v>
      </c>
      <c r="C11413" s="13" t="s">
        <v>13918</v>
      </c>
      <c r="D11413" s="13" t="s">
        <v>13919</v>
      </c>
      <c r="E11413" s="8">
        <v>8000</v>
      </c>
      <c r="F11413" s="13" t="s">
        <v>70</v>
      </c>
      <c r="G11413" s="14">
        <v>44623</v>
      </c>
      <c r="H11413" s="13" t="s">
        <v>163</v>
      </c>
    </row>
    <row r="11414" spans="1:8" ht="14.4" x14ac:dyDescent="0.3">
      <c r="A11414" s="8">
        <v>2027808</v>
      </c>
      <c r="B11414" s="11">
        <v>44614</v>
      </c>
      <c r="C11414" s="13" t="s">
        <v>13752</v>
      </c>
      <c r="D11414" s="13" t="s">
        <v>13920</v>
      </c>
      <c r="E11414" s="8">
        <v>8000</v>
      </c>
      <c r="F11414" s="13" t="s">
        <v>70</v>
      </c>
      <c r="G11414" s="14">
        <v>44620</v>
      </c>
      <c r="H11414" s="13" t="s">
        <v>163</v>
      </c>
    </row>
    <row r="11415" spans="1:8" ht="14.4" x14ac:dyDescent="0.3">
      <c r="A11415" s="8">
        <v>2027809</v>
      </c>
      <c r="B11415" s="11">
        <v>44614</v>
      </c>
      <c r="C11415" s="13" t="s">
        <v>1193</v>
      </c>
      <c r="D11415" s="13" t="s">
        <v>13921</v>
      </c>
      <c r="E11415" s="8">
        <v>30000</v>
      </c>
      <c r="F11415" s="13" t="s">
        <v>70</v>
      </c>
      <c r="G11415" s="14">
        <v>44624</v>
      </c>
      <c r="H11415" s="13" t="s">
        <v>163</v>
      </c>
    </row>
    <row r="11416" spans="1:8" ht="14.4" x14ac:dyDescent="0.3">
      <c r="A11416" s="8">
        <v>2027810</v>
      </c>
      <c r="B11416" s="11">
        <v>44614</v>
      </c>
      <c r="C11416" s="13" t="s">
        <v>13922</v>
      </c>
      <c r="D11416" s="13" t="s">
        <v>13923</v>
      </c>
      <c r="E11416" s="8">
        <v>5000</v>
      </c>
      <c r="F11416" s="13" t="s">
        <v>70</v>
      </c>
      <c r="G11416" s="14">
        <v>44620</v>
      </c>
      <c r="H11416" s="13" t="s">
        <v>163</v>
      </c>
    </row>
    <row r="11417" spans="1:8" ht="14.4" x14ac:dyDescent="0.3">
      <c r="A11417" s="8">
        <v>2027811</v>
      </c>
      <c r="B11417" s="11">
        <v>44614</v>
      </c>
      <c r="C11417" s="13" t="s">
        <v>7822</v>
      </c>
      <c r="D11417" s="13" t="s">
        <v>13924</v>
      </c>
      <c r="E11417" s="8">
        <v>16000</v>
      </c>
      <c r="F11417" s="13" t="s">
        <v>70</v>
      </c>
      <c r="G11417" s="14">
        <v>44620</v>
      </c>
      <c r="H11417" s="13" t="s">
        <v>163</v>
      </c>
    </row>
    <row r="11418" spans="1:8" ht="14.4" x14ac:dyDescent="0.3">
      <c r="A11418" s="8">
        <v>2027812</v>
      </c>
      <c r="B11418" s="11">
        <v>44614</v>
      </c>
      <c r="C11418" s="13" t="s">
        <v>7766</v>
      </c>
      <c r="D11418" s="13" t="s">
        <v>13925</v>
      </c>
      <c r="E11418" s="8">
        <v>20000</v>
      </c>
      <c r="F11418" s="13" t="s">
        <v>70</v>
      </c>
      <c r="G11418" s="14">
        <v>44620</v>
      </c>
      <c r="H11418" s="13" t="s">
        <v>163</v>
      </c>
    </row>
    <row r="11419" spans="1:8" ht="14.4" x14ac:dyDescent="0.3">
      <c r="A11419" s="8">
        <v>2027814</v>
      </c>
      <c r="B11419" s="11">
        <v>44614</v>
      </c>
      <c r="C11419" s="13" t="s">
        <v>13926</v>
      </c>
      <c r="D11419" s="13" t="s">
        <v>13927</v>
      </c>
      <c r="E11419" s="8">
        <v>20000</v>
      </c>
      <c r="F11419" s="13" t="s">
        <v>70</v>
      </c>
      <c r="G11419" s="14">
        <v>44620</v>
      </c>
      <c r="H11419" s="13" t="s">
        <v>163</v>
      </c>
    </row>
    <row r="11420" spans="1:8" ht="14.4" x14ac:dyDescent="0.3">
      <c r="A11420" s="8">
        <v>2027815</v>
      </c>
      <c r="B11420" s="11">
        <v>44614</v>
      </c>
      <c r="C11420" s="13" t="s">
        <v>7758</v>
      </c>
      <c r="D11420" s="13" t="s">
        <v>13928</v>
      </c>
      <c r="E11420" s="8">
        <v>30000</v>
      </c>
      <c r="F11420" s="13" t="s">
        <v>70</v>
      </c>
      <c r="G11420" s="14">
        <v>44621</v>
      </c>
      <c r="H11420" s="13" t="s">
        <v>163</v>
      </c>
    </row>
    <row r="11421" spans="1:8" ht="14.4" x14ac:dyDescent="0.3">
      <c r="A11421" s="8">
        <v>2027816</v>
      </c>
      <c r="B11421" s="11">
        <v>44614</v>
      </c>
      <c r="C11421" s="13" t="s">
        <v>13929</v>
      </c>
      <c r="D11421" s="13" t="s">
        <v>13930</v>
      </c>
      <c r="E11421" s="8">
        <v>20000</v>
      </c>
      <c r="F11421" s="13" t="s">
        <v>70</v>
      </c>
      <c r="G11421" s="14">
        <v>44620</v>
      </c>
      <c r="H11421" s="13" t="s">
        <v>163</v>
      </c>
    </row>
    <row r="11422" spans="1:8" ht="14.4" x14ac:dyDescent="0.3">
      <c r="A11422" s="8">
        <v>2027817</v>
      </c>
      <c r="B11422" s="11">
        <v>44614</v>
      </c>
      <c r="C11422" s="13" t="s">
        <v>4631</v>
      </c>
      <c r="D11422" s="13" t="s">
        <v>13931</v>
      </c>
      <c r="E11422" s="8">
        <v>20000</v>
      </c>
      <c r="F11422" s="13" t="s">
        <v>70</v>
      </c>
      <c r="G11422" s="14">
        <v>44620</v>
      </c>
      <c r="H11422" s="13" t="s">
        <v>163</v>
      </c>
    </row>
    <row r="11423" spans="1:8" ht="14.4" x14ac:dyDescent="0.3">
      <c r="A11423" s="8">
        <v>2027818</v>
      </c>
      <c r="B11423" s="11">
        <v>44614</v>
      </c>
      <c r="C11423" s="13" t="s">
        <v>13932</v>
      </c>
      <c r="D11423" s="13" t="s">
        <v>13933</v>
      </c>
      <c r="E11423" s="8">
        <v>30000</v>
      </c>
      <c r="F11423" s="13" t="s">
        <v>70</v>
      </c>
      <c r="G11423" s="14">
        <v>44620</v>
      </c>
      <c r="H11423" s="13" t="s">
        <v>163</v>
      </c>
    </row>
    <row r="11424" spans="1:8" ht="14.4" x14ac:dyDescent="0.3">
      <c r="A11424" s="8">
        <v>2027819</v>
      </c>
      <c r="B11424" s="11">
        <v>44614</v>
      </c>
      <c r="C11424" s="13" t="s">
        <v>13934</v>
      </c>
      <c r="D11424" s="13" t="s">
        <v>13935</v>
      </c>
      <c r="E11424" s="8">
        <v>4000</v>
      </c>
      <c r="F11424" s="13" t="s">
        <v>70</v>
      </c>
      <c r="G11424" s="14">
        <v>44620</v>
      </c>
      <c r="H11424" s="13" t="s">
        <v>163</v>
      </c>
    </row>
    <row r="11425" spans="1:8" ht="14.4" x14ac:dyDescent="0.3">
      <c r="A11425" s="8">
        <v>2027820</v>
      </c>
      <c r="B11425" s="11">
        <v>44614</v>
      </c>
      <c r="C11425" s="13" t="s">
        <v>13936</v>
      </c>
      <c r="D11425" s="13" t="s">
        <v>13937</v>
      </c>
      <c r="E11425" s="8">
        <v>5000</v>
      </c>
      <c r="F11425" s="13" t="s">
        <v>70</v>
      </c>
      <c r="G11425" s="14">
        <v>44616</v>
      </c>
      <c r="H11425" s="13" t="s">
        <v>163</v>
      </c>
    </row>
    <row r="11426" spans="1:8" ht="14.4" x14ac:dyDescent="0.3">
      <c r="A11426" s="8">
        <v>2027821</v>
      </c>
      <c r="B11426" s="11">
        <v>44614</v>
      </c>
      <c r="C11426" s="13" t="s">
        <v>13938</v>
      </c>
      <c r="D11426" s="13" t="s">
        <v>13939</v>
      </c>
      <c r="E11426" s="8">
        <v>4000</v>
      </c>
      <c r="F11426" s="13" t="s">
        <v>70</v>
      </c>
      <c r="G11426" s="14">
        <v>44620</v>
      </c>
      <c r="H11426" s="13" t="s">
        <v>163</v>
      </c>
    </row>
    <row r="11427" spans="1:8" ht="14.4" x14ac:dyDescent="0.3">
      <c r="A11427" s="8">
        <v>2027822</v>
      </c>
      <c r="B11427" s="11">
        <v>44614</v>
      </c>
      <c r="C11427" s="13" t="s">
        <v>13940</v>
      </c>
      <c r="D11427" s="13" t="s">
        <v>13941</v>
      </c>
      <c r="E11427" s="8">
        <v>8000</v>
      </c>
      <c r="F11427" s="13" t="s">
        <v>70</v>
      </c>
      <c r="G11427" s="14">
        <v>44620</v>
      </c>
      <c r="H11427" s="13" t="s">
        <v>163</v>
      </c>
    </row>
    <row r="11428" spans="1:8" ht="14.4" x14ac:dyDescent="0.3">
      <c r="A11428" s="8">
        <v>2027823</v>
      </c>
      <c r="B11428" s="11">
        <v>44614</v>
      </c>
      <c r="C11428" s="13" t="s">
        <v>13942</v>
      </c>
      <c r="D11428" s="13" t="s">
        <v>13943</v>
      </c>
      <c r="E11428" s="8">
        <v>4000</v>
      </c>
      <c r="F11428" s="13" t="s">
        <v>70</v>
      </c>
      <c r="G11428" s="14">
        <v>44620</v>
      </c>
      <c r="H11428" s="13" t="s">
        <v>163</v>
      </c>
    </row>
    <row r="11429" spans="1:8" ht="14.4" x14ac:dyDescent="0.3">
      <c r="A11429" s="8">
        <v>2027824</v>
      </c>
      <c r="B11429" s="11">
        <v>44614</v>
      </c>
      <c r="C11429" s="13" t="s">
        <v>13944</v>
      </c>
      <c r="D11429" s="13" t="s">
        <v>13945</v>
      </c>
      <c r="E11429" s="8">
        <v>5000</v>
      </c>
      <c r="F11429" s="13" t="s">
        <v>70</v>
      </c>
      <c r="G11429" s="14">
        <v>44620</v>
      </c>
      <c r="H11429" s="13" t="s">
        <v>163</v>
      </c>
    </row>
    <row r="11430" spans="1:8" ht="14.4" x14ac:dyDescent="0.3">
      <c r="A11430" s="8">
        <v>2027825</v>
      </c>
      <c r="B11430" s="11">
        <v>44614</v>
      </c>
      <c r="C11430" s="13" t="s">
        <v>13946</v>
      </c>
      <c r="D11430" s="13" t="s">
        <v>13947</v>
      </c>
      <c r="E11430" s="8">
        <v>4000</v>
      </c>
      <c r="F11430" s="13" t="s">
        <v>70</v>
      </c>
      <c r="G11430" s="14">
        <v>44620</v>
      </c>
      <c r="H11430" s="13" t="s">
        <v>163</v>
      </c>
    </row>
    <row r="11431" spans="1:8" ht="14.4" x14ac:dyDescent="0.3">
      <c r="A11431" s="8">
        <v>2027826</v>
      </c>
      <c r="B11431" s="11">
        <v>44614</v>
      </c>
      <c r="C11431" s="13" t="s">
        <v>13948</v>
      </c>
      <c r="D11431" s="13" t="s">
        <v>13949</v>
      </c>
      <c r="E11431" s="8">
        <v>4000</v>
      </c>
      <c r="F11431" s="13" t="s">
        <v>70</v>
      </c>
      <c r="G11431" s="14">
        <v>44621</v>
      </c>
      <c r="H11431" s="13" t="s">
        <v>163</v>
      </c>
    </row>
    <row r="11432" spans="1:8" ht="14.4" x14ac:dyDescent="0.3">
      <c r="A11432" s="8">
        <v>2027827</v>
      </c>
      <c r="B11432" s="11">
        <v>44614</v>
      </c>
      <c r="C11432" s="13" t="s">
        <v>13950</v>
      </c>
      <c r="D11432" s="13" t="s">
        <v>13951</v>
      </c>
      <c r="E11432" s="8">
        <v>6000</v>
      </c>
      <c r="F11432" s="13" t="s">
        <v>70</v>
      </c>
      <c r="G11432" s="14">
        <v>44620</v>
      </c>
      <c r="H11432" s="13" t="s">
        <v>163</v>
      </c>
    </row>
    <row r="11433" spans="1:8" ht="14.4" x14ac:dyDescent="0.3">
      <c r="A11433" s="8">
        <v>2027828</v>
      </c>
      <c r="B11433" s="11">
        <v>44614</v>
      </c>
      <c r="C11433" s="13" t="s">
        <v>13952</v>
      </c>
      <c r="D11433" s="13" t="s">
        <v>13953</v>
      </c>
      <c r="E11433" s="8">
        <v>5000</v>
      </c>
      <c r="F11433" s="13" t="s">
        <v>70</v>
      </c>
      <c r="G11433" s="14">
        <v>44620</v>
      </c>
      <c r="H11433" s="13" t="s">
        <v>163</v>
      </c>
    </row>
    <row r="11434" spans="1:8" ht="14.4" x14ac:dyDescent="0.3">
      <c r="A11434" s="8">
        <v>2027829</v>
      </c>
      <c r="B11434" s="11">
        <v>44614</v>
      </c>
      <c r="C11434" s="13" t="s">
        <v>13954</v>
      </c>
      <c r="D11434" s="13" t="s">
        <v>13955</v>
      </c>
      <c r="E11434" s="8">
        <v>2000</v>
      </c>
      <c r="F11434" s="13" t="s">
        <v>70</v>
      </c>
      <c r="G11434" s="14">
        <v>44616</v>
      </c>
      <c r="H11434" s="13" t="s">
        <v>163</v>
      </c>
    </row>
    <row r="11435" spans="1:8" ht="14.4" x14ac:dyDescent="0.3">
      <c r="A11435" s="8">
        <v>2027830</v>
      </c>
      <c r="B11435" s="11">
        <v>44614</v>
      </c>
      <c r="C11435" s="13" t="s">
        <v>13956</v>
      </c>
      <c r="D11435" s="13" t="s">
        <v>13957</v>
      </c>
      <c r="E11435" s="8">
        <v>10000</v>
      </c>
      <c r="F11435" s="13" t="s">
        <v>70</v>
      </c>
      <c r="G11435" s="14">
        <v>44620</v>
      </c>
      <c r="H11435" s="13" t="s">
        <v>163</v>
      </c>
    </row>
    <row r="11436" spans="1:8" ht="14.4" x14ac:dyDescent="0.3">
      <c r="A11436" s="8">
        <v>2027831</v>
      </c>
      <c r="B11436" s="11">
        <v>44614</v>
      </c>
      <c r="C11436" s="13" t="s">
        <v>13958</v>
      </c>
      <c r="D11436" s="13" t="s">
        <v>13959</v>
      </c>
      <c r="E11436" s="8">
        <v>6000</v>
      </c>
      <c r="F11436" s="13" t="s">
        <v>70</v>
      </c>
      <c r="G11436" s="14">
        <v>44620</v>
      </c>
      <c r="H11436" s="13" t="s">
        <v>163</v>
      </c>
    </row>
    <row r="11437" spans="1:8" ht="14.4" x14ac:dyDescent="0.3">
      <c r="A11437" s="8">
        <v>2027832</v>
      </c>
      <c r="B11437" s="11">
        <v>44614</v>
      </c>
      <c r="C11437" s="13" t="s">
        <v>13960</v>
      </c>
      <c r="D11437" s="13" t="s">
        <v>13961</v>
      </c>
      <c r="E11437" s="8">
        <v>4000</v>
      </c>
      <c r="F11437" s="13" t="s">
        <v>70</v>
      </c>
      <c r="G11437" s="14">
        <v>44616</v>
      </c>
      <c r="H11437" s="13" t="s">
        <v>163</v>
      </c>
    </row>
    <row r="11438" spans="1:8" ht="14.4" x14ac:dyDescent="0.3">
      <c r="A11438" s="8">
        <v>2027833</v>
      </c>
      <c r="B11438" s="11">
        <v>44614</v>
      </c>
      <c r="C11438" s="13" t="s">
        <v>13962</v>
      </c>
      <c r="D11438" s="13" t="s">
        <v>13963</v>
      </c>
      <c r="E11438" s="8">
        <v>10000</v>
      </c>
      <c r="F11438" s="13" t="s">
        <v>70</v>
      </c>
      <c r="G11438" s="14">
        <v>44620</v>
      </c>
      <c r="H11438" s="13" t="s">
        <v>163</v>
      </c>
    </row>
    <row r="11439" spans="1:8" ht="14.4" x14ac:dyDescent="0.3">
      <c r="A11439" s="8">
        <v>2027834</v>
      </c>
      <c r="B11439" s="11">
        <v>44614</v>
      </c>
      <c r="C11439" s="13" t="s">
        <v>13964</v>
      </c>
      <c r="D11439" s="13" t="s">
        <v>13965</v>
      </c>
      <c r="E11439" s="8">
        <v>30000</v>
      </c>
      <c r="F11439" s="13" t="s">
        <v>70</v>
      </c>
      <c r="G11439" s="14">
        <v>44620</v>
      </c>
      <c r="H11439" s="13" t="s">
        <v>163</v>
      </c>
    </row>
    <row r="11440" spans="1:8" ht="14.4" x14ac:dyDescent="0.3">
      <c r="A11440" s="8">
        <v>2027835</v>
      </c>
      <c r="B11440" s="11">
        <v>44614</v>
      </c>
      <c r="C11440" s="13" t="s">
        <v>7923</v>
      </c>
      <c r="D11440" s="13" t="s">
        <v>13966</v>
      </c>
      <c r="E11440" s="8">
        <v>20000</v>
      </c>
      <c r="F11440" s="13" t="s">
        <v>70</v>
      </c>
      <c r="G11440" s="14">
        <v>44620</v>
      </c>
      <c r="H11440" s="13" t="s">
        <v>163</v>
      </c>
    </row>
    <row r="11441" spans="1:8" ht="14.4" x14ac:dyDescent="0.3">
      <c r="A11441" s="8">
        <v>2027836</v>
      </c>
      <c r="B11441" s="11">
        <v>44614</v>
      </c>
      <c r="C11441" s="13" t="s">
        <v>13967</v>
      </c>
      <c r="D11441" s="13" t="s">
        <v>13968</v>
      </c>
      <c r="E11441" s="8">
        <v>20000</v>
      </c>
      <c r="F11441" s="13" t="s">
        <v>70</v>
      </c>
      <c r="G11441" s="14">
        <v>44620</v>
      </c>
      <c r="H11441" s="13" t="s">
        <v>163</v>
      </c>
    </row>
    <row r="11442" spans="1:8" ht="14.4" x14ac:dyDescent="0.3">
      <c r="A11442" s="8">
        <v>2027837</v>
      </c>
      <c r="B11442" s="11">
        <v>44614</v>
      </c>
      <c r="C11442" s="13" t="s">
        <v>13969</v>
      </c>
      <c r="D11442" s="13" t="s">
        <v>13970</v>
      </c>
      <c r="E11442" s="8">
        <v>16000</v>
      </c>
      <c r="F11442" s="13" t="s">
        <v>70</v>
      </c>
      <c r="G11442" s="14">
        <v>44620</v>
      </c>
      <c r="H11442" s="13" t="s">
        <v>163</v>
      </c>
    </row>
    <row r="11443" spans="1:8" ht="14.4" x14ac:dyDescent="0.3">
      <c r="A11443" s="8">
        <v>2027838</v>
      </c>
      <c r="B11443" s="11">
        <v>44614</v>
      </c>
      <c r="C11443" s="13" t="s">
        <v>7882</v>
      </c>
      <c r="D11443" s="13" t="s">
        <v>13971</v>
      </c>
      <c r="E11443" s="8">
        <v>50000</v>
      </c>
      <c r="F11443" s="13" t="s">
        <v>70</v>
      </c>
      <c r="G11443" s="14">
        <v>44620</v>
      </c>
      <c r="H11443" s="13" t="s">
        <v>163</v>
      </c>
    </row>
    <row r="11444" spans="1:8" ht="14.4" x14ac:dyDescent="0.3">
      <c r="A11444" s="8">
        <v>2027839</v>
      </c>
      <c r="B11444" s="11">
        <v>44614</v>
      </c>
      <c r="C11444" s="13" t="s">
        <v>13972</v>
      </c>
      <c r="D11444" s="13" t="s">
        <v>13973</v>
      </c>
      <c r="E11444" s="8">
        <v>10000</v>
      </c>
      <c r="F11444" s="13" t="s">
        <v>70</v>
      </c>
      <c r="G11444" s="14">
        <v>44620</v>
      </c>
      <c r="H11444" s="13" t="s">
        <v>163</v>
      </c>
    </row>
    <row r="11445" spans="1:8" ht="14.4" x14ac:dyDescent="0.3">
      <c r="A11445" s="8">
        <v>2027840</v>
      </c>
      <c r="B11445" s="11">
        <v>44614</v>
      </c>
      <c r="C11445" s="13" t="s">
        <v>2080</v>
      </c>
      <c r="D11445" s="13" t="s">
        <v>13974</v>
      </c>
      <c r="E11445" s="8">
        <v>275789.28000000003</v>
      </c>
      <c r="F11445" s="13" t="s">
        <v>70</v>
      </c>
      <c r="G11445" s="14">
        <v>44620</v>
      </c>
      <c r="H11445" s="13" t="s">
        <v>163</v>
      </c>
    </row>
    <row r="11446" spans="1:8" ht="14.4" x14ac:dyDescent="0.3">
      <c r="A11446" s="8">
        <v>2027841</v>
      </c>
      <c r="B11446" s="11">
        <v>44614</v>
      </c>
      <c r="C11446" s="13" t="s">
        <v>13975</v>
      </c>
      <c r="D11446" s="13" t="s">
        <v>13976</v>
      </c>
      <c r="E11446" s="8">
        <v>5000</v>
      </c>
      <c r="F11446" s="13" t="s">
        <v>70</v>
      </c>
      <c r="G11446" s="14">
        <v>44620</v>
      </c>
      <c r="H11446" s="13" t="s">
        <v>163</v>
      </c>
    </row>
    <row r="11447" spans="1:8" ht="14.4" x14ac:dyDescent="0.3">
      <c r="A11447" s="8">
        <v>2027842</v>
      </c>
      <c r="B11447" s="11">
        <v>44614</v>
      </c>
      <c r="C11447" s="13" t="s">
        <v>13977</v>
      </c>
      <c r="D11447" s="13" t="s">
        <v>13978</v>
      </c>
      <c r="E11447" s="8">
        <v>12000</v>
      </c>
      <c r="F11447" s="13" t="s">
        <v>70</v>
      </c>
      <c r="G11447" s="14">
        <v>44620</v>
      </c>
      <c r="H11447" s="13" t="s">
        <v>163</v>
      </c>
    </row>
    <row r="11448" spans="1:8" ht="14.4" x14ac:dyDescent="0.3">
      <c r="A11448" s="8">
        <v>2027843</v>
      </c>
      <c r="B11448" s="11">
        <v>44614</v>
      </c>
      <c r="C11448" s="13" t="s">
        <v>13979</v>
      </c>
      <c r="D11448" s="13" t="s">
        <v>13980</v>
      </c>
      <c r="E11448" s="8">
        <v>20000</v>
      </c>
      <c r="F11448" s="13" t="s">
        <v>70</v>
      </c>
      <c r="G11448" s="14">
        <v>44615</v>
      </c>
      <c r="H11448" s="13" t="s">
        <v>163</v>
      </c>
    </row>
    <row r="11449" spans="1:8" ht="14.4" x14ac:dyDescent="0.3">
      <c r="A11449" s="8">
        <v>2027844</v>
      </c>
      <c r="B11449" s="11">
        <v>44614</v>
      </c>
      <c r="C11449" s="13" t="s">
        <v>13981</v>
      </c>
      <c r="D11449" s="13" t="s">
        <v>13982</v>
      </c>
      <c r="E11449" s="8">
        <v>8000</v>
      </c>
      <c r="F11449" s="13" t="s">
        <v>70</v>
      </c>
      <c r="G11449" s="14">
        <v>44620</v>
      </c>
      <c r="H11449" s="13" t="s">
        <v>163</v>
      </c>
    </row>
    <row r="11450" spans="1:8" ht="14.4" x14ac:dyDescent="0.3">
      <c r="A11450" s="8">
        <v>2027845</v>
      </c>
      <c r="B11450" s="11">
        <v>44614</v>
      </c>
      <c r="C11450" s="13" t="s">
        <v>13983</v>
      </c>
      <c r="D11450" s="13" t="s">
        <v>13984</v>
      </c>
      <c r="E11450" s="8">
        <v>10000</v>
      </c>
      <c r="F11450" s="13" t="s">
        <v>70</v>
      </c>
      <c r="G11450" s="14">
        <v>44616</v>
      </c>
      <c r="H11450" s="13" t="s">
        <v>163</v>
      </c>
    </row>
    <row r="11451" spans="1:8" ht="14.4" x14ac:dyDescent="0.3">
      <c r="A11451" s="8">
        <v>2027846</v>
      </c>
      <c r="B11451" s="11">
        <v>44614</v>
      </c>
      <c r="C11451" s="13" t="s">
        <v>13985</v>
      </c>
      <c r="D11451" s="13" t="s">
        <v>13986</v>
      </c>
      <c r="E11451" s="8">
        <v>20000</v>
      </c>
      <c r="F11451" s="13" t="s">
        <v>70</v>
      </c>
      <c r="G11451" s="14">
        <v>44620</v>
      </c>
      <c r="H11451" s="13" t="s">
        <v>163</v>
      </c>
    </row>
    <row r="11452" spans="1:8" ht="14.4" x14ac:dyDescent="0.3">
      <c r="A11452" s="8">
        <v>2027847</v>
      </c>
      <c r="B11452" s="11">
        <v>44614</v>
      </c>
      <c r="C11452" s="13" t="s">
        <v>13987</v>
      </c>
      <c r="D11452" s="13" t="s">
        <v>13988</v>
      </c>
      <c r="E11452" s="8">
        <v>5000</v>
      </c>
      <c r="F11452" s="13" t="s">
        <v>70</v>
      </c>
      <c r="G11452" s="14">
        <v>44620</v>
      </c>
      <c r="H11452" s="13" t="s">
        <v>163</v>
      </c>
    </row>
    <row r="11453" spans="1:8" ht="14.4" x14ac:dyDescent="0.3">
      <c r="A11453" s="8">
        <v>2027848</v>
      </c>
      <c r="B11453" s="11">
        <v>44615</v>
      </c>
      <c r="C11453" s="13" t="s">
        <v>13989</v>
      </c>
      <c r="D11453" s="13" t="s">
        <v>13990</v>
      </c>
      <c r="E11453" s="8">
        <v>8000</v>
      </c>
      <c r="F11453" s="13" t="s">
        <v>70</v>
      </c>
      <c r="G11453" s="14">
        <v>44620</v>
      </c>
      <c r="H11453" s="13" t="s">
        <v>163</v>
      </c>
    </row>
    <row r="11454" spans="1:8" ht="14.4" x14ac:dyDescent="0.3">
      <c r="A11454" s="8">
        <v>2027849</v>
      </c>
      <c r="B11454" s="11">
        <v>44615</v>
      </c>
      <c r="C11454" s="13" t="s">
        <v>13991</v>
      </c>
      <c r="D11454" s="13" t="s">
        <v>13992</v>
      </c>
      <c r="E11454" s="8">
        <v>10000</v>
      </c>
      <c r="F11454" s="13" t="s">
        <v>70</v>
      </c>
      <c r="G11454" s="14">
        <v>44616</v>
      </c>
      <c r="H11454" s="13" t="s">
        <v>163</v>
      </c>
    </row>
    <row r="11455" spans="1:8" ht="14.4" x14ac:dyDescent="0.3">
      <c r="A11455" s="8">
        <v>2027850</v>
      </c>
      <c r="B11455" s="11">
        <v>44615</v>
      </c>
      <c r="C11455" s="13" t="s">
        <v>13993</v>
      </c>
      <c r="D11455" s="13" t="s">
        <v>13994</v>
      </c>
      <c r="E11455" s="8">
        <v>6000</v>
      </c>
      <c r="F11455" s="13" t="s">
        <v>70</v>
      </c>
      <c r="G11455" s="14">
        <v>44623</v>
      </c>
      <c r="H11455" s="13" t="s">
        <v>163</v>
      </c>
    </row>
    <row r="11456" spans="1:8" ht="14.4" x14ac:dyDescent="0.3">
      <c r="A11456" s="8">
        <v>2027851</v>
      </c>
      <c r="B11456" s="11">
        <v>44615</v>
      </c>
      <c r="C11456" s="13" t="s">
        <v>13995</v>
      </c>
      <c r="D11456" s="13" t="s">
        <v>13996</v>
      </c>
      <c r="E11456" s="8">
        <v>6000</v>
      </c>
      <c r="F11456" s="13" t="s">
        <v>70</v>
      </c>
      <c r="G11456" s="14">
        <v>44620</v>
      </c>
      <c r="H11456" s="13" t="s">
        <v>163</v>
      </c>
    </row>
    <row r="11457" spans="1:8" ht="14.4" x14ac:dyDescent="0.3">
      <c r="A11457" s="8">
        <v>2027852</v>
      </c>
      <c r="B11457" s="11">
        <v>44615</v>
      </c>
      <c r="C11457" s="13" t="s">
        <v>2924</v>
      </c>
      <c r="D11457" s="13" t="s">
        <v>13997</v>
      </c>
      <c r="E11457" s="8">
        <v>2000</v>
      </c>
      <c r="F11457" s="13" t="s">
        <v>70</v>
      </c>
      <c r="G11457" s="14">
        <v>44621</v>
      </c>
      <c r="H11457" s="13" t="s">
        <v>163</v>
      </c>
    </row>
    <row r="11458" spans="1:8" ht="14.4" x14ac:dyDescent="0.3">
      <c r="A11458" s="8">
        <v>2027853</v>
      </c>
      <c r="B11458" s="11">
        <v>44615</v>
      </c>
      <c r="C11458" s="13" t="s">
        <v>13998</v>
      </c>
      <c r="D11458" s="13" t="s">
        <v>13999</v>
      </c>
      <c r="E11458" s="8">
        <v>4000</v>
      </c>
      <c r="F11458" s="13" t="s">
        <v>70</v>
      </c>
      <c r="G11458" s="14">
        <v>44621</v>
      </c>
      <c r="H11458" s="13" t="s">
        <v>163</v>
      </c>
    </row>
    <row r="11459" spans="1:8" ht="14.4" x14ac:dyDescent="0.3">
      <c r="A11459" s="8">
        <v>2027854</v>
      </c>
      <c r="B11459" s="11">
        <v>44615</v>
      </c>
      <c r="C11459" s="13" t="s">
        <v>14000</v>
      </c>
      <c r="D11459" s="13" t="s">
        <v>14001</v>
      </c>
      <c r="E11459" s="8">
        <v>14000</v>
      </c>
      <c r="F11459" s="13" t="s">
        <v>70</v>
      </c>
      <c r="G11459" s="14">
        <v>44621</v>
      </c>
      <c r="H11459" s="13" t="s">
        <v>163</v>
      </c>
    </row>
    <row r="11460" spans="1:8" ht="14.4" x14ac:dyDescent="0.3">
      <c r="A11460" s="8">
        <v>2027855</v>
      </c>
      <c r="B11460" s="11">
        <v>44615</v>
      </c>
      <c r="C11460" s="13" t="s">
        <v>14002</v>
      </c>
      <c r="D11460" s="13" t="s">
        <v>14003</v>
      </c>
      <c r="E11460" s="8">
        <v>4000</v>
      </c>
      <c r="F11460" s="13" t="s">
        <v>70</v>
      </c>
      <c r="G11460" s="14">
        <v>44620</v>
      </c>
      <c r="H11460" s="13" t="s">
        <v>163</v>
      </c>
    </row>
    <row r="11461" spans="1:8" ht="14.4" x14ac:dyDescent="0.3">
      <c r="A11461" s="8">
        <v>2027856</v>
      </c>
      <c r="B11461" s="11">
        <v>44615</v>
      </c>
      <c r="C11461" s="13" t="s">
        <v>14004</v>
      </c>
      <c r="D11461" s="13" t="s">
        <v>14005</v>
      </c>
      <c r="E11461" s="8">
        <v>2000</v>
      </c>
      <c r="F11461" s="13" t="s">
        <v>70</v>
      </c>
      <c r="G11461" s="14">
        <v>44620</v>
      </c>
      <c r="H11461" s="13" t="s">
        <v>163</v>
      </c>
    </row>
    <row r="11462" spans="1:8" ht="14.4" x14ac:dyDescent="0.3">
      <c r="A11462" s="8">
        <v>2027857</v>
      </c>
      <c r="B11462" s="11">
        <v>44615</v>
      </c>
      <c r="C11462" s="13" t="s">
        <v>11691</v>
      </c>
      <c r="D11462" s="13" t="s">
        <v>14006</v>
      </c>
      <c r="E11462" s="8">
        <v>8000</v>
      </c>
      <c r="F11462" s="13" t="s">
        <v>70</v>
      </c>
      <c r="G11462" s="14">
        <v>44621</v>
      </c>
      <c r="H11462" s="13" t="s">
        <v>163</v>
      </c>
    </row>
    <row r="11463" spans="1:8" ht="14.4" x14ac:dyDescent="0.3">
      <c r="A11463" s="8">
        <v>2027858</v>
      </c>
      <c r="B11463" s="11">
        <v>44615</v>
      </c>
      <c r="C11463" s="13" t="s">
        <v>14007</v>
      </c>
      <c r="D11463" s="13" t="s">
        <v>14008</v>
      </c>
      <c r="E11463" s="8">
        <v>20000</v>
      </c>
      <c r="F11463" s="13" t="s">
        <v>70</v>
      </c>
      <c r="G11463" s="14">
        <v>44620</v>
      </c>
      <c r="H11463" s="13" t="s">
        <v>163</v>
      </c>
    </row>
    <row r="11464" spans="1:8" ht="14.4" x14ac:dyDescent="0.3">
      <c r="A11464" s="8">
        <v>2027859</v>
      </c>
      <c r="B11464" s="11">
        <v>44615</v>
      </c>
      <c r="C11464" s="13" t="s">
        <v>14009</v>
      </c>
      <c r="D11464" s="13" t="s">
        <v>14010</v>
      </c>
      <c r="E11464" s="8">
        <v>2000</v>
      </c>
      <c r="F11464" s="13" t="s">
        <v>70</v>
      </c>
      <c r="G11464" s="14">
        <v>44621</v>
      </c>
      <c r="H11464" s="13" t="s">
        <v>163</v>
      </c>
    </row>
    <row r="11465" spans="1:8" ht="14.4" x14ac:dyDescent="0.3">
      <c r="A11465" s="8">
        <v>2027860</v>
      </c>
      <c r="B11465" s="11">
        <v>44615</v>
      </c>
      <c r="C11465" s="13" t="s">
        <v>14011</v>
      </c>
      <c r="D11465" s="13" t="s">
        <v>14012</v>
      </c>
      <c r="E11465" s="8">
        <v>2000</v>
      </c>
      <c r="F11465" s="13" t="s">
        <v>70</v>
      </c>
      <c r="G11465" s="14">
        <v>44622</v>
      </c>
      <c r="H11465" s="13" t="s">
        <v>163</v>
      </c>
    </row>
    <row r="11466" spans="1:8" ht="14.4" x14ac:dyDescent="0.3">
      <c r="A11466" s="8">
        <v>2027861</v>
      </c>
      <c r="B11466" s="11">
        <v>44615</v>
      </c>
      <c r="C11466" s="13" t="s">
        <v>8319</v>
      </c>
      <c r="D11466" s="13" t="s">
        <v>14013</v>
      </c>
      <c r="E11466" s="8">
        <v>20000</v>
      </c>
      <c r="F11466" s="13" t="s">
        <v>70</v>
      </c>
      <c r="G11466" s="14">
        <v>44621</v>
      </c>
      <c r="H11466" s="13" t="s">
        <v>163</v>
      </c>
    </row>
    <row r="11467" spans="1:8" ht="14.4" x14ac:dyDescent="0.3">
      <c r="A11467" s="8">
        <v>2027862</v>
      </c>
      <c r="B11467" s="11">
        <v>44615</v>
      </c>
      <c r="C11467" s="13" t="s">
        <v>14014</v>
      </c>
      <c r="D11467" s="13" t="s">
        <v>14015</v>
      </c>
      <c r="E11467" s="8">
        <v>40000</v>
      </c>
      <c r="F11467" s="13" t="s">
        <v>70</v>
      </c>
      <c r="G11467" s="14">
        <v>44622</v>
      </c>
      <c r="H11467" s="13" t="s">
        <v>163</v>
      </c>
    </row>
    <row r="11468" spans="1:8" ht="14.4" x14ac:dyDescent="0.3">
      <c r="A11468" s="8">
        <v>2027863</v>
      </c>
      <c r="B11468" s="11">
        <v>44615</v>
      </c>
      <c r="C11468" s="13" t="s">
        <v>14016</v>
      </c>
      <c r="D11468" s="13" t="s">
        <v>14017</v>
      </c>
      <c r="E11468" s="8">
        <v>14000</v>
      </c>
      <c r="F11468" s="13" t="s">
        <v>70</v>
      </c>
      <c r="G11468" s="14">
        <v>44620</v>
      </c>
      <c r="H11468" s="13" t="s">
        <v>163</v>
      </c>
    </row>
    <row r="11469" spans="1:8" ht="14.4" x14ac:dyDescent="0.3">
      <c r="A11469" s="8">
        <v>2027864</v>
      </c>
      <c r="B11469" s="11">
        <v>44615</v>
      </c>
      <c r="C11469" s="13" t="s">
        <v>14018</v>
      </c>
      <c r="D11469" s="13" t="s">
        <v>14019</v>
      </c>
      <c r="E11469" s="8">
        <v>10000</v>
      </c>
      <c r="F11469" s="13" t="s">
        <v>70</v>
      </c>
      <c r="G11469" s="14">
        <v>44624</v>
      </c>
      <c r="H11469" s="13" t="s">
        <v>163</v>
      </c>
    </row>
    <row r="11470" spans="1:8" ht="14.4" x14ac:dyDescent="0.3">
      <c r="A11470" s="8">
        <v>2027865</v>
      </c>
      <c r="B11470" s="11">
        <v>44615</v>
      </c>
      <c r="C11470" s="13" t="s">
        <v>14020</v>
      </c>
      <c r="D11470" s="13" t="s">
        <v>14021</v>
      </c>
      <c r="E11470" s="8">
        <v>2000</v>
      </c>
      <c r="F11470" s="13" t="s">
        <v>70</v>
      </c>
      <c r="G11470" s="14">
        <v>44622</v>
      </c>
      <c r="H11470" s="13" t="s">
        <v>163</v>
      </c>
    </row>
    <row r="11471" spans="1:8" ht="14.4" x14ac:dyDescent="0.3">
      <c r="A11471" s="8">
        <v>2027866</v>
      </c>
      <c r="B11471" s="11">
        <v>44615</v>
      </c>
      <c r="C11471" s="13" t="s">
        <v>14022</v>
      </c>
      <c r="D11471" s="13" t="s">
        <v>14023</v>
      </c>
      <c r="E11471" s="8">
        <v>8000</v>
      </c>
      <c r="F11471" s="13" t="s">
        <v>70</v>
      </c>
      <c r="G11471" s="14">
        <v>44620</v>
      </c>
      <c r="H11471" s="13" t="s">
        <v>163</v>
      </c>
    </row>
    <row r="11472" spans="1:8" ht="14.4" x14ac:dyDescent="0.3">
      <c r="A11472" s="8">
        <v>2027867</v>
      </c>
      <c r="B11472" s="11">
        <v>44615</v>
      </c>
      <c r="C11472" s="13" t="s">
        <v>14024</v>
      </c>
      <c r="D11472" s="13" t="s">
        <v>14025</v>
      </c>
      <c r="E11472" s="8">
        <v>4000</v>
      </c>
      <c r="F11472" s="13" t="s">
        <v>70</v>
      </c>
      <c r="G11472" s="14">
        <v>44622</v>
      </c>
      <c r="H11472" s="13" t="s">
        <v>163</v>
      </c>
    </row>
    <row r="11473" spans="1:8" ht="14.4" x14ac:dyDescent="0.3">
      <c r="A11473" s="8">
        <v>2027868</v>
      </c>
      <c r="B11473" s="11">
        <v>44615</v>
      </c>
      <c r="C11473" s="13" t="s">
        <v>14026</v>
      </c>
      <c r="D11473" s="13" t="s">
        <v>14027</v>
      </c>
      <c r="E11473" s="8">
        <v>2000</v>
      </c>
      <c r="F11473" s="13" t="s">
        <v>70</v>
      </c>
      <c r="G11473" s="14">
        <v>44616</v>
      </c>
      <c r="H11473" s="13" t="s">
        <v>163</v>
      </c>
    </row>
    <row r="11474" spans="1:8" ht="14.4" x14ac:dyDescent="0.3">
      <c r="A11474" s="8">
        <v>2027869</v>
      </c>
      <c r="B11474" s="11">
        <v>44615</v>
      </c>
      <c r="C11474" s="13" t="s">
        <v>14028</v>
      </c>
      <c r="D11474" s="13" t="s">
        <v>14029</v>
      </c>
      <c r="E11474" s="8">
        <v>8000</v>
      </c>
      <c r="F11474" s="13" t="s">
        <v>70</v>
      </c>
      <c r="G11474" s="14">
        <v>44620</v>
      </c>
      <c r="H11474" s="13" t="s">
        <v>163</v>
      </c>
    </row>
    <row r="11475" spans="1:8" ht="14.4" x14ac:dyDescent="0.3">
      <c r="A11475" s="8">
        <v>2027870</v>
      </c>
      <c r="B11475" s="11">
        <v>44615</v>
      </c>
      <c r="C11475" s="13" t="s">
        <v>14030</v>
      </c>
      <c r="D11475" s="13" t="s">
        <v>14031</v>
      </c>
      <c r="E11475" s="8">
        <v>2000</v>
      </c>
      <c r="F11475" s="13" t="s">
        <v>70</v>
      </c>
      <c r="G11475" s="14">
        <v>44623</v>
      </c>
      <c r="H11475" s="13" t="s">
        <v>163</v>
      </c>
    </row>
    <row r="11476" spans="1:8" ht="14.4" x14ac:dyDescent="0.3">
      <c r="A11476" s="8">
        <v>2027871</v>
      </c>
      <c r="B11476" s="11">
        <v>44615</v>
      </c>
      <c r="C11476" s="13" t="s">
        <v>14032</v>
      </c>
      <c r="D11476" s="13" t="s">
        <v>14033</v>
      </c>
      <c r="E11476" s="8">
        <v>2000</v>
      </c>
      <c r="F11476" s="13" t="s">
        <v>70</v>
      </c>
      <c r="G11476" s="14">
        <v>44621</v>
      </c>
      <c r="H11476" s="13" t="s">
        <v>163</v>
      </c>
    </row>
    <row r="11477" spans="1:8" ht="14.4" x14ac:dyDescent="0.3">
      <c r="A11477" s="8">
        <v>2027872</v>
      </c>
      <c r="B11477" s="11">
        <v>44615</v>
      </c>
      <c r="C11477" s="13" t="s">
        <v>14034</v>
      </c>
      <c r="D11477" s="13" t="s">
        <v>14035</v>
      </c>
      <c r="E11477" s="8">
        <v>6000</v>
      </c>
      <c r="F11477" s="13" t="s">
        <v>70</v>
      </c>
      <c r="G11477" s="14">
        <v>44620</v>
      </c>
      <c r="H11477" s="13" t="s">
        <v>163</v>
      </c>
    </row>
    <row r="11478" spans="1:8" ht="14.4" x14ac:dyDescent="0.3">
      <c r="A11478" s="8">
        <v>2027873</v>
      </c>
      <c r="B11478" s="11">
        <v>44615</v>
      </c>
      <c r="C11478" s="13" t="s">
        <v>14036</v>
      </c>
      <c r="D11478" s="13" t="s">
        <v>14037</v>
      </c>
      <c r="E11478" s="8">
        <v>6000</v>
      </c>
      <c r="F11478" s="13" t="s">
        <v>70</v>
      </c>
      <c r="G11478" s="14">
        <v>44620</v>
      </c>
      <c r="H11478" s="13" t="s">
        <v>163</v>
      </c>
    </row>
    <row r="11479" spans="1:8" ht="14.4" x14ac:dyDescent="0.3">
      <c r="A11479" s="8">
        <v>2027874</v>
      </c>
      <c r="B11479" s="11">
        <v>44615</v>
      </c>
      <c r="C11479" s="13" t="s">
        <v>7728</v>
      </c>
      <c r="D11479" s="13" t="s">
        <v>14038</v>
      </c>
      <c r="E11479" s="8">
        <v>8000</v>
      </c>
      <c r="F11479" s="13" t="s">
        <v>70</v>
      </c>
      <c r="G11479" s="14">
        <v>44620</v>
      </c>
      <c r="H11479" s="13" t="s">
        <v>163</v>
      </c>
    </row>
    <row r="11480" spans="1:8" ht="14.4" x14ac:dyDescent="0.3">
      <c r="A11480" s="8">
        <v>2027875</v>
      </c>
      <c r="B11480" s="11">
        <v>44615</v>
      </c>
      <c r="C11480" s="13" t="s">
        <v>14039</v>
      </c>
      <c r="D11480" s="13" t="s">
        <v>14040</v>
      </c>
      <c r="E11480" s="8">
        <v>6000</v>
      </c>
      <c r="F11480" s="13" t="s">
        <v>70</v>
      </c>
      <c r="G11480" s="14">
        <v>44628</v>
      </c>
      <c r="H11480" s="13" t="s">
        <v>163</v>
      </c>
    </row>
    <row r="11481" spans="1:8" ht="14.4" x14ac:dyDescent="0.3">
      <c r="A11481" s="8">
        <v>2027876</v>
      </c>
      <c r="B11481" s="11">
        <v>44615</v>
      </c>
      <c r="C11481" s="13" t="s">
        <v>14041</v>
      </c>
      <c r="D11481" s="13" t="s">
        <v>14042</v>
      </c>
      <c r="E11481" s="8">
        <v>4000</v>
      </c>
      <c r="F11481" s="13" t="s">
        <v>70</v>
      </c>
      <c r="G11481" s="14">
        <v>44620</v>
      </c>
      <c r="H11481" s="13" t="s">
        <v>163</v>
      </c>
    </row>
    <row r="11482" spans="1:8" ht="14.4" x14ac:dyDescent="0.3">
      <c r="A11482" s="8">
        <v>2027877</v>
      </c>
      <c r="B11482" s="11">
        <v>44615</v>
      </c>
      <c r="C11482" s="13" t="s">
        <v>14043</v>
      </c>
      <c r="D11482" s="13" t="s">
        <v>14044</v>
      </c>
      <c r="E11482" s="8">
        <v>4000</v>
      </c>
      <c r="F11482" s="13" t="s">
        <v>70</v>
      </c>
      <c r="G11482" s="14">
        <v>44620</v>
      </c>
      <c r="H11482" s="13" t="s">
        <v>163</v>
      </c>
    </row>
    <row r="11483" spans="1:8" ht="14.4" x14ac:dyDescent="0.3">
      <c r="A11483" s="8">
        <v>2027878</v>
      </c>
      <c r="B11483" s="11">
        <v>44615</v>
      </c>
      <c r="C11483" s="13" t="s">
        <v>14045</v>
      </c>
      <c r="D11483" s="13" t="s">
        <v>14046</v>
      </c>
      <c r="E11483" s="8">
        <v>2000</v>
      </c>
      <c r="F11483" s="13" t="s">
        <v>70</v>
      </c>
      <c r="G11483" s="14">
        <v>44620</v>
      </c>
      <c r="H11483" s="13" t="s">
        <v>163</v>
      </c>
    </row>
    <row r="11484" spans="1:8" ht="14.4" x14ac:dyDescent="0.3">
      <c r="A11484" s="8">
        <v>2027879</v>
      </c>
      <c r="B11484" s="11">
        <v>44615</v>
      </c>
      <c r="C11484" s="13" t="s">
        <v>14047</v>
      </c>
      <c r="D11484" s="13" t="s">
        <v>14048</v>
      </c>
      <c r="E11484" s="8">
        <v>29696</v>
      </c>
      <c r="F11484" s="13" t="s">
        <v>70</v>
      </c>
      <c r="G11484" s="14">
        <v>44634</v>
      </c>
      <c r="H11484" s="13" t="s">
        <v>163</v>
      </c>
    </row>
    <row r="11485" spans="1:8" ht="14.4" x14ac:dyDescent="0.3">
      <c r="A11485" s="8">
        <v>2027880</v>
      </c>
      <c r="B11485" s="11">
        <v>44616</v>
      </c>
      <c r="C11485" s="13" t="s">
        <v>176</v>
      </c>
      <c r="D11485" s="13" t="s">
        <v>14049</v>
      </c>
      <c r="E11485" s="8">
        <v>236152.6</v>
      </c>
      <c r="F11485" s="13" t="s">
        <v>70</v>
      </c>
      <c r="G11485" s="14">
        <v>44624</v>
      </c>
      <c r="H11485" s="13" t="s">
        <v>163</v>
      </c>
    </row>
    <row r="11486" spans="1:8" ht="14.4" x14ac:dyDescent="0.3">
      <c r="A11486" s="8">
        <v>2027881</v>
      </c>
      <c r="B11486" s="11">
        <v>44616</v>
      </c>
      <c r="C11486" s="13" t="s">
        <v>14050</v>
      </c>
      <c r="D11486" s="13" t="s">
        <v>14051</v>
      </c>
      <c r="E11486" s="8">
        <v>10000</v>
      </c>
      <c r="F11486" s="13" t="s">
        <v>70</v>
      </c>
      <c r="G11486" s="14">
        <v>44623</v>
      </c>
      <c r="H11486" s="13" t="s">
        <v>163</v>
      </c>
    </row>
    <row r="11487" spans="1:8" ht="14.4" x14ac:dyDescent="0.3">
      <c r="A11487" s="8">
        <v>2027882</v>
      </c>
      <c r="B11487" s="11">
        <v>44616</v>
      </c>
      <c r="C11487" s="13" t="s">
        <v>14052</v>
      </c>
      <c r="D11487" s="13" t="s">
        <v>14053</v>
      </c>
      <c r="E11487" s="8">
        <v>8000</v>
      </c>
      <c r="F11487" s="13" t="s">
        <v>70</v>
      </c>
      <c r="G11487" s="14">
        <v>44623</v>
      </c>
      <c r="H11487" s="13" t="s">
        <v>163</v>
      </c>
    </row>
    <row r="11488" spans="1:8" ht="14.4" x14ac:dyDescent="0.3">
      <c r="A11488" s="8">
        <v>2027883</v>
      </c>
      <c r="B11488" s="11">
        <v>44616</v>
      </c>
      <c r="C11488" s="13" t="s">
        <v>14054</v>
      </c>
      <c r="D11488" s="13" t="s">
        <v>14055</v>
      </c>
      <c r="E11488" s="8">
        <v>8000</v>
      </c>
      <c r="F11488" s="13" t="s">
        <v>70</v>
      </c>
      <c r="G11488" s="14">
        <v>44622</v>
      </c>
      <c r="H11488" s="13" t="s">
        <v>163</v>
      </c>
    </row>
    <row r="11489" spans="1:8" ht="14.4" x14ac:dyDescent="0.3">
      <c r="A11489" s="8">
        <v>2027884</v>
      </c>
      <c r="B11489" s="11">
        <v>44616</v>
      </c>
      <c r="C11489" s="13" t="s">
        <v>14056</v>
      </c>
      <c r="D11489" s="13" t="s">
        <v>14057</v>
      </c>
      <c r="E11489" s="8">
        <v>14000</v>
      </c>
      <c r="F11489" s="13" t="s">
        <v>70</v>
      </c>
      <c r="G11489" s="14">
        <v>44622</v>
      </c>
      <c r="H11489" s="13" t="s">
        <v>163</v>
      </c>
    </row>
    <row r="11490" spans="1:8" ht="14.4" x14ac:dyDescent="0.3">
      <c r="A11490" s="8">
        <v>2027885</v>
      </c>
      <c r="B11490" s="11">
        <v>44616</v>
      </c>
      <c r="C11490" s="13" t="s">
        <v>5057</v>
      </c>
      <c r="D11490" s="13" t="s">
        <v>14058</v>
      </c>
      <c r="E11490" s="8">
        <v>4000</v>
      </c>
      <c r="F11490" s="13" t="s">
        <v>70</v>
      </c>
      <c r="G11490" s="14">
        <v>44621</v>
      </c>
      <c r="H11490" s="13" t="s">
        <v>163</v>
      </c>
    </row>
    <row r="11491" spans="1:8" ht="14.4" x14ac:dyDescent="0.3">
      <c r="A11491" s="8">
        <v>2027886</v>
      </c>
      <c r="B11491" s="11">
        <v>44616</v>
      </c>
      <c r="C11491" s="13" t="s">
        <v>14059</v>
      </c>
      <c r="D11491" s="13" t="s">
        <v>14060</v>
      </c>
      <c r="E11491" s="8">
        <v>12000</v>
      </c>
      <c r="F11491" s="13" t="s">
        <v>70</v>
      </c>
      <c r="G11491" s="14">
        <v>44623</v>
      </c>
      <c r="H11491" s="13" t="s">
        <v>163</v>
      </c>
    </row>
    <row r="11492" spans="1:8" ht="14.4" x14ac:dyDescent="0.3">
      <c r="A11492" s="8">
        <v>2027887</v>
      </c>
      <c r="B11492" s="11">
        <v>44616</v>
      </c>
      <c r="C11492" s="13" t="s">
        <v>14061</v>
      </c>
      <c r="D11492" s="13" t="s">
        <v>14062</v>
      </c>
      <c r="E11492" s="8">
        <v>2000</v>
      </c>
      <c r="F11492" s="13" t="s">
        <v>70</v>
      </c>
      <c r="G11492" s="14">
        <v>44621</v>
      </c>
      <c r="H11492" s="13" t="s">
        <v>163</v>
      </c>
    </row>
    <row r="11493" spans="1:8" ht="14.4" x14ac:dyDescent="0.3">
      <c r="A11493" s="8">
        <v>2027888</v>
      </c>
      <c r="B11493" s="11">
        <v>44616</v>
      </c>
      <c r="C11493" s="13" t="s">
        <v>14063</v>
      </c>
      <c r="D11493" s="13" t="s">
        <v>14062</v>
      </c>
      <c r="E11493" s="8">
        <v>2000</v>
      </c>
      <c r="F11493" s="13" t="s">
        <v>70</v>
      </c>
      <c r="G11493" s="14">
        <v>44621</v>
      </c>
      <c r="H11493" s="13" t="s">
        <v>163</v>
      </c>
    </row>
    <row r="11494" spans="1:8" ht="14.4" x14ac:dyDescent="0.3">
      <c r="A11494" s="8">
        <v>2027889</v>
      </c>
      <c r="B11494" s="11">
        <v>44616</v>
      </c>
      <c r="C11494" s="13" t="s">
        <v>14064</v>
      </c>
      <c r="D11494" s="13" t="s">
        <v>14065</v>
      </c>
      <c r="E11494" s="8">
        <v>16000</v>
      </c>
      <c r="F11494" s="13" t="s">
        <v>70</v>
      </c>
      <c r="G11494" s="14">
        <v>44622</v>
      </c>
      <c r="H11494" s="13" t="s">
        <v>163</v>
      </c>
    </row>
    <row r="11495" spans="1:8" ht="14.4" x14ac:dyDescent="0.3">
      <c r="A11495" s="8">
        <v>2027891</v>
      </c>
      <c r="B11495" s="11">
        <v>44620</v>
      </c>
      <c r="C11495" s="13" t="s">
        <v>14066</v>
      </c>
      <c r="D11495" s="13" t="s">
        <v>14067</v>
      </c>
      <c r="E11495" s="8">
        <v>2000</v>
      </c>
      <c r="F11495" s="13" t="s">
        <v>70</v>
      </c>
      <c r="G11495" s="14">
        <v>44622</v>
      </c>
      <c r="H11495" s="13" t="s">
        <v>163</v>
      </c>
    </row>
    <row r="11496" spans="1:8" ht="14.4" x14ac:dyDescent="0.3">
      <c r="A11496" s="8">
        <v>2027892</v>
      </c>
      <c r="B11496" s="11">
        <v>44620</v>
      </c>
      <c r="C11496" s="13" t="s">
        <v>1236</v>
      </c>
      <c r="D11496" s="13" t="s">
        <v>14068</v>
      </c>
      <c r="E11496" s="8">
        <v>12000</v>
      </c>
      <c r="F11496" s="13" t="s">
        <v>70</v>
      </c>
      <c r="G11496" s="14">
        <v>44622</v>
      </c>
      <c r="H11496" s="13" t="s">
        <v>163</v>
      </c>
    </row>
    <row r="11497" spans="1:8" ht="14.4" x14ac:dyDescent="0.3">
      <c r="A11497" s="8">
        <v>2027893</v>
      </c>
      <c r="B11497" s="11">
        <v>44620</v>
      </c>
      <c r="C11497" s="13" t="s">
        <v>85</v>
      </c>
      <c r="D11497" s="13" t="s">
        <v>14069</v>
      </c>
      <c r="E11497" s="8">
        <v>160916.63</v>
      </c>
      <c r="F11497" s="13" t="s">
        <v>70</v>
      </c>
      <c r="G11497" s="14">
        <v>44622</v>
      </c>
      <c r="H11497" s="13" t="s">
        <v>163</v>
      </c>
    </row>
    <row r="11498" spans="1:8" ht="14.4" x14ac:dyDescent="0.3">
      <c r="A11498" s="8">
        <v>2027894</v>
      </c>
      <c r="B11498" s="11">
        <v>44621</v>
      </c>
      <c r="C11498" s="13" t="s">
        <v>14070</v>
      </c>
      <c r="D11498" s="13" t="s">
        <v>14071</v>
      </c>
      <c r="E11498" s="8">
        <v>12000</v>
      </c>
      <c r="F11498" s="13" t="s">
        <v>70</v>
      </c>
      <c r="G11498" s="14">
        <v>44623</v>
      </c>
      <c r="H11498" s="13" t="s">
        <v>163</v>
      </c>
    </row>
    <row r="11499" spans="1:8" ht="14.4" x14ac:dyDescent="0.3">
      <c r="A11499" s="8">
        <v>2027895</v>
      </c>
      <c r="B11499" s="11">
        <v>44621</v>
      </c>
      <c r="C11499" s="13" t="s">
        <v>14072</v>
      </c>
      <c r="D11499" s="13" t="s">
        <v>14073</v>
      </c>
      <c r="E11499" s="8">
        <v>6000</v>
      </c>
      <c r="F11499" s="13" t="s">
        <v>70</v>
      </c>
      <c r="G11499" s="14">
        <v>44624</v>
      </c>
      <c r="H11499" s="13" t="s">
        <v>163</v>
      </c>
    </row>
    <row r="11500" spans="1:8" ht="14.4" x14ac:dyDescent="0.3">
      <c r="A11500" s="8">
        <v>2027896</v>
      </c>
      <c r="B11500" s="11">
        <v>44621</v>
      </c>
      <c r="C11500" s="13" t="s">
        <v>1272</v>
      </c>
      <c r="D11500" s="13" t="s">
        <v>14074</v>
      </c>
      <c r="E11500" s="8">
        <v>20000</v>
      </c>
      <c r="F11500" s="13" t="s">
        <v>70</v>
      </c>
      <c r="G11500" s="14">
        <v>44623</v>
      </c>
      <c r="H11500" s="13" t="s">
        <v>163</v>
      </c>
    </row>
    <row r="11501" spans="1:8" ht="14.4" x14ac:dyDescent="0.3">
      <c r="A11501" s="8">
        <v>2027897</v>
      </c>
      <c r="B11501" s="11">
        <v>44621</v>
      </c>
      <c r="C11501" s="13" t="s">
        <v>3059</v>
      </c>
      <c r="D11501" s="13" t="s">
        <v>14075</v>
      </c>
      <c r="E11501" s="8">
        <v>2000</v>
      </c>
      <c r="F11501" s="13" t="s">
        <v>70</v>
      </c>
      <c r="G11501" s="14">
        <v>44624</v>
      </c>
      <c r="H11501" s="13" t="s">
        <v>163</v>
      </c>
    </row>
    <row r="11502" spans="1:8" ht="14.4" x14ac:dyDescent="0.3">
      <c r="A11502" s="8">
        <v>2027898</v>
      </c>
      <c r="B11502" s="11">
        <v>44621</v>
      </c>
      <c r="C11502" s="13" t="s">
        <v>14076</v>
      </c>
      <c r="D11502" s="13" t="s">
        <v>14077</v>
      </c>
      <c r="E11502" s="8">
        <v>6000</v>
      </c>
      <c r="F11502" s="13" t="s">
        <v>70</v>
      </c>
      <c r="G11502" s="14">
        <v>44623</v>
      </c>
      <c r="H11502" s="13" t="s">
        <v>163</v>
      </c>
    </row>
    <row r="11503" spans="1:8" ht="14.4" x14ac:dyDescent="0.3">
      <c r="A11503" s="8">
        <v>2027899</v>
      </c>
      <c r="B11503" s="11">
        <v>44621</v>
      </c>
      <c r="C11503" s="13" t="s">
        <v>14078</v>
      </c>
      <c r="D11503" s="13" t="s">
        <v>14079</v>
      </c>
      <c r="E11503" s="8">
        <v>4000</v>
      </c>
      <c r="F11503" s="13" t="s">
        <v>70</v>
      </c>
      <c r="G11503" s="14">
        <v>44627</v>
      </c>
      <c r="H11503" s="13" t="s">
        <v>163</v>
      </c>
    </row>
    <row r="11504" spans="1:8" ht="14.4" x14ac:dyDescent="0.3">
      <c r="A11504" s="8">
        <v>2027900</v>
      </c>
      <c r="B11504" s="11">
        <v>44621</v>
      </c>
      <c r="C11504" s="13" t="s">
        <v>14080</v>
      </c>
      <c r="D11504" s="13" t="s">
        <v>14081</v>
      </c>
      <c r="E11504" s="8">
        <v>4000</v>
      </c>
      <c r="F11504" s="13" t="s">
        <v>70</v>
      </c>
      <c r="G11504" s="14">
        <v>44624</v>
      </c>
      <c r="H11504" s="13" t="s">
        <v>163</v>
      </c>
    </row>
    <row r="11505" spans="1:8" ht="14.4" x14ac:dyDescent="0.3">
      <c r="A11505" s="8">
        <v>2027901</v>
      </c>
      <c r="B11505" s="11">
        <v>44621</v>
      </c>
      <c r="C11505" s="13" t="s">
        <v>7997</v>
      </c>
      <c r="D11505" s="13" t="s">
        <v>14082</v>
      </c>
      <c r="E11505" s="8">
        <v>6000</v>
      </c>
      <c r="F11505" s="13" t="s">
        <v>70</v>
      </c>
      <c r="G11505" s="14">
        <v>44624</v>
      </c>
      <c r="H11505" s="13" t="s">
        <v>163</v>
      </c>
    </row>
    <row r="11506" spans="1:8" ht="14.4" x14ac:dyDescent="0.3">
      <c r="A11506" s="8">
        <v>2027902</v>
      </c>
      <c r="B11506" s="11">
        <v>44621</v>
      </c>
      <c r="C11506" s="13" t="s">
        <v>1248</v>
      </c>
      <c r="D11506" s="13" t="s">
        <v>14083</v>
      </c>
      <c r="E11506" s="8">
        <v>20000</v>
      </c>
      <c r="F11506" s="13" t="s">
        <v>70</v>
      </c>
      <c r="G11506" s="14">
        <v>44623</v>
      </c>
      <c r="H11506" s="13" t="s">
        <v>163</v>
      </c>
    </row>
    <row r="11507" spans="1:8" ht="14.4" x14ac:dyDescent="0.3">
      <c r="A11507" s="8">
        <v>2027903</v>
      </c>
      <c r="B11507" s="11">
        <v>44621</v>
      </c>
      <c r="C11507" s="13" t="s">
        <v>14084</v>
      </c>
      <c r="D11507" s="13" t="s">
        <v>14085</v>
      </c>
      <c r="E11507" s="8">
        <v>2000</v>
      </c>
      <c r="F11507" s="13" t="s">
        <v>70</v>
      </c>
      <c r="G11507" s="14">
        <v>44624</v>
      </c>
      <c r="H11507" s="13" t="s">
        <v>163</v>
      </c>
    </row>
    <row r="11508" spans="1:8" ht="14.4" x14ac:dyDescent="0.3">
      <c r="A11508" s="8">
        <v>2027904</v>
      </c>
      <c r="B11508" s="11">
        <v>44621</v>
      </c>
      <c r="C11508" s="13" t="s">
        <v>14086</v>
      </c>
      <c r="D11508" s="13" t="s">
        <v>14087</v>
      </c>
      <c r="E11508" s="8">
        <v>4000</v>
      </c>
      <c r="F11508" s="13" t="s">
        <v>70</v>
      </c>
      <c r="G11508" s="14">
        <v>44624</v>
      </c>
      <c r="H11508" s="13" t="s">
        <v>163</v>
      </c>
    </row>
    <row r="11509" spans="1:8" ht="14.4" x14ac:dyDescent="0.3">
      <c r="A11509" s="8">
        <v>2027905</v>
      </c>
      <c r="B11509" s="11">
        <v>44621</v>
      </c>
      <c r="C11509" s="13" t="s">
        <v>14088</v>
      </c>
      <c r="D11509" s="13" t="s">
        <v>14089</v>
      </c>
      <c r="E11509" s="8">
        <v>2000</v>
      </c>
      <c r="F11509" s="13" t="s">
        <v>70</v>
      </c>
      <c r="G11509" s="14">
        <v>44623</v>
      </c>
      <c r="H11509" s="13" t="s">
        <v>163</v>
      </c>
    </row>
    <row r="11510" spans="1:8" ht="14.4" x14ac:dyDescent="0.3">
      <c r="A11510" s="8">
        <v>2027906</v>
      </c>
      <c r="B11510" s="11">
        <v>44621</v>
      </c>
      <c r="C11510" s="13" t="s">
        <v>14090</v>
      </c>
      <c r="D11510" s="13" t="s">
        <v>14091</v>
      </c>
      <c r="E11510" s="8">
        <v>12000</v>
      </c>
      <c r="F11510" s="13" t="s">
        <v>70</v>
      </c>
      <c r="G11510" s="14">
        <v>44623</v>
      </c>
      <c r="H11510" s="13" t="s">
        <v>163</v>
      </c>
    </row>
    <row r="11511" spans="1:8" ht="14.4" x14ac:dyDescent="0.3">
      <c r="A11511" s="8">
        <v>2027907</v>
      </c>
      <c r="B11511" s="11">
        <v>44621</v>
      </c>
      <c r="C11511" s="13" t="s">
        <v>14092</v>
      </c>
      <c r="D11511" s="13" t="s">
        <v>14093</v>
      </c>
      <c r="E11511" s="8">
        <v>6000</v>
      </c>
      <c r="F11511" s="13" t="s">
        <v>70</v>
      </c>
      <c r="G11511" s="14">
        <v>44624</v>
      </c>
      <c r="H11511" s="13" t="s">
        <v>163</v>
      </c>
    </row>
    <row r="11512" spans="1:8" ht="14.4" x14ac:dyDescent="0.3">
      <c r="A11512" s="8">
        <v>2027908</v>
      </c>
      <c r="B11512" s="11">
        <v>44621</v>
      </c>
      <c r="C11512" s="13" t="s">
        <v>14094</v>
      </c>
      <c r="D11512" s="13" t="s">
        <v>14095</v>
      </c>
      <c r="E11512" s="8">
        <v>6000</v>
      </c>
      <c r="F11512" s="13" t="s">
        <v>70</v>
      </c>
      <c r="G11512" s="14">
        <v>44623</v>
      </c>
      <c r="H11512" s="13" t="s">
        <v>163</v>
      </c>
    </row>
    <row r="11513" spans="1:8" ht="14.4" x14ac:dyDescent="0.3">
      <c r="A11513" s="8">
        <v>2027909</v>
      </c>
      <c r="B11513" s="11">
        <v>44621</v>
      </c>
      <c r="C11513" s="13" t="s">
        <v>14096</v>
      </c>
      <c r="D11513" s="13" t="s">
        <v>14097</v>
      </c>
      <c r="E11513" s="15">
        <v>6000</v>
      </c>
      <c r="F11513" s="13" t="s">
        <v>70</v>
      </c>
      <c r="G11513" s="14">
        <v>44623</v>
      </c>
      <c r="H11513" s="13" t="s">
        <v>163</v>
      </c>
    </row>
    <row r="11514" spans="1:8" ht="14.4" x14ac:dyDescent="0.3">
      <c r="A11514" s="8">
        <v>2027910</v>
      </c>
      <c r="B11514" s="11">
        <v>44621</v>
      </c>
      <c r="C11514" s="13" t="s">
        <v>14098</v>
      </c>
      <c r="D11514" s="13" t="s">
        <v>14099</v>
      </c>
      <c r="E11514" s="8">
        <v>6000</v>
      </c>
      <c r="F11514" s="13" t="s">
        <v>70</v>
      </c>
      <c r="G11514" s="14">
        <v>44623</v>
      </c>
      <c r="H11514" s="13" t="s">
        <v>163</v>
      </c>
    </row>
    <row r="11515" spans="1:8" ht="14.4" x14ac:dyDescent="0.3">
      <c r="A11515" s="8">
        <v>2027911</v>
      </c>
      <c r="B11515" s="11">
        <v>44621</v>
      </c>
      <c r="C11515" s="13" t="s">
        <v>14100</v>
      </c>
      <c r="D11515" s="13" t="s">
        <v>14101</v>
      </c>
      <c r="E11515" s="8">
        <v>4000</v>
      </c>
      <c r="F11515" s="13" t="s">
        <v>70</v>
      </c>
      <c r="G11515" s="14">
        <v>44623</v>
      </c>
      <c r="H11515" s="13" t="s">
        <v>163</v>
      </c>
    </row>
    <row r="11516" spans="1:8" ht="14.4" x14ac:dyDescent="0.3">
      <c r="A11516" s="8">
        <v>2027912</v>
      </c>
      <c r="B11516" s="11">
        <v>44621</v>
      </c>
      <c r="C11516" s="13" t="s">
        <v>1260</v>
      </c>
      <c r="D11516" s="13" t="s">
        <v>14102</v>
      </c>
      <c r="E11516" s="8">
        <v>10000</v>
      </c>
      <c r="F11516" s="13" t="s">
        <v>70</v>
      </c>
      <c r="G11516" s="14">
        <v>44623</v>
      </c>
      <c r="H11516" s="13" t="s">
        <v>163</v>
      </c>
    </row>
    <row r="11517" spans="1:8" ht="14.4" x14ac:dyDescent="0.3">
      <c r="A11517" s="8">
        <v>2027913</v>
      </c>
      <c r="B11517" s="11">
        <v>44621</v>
      </c>
      <c r="C11517" s="13" t="s">
        <v>14103</v>
      </c>
      <c r="D11517" s="13" t="s">
        <v>14104</v>
      </c>
      <c r="E11517" s="8">
        <v>4000</v>
      </c>
      <c r="F11517" s="13" t="s">
        <v>70</v>
      </c>
      <c r="G11517" s="14">
        <v>44624</v>
      </c>
      <c r="H11517" s="13" t="s">
        <v>163</v>
      </c>
    </row>
    <row r="11518" spans="1:8" ht="14.4" x14ac:dyDescent="0.3">
      <c r="A11518" s="8">
        <v>2027914</v>
      </c>
      <c r="B11518" s="11">
        <v>44621</v>
      </c>
      <c r="C11518" s="13" t="s">
        <v>14105</v>
      </c>
      <c r="D11518" s="13" t="s">
        <v>14106</v>
      </c>
      <c r="E11518" s="8">
        <v>14000</v>
      </c>
      <c r="F11518" s="13" t="s">
        <v>70</v>
      </c>
      <c r="G11518" s="14">
        <v>44624</v>
      </c>
      <c r="H11518" s="13" t="s">
        <v>163</v>
      </c>
    </row>
    <row r="11519" spans="1:8" ht="14.4" x14ac:dyDescent="0.3">
      <c r="A11519" s="8">
        <v>2027915</v>
      </c>
      <c r="B11519" s="11">
        <v>44621</v>
      </c>
      <c r="C11519" s="13" t="s">
        <v>7826</v>
      </c>
      <c r="D11519" s="13" t="s">
        <v>14107</v>
      </c>
      <c r="E11519" s="8">
        <v>4000</v>
      </c>
      <c r="F11519" s="13" t="s">
        <v>70</v>
      </c>
      <c r="G11519" s="14">
        <v>44623</v>
      </c>
      <c r="H11519" s="13" t="s">
        <v>163</v>
      </c>
    </row>
    <row r="11520" spans="1:8" ht="14.4" x14ac:dyDescent="0.3">
      <c r="A11520" s="8">
        <v>2027916</v>
      </c>
      <c r="B11520" s="11">
        <v>44621</v>
      </c>
      <c r="C11520" s="13" t="s">
        <v>14108</v>
      </c>
      <c r="D11520" s="13" t="s">
        <v>14109</v>
      </c>
      <c r="E11520" s="8">
        <v>20000</v>
      </c>
      <c r="F11520" s="13" t="s">
        <v>70</v>
      </c>
      <c r="G11520" s="14">
        <v>44623</v>
      </c>
      <c r="H11520" s="13" t="s">
        <v>163</v>
      </c>
    </row>
    <row r="11521" spans="1:8" ht="14.4" x14ac:dyDescent="0.3">
      <c r="A11521" s="8">
        <v>2027917</v>
      </c>
      <c r="B11521" s="11">
        <v>44621</v>
      </c>
      <c r="C11521" s="13" t="s">
        <v>14110</v>
      </c>
      <c r="D11521" s="13" t="s">
        <v>14111</v>
      </c>
      <c r="E11521" s="8">
        <v>4000</v>
      </c>
      <c r="F11521" s="13" t="s">
        <v>70</v>
      </c>
      <c r="G11521" s="14">
        <v>44623</v>
      </c>
      <c r="H11521" s="13" t="s">
        <v>163</v>
      </c>
    </row>
    <row r="11522" spans="1:8" ht="14.4" x14ac:dyDescent="0.3">
      <c r="A11522" s="8">
        <v>2027918</v>
      </c>
      <c r="B11522" s="11">
        <v>44621</v>
      </c>
      <c r="C11522" s="13" t="s">
        <v>14112</v>
      </c>
      <c r="D11522" s="13" t="s">
        <v>14113</v>
      </c>
      <c r="E11522" s="8">
        <v>6000</v>
      </c>
      <c r="F11522" s="13" t="s">
        <v>70</v>
      </c>
      <c r="G11522" s="14">
        <v>44623</v>
      </c>
      <c r="H11522" s="13" t="s">
        <v>163</v>
      </c>
    </row>
    <row r="11523" spans="1:8" ht="14.4" x14ac:dyDescent="0.3">
      <c r="A11523" s="8">
        <v>2027919</v>
      </c>
      <c r="B11523" s="11">
        <v>44621</v>
      </c>
      <c r="C11523" s="13" t="s">
        <v>14114</v>
      </c>
      <c r="D11523" s="13" t="s">
        <v>14115</v>
      </c>
      <c r="E11523" s="8">
        <v>30000</v>
      </c>
      <c r="F11523" s="13" t="s">
        <v>70</v>
      </c>
      <c r="G11523" s="14">
        <v>44624</v>
      </c>
      <c r="H11523" s="13" t="s">
        <v>163</v>
      </c>
    </row>
    <row r="11524" spans="1:8" ht="14.4" x14ac:dyDescent="0.3">
      <c r="A11524" s="8">
        <v>2027920</v>
      </c>
      <c r="B11524" s="11">
        <v>44621</v>
      </c>
      <c r="C11524" s="13" t="s">
        <v>1442</v>
      </c>
      <c r="D11524" s="13" t="s">
        <v>14116</v>
      </c>
      <c r="E11524" s="8">
        <v>16000</v>
      </c>
      <c r="F11524" s="13" t="s">
        <v>70</v>
      </c>
      <c r="G11524" s="14">
        <v>44623</v>
      </c>
      <c r="H11524" s="13" t="s">
        <v>163</v>
      </c>
    </row>
    <row r="11525" spans="1:8" ht="14.4" x14ac:dyDescent="0.3">
      <c r="A11525" s="8">
        <v>2027921</v>
      </c>
      <c r="B11525" s="11">
        <v>44621</v>
      </c>
      <c r="C11525" s="13" t="s">
        <v>1375</v>
      </c>
      <c r="D11525" s="13" t="s">
        <v>167</v>
      </c>
      <c r="E11525" s="8">
        <v>4000</v>
      </c>
      <c r="F11525" s="13" t="s">
        <v>70</v>
      </c>
      <c r="G11525" s="14">
        <v>44623</v>
      </c>
      <c r="H11525" s="13" t="s">
        <v>163</v>
      </c>
    </row>
    <row r="11526" spans="1:8" ht="14.4" x14ac:dyDescent="0.3">
      <c r="A11526" s="8">
        <v>2027922</v>
      </c>
      <c r="B11526" s="11">
        <v>44621</v>
      </c>
      <c r="C11526" s="13" t="s">
        <v>14117</v>
      </c>
      <c r="D11526" s="13" t="s">
        <v>14118</v>
      </c>
      <c r="E11526" s="8">
        <v>11190.45</v>
      </c>
      <c r="F11526" s="13" t="s">
        <v>70</v>
      </c>
      <c r="G11526" s="14">
        <v>44721</v>
      </c>
      <c r="H11526" s="13" t="s">
        <v>163</v>
      </c>
    </row>
    <row r="11527" spans="1:8" ht="14.4" x14ac:dyDescent="0.3">
      <c r="A11527" s="8">
        <v>2027923</v>
      </c>
      <c r="B11527" s="11">
        <v>44621</v>
      </c>
      <c r="C11527" s="13" t="s">
        <v>14119</v>
      </c>
      <c r="D11527" s="13" t="s">
        <v>14120</v>
      </c>
      <c r="E11527" s="8">
        <v>4000</v>
      </c>
      <c r="F11527" s="13" t="s">
        <v>70</v>
      </c>
      <c r="G11527" s="14">
        <v>44624</v>
      </c>
      <c r="H11527" s="13" t="s">
        <v>163</v>
      </c>
    </row>
    <row r="11528" spans="1:8" ht="14.4" x14ac:dyDescent="0.3">
      <c r="A11528" s="8">
        <v>2027924</v>
      </c>
      <c r="B11528" s="11">
        <v>44621</v>
      </c>
      <c r="C11528" s="13" t="s">
        <v>14121</v>
      </c>
      <c r="D11528" s="13" t="s">
        <v>14122</v>
      </c>
      <c r="E11528" s="8">
        <v>4000</v>
      </c>
      <c r="F11528" s="13" t="s">
        <v>70</v>
      </c>
      <c r="G11528" s="14">
        <v>44623</v>
      </c>
      <c r="H11528" s="13" t="s">
        <v>163</v>
      </c>
    </row>
    <row r="11529" spans="1:8" ht="14.4" x14ac:dyDescent="0.3">
      <c r="A11529" s="8">
        <v>2027925</v>
      </c>
      <c r="B11529" s="11">
        <v>44621</v>
      </c>
      <c r="C11529" s="13" t="s">
        <v>14123</v>
      </c>
      <c r="D11529" s="13" t="s">
        <v>14124</v>
      </c>
      <c r="E11529" s="8">
        <v>2000</v>
      </c>
      <c r="F11529" s="13" t="s">
        <v>70</v>
      </c>
      <c r="G11529" s="14">
        <v>44624</v>
      </c>
      <c r="H11529" s="13" t="s">
        <v>163</v>
      </c>
    </row>
    <row r="11530" spans="1:8" ht="14.4" x14ac:dyDescent="0.3">
      <c r="A11530" s="8">
        <v>2027926</v>
      </c>
      <c r="B11530" s="11">
        <v>44621</v>
      </c>
      <c r="C11530" s="13" t="s">
        <v>14125</v>
      </c>
      <c r="D11530" s="13" t="s">
        <v>14062</v>
      </c>
      <c r="E11530" s="8">
        <v>4000</v>
      </c>
      <c r="F11530" s="13" t="s">
        <v>70</v>
      </c>
      <c r="G11530" s="14">
        <v>44623</v>
      </c>
      <c r="H11530" s="13" t="s">
        <v>163</v>
      </c>
    </row>
    <row r="11531" spans="1:8" ht="14.4" x14ac:dyDescent="0.3">
      <c r="A11531" s="8">
        <v>2027927</v>
      </c>
      <c r="B11531" s="11">
        <v>44621</v>
      </c>
      <c r="C11531" s="13" t="s">
        <v>14126</v>
      </c>
      <c r="D11531" s="13" t="s">
        <v>14062</v>
      </c>
      <c r="E11531" s="8">
        <v>4000</v>
      </c>
      <c r="F11531" s="13" t="s">
        <v>70</v>
      </c>
      <c r="G11531" s="14">
        <v>44623</v>
      </c>
      <c r="H11531" s="13" t="s">
        <v>163</v>
      </c>
    </row>
    <row r="11532" spans="1:8" ht="14.4" x14ac:dyDescent="0.3">
      <c r="A11532" s="8">
        <v>2027928</v>
      </c>
      <c r="B11532" s="11">
        <v>44621</v>
      </c>
      <c r="C11532" s="13" t="s">
        <v>14127</v>
      </c>
      <c r="D11532" s="13" t="s">
        <v>14128</v>
      </c>
      <c r="E11532" s="8">
        <v>2000</v>
      </c>
      <c r="F11532" s="13" t="s">
        <v>70</v>
      </c>
      <c r="G11532" s="14">
        <v>44641</v>
      </c>
      <c r="H11532" s="13" t="s">
        <v>163</v>
      </c>
    </row>
    <row r="11533" spans="1:8" ht="14.4" x14ac:dyDescent="0.3">
      <c r="A11533" s="8">
        <v>2027929</v>
      </c>
      <c r="B11533" s="11">
        <v>44621</v>
      </c>
      <c r="C11533" s="13" t="s">
        <v>14129</v>
      </c>
      <c r="D11533" s="13" t="s">
        <v>14130</v>
      </c>
      <c r="E11533" s="8">
        <v>12000</v>
      </c>
      <c r="F11533" s="13" t="s">
        <v>70</v>
      </c>
      <c r="G11533" s="14">
        <v>44624</v>
      </c>
      <c r="H11533" s="13" t="s">
        <v>163</v>
      </c>
    </row>
    <row r="11534" spans="1:8" ht="14.4" x14ac:dyDescent="0.3">
      <c r="A11534" s="8">
        <v>2027930</v>
      </c>
      <c r="B11534" s="11">
        <v>44621</v>
      </c>
      <c r="C11534" s="13" t="s">
        <v>14131</v>
      </c>
      <c r="D11534" s="13" t="s">
        <v>14132</v>
      </c>
      <c r="E11534" s="8">
        <v>50000</v>
      </c>
      <c r="F11534" s="13" t="s">
        <v>70</v>
      </c>
      <c r="G11534" s="14">
        <v>44624</v>
      </c>
      <c r="H11534" s="13" t="s">
        <v>163</v>
      </c>
    </row>
    <row r="11535" spans="1:8" ht="14.4" x14ac:dyDescent="0.3">
      <c r="A11535" s="8">
        <v>2027931</v>
      </c>
      <c r="B11535" s="11">
        <v>44621</v>
      </c>
      <c r="C11535" s="13" t="s">
        <v>201</v>
      </c>
      <c r="D11535" s="13" t="s">
        <v>14133</v>
      </c>
      <c r="E11535" s="8">
        <v>17840.18</v>
      </c>
      <c r="F11535" s="13" t="s">
        <v>70</v>
      </c>
      <c r="G11535" s="14">
        <v>44623</v>
      </c>
      <c r="H11535" s="13" t="s">
        <v>163</v>
      </c>
    </row>
    <row r="11536" spans="1:8" ht="14.4" x14ac:dyDescent="0.3">
      <c r="A11536" s="8">
        <v>2027932</v>
      </c>
      <c r="B11536" s="11">
        <v>44622</v>
      </c>
      <c r="C11536" s="13" t="s">
        <v>14134</v>
      </c>
      <c r="D11536" s="13" t="s">
        <v>14132</v>
      </c>
      <c r="E11536" s="8">
        <v>6363.5</v>
      </c>
      <c r="F11536" s="13" t="s">
        <v>70</v>
      </c>
      <c r="G11536" s="14">
        <v>44623</v>
      </c>
      <c r="H11536" s="13" t="s">
        <v>163</v>
      </c>
    </row>
    <row r="11537" spans="1:8" ht="14.4" x14ac:dyDescent="0.3">
      <c r="A11537" s="8">
        <v>2027933</v>
      </c>
      <c r="B11537" s="11">
        <v>44623</v>
      </c>
      <c r="C11537" s="13" t="s">
        <v>13458</v>
      </c>
      <c r="D11537" s="13" t="s">
        <v>14135</v>
      </c>
      <c r="E11537" s="8">
        <v>16610.84</v>
      </c>
      <c r="F11537" s="13" t="s">
        <v>70</v>
      </c>
      <c r="G11537" s="14">
        <v>44624</v>
      </c>
      <c r="H11537" s="13" t="s">
        <v>163</v>
      </c>
    </row>
    <row r="11538" spans="1:8" ht="14.4" x14ac:dyDescent="0.3">
      <c r="A11538" s="8">
        <v>2027934</v>
      </c>
      <c r="B11538" s="11">
        <v>44623</v>
      </c>
      <c r="C11538" s="13" t="s">
        <v>7247</v>
      </c>
      <c r="D11538" s="13" t="s">
        <v>14136</v>
      </c>
      <c r="E11538" s="8">
        <v>8000</v>
      </c>
      <c r="F11538" s="13" t="s">
        <v>70</v>
      </c>
      <c r="G11538" s="14">
        <v>44624</v>
      </c>
      <c r="H11538" s="13" t="s">
        <v>163</v>
      </c>
    </row>
    <row r="11539" spans="1:8" ht="14.4" x14ac:dyDescent="0.3">
      <c r="A11539" s="8">
        <v>2027935</v>
      </c>
      <c r="B11539" s="11">
        <v>44623</v>
      </c>
      <c r="C11539" s="13" t="s">
        <v>14137</v>
      </c>
      <c r="D11539" s="13" t="s">
        <v>14138</v>
      </c>
      <c r="E11539" s="8">
        <v>20000</v>
      </c>
      <c r="F11539" s="13" t="s">
        <v>70</v>
      </c>
      <c r="G11539" s="14">
        <v>44627</v>
      </c>
      <c r="H11539" s="13" t="s">
        <v>163</v>
      </c>
    </row>
    <row r="11540" spans="1:8" ht="14.4" x14ac:dyDescent="0.3">
      <c r="A11540" s="8">
        <v>2027936</v>
      </c>
      <c r="B11540" s="11">
        <v>44623</v>
      </c>
      <c r="C11540" s="13" t="s">
        <v>8533</v>
      </c>
      <c r="D11540" s="13" t="s">
        <v>14139</v>
      </c>
      <c r="E11540" s="8">
        <v>16000</v>
      </c>
      <c r="F11540" s="13" t="s">
        <v>70</v>
      </c>
      <c r="G11540" s="14">
        <v>44628</v>
      </c>
      <c r="H11540" s="13" t="s">
        <v>163</v>
      </c>
    </row>
    <row r="11541" spans="1:8" ht="14.4" x14ac:dyDescent="0.3">
      <c r="A11541" s="8">
        <v>2027937</v>
      </c>
      <c r="B11541" s="11">
        <v>44623</v>
      </c>
      <c r="C11541" s="13" t="s">
        <v>14140</v>
      </c>
      <c r="D11541" s="13" t="s">
        <v>14141</v>
      </c>
      <c r="E11541" s="8">
        <v>20000</v>
      </c>
      <c r="F11541" s="13" t="s">
        <v>70</v>
      </c>
      <c r="G11541" s="14">
        <v>44628</v>
      </c>
      <c r="H11541" s="13" t="s">
        <v>163</v>
      </c>
    </row>
    <row r="11542" spans="1:8" ht="14.4" x14ac:dyDescent="0.3">
      <c r="A11542" s="8">
        <v>2027938</v>
      </c>
      <c r="B11542" s="11">
        <v>44623</v>
      </c>
      <c r="C11542" s="13" t="s">
        <v>14142</v>
      </c>
      <c r="D11542" s="13" t="s">
        <v>14143</v>
      </c>
      <c r="E11542" s="8">
        <v>4000</v>
      </c>
      <c r="F11542" s="13" t="s">
        <v>70</v>
      </c>
      <c r="G11542" s="14">
        <v>44627</v>
      </c>
      <c r="H11542" s="13" t="s">
        <v>163</v>
      </c>
    </row>
    <row r="11543" spans="1:8" ht="14.4" x14ac:dyDescent="0.3">
      <c r="A11543" s="8">
        <v>2027939</v>
      </c>
      <c r="B11543" s="11">
        <v>44623</v>
      </c>
      <c r="C11543" s="13" t="s">
        <v>14144</v>
      </c>
      <c r="D11543" s="13" t="s">
        <v>14145</v>
      </c>
      <c r="E11543" s="8">
        <v>8000</v>
      </c>
      <c r="F11543" s="13" t="s">
        <v>70</v>
      </c>
      <c r="G11543" s="14">
        <v>44627</v>
      </c>
      <c r="H11543" s="13" t="s">
        <v>163</v>
      </c>
    </row>
    <row r="11544" spans="1:8" ht="14.4" x14ac:dyDescent="0.3">
      <c r="A11544" s="8">
        <v>2027940</v>
      </c>
      <c r="B11544" s="11">
        <v>44623</v>
      </c>
      <c r="C11544" s="13" t="s">
        <v>14146</v>
      </c>
      <c r="D11544" s="13" t="s">
        <v>14147</v>
      </c>
      <c r="E11544" s="8">
        <v>2000</v>
      </c>
      <c r="F11544" s="13" t="s">
        <v>70</v>
      </c>
      <c r="G11544" s="14">
        <v>44627</v>
      </c>
      <c r="H11544" s="13" t="s">
        <v>163</v>
      </c>
    </row>
    <row r="11545" spans="1:8" ht="14.4" x14ac:dyDescent="0.3">
      <c r="A11545" s="8">
        <v>2027941</v>
      </c>
      <c r="B11545" s="11">
        <v>44623</v>
      </c>
      <c r="C11545" s="13" t="s">
        <v>14148</v>
      </c>
      <c r="D11545" s="13" t="s">
        <v>14149</v>
      </c>
      <c r="E11545" s="8">
        <v>2000</v>
      </c>
      <c r="F11545" s="13" t="s">
        <v>70</v>
      </c>
      <c r="G11545" s="14">
        <v>44627</v>
      </c>
      <c r="H11545" s="13" t="s">
        <v>163</v>
      </c>
    </row>
    <row r="11546" spans="1:8" ht="14.4" x14ac:dyDescent="0.3">
      <c r="A11546" s="8">
        <v>2027942</v>
      </c>
      <c r="B11546" s="11">
        <v>44623</v>
      </c>
      <c r="C11546" s="13" t="s">
        <v>14150</v>
      </c>
      <c r="D11546" s="13" t="s">
        <v>14151</v>
      </c>
      <c r="E11546" s="8">
        <v>2000</v>
      </c>
      <c r="F11546" s="13" t="s">
        <v>70</v>
      </c>
      <c r="G11546" s="14">
        <v>44627</v>
      </c>
      <c r="H11546" s="13" t="s">
        <v>163</v>
      </c>
    </row>
    <row r="11547" spans="1:8" ht="14.4" x14ac:dyDescent="0.3">
      <c r="A11547" s="8">
        <v>2027943</v>
      </c>
      <c r="B11547" s="11">
        <v>44623</v>
      </c>
      <c r="C11547" s="13" t="s">
        <v>14152</v>
      </c>
      <c r="D11547" s="13" t="s">
        <v>14153</v>
      </c>
      <c r="E11547" s="8">
        <v>6000</v>
      </c>
      <c r="F11547" s="13" t="s">
        <v>70</v>
      </c>
      <c r="G11547" s="14">
        <v>44627</v>
      </c>
      <c r="H11547" s="13" t="s">
        <v>163</v>
      </c>
    </row>
    <row r="11548" spans="1:8" ht="14.4" x14ac:dyDescent="0.3">
      <c r="A11548" s="8">
        <v>2027944</v>
      </c>
      <c r="B11548" s="11">
        <v>44623</v>
      </c>
      <c r="C11548" s="13" t="s">
        <v>12058</v>
      </c>
      <c r="D11548" s="13" t="s">
        <v>14154</v>
      </c>
      <c r="E11548" s="8">
        <v>8000</v>
      </c>
      <c r="F11548" s="13" t="s">
        <v>70</v>
      </c>
      <c r="G11548" s="14">
        <v>44627</v>
      </c>
      <c r="H11548" s="13" t="s">
        <v>163</v>
      </c>
    </row>
    <row r="11549" spans="1:8" ht="14.4" x14ac:dyDescent="0.3">
      <c r="A11549" s="8">
        <v>2027945</v>
      </c>
      <c r="B11549" s="11">
        <v>44623</v>
      </c>
      <c r="C11549" s="13" t="s">
        <v>14155</v>
      </c>
      <c r="D11549" s="13" t="s">
        <v>14156</v>
      </c>
      <c r="E11549" s="8">
        <v>2000</v>
      </c>
      <c r="F11549" s="13" t="s">
        <v>70</v>
      </c>
      <c r="G11549" s="14">
        <v>44627</v>
      </c>
      <c r="H11549" s="13" t="s">
        <v>163</v>
      </c>
    </row>
    <row r="11550" spans="1:8" ht="14.4" x14ac:dyDescent="0.3">
      <c r="A11550" s="8">
        <v>2027946</v>
      </c>
      <c r="B11550" s="11">
        <v>44623</v>
      </c>
      <c r="C11550" s="13" t="s">
        <v>14157</v>
      </c>
      <c r="D11550" s="13" t="s">
        <v>14158</v>
      </c>
      <c r="E11550" s="8">
        <v>4000</v>
      </c>
      <c r="F11550" s="13" t="s">
        <v>70</v>
      </c>
      <c r="G11550" s="14">
        <v>44627</v>
      </c>
      <c r="H11550" s="13" t="s">
        <v>163</v>
      </c>
    </row>
    <row r="11551" spans="1:8" ht="14.4" x14ac:dyDescent="0.3">
      <c r="A11551" s="8">
        <v>2027947</v>
      </c>
      <c r="B11551" s="11">
        <v>44623</v>
      </c>
      <c r="C11551" s="13" t="s">
        <v>14159</v>
      </c>
      <c r="D11551" s="13" t="s">
        <v>14160</v>
      </c>
      <c r="E11551" s="8">
        <v>4000</v>
      </c>
      <c r="F11551" s="13" t="s">
        <v>70</v>
      </c>
      <c r="G11551" s="14">
        <v>44629</v>
      </c>
      <c r="H11551" s="13" t="s">
        <v>163</v>
      </c>
    </row>
    <row r="11552" spans="1:8" ht="14.4" x14ac:dyDescent="0.3">
      <c r="A11552" s="8">
        <v>2027948</v>
      </c>
      <c r="B11552" s="11">
        <v>44623</v>
      </c>
      <c r="C11552" s="13" t="s">
        <v>2908</v>
      </c>
      <c r="D11552" s="13" t="s">
        <v>14161</v>
      </c>
      <c r="E11552" s="8">
        <v>2000</v>
      </c>
      <c r="F11552" s="13" t="s">
        <v>70</v>
      </c>
      <c r="G11552" s="14">
        <v>44700</v>
      </c>
      <c r="H11552" s="13" t="s">
        <v>163</v>
      </c>
    </row>
    <row r="11553" spans="1:8" ht="14.4" x14ac:dyDescent="0.3">
      <c r="A11553" s="8">
        <v>2027949</v>
      </c>
      <c r="B11553" s="11">
        <v>44623</v>
      </c>
      <c r="C11553" s="13" t="s">
        <v>8294</v>
      </c>
      <c r="D11553" s="13" t="s">
        <v>14162</v>
      </c>
      <c r="E11553" s="8">
        <v>8000</v>
      </c>
      <c r="F11553" s="13" t="s">
        <v>70</v>
      </c>
      <c r="G11553" s="14">
        <v>44634</v>
      </c>
      <c r="H11553" s="13" t="s">
        <v>163</v>
      </c>
    </row>
    <row r="11554" spans="1:8" ht="14.4" x14ac:dyDescent="0.3">
      <c r="A11554" s="8">
        <v>2027950</v>
      </c>
      <c r="B11554" s="11">
        <v>44623</v>
      </c>
      <c r="C11554" s="13" t="s">
        <v>7528</v>
      </c>
      <c r="D11554" s="13" t="s">
        <v>14163</v>
      </c>
      <c r="E11554" s="8">
        <v>20000</v>
      </c>
      <c r="F11554" s="13" t="s">
        <v>70</v>
      </c>
      <c r="G11554" s="14">
        <v>44628</v>
      </c>
      <c r="H11554" s="13" t="s">
        <v>163</v>
      </c>
    </row>
    <row r="11555" spans="1:8" ht="14.4" x14ac:dyDescent="0.3">
      <c r="A11555" s="8">
        <v>2027951</v>
      </c>
      <c r="B11555" s="11">
        <v>44623</v>
      </c>
      <c r="C11555" s="13" t="s">
        <v>14164</v>
      </c>
      <c r="D11555" s="13" t="s">
        <v>14165</v>
      </c>
      <c r="E11555" s="8">
        <v>4000</v>
      </c>
      <c r="F11555" s="13" t="s">
        <v>70</v>
      </c>
      <c r="G11555" s="14">
        <v>44627</v>
      </c>
      <c r="H11555" s="13" t="s">
        <v>163</v>
      </c>
    </row>
    <row r="11556" spans="1:8" ht="14.4" x14ac:dyDescent="0.3">
      <c r="A11556" s="8">
        <v>2027952</v>
      </c>
      <c r="B11556" s="11">
        <v>44623</v>
      </c>
      <c r="C11556" s="13" t="s">
        <v>14166</v>
      </c>
      <c r="D11556" s="13" t="s">
        <v>14167</v>
      </c>
      <c r="E11556" s="8">
        <v>4000</v>
      </c>
      <c r="F11556" s="13" t="s">
        <v>70</v>
      </c>
      <c r="G11556" s="14">
        <v>44634</v>
      </c>
      <c r="H11556" s="13" t="s">
        <v>163</v>
      </c>
    </row>
    <row r="11557" spans="1:8" ht="14.4" x14ac:dyDescent="0.3">
      <c r="A11557" s="8">
        <v>2027953</v>
      </c>
      <c r="B11557" s="11">
        <v>44623</v>
      </c>
      <c r="C11557" s="13" t="s">
        <v>14168</v>
      </c>
      <c r="D11557" s="13" t="s">
        <v>14169</v>
      </c>
      <c r="E11557" s="8">
        <v>2000</v>
      </c>
      <c r="F11557" s="13" t="s">
        <v>70</v>
      </c>
      <c r="G11557" s="14">
        <v>44627</v>
      </c>
      <c r="H11557" s="13" t="s">
        <v>163</v>
      </c>
    </row>
    <row r="11558" spans="1:8" ht="14.4" x14ac:dyDescent="0.3">
      <c r="A11558" s="8">
        <v>2027954</v>
      </c>
      <c r="B11558" s="11">
        <v>44623</v>
      </c>
      <c r="C11558" s="13" t="s">
        <v>14170</v>
      </c>
      <c r="D11558" s="13" t="s">
        <v>14171</v>
      </c>
      <c r="E11558" s="8">
        <v>10000</v>
      </c>
      <c r="F11558" s="13" t="s">
        <v>70</v>
      </c>
      <c r="G11558" s="14">
        <v>44628</v>
      </c>
      <c r="H11558" s="13" t="s">
        <v>163</v>
      </c>
    </row>
    <row r="11559" spans="1:8" ht="14.4" x14ac:dyDescent="0.3">
      <c r="A11559" s="8">
        <v>2027955</v>
      </c>
      <c r="B11559" s="11">
        <v>44623</v>
      </c>
      <c r="C11559" s="13" t="s">
        <v>14172</v>
      </c>
      <c r="D11559" s="13" t="s">
        <v>14173</v>
      </c>
      <c r="E11559" s="8">
        <v>10000</v>
      </c>
      <c r="F11559" s="13" t="s">
        <v>70</v>
      </c>
      <c r="G11559" s="14">
        <v>44627</v>
      </c>
      <c r="H11559" s="13" t="s">
        <v>163</v>
      </c>
    </row>
    <row r="11560" spans="1:8" ht="14.4" x14ac:dyDescent="0.3">
      <c r="A11560" s="8">
        <v>2027956</v>
      </c>
      <c r="B11560" s="11">
        <v>44623</v>
      </c>
      <c r="C11560" s="13" t="s">
        <v>14174</v>
      </c>
      <c r="D11560" s="13" t="s">
        <v>14175</v>
      </c>
      <c r="E11560" s="8">
        <v>2000</v>
      </c>
      <c r="F11560" s="13" t="s">
        <v>70</v>
      </c>
      <c r="G11560" s="14">
        <v>44627</v>
      </c>
      <c r="H11560" s="13" t="s">
        <v>163</v>
      </c>
    </row>
    <row r="11561" spans="1:8" ht="14.4" x14ac:dyDescent="0.3">
      <c r="A11561" s="8">
        <v>2027957</v>
      </c>
      <c r="B11561" s="11">
        <v>44623</v>
      </c>
      <c r="C11561" s="13" t="s">
        <v>14176</v>
      </c>
      <c r="D11561" s="13" t="s">
        <v>14177</v>
      </c>
      <c r="E11561" s="8">
        <v>2000</v>
      </c>
      <c r="F11561" s="13" t="s">
        <v>70</v>
      </c>
      <c r="G11561" s="14">
        <v>44627</v>
      </c>
      <c r="H11561" s="13" t="s">
        <v>163</v>
      </c>
    </row>
    <row r="11562" spans="1:8" ht="14.4" x14ac:dyDescent="0.3">
      <c r="A11562" s="8">
        <v>2027958</v>
      </c>
      <c r="B11562" s="11">
        <v>44623</v>
      </c>
      <c r="C11562" s="13" t="s">
        <v>12391</v>
      </c>
      <c r="D11562" s="13" t="s">
        <v>14178</v>
      </c>
      <c r="E11562" s="8">
        <v>2000</v>
      </c>
      <c r="F11562" s="13" t="s">
        <v>70</v>
      </c>
      <c r="G11562" s="14">
        <v>44628</v>
      </c>
      <c r="H11562" s="13" t="s">
        <v>163</v>
      </c>
    </row>
    <row r="11563" spans="1:8" ht="14.4" x14ac:dyDescent="0.3">
      <c r="A11563" s="8">
        <v>2027959</v>
      </c>
      <c r="B11563" s="11">
        <v>44623</v>
      </c>
      <c r="C11563" s="13" t="s">
        <v>8315</v>
      </c>
      <c r="D11563" s="13" t="s">
        <v>14179</v>
      </c>
      <c r="E11563" s="8">
        <v>6000</v>
      </c>
      <c r="F11563" s="13" t="s">
        <v>70</v>
      </c>
      <c r="G11563" s="14">
        <v>44629</v>
      </c>
      <c r="H11563" s="13" t="s">
        <v>163</v>
      </c>
    </row>
    <row r="11564" spans="1:8" ht="14.4" x14ac:dyDescent="0.3">
      <c r="A11564" s="8">
        <v>2027960</v>
      </c>
      <c r="B11564" s="11">
        <v>44623</v>
      </c>
      <c r="C11564" s="13" t="s">
        <v>7305</v>
      </c>
      <c r="D11564" s="13" t="s">
        <v>14180</v>
      </c>
      <c r="E11564" s="8">
        <v>16000</v>
      </c>
      <c r="F11564" s="13" t="s">
        <v>70</v>
      </c>
      <c r="G11564" s="14">
        <v>44627</v>
      </c>
      <c r="H11564" s="13" t="s">
        <v>163</v>
      </c>
    </row>
    <row r="11565" spans="1:8" ht="14.4" x14ac:dyDescent="0.3">
      <c r="A11565" s="8">
        <v>2027961</v>
      </c>
      <c r="B11565" s="11">
        <v>44623</v>
      </c>
      <c r="C11565" s="13" t="s">
        <v>1841</v>
      </c>
      <c r="D11565" s="13" t="s">
        <v>14181</v>
      </c>
      <c r="E11565" s="8">
        <v>12000</v>
      </c>
      <c r="F11565" s="13" t="s">
        <v>70</v>
      </c>
      <c r="G11565" s="14">
        <v>44628</v>
      </c>
      <c r="H11565" s="13" t="s">
        <v>163</v>
      </c>
    </row>
    <row r="11566" spans="1:8" ht="14.4" x14ac:dyDescent="0.3">
      <c r="A11566" s="8">
        <v>2027962</v>
      </c>
      <c r="B11566" s="11">
        <v>44623</v>
      </c>
      <c r="C11566" s="13" t="s">
        <v>1242</v>
      </c>
      <c r="D11566" s="13" t="s">
        <v>14182</v>
      </c>
      <c r="E11566" s="8">
        <v>6000</v>
      </c>
      <c r="F11566" s="13" t="s">
        <v>70</v>
      </c>
      <c r="G11566" s="14">
        <v>44628</v>
      </c>
      <c r="H11566" s="13" t="s">
        <v>163</v>
      </c>
    </row>
    <row r="11567" spans="1:8" ht="14.4" x14ac:dyDescent="0.3">
      <c r="A11567" s="8">
        <v>2027963</v>
      </c>
      <c r="B11567" s="11">
        <v>44623</v>
      </c>
      <c r="C11567" s="13" t="s">
        <v>14183</v>
      </c>
      <c r="D11567" s="13" t="s">
        <v>14184</v>
      </c>
      <c r="E11567" s="8">
        <v>6000</v>
      </c>
      <c r="F11567" s="13" t="s">
        <v>70</v>
      </c>
      <c r="G11567" s="14">
        <v>44628</v>
      </c>
      <c r="H11567" s="13" t="s">
        <v>163</v>
      </c>
    </row>
    <row r="11568" spans="1:8" ht="14.4" x14ac:dyDescent="0.3">
      <c r="A11568" s="8">
        <v>2027964</v>
      </c>
      <c r="B11568" s="11">
        <v>44623</v>
      </c>
      <c r="C11568" s="13" t="s">
        <v>14185</v>
      </c>
      <c r="D11568" s="13" t="s">
        <v>14186</v>
      </c>
      <c r="E11568" s="8">
        <v>12000</v>
      </c>
      <c r="F11568" s="13" t="s">
        <v>70</v>
      </c>
      <c r="G11568" s="14">
        <v>44629</v>
      </c>
      <c r="H11568" s="13" t="s">
        <v>163</v>
      </c>
    </row>
    <row r="11569" spans="1:8" ht="14.4" x14ac:dyDescent="0.3">
      <c r="A11569" s="8">
        <v>2027965</v>
      </c>
      <c r="B11569" s="11">
        <v>44623</v>
      </c>
      <c r="C11569" s="13" t="s">
        <v>14187</v>
      </c>
      <c r="D11569" s="13" t="s">
        <v>14188</v>
      </c>
      <c r="E11569" s="8">
        <v>2000</v>
      </c>
      <c r="F11569" s="13" t="s">
        <v>70</v>
      </c>
      <c r="G11569" s="14">
        <v>44627</v>
      </c>
      <c r="H11569" s="13" t="s">
        <v>163</v>
      </c>
    </row>
    <row r="11570" spans="1:8" ht="14.4" x14ac:dyDescent="0.3">
      <c r="A11570" s="8">
        <v>2027966</v>
      </c>
      <c r="B11570" s="11">
        <v>44623</v>
      </c>
      <c r="C11570" s="13" t="s">
        <v>14189</v>
      </c>
      <c r="D11570" s="13" t="s">
        <v>14190</v>
      </c>
      <c r="E11570" s="8">
        <v>10000</v>
      </c>
      <c r="F11570" s="13" t="s">
        <v>70</v>
      </c>
      <c r="G11570" s="14">
        <v>44627</v>
      </c>
      <c r="H11570" s="13" t="s">
        <v>163</v>
      </c>
    </row>
    <row r="11571" spans="1:8" ht="14.4" x14ac:dyDescent="0.3">
      <c r="A11571" s="8">
        <v>2027967</v>
      </c>
      <c r="B11571" s="11">
        <v>44623</v>
      </c>
      <c r="C11571" s="13" t="s">
        <v>14191</v>
      </c>
      <c r="D11571" s="13" t="s">
        <v>14192</v>
      </c>
      <c r="E11571" s="8">
        <v>12000</v>
      </c>
      <c r="F11571" s="13" t="s">
        <v>70</v>
      </c>
      <c r="G11571" s="14">
        <v>44630</v>
      </c>
      <c r="H11571" s="13" t="s">
        <v>163</v>
      </c>
    </row>
    <row r="11572" spans="1:8" ht="14.4" x14ac:dyDescent="0.3">
      <c r="A11572" s="8">
        <v>2027968</v>
      </c>
      <c r="B11572" s="11">
        <v>44623</v>
      </c>
      <c r="C11572" s="13" t="s">
        <v>1264</v>
      </c>
      <c r="D11572" s="13" t="s">
        <v>14193</v>
      </c>
      <c r="E11572" s="8">
        <v>20000</v>
      </c>
      <c r="F11572" s="13" t="s">
        <v>70</v>
      </c>
      <c r="G11572" s="14">
        <v>44627</v>
      </c>
      <c r="H11572" s="13" t="s">
        <v>163</v>
      </c>
    </row>
    <row r="11573" spans="1:8" ht="14.4" x14ac:dyDescent="0.3">
      <c r="A11573" s="8">
        <v>2027969</v>
      </c>
      <c r="B11573" s="11">
        <v>44623</v>
      </c>
      <c r="C11573" s="13" t="s">
        <v>14194</v>
      </c>
      <c r="D11573" s="13" t="s">
        <v>14195</v>
      </c>
      <c r="E11573" s="8">
        <v>20000</v>
      </c>
      <c r="F11573" s="13" t="s">
        <v>70</v>
      </c>
      <c r="G11573" s="14">
        <v>44628</v>
      </c>
      <c r="H11573" s="13" t="s">
        <v>163</v>
      </c>
    </row>
    <row r="11574" spans="1:8" ht="14.4" x14ac:dyDescent="0.3">
      <c r="A11574" s="8">
        <v>2027970</v>
      </c>
      <c r="B11574" s="11">
        <v>44623</v>
      </c>
      <c r="C11574" s="13" t="s">
        <v>5206</v>
      </c>
      <c r="D11574" s="13" t="s">
        <v>14196</v>
      </c>
      <c r="E11574" s="8">
        <v>8000</v>
      </c>
      <c r="F11574" s="13" t="s">
        <v>70</v>
      </c>
      <c r="G11574" s="14">
        <v>44628</v>
      </c>
      <c r="H11574" s="13" t="s">
        <v>163</v>
      </c>
    </row>
    <row r="11575" spans="1:8" ht="14.4" x14ac:dyDescent="0.3">
      <c r="A11575" s="8">
        <v>2027971</v>
      </c>
      <c r="B11575" s="11">
        <v>44623</v>
      </c>
      <c r="C11575" s="13" t="s">
        <v>14197</v>
      </c>
      <c r="D11575" s="13" t="s">
        <v>14198</v>
      </c>
      <c r="E11575" s="8">
        <v>10000</v>
      </c>
      <c r="F11575" s="13" t="s">
        <v>70</v>
      </c>
      <c r="G11575" s="14">
        <v>44628</v>
      </c>
      <c r="H11575" s="13" t="s">
        <v>163</v>
      </c>
    </row>
    <row r="11576" spans="1:8" ht="14.4" x14ac:dyDescent="0.3">
      <c r="A11576" s="8">
        <v>2027972</v>
      </c>
      <c r="B11576" s="11">
        <v>44623</v>
      </c>
      <c r="C11576" s="13" t="s">
        <v>7953</v>
      </c>
      <c r="D11576" s="13" t="s">
        <v>14199</v>
      </c>
      <c r="E11576" s="8">
        <v>12000</v>
      </c>
      <c r="F11576" s="13" t="s">
        <v>70</v>
      </c>
      <c r="G11576" s="14">
        <v>44628</v>
      </c>
      <c r="H11576" s="13" t="s">
        <v>163</v>
      </c>
    </row>
    <row r="11577" spans="1:8" ht="14.4" x14ac:dyDescent="0.3">
      <c r="A11577" s="8">
        <v>2027973</v>
      </c>
      <c r="B11577" s="11">
        <v>44623</v>
      </c>
      <c r="C11577" s="13" t="s">
        <v>14200</v>
      </c>
      <c r="D11577" s="13" t="s">
        <v>14201</v>
      </c>
      <c r="E11577" s="8">
        <v>12000</v>
      </c>
      <c r="F11577" s="13" t="s">
        <v>70</v>
      </c>
      <c r="G11577" s="14">
        <v>44627</v>
      </c>
      <c r="H11577" s="13" t="s">
        <v>163</v>
      </c>
    </row>
    <row r="11578" spans="1:8" ht="14.4" x14ac:dyDescent="0.3">
      <c r="A11578" s="8">
        <v>2027974</v>
      </c>
      <c r="B11578" s="11">
        <v>44623</v>
      </c>
      <c r="C11578" s="13" t="s">
        <v>14202</v>
      </c>
      <c r="D11578" s="13" t="s">
        <v>14203</v>
      </c>
      <c r="E11578" s="8">
        <v>8000</v>
      </c>
      <c r="F11578" s="13" t="s">
        <v>70</v>
      </c>
      <c r="G11578" s="14">
        <v>44627</v>
      </c>
      <c r="H11578" s="13" t="s">
        <v>163</v>
      </c>
    </row>
    <row r="11579" spans="1:8" ht="14.4" x14ac:dyDescent="0.3">
      <c r="A11579" s="8">
        <v>2027975</v>
      </c>
      <c r="B11579" s="11">
        <v>44623</v>
      </c>
      <c r="C11579" s="13" t="s">
        <v>14204</v>
      </c>
      <c r="D11579" s="13" t="s">
        <v>14205</v>
      </c>
      <c r="E11579" s="8">
        <v>2000</v>
      </c>
      <c r="F11579" s="13" t="s">
        <v>70</v>
      </c>
      <c r="G11579" s="14">
        <v>44628</v>
      </c>
      <c r="H11579" s="13" t="s">
        <v>163</v>
      </c>
    </row>
    <row r="11580" spans="1:8" ht="14.4" x14ac:dyDescent="0.3">
      <c r="A11580" s="8">
        <v>2027976</v>
      </c>
      <c r="B11580" s="11">
        <v>44623</v>
      </c>
      <c r="C11580" s="13" t="s">
        <v>14206</v>
      </c>
      <c r="D11580" s="13" t="s">
        <v>14207</v>
      </c>
      <c r="E11580" s="8">
        <v>10000</v>
      </c>
      <c r="F11580" s="13" t="s">
        <v>70</v>
      </c>
      <c r="G11580" s="14">
        <v>44628</v>
      </c>
      <c r="H11580" s="13" t="s">
        <v>163</v>
      </c>
    </row>
    <row r="11581" spans="1:8" ht="14.4" x14ac:dyDescent="0.3">
      <c r="A11581" s="8">
        <v>2027977</v>
      </c>
      <c r="B11581" s="11">
        <v>44623</v>
      </c>
      <c r="C11581" s="13" t="s">
        <v>14208</v>
      </c>
      <c r="D11581" s="13" t="s">
        <v>14209</v>
      </c>
      <c r="E11581" s="8">
        <v>4000</v>
      </c>
      <c r="F11581" s="13" t="s">
        <v>70</v>
      </c>
      <c r="G11581" s="14">
        <v>44627</v>
      </c>
      <c r="H11581" s="13" t="s">
        <v>163</v>
      </c>
    </row>
    <row r="11582" spans="1:8" ht="14.4" x14ac:dyDescent="0.3">
      <c r="A11582" s="8">
        <v>2027978</v>
      </c>
      <c r="B11582" s="11">
        <v>44623</v>
      </c>
      <c r="C11582" s="13" t="s">
        <v>3098</v>
      </c>
      <c r="D11582" s="13" t="s">
        <v>14210</v>
      </c>
      <c r="E11582" s="8">
        <v>2000</v>
      </c>
      <c r="F11582" s="13" t="s">
        <v>70</v>
      </c>
      <c r="G11582" s="14">
        <v>44627</v>
      </c>
      <c r="H11582" s="13" t="s">
        <v>163</v>
      </c>
    </row>
    <row r="11583" spans="1:8" ht="14.4" x14ac:dyDescent="0.3">
      <c r="A11583" s="8">
        <v>2027979</v>
      </c>
      <c r="B11583" s="11">
        <v>44623</v>
      </c>
      <c r="C11583" s="13" t="s">
        <v>14211</v>
      </c>
      <c r="D11583" s="13" t="s">
        <v>14212</v>
      </c>
      <c r="E11583" s="8">
        <v>2000</v>
      </c>
      <c r="F11583" s="13" t="s">
        <v>70</v>
      </c>
      <c r="G11583" s="14">
        <v>44627</v>
      </c>
      <c r="H11583" s="13" t="s">
        <v>163</v>
      </c>
    </row>
    <row r="11584" spans="1:8" ht="14.4" x14ac:dyDescent="0.3">
      <c r="A11584" s="8">
        <v>2027980</v>
      </c>
      <c r="B11584" s="11">
        <v>44623</v>
      </c>
      <c r="C11584" s="13" t="s">
        <v>14213</v>
      </c>
      <c r="D11584" s="13" t="s">
        <v>14214</v>
      </c>
      <c r="E11584" s="8">
        <v>2000</v>
      </c>
      <c r="F11584" s="13" t="s">
        <v>70</v>
      </c>
      <c r="G11584" s="14">
        <v>44628</v>
      </c>
      <c r="H11584" s="13" t="s">
        <v>163</v>
      </c>
    </row>
    <row r="11585" spans="1:8" ht="14.4" x14ac:dyDescent="0.3">
      <c r="A11585" s="8">
        <v>2027981</v>
      </c>
      <c r="B11585" s="11">
        <v>44623</v>
      </c>
      <c r="C11585" s="13" t="s">
        <v>12015</v>
      </c>
      <c r="D11585" s="13" t="s">
        <v>14215</v>
      </c>
      <c r="E11585" s="8">
        <v>4000</v>
      </c>
      <c r="F11585" s="13" t="s">
        <v>70</v>
      </c>
      <c r="G11585" s="14">
        <v>44628</v>
      </c>
      <c r="H11585" s="13" t="s">
        <v>163</v>
      </c>
    </row>
    <row r="11586" spans="1:8" ht="14.4" x14ac:dyDescent="0.3">
      <c r="A11586" s="8">
        <v>2027982</v>
      </c>
      <c r="B11586" s="11">
        <v>44623</v>
      </c>
      <c r="C11586" s="13" t="s">
        <v>14216</v>
      </c>
      <c r="D11586" s="13" t="s">
        <v>14217</v>
      </c>
      <c r="E11586" s="8">
        <v>4000</v>
      </c>
      <c r="F11586" s="13" t="s">
        <v>70</v>
      </c>
      <c r="G11586" s="14">
        <v>44627</v>
      </c>
      <c r="H11586" s="13" t="s">
        <v>163</v>
      </c>
    </row>
    <row r="11587" spans="1:8" ht="14.4" x14ac:dyDescent="0.3">
      <c r="A11587" s="8">
        <v>2027983</v>
      </c>
      <c r="B11587" s="11">
        <v>44624</v>
      </c>
      <c r="C11587" s="13" t="s">
        <v>2206</v>
      </c>
      <c r="D11587" s="13" t="s">
        <v>14218</v>
      </c>
      <c r="E11587" s="8">
        <v>23000</v>
      </c>
      <c r="F11587" s="13" t="s">
        <v>70</v>
      </c>
      <c r="G11587" s="14">
        <v>44624</v>
      </c>
      <c r="H11587" s="13" t="s">
        <v>163</v>
      </c>
    </row>
    <row r="11588" spans="1:8" ht="14.4" x14ac:dyDescent="0.3">
      <c r="A11588" s="8">
        <v>2027984</v>
      </c>
      <c r="B11588" s="11">
        <v>44624</v>
      </c>
      <c r="C11588" s="13" t="s">
        <v>14219</v>
      </c>
      <c r="D11588" s="13" t="s">
        <v>14220</v>
      </c>
      <c r="E11588" s="8">
        <v>8000</v>
      </c>
      <c r="F11588" s="13" t="s">
        <v>70</v>
      </c>
      <c r="G11588" s="14">
        <v>44629</v>
      </c>
      <c r="H11588" s="13" t="s">
        <v>163</v>
      </c>
    </row>
    <row r="11589" spans="1:8" ht="14.4" x14ac:dyDescent="0.3">
      <c r="A11589" s="8">
        <v>2027985</v>
      </c>
      <c r="B11589" s="11">
        <v>44624</v>
      </c>
      <c r="C11589" s="13" t="s">
        <v>506</v>
      </c>
      <c r="D11589" s="13" t="s">
        <v>14221</v>
      </c>
      <c r="E11589" s="8">
        <v>9055</v>
      </c>
      <c r="F11589" s="13" t="s">
        <v>70</v>
      </c>
      <c r="G11589" s="14">
        <v>44645</v>
      </c>
      <c r="H11589" s="13" t="s">
        <v>163</v>
      </c>
    </row>
    <row r="11590" spans="1:8" ht="14.4" x14ac:dyDescent="0.3">
      <c r="A11590" s="8">
        <v>2027986</v>
      </c>
      <c r="B11590" s="11">
        <v>44624</v>
      </c>
      <c r="C11590" s="13" t="s">
        <v>14222</v>
      </c>
      <c r="D11590" s="13" t="s">
        <v>14223</v>
      </c>
      <c r="E11590" s="8">
        <v>4000</v>
      </c>
      <c r="F11590" s="13" t="s">
        <v>70</v>
      </c>
      <c r="G11590" s="14">
        <v>44629</v>
      </c>
      <c r="H11590" s="13" t="s">
        <v>163</v>
      </c>
    </row>
    <row r="11591" spans="1:8" ht="14.4" x14ac:dyDescent="0.3">
      <c r="A11591" s="8">
        <v>2027987</v>
      </c>
      <c r="B11591" s="11">
        <v>44624</v>
      </c>
      <c r="C11591" s="13" t="s">
        <v>14224</v>
      </c>
      <c r="D11591" s="13" t="s">
        <v>14225</v>
      </c>
      <c r="E11591" s="8">
        <v>4000</v>
      </c>
      <c r="F11591" s="13" t="s">
        <v>70</v>
      </c>
      <c r="G11591" s="14">
        <v>44630</v>
      </c>
      <c r="H11591" s="13" t="s">
        <v>163</v>
      </c>
    </row>
    <row r="11592" spans="1:8" ht="14.4" x14ac:dyDescent="0.3">
      <c r="A11592" s="8">
        <v>2027988</v>
      </c>
      <c r="B11592" s="11">
        <v>44624</v>
      </c>
      <c r="C11592" s="13" t="s">
        <v>7539</v>
      </c>
      <c r="D11592" s="13" t="s">
        <v>14226</v>
      </c>
      <c r="E11592" s="8">
        <v>20000</v>
      </c>
      <c r="F11592" s="13" t="s">
        <v>70</v>
      </c>
      <c r="G11592" s="14">
        <v>44629</v>
      </c>
      <c r="H11592" s="13" t="s">
        <v>163</v>
      </c>
    </row>
    <row r="11593" spans="1:8" ht="14.4" x14ac:dyDescent="0.3">
      <c r="A11593" s="8">
        <v>2027989</v>
      </c>
      <c r="B11593" s="11">
        <v>44624</v>
      </c>
      <c r="C11593" s="13" t="s">
        <v>14227</v>
      </c>
      <c r="D11593" s="13" t="s">
        <v>14228</v>
      </c>
      <c r="E11593" s="8">
        <v>6000</v>
      </c>
      <c r="F11593" s="13" t="s">
        <v>70</v>
      </c>
      <c r="G11593" s="14">
        <v>44630</v>
      </c>
      <c r="H11593" s="13" t="s">
        <v>163</v>
      </c>
    </row>
    <row r="11594" spans="1:8" ht="14.4" x14ac:dyDescent="0.3">
      <c r="A11594" s="8">
        <v>2027990</v>
      </c>
      <c r="B11594" s="11">
        <v>44624</v>
      </c>
      <c r="C11594" s="13" t="s">
        <v>14229</v>
      </c>
      <c r="D11594" s="13" t="s">
        <v>14230</v>
      </c>
      <c r="E11594" s="8">
        <v>6000</v>
      </c>
      <c r="F11594" s="13" t="s">
        <v>70</v>
      </c>
      <c r="G11594" s="14">
        <v>44627</v>
      </c>
      <c r="H11594" s="13" t="s">
        <v>163</v>
      </c>
    </row>
    <row r="11595" spans="1:8" ht="14.4" x14ac:dyDescent="0.3">
      <c r="A11595" s="8">
        <v>2027991</v>
      </c>
      <c r="B11595" s="11">
        <v>44624</v>
      </c>
      <c r="C11595" s="13" t="s">
        <v>13681</v>
      </c>
      <c r="D11595" s="13" t="s">
        <v>14231</v>
      </c>
      <c r="E11595" s="8">
        <v>6000</v>
      </c>
      <c r="F11595" s="13" t="s">
        <v>70</v>
      </c>
      <c r="G11595" s="14">
        <v>44720</v>
      </c>
      <c r="H11595" s="13" t="s">
        <v>163</v>
      </c>
    </row>
    <row r="11596" spans="1:8" ht="14.4" x14ac:dyDescent="0.3">
      <c r="A11596" s="8">
        <v>2027992</v>
      </c>
      <c r="B11596" s="11">
        <v>44624</v>
      </c>
      <c r="C11596" s="13" t="s">
        <v>14232</v>
      </c>
      <c r="D11596" s="13" t="s">
        <v>14233</v>
      </c>
      <c r="E11596" s="8">
        <v>6000</v>
      </c>
      <c r="F11596" s="13" t="s">
        <v>70</v>
      </c>
      <c r="G11596" s="14">
        <v>44628</v>
      </c>
      <c r="H11596" s="13" t="s">
        <v>163</v>
      </c>
    </row>
    <row r="11597" spans="1:8" ht="14.4" x14ac:dyDescent="0.3">
      <c r="A11597" s="8">
        <v>2027993</v>
      </c>
      <c r="B11597" s="11">
        <v>44624</v>
      </c>
      <c r="C11597" s="13" t="s">
        <v>14234</v>
      </c>
      <c r="D11597" s="13" t="s">
        <v>14235</v>
      </c>
      <c r="E11597" s="8">
        <v>2000</v>
      </c>
      <c r="F11597" s="13" t="s">
        <v>70</v>
      </c>
      <c r="G11597" s="14">
        <v>44631</v>
      </c>
      <c r="H11597" s="13" t="s">
        <v>163</v>
      </c>
    </row>
    <row r="11598" spans="1:8" ht="14.4" x14ac:dyDescent="0.3">
      <c r="A11598" s="8">
        <v>2027995</v>
      </c>
      <c r="B11598" s="11">
        <v>44624</v>
      </c>
      <c r="C11598" s="13" t="s">
        <v>14236</v>
      </c>
      <c r="D11598" s="13" t="s">
        <v>14237</v>
      </c>
      <c r="E11598" s="8">
        <v>8000</v>
      </c>
      <c r="F11598" s="13" t="s">
        <v>70</v>
      </c>
      <c r="G11598" s="14">
        <v>44628</v>
      </c>
      <c r="H11598" s="13" t="s">
        <v>163</v>
      </c>
    </row>
    <row r="11599" spans="1:8" ht="14.4" x14ac:dyDescent="0.3">
      <c r="A11599" s="8">
        <v>2027996</v>
      </c>
      <c r="B11599" s="11">
        <v>44624</v>
      </c>
      <c r="C11599" s="13" t="s">
        <v>14238</v>
      </c>
      <c r="D11599" s="13" t="s">
        <v>14239</v>
      </c>
      <c r="E11599" s="8">
        <v>2000</v>
      </c>
      <c r="F11599" s="13" t="s">
        <v>70</v>
      </c>
      <c r="G11599" s="14">
        <v>44628</v>
      </c>
      <c r="H11599" s="13" t="s">
        <v>163</v>
      </c>
    </row>
    <row r="11600" spans="1:8" ht="14.4" x14ac:dyDescent="0.3">
      <c r="A11600" s="8">
        <v>2027997</v>
      </c>
      <c r="B11600" s="11">
        <v>44624</v>
      </c>
      <c r="C11600" s="13" t="s">
        <v>14240</v>
      </c>
      <c r="D11600" s="13" t="s">
        <v>14241</v>
      </c>
      <c r="E11600" s="8">
        <v>2000</v>
      </c>
      <c r="F11600" s="13" t="s">
        <v>70</v>
      </c>
      <c r="G11600" s="14">
        <v>44628</v>
      </c>
      <c r="H11600" s="13" t="s">
        <v>163</v>
      </c>
    </row>
    <row r="11601" spans="1:8" ht="14.4" x14ac:dyDescent="0.3">
      <c r="A11601" s="8">
        <v>2027998</v>
      </c>
      <c r="B11601" s="11">
        <v>44624</v>
      </c>
      <c r="C11601" s="13" t="s">
        <v>13858</v>
      </c>
      <c r="D11601" s="13" t="s">
        <v>14242</v>
      </c>
      <c r="E11601" s="8">
        <v>4000</v>
      </c>
      <c r="F11601" s="13" t="s">
        <v>70</v>
      </c>
      <c r="G11601" s="14">
        <v>44628</v>
      </c>
      <c r="H11601" s="13" t="s">
        <v>163</v>
      </c>
    </row>
    <row r="11602" spans="1:8" ht="14.4" x14ac:dyDescent="0.3">
      <c r="A11602" s="8">
        <v>2027999</v>
      </c>
      <c r="B11602" s="11">
        <v>44624</v>
      </c>
      <c r="C11602" s="13" t="s">
        <v>14243</v>
      </c>
      <c r="D11602" s="13" t="s">
        <v>14244</v>
      </c>
      <c r="E11602" s="8">
        <v>4000</v>
      </c>
      <c r="F11602" s="13" t="s">
        <v>70</v>
      </c>
      <c r="G11602" s="14">
        <v>44628</v>
      </c>
      <c r="H11602" s="13" t="s">
        <v>163</v>
      </c>
    </row>
    <row r="11603" spans="1:8" ht="14.4" x14ac:dyDescent="0.3">
      <c r="A11603" s="8">
        <v>2028000</v>
      </c>
      <c r="B11603" s="11">
        <v>44624</v>
      </c>
      <c r="C11603" s="13" t="s">
        <v>7951</v>
      </c>
      <c r="D11603" s="13" t="s">
        <v>14245</v>
      </c>
      <c r="E11603" s="8">
        <v>12000</v>
      </c>
      <c r="F11603" s="13" t="s">
        <v>70</v>
      </c>
      <c r="G11603" s="14">
        <v>44629</v>
      </c>
      <c r="H11603" s="13" t="s">
        <v>163</v>
      </c>
    </row>
    <row r="11604" spans="1:8" ht="14.4" x14ac:dyDescent="0.3">
      <c r="A11604" s="8">
        <v>2028001</v>
      </c>
      <c r="B11604" s="11">
        <v>44624</v>
      </c>
      <c r="C11604" s="13" t="s">
        <v>2624</v>
      </c>
      <c r="D11604" s="13" t="s">
        <v>5853</v>
      </c>
      <c r="E11604" s="8">
        <v>135789.13</v>
      </c>
      <c r="F11604" s="13" t="s">
        <v>70</v>
      </c>
      <c r="G11604" s="14">
        <v>44627</v>
      </c>
      <c r="H11604" s="13" t="s">
        <v>163</v>
      </c>
    </row>
    <row r="11605" spans="1:8" ht="14.4" x14ac:dyDescent="0.3">
      <c r="A11605" s="8">
        <v>2028002</v>
      </c>
      <c r="B11605" s="11">
        <v>44627</v>
      </c>
      <c r="C11605" s="13" t="s">
        <v>14246</v>
      </c>
      <c r="D11605" s="13" t="s">
        <v>14247</v>
      </c>
      <c r="E11605" s="8">
        <v>10000</v>
      </c>
      <c r="F11605" s="13" t="s">
        <v>70</v>
      </c>
      <c r="G11605" s="14">
        <v>44634</v>
      </c>
      <c r="H11605" s="13" t="s">
        <v>163</v>
      </c>
    </row>
    <row r="11606" spans="1:8" ht="14.4" x14ac:dyDescent="0.3">
      <c r="A11606" s="8">
        <v>2028003</v>
      </c>
      <c r="B11606" s="11">
        <v>44627</v>
      </c>
      <c r="C11606" s="13" t="s">
        <v>14248</v>
      </c>
      <c r="D11606" s="13" t="s">
        <v>14249</v>
      </c>
      <c r="E11606" s="8">
        <v>6000</v>
      </c>
      <c r="F11606" s="13" t="s">
        <v>70</v>
      </c>
      <c r="G11606" s="14">
        <v>44630</v>
      </c>
      <c r="H11606" s="13" t="s">
        <v>163</v>
      </c>
    </row>
    <row r="11607" spans="1:8" ht="14.4" x14ac:dyDescent="0.3">
      <c r="A11607" s="8">
        <v>2028004</v>
      </c>
      <c r="B11607" s="11">
        <v>44627</v>
      </c>
      <c r="C11607" s="13" t="s">
        <v>14250</v>
      </c>
      <c r="D11607" s="13" t="s">
        <v>14251</v>
      </c>
      <c r="E11607" s="8">
        <v>6000</v>
      </c>
      <c r="F11607" s="13" t="s">
        <v>70</v>
      </c>
      <c r="G11607" s="14">
        <v>44630</v>
      </c>
      <c r="H11607" s="13" t="s">
        <v>163</v>
      </c>
    </row>
    <row r="11608" spans="1:8" ht="14.4" x14ac:dyDescent="0.3">
      <c r="A11608" s="8">
        <v>2028005</v>
      </c>
      <c r="B11608" s="11">
        <v>44627</v>
      </c>
      <c r="C11608" s="13" t="s">
        <v>7993</v>
      </c>
      <c r="D11608" s="13" t="s">
        <v>14252</v>
      </c>
      <c r="E11608" s="8">
        <v>6000</v>
      </c>
      <c r="F11608" s="13" t="s">
        <v>70</v>
      </c>
      <c r="G11608" s="14">
        <v>44631</v>
      </c>
      <c r="H11608" s="13" t="s">
        <v>163</v>
      </c>
    </row>
    <row r="11609" spans="1:8" ht="14.4" x14ac:dyDescent="0.3">
      <c r="A11609" s="8">
        <v>2028006</v>
      </c>
      <c r="B11609" s="11">
        <v>44627</v>
      </c>
      <c r="C11609" s="13" t="s">
        <v>7656</v>
      </c>
      <c r="D11609" s="13" t="s">
        <v>14253</v>
      </c>
      <c r="E11609" s="8">
        <v>6000</v>
      </c>
      <c r="F11609" s="13" t="s">
        <v>70</v>
      </c>
      <c r="G11609" s="14">
        <v>44631</v>
      </c>
      <c r="H11609" s="13" t="s">
        <v>163</v>
      </c>
    </row>
    <row r="11610" spans="1:8" ht="14.4" x14ac:dyDescent="0.3">
      <c r="A11610" s="8">
        <v>2028008</v>
      </c>
      <c r="B11610" s="11">
        <v>44627</v>
      </c>
      <c r="C11610" s="13" t="s">
        <v>14254</v>
      </c>
      <c r="D11610" s="13" t="s">
        <v>14255</v>
      </c>
      <c r="E11610" s="8">
        <v>2000</v>
      </c>
      <c r="F11610" s="13" t="s">
        <v>70</v>
      </c>
      <c r="G11610" s="14">
        <v>44631</v>
      </c>
      <c r="H11610" s="13" t="s">
        <v>163</v>
      </c>
    </row>
    <row r="11611" spans="1:8" ht="14.4" x14ac:dyDescent="0.3">
      <c r="A11611" s="8">
        <v>2028009</v>
      </c>
      <c r="B11611" s="11">
        <v>44627</v>
      </c>
      <c r="C11611" s="13" t="s">
        <v>14256</v>
      </c>
      <c r="D11611" s="13" t="s">
        <v>14257</v>
      </c>
      <c r="E11611" s="8">
        <v>10000</v>
      </c>
      <c r="F11611" s="13" t="s">
        <v>70</v>
      </c>
      <c r="G11611" s="14">
        <v>44630</v>
      </c>
      <c r="H11611" s="13" t="s">
        <v>163</v>
      </c>
    </row>
    <row r="11612" spans="1:8" ht="14.4" x14ac:dyDescent="0.3">
      <c r="A11612" s="8">
        <v>2028010</v>
      </c>
      <c r="B11612" s="11">
        <v>44627</v>
      </c>
      <c r="C11612" s="13" t="s">
        <v>10706</v>
      </c>
      <c r="D11612" s="13" t="s">
        <v>14258</v>
      </c>
      <c r="E11612" s="8">
        <v>2000</v>
      </c>
      <c r="F11612" s="13" t="s">
        <v>70</v>
      </c>
      <c r="G11612" s="14">
        <v>44631</v>
      </c>
      <c r="H11612" s="13" t="s">
        <v>163</v>
      </c>
    </row>
    <row r="11613" spans="1:8" ht="14.4" x14ac:dyDescent="0.3">
      <c r="A11613" s="8">
        <v>2028011</v>
      </c>
      <c r="B11613" s="11">
        <v>44627</v>
      </c>
      <c r="C11613" s="13" t="s">
        <v>14259</v>
      </c>
      <c r="D11613" s="13" t="s">
        <v>14260</v>
      </c>
      <c r="E11613" s="8">
        <v>2000</v>
      </c>
      <c r="F11613" s="13" t="s">
        <v>70</v>
      </c>
      <c r="G11613" s="14">
        <v>44629</v>
      </c>
      <c r="H11613" s="13" t="s">
        <v>163</v>
      </c>
    </row>
    <row r="11614" spans="1:8" ht="14.4" x14ac:dyDescent="0.3">
      <c r="A11614" s="8">
        <v>2028012</v>
      </c>
      <c r="B11614" s="11">
        <v>44627</v>
      </c>
      <c r="C11614" s="13" t="s">
        <v>14261</v>
      </c>
      <c r="D11614" s="13" t="s">
        <v>14262</v>
      </c>
      <c r="E11614" s="8">
        <v>8000</v>
      </c>
      <c r="F11614" s="13" t="s">
        <v>70</v>
      </c>
      <c r="G11614" s="14">
        <v>44634</v>
      </c>
      <c r="H11614" s="13" t="s">
        <v>163</v>
      </c>
    </row>
    <row r="11615" spans="1:8" ht="14.4" x14ac:dyDescent="0.3">
      <c r="A11615" s="8">
        <v>2028013</v>
      </c>
      <c r="B11615" s="11">
        <v>44627</v>
      </c>
      <c r="C11615" s="13" t="s">
        <v>14263</v>
      </c>
      <c r="D11615" s="13" t="s">
        <v>14264</v>
      </c>
      <c r="E11615" s="8">
        <v>2100000</v>
      </c>
      <c r="F11615" s="13" t="s">
        <v>70</v>
      </c>
      <c r="G11615" s="14">
        <v>44627</v>
      </c>
      <c r="H11615" s="13" t="s">
        <v>163</v>
      </c>
    </row>
    <row r="11616" spans="1:8" ht="14.4" x14ac:dyDescent="0.3">
      <c r="A11616" s="8">
        <v>2028014</v>
      </c>
      <c r="B11616" s="11">
        <v>44627</v>
      </c>
      <c r="C11616" s="13" t="s">
        <v>14265</v>
      </c>
      <c r="D11616" s="13" t="s">
        <v>14266</v>
      </c>
      <c r="E11616" s="8">
        <v>3506772.9</v>
      </c>
      <c r="F11616" s="13" t="s">
        <v>70</v>
      </c>
      <c r="G11616" s="14">
        <v>44630</v>
      </c>
      <c r="H11616" s="13" t="s">
        <v>163</v>
      </c>
    </row>
    <row r="11617" spans="1:8" ht="14.4" x14ac:dyDescent="0.3">
      <c r="A11617" s="8">
        <v>2028015</v>
      </c>
      <c r="B11617" s="11">
        <v>44627</v>
      </c>
      <c r="C11617" s="13" t="s">
        <v>506</v>
      </c>
      <c r="D11617" s="13" t="s">
        <v>14267</v>
      </c>
      <c r="E11617" s="8">
        <v>3917</v>
      </c>
      <c r="F11617" s="13" t="s">
        <v>70</v>
      </c>
      <c r="G11617" s="14">
        <v>44645</v>
      </c>
      <c r="H11617" s="13" t="s">
        <v>163</v>
      </c>
    </row>
    <row r="11618" spans="1:8" ht="14.4" x14ac:dyDescent="0.3">
      <c r="A11618" s="8">
        <v>2028016</v>
      </c>
      <c r="B11618" s="11">
        <v>44627</v>
      </c>
      <c r="C11618" s="13" t="s">
        <v>506</v>
      </c>
      <c r="D11618" s="13" t="s">
        <v>14268</v>
      </c>
      <c r="E11618" s="8">
        <v>6385</v>
      </c>
      <c r="F11618" s="13" t="s">
        <v>70</v>
      </c>
      <c r="G11618" s="14">
        <v>44645</v>
      </c>
      <c r="H11618" s="13" t="s">
        <v>163</v>
      </c>
    </row>
    <row r="11619" spans="1:8" ht="14.4" x14ac:dyDescent="0.3">
      <c r="A11619" s="8">
        <v>2028017</v>
      </c>
      <c r="B11619" s="11">
        <v>44627</v>
      </c>
      <c r="C11619" s="13" t="s">
        <v>14269</v>
      </c>
      <c r="D11619" s="13" t="s">
        <v>14270</v>
      </c>
      <c r="E11619" s="8">
        <v>2000</v>
      </c>
      <c r="F11619" s="13" t="s">
        <v>70</v>
      </c>
      <c r="G11619" s="14">
        <v>44629</v>
      </c>
      <c r="H11619" s="13" t="s">
        <v>163</v>
      </c>
    </row>
    <row r="11620" spans="1:8" ht="14.4" x14ac:dyDescent="0.3">
      <c r="A11620" s="8">
        <v>2028018</v>
      </c>
      <c r="B11620" s="11">
        <v>44627</v>
      </c>
      <c r="C11620" s="13" t="s">
        <v>7945</v>
      </c>
      <c r="D11620" s="13" t="s">
        <v>14271</v>
      </c>
      <c r="E11620" s="8">
        <v>16000</v>
      </c>
      <c r="F11620" s="13" t="s">
        <v>70</v>
      </c>
      <c r="G11620" s="14">
        <v>44630</v>
      </c>
      <c r="H11620" s="13" t="s">
        <v>163</v>
      </c>
    </row>
    <row r="11621" spans="1:8" ht="14.4" x14ac:dyDescent="0.3">
      <c r="A11621" s="8">
        <v>2028019</v>
      </c>
      <c r="B11621" s="11">
        <v>44627</v>
      </c>
      <c r="C11621" s="13" t="s">
        <v>14272</v>
      </c>
      <c r="D11621" s="13" t="s">
        <v>14273</v>
      </c>
      <c r="E11621" s="8">
        <v>4000</v>
      </c>
      <c r="F11621" s="13" t="s">
        <v>70</v>
      </c>
      <c r="G11621" s="14">
        <v>44629</v>
      </c>
      <c r="H11621" s="13" t="s">
        <v>163</v>
      </c>
    </row>
    <row r="11622" spans="1:8" ht="14.4" x14ac:dyDescent="0.3">
      <c r="A11622" s="8">
        <v>2028020</v>
      </c>
      <c r="B11622" s="11">
        <v>44627</v>
      </c>
      <c r="C11622" s="13" t="s">
        <v>14274</v>
      </c>
      <c r="D11622" s="13" t="s">
        <v>14275</v>
      </c>
      <c r="E11622" s="8">
        <v>2000</v>
      </c>
      <c r="F11622" s="13" t="s">
        <v>70</v>
      </c>
      <c r="G11622" s="14">
        <v>44629</v>
      </c>
      <c r="H11622" s="13" t="s">
        <v>163</v>
      </c>
    </row>
    <row r="11623" spans="1:8" ht="14.4" x14ac:dyDescent="0.3">
      <c r="A11623" s="8">
        <v>2028021</v>
      </c>
      <c r="B11623" s="11">
        <v>44627</v>
      </c>
      <c r="C11623" s="13" t="s">
        <v>14276</v>
      </c>
      <c r="D11623" s="13" t="s">
        <v>14277</v>
      </c>
      <c r="E11623" s="8">
        <v>4000</v>
      </c>
      <c r="F11623" s="13" t="s">
        <v>70</v>
      </c>
      <c r="G11623" s="14">
        <v>44629</v>
      </c>
      <c r="H11623" s="13" t="s">
        <v>163</v>
      </c>
    </row>
    <row r="11624" spans="1:8" ht="14.4" x14ac:dyDescent="0.3">
      <c r="A11624" s="8">
        <v>2028022</v>
      </c>
      <c r="B11624" s="11">
        <v>44627</v>
      </c>
      <c r="C11624" s="13" t="s">
        <v>14278</v>
      </c>
      <c r="D11624" s="13" t="s">
        <v>14279</v>
      </c>
      <c r="E11624" s="8">
        <v>2000</v>
      </c>
      <c r="F11624" s="13" t="s">
        <v>70</v>
      </c>
      <c r="G11624" s="14">
        <v>44630</v>
      </c>
      <c r="H11624" s="13" t="s">
        <v>163</v>
      </c>
    </row>
    <row r="11625" spans="1:8" ht="14.4" x14ac:dyDescent="0.3">
      <c r="A11625" s="8">
        <v>2028023</v>
      </c>
      <c r="B11625" s="11">
        <v>44627</v>
      </c>
      <c r="C11625" s="13" t="s">
        <v>14280</v>
      </c>
      <c r="D11625" s="13" t="s">
        <v>14281</v>
      </c>
      <c r="E11625" s="8">
        <v>2000</v>
      </c>
      <c r="F11625" s="13" t="s">
        <v>70</v>
      </c>
      <c r="G11625" s="14">
        <v>44631</v>
      </c>
      <c r="H11625" s="13" t="s">
        <v>163</v>
      </c>
    </row>
    <row r="11626" spans="1:8" ht="14.4" x14ac:dyDescent="0.3">
      <c r="A11626" s="8">
        <v>2028024</v>
      </c>
      <c r="B11626" s="11">
        <v>44628</v>
      </c>
      <c r="C11626" s="13" t="s">
        <v>2111</v>
      </c>
      <c r="D11626" s="13" t="s">
        <v>14282</v>
      </c>
      <c r="E11626" s="8">
        <v>10000</v>
      </c>
      <c r="F11626" s="13" t="s">
        <v>70</v>
      </c>
      <c r="G11626" s="14">
        <v>44631</v>
      </c>
      <c r="H11626" s="13" t="s">
        <v>163</v>
      </c>
    </row>
    <row r="11627" spans="1:8" ht="14.4" x14ac:dyDescent="0.3">
      <c r="A11627" s="8">
        <v>2028025</v>
      </c>
      <c r="B11627" s="11">
        <v>44628</v>
      </c>
      <c r="C11627" s="13" t="s">
        <v>14283</v>
      </c>
      <c r="D11627" s="13" t="s">
        <v>14284</v>
      </c>
      <c r="E11627" s="8">
        <v>8000</v>
      </c>
      <c r="F11627" s="13" t="s">
        <v>70</v>
      </c>
      <c r="G11627" s="14">
        <v>44630</v>
      </c>
      <c r="H11627" s="13" t="s">
        <v>163</v>
      </c>
    </row>
    <row r="11628" spans="1:8" ht="14.4" x14ac:dyDescent="0.3">
      <c r="A11628" s="8">
        <v>2028026</v>
      </c>
      <c r="B11628" s="11">
        <v>44628</v>
      </c>
      <c r="C11628" s="13" t="s">
        <v>14285</v>
      </c>
      <c r="D11628" s="13" t="s">
        <v>14286</v>
      </c>
      <c r="E11628" s="8">
        <v>2000</v>
      </c>
      <c r="F11628" s="13" t="s">
        <v>70</v>
      </c>
      <c r="G11628" s="14">
        <v>44630</v>
      </c>
      <c r="H11628" s="13" t="s">
        <v>163</v>
      </c>
    </row>
    <row r="11629" spans="1:8" ht="14.4" x14ac:dyDescent="0.3">
      <c r="A11629" s="8">
        <v>2028027</v>
      </c>
      <c r="B11629" s="11">
        <v>44628</v>
      </c>
      <c r="C11629" s="13" t="s">
        <v>14287</v>
      </c>
      <c r="D11629" s="13" t="s">
        <v>14288</v>
      </c>
      <c r="E11629" s="8">
        <v>10000</v>
      </c>
      <c r="F11629" s="13" t="s">
        <v>70</v>
      </c>
      <c r="G11629" s="14">
        <v>44630</v>
      </c>
      <c r="H11629" s="13" t="s">
        <v>163</v>
      </c>
    </row>
    <row r="11630" spans="1:8" ht="14.4" x14ac:dyDescent="0.3">
      <c r="A11630" s="8">
        <v>2028028</v>
      </c>
      <c r="B11630" s="11">
        <v>44628</v>
      </c>
      <c r="C11630" s="13" t="s">
        <v>14289</v>
      </c>
      <c r="D11630" s="13" t="s">
        <v>14290</v>
      </c>
      <c r="E11630" s="8">
        <v>4000</v>
      </c>
      <c r="F11630" s="13" t="s">
        <v>70</v>
      </c>
      <c r="G11630" s="14">
        <v>44630</v>
      </c>
      <c r="H11630" s="13" t="s">
        <v>163</v>
      </c>
    </row>
    <row r="11631" spans="1:8" ht="14.4" x14ac:dyDescent="0.3">
      <c r="A11631" s="8">
        <v>2028029</v>
      </c>
      <c r="B11631" s="11">
        <v>44628</v>
      </c>
      <c r="C11631" s="13" t="s">
        <v>14291</v>
      </c>
      <c r="D11631" s="13" t="s">
        <v>14292</v>
      </c>
      <c r="E11631" s="8">
        <v>2000</v>
      </c>
      <c r="F11631" s="13" t="s">
        <v>70</v>
      </c>
      <c r="G11631" s="14">
        <v>44631</v>
      </c>
      <c r="H11631" s="13" t="s">
        <v>163</v>
      </c>
    </row>
    <row r="11632" spans="1:8" ht="14.4" x14ac:dyDescent="0.3">
      <c r="A11632" s="8">
        <v>2028030</v>
      </c>
      <c r="B11632" s="11">
        <v>44628</v>
      </c>
      <c r="C11632" s="13" t="s">
        <v>14293</v>
      </c>
      <c r="D11632" s="13" t="s">
        <v>14294</v>
      </c>
      <c r="E11632" s="8">
        <v>2000</v>
      </c>
      <c r="F11632" s="13" t="s">
        <v>70</v>
      </c>
      <c r="G11632" s="14">
        <v>44630</v>
      </c>
      <c r="H11632" s="13" t="s">
        <v>163</v>
      </c>
    </row>
    <row r="11633" spans="1:8" ht="14.4" x14ac:dyDescent="0.3">
      <c r="A11633" s="8">
        <v>2028031</v>
      </c>
      <c r="B11633" s="11">
        <v>44628</v>
      </c>
      <c r="C11633" s="13" t="s">
        <v>5112</v>
      </c>
      <c r="D11633" s="13" t="s">
        <v>14295</v>
      </c>
      <c r="E11633" s="8">
        <v>2000</v>
      </c>
      <c r="F11633" s="13" t="s">
        <v>70</v>
      </c>
      <c r="G11633" s="14">
        <v>44631</v>
      </c>
      <c r="H11633" s="13" t="s">
        <v>163</v>
      </c>
    </row>
    <row r="11634" spans="1:8" ht="14.4" x14ac:dyDescent="0.3">
      <c r="A11634" s="8">
        <v>2028032</v>
      </c>
      <c r="B11634" s="11">
        <v>44628</v>
      </c>
      <c r="C11634" s="13" t="s">
        <v>5128</v>
      </c>
      <c r="D11634" s="13" t="s">
        <v>14296</v>
      </c>
      <c r="E11634" s="8">
        <v>2000</v>
      </c>
      <c r="F11634" s="13" t="s">
        <v>70</v>
      </c>
      <c r="G11634" s="14">
        <v>44631</v>
      </c>
      <c r="H11634" s="13" t="s">
        <v>163</v>
      </c>
    </row>
    <row r="11635" spans="1:8" ht="14.4" x14ac:dyDescent="0.3">
      <c r="A11635" s="8">
        <v>2028033</v>
      </c>
      <c r="B11635" s="11">
        <v>44628</v>
      </c>
      <c r="C11635" s="13" t="s">
        <v>14297</v>
      </c>
      <c r="D11635" s="13" t="s">
        <v>14298</v>
      </c>
      <c r="E11635" s="8">
        <v>2000</v>
      </c>
      <c r="F11635" s="13" t="s">
        <v>70</v>
      </c>
      <c r="G11635" s="14">
        <v>44630</v>
      </c>
      <c r="H11635" s="13" t="s">
        <v>163</v>
      </c>
    </row>
    <row r="11636" spans="1:8" ht="14.4" x14ac:dyDescent="0.3">
      <c r="A11636" s="8">
        <v>2028034</v>
      </c>
      <c r="B11636" s="11">
        <v>44628</v>
      </c>
      <c r="C11636" s="13" t="s">
        <v>14299</v>
      </c>
      <c r="D11636" s="13" t="s">
        <v>14300</v>
      </c>
      <c r="E11636" s="8">
        <v>32000</v>
      </c>
      <c r="F11636" s="13" t="s">
        <v>70</v>
      </c>
      <c r="G11636" s="14">
        <v>44685</v>
      </c>
      <c r="H11636" s="13" t="s">
        <v>163</v>
      </c>
    </row>
    <row r="11637" spans="1:8" ht="14.4" x14ac:dyDescent="0.3">
      <c r="A11637" s="8">
        <v>2028035</v>
      </c>
      <c r="B11637" s="11">
        <v>44628</v>
      </c>
      <c r="C11637" s="13" t="s">
        <v>14301</v>
      </c>
      <c r="D11637" s="13" t="s">
        <v>14302</v>
      </c>
      <c r="E11637" s="8">
        <v>40000</v>
      </c>
      <c r="F11637" s="13" t="s">
        <v>70</v>
      </c>
      <c r="G11637" s="14">
        <v>44685</v>
      </c>
      <c r="H11637" s="13" t="s">
        <v>163</v>
      </c>
    </row>
    <row r="11638" spans="1:8" ht="14.4" x14ac:dyDescent="0.3">
      <c r="A11638" s="8">
        <v>2028036</v>
      </c>
      <c r="B11638" s="11">
        <v>44628</v>
      </c>
      <c r="C11638" s="13" t="s">
        <v>14303</v>
      </c>
      <c r="D11638" s="13" t="s">
        <v>14304</v>
      </c>
      <c r="E11638" s="8">
        <v>4000</v>
      </c>
      <c r="F11638" s="13" t="s">
        <v>70</v>
      </c>
      <c r="G11638" s="14">
        <v>44631</v>
      </c>
      <c r="H11638" s="13" t="s">
        <v>163</v>
      </c>
    </row>
    <row r="11639" spans="1:8" ht="14.4" x14ac:dyDescent="0.3">
      <c r="A11639" s="8">
        <v>2028037</v>
      </c>
      <c r="B11639" s="11">
        <v>44628</v>
      </c>
      <c r="C11639" s="13" t="s">
        <v>14305</v>
      </c>
      <c r="D11639" s="13" t="s">
        <v>14306</v>
      </c>
      <c r="E11639" s="8">
        <v>4000</v>
      </c>
      <c r="F11639" s="13" t="s">
        <v>70</v>
      </c>
      <c r="G11639" s="14">
        <v>44630</v>
      </c>
      <c r="H11639" s="13" t="s">
        <v>163</v>
      </c>
    </row>
    <row r="11640" spans="1:8" ht="14.4" x14ac:dyDescent="0.3">
      <c r="A11640" s="8">
        <v>2028038</v>
      </c>
      <c r="B11640" s="11">
        <v>44628</v>
      </c>
      <c r="C11640" s="13" t="s">
        <v>14307</v>
      </c>
      <c r="D11640" s="13" t="s">
        <v>14308</v>
      </c>
      <c r="E11640" s="8">
        <v>2000</v>
      </c>
      <c r="F11640" s="13" t="s">
        <v>70</v>
      </c>
      <c r="G11640" s="14">
        <v>44631</v>
      </c>
      <c r="H11640" s="13" t="s">
        <v>163</v>
      </c>
    </row>
    <row r="11641" spans="1:8" ht="14.4" x14ac:dyDescent="0.3">
      <c r="A11641" s="8">
        <v>2028039</v>
      </c>
      <c r="B11641" s="11">
        <v>44628</v>
      </c>
      <c r="C11641" s="13" t="s">
        <v>14309</v>
      </c>
      <c r="D11641" s="13" t="s">
        <v>14310</v>
      </c>
      <c r="E11641" s="8">
        <v>8000</v>
      </c>
      <c r="F11641" s="13" t="s">
        <v>70</v>
      </c>
      <c r="G11641" s="14">
        <v>44631</v>
      </c>
      <c r="H11641" s="13" t="s">
        <v>163</v>
      </c>
    </row>
    <row r="11642" spans="1:8" ht="14.4" x14ac:dyDescent="0.3">
      <c r="A11642" s="8">
        <v>2028040</v>
      </c>
      <c r="B11642" s="11">
        <v>44628</v>
      </c>
      <c r="C11642" s="13" t="s">
        <v>14311</v>
      </c>
      <c r="D11642" s="13" t="s">
        <v>14312</v>
      </c>
      <c r="E11642" s="8">
        <v>6000</v>
      </c>
      <c r="F11642" s="13" t="s">
        <v>70</v>
      </c>
      <c r="G11642" s="14">
        <v>44630</v>
      </c>
      <c r="H11642" s="13" t="s">
        <v>163</v>
      </c>
    </row>
    <row r="11643" spans="1:8" ht="14.4" x14ac:dyDescent="0.3">
      <c r="A11643" s="8">
        <v>2028041</v>
      </c>
      <c r="B11643" s="11">
        <v>44628</v>
      </c>
      <c r="C11643" s="13" t="s">
        <v>14313</v>
      </c>
      <c r="D11643" s="13" t="s">
        <v>14314</v>
      </c>
      <c r="E11643" s="8">
        <v>201621.56</v>
      </c>
      <c r="F11643" s="13" t="s">
        <v>70</v>
      </c>
      <c r="G11643" s="14">
        <v>44645</v>
      </c>
      <c r="H11643" s="13" t="s">
        <v>163</v>
      </c>
    </row>
    <row r="11644" spans="1:8" ht="14.4" x14ac:dyDescent="0.3">
      <c r="A11644" s="8">
        <v>2028042</v>
      </c>
      <c r="B11644" s="11">
        <v>44628</v>
      </c>
      <c r="C11644" s="13" t="s">
        <v>14315</v>
      </c>
      <c r="D11644" s="13" t="s">
        <v>14316</v>
      </c>
      <c r="E11644" s="8">
        <v>8000</v>
      </c>
      <c r="F11644" s="13" t="s">
        <v>70</v>
      </c>
      <c r="G11644" s="14">
        <v>44634</v>
      </c>
      <c r="H11644" s="13" t="s">
        <v>163</v>
      </c>
    </row>
    <row r="11645" spans="1:8" ht="14.4" x14ac:dyDescent="0.3">
      <c r="A11645" s="8">
        <v>2028043</v>
      </c>
      <c r="B11645" s="11">
        <v>44628</v>
      </c>
      <c r="C11645" s="13" t="s">
        <v>14317</v>
      </c>
      <c r="D11645" s="13" t="s">
        <v>14318</v>
      </c>
      <c r="E11645" s="8">
        <v>2000</v>
      </c>
      <c r="F11645" s="13" t="s">
        <v>70</v>
      </c>
      <c r="G11645" s="14">
        <v>44631</v>
      </c>
      <c r="H11645" s="13" t="s">
        <v>163</v>
      </c>
    </row>
    <row r="11646" spans="1:8" ht="14.4" x14ac:dyDescent="0.3">
      <c r="A11646" s="8">
        <v>2028044</v>
      </c>
      <c r="B11646" s="11">
        <v>44628</v>
      </c>
      <c r="C11646" s="13" t="s">
        <v>14319</v>
      </c>
      <c r="D11646" s="13" t="s">
        <v>14320</v>
      </c>
      <c r="E11646" s="8">
        <v>10000</v>
      </c>
      <c r="F11646" s="13" t="s">
        <v>70</v>
      </c>
      <c r="G11646" s="14">
        <v>44721</v>
      </c>
      <c r="H11646" s="13" t="s">
        <v>163</v>
      </c>
    </row>
    <row r="11647" spans="1:8" ht="14.4" x14ac:dyDescent="0.3">
      <c r="A11647" s="8">
        <v>2028045</v>
      </c>
      <c r="B11647" s="11">
        <v>44628</v>
      </c>
      <c r="C11647" s="13" t="s">
        <v>14321</v>
      </c>
      <c r="D11647" s="13" t="s">
        <v>14322</v>
      </c>
      <c r="E11647" s="8">
        <v>4000</v>
      </c>
      <c r="F11647" s="13" t="s">
        <v>70</v>
      </c>
      <c r="G11647" s="14">
        <v>44631</v>
      </c>
      <c r="H11647" s="13" t="s">
        <v>163</v>
      </c>
    </row>
    <row r="11648" spans="1:8" ht="14.4" x14ac:dyDescent="0.3">
      <c r="A11648" s="8">
        <v>2028046</v>
      </c>
      <c r="B11648" s="11">
        <v>44628</v>
      </c>
      <c r="C11648" s="13" t="s">
        <v>14323</v>
      </c>
      <c r="D11648" s="13" t="s">
        <v>14324</v>
      </c>
      <c r="E11648" s="8">
        <v>2000</v>
      </c>
      <c r="F11648" s="13" t="s">
        <v>70</v>
      </c>
      <c r="G11648" s="14">
        <v>44630</v>
      </c>
      <c r="H11648" s="13" t="s">
        <v>163</v>
      </c>
    </row>
    <row r="11649" spans="1:8" ht="14.4" x14ac:dyDescent="0.3">
      <c r="A11649" s="8">
        <v>2028047</v>
      </c>
      <c r="B11649" s="11">
        <v>44628</v>
      </c>
      <c r="C11649" s="13" t="s">
        <v>14325</v>
      </c>
      <c r="D11649" s="13" t="s">
        <v>14326</v>
      </c>
      <c r="E11649" s="8">
        <v>4000</v>
      </c>
      <c r="F11649" s="13" t="s">
        <v>70</v>
      </c>
      <c r="G11649" s="14">
        <v>44630</v>
      </c>
      <c r="H11649" s="13" t="s">
        <v>163</v>
      </c>
    </row>
    <row r="11650" spans="1:8" ht="14.4" x14ac:dyDescent="0.3">
      <c r="A11650" s="8">
        <v>2028048</v>
      </c>
      <c r="B11650" s="11">
        <v>44628</v>
      </c>
      <c r="C11650" s="13" t="s">
        <v>14327</v>
      </c>
      <c r="D11650" s="13" t="s">
        <v>14328</v>
      </c>
      <c r="E11650" s="8">
        <v>6000</v>
      </c>
      <c r="F11650" s="13" t="s">
        <v>70</v>
      </c>
      <c r="G11650" s="14">
        <v>44631</v>
      </c>
      <c r="H11650" s="13" t="s">
        <v>163</v>
      </c>
    </row>
    <row r="11651" spans="1:8" ht="14.4" x14ac:dyDescent="0.3">
      <c r="A11651" s="8">
        <v>2028049</v>
      </c>
      <c r="B11651" s="11">
        <v>44628</v>
      </c>
      <c r="C11651" s="13" t="s">
        <v>2624</v>
      </c>
      <c r="D11651" s="13" t="s">
        <v>14329</v>
      </c>
      <c r="E11651" s="8">
        <v>2000000</v>
      </c>
      <c r="F11651" s="13" t="s">
        <v>70</v>
      </c>
      <c r="G11651" s="14">
        <v>44630</v>
      </c>
      <c r="H11651" s="13" t="s">
        <v>163</v>
      </c>
    </row>
    <row r="11652" spans="1:8" ht="14.4" x14ac:dyDescent="0.3">
      <c r="A11652" s="8">
        <v>2028050</v>
      </c>
      <c r="B11652" s="11">
        <v>44629</v>
      </c>
      <c r="C11652" s="13" t="s">
        <v>14330</v>
      </c>
      <c r="D11652" s="13" t="s">
        <v>14331</v>
      </c>
      <c r="E11652" s="8">
        <v>2000</v>
      </c>
      <c r="F11652" s="13" t="s">
        <v>70</v>
      </c>
      <c r="G11652" s="14">
        <v>44630</v>
      </c>
      <c r="H11652" s="13" t="s">
        <v>163</v>
      </c>
    </row>
    <row r="11653" spans="1:8" ht="14.4" x14ac:dyDescent="0.3">
      <c r="A11653" s="8">
        <v>2028051</v>
      </c>
      <c r="B11653" s="11">
        <v>44629</v>
      </c>
      <c r="C11653" s="13" t="s">
        <v>14332</v>
      </c>
      <c r="D11653" s="13" t="s">
        <v>14333</v>
      </c>
      <c r="E11653" s="8">
        <v>2000</v>
      </c>
      <c r="F11653" s="13" t="s">
        <v>70</v>
      </c>
      <c r="G11653" s="14">
        <v>44634</v>
      </c>
      <c r="H11653" s="13" t="s">
        <v>163</v>
      </c>
    </row>
    <row r="11654" spans="1:8" ht="14.4" x14ac:dyDescent="0.3">
      <c r="A11654" s="8">
        <v>2028052</v>
      </c>
      <c r="B11654" s="11">
        <v>44629</v>
      </c>
      <c r="C11654" s="13" t="s">
        <v>14334</v>
      </c>
      <c r="D11654" s="13" t="s">
        <v>14335</v>
      </c>
      <c r="E11654" s="8">
        <v>2000</v>
      </c>
      <c r="F11654" s="13" t="s">
        <v>70</v>
      </c>
      <c r="G11654" s="14">
        <v>44634</v>
      </c>
      <c r="H11654" s="13" t="s">
        <v>163</v>
      </c>
    </row>
    <row r="11655" spans="1:8" ht="14.4" x14ac:dyDescent="0.3">
      <c r="A11655" s="8">
        <v>2028053</v>
      </c>
      <c r="B11655" s="11">
        <v>44629</v>
      </c>
      <c r="C11655" s="13" t="s">
        <v>14336</v>
      </c>
      <c r="D11655" s="13" t="s">
        <v>14337</v>
      </c>
      <c r="E11655" s="8">
        <v>2000</v>
      </c>
      <c r="F11655" s="13" t="s">
        <v>70</v>
      </c>
      <c r="G11655" s="14">
        <v>44637</v>
      </c>
      <c r="H11655" s="13" t="s">
        <v>163</v>
      </c>
    </row>
    <row r="11656" spans="1:8" ht="14.4" x14ac:dyDescent="0.3">
      <c r="A11656" s="8">
        <v>2028054</v>
      </c>
      <c r="B11656" s="11">
        <v>44629</v>
      </c>
      <c r="C11656" s="13" t="s">
        <v>5380</v>
      </c>
      <c r="D11656" s="13" t="s">
        <v>14338</v>
      </c>
      <c r="E11656" s="8">
        <v>2000</v>
      </c>
      <c r="F11656" s="13" t="s">
        <v>70</v>
      </c>
      <c r="G11656" s="14">
        <v>44637</v>
      </c>
      <c r="H11656" s="13" t="s">
        <v>163</v>
      </c>
    </row>
    <row r="11657" spans="1:8" ht="14.4" x14ac:dyDescent="0.3">
      <c r="A11657" s="8">
        <v>2028055</v>
      </c>
      <c r="B11657" s="11">
        <v>44629</v>
      </c>
      <c r="C11657" s="13" t="s">
        <v>14339</v>
      </c>
      <c r="D11657" s="13" t="s">
        <v>14340</v>
      </c>
      <c r="E11657" s="8">
        <v>5000</v>
      </c>
      <c r="F11657" s="13" t="s">
        <v>70</v>
      </c>
      <c r="G11657" s="14">
        <v>44635</v>
      </c>
      <c r="H11657" s="13" t="s">
        <v>163</v>
      </c>
    </row>
    <row r="11658" spans="1:8" ht="14.4" x14ac:dyDescent="0.3">
      <c r="A11658" s="8">
        <v>2028056</v>
      </c>
      <c r="B11658" s="11">
        <v>44629</v>
      </c>
      <c r="C11658" s="13" t="s">
        <v>14341</v>
      </c>
      <c r="D11658" s="13" t="s">
        <v>14342</v>
      </c>
      <c r="E11658" s="8">
        <v>6000</v>
      </c>
      <c r="F11658" s="13" t="s">
        <v>70</v>
      </c>
      <c r="G11658" s="14">
        <v>44634</v>
      </c>
      <c r="H11658" s="13" t="s">
        <v>163</v>
      </c>
    </row>
    <row r="11659" spans="1:8" ht="14.4" x14ac:dyDescent="0.3">
      <c r="A11659" s="8">
        <v>2028057</v>
      </c>
      <c r="B11659" s="11">
        <v>44629</v>
      </c>
      <c r="C11659" s="13" t="s">
        <v>14343</v>
      </c>
      <c r="D11659" s="13" t="s">
        <v>14344</v>
      </c>
      <c r="E11659" s="8">
        <v>2000</v>
      </c>
      <c r="F11659" s="13" t="s">
        <v>70</v>
      </c>
      <c r="G11659" s="14">
        <v>44634</v>
      </c>
      <c r="H11659" s="13" t="s">
        <v>163</v>
      </c>
    </row>
    <row r="11660" spans="1:8" ht="14.4" x14ac:dyDescent="0.3">
      <c r="A11660" s="8">
        <v>2028058</v>
      </c>
      <c r="B11660" s="11">
        <v>44629</v>
      </c>
      <c r="C11660" s="13" t="s">
        <v>14345</v>
      </c>
      <c r="D11660" s="13" t="s">
        <v>14346</v>
      </c>
      <c r="E11660" s="8">
        <v>4000</v>
      </c>
      <c r="F11660" s="13" t="s">
        <v>70</v>
      </c>
      <c r="G11660" s="14">
        <v>44635</v>
      </c>
      <c r="H11660" s="13" t="s">
        <v>163</v>
      </c>
    </row>
    <row r="11661" spans="1:8" ht="14.4" x14ac:dyDescent="0.3">
      <c r="A11661" s="8">
        <v>2028059</v>
      </c>
      <c r="B11661" s="11">
        <v>44629</v>
      </c>
      <c r="C11661" s="13" t="s">
        <v>14347</v>
      </c>
      <c r="D11661" s="13" t="s">
        <v>14348</v>
      </c>
      <c r="E11661" s="8">
        <v>2000</v>
      </c>
      <c r="F11661" s="13" t="s">
        <v>70</v>
      </c>
      <c r="G11661" s="14">
        <v>44634</v>
      </c>
      <c r="H11661" s="13" t="s">
        <v>163</v>
      </c>
    </row>
    <row r="11662" spans="1:8" ht="14.4" x14ac:dyDescent="0.3">
      <c r="A11662" s="8">
        <v>2028060</v>
      </c>
      <c r="B11662" s="11">
        <v>44629</v>
      </c>
      <c r="C11662" s="13" t="s">
        <v>14349</v>
      </c>
      <c r="D11662" s="13" t="s">
        <v>14350</v>
      </c>
      <c r="E11662" s="8">
        <v>2000</v>
      </c>
      <c r="F11662" s="13" t="s">
        <v>70</v>
      </c>
      <c r="G11662" s="14">
        <v>44635</v>
      </c>
      <c r="H11662" s="13" t="s">
        <v>163</v>
      </c>
    </row>
    <row r="11663" spans="1:8" ht="14.4" x14ac:dyDescent="0.3">
      <c r="A11663" s="8">
        <v>2028061</v>
      </c>
      <c r="B11663" s="11">
        <v>44629</v>
      </c>
      <c r="C11663" s="13" t="s">
        <v>14351</v>
      </c>
      <c r="D11663" s="13" t="s">
        <v>14352</v>
      </c>
      <c r="E11663" s="8">
        <v>2000</v>
      </c>
      <c r="F11663" s="13" t="s">
        <v>70</v>
      </c>
      <c r="G11663" s="14">
        <v>44638</v>
      </c>
      <c r="H11663" s="13" t="s">
        <v>163</v>
      </c>
    </row>
    <row r="11664" spans="1:8" ht="14.4" x14ac:dyDescent="0.3">
      <c r="A11664" s="8">
        <v>2028062</v>
      </c>
      <c r="B11664" s="11">
        <v>44629</v>
      </c>
      <c r="C11664" s="13" t="s">
        <v>14353</v>
      </c>
      <c r="D11664" s="13" t="s">
        <v>14354</v>
      </c>
      <c r="E11664" s="8">
        <v>2000</v>
      </c>
      <c r="F11664" s="13" t="s">
        <v>70</v>
      </c>
      <c r="G11664" s="14">
        <v>44635</v>
      </c>
      <c r="H11664" s="13" t="s">
        <v>163</v>
      </c>
    </row>
    <row r="11665" spans="1:8" ht="14.4" x14ac:dyDescent="0.3">
      <c r="A11665" s="8">
        <v>2028063</v>
      </c>
      <c r="B11665" s="11">
        <v>44629</v>
      </c>
      <c r="C11665" s="13" t="s">
        <v>14355</v>
      </c>
      <c r="D11665" s="13" t="s">
        <v>14356</v>
      </c>
      <c r="E11665" s="8">
        <v>6000</v>
      </c>
      <c r="F11665" s="13" t="s">
        <v>70</v>
      </c>
      <c r="G11665" s="14">
        <v>44634</v>
      </c>
      <c r="H11665" s="13" t="s">
        <v>163</v>
      </c>
    </row>
    <row r="11666" spans="1:8" ht="14.4" x14ac:dyDescent="0.3">
      <c r="A11666" s="8">
        <v>2028064</v>
      </c>
      <c r="B11666" s="11">
        <v>44629</v>
      </c>
      <c r="C11666" s="13" t="s">
        <v>14357</v>
      </c>
      <c r="D11666" s="13" t="s">
        <v>14358</v>
      </c>
      <c r="E11666" s="8">
        <v>2000</v>
      </c>
      <c r="F11666" s="13" t="s">
        <v>70</v>
      </c>
      <c r="G11666" s="14">
        <v>44634</v>
      </c>
      <c r="H11666" s="13" t="s">
        <v>163</v>
      </c>
    </row>
    <row r="11667" spans="1:8" ht="14.4" x14ac:dyDescent="0.3">
      <c r="A11667" s="8">
        <v>2028065</v>
      </c>
      <c r="B11667" s="11">
        <v>44629</v>
      </c>
      <c r="C11667" s="13" t="s">
        <v>14359</v>
      </c>
      <c r="D11667" s="13" t="s">
        <v>14360</v>
      </c>
      <c r="E11667" s="8">
        <v>1000</v>
      </c>
      <c r="F11667" s="13" t="s">
        <v>70</v>
      </c>
      <c r="G11667" s="14">
        <v>44634</v>
      </c>
      <c r="H11667" s="13" t="s">
        <v>163</v>
      </c>
    </row>
    <row r="11668" spans="1:8" ht="14.4" x14ac:dyDescent="0.3">
      <c r="A11668" s="8">
        <v>2028066</v>
      </c>
      <c r="B11668" s="11">
        <v>44629</v>
      </c>
      <c r="C11668" s="13" t="s">
        <v>8714</v>
      </c>
      <c r="D11668" s="13" t="s">
        <v>14361</v>
      </c>
      <c r="E11668" s="8">
        <v>4000</v>
      </c>
      <c r="F11668" s="13" t="s">
        <v>70</v>
      </c>
      <c r="G11668" s="14">
        <v>44630</v>
      </c>
      <c r="H11668" s="13" t="s">
        <v>163</v>
      </c>
    </row>
    <row r="11669" spans="1:8" ht="14.4" x14ac:dyDescent="0.3">
      <c r="A11669" s="8">
        <v>2028067</v>
      </c>
      <c r="B11669" s="11">
        <v>44629</v>
      </c>
      <c r="C11669" s="13" t="s">
        <v>13863</v>
      </c>
      <c r="D11669" s="13" t="s">
        <v>14362</v>
      </c>
      <c r="E11669" s="8">
        <v>2000</v>
      </c>
      <c r="F11669" s="13" t="s">
        <v>70</v>
      </c>
      <c r="G11669" s="14">
        <v>44634</v>
      </c>
      <c r="H11669" s="13" t="s">
        <v>163</v>
      </c>
    </row>
    <row r="11670" spans="1:8" ht="14.4" x14ac:dyDescent="0.3">
      <c r="A11670" s="8">
        <v>2028068</v>
      </c>
      <c r="B11670" s="11">
        <v>44629</v>
      </c>
      <c r="C11670" s="13" t="s">
        <v>14363</v>
      </c>
      <c r="D11670" s="13" t="s">
        <v>14364</v>
      </c>
      <c r="E11670" s="8">
        <v>6000</v>
      </c>
      <c r="F11670" s="13" t="s">
        <v>70</v>
      </c>
      <c r="G11670" s="14">
        <v>44634</v>
      </c>
      <c r="H11670" s="13" t="s">
        <v>163</v>
      </c>
    </row>
    <row r="11671" spans="1:8" ht="14.4" x14ac:dyDescent="0.3">
      <c r="A11671" s="8">
        <v>2028069</v>
      </c>
      <c r="B11671" s="11">
        <v>44629</v>
      </c>
      <c r="C11671" s="13" t="s">
        <v>14365</v>
      </c>
      <c r="D11671" s="13" t="s">
        <v>14366</v>
      </c>
      <c r="E11671" s="8">
        <v>6000</v>
      </c>
      <c r="F11671" s="13" t="s">
        <v>70</v>
      </c>
      <c r="G11671" s="14">
        <v>44634</v>
      </c>
      <c r="H11671" s="13" t="s">
        <v>163</v>
      </c>
    </row>
    <row r="11672" spans="1:8" ht="14.4" x14ac:dyDescent="0.3">
      <c r="A11672" s="8">
        <v>2028070</v>
      </c>
      <c r="B11672" s="11">
        <v>44629</v>
      </c>
      <c r="C11672" s="13" t="s">
        <v>14367</v>
      </c>
      <c r="D11672" s="13" t="s">
        <v>14368</v>
      </c>
      <c r="E11672" s="8">
        <v>6000</v>
      </c>
      <c r="F11672" s="13" t="s">
        <v>70</v>
      </c>
      <c r="G11672" s="14">
        <v>44634</v>
      </c>
      <c r="H11672" s="13" t="s">
        <v>163</v>
      </c>
    </row>
    <row r="11673" spans="1:8" ht="14.4" x14ac:dyDescent="0.3">
      <c r="A11673" s="8">
        <v>2028071</v>
      </c>
      <c r="B11673" s="11">
        <v>44629</v>
      </c>
      <c r="C11673" s="13" t="s">
        <v>14369</v>
      </c>
      <c r="D11673" s="13" t="s">
        <v>14370</v>
      </c>
      <c r="E11673" s="8">
        <v>10000</v>
      </c>
      <c r="F11673" s="13" t="s">
        <v>70</v>
      </c>
      <c r="G11673" s="14">
        <v>44631</v>
      </c>
      <c r="H11673" s="13" t="s">
        <v>163</v>
      </c>
    </row>
    <row r="11674" spans="1:8" ht="14.4" x14ac:dyDescent="0.3">
      <c r="A11674" s="8">
        <v>2028072</v>
      </c>
      <c r="B11674" s="11">
        <v>44629</v>
      </c>
      <c r="C11674" s="13" t="s">
        <v>14371</v>
      </c>
      <c r="D11674" s="13" t="s">
        <v>14372</v>
      </c>
      <c r="E11674" s="8">
        <v>10000</v>
      </c>
      <c r="F11674" s="13" t="s">
        <v>70</v>
      </c>
      <c r="G11674" s="14">
        <v>44634</v>
      </c>
      <c r="H11674" s="13" t="s">
        <v>163</v>
      </c>
    </row>
    <row r="11675" spans="1:8" ht="14.4" x14ac:dyDescent="0.3">
      <c r="A11675" s="8">
        <v>2028073</v>
      </c>
      <c r="B11675" s="11">
        <v>44629</v>
      </c>
      <c r="C11675" s="13" t="s">
        <v>506</v>
      </c>
      <c r="D11675" s="13" t="s">
        <v>14373</v>
      </c>
      <c r="E11675" s="8">
        <v>6680</v>
      </c>
      <c r="F11675" s="13" t="s">
        <v>70</v>
      </c>
      <c r="G11675" s="14">
        <v>44645</v>
      </c>
      <c r="H11675" s="13" t="s">
        <v>163</v>
      </c>
    </row>
    <row r="11676" spans="1:8" ht="14.4" x14ac:dyDescent="0.3">
      <c r="A11676" s="8">
        <v>2028074</v>
      </c>
      <c r="B11676" s="11">
        <v>44629</v>
      </c>
      <c r="C11676" s="13" t="s">
        <v>14374</v>
      </c>
      <c r="D11676" s="13" t="s">
        <v>14375</v>
      </c>
      <c r="E11676" s="8">
        <v>2000</v>
      </c>
      <c r="F11676" s="13" t="s">
        <v>70</v>
      </c>
      <c r="G11676" s="14">
        <v>44635</v>
      </c>
      <c r="H11676" s="13" t="s">
        <v>163</v>
      </c>
    </row>
    <row r="11677" spans="1:8" ht="14.4" x14ac:dyDescent="0.3">
      <c r="A11677" s="8">
        <v>2028075</v>
      </c>
      <c r="B11677" s="11">
        <v>44629</v>
      </c>
      <c r="C11677" s="13" t="s">
        <v>10918</v>
      </c>
      <c r="D11677" s="13" t="s">
        <v>14376</v>
      </c>
      <c r="E11677" s="8">
        <v>897926.04</v>
      </c>
      <c r="F11677" s="13" t="s">
        <v>70</v>
      </c>
      <c r="G11677" s="14">
        <v>44636</v>
      </c>
      <c r="H11677" s="13" t="s">
        <v>163</v>
      </c>
    </row>
    <row r="11678" spans="1:8" ht="14.4" x14ac:dyDescent="0.3">
      <c r="A11678" s="8">
        <v>2028076</v>
      </c>
      <c r="B11678" s="11">
        <v>44629</v>
      </c>
      <c r="C11678" s="13" t="s">
        <v>12745</v>
      </c>
      <c r="D11678" s="13" t="s">
        <v>14377</v>
      </c>
      <c r="E11678" s="8">
        <v>9313985.5899999999</v>
      </c>
      <c r="F11678" s="13" t="s">
        <v>70</v>
      </c>
      <c r="G11678" s="14">
        <v>44630</v>
      </c>
      <c r="H11678" s="13" t="s">
        <v>163</v>
      </c>
    </row>
    <row r="11679" spans="1:8" ht="14.4" x14ac:dyDescent="0.3">
      <c r="A11679" s="8">
        <v>2028077</v>
      </c>
      <c r="B11679" s="11">
        <v>44634</v>
      </c>
      <c r="C11679" s="13" t="s">
        <v>14378</v>
      </c>
      <c r="D11679" s="13" t="s">
        <v>14379</v>
      </c>
      <c r="E11679" s="8">
        <v>6000</v>
      </c>
      <c r="F11679" s="13" t="s">
        <v>70</v>
      </c>
      <c r="G11679" s="14">
        <v>44680</v>
      </c>
      <c r="H11679" s="13" t="s">
        <v>163</v>
      </c>
    </row>
    <row r="11680" spans="1:8" ht="14.4" x14ac:dyDescent="0.3">
      <c r="A11680" s="8">
        <v>2028078</v>
      </c>
      <c r="B11680" s="11">
        <v>44634</v>
      </c>
      <c r="C11680" s="13" t="s">
        <v>14380</v>
      </c>
      <c r="D11680" s="13" t="s">
        <v>14381</v>
      </c>
      <c r="E11680" s="8">
        <v>3263</v>
      </c>
      <c r="F11680" s="13" t="s">
        <v>70</v>
      </c>
      <c r="G11680" s="14">
        <v>44645</v>
      </c>
      <c r="H11680" s="13" t="s">
        <v>163</v>
      </c>
    </row>
    <row r="11681" spans="1:8" ht="14.4" x14ac:dyDescent="0.3">
      <c r="A11681" s="8">
        <v>2028079</v>
      </c>
      <c r="B11681" s="11">
        <v>44634</v>
      </c>
      <c r="C11681" s="13" t="s">
        <v>14313</v>
      </c>
      <c r="D11681" s="13" t="s">
        <v>14382</v>
      </c>
      <c r="E11681" s="8">
        <v>48320</v>
      </c>
      <c r="F11681" s="13" t="s">
        <v>70</v>
      </c>
      <c r="G11681" s="14">
        <v>44645</v>
      </c>
      <c r="H11681" s="13" t="s">
        <v>163</v>
      </c>
    </row>
    <row r="11682" spans="1:8" ht="14.4" x14ac:dyDescent="0.3">
      <c r="A11682" s="8">
        <v>2028080</v>
      </c>
      <c r="B11682" s="11">
        <v>44634</v>
      </c>
      <c r="C11682" s="13" t="s">
        <v>8202</v>
      </c>
      <c r="D11682" s="13" t="s">
        <v>14383</v>
      </c>
      <c r="E11682" s="8">
        <v>4000</v>
      </c>
      <c r="F11682" s="13" t="s">
        <v>70</v>
      </c>
      <c r="G11682" s="14">
        <v>44636</v>
      </c>
      <c r="H11682" s="13" t="s">
        <v>163</v>
      </c>
    </row>
    <row r="11683" spans="1:8" ht="14.4" x14ac:dyDescent="0.3">
      <c r="A11683" s="8">
        <v>2028081</v>
      </c>
      <c r="B11683" s="11">
        <v>44634</v>
      </c>
      <c r="C11683" s="13" t="s">
        <v>14384</v>
      </c>
      <c r="D11683" s="13" t="s">
        <v>14385</v>
      </c>
      <c r="E11683" s="8">
        <v>6000</v>
      </c>
      <c r="F11683" s="13" t="s">
        <v>70</v>
      </c>
      <c r="G11683" s="14">
        <v>44636</v>
      </c>
      <c r="H11683" s="13" t="s">
        <v>163</v>
      </c>
    </row>
    <row r="11684" spans="1:8" ht="14.4" x14ac:dyDescent="0.3">
      <c r="A11684" s="8">
        <v>2028082</v>
      </c>
      <c r="B11684" s="11">
        <v>44634</v>
      </c>
      <c r="C11684" s="13" t="s">
        <v>14386</v>
      </c>
      <c r="D11684" s="13" t="s">
        <v>14387</v>
      </c>
      <c r="E11684" s="8">
        <v>2000</v>
      </c>
      <c r="F11684" s="13" t="s">
        <v>70</v>
      </c>
      <c r="G11684" s="14">
        <v>44641</v>
      </c>
      <c r="H11684" s="13" t="s">
        <v>163</v>
      </c>
    </row>
    <row r="11685" spans="1:8" ht="14.4" x14ac:dyDescent="0.3">
      <c r="A11685" s="8">
        <v>2028083</v>
      </c>
      <c r="B11685" s="11">
        <v>44634</v>
      </c>
      <c r="C11685" s="13" t="s">
        <v>14388</v>
      </c>
      <c r="D11685" s="13" t="s">
        <v>14389</v>
      </c>
      <c r="E11685" s="8">
        <v>2000</v>
      </c>
      <c r="F11685" s="13" t="s">
        <v>70</v>
      </c>
      <c r="G11685" s="14">
        <v>44637</v>
      </c>
      <c r="H11685" s="13" t="s">
        <v>163</v>
      </c>
    </row>
    <row r="11686" spans="1:8" ht="14.4" x14ac:dyDescent="0.3">
      <c r="A11686" s="8">
        <v>2028084</v>
      </c>
      <c r="B11686" s="11">
        <v>44634</v>
      </c>
      <c r="C11686" s="13" t="s">
        <v>14390</v>
      </c>
      <c r="D11686" s="13" t="s">
        <v>14391</v>
      </c>
      <c r="E11686" s="8">
        <v>2000</v>
      </c>
      <c r="F11686" s="13" t="s">
        <v>70</v>
      </c>
      <c r="G11686" s="14">
        <v>44636</v>
      </c>
      <c r="H11686" s="13" t="s">
        <v>163</v>
      </c>
    </row>
    <row r="11687" spans="1:8" ht="14.4" x14ac:dyDescent="0.3">
      <c r="A11687" s="8">
        <v>2028085</v>
      </c>
      <c r="B11687" s="11">
        <v>44634</v>
      </c>
      <c r="C11687" s="13" t="s">
        <v>14392</v>
      </c>
      <c r="D11687" s="13" t="s">
        <v>14393</v>
      </c>
      <c r="E11687" s="8">
        <v>6000</v>
      </c>
      <c r="F11687" s="13" t="s">
        <v>70</v>
      </c>
      <c r="G11687" s="14">
        <v>44636</v>
      </c>
      <c r="H11687" s="13" t="s">
        <v>163</v>
      </c>
    </row>
    <row r="11688" spans="1:8" ht="14.4" x14ac:dyDescent="0.3">
      <c r="A11688" s="8">
        <v>2028086</v>
      </c>
      <c r="B11688" s="11">
        <v>44634</v>
      </c>
      <c r="C11688" s="13" t="s">
        <v>14394</v>
      </c>
      <c r="D11688" s="13" t="s">
        <v>14395</v>
      </c>
      <c r="E11688" s="8">
        <v>4000</v>
      </c>
      <c r="F11688" s="13" t="s">
        <v>70</v>
      </c>
      <c r="G11688" s="14">
        <v>44636</v>
      </c>
      <c r="H11688" s="13" t="s">
        <v>163</v>
      </c>
    </row>
    <row r="11689" spans="1:8" ht="14.4" x14ac:dyDescent="0.3">
      <c r="A11689" s="8">
        <v>2028087</v>
      </c>
      <c r="B11689" s="11">
        <v>44634</v>
      </c>
      <c r="C11689" s="13" t="s">
        <v>14396</v>
      </c>
      <c r="D11689" s="13" t="s">
        <v>14397</v>
      </c>
      <c r="E11689" s="8">
        <v>2000</v>
      </c>
      <c r="F11689" s="13" t="s">
        <v>70</v>
      </c>
      <c r="G11689" s="14">
        <v>44637</v>
      </c>
      <c r="H11689" s="13" t="s">
        <v>163</v>
      </c>
    </row>
    <row r="11690" spans="1:8" ht="14.4" x14ac:dyDescent="0.3">
      <c r="A11690" s="8">
        <v>2028088</v>
      </c>
      <c r="B11690" s="11">
        <v>44634</v>
      </c>
      <c r="C11690" s="13" t="s">
        <v>14398</v>
      </c>
      <c r="D11690" s="13" t="s">
        <v>14399</v>
      </c>
      <c r="E11690" s="8">
        <v>6000</v>
      </c>
      <c r="F11690" s="13" t="s">
        <v>70</v>
      </c>
      <c r="G11690" s="14">
        <v>44637</v>
      </c>
      <c r="H11690" s="13" t="s">
        <v>163</v>
      </c>
    </row>
    <row r="11691" spans="1:8" ht="14.4" x14ac:dyDescent="0.3">
      <c r="A11691" s="8">
        <v>2028089</v>
      </c>
      <c r="B11691" s="11">
        <v>44634</v>
      </c>
      <c r="C11691" s="13" t="s">
        <v>14400</v>
      </c>
      <c r="D11691" s="13" t="s">
        <v>14401</v>
      </c>
      <c r="E11691" s="8">
        <v>2000</v>
      </c>
      <c r="F11691" s="13" t="s">
        <v>70</v>
      </c>
      <c r="G11691" s="14">
        <v>44637</v>
      </c>
      <c r="H11691" s="13" t="s">
        <v>163</v>
      </c>
    </row>
    <row r="11692" spans="1:8" ht="14.4" x14ac:dyDescent="0.3">
      <c r="A11692" s="8">
        <v>2028090</v>
      </c>
      <c r="B11692" s="11">
        <v>44634</v>
      </c>
      <c r="C11692" s="13" t="s">
        <v>14402</v>
      </c>
      <c r="D11692" s="13" t="s">
        <v>14403</v>
      </c>
      <c r="E11692" s="8">
        <v>2000</v>
      </c>
      <c r="F11692" s="13" t="s">
        <v>70</v>
      </c>
      <c r="G11692" s="14">
        <v>44637</v>
      </c>
      <c r="H11692" s="13" t="s">
        <v>163</v>
      </c>
    </row>
    <row r="11693" spans="1:8" ht="14.4" x14ac:dyDescent="0.3">
      <c r="A11693" s="8">
        <v>2028091</v>
      </c>
      <c r="B11693" s="11">
        <v>44634</v>
      </c>
      <c r="C11693" s="13" t="s">
        <v>14404</v>
      </c>
      <c r="D11693" s="13" t="s">
        <v>14405</v>
      </c>
      <c r="E11693" s="8">
        <v>6000</v>
      </c>
      <c r="F11693" s="13" t="s">
        <v>70</v>
      </c>
      <c r="G11693" s="14">
        <v>44636</v>
      </c>
      <c r="H11693" s="13" t="s">
        <v>163</v>
      </c>
    </row>
    <row r="11694" spans="1:8" ht="14.4" x14ac:dyDescent="0.3">
      <c r="A11694" s="8">
        <v>2028092</v>
      </c>
      <c r="B11694" s="11">
        <v>44634</v>
      </c>
      <c r="C11694" s="13" t="s">
        <v>8927</v>
      </c>
      <c r="D11694" s="13" t="s">
        <v>14406</v>
      </c>
      <c r="E11694" s="8">
        <v>6000</v>
      </c>
      <c r="F11694" s="13" t="s">
        <v>70</v>
      </c>
      <c r="G11694" s="14">
        <v>44636</v>
      </c>
      <c r="H11694" s="13" t="s">
        <v>163</v>
      </c>
    </row>
    <row r="11695" spans="1:8" ht="14.4" x14ac:dyDescent="0.3">
      <c r="A11695" s="8">
        <v>2028093</v>
      </c>
      <c r="B11695" s="11">
        <v>44634</v>
      </c>
      <c r="C11695" s="13" t="s">
        <v>8927</v>
      </c>
      <c r="D11695" s="13" t="s">
        <v>14407</v>
      </c>
      <c r="E11695" s="8">
        <v>6000</v>
      </c>
      <c r="F11695" s="13" t="s">
        <v>70</v>
      </c>
      <c r="G11695" s="14">
        <v>44636</v>
      </c>
      <c r="H11695" s="13" t="s">
        <v>163</v>
      </c>
    </row>
    <row r="11696" spans="1:8" ht="14.4" x14ac:dyDescent="0.3">
      <c r="A11696" s="8">
        <v>2028094</v>
      </c>
      <c r="B11696" s="11">
        <v>44634</v>
      </c>
      <c r="C11696" s="13" t="s">
        <v>14408</v>
      </c>
      <c r="D11696" s="13" t="s">
        <v>14409</v>
      </c>
      <c r="E11696" s="8">
        <v>4000</v>
      </c>
      <c r="F11696" s="13" t="s">
        <v>70</v>
      </c>
      <c r="G11696" s="14">
        <v>44641</v>
      </c>
      <c r="H11696" s="13" t="s">
        <v>163</v>
      </c>
    </row>
    <row r="11697" spans="1:8" ht="14.4" x14ac:dyDescent="0.3">
      <c r="A11697" s="8">
        <v>2028095</v>
      </c>
      <c r="B11697" s="11">
        <v>44634</v>
      </c>
      <c r="C11697" s="13" t="s">
        <v>14410</v>
      </c>
      <c r="D11697" s="13" t="s">
        <v>14411</v>
      </c>
      <c r="E11697" s="8">
        <v>8000</v>
      </c>
      <c r="F11697" s="13" t="s">
        <v>70</v>
      </c>
      <c r="G11697" s="14">
        <v>44637</v>
      </c>
      <c r="H11697" s="13" t="s">
        <v>163</v>
      </c>
    </row>
    <row r="11698" spans="1:8" ht="14.4" x14ac:dyDescent="0.3">
      <c r="A11698" s="8">
        <v>2028096</v>
      </c>
      <c r="B11698" s="11">
        <v>44634</v>
      </c>
      <c r="C11698" s="13" t="s">
        <v>14412</v>
      </c>
      <c r="D11698" s="13" t="s">
        <v>14413</v>
      </c>
      <c r="E11698" s="8">
        <v>2000</v>
      </c>
      <c r="F11698" s="13" t="s">
        <v>70</v>
      </c>
      <c r="G11698" s="14">
        <v>44641</v>
      </c>
      <c r="H11698" s="13" t="s">
        <v>163</v>
      </c>
    </row>
    <row r="11699" spans="1:8" ht="14.4" x14ac:dyDescent="0.3">
      <c r="A11699" s="8">
        <v>2028098</v>
      </c>
      <c r="B11699" s="11">
        <v>44634</v>
      </c>
      <c r="C11699" s="13" t="s">
        <v>14414</v>
      </c>
      <c r="D11699" s="13" t="s">
        <v>14415</v>
      </c>
      <c r="E11699" s="8">
        <v>2000</v>
      </c>
      <c r="F11699" s="13" t="s">
        <v>70</v>
      </c>
      <c r="G11699" s="14">
        <v>44641</v>
      </c>
      <c r="H11699" s="13" t="s">
        <v>163</v>
      </c>
    </row>
    <row r="11700" spans="1:8" ht="14.4" x14ac:dyDescent="0.3">
      <c r="A11700" s="8">
        <v>2028099</v>
      </c>
      <c r="B11700" s="11">
        <v>44634</v>
      </c>
      <c r="C11700" s="13" t="s">
        <v>14416</v>
      </c>
      <c r="D11700" s="13" t="s">
        <v>14417</v>
      </c>
      <c r="E11700" s="8">
        <v>4000</v>
      </c>
      <c r="F11700" s="13" t="s">
        <v>70</v>
      </c>
      <c r="G11700" s="14">
        <v>44641</v>
      </c>
      <c r="H11700" s="13" t="s">
        <v>163</v>
      </c>
    </row>
    <row r="11701" spans="1:8" ht="14.4" x14ac:dyDescent="0.3">
      <c r="A11701" s="8">
        <v>2028101</v>
      </c>
      <c r="B11701" s="11">
        <v>44634</v>
      </c>
      <c r="C11701" s="13" t="s">
        <v>7999</v>
      </c>
      <c r="D11701" s="13" t="s">
        <v>14418</v>
      </c>
      <c r="E11701" s="8">
        <v>8000</v>
      </c>
      <c r="F11701" s="13" t="s">
        <v>70</v>
      </c>
      <c r="G11701" s="14">
        <v>44637</v>
      </c>
      <c r="H11701" s="13" t="s">
        <v>163</v>
      </c>
    </row>
    <row r="11702" spans="1:8" ht="14.4" x14ac:dyDescent="0.3">
      <c r="A11702" s="8">
        <v>2028102</v>
      </c>
      <c r="B11702" s="11">
        <v>44634</v>
      </c>
      <c r="C11702" s="13" t="s">
        <v>4573</v>
      </c>
      <c r="D11702" s="13" t="s">
        <v>14419</v>
      </c>
      <c r="E11702" s="8">
        <v>12000</v>
      </c>
      <c r="F11702" s="13" t="s">
        <v>70</v>
      </c>
      <c r="G11702" s="14">
        <v>44636</v>
      </c>
      <c r="H11702" s="13" t="s">
        <v>163</v>
      </c>
    </row>
    <row r="11703" spans="1:8" ht="14.4" x14ac:dyDescent="0.3">
      <c r="A11703" s="8">
        <v>2028103</v>
      </c>
      <c r="B11703" s="11">
        <v>44634</v>
      </c>
      <c r="C11703" s="13" t="s">
        <v>14420</v>
      </c>
      <c r="D11703" s="13" t="s">
        <v>14421</v>
      </c>
      <c r="E11703" s="8">
        <v>2000</v>
      </c>
      <c r="F11703" s="13" t="s">
        <v>70</v>
      </c>
      <c r="G11703" s="14">
        <v>44638</v>
      </c>
      <c r="H11703" s="13" t="s">
        <v>163</v>
      </c>
    </row>
    <row r="11704" spans="1:8" ht="14.4" x14ac:dyDescent="0.3">
      <c r="A11704" s="8">
        <v>2028104</v>
      </c>
      <c r="B11704" s="11">
        <v>44635</v>
      </c>
      <c r="C11704" s="13" t="s">
        <v>14422</v>
      </c>
      <c r="D11704" s="13" t="s">
        <v>14423</v>
      </c>
      <c r="E11704" s="8">
        <v>8000</v>
      </c>
      <c r="F11704" s="13" t="s">
        <v>70</v>
      </c>
      <c r="G11704" s="14">
        <v>44641</v>
      </c>
      <c r="H11704" s="13" t="s">
        <v>163</v>
      </c>
    </row>
    <row r="11705" spans="1:8" ht="14.4" x14ac:dyDescent="0.3">
      <c r="A11705" s="8">
        <v>2028105</v>
      </c>
      <c r="B11705" s="11">
        <v>44635</v>
      </c>
      <c r="C11705" s="13" t="s">
        <v>14424</v>
      </c>
      <c r="D11705" s="13" t="s">
        <v>14425</v>
      </c>
      <c r="E11705" s="8">
        <v>12000</v>
      </c>
      <c r="F11705" s="13" t="s">
        <v>70</v>
      </c>
      <c r="G11705" s="14">
        <v>44636</v>
      </c>
      <c r="H11705" s="13" t="s">
        <v>163</v>
      </c>
    </row>
    <row r="11706" spans="1:8" ht="14.4" x14ac:dyDescent="0.3">
      <c r="A11706" s="8">
        <v>2028106</v>
      </c>
      <c r="B11706" s="11">
        <v>44635</v>
      </c>
      <c r="C11706" s="13" t="s">
        <v>14426</v>
      </c>
      <c r="D11706" s="13" t="s">
        <v>14427</v>
      </c>
      <c r="E11706" s="8">
        <v>107794.25</v>
      </c>
      <c r="F11706" s="13" t="s">
        <v>70</v>
      </c>
      <c r="G11706" s="14">
        <v>44645</v>
      </c>
      <c r="H11706" s="13" t="s">
        <v>163</v>
      </c>
    </row>
    <row r="11707" spans="1:8" ht="14.4" x14ac:dyDescent="0.3">
      <c r="A11707" s="8">
        <v>2028107</v>
      </c>
      <c r="B11707" s="11">
        <v>44635</v>
      </c>
      <c r="C11707" s="13" t="s">
        <v>8518</v>
      </c>
      <c r="D11707" s="13" t="s">
        <v>14428</v>
      </c>
      <c r="E11707" s="8">
        <v>10000</v>
      </c>
      <c r="F11707" s="13" t="s">
        <v>70</v>
      </c>
      <c r="G11707" s="14">
        <v>44641</v>
      </c>
      <c r="H11707" s="13" t="s">
        <v>163</v>
      </c>
    </row>
    <row r="11708" spans="1:8" ht="14.4" x14ac:dyDescent="0.3">
      <c r="A11708" s="8">
        <v>2028108</v>
      </c>
      <c r="B11708" s="11">
        <v>44635</v>
      </c>
      <c r="C11708" s="13" t="s">
        <v>8716</v>
      </c>
      <c r="D11708" s="13" t="s">
        <v>14429</v>
      </c>
      <c r="E11708" s="8">
        <v>8000</v>
      </c>
      <c r="F11708" s="13" t="s">
        <v>70</v>
      </c>
      <c r="G11708" s="14">
        <v>44637</v>
      </c>
      <c r="H11708" s="13" t="s">
        <v>163</v>
      </c>
    </row>
    <row r="11709" spans="1:8" ht="14.4" x14ac:dyDescent="0.3">
      <c r="A11709" s="8">
        <v>2028109</v>
      </c>
      <c r="B11709" s="11">
        <v>44635</v>
      </c>
      <c r="C11709" s="13" t="s">
        <v>13500</v>
      </c>
      <c r="D11709" s="13" t="s">
        <v>14430</v>
      </c>
      <c r="E11709" s="8">
        <v>4000</v>
      </c>
      <c r="F11709" s="13" t="s">
        <v>70</v>
      </c>
      <c r="G11709" s="14">
        <v>44637</v>
      </c>
      <c r="H11709" s="13" t="s">
        <v>163</v>
      </c>
    </row>
    <row r="11710" spans="1:8" ht="14.4" x14ac:dyDescent="0.3">
      <c r="A11710" s="8">
        <v>2028110</v>
      </c>
      <c r="B11710" s="11">
        <v>44635</v>
      </c>
      <c r="C11710" s="13" t="s">
        <v>14431</v>
      </c>
      <c r="D11710" s="13" t="s">
        <v>14432</v>
      </c>
      <c r="E11710" s="8">
        <v>4000</v>
      </c>
      <c r="F11710" s="13" t="s">
        <v>70</v>
      </c>
      <c r="G11710" s="14">
        <v>44638</v>
      </c>
      <c r="H11710" s="13" t="s">
        <v>163</v>
      </c>
    </row>
    <row r="11711" spans="1:8" ht="14.4" x14ac:dyDescent="0.3">
      <c r="A11711" s="8">
        <v>2028111</v>
      </c>
      <c r="B11711" s="11">
        <v>44635</v>
      </c>
      <c r="C11711" s="13" t="s">
        <v>14433</v>
      </c>
      <c r="D11711" s="13" t="s">
        <v>14434</v>
      </c>
      <c r="E11711" s="8">
        <v>2000</v>
      </c>
      <c r="F11711" s="13" t="s">
        <v>70</v>
      </c>
      <c r="G11711" s="14">
        <v>44641</v>
      </c>
      <c r="H11711" s="13" t="s">
        <v>163</v>
      </c>
    </row>
    <row r="11712" spans="1:8" ht="14.4" x14ac:dyDescent="0.3">
      <c r="A11712" s="8">
        <v>2028113</v>
      </c>
      <c r="B11712" s="11">
        <v>44635</v>
      </c>
      <c r="C11712" s="13" t="s">
        <v>14435</v>
      </c>
      <c r="D11712" s="13" t="s">
        <v>14436</v>
      </c>
      <c r="E11712" s="8">
        <v>4000</v>
      </c>
      <c r="F11712" s="13" t="s">
        <v>70</v>
      </c>
      <c r="G11712" s="14">
        <v>44638</v>
      </c>
      <c r="H11712" s="13" t="s">
        <v>163</v>
      </c>
    </row>
    <row r="11713" spans="1:8" ht="14.4" x14ac:dyDescent="0.3">
      <c r="A11713" s="8">
        <v>2028114</v>
      </c>
      <c r="B11713" s="11">
        <v>44635</v>
      </c>
      <c r="C11713" s="13" t="s">
        <v>14437</v>
      </c>
      <c r="D11713" s="13" t="s">
        <v>14438</v>
      </c>
      <c r="E11713" s="8">
        <v>2000</v>
      </c>
      <c r="F11713" s="13" t="s">
        <v>70</v>
      </c>
      <c r="G11713" s="14">
        <v>44638</v>
      </c>
      <c r="H11713" s="13" t="s">
        <v>163</v>
      </c>
    </row>
    <row r="11714" spans="1:8" ht="14.4" x14ac:dyDescent="0.3">
      <c r="A11714" s="8">
        <v>2028115</v>
      </c>
      <c r="B11714" s="11">
        <v>44635</v>
      </c>
      <c r="C11714" s="13" t="s">
        <v>14439</v>
      </c>
      <c r="D11714" s="13" t="s">
        <v>14440</v>
      </c>
      <c r="E11714" s="8">
        <v>2000</v>
      </c>
      <c r="F11714" s="13" t="s">
        <v>70</v>
      </c>
      <c r="G11714" s="14">
        <v>44642</v>
      </c>
      <c r="H11714" s="13" t="s">
        <v>163</v>
      </c>
    </row>
    <row r="11715" spans="1:8" ht="14.4" x14ac:dyDescent="0.3">
      <c r="A11715" s="8">
        <v>2028116</v>
      </c>
      <c r="B11715" s="11">
        <v>44635</v>
      </c>
      <c r="C11715" s="13" t="s">
        <v>14441</v>
      </c>
      <c r="D11715" s="13" t="s">
        <v>14442</v>
      </c>
      <c r="E11715" s="8">
        <v>2000</v>
      </c>
      <c r="F11715" s="13" t="s">
        <v>70</v>
      </c>
      <c r="G11715" s="14">
        <v>44638</v>
      </c>
      <c r="H11715" s="13" t="s">
        <v>163</v>
      </c>
    </row>
    <row r="11716" spans="1:8" ht="14.4" x14ac:dyDescent="0.3">
      <c r="A11716" s="8">
        <v>2028117</v>
      </c>
      <c r="B11716" s="11">
        <v>44635</v>
      </c>
      <c r="C11716" s="13" t="s">
        <v>8140</v>
      </c>
      <c r="D11716" s="13" t="s">
        <v>14443</v>
      </c>
      <c r="E11716" s="8">
        <v>20000</v>
      </c>
      <c r="F11716" s="13" t="s">
        <v>70</v>
      </c>
      <c r="G11716" s="14">
        <v>44638</v>
      </c>
      <c r="H11716" s="13" t="s">
        <v>163</v>
      </c>
    </row>
    <row r="11717" spans="1:8" ht="14.4" x14ac:dyDescent="0.3">
      <c r="A11717" s="8">
        <v>2028118</v>
      </c>
      <c r="B11717" s="11">
        <v>44635</v>
      </c>
      <c r="C11717" s="13" t="s">
        <v>14444</v>
      </c>
      <c r="D11717" s="13" t="s">
        <v>14445</v>
      </c>
      <c r="E11717" s="8">
        <v>1000</v>
      </c>
      <c r="F11717" s="13" t="s">
        <v>70</v>
      </c>
      <c r="G11717" s="14">
        <v>44641</v>
      </c>
      <c r="H11717" s="13" t="s">
        <v>163</v>
      </c>
    </row>
    <row r="11718" spans="1:8" ht="14.4" x14ac:dyDescent="0.3">
      <c r="A11718" s="8">
        <v>2028119</v>
      </c>
      <c r="B11718" s="11">
        <v>44635</v>
      </c>
      <c r="C11718" s="13" t="s">
        <v>14446</v>
      </c>
      <c r="D11718" s="13" t="s">
        <v>14447</v>
      </c>
      <c r="E11718" s="8">
        <v>2000</v>
      </c>
      <c r="F11718" s="13" t="s">
        <v>70</v>
      </c>
      <c r="G11718" s="14">
        <v>44641</v>
      </c>
      <c r="H11718" s="13" t="s">
        <v>163</v>
      </c>
    </row>
    <row r="11719" spans="1:8" ht="14.4" x14ac:dyDescent="0.3">
      <c r="A11719" s="8">
        <v>2028120</v>
      </c>
      <c r="B11719" s="11">
        <v>44635</v>
      </c>
      <c r="C11719" s="13" t="s">
        <v>14448</v>
      </c>
      <c r="D11719" s="13" t="s">
        <v>14449</v>
      </c>
      <c r="E11719" s="8">
        <v>4000</v>
      </c>
      <c r="F11719" s="13" t="s">
        <v>70</v>
      </c>
      <c r="G11719" s="14">
        <v>44638</v>
      </c>
      <c r="H11719" s="13" t="s">
        <v>163</v>
      </c>
    </row>
    <row r="11720" spans="1:8" ht="14.4" x14ac:dyDescent="0.3">
      <c r="A11720" s="8">
        <v>2028121</v>
      </c>
      <c r="B11720" s="11">
        <v>44635</v>
      </c>
      <c r="C11720" s="13" t="s">
        <v>2906</v>
      </c>
      <c r="D11720" s="13" t="s">
        <v>14427</v>
      </c>
      <c r="E11720" s="8">
        <v>96933.8</v>
      </c>
      <c r="F11720" s="13" t="s">
        <v>70</v>
      </c>
      <c r="G11720" s="14">
        <v>44645</v>
      </c>
      <c r="H11720" s="13" t="s">
        <v>163</v>
      </c>
    </row>
    <row r="11721" spans="1:8" ht="14.4" x14ac:dyDescent="0.3">
      <c r="A11721" s="8">
        <v>2028122</v>
      </c>
      <c r="B11721" s="11">
        <v>44636</v>
      </c>
      <c r="C11721" s="13" t="s">
        <v>14450</v>
      </c>
      <c r="D11721" s="13" t="s">
        <v>14451</v>
      </c>
      <c r="E11721" s="8">
        <v>4000</v>
      </c>
      <c r="F11721" s="13" t="s">
        <v>70</v>
      </c>
      <c r="G11721" s="14">
        <v>44638</v>
      </c>
      <c r="H11721" s="13" t="s">
        <v>163</v>
      </c>
    </row>
    <row r="11722" spans="1:8" ht="14.4" x14ac:dyDescent="0.3">
      <c r="A11722" s="8">
        <v>2028123</v>
      </c>
      <c r="B11722" s="11">
        <v>44636</v>
      </c>
      <c r="C11722" s="13" t="s">
        <v>14452</v>
      </c>
      <c r="D11722" s="13" t="s">
        <v>14453</v>
      </c>
      <c r="E11722" s="8">
        <v>2000</v>
      </c>
      <c r="F11722" s="13" t="s">
        <v>70</v>
      </c>
      <c r="G11722" s="14">
        <v>44638</v>
      </c>
      <c r="H11722" s="13" t="s">
        <v>163</v>
      </c>
    </row>
    <row r="11723" spans="1:8" ht="14.4" x14ac:dyDescent="0.3">
      <c r="A11723" s="8">
        <v>2028124</v>
      </c>
      <c r="B11723" s="11">
        <v>44636</v>
      </c>
      <c r="C11723" s="13" t="s">
        <v>14454</v>
      </c>
      <c r="D11723" s="13" t="s">
        <v>14455</v>
      </c>
      <c r="E11723" s="8">
        <v>2000</v>
      </c>
      <c r="F11723" s="13" t="s">
        <v>70</v>
      </c>
      <c r="G11723" s="14">
        <v>44641</v>
      </c>
      <c r="H11723" s="13" t="s">
        <v>163</v>
      </c>
    </row>
    <row r="11724" spans="1:8" ht="14.4" x14ac:dyDescent="0.3">
      <c r="A11724" s="8">
        <v>2028125</v>
      </c>
      <c r="B11724" s="11">
        <v>44636</v>
      </c>
      <c r="C11724" s="13" t="s">
        <v>14456</v>
      </c>
      <c r="D11724" s="13" t="s">
        <v>14457</v>
      </c>
      <c r="E11724" s="8">
        <v>2000</v>
      </c>
      <c r="F11724" s="13" t="s">
        <v>70</v>
      </c>
      <c r="G11724" s="14">
        <v>44638</v>
      </c>
      <c r="H11724" s="13" t="s">
        <v>163</v>
      </c>
    </row>
    <row r="11725" spans="1:8" ht="14.4" x14ac:dyDescent="0.3">
      <c r="A11725" s="8">
        <v>2028126</v>
      </c>
      <c r="B11725" s="11">
        <v>44636</v>
      </c>
      <c r="C11725" s="13" t="s">
        <v>14458</v>
      </c>
      <c r="D11725" s="13" t="s">
        <v>14459</v>
      </c>
      <c r="E11725" s="8">
        <v>2000</v>
      </c>
      <c r="F11725" s="13" t="s">
        <v>70</v>
      </c>
      <c r="G11725" s="14">
        <v>44698</v>
      </c>
      <c r="H11725" s="13" t="s">
        <v>163</v>
      </c>
    </row>
    <row r="11726" spans="1:8" ht="14.4" x14ac:dyDescent="0.3">
      <c r="A11726" s="8">
        <v>2028127</v>
      </c>
      <c r="B11726" s="11">
        <v>44636</v>
      </c>
      <c r="C11726" s="13" t="s">
        <v>14460</v>
      </c>
      <c r="D11726" s="13" t="s">
        <v>14461</v>
      </c>
      <c r="E11726" s="8">
        <v>2000</v>
      </c>
      <c r="F11726" s="13" t="s">
        <v>70</v>
      </c>
      <c r="G11726" s="14">
        <v>44643</v>
      </c>
      <c r="H11726" s="13" t="s">
        <v>163</v>
      </c>
    </row>
    <row r="11727" spans="1:8" ht="14.4" x14ac:dyDescent="0.3">
      <c r="A11727" s="8">
        <v>2028128</v>
      </c>
      <c r="B11727" s="11">
        <v>44636</v>
      </c>
      <c r="C11727" s="13" t="s">
        <v>14462</v>
      </c>
      <c r="D11727" s="13" t="s">
        <v>14463</v>
      </c>
      <c r="E11727" s="8">
        <v>2000</v>
      </c>
      <c r="F11727" s="13" t="s">
        <v>70</v>
      </c>
      <c r="G11727" s="14">
        <v>44638</v>
      </c>
      <c r="H11727" s="13" t="s">
        <v>163</v>
      </c>
    </row>
    <row r="11728" spans="1:8" ht="14.4" x14ac:dyDescent="0.3">
      <c r="A11728" s="8">
        <v>2028129</v>
      </c>
      <c r="B11728" s="11">
        <v>44636</v>
      </c>
      <c r="C11728" s="13" t="s">
        <v>14464</v>
      </c>
      <c r="D11728" s="13" t="s">
        <v>14465</v>
      </c>
      <c r="E11728" s="8">
        <v>1000</v>
      </c>
      <c r="F11728" s="13" t="s">
        <v>70</v>
      </c>
      <c r="G11728" s="14">
        <v>44641</v>
      </c>
      <c r="H11728" s="13" t="s">
        <v>163</v>
      </c>
    </row>
    <row r="11729" spans="1:8" ht="14.4" x14ac:dyDescent="0.3">
      <c r="A11729" s="8">
        <v>2028130</v>
      </c>
      <c r="B11729" s="11">
        <v>44636</v>
      </c>
      <c r="C11729" s="13" t="s">
        <v>14466</v>
      </c>
      <c r="D11729" s="13" t="s">
        <v>14467</v>
      </c>
      <c r="E11729" s="8">
        <v>10000</v>
      </c>
      <c r="F11729" s="13" t="s">
        <v>70</v>
      </c>
      <c r="G11729" s="14">
        <v>44641</v>
      </c>
      <c r="H11729" s="13" t="s">
        <v>163</v>
      </c>
    </row>
    <row r="11730" spans="1:8" ht="14.4" x14ac:dyDescent="0.3">
      <c r="A11730" s="8">
        <v>2028131</v>
      </c>
      <c r="B11730" s="11">
        <v>44636</v>
      </c>
      <c r="C11730" s="13" t="s">
        <v>14468</v>
      </c>
      <c r="D11730" s="13" t="s">
        <v>14469</v>
      </c>
      <c r="E11730" s="8">
        <v>1000</v>
      </c>
      <c r="F11730" s="13" t="s">
        <v>70</v>
      </c>
      <c r="G11730" s="14">
        <v>44641</v>
      </c>
      <c r="H11730" s="13" t="s">
        <v>163</v>
      </c>
    </row>
    <row r="11731" spans="1:8" ht="14.4" x14ac:dyDescent="0.3">
      <c r="A11731" s="8">
        <v>2028132</v>
      </c>
      <c r="B11731" s="11">
        <v>44636</v>
      </c>
      <c r="C11731" s="13" t="s">
        <v>14470</v>
      </c>
      <c r="D11731" s="13" t="s">
        <v>14471</v>
      </c>
      <c r="E11731" s="8">
        <v>2000</v>
      </c>
      <c r="F11731" s="13" t="s">
        <v>70</v>
      </c>
      <c r="G11731" s="14">
        <v>44641</v>
      </c>
      <c r="H11731" s="13" t="s">
        <v>163</v>
      </c>
    </row>
    <row r="11732" spans="1:8" ht="14.4" x14ac:dyDescent="0.3">
      <c r="A11732" s="8">
        <v>2028133</v>
      </c>
      <c r="B11732" s="11">
        <v>44636</v>
      </c>
      <c r="C11732" s="13" t="s">
        <v>14472</v>
      </c>
      <c r="D11732" s="13" t="s">
        <v>14473</v>
      </c>
      <c r="E11732" s="8">
        <v>2000</v>
      </c>
      <c r="F11732" s="13" t="s">
        <v>70</v>
      </c>
      <c r="G11732" s="14">
        <v>44641</v>
      </c>
      <c r="H11732" s="13" t="s">
        <v>163</v>
      </c>
    </row>
    <row r="11733" spans="1:8" ht="14.4" x14ac:dyDescent="0.3">
      <c r="A11733" s="8">
        <v>2028134</v>
      </c>
      <c r="B11733" s="11">
        <v>44636</v>
      </c>
      <c r="C11733" s="13" t="s">
        <v>8122</v>
      </c>
      <c r="D11733" s="13" t="s">
        <v>14474</v>
      </c>
      <c r="E11733" s="8">
        <v>6000</v>
      </c>
      <c r="F11733" s="13" t="s">
        <v>70</v>
      </c>
      <c r="G11733" s="14">
        <v>44638</v>
      </c>
      <c r="H11733" s="13" t="s">
        <v>163</v>
      </c>
    </row>
    <row r="11734" spans="1:8" ht="14.4" x14ac:dyDescent="0.3">
      <c r="A11734" s="8">
        <v>2028135</v>
      </c>
      <c r="B11734" s="11">
        <v>44636</v>
      </c>
      <c r="C11734" s="13" t="s">
        <v>14475</v>
      </c>
      <c r="D11734" s="13" t="s">
        <v>14476</v>
      </c>
      <c r="E11734" s="8">
        <v>4000</v>
      </c>
      <c r="F11734" s="13" t="s">
        <v>70</v>
      </c>
      <c r="G11734" s="14">
        <v>44641</v>
      </c>
      <c r="H11734" s="13" t="s">
        <v>163</v>
      </c>
    </row>
    <row r="11735" spans="1:8" ht="14.4" x14ac:dyDescent="0.3">
      <c r="A11735" s="8">
        <v>2028136</v>
      </c>
      <c r="B11735" s="11">
        <v>44636</v>
      </c>
      <c r="C11735" s="13" t="s">
        <v>8790</v>
      </c>
      <c r="D11735" s="13" t="s">
        <v>14477</v>
      </c>
      <c r="E11735" s="8">
        <v>8000</v>
      </c>
      <c r="F11735" s="13" t="s">
        <v>70</v>
      </c>
      <c r="G11735" s="14">
        <v>44644</v>
      </c>
      <c r="H11735" s="13" t="s">
        <v>163</v>
      </c>
    </row>
    <row r="11736" spans="1:8" ht="14.4" x14ac:dyDescent="0.3">
      <c r="A11736" s="8">
        <v>2028137</v>
      </c>
      <c r="B11736" s="11">
        <v>44636</v>
      </c>
      <c r="C11736" s="13" t="s">
        <v>669</v>
      </c>
      <c r="D11736" s="13" t="s">
        <v>14478</v>
      </c>
      <c r="E11736" s="8">
        <v>8000</v>
      </c>
      <c r="F11736" s="13" t="s">
        <v>70</v>
      </c>
      <c r="G11736" s="14">
        <v>44645</v>
      </c>
      <c r="H11736" s="13" t="s">
        <v>163</v>
      </c>
    </row>
    <row r="11737" spans="1:8" ht="14.4" x14ac:dyDescent="0.3">
      <c r="A11737" s="8">
        <v>2028138</v>
      </c>
      <c r="B11737" s="11">
        <v>44636</v>
      </c>
      <c r="C11737" s="13" t="s">
        <v>14479</v>
      </c>
      <c r="D11737" s="13" t="s">
        <v>14480</v>
      </c>
      <c r="E11737" s="8">
        <v>2000</v>
      </c>
      <c r="F11737" s="13" t="s">
        <v>70</v>
      </c>
      <c r="G11737" s="14">
        <v>44642</v>
      </c>
      <c r="H11737" s="13" t="s">
        <v>163</v>
      </c>
    </row>
    <row r="11738" spans="1:8" ht="14.4" x14ac:dyDescent="0.3">
      <c r="A11738" s="8">
        <v>2028139</v>
      </c>
      <c r="B11738" s="11">
        <v>44636</v>
      </c>
      <c r="C11738" s="13" t="s">
        <v>14481</v>
      </c>
      <c r="D11738" s="13" t="s">
        <v>14482</v>
      </c>
      <c r="E11738" s="8">
        <v>2000</v>
      </c>
      <c r="F11738" s="13" t="s">
        <v>70</v>
      </c>
      <c r="G11738" s="14">
        <v>44642</v>
      </c>
      <c r="H11738" s="13" t="s">
        <v>163</v>
      </c>
    </row>
    <row r="11739" spans="1:8" ht="14.4" x14ac:dyDescent="0.3">
      <c r="A11739" s="8">
        <v>2028140</v>
      </c>
      <c r="B11739" s="11">
        <v>44636</v>
      </c>
      <c r="C11739" s="13" t="s">
        <v>14483</v>
      </c>
      <c r="D11739" s="13" t="s">
        <v>14484</v>
      </c>
      <c r="E11739" s="8">
        <v>2000</v>
      </c>
      <c r="F11739" s="13" t="s">
        <v>70</v>
      </c>
      <c r="G11739" s="14">
        <v>44641</v>
      </c>
      <c r="H11739" s="13" t="s">
        <v>163</v>
      </c>
    </row>
    <row r="11740" spans="1:8" ht="14.4" x14ac:dyDescent="0.3">
      <c r="A11740" s="8">
        <v>2028141</v>
      </c>
      <c r="B11740" s="11">
        <v>44636</v>
      </c>
      <c r="C11740" s="13" t="s">
        <v>14485</v>
      </c>
      <c r="D11740" s="13" t="s">
        <v>14486</v>
      </c>
      <c r="E11740" s="8">
        <v>2000</v>
      </c>
      <c r="F11740" s="13" t="s">
        <v>70</v>
      </c>
      <c r="G11740" s="14">
        <v>44642</v>
      </c>
      <c r="H11740" s="13" t="s">
        <v>163</v>
      </c>
    </row>
    <row r="11741" spans="1:8" ht="14.4" x14ac:dyDescent="0.3">
      <c r="A11741" s="8">
        <v>2028142</v>
      </c>
      <c r="B11741" s="11">
        <v>44636</v>
      </c>
      <c r="C11741" s="13" t="s">
        <v>14487</v>
      </c>
      <c r="D11741" s="13" t="s">
        <v>14488</v>
      </c>
      <c r="E11741" s="8">
        <v>2000</v>
      </c>
      <c r="F11741" s="13" t="s">
        <v>70</v>
      </c>
      <c r="G11741" s="14">
        <v>44642</v>
      </c>
      <c r="H11741" s="13" t="s">
        <v>163</v>
      </c>
    </row>
    <row r="11742" spans="1:8" ht="14.4" x14ac:dyDescent="0.3">
      <c r="A11742" s="8">
        <v>2028143</v>
      </c>
      <c r="B11742" s="11">
        <v>44636</v>
      </c>
      <c r="C11742" s="13" t="s">
        <v>14489</v>
      </c>
      <c r="D11742" s="13" t="s">
        <v>14490</v>
      </c>
      <c r="E11742" s="8">
        <v>6000</v>
      </c>
      <c r="F11742" s="13" t="s">
        <v>70</v>
      </c>
      <c r="G11742" s="14">
        <v>44641</v>
      </c>
      <c r="H11742" s="13" t="s">
        <v>163</v>
      </c>
    </row>
    <row r="11743" spans="1:8" ht="14.4" x14ac:dyDescent="0.3">
      <c r="A11743" s="8">
        <v>2028144</v>
      </c>
      <c r="B11743" s="11">
        <v>44636</v>
      </c>
      <c r="C11743" s="13" t="s">
        <v>14491</v>
      </c>
      <c r="D11743" s="13" t="s">
        <v>14492</v>
      </c>
      <c r="E11743" s="8">
        <v>2000</v>
      </c>
      <c r="F11743" s="13" t="s">
        <v>70</v>
      </c>
      <c r="G11743" s="14">
        <v>44641</v>
      </c>
      <c r="H11743" s="13" t="s">
        <v>163</v>
      </c>
    </row>
    <row r="11744" spans="1:8" ht="14.4" x14ac:dyDescent="0.3">
      <c r="A11744" s="8">
        <v>2028145</v>
      </c>
      <c r="B11744" s="11">
        <v>44636</v>
      </c>
      <c r="C11744" s="13" t="s">
        <v>14493</v>
      </c>
      <c r="D11744" s="13" t="s">
        <v>14494</v>
      </c>
      <c r="E11744" s="8">
        <v>2000</v>
      </c>
      <c r="F11744" s="13" t="s">
        <v>70</v>
      </c>
      <c r="G11744" s="14">
        <v>44641</v>
      </c>
      <c r="H11744" s="13" t="s">
        <v>163</v>
      </c>
    </row>
    <row r="11745" spans="1:8" ht="14.4" x14ac:dyDescent="0.3">
      <c r="A11745" s="8">
        <v>2028146</v>
      </c>
      <c r="B11745" s="11">
        <v>44636</v>
      </c>
      <c r="C11745" s="13" t="s">
        <v>14495</v>
      </c>
      <c r="D11745" s="13" t="s">
        <v>14496</v>
      </c>
      <c r="E11745" s="8">
        <v>2000</v>
      </c>
      <c r="F11745" s="13" t="s">
        <v>70</v>
      </c>
      <c r="G11745" s="14">
        <v>44641</v>
      </c>
      <c r="H11745" s="13" t="s">
        <v>163</v>
      </c>
    </row>
    <row r="11746" spans="1:8" ht="14.4" x14ac:dyDescent="0.3">
      <c r="A11746" s="8">
        <v>2028147</v>
      </c>
      <c r="B11746" s="11">
        <v>44636</v>
      </c>
      <c r="C11746" s="13" t="s">
        <v>14497</v>
      </c>
      <c r="D11746" s="13" t="s">
        <v>14498</v>
      </c>
      <c r="E11746" s="8">
        <v>4000</v>
      </c>
      <c r="F11746" s="13" t="s">
        <v>70</v>
      </c>
      <c r="G11746" s="14">
        <v>44642</v>
      </c>
      <c r="H11746" s="13" t="s">
        <v>163</v>
      </c>
    </row>
    <row r="11747" spans="1:8" ht="14.4" x14ac:dyDescent="0.3">
      <c r="A11747" s="8">
        <v>2028148</v>
      </c>
      <c r="B11747" s="11">
        <v>44636</v>
      </c>
      <c r="C11747" s="13" t="s">
        <v>14499</v>
      </c>
      <c r="D11747" s="13" t="s">
        <v>14500</v>
      </c>
      <c r="E11747" s="8">
        <v>2000</v>
      </c>
      <c r="F11747" s="13" t="s">
        <v>70</v>
      </c>
      <c r="G11747" s="14">
        <v>44642</v>
      </c>
      <c r="H11747" s="13" t="s">
        <v>163</v>
      </c>
    </row>
    <row r="11748" spans="1:8" ht="14.4" x14ac:dyDescent="0.3">
      <c r="A11748" s="8">
        <v>2028149</v>
      </c>
      <c r="B11748" s="11">
        <v>44636</v>
      </c>
      <c r="C11748" s="13" t="s">
        <v>14501</v>
      </c>
      <c r="D11748" s="13" t="s">
        <v>14502</v>
      </c>
      <c r="E11748" s="8">
        <v>2000</v>
      </c>
      <c r="F11748" s="13" t="s">
        <v>70</v>
      </c>
      <c r="G11748" s="14">
        <v>44642</v>
      </c>
      <c r="H11748" s="13" t="s">
        <v>163</v>
      </c>
    </row>
    <row r="11749" spans="1:8" ht="14.4" x14ac:dyDescent="0.3">
      <c r="A11749" s="8">
        <v>2028150</v>
      </c>
      <c r="B11749" s="11">
        <v>44636</v>
      </c>
      <c r="C11749" s="13" t="s">
        <v>14503</v>
      </c>
      <c r="D11749" s="13" t="s">
        <v>14504</v>
      </c>
      <c r="E11749" s="8">
        <v>2000</v>
      </c>
      <c r="F11749" s="13" t="s">
        <v>70</v>
      </c>
      <c r="G11749" s="14">
        <v>44641</v>
      </c>
      <c r="H11749" s="13" t="s">
        <v>163</v>
      </c>
    </row>
    <row r="11750" spans="1:8" ht="14.4" x14ac:dyDescent="0.3">
      <c r="A11750" s="8">
        <v>2028151</v>
      </c>
      <c r="B11750" s="11">
        <v>44636</v>
      </c>
      <c r="C11750" s="13" t="s">
        <v>14505</v>
      </c>
      <c r="D11750" s="13" t="s">
        <v>14506</v>
      </c>
      <c r="E11750" s="8">
        <v>2000</v>
      </c>
      <c r="F11750" s="13" t="s">
        <v>70</v>
      </c>
      <c r="G11750" s="14">
        <v>44641</v>
      </c>
      <c r="H11750" s="13" t="s">
        <v>163</v>
      </c>
    </row>
    <row r="11751" spans="1:8" ht="14.4" x14ac:dyDescent="0.3">
      <c r="A11751" s="8">
        <v>2028152</v>
      </c>
      <c r="B11751" s="11">
        <v>44636</v>
      </c>
      <c r="C11751" s="13" t="s">
        <v>14507</v>
      </c>
      <c r="D11751" s="13" t="s">
        <v>14508</v>
      </c>
      <c r="E11751" s="8">
        <v>2000</v>
      </c>
      <c r="F11751" s="13" t="s">
        <v>70</v>
      </c>
      <c r="G11751" s="14">
        <v>44641</v>
      </c>
      <c r="H11751" s="13" t="s">
        <v>163</v>
      </c>
    </row>
    <row r="11752" spans="1:8" ht="14.4" x14ac:dyDescent="0.3">
      <c r="A11752" s="8">
        <v>2028153</v>
      </c>
      <c r="B11752" s="11">
        <v>44636</v>
      </c>
      <c r="C11752" s="13" t="s">
        <v>8210</v>
      </c>
      <c r="D11752" s="13" t="s">
        <v>14509</v>
      </c>
      <c r="E11752" s="8">
        <v>8000</v>
      </c>
      <c r="F11752" s="13" t="s">
        <v>70</v>
      </c>
      <c r="G11752" s="14">
        <v>44641</v>
      </c>
      <c r="H11752" s="13" t="s">
        <v>163</v>
      </c>
    </row>
    <row r="11753" spans="1:8" ht="14.4" x14ac:dyDescent="0.3">
      <c r="A11753" s="8">
        <v>2028154</v>
      </c>
      <c r="B11753" s="11">
        <v>44636</v>
      </c>
      <c r="C11753" s="13" t="s">
        <v>14510</v>
      </c>
      <c r="D11753" s="13" t="s">
        <v>14511</v>
      </c>
      <c r="E11753" s="8">
        <v>4000</v>
      </c>
      <c r="F11753" s="13" t="s">
        <v>70</v>
      </c>
      <c r="G11753" s="14">
        <v>44637</v>
      </c>
      <c r="H11753" s="13" t="s">
        <v>163</v>
      </c>
    </row>
    <row r="11754" spans="1:8" ht="14.4" x14ac:dyDescent="0.3">
      <c r="A11754" s="8">
        <v>2028155</v>
      </c>
      <c r="B11754" s="11">
        <v>44636</v>
      </c>
      <c r="C11754" s="13" t="s">
        <v>14512</v>
      </c>
      <c r="D11754" s="13" t="s">
        <v>14513</v>
      </c>
      <c r="E11754" s="8">
        <v>2000</v>
      </c>
      <c r="F11754" s="13" t="s">
        <v>70</v>
      </c>
      <c r="G11754" s="14">
        <v>44638</v>
      </c>
      <c r="H11754" s="13" t="s">
        <v>163</v>
      </c>
    </row>
    <row r="11755" spans="1:8" ht="14.4" x14ac:dyDescent="0.3">
      <c r="A11755" s="8">
        <v>2028156</v>
      </c>
      <c r="B11755" s="11">
        <v>44636</v>
      </c>
      <c r="C11755" s="13" t="s">
        <v>14514</v>
      </c>
      <c r="D11755" s="13" t="s">
        <v>14515</v>
      </c>
      <c r="E11755" s="8">
        <v>2000</v>
      </c>
      <c r="F11755" s="13" t="s">
        <v>70</v>
      </c>
      <c r="G11755" s="14">
        <v>44645</v>
      </c>
      <c r="H11755" s="13" t="s">
        <v>163</v>
      </c>
    </row>
    <row r="11756" spans="1:8" ht="14.4" x14ac:dyDescent="0.3">
      <c r="A11756" s="8">
        <v>2028157</v>
      </c>
      <c r="B11756" s="11">
        <v>44636</v>
      </c>
      <c r="C11756" s="13" t="s">
        <v>14516</v>
      </c>
      <c r="D11756" s="13" t="s">
        <v>14517</v>
      </c>
      <c r="E11756" s="8">
        <v>10000</v>
      </c>
      <c r="F11756" s="13" t="s">
        <v>70</v>
      </c>
      <c r="G11756" s="14">
        <v>44641</v>
      </c>
      <c r="H11756" s="13" t="s">
        <v>163</v>
      </c>
    </row>
    <row r="11757" spans="1:8" ht="14.4" x14ac:dyDescent="0.3">
      <c r="A11757" s="8">
        <v>2028158</v>
      </c>
      <c r="B11757" s="11">
        <v>44636</v>
      </c>
      <c r="C11757" s="13" t="s">
        <v>14518</v>
      </c>
      <c r="D11757" s="13" t="s">
        <v>14519</v>
      </c>
      <c r="E11757" s="8">
        <v>2000</v>
      </c>
      <c r="F11757" s="13" t="s">
        <v>70</v>
      </c>
      <c r="G11757" s="14">
        <v>44638</v>
      </c>
      <c r="H11757" s="13" t="s">
        <v>163</v>
      </c>
    </row>
    <row r="11758" spans="1:8" ht="14.4" x14ac:dyDescent="0.3">
      <c r="A11758" s="8">
        <v>2028159</v>
      </c>
      <c r="B11758" s="11">
        <v>44636</v>
      </c>
      <c r="C11758" s="13" t="s">
        <v>12096</v>
      </c>
      <c r="D11758" s="13" t="s">
        <v>14520</v>
      </c>
      <c r="E11758" s="8">
        <v>2000</v>
      </c>
      <c r="F11758" s="13" t="s">
        <v>70</v>
      </c>
      <c r="G11758" s="14">
        <v>44638</v>
      </c>
      <c r="H11758" s="13" t="s">
        <v>163</v>
      </c>
    </row>
    <row r="11759" spans="1:8" ht="14.4" x14ac:dyDescent="0.3">
      <c r="A11759" s="8">
        <v>2028161</v>
      </c>
      <c r="B11759" s="11">
        <v>44636</v>
      </c>
      <c r="C11759" s="13" t="s">
        <v>14521</v>
      </c>
      <c r="D11759" s="13" t="s">
        <v>14522</v>
      </c>
      <c r="E11759" s="8">
        <v>4000</v>
      </c>
      <c r="F11759" s="13" t="s">
        <v>70</v>
      </c>
      <c r="G11759" s="14">
        <v>44642</v>
      </c>
      <c r="H11759" s="13" t="s">
        <v>163</v>
      </c>
    </row>
    <row r="11760" spans="1:8" ht="14.4" x14ac:dyDescent="0.3">
      <c r="A11760" s="8">
        <v>2028162</v>
      </c>
      <c r="B11760" s="11">
        <v>44636</v>
      </c>
      <c r="C11760" s="13" t="s">
        <v>14523</v>
      </c>
      <c r="D11760" s="13" t="s">
        <v>14524</v>
      </c>
      <c r="E11760" s="8">
        <v>4000</v>
      </c>
      <c r="F11760" s="13" t="s">
        <v>70</v>
      </c>
      <c r="G11760" s="14">
        <v>44638</v>
      </c>
      <c r="H11760" s="13" t="s">
        <v>163</v>
      </c>
    </row>
    <row r="11761" spans="1:8" ht="14.4" x14ac:dyDescent="0.3">
      <c r="A11761" s="8">
        <v>2028163</v>
      </c>
      <c r="B11761" s="11">
        <v>44636</v>
      </c>
      <c r="C11761" s="13" t="s">
        <v>14525</v>
      </c>
      <c r="D11761" s="13" t="s">
        <v>14526</v>
      </c>
      <c r="E11761" s="8">
        <v>1000</v>
      </c>
      <c r="F11761" s="13" t="s">
        <v>70</v>
      </c>
      <c r="G11761" s="14">
        <v>44638</v>
      </c>
      <c r="H11761" s="13" t="s">
        <v>163</v>
      </c>
    </row>
    <row r="11762" spans="1:8" ht="14.4" x14ac:dyDescent="0.3">
      <c r="A11762" s="8">
        <v>2028164</v>
      </c>
      <c r="B11762" s="11">
        <v>44636</v>
      </c>
      <c r="C11762" s="13" t="s">
        <v>14527</v>
      </c>
      <c r="D11762" s="13" t="s">
        <v>14528</v>
      </c>
      <c r="E11762" s="8">
        <v>2000</v>
      </c>
      <c r="F11762" s="13" t="s">
        <v>70</v>
      </c>
      <c r="G11762" s="14">
        <v>44641</v>
      </c>
      <c r="H11762" s="13" t="s">
        <v>163</v>
      </c>
    </row>
    <row r="11763" spans="1:8" ht="14.4" x14ac:dyDescent="0.3">
      <c r="A11763" s="8">
        <v>2028165</v>
      </c>
      <c r="B11763" s="11">
        <v>44636</v>
      </c>
      <c r="C11763" s="13" t="s">
        <v>14529</v>
      </c>
      <c r="D11763" s="13" t="s">
        <v>14530</v>
      </c>
      <c r="E11763" s="8">
        <v>2000</v>
      </c>
      <c r="F11763" s="13" t="s">
        <v>70</v>
      </c>
      <c r="G11763" s="14">
        <v>44638</v>
      </c>
      <c r="H11763" s="13" t="s">
        <v>163</v>
      </c>
    </row>
    <row r="11764" spans="1:8" ht="14.4" x14ac:dyDescent="0.3">
      <c r="A11764" s="8">
        <v>2028166</v>
      </c>
      <c r="B11764" s="11">
        <v>44636</v>
      </c>
      <c r="C11764" s="13" t="s">
        <v>14531</v>
      </c>
      <c r="D11764" s="13" t="s">
        <v>14532</v>
      </c>
      <c r="E11764" s="8">
        <v>1000</v>
      </c>
      <c r="F11764" s="13" t="s">
        <v>70</v>
      </c>
      <c r="G11764" s="14">
        <v>44638</v>
      </c>
      <c r="H11764" s="13" t="s">
        <v>163</v>
      </c>
    </row>
    <row r="11765" spans="1:8" ht="14.4" x14ac:dyDescent="0.3">
      <c r="A11765" s="8">
        <v>2028167</v>
      </c>
      <c r="B11765" s="11">
        <v>44636</v>
      </c>
      <c r="C11765" s="13" t="s">
        <v>11635</v>
      </c>
      <c r="D11765" s="13" t="s">
        <v>14533</v>
      </c>
      <c r="E11765" s="8">
        <v>4000</v>
      </c>
      <c r="F11765" s="13" t="s">
        <v>70</v>
      </c>
      <c r="G11765" s="14">
        <v>44641</v>
      </c>
      <c r="H11765" s="13" t="s">
        <v>163</v>
      </c>
    </row>
    <row r="11766" spans="1:8" ht="14.4" x14ac:dyDescent="0.3">
      <c r="A11766" s="8">
        <v>2028168</v>
      </c>
      <c r="B11766" s="11">
        <v>44636</v>
      </c>
      <c r="C11766" s="13" t="s">
        <v>8206</v>
      </c>
      <c r="D11766" s="13" t="s">
        <v>14534</v>
      </c>
      <c r="E11766" s="8">
        <v>2000</v>
      </c>
      <c r="F11766" s="13" t="s">
        <v>70</v>
      </c>
      <c r="G11766" s="14">
        <v>44708</v>
      </c>
      <c r="H11766" s="13" t="s">
        <v>163</v>
      </c>
    </row>
    <row r="11767" spans="1:8" ht="14.4" x14ac:dyDescent="0.3">
      <c r="A11767" s="8">
        <v>2028169</v>
      </c>
      <c r="B11767" s="11">
        <v>44636</v>
      </c>
      <c r="C11767" s="13" t="s">
        <v>14535</v>
      </c>
      <c r="D11767" s="13" t="s">
        <v>14536</v>
      </c>
      <c r="E11767" s="8">
        <v>4000</v>
      </c>
      <c r="F11767" s="13" t="s">
        <v>70</v>
      </c>
      <c r="G11767" s="14">
        <v>44638</v>
      </c>
      <c r="H11767" s="13" t="s">
        <v>163</v>
      </c>
    </row>
    <row r="11768" spans="1:8" ht="14.4" x14ac:dyDescent="0.3">
      <c r="A11768" s="8">
        <v>2028170</v>
      </c>
      <c r="B11768" s="11">
        <v>44636</v>
      </c>
      <c r="C11768" s="13" t="s">
        <v>8086</v>
      </c>
      <c r="D11768" s="13" t="s">
        <v>14537</v>
      </c>
      <c r="E11768" s="8">
        <v>6000</v>
      </c>
      <c r="F11768" s="13" t="s">
        <v>70</v>
      </c>
      <c r="G11768" s="14">
        <v>44642</v>
      </c>
      <c r="H11768" s="13" t="s">
        <v>163</v>
      </c>
    </row>
    <row r="11769" spans="1:8" ht="14.4" x14ac:dyDescent="0.3">
      <c r="A11769" s="8">
        <v>2028171</v>
      </c>
      <c r="B11769" s="11">
        <v>44636</v>
      </c>
      <c r="C11769" s="13" t="s">
        <v>14538</v>
      </c>
      <c r="D11769" s="13" t="s">
        <v>14539</v>
      </c>
      <c r="E11769" s="8">
        <v>6000</v>
      </c>
      <c r="F11769" s="13" t="s">
        <v>70</v>
      </c>
      <c r="G11769" s="14">
        <v>44683</v>
      </c>
      <c r="H11769" s="13" t="s">
        <v>163</v>
      </c>
    </row>
    <row r="11770" spans="1:8" ht="14.4" x14ac:dyDescent="0.3">
      <c r="A11770" s="8">
        <v>2028172</v>
      </c>
      <c r="B11770" s="11">
        <v>44636</v>
      </c>
      <c r="C11770" s="13" t="s">
        <v>14540</v>
      </c>
      <c r="D11770" s="13" t="s">
        <v>14541</v>
      </c>
      <c r="E11770" s="8">
        <v>10000</v>
      </c>
      <c r="F11770" s="13" t="s">
        <v>70</v>
      </c>
      <c r="G11770" s="14">
        <v>44641</v>
      </c>
      <c r="H11770" s="13" t="s">
        <v>163</v>
      </c>
    </row>
    <row r="11771" spans="1:8" ht="14.4" x14ac:dyDescent="0.3">
      <c r="A11771" s="8">
        <v>2028173</v>
      </c>
      <c r="B11771" s="11">
        <v>44636</v>
      </c>
      <c r="C11771" s="13" t="s">
        <v>14542</v>
      </c>
      <c r="D11771" s="13" t="s">
        <v>14543</v>
      </c>
      <c r="E11771" s="8">
        <v>4000</v>
      </c>
      <c r="F11771" s="13" t="s">
        <v>70</v>
      </c>
      <c r="G11771" s="14">
        <v>44641</v>
      </c>
      <c r="H11771" s="13" t="s">
        <v>163</v>
      </c>
    </row>
    <row r="11772" spans="1:8" ht="14.4" x14ac:dyDescent="0.3">
      <c r="A11772" s="8">
        <v>2028174</v>
      </c>
      <c r="B11772" s="11">
        <v>44636</v>
      </c>
      <c r="C11772" s="13" t="s">
        <v>14544</v>
      </c>
      <c r="D11772" s="13" t="s">
        <v>14545</v>
      </c>
      <c r="E11772" s="8">
        <v>8000</v>
      </c>
      <c r="F11772" s="13" t="s">
        <v>70</v>
      </c>
      <c r="G11772" s="14">
        <v>44638</v>
      </c>
      <c r="H11772" s="13" t="s">
        <v>163</v>
      </c>
    </row>
    <row r="11773" spans="1:8" ht="14.4" x14ac:dyDescent="0.3">
      <c r="A11773" s="8">
        <v>2028175</v>
      </c>
      <c r="B11773" s="11">
        <v>44636</v>
      </c>
      <c r="C11773" s="13" t="s">
        <v>14546</v>
      </c>
      <c r="D11773" s="13" t="s">
        <v>14547</v>
      </c>
      <c r="E11773" s="8">
        <v>4000</v>
      </c>
      <c r="F11773" s="13" t="s">
        <v>70</v>
      </c>
      <c r="G11773" s="14">
        <v>44641</v>
      </c>
      <c r="H11773" s="13" t="s">
        <v>163</v>
      </c>
    </row>
    <row r="11774" spans="1:8" ht="14.4" x14ac:dyDescent="0.3">
      <c r="A11774" s="8">
        <v>2028176</v>
      </c>
      <c r="B11774" s="11">
        <v>44636</v>
      </c>
      <c r="C11774" s="13" t="s">
        <v>8082</v>
      </c>
      <c r="D11774" s="13" t="s">
        <v>14548</v>
      </c>
      <c r="E11774" s="8">
        <v>8000</v>
      </c>
      <c r="F11774" s="13" t="s">
        <v>70</v>
      </c>
      <c r="G11774" s="14">
        <v>44641</v>
      </c>
      <c r="H11774" s="13" t="s">
        <v>163</v>
      </c>
    </row>
    <row r="11775" spans="1:8" ht="14.4" x14ac:dyDescent="0.3">
      <c r="A11775" s="8">
        <v>2028177</v>
      </c>
      <c r="B11775" s="11">
        <v>44636</v>
      </c>
      <c r="C11775" s="13" t="s">
        <v>14549</v>
      </c>
      <c r="D11775" s="13" t="s">
        <v>14550</v>
      </c>
      <c r="E11775" s="8">
        <v>2000</v>
      </c>
      <c r="F11775" s="13" t="s">
        <v>70</v>
      </c>
      <c r="G11775" s="14">
        <v>44644</v>
      </c>
      <c r="H11775" s="13" t="s">
        <v>163</v>
      </c>
    </row>
    <row r="11776" spans="1:8" ht="14.4" x14ac:dyDescent="0.3">
      <c r="A11776" s="8">
        <v>2028178</v>
      </c>
      <c r="B11776" s="11">
        <v>44636</v>
      </c>
      <c r="C11776" s="13" t="s">
        <v>14551</v>
      </c>
      <c r="D11776" s="13" t="s">
        <v>14552</v>
      </c>
      <c r="E11776" s="8">
        <v>2000</v>
      </c>
      <c r="F11776" s="13" t="s">
        <v>70</v>
      </c>
      <c r="G11776" s="14">
        <v>44642</v>
      </c>
      <c r="H11776" s="13" t="s">
        <v>163</v>
      </c>
    </row>
    <row r="11777" spans="1:8" ht="14.4" x14ac:dyDescent="0.3">
      <c r="A11777" s="8">
        <v>2028179</v>
      </c>
      <c r="B11777" s="11">
        <v>44636</v>
      </c>
      <c r="C11777" s="13" t="s">
        <v>14553</v>
      </c>
      <c r="D11777" s="13" t="s">
        <v>14554</v>
      </c>
      <c r="E11777" s="8">
        <v>2000</v>
      </c>
      <c r="F11777" s="13" t="s">
        <v>70</v>
      </c>
      <c r="G11777" s="14">
        <v>44641</v>
      </c>
      <c r="H11777" s="13" t="s">
        <v>163</v>
      </c>
    </row>
    <row r="11778" spans="1:8" ht="14.4" x14ac:dyDescent="0.3">
      <c r="A11778" s="8">
        <v>2028180</v>
      </c>
      <c r="B11778" s="11">
        <v>44636</v>
      </c>
      <c r="C11778" s="13" t="s">
        <v>14555</v>
      </c>
      <c r="D11778" s="13" t="s">
        <v>14556</v>
      </c>
      <c r="E11778" s="8">
        <v>2000</v>
      </c>
      <c r="F11778" s="13" t="s">
        <v>70</v>
      </c>
      <c r="G11778" s="14">
        <v>44641</v>
      </c>
      <c r="H11778" s="13" t="s">
        <v>163</v>
      </c>
    </row>
    <row r="11779" spans="1:8" ht="14.4" x14ac:dyDescent="0.3">
      <c r="A11779" s="8">
        <v>2028181</v>
      </c>
      <c r="B11779" s="11">
        <v>44636</v>
      </c>
      <c r="C11779" s="13" t="s">
        <v>14557</v>
      </c>
      <c r="D11779" s="13" t="s">
        <v>14558</v>
      </c>
      <c r="E11779" s="8">
        <v>2000</v>
      </c>
      <c r="F11779" s="13" t="s">
        <v>70</v>
      </c>
      <c r="G11779" s="14">
        <v>44644</v>
      </c>
      <c r="H11779" s="13" t="s">
        <v>163</v>
      </c>
    </row>
    <row r="11780" spans="1:8" ht="14.4" x14ac:dyDescent="0.3">
      <c r="A11780" s="8">
        <v>2028182</v>
      </c>
      <c r="B11780" s="11">
        <v>44636</v>
      </c>
      <c r="C11780" s="13" t="s">
        <v>12097</v>
      </c>
      <c r="D11780" s="13" t="s">
        <v>14559</v>
      </c>
      <c r="E11780" s="8">
        <v>2000</v>
      </c>
      <c r="F11780" s="13" t="s">
        <v>70</v>
      </c>
      <c r="G11780" s="14">
        <v>44641</v>
      </c>
      <c r="H11780" s="13" t="s">
        <v>163</v>
      </c>
    </row>
    <row r="11781" spans="1:8" ht="14.4" x14ac:dyDescent="0.3">
      <c r="A11781" s="8">
        <v>2028183</v>
      </c>
      <c r="B11781" s="11">
        <v>44636</v>
      </c>
      <c r="C11781" s="13" t="s">
        <v>14560</v>
      </c>
      <c r="D11781" s="13" t="s">
        <v>14561</v>
      </c>
      <c r="E11781" s="8">
        <v>1000</v>
      </c>
      <c r="F11781" s="13" t="s">
        <v>70</v>
      </c>
      <c r="G11781" s="14">
        <v>44641</v>
      </c>
      <c r="H11781" s="13" t="s">
        <v>163</v>
      </c>
    </row>
    <row r="11782" spans="1:8" ht="14.4" x14ac:dyDescent="0.3">
      <c r="A11782" s="8">
        <v>2028184</v>
      </c>
      <c r="B11782" s="11">
        <v>44636</v>
      </c>
      <c r="C11782" s="13" t="s">
        <v>14410</v>
      </c>
      <c r="D11782" s="13" t="s">
        <v>14562</v>
      </c>
      <c r="E11782" s="8">
        <v>8000</v>
      </c>
      <c r="F11782" s="13" t="s">
        <v>70</v>
      </c>
      <c r="G11782" s="14">
        <v>44637</v>
      </c>
      <c r="H11782" s="13" t="s">
        <v>163</v>
      </c>
    </row>
    <row r="11783" spans="1:8" ht="14.4" x14ac:dyDescent="0.3">
      <c r="A11783" s="8">
        <v>2028185</v>
      </c>
      <c r="B11783" s="11">
        <v>44636</v>
      </c>
      <c r="C11783" s="13" t="s">
        <v>14563</v>
      </c>
      <c r="D11783" s="13" t="s">
        <v>14564</v>
      </c>
      <c r="E11783" s="8">
        <v>2000</v>
      </c>
      <c r="F11783" s="13" t="s">
        <v>70</v>
      </c>
      <c r="G11783" s="14">
        <v>44638</v>
      </c>
      <c r="H11783" s="13" t="s">
        <v>163</v>
      </c>
    </row>
    <row r="11784" spans="1:8" ht="14.4" x14ac:dyDescent="0.3">
      <c r="A11784" s="8">
        <v>2028186</v>
      </c>
      <c r="B11784" s="11">
        <v>44636</v>
      </c>
      <c r="C11784" s="13" t="s">
        <v>85</v>
      </c>
      <c r="D11784" s="13" t="s">
        <v>14565</v>
      </c>
      <c r="E11784" s="8">
        <v>10602.04</v>
      </c>
      <c r="F11784" s="13" t="s">
        <v>70</v>
      </c>
      <c r="G11784" s="14">
        <v>44637</v>
      </c>
      <c r="H11784" s="13" t="s">
        <v>163</v>
      </c>
    </row>
    <row r="11785" spans="1:8" ht="14.4" x14ac:dyDescent="0.3">
      <c r="A11785" s="8">
        <v>2028187</v>
      </c>
      <c r="B11785" s="11">
        <v>44636</v>
      </c>
      <c r="C11785" s="13" t="s">
        <v>8814</v>
      </c>
      <c r="D11785" s="13" t="s">
        <v>14566</v>
      </c>
      <c r="E11785" s="8">
        <v>6000</v>
      </c>
      <c r="F11785" s="13" t="s">
        <v>70</v>
      </c>
      <c r="G11785" s="14">
        <v>44638</v>
      </c>
      <c r="H11785" s="13" t="s">
        <v>163</v>
      </c>
    </row>
    <row r="11786" spans="1:8" ht="14.4" x14ac:dyDescent="0.3">
      <c r="A11786" s="8">
        <v>2028188</v>
      </c>
      <c r="B11786" s="11">
        <v>44636</v>
      </c>
      <c r="C11786" s="13" t="s">
        <v>14567</v>
      </c>
      <c r="D11786" s="13" t="s">
        <v>14568</v>
      </c>
      <c r="E11786" s="8">
        <v>10000</v>
      </c>
      <c r="F11786" s="13" t="s">
        <v>70</v>
      </c>
      <c r="G11786" s="14">
        <v>44641</v>
      </c>
      <c r="H11786" s="13" t="s">
        <v>163</v>
      </c>
    </row>
    <row r="11787" spans="1:8" ht="14.4" x14ac:dyDescent="0.3">
      <c r="A11787" s="8">
        <v>2028189</v>
      </c>
      <c r="B11787" s="11">
        <v>44636</v>
      </c>
      <c r="C11787" s="13" t="s">
        <v>14569</v>
      </c>
      <c r="D11787" s="13" t="s">
        <v>14570</v>
      </c>
      <c r="E11787" s="8">
        <v>4000</v>
      </c>
      <c r="F11787" s="13" t="s">
        <v>70</v>
      </c>
      <c r="G11787" s="14">
        <v>44641</v>
      </c>
      <c r="H11787" s="13" t="s">
        <v>163</v>
      </c>
    </row>
    <row r="11788" spans="1:8" ht="14.4" x14ac:dyDescent="0.3">
      <c r="A11788" s="8">
        <v>2028190</v>
      </c>
      <c r="B11788" s="11">
        <v>44636</v>
      </c>
      <c r="C11788" s="13" t="s">
        <v>8516</v>
      </c>
      <c r="D11788" s="13" t="s">
        <v>14571</v>
      </c>
      <c r="E11788" s="8">
        <v>2000</v>
      </c>
      <c r="F11788" s="13" t="s">
        <v>70</v>
      </c>
      <c r="G11788" s="14">
        <v>44638</v>
      </c>
      <c r="H11788" s="13" t="s">
        <v>163</v>
      </c>
    </row>
    <row r="11789" spans="1:8" ht="14.4" x14ac:dyDescent="0.3">
      <c r="A11789" s="8">
        <v>2028191</v>
      </c>
      <c r="B11789" s="11">
        <v>44636</v>
      </c>
      <c r="C11789" s="13" t="s">
        <v>14572</v>
      </c>
      <c r="D11789" s="13" t="s">
        <v>14573</v>
      </c>
      <c r="E11789" s="8">
        <v>3000</v>
      </c>
      <c r="F11789" s="13" t="s">
        <v>70</v>
      </c>
      <c r="G11789" s="14">
        <v>44638</v>
      </c>
      <c r="H11789" s="13" t="s">
        <v>163</v>
      </c>
    </row>
    <row r="11790" spans="1:8" ht="14.4" x14ac:dyDescent="0.3">
      <c r="A11790" s="8">
        <v>2028192</v>
      </c>
      <c r="B11790" s="11">
        <v>44636</v>
      </c>
      <c r="C11790" s="13" t="s">
        <v>14574</v>
      </c>
      <c r="D11790" s="13" t="s">
        <v>14575</v>
      </c>
      <c r="E11790" s="8">
        <v>10000</v>
      </c>
      <c r="F11790" s="13" t="s">
        <v>70</v>
      </c>
      <c r="G11790" s="14">
        <v>44638</v>
      </c>
      <c r="H11790" s="13" t="s">
        <v>163</v>
      </c>
    </row>
    <row r="11791" spans="1:8" ht="14.4" x14ac:dyDescent="0.3">
      <c r="A11791" s="8">
        <v>2028193</v>
      </c>
      <c r="B11791" s="11">
        <v>44636</v>
      </c>
      <c r="C11791" s="13" t="s">
        <v>14576</v>
      </c>
      <c r="D11791" s="13" t="s">
        <v>14577</v>
      </c>
      <c r="E11791" s="8">
        <v>2000</v>
      </c>
      <c r="F11791" s="13" t="s">
        <v>70</v>
      </c>
      <c r="G11791" s="14">
        <v>44638</v>
      </c>
      <c r="H11791" s="13" t="s">
        <v>163</v>
      </c>
    </row>
    <row r="11792" spans="1:8" ht="14.4" x14ac:dyDescent="0.3">
      <c r="A11792" s="8">
        <v>2028195</v>
      </c>
      <c r="B11792" s="11">
        <v>44636</v>
      </c>
      <c r="C11792" s="13" t="s">
        <v>14578</v>
      </c>
      <c r="D11792" s="13" t="s">
        <v>14579</v>
      </c>
      <c r="E11792" s="8">
        <v>2000</v>
      </c>
      <c r="F11792" s="13" t="s">
        <v>70</v>
      </c>
      <c r="G11792" s="14">
        <v>44643</v>
      </c>
      <c r="H11792" s="13" t="s">
        <v>163</v>
      </c>
    </row>
    <row r="11793" spans="1:8" ht="14.4" x14ac:dyDescent="0.3">
      <c r="A11793" s="8">
        <v>2028196</v>
      </c>
      <c r="B11793" s="11">
        <v>44636</v>
      </c>
      <c r="C11793" s="13" t="s">
        <v>14580</v>
      </c>
      <c r="D11793" s="13" t="s">
        <v>14581</v>
      </c>
      <c r="E11793" s="8">
        <v>4000</v>
      </c>
      <c r="F11793" s="13" t="s">
        <v>70</v>
      </c>
      <c r="G11793" s="14">
        <v>44641</v>
      </c>
      <c r="H11793" s="13" t="s">
        <v>163</v>
      </c>
    </row>
    <row r="11794" spans="1:8" ht="14.4" x14ac:dyDescent="0.3">
      <c r="A11794" s="8">
        <v>2028197</v>
      </c>
      <c r="B11794" s="11">
        <v>44636</v>
      </c>
      <c r="C11794" s="13" t="s">
        <v>14582</v>
      </c>
      <c r="D11794" s="13" t="s">
        <v>14583</v>
      </c>
      <c r="E11794" s="8">
        <v>4000</v>
      </c>
      <c r="F11794" s="13" t="s">
        <v>70</v>
      </c>
      <c r="G11794" s="14">
        <v>44638</v>
      </c>
      <c r="H11794" s="13" t="s">
        <v>163</v>
      </c>
    </row>
    <row r="11795" spans="1:8" ht="14.4" x14ac:dyDescent="0.3">
      <c r="A11795" s="8">
        <v>2028198</v>
      </c>
      <c r="B11795" s="11">
        <v>44636</v>
      </c>
      <c r="C11795" s="13" t="s">
        <v>14584</v>
      </c>
      <c r="D11795" s="13" t="s">
        <v>14585</v>
      </c>
      <c r="E11795" s="8">
        <v>2000</v>
      </c>
      <c r="F11795" s="13" t="s">
        <v>70</v>
      </c>
      <c r="G11795" s="14">
        <v>44638</v>
      </c>
      <c r="H11795" s="13" t="s">
        <v>163</v>
      </c>
    </row>
    <row r="11796" spans="1:8" ht="14.4" x14ac:dyDescent="0.3">
      <c r="A11796" s="8">
        <v>2028199</v>
      </c>
      <c r="B11796" s="11">
        <v>44636</v>
      </c>
      <c r="C11796" s="13" t="s">
        <v>11548</v>
      </c>
      <c r="D11796" s="13" t="s">
        <v>14586</v>
      </c>
      <c r="E11796" s="8">
        <v>2000</v>
      </c>
      <c r="F11796" s="13" t="s">
        <v>70</v>
      </c>
      <c r="G11796" s="14">
        <v>44638</v>
      </c>
      <c r="H11796" s="13" t="s">
        <v>163</v>
      </c>
    </row>
    <row r="11797" spans="1:8" ht="14.4" x14ac:dyDescent="0.3">
      <c r="A11797" s="8">
        <v>2028200</v>
      </c>
      <c r="B11797" s="11">
        <v>44636</v>
      </c>
      <c r="C11797" s="13" t="s">
        <v>893</v>
      </c>
      <c r="D11797" s="13" t="s">
        <v>14587</v>
      </c>
      <c r="E11797" s="8">
        <v>213826.24</v>
      </c>
      <c r="F11797" s="13" t="s">
        <v>70</v>
      </c>
      <c r="G11797" s="14">
        <v>44645</v>
      </c>
      <c r="H11797" s="13" t="s">
        <v>163</v>
      </c>
    </row>
    <row r="11798" spans="1:8" ht="14.4" x14ac:dyDescent="0.3">
      <c r="A11798" s="8">
        <v>2028201</v>
      </c>
      <c r="B11798" s="11">
        <v>44637</v>
      </c>
      <c r="C11798" s="13" t="s">
        <v>14588</v>
      </c>
      <c r="D11798" s="13" t="s">
        <v>14589</v>
      </c>
      <c r="E11798" s="8">
        <v>6000</v>
      </c>
      <c r="F11798" s="13" t="s">
        <v>70</v>
      </c>
      <c r="G11798" s="14">
        <v>44692</v>
      </c>
      <c r="H11798" s="13" t="s">
        <v>163</v>
      </c>
    </row>
    <row r="11799" spans="1:8" ht="14.4" x14ac:dyDescent="0.3">
      <c r="A11799" s="8">
        <v>2028202</v>
      </c>
      <c r="B11799" s="11">
        <v>44637</v>
      </c>
      <c r="C11799" s="13" t="s">
        <v>7749</v>
      </c>
      <c r="D11799" s="13" t="s">
        <v>14590</v>
      </c>
      <c r="E11799" s="8">
        <v>4000</v>
      </c>
      <c r="F11799" s="13" t="s">
        <v>70</v>
      </c>
      <c r="G11799" s="14">
        <v>44683</v>
      </c>
      <c r="H11799" s="13" t="s">
        <v>163</v>
      </c>
    </row>
    <row r="11800" spans="1:8" ht="14.4" x14ac:dyDescent="0.3">
      <c r="A11800" s="8">
        <v>2028203</v>
      </c>
      <c r="B11800" s="11">
        <v>44637</v>
      </c>
      <c r="C11800" s="13" t="s">
        <v>14591</v>
      </c>
      <c r="D11800" s="13" t="s">
        <v>14592</v>
      </c>
      <c r="E11800" s="8">
        <v>2000</v>
      </c>
      <c r="F11800" s="13" t="s">
        <v>70</v>
      </c>
      <c r="G11800" s="14">
        <v>44687</v>
      </c>
      <c r="H11800" s="13" t="s">
        <v>163</v>
      </c>
    </row>
    <row r="11801" spans="1:8" ht="14.4" x14ac:dyDescent="0.3">
      <c r="A11801" s="8">
        <v>2028204</v>
      </c>
      <c r="B11801" s="11">
        <v>44637</v>
      </c>
      <c r="C11801" s="13" t="s">
        <v>14593</v>
      </c>
      <c r="D11801" s="13" t="s">
        <v>14594</v>
      </c>
      <c r="E11801" s="8">
        <v>10000</v>
      </c>
      <c r="F11801" s="13" t="s">
        <v>70</v>
      </c>
      <c r="G11801" s="14">
        <v>44643</v>
      </c>
      <c r="H11801" s="13" t="s">
        <v>163</v>
      </c>
    </row>
    <row r="11802" spans="1:8" ht="14.4" x14ac:dyDescent="0.3">
      <c r="A11802" s="8">
        <v>2028205</v>
      </c>
      <c r="B11802" s="11">
        <v>44637</v>
      </c>
      <c r="C11802" s="13" t="s">
        <v>14595</v>
      </c>
      <c r="D11802" s="13" t="s">
        <v>14596</v>
      </c>
      <c r="E11802" s="8">
        <v>8000</v>
      </c>
      <c r="F11802" s="13" t="s">
        <v>70</v>
      </c>
      <c r="G11802" s="14">
        <v>44683</v>
      </c>
      <c r="H11802" s="13" t="s">
        <v>163</v>
      </c>
    </row>
    <row r="11803" spans="1:8" ht="14.4" x14ac:dyDescent="0.3">
      <c r="A11803" s="8">
        <v>2028206</v>
      </c>
      <c r="B11803" s="11">
        <v>44637</v>
      </c>
      <c r="C11803" s="13" t="s">
        <v>14597</v>
      </c>
      <c r="D11803" s="13" t="s">
        <v>14598</v>
      </c>
      <c r="E11803" s="8">
        <v>40000</v>
      </c>
      <c r="F11803" s="13" t="s">
        <v>70</v>
      </c>
      <c r="G11803" s="14">
        <v>44644</v>
      </c>
      <c r="H11803" s="13" t="s">
        <v>163</v>
      </c>
    </row>
    <row r="11804" spans="1:8" ht="14.4" x14ac:dyDescent="0.3">
      <c r="A11804" s="8">
        <v>2028207</v>
      </c>
      <c r="B11804" s="11">
        <v>44637</v>
      </c>
      <c r="C11804" s="13" t="s">
        <v>14599</v>
      </c>
      <c r="D11804" s="13" t="s">
        <v>14600</v>
      </c>
      <c r="E11804" s="8">
        <v>4000</v>
      </c>
      <c r="F11804" s="13" t="s">
        <v>70</v>
      </c>
      <c r="G11804" s="14">
        <v>44642</v>
      </c>
      <c r="H11804" s="13" t="s">
        <v>163</v>
      </c>
    </row>
    <row r="11805" spans="1:8" ht="14.4" x14ac:dyDescent="0.3">
      <c r="A11805" s="8">
        <v>2028208</v>
      </c>
      <c r="B11805" s="11">
        <v>44637</v>
      </c>
      <c r="C11805" s="13" t="s">
        <v>14601</v>
      </c>
      <c r="D11805" s="13" t="s">
        <v>14602</v>
      </c>
      <c r="E11805" s="8">
        <v>2000</v>
      </c>
      <c r="F11805" s="13" t="s">
        <v>70</v>
      </c>
      <c r="G11805" s="14">
        <v>44683</v>
      </c>
      <c r="H11805" s="13" t="s">
        <v>163</v>
      </c>
    </row>
    <row r="11806" spans="1:8" ht="14.4" x14ac:dyDescent="0.3">
      <c r="A11806" s="8">
        <v>2028209</v>
      </c>
      <c r="B11806" s="11">
        <v>44637</v>
      </c>
      <c r="C11806" s="13" t="s">
        <v>14603</v>
      </c>
      <c r="D11806" s="13" t="s">
        <v>14604</v>
      </c>
      <c r="E11806" s="8">
        <v>2000</v>
      </c>
      <c r="F11806" s="13" t="s">
        <v>70</v>
      </c>
      <c r="G11806" s="14">
        <v>44707</v>
      </c>
      <c r="H11806" s="13" t="s">
        <v>163</v>
      </c>
    </row>
    <row r="11807" spans="1:8" ht="14.4" x14ac:dyDescent="0.3">
      <c r="A11807" s="8">
        <v>2028210</v>
      </c>
      <c r="B11807" s="11">
        <v>44637</v>
      </c>
      <c r="C11807" s="13" t="s">
        <v>14605</v>
      </c>
      <c r="D11807" s="13" t="s">
        <v>14606</v>
      </c>
      <c r="E11807" s="8">
        <v>2000</v>
      </c>
      <c r="F11807" s="13" t="s">
        <v>70</v>
      </c>
      <c r="G11807" s="14">
        <v>44700</v>
      </c>
      <c r="H11807" s="13" t="s">
        <v>163</v>
      </c>
    </row>
    <row r="11808" spans="1:8" ht="14.4" x14ac:dyDescent="0.3">
      <c r="A11808" s="8">
        <v>2028211</v>
      </c>
      <c r="B11808" s="11">
        <v>44637</v>
      </c>
      <c r="C11808" s="13" t="s">
        <v>8923</v>
      </c>
      <c r="D11808" s="13" t="s">
        <v>14607</v>
      </c>
      <c r="E11808" s="8">
        <v>6000</v>
      </c>
      <c r="F11808" s="13" t="s">
        <v>70</v>
      </c>
      <c r="G11808" s="14">
        <v>44685</v>
      </c>
      <c r="H11808" s="13" t="s">
        <v>163</v>
      </c>
    </row>
    <row r="11809" spans="1:8" ht="14.4" x14ac:dyDescent="0.3">
      <c r="A11809" s="8">
        <v>2028212</v>
      </c>
      <c r="B11809" s="11">
        <v>44637</v>
      </c>
      <c r="C11809" s="13" t="s">
        <v>14608</v>
      </c>
      <c r="D11809" s="13" t="s">
        <v>14609</v>
      </c>
      <c r="E11809" s="8">
        <v>2000</v>
      </c>
      <c r="F11809" s="13" t="s">
        <v>70</v>
      </c>
      <c r="G11809" s="14">
        <v>44644</v>
      </c>
      <c r="H11809" s="13" t="s">
        <v>163</v>
      </c>
    </row>
    <row r="11810" spans="1:8" ht="14.4" x14ac:dyDescent="0.3">
      <c r="A11810" s="8">
        <v>2028213</v>
      </c>
      <c r="B11810" s="11">
        <v>44637</v>
      </c>
      <c r="C11810" s="13" t="s">
        <v>14610</v>
      </c>
      <c r="D11810" s="13" t="s">
        <v>14611</v>
      </c>
      <c r="E11810" s="8">
        <v>2000</v>
      </c>
      <c r="F11810" s="13" t="s">
        <v>70</v>
      </c>
      <c r="G11810" s="14">
        <v>44642</v>
      </c>
      <c r="H11810" s="13" t="s">
        <v>163</v>
      </c>
    </row>
    <row r="11811" spans="1:8" ht="14.4" x14ac:dyDescent="0.3">
      <c r="A11811" s="8">
        <v>2028214</v>
      </c>
      <c r="B11811" s="11">
        <v>44637</v>
      </c>
      <c r="C11811" s="13" t="s">
        <v>14612</v>
      </c>
      <c r="D11811" s="13" t="s">
        <v>14613</v>
      </c>
      <c r="E11811" s="8">
        <v>4000</v>
      </c>
      <c r="F11811" s="13" t="s">
        <v>70</v>
      </c>
      <c r="G11811" s="14">
        <v>44683</v>
      </c>
      <c r="H11811" s="13" t="s">
        <v>163</v>
      </c>
    </row>
    <row r="11812" spans="1:8" ht="14.4" x14ac:dyDescent="0.3">
      <c r="A11812" s="8">
        <v>2028215</v>
      </c>
      <c r="B11812" s="11">
        <v>44637</v>
      </c>
      <c r="C11812" s="13" t="s">
        <v>14614</v>
      </c>
      <c r="D11812" s="13" t="s">
        <v>14615</v>
      </c>
      <c r="E11812" s="8">
        <v>2000</v>
      </c>
      <c r="F11812" s="13" t="s">
        <v>70</v>
      </c>
      <c r="G11812" s="14">
        <v>44683</v>
      </c>
      <c r="H11812" s="13" t="s">
        <v>163</v>
      </c>
    </row>
    <row r="11813" spans="1:8" ht="14.4" x14ac:dyDescent="0.3">
      <c r="A11813" s="8">
        <v>2028216</v>
      </c>
      <c r="B11813" s="11">
        <v>44637</v>
      </c>
      <c r="C11813" s="13" t="s">
        <v>14616</v>
      </c>
      <c r="D11813" s="13" t="s">
        <v>14617</v>
      </c>
      <c r="E11813" s="8">
        <v>2000</v>
      </c>
      <c r="F11813" s="13" t="s">
        <v>70</v>
      </c>
      <c r="G11813" s="14">
        <v>44687</v>
      </c>
      <c r="H11813" s="13" t="s">
        <v>163</v>
      </c>
    </row>
    <row r="11814" spans="1:8" ht="14.4" x14ac:dyDescent="0.3">
      <c r="A11814" s="8">
        <v>2028217</v>
      </c>
      <c r="B11814" s="11">
        <v>44637</v>
      </c>
      <c r="C11814" s="13" t="s">
        <v>11546</v>
      </c>
      <c r="D11814" s="13" t="s">
        <v>14618</v>
      </c>
      <c r="E11814" s="8">
        <v>4000</v>
      </c>
      <c r="F11814" s="13" t="s">
        <v>70</v>
      </c>
      <c r="G11814" s="14">
        <v>44683</v>
      </c>
      <c r="H11814" s="13" t="s">
        <v>163</v>
      </c>
    </row>
    <row r="11815" spans="1:8" ht="14.4" x14ac:dyDescent="0.3">
      <c r="A11815" s="8">
        <v>2028218</v>
      </c>
      <c r="B11815" s="11">
        <v>44637</v>
      </c>
      <c r="C11815" s="13" t="s">
        <v>4701</v>
      </c>
      <c r="D11815" s="13" t="s">
        <v>14619</v>
      </c>
      <c r="E11815" s="8">
        <v>2000</v>
      </c>
      <c r="F11815" s="13" t="s">
        <v>70</v>
      </c>
      <c r="G11815" s="14">
        <v>44642</v>
      </c>
      <c r="H11815" s="13" t="s">
        <v>163</v>
      </c>
    </row>
    <row r="11816" spans="1:8" ht="14.4" x14ac:dyDescent="0.3">
      <c r="A11816" s="8">
        <v>2028219</v>
      </c>
      <c r="B11816" s="11">
        <v>44637</v>
      </c>
      <c r="C11816" s="13" t="s">
        <v>14620</v>
      </c>
      <c r="D11816" s="13" t="s">
        <v>14621</v>
      </c>
      <c r="E11816" s="8">
        <v>4000</v>
      </c>
      <c r="F11816" s="13" t="s">
        <v>70</v>
      </c>
      <c r="G11816" s="14">
        <v>44683</v>
      </c>
      <c r="H11816" s="13" t="s">
        <v>163</v>
      </c>
    </row>
    <row r="11817" spans="1:8" ht="14.4" x14ac:dyDescent="0.3">
      <c r="A11817" s="8">
        <v>2028220</v>
      </c>
      <c r="B11817" s="11">
        <v>44637</v>
      </c>
      <c r="C11817" s="13" t="s">
        <v>8217</v>
      </c>
      <c r="D11817" s="13" t="s">
        <v>14622</v>
      </c>
      <c r="E11817" s="8">
        <v>8000</v>
      </c>
      <c r="F11817" s="13" t="s">
        <v>70</v>
      </c>
      <c r="G11817" s="14">
        <v>44642</v>
      </c>
      <c r="H11817" s="13" t="s">
        <v>163</v>
      </c>
    </row>
    <row r="11818" spans="1:8" ht="14.4" x14ac:dyDescent="0.3">
      <c r="A11818" s="8">
        <v>2028221</v>
      </c>
      <c r="B11818" s="11">
        <v>44637</v>
      </c>
      <c r="C11818" s="13" t="s">
        <v>14623</v>
      </c>
      <c r="D11818" s="13" t="s">
        <v>14624</v>
      </c>
      <c r="E11818" s="8">
        <v>30000</v>
      </c>
      <c r="F11818" s="13" t="s">
        <v>70</v>
      </c>
      <c r="G11818" s="14">
        <v>44680</v>
      </c>
      <c r="H11818" s="13" t="s">
        <v>163</v>
      </c>
    </row>
    <row r="11819" spans="1:8" ht="14.4" x14ac:dyDescent="0.3">
      <c r="A11819" s="8">
        <v>2028222</v>
      </c>
      <c r="B11819" s="11">
        <v>44637</v>
      </c>
      <c r="C11819" s="13" t="s">
        <v>14625</v>
      </c>
      <c r="D11819" s="13" t="s">
        <v>14626</v>
      </c>
      <c r="E11819" s="8">
        <v>4000</v>
      </c>
      <c r="F11819" s="13" t="s">
        <v>70</v>
      </c>
      <c r="G11819" s="14">
        <v>44680</v>
      </c>
      <c r="H11819" s="13" t="s">
        <v>163</v>
      </c>
    </row>
    <row r="11820" spans="1:8" ht="14.4" x14ac:dyDescent="0.3">
      <c r="A11820" s="8">
        <v>2028223</v>
      </c>
      <c r="B11820" s="11">
        <v>44637</v>
      </c>
      <c r="C11820" s="13" t="s">
        <v>14627</v>
      </c>
      <c r="D11820" s="13" t="s">
        <v>14628</v>
      </c>
      <c r="E11820" s="8">
        <v>8000</v>
      </c>
      <c r="F11820" s="13" t="s">
        <v>70</v>
      </c>
      <c r="G11820" s="14">
        <v>44641</v>
      </c>
      <c r="H11820" s="13" t="s">
        <v>163</v>
      </c>
    </row>
    <row r="11821" spans="1:8" ht="14.4" x14ac:dyDescent="0.3">
      <c r="A11821" s="8">
        <v>2028224</v>
      </c>
      <c r="B11821" s="11">
        <v>44637</v>
      </c>
      <c r="C11821" s="13" t="s">
        <v>8212</v>
      </c>
      <c r="D11821" s="13" t="s">
        <v>14629</v>
      </c>
      <c r="E11821" s="8">
        <v>2000</v>
      </c>
      <c r="F11821" s="13" t="s">
        <v>70</v>
      </c>
      <c r="G11821" s="14">
        <v>44680</v>
      </c>
      <c r="H11821" s="13" t="s">
        <v>163</v>
      </c>
    </row>
    <row r="11822" spans="1:8" ht="14.4" x14ac:dyDescent="0.3">
      <c r="A11822" s="8">
        <v>2028225</v>
      </c>
      <c r="B11822" s="11">
        <v>44637</v>
      </c>
      <c r="C11822" s="13" t="s">
        <v>14630</v>
      </c>
      <c r="D11822" s="13" t="s">
        <v>14631</v>
      </c>
      <c r="E11822" s="8">
        <v>2000</v>
      </c>
      <c r="F11822" s="13" t="s">
        <v>70</v>
      </c>
      <c r="G11822" s="14">
        <v>44680</v>
      </c>
      <c r="H11822" s="13" t="s">
        <v>163</v>
      </c>
    </row>
    <row r="11823" spans="1:8" ht="14.4" x14ac:dyDescent="0.3">
      <c r="A11823" s="8">
        <v>2028226</v>
      </c>
      <c r="B11823" s="11">
        <v>44637</v>
      </c>
      <c r="C11823" s="13" t="s">
        <v>14632</v>
      </c>
      <c r="D11823" s="13" t="s">
        <v>14633</v>
      </c>
      <c r="E11823" s="8">
        <v>2000</v>
      </c>
      <c r="F11823" s="13" t="s">
        <v>70</v>
      </c>
      <c r="G11823" s="14">
        <v>44644</v>
      </c>
      <c r="H11823" s="13" t="s">
        <v>163</v>
      </c>
    </row>
    <row r="11824" spans="1:8" ht="14.4" x14ac:dyDescent="0.3">
      <c r="A11824" s="8">
        <v>2028227</v>
      </c>
      <c r="B11824" s="11">
        <v>44637</v>
      </c>
      <c r="C11824" s="13" t="s">
        <v>11550</v>
      </c>
      <c r="D11824" s="13" t="s">
        <v>14634</v>
      </c>
      <c r="E11824" s="8">
        <v>2000</v>
      </c>
      <c r="F11824" s="13" t="s">
        <v>70</v>
      </c>
      <c r="G11824" s="14">
        <v>44686</v>
      </c>
      <c r="H11824" s="13" t="s">
        <v>163</v>
      </c>
    </row>
    <row r="11825" spans="1:8" ht="14.4" x14ac:dyDescent="0.3">
      <c r="A11825" s="8">
        <v>2028228</v>
      </c>
      <c r="B11825" s="11">
        <v>44637</v>
      </c>
      <c r="C11825" s="13" t="s">
        <v>14635</v>
      </c>
      <c r="D11825" s="13" t="s">
        <v>14636</v>
      </c>
      <c r="E11825" s="8">
        <v>2000</v>
      </c>
      <c r="F11825" s="13" t="s">
        <v>70</v>
      </c>
      <c r="G11825" s="14">
        <v>44680</v>
      </c>
      <c r="H11825" s="13" t="s">
        <v>163</v>
      </c>
    </row>
    <row r="11826" spans="1:8" ht="14.4" x14ac:dyDescent="0.3">
      <c r="A11826" s="8">
        <v>2028229</v>
      </c>
      <c r="B11826" s="11">
        <v>44637</v>
      </c>
      <c r="C11826" s="13" t="s">
        <v>14637</v>
      </c>
      <c r="D11826" s="13" t="s">
        <v>14638</v>
      </c>
      <c r="E11826" s="8">
        <v>6000</v>
      </c>
      <c r="F11826" s="13" t="s">
        <v>70</v>
      </c>
      <c r="G11826" s="14">
        <v>44714</v>
      </c>
      <c r="H11826" s="13" t="s">
        <v>163</v>
      </c>
    </row>
    <row r="11827" spans="1:8" ht="14.4" x14ac:dyDescent="0.3">
      <c r="A11827" s="8">
        <v>2028230</v>
      </c>
      <c r="B11827" s="11">
        <v>44637</v>
      </c>
      <c r="C11827" s="13" t="s">
        <v>14639</v>
      </c>
      <c r="D11827" s="13" t="s">
        <v>14640</v>
      </c>
      <c r="E11827" s="8">
        <v>6000</v>
      </c>
      <c r="F11827" s="13" t="s">
        <v>70</v>
      </c>
      <c r="G11827" s="14">
        <v>44680</v>
      </c>
      <c r="H11827" s="13" t="s">
        <v>163</v>
      </c>
    </row>
    <row r="11828" spans="1:8" ht="14.4" x14ac:dyDescent="0.3">
      <c r="A11828" s="8">
        <v>2028231</v>
      </c>
      <c r="B11828" s="11">
        <v>44637</v>
      </c>
      <c r="C11828" s="13" t="s">
        <v>14641</v>
      </c>
      <c r="D11828" s="13" t="s">
        <v>14642</v>
      </c>
      <c r="E11828" s="8">
        <v>6000</v>
      </c>
      <c r="F11828" s="13" t="s">
        <v>70</v>
      </c>
      <c r="G11828" s="14">
        <v>44642</v>
      </c>
      <c r="H11828" s="13" t="s">
        <v>163</v>
      </c>
    </row>
    <row r="11829" spans="1:8" ht="14.4" x14ac:dyDescent="0.3">
      <c r="A11829" s="8">
        <v>2028232</v>
      </c>
      <c r="B11829" s="11">
        <v>44637</v>
      </c>
      <c r="C11829" s="13" t="s">
        <v>14643</v>
      </c>
      <c r="D11829" s="13" t="s">
        <v>14644</v>
      </c>
      <c r="E11829" s="8">
        <v>2000</v>
      </c>
      <c r="F11829" s="13" t="s">
        <v>70</v>
      </c>
      <c r="G11829" s="14">
        <v>44642</v>
      </c>
      <c r="H11829" s="13" t="s">
        <v>163</v>
      </c>
    </row>
    <row r="11830" spans="1:8" ht="14.4" x14ac:dyDescent="0.3">
      <c r="A11830" s="8">
        <v>2028233</v>
      </c>
      <c r="B11830" s="11">
        <v>44637</v>
      </c>
      <c r="C11830" s="13" t="s">
        <v>8221</v>
      </c>
      <c r="D11830" s="13" t="s">
        <v>14645</v>
      </c>
      <c r="E11830" s="8">
        <v>2000</v>
      </c>
      <c r="F11830" s="13" t="s">
        <v>70</v>
      </c>
      <c r="G11830" s="14">
        <v>44679</v>
      </c>
      <c r="H11830" s="13" t="s">
        <v>163</v>
      </c>
    </row>
    <row r="11831" spans="1:8" ht="14.4" x14ac:dyDescent="0.3">
      <c r="A11831" s="8">
        <v>2028234</v>
      </c>
      <c r="B11831" s="11">
        <v>44637</v>
      </c>
      <c r="C11831" s="13" t="s">
        <v>9648</v>
      </c>
      <c r="D11831" s="13" t="s">
        <v>14646</v>
      </c>
      <c r="E11831" s="8">
        <v>2000</v>
      </c>
      <c r="F11831" s="13" t="s">
        <v>70</v>
      </c>
      <c r="G11831" s="14">
        <v>44642</v>
      </c>
      <c r="H11831" s="13" t="s">
        <v>163</v>
      </c>
    </row>
    <row r="11832" spans="1:8" ht="14.4" x14ac:dyDescent="0.3">
      <c r="A11832" s="8">
        <v>2028235</v>
      </c>
      <c r="B11832" s="11">
        <v>44637</v>
      </c>
      <c r="C11832" s="13" t="s">
        <v>3610</v>
      </c>
      <c r="D11832" s="13" t="s">
        <v>14647</v>
      </c>
      <c r="E11832" s="8">
        <v>2000</v>
      </c>
      <c r="F11832" s="13" t="s">
        <v>70</v>
      </c>
      <c r="G11832" s="14">
        <v>44644</v>
      </c>
      <c r="H11832" s="13" t="s">
        <v>163</v>
      </c>
    </row>
    <row r="11833" spans="1:8" ht="14.4" x14ac:dyDescent="0.3">
      <c r="A11833" s="8">
        <v>2028236</v>
      </c>
      <c r="B11833" s="11">
        <v>44637</v>
      </c>
      <c r="C11833" s="13" t="s">
        <v>14648</v>
      </c>
      <c r="D11833" s="13" t="s">
        <v>14649</v>
      </c>
      <c r="E11833" s="8">
        <v>2000</v>
      </c>
      <c r="F11833" s="13" t="s">
        <v>70</v>
      </c>
      <c r="G11833" s="14">
        <v>44685</v>
      </c>
      <c r="H11833" s="13" t="s">
        <v>163</v>
      </c>
    </row>
    <row r="11834" spans="1:8" ht="14.4" x14ac:dyDescent="0.3">
      <c r="A11834" s="8">
        <v>2028237</v>
      </c>
      <c r="B11834" s="11">
        <v>44637</v>
      </c>
      <c r="C11834" s="13" t="s">
        <v>46</v>
      </c>
      <c r="D11834" s="13" t="s">
        <v>14650</v>
      </c>
      <c r="E11834" s="8">
        <v>2000</v>
      </c>
      <c r="F11834" s="13" t="s">
        <v>70</v>
      </c>
      <c r="G11834" s="14">
        <v>44680</v>
      </c>
      <c r="H11834" s="13" t="s">
        <v>163</v>
      </c>
    </row>
    <row r="11835" spans="1:8" ht="14.4" x14ac:dyDescent="0.3">
      <c r="A11835" s="8">
        <v>2028238</v>
      </c>
      <c r="B11835" s="11">
        <v>44637</v>
      </c>
      <c r="C11835" s="13" t="s">
        <v>2699</v>
      </c>
      <c r="D11835" s="13" t="s">
        <v>14651</v>
      </c>
      <c r="E11835" s="8">
        <v>2000</v>
      </c>
      <c r="F11835" s="13" t="s">
        <v>70</v>
      </c>
      <c r="G11835" s="14">
        <v>44641</v>
      </c>
      <c r="H11835" s="13" t="s">
        <v>163</v>
      </c>
    </row>
    <row r="11836" spans="1:8" ht="14.4" x14ac:dyDescent="0.3">
      <c r="A11836" s="8">
        <v>2028239</v>
      </c>
      <c r="B11836" s="11">
        <v>44637</v>
      </c>
      <c r="C11836" s="13" t="s">
        <v>14652</v>
      </c>
      <c r="D11836" s="13" t="s">
        <v>14653</v>
      </c>
      <c r="E11836" s="8">
        <v>2000</v>
      </c>
      <c r="F11836" s="13" t="s">
        <v>70</v>
      </c>
      <c r="G11836" s="14">
        <v>44683</v>
      </c>
      <c r="H11836" s="13" t="s">
        <v>163</v>
      </c>
    </row>
    <row r="11837" spans="1:8" ht="14.4" x14ac:dyDescent="0.3">
      <c r="A11837" s="8">
        <v>2028240</v>
      </c>
      <c r="B11837" s="11">
        <v>44637</v>
      </c>
      <c r="C11837" s="13" t="s">
        <v>14654</v>
      </c>
      <c r="D11837" s="13" t="s">
        <v>14655</v>
      </c>
      <c r="E11837" s="8">
        <v>2000</v>
      </c>
      <c r="F11837" s="13" t="s">
        <v>70</v>
      </c>
      <c r="G11837" s="14">
        <v>44680</v>
      </c>
      <c r="H11837" s="13" t="s">
        <v>163</v>
      </c>
    </row>
    <row r="11838" spans="1:8" ht="14.4" x14ac:dyDescent="0.3">
      <c r="A11838" s="8">
        <v>2028241</v>
      </c>
      <c r="B11838" s="11">
        <v>44637</v>
      </c>
      <c r="C11838" s="13" t="s">
        <v>14656</v>
      </c>
      <c r="D11838" s="13" t="s">
        <v>14657</v>
      </c>
      <c r="E11838" s="8">
        <v>2000</v>
      </c>
      <c r="F11838" s="13" t="s">
        <v>70</v>
      </c>
      <c r="G11838" s="14">
        <v>44643</v>
      </c>
      <c r="H11838" s="13" t="s">
        <v>163</v>
      </c>
    </row>
    <row r="11839" spans="1:8" ht="14.4" x14ac:dyDescent="0.3">
      <c r="A11839" s="8">
        <v>2028242</v>
      </c>
      <c r="B11839" s="11">
        <v>44637</v>
      </c>
      <c r="C11839" s="13" t="s">
        <v>14658</v>
      </c>
      <c r="D11839" s="13" t="s">
        <v>14659</v>
      </c>
      <c r="E11839" s="8">
        <v>1000</v>
      </c>
      <c r="F11839" s="13" t="s">
        <v>70</v>
      </c>
      <c r="G11839" s="14">
        <v>44680</v>
      </c>
      <c r="H11839" s="13" t="s">
        <v>163</v>
      </c>
    </row>
    <row r="11840" spans="1:8" ht="14.4" x14ac:dyDescent="0.3">
      <c r="A11840" s="8">
        <v>2028243</v>
      </c>
      <c r="B11840" s="11">
        <v>44637</v>
      </c>
      <c r="C11840" s="13" t="s">
        <v>14660</v>
      </c>
      <c r="D11840" s="13" t="s">
        <v>14661</v>
      </c>
      <c r="E11840" s="8">
        <v>4000</v>
      </c>
      <c r="F11840" s="13" t="s">
        <v>70</v>
      </c>
      <c r="G11840" s="14">
        <v>44680</v>
      </c>
      <c r="H11840" s="13" t="s">
        <v>163</v>
      </c>
    </row>
    <row r="11841" spans="1:8" ht="14.4" x14ac:dyDescent="0.3">
      <c r="A11841" s="8">
        <v>2028244</v>
      </c>
      <c r="B11841" s="11">
        <v>44637</v>
      </c>
      <c r="C11841" s="13" t="s">
        <v>14662</v>
      </c>
      <c r="D11841" s="13" t="s">
        <v>14663</v>
      </c>
      <c r="E11841" s="8">
        <v>8000</v>
      </c>
      <c r="F11841" s="13" t="s">
        <v>70</v>
      </c>
      <c r="G11841" s="14">
        <v>44683</v>
      </c>
      <c r="H11841" s="13" t="s">
        <v>163</v>
      </c>
    </row>
    <row r="11842" spans="1:8" ht="14.4" x14ac:dyDescent="0.3">
      <c r="A11842" s="8">
        <v>2028245</v>
      </c>
      <c r="B11842" s="11">
        <v>44637</v>
      </c>
      <c r="C11842" s="13" t="s">
        <v>14567</v>
      </c>
      <c r="D11842" s="13" t="s">
        <v>14664</v>
      </c>
      <c r="E11842" s="8">
        <v>6000</v>
      </c>
      <c r="F11842" s="13" t="s">
        <v>70</v>
      </c>
      <c r="G11842" s="14">
        <v>44641</v>
      </c>
      <c r="H11842" s="13" t="s">
        <v>163</v>
      </c>
    </row>
    <row r="11843" spans="1:8" ht="14.4" x14ac:dyDescent="0.3">
      <c r="A11843" s="8">
        <v>2028246</v>
      </c>
      <c r="B11843" s="11">
        <v>44638</v>
      </c>
      <c r="C11843" s="13" t="s">
        <v>7131</v>
      </c>
      <c r="D11843" s="13" t="s">
        <v>14665</v>
      </c>
      <c r="E11843" s="8">
        <v>2000</v>
      </c>
      <c r="F11843" s="13" t="s">
        <v>70</v>
      </c>
      <c r="G11843" s="14">
        <v>44680</v>
      </c>
      <c r="H11843" s="13" t="s">
        <v>163</v>
      </c>
    </row>
    <row r="11844" spans="1:8" ht="14.4" x14ac:dyDescent="0.3">
      <c r="A11844" s="8">
        <v>2028247</v>
      </c>
      <c r="B11844" s="11">
        <v>44638</v>
      </c>
      <c r="C11844" s="13" t="s">
        <v>14666</v>
      </c>
      <c r="D11844" s="13" t="s">
        <v>14667</v>
      </c>
      <c r="E11844" s="8">
        <v>4000</v>
      </c>
      <c r="F11844" s="13" t="s">
        <v>70</v>
      </c>
      <c r="G11844" s="14">
        <v>44643</v>
      </c>
      <c r="H11844" s="13" t="s">
        <v>163</v>
      </c>
    </row>
    <row r="11845" spans="1:8" ht="14.4" x14ac:dyDescent="0.3">
      <c r="A11845" s="8">
        <v>2028248</v>
      </c>
      <c r="B11845" s="11">
        <v>44638</v>
      </c>
      <c r="C11845" s="13" t="s">
        <v>14668</v>
      </c>
      <c r="D11845" s="13" t="s">
        <v>14669</v>
      </c>
      <c r="E11845" s="8">
        <v>244720</v>
      </c>
      <c r="F11845" s="13" t="s">
        <v>70</v>
      </c>
      <c r="G11845" s="14">
        <v>44649</v>
      </c>
      <c r="H11845" s="13" t="s">
        <v>163</v>
      </c>
    </row>
    <row r="11846" spans="1:8" ht="14.4" x14ac:dyDescent="0.3">
      <c r="A11846" s="8">
        <v>2028249</v>
      </c>
      <c r="B11846" s="11">
        <v>44641</v>
      </c>
      <c r="C11846" s="13" t="s">
        <v>893</v>
      </c>
      <c r="D11846" s="13" t="s">
        <v>14670</v>
      </c>
      <c r="E11846" s="8">
        <v>28550</v>
      </c>
      <c r="F11846" s="13" t="s">
        <v>70</v>
      </c>
      <c r="G11846" s="14">
        <v>44645</v>
      </c>
      <c r="H11846" s="13" t="s">
        <v>163</v>
      </c>
    </row>
    <row r="11847" spans="1:8" ht="14.4" x14ac:dyDescent="0.3">
      <c r="A11847" s="8">
        <v>2028250</v>
      </c>
      <c r="B11847" s="11">
        <v>44641</v>
      </c>
      <c r="C11847" s="13" t="s">
        <v>669</v>
      </c>
      <c r="D11847" s="13" t="s">
        <v>14671</v>
      </c>
      <c r="E11847" s="8">
        <v>13910</v>
      </c>
      <c r="F11847" s="13" t="s">
        <v>70</v>
      </c>
      <c r="G11847" s="14">
        <v>44645</v>
      </c>
      <c r="H11847" s="13" t="s">
        <v>163</v>
      </c>
    </row>
    <row r="11848" spans="1:8" ht="14.4" x14ac:dyDescent="0.3">
      <c r="A11848" s="8">
        <v>2028251</v>
      </c>
      <c r="B11848" s="11">
        <v>44641</v>
      </c>
      <c r="C11848" s="13" t="s">
        <v>14672</v>
      </c>
      <c r="D11848" s="13" t="s">
        <v>14673</v>
      </c>
      <c r="E11848" s="8">
        <v>10000</v>
      </c>
      <c r="F11848" s="13" t="s">
        <v>70</v>
      </c>
      <c r="G11848" s="14">
        <v>44643</v>
      </c>
      <c r="H11848" s="13" t="s">
        <v>163</v>
      </c>
    </row>
    <row r="11849" spans="1:8" ht="14.4" x14ac:dyDescent="0.3">
      <c r="A11849" s="8">
        <v>2028252</v>
      </c>
      <c r="B11849" s="11">
        <v>44641</v>
      </c>
      <c r="C11849" s="13" t="s">
        <v>14674</v>
      </c>
      <c r="D11849" s="13" t="s">
        <v>14675</v>
      </c>
      <c r="E11849" s="8">
        <v>2000</v>
      </c>
      <c r="F11849" s="13" t="s">
        <v>70</v>
      </c>
      <c r="G11849" s="14">
        <v>44643</v>
      </c>
      <c r="H11849" s="13" t="s">
        <v>163</v>
      </c>
    </row>
    <row r="11850" spans="1:8" ht="14.4" x14ac:dyDescent="0.3">
      <c r="A11850" s="8">
        <v>2028253</v>
      </c>
      <c r="B11850" s="11">
        <v>44641</v>
      </c>
      <c r="C11850" s="13" t="s">
        <v>14676</v>
      </c>
      <c r="D11850" s="13" t="s">
        <v>14677</v>
      </c>
      <c r="E11850" s="8">
        <v>2000</v>
      </c>
      <c r="F11850" s="13" t="s">
        <v>70</v>
      </c>
      <c r="G11850" s="14">
        <v>44643</v>
      </c>
      <c r="H11850" s="13" t="s">
        <v>163</v>
      </c>
    </row>
    <row r="11851" spans="1:8" ht="14.4" x14ac:dyDescent="0.3">
      <c r="A11851" s="8">
        <v>2028254</v>
      </c>
      <c r="B11851" s="11">
        <v>44641</v>
      </c>
      <c r="C11851" s="13" t="s">
        <v>14678</v>
      </c>
      <c r="D11851" s="13" t="s">
        <v>14679</v>
      </c>
      <c r="E11851" s="8">
        <v>6000</v>
      </c>
      <c r="F11851" s="13" t="s">
        <v>70</v>
      </c>
      <c r="G11851" s="14">
        <v>44643</v>
      </c>
      <c r="H11851" s="13" t="s">
        <v>163</v>
      </c>
    </row>
    <row r="11852" spans="1:8" ht="14.4" x14ac:dyDescent="0.3">
      <c r="A11852" s="8">
        <v>2028255</v>
      </c>
      <c r="B11852" s="11">
        <v>44641</v>
      </c>
      <c r="C11852" s="13" t="s">
        <v>14680</v>
      </c>
      <c r="D11852" s="13" t="s">
        <v>14681</v>
      </c>
      <c r="E11852" s="8">
        <v>2000</v>
      </c>
      <c r="F11852" s="13" t="s">
        <v>70</v>
      </c>
      <c r="G11852" s="14">
        <v>44683</v>
      </c>
      <c r="H11852" s="13" t="s">
        <v>163</v>
      </c>
    </row>
    <row r="11853" spans="1:8" ht="14.4" x14ac:dyDescent="0.3">
      <c r="A11853" s="8">
        <v>2028256</v>
      </c>
      <c r="B11853" s="11">
        <v>44641</v>
      </c>
      <c r="C11853" s="13" t="s">
        <v>14682</v>
      </c>
      <c r="D11853" s="13" t="s">
        <v>14683</v>
      </c>
      <c r="E11853" s="8">
        <v>4000</v>
      </c>
      <c r="F11853" s="13" t="s">
        <v>70</v>
      </c>
      <c r="G11853" s="14">
        <v>44644</v>
      </c>
      <c r="H11853" s="13" t="s">
        <v>163</v>
      </c>
    </row>
    <row r="11854" spans="1:8" ht="14.4" x14ac:dyDescent="0.3">
      <c r="A11854" s="8">
        <v>2028257</v>
      </c>
      <c r="B11854" s="11">
        <v>44641</v>
      </c>
      <c r="C11854" s="13" t="s">
        <v>8138</v>
      </c>
      <c r="D11854" s="13" t="s">
        <v>14684</v>
      </c>
      <c r="E11854" s="8">
        <v>4000</v>
      </c>
      <c r="F11854" s="13" t="s">
        <v>70</v>
      </c>
      <c r="G11854" s="14">
        <v>44643</v>
      </c>
      <c r="H11854" s="13" t="s">
        <v>163</v>
      </c>
    </row>
    <row r="11855" spans="1:8" ht="14.4" x14ac:dyDescent="0.3">
      <c r="A11855" s="8">
        <v>2028258</v>
      </c>
      <c r="B11855" s="11">
        <v>44641</v>
      </c>
      <c r="C11855" s="13" t="s">
        <v>14685</v>
      </c>
      <c r="D11855" s="13" t="s">
        <v>14686</v>
      </c>
      <c r="E11855" s="8">
        <v>2000</v>
      </c>
      <c r="F11855" s="13" t="s">
        <v>70</v>
      </c>
      <c r="G11855" s="14">
        <v>44644</v>
      </c>
      <c r="H11855" s="13" t="s">
        <v>163</v>
      </c>
    </row>
    <row r="11856" spans="1:8" ht="14.4" x14ac:dyDescent="0.3">
      <c r="A11856" s="8">
        <v>2028259</v>
      </c>
      <c r="B11856" s="11">
        <v>44641</v>
      </c>
      <c r="C11856" s="13" t="s">
        <v>14687</v>
      </c>
      <c r="D11856" s="13" t="s">
        <v>14688</v>
      </c>
      <c r="E11856" s="8">
        <v>2000</v>
      </c>
      <c r="F11856" s="13" t="s">
        <v>70</v>
      </c>
      <c r="G11856" s="14">
        <v>44643</v>
      </c>
      <c r="H11856" s="13" t="s">
        <v>163</v>
      </c>
    </row>
    <row r="11857" spans="1:8" ht="14.4" x14ac:dyDescent="0.3">
      <c r="A11857" s="8">
        <v>2028260</v>
      </c>
      <c r="B11857" s="11">
        <v>44641</v>
      </c>
      <c r="C11857" s="13" t="s">
        <v>14689</v>
      </c>
      <c r="D11857" s="13" t="s">
        <v>14690</v>
      </c>
      <c r="E11857" s="8">
        <v>2000</v>
      </c>
      <c r="F11857" s="13" t="s">
        <v>70</v>
      </c>
      <c r="G11857" s="14">
        <v>44644</v>
      </c>
      <c r="H11857" s="13" t="s">
        <v>163</v>
      </c>
    </row>
    <row r="11858" spans="1:8" ht="14.4" x14ac:dyDescent="0.3">
      <c r="A11858" s="8">
        <v>2028261</v>
      </c>
      <c r="B11858" s="11">
        <v>44641</v>
      </c>
      <c r="C11858" s="13" t="s">
        <v>14691</v>
      </c>
      <c r="D11858" s="13" t="s">
        <v>14692</v>
      </c>
      <c r="E11858" s="8">
        <v>6000</v>
      </c>
      <c r="F11858" s="13" t="s">
        <v>70</v>
      </c>
      <c r="G11858" s="14">
        <v>44645</v>
      </c>
      <c r="H11858" s="13" t="s">
        <v>163</v>
      </c>
    </row>
    <row r="11859" spans="1:8" ht="14.4" x14ac:dyDescent="0.3">
      <c r="A11859" s="8">
        <v>2028262</v>
      </c>
      <c r="B11859" s="11">
        <v>44641</v>
      </c>
      <c r="C11859" s="13" t="s">
        <v>14693</v>
      </c>
      <c r="D11859" s="13" t="s">
        <v>14694</v>
      </c>
      <c r="E11859" s="8">
        <v>2000</v>
      </c>
      <c r="F11859" s="13" t="s">
        <v>70</v>
      </c>
      <c r="G11859" s="14">
        <v>44644</v>
      </c>
      <c r="H11859" s="13" t="s">
        <v>163</v>
      </c>
    </row>
    <row r="11860" spans="1:8" ht="14.4" x14ac:dyDescent="0.3">
      <c r="A11860" s="8">
        <v>2028263</v>
      </c>
      <c r="B11860" s="11">
        <v>44641</v>
      </c>
      <c r="C11860" s="13" t="s">
        <v>14695</v>
      </c>
      <c r="D11860" s="13" t="s">
        <v>14696</v>
      </c>
      <c r="E11860" s="8">
        <v>4000</v>
      </c>
      <c r="F11860" s="13" t="s">
        <v>70</v>
      </c>
      <c r="G11860" s="14">
        <v>44643</v>
      </c>
      <c r="H11860" s="13" t="s">
        <v>163</v>
      </c>
    </row>
    <row r="11861" spans="1:8" ht="14.4" x14ac:dyDescent="0.3">
      <c r="A11861" s="8">
        <v>2028264</v>
      </c>
      <c r="B11861" s="11">
        <v>44641</v>
      </c>
      <c r="C11861" s="13" t="s">
        <v>14697</v>
      </c>
      <c r="D11861" s="13" t="s">
        <v>14698</v>
      </c>
      <c r="E11861" s="8">
        <v>6000</v>
      </c>
      <c r="F11861" s="13" t="s">
        <v>70</v>
      </c>
      <c r="G11861" s="14">
        <v>44680</v>
      </c>
      <c r="H11861" s="13" t="s">
        <v>163</v>
      </c>
    </row>
    <row r="11862" spans="1:8" ht="14.4" x14ac:dyDescent="0.3">
      <c r="A11862" s="8">
        <v>2028265</v>
      </c>
      <c r="B11862" s="11">
        <v>44641</v>
      </c>
      <c r="C11862" s="13" t="s">
        <v>14699</v>
      </c>
      <c r="D11862" s="13" t="s">
        <v>14700</v>
      </c>
      <c r="E11862" s="8">
        <v>2000</v>
      </c>
      <c r="F11862" s="13" t="s">
        <v>70</v>
      </c>
      <c r="G11862" s="14">
        <v>44642</v>
      </c>
      <c r="H11862" s="13" t="s">
        <v>163</v>
      </c>
    </row>
    <row r="11863" spans="1:8" ht="14.4" x14ac:dyDescent="0.3">
      <c r="A11863" s="8">
        <v>2028266</v>
      </c>
      <c r="B11863" s="11">
        <v>44641</v>
      </c>
      <c r="C11863" s="13" t="s">
        <v>14701</v>
      </c>
      <c r="D11863" s="13" t="s">
        <v>14702</v>
      </c>
      <c r="E11863" s="8">
        <v>8000</v>
      </c>
      <c r="F11863" s="13" t="s">
        <v>70</v>
      </c>
      <c r="G11863" s="14">
        <v>44644</v>
      </c>
      <c r="H11863" s="13" t="s">
        <v>163</v>
      </c>
    </row>
    <row r="11864" spans="1:8" ht="14.4" x14ac:dyDescent="0.3">
      <c r="A11864" s="8">
        <v>2028267</v>
      </c>
      <c r="B11864" s="11">
        <v>44641</v>
      </c>
      <c r="C11864" s="13" t="s">
        <v>8718</v>
      </c>
      <c r="D11864" s="13" t="s">
        <v>14703</v>
      </c>
      <c r="E11864" s="8">
        <v>2000</v>
      </c>
      <c r="F11864" s="13" t="s">
        <v>70</v>
      </c>
      <c r="G11864" s="14">
        <v>44644</v>
      </c>
      <c r="H11864" s="13" t="s">
        <v>163</v>
      </c>
    </row>
    <row r="11865" spans="1:8" ht="14.4" x14ac:dyDescent="0.3">
      <c r="A11865" s="8">
        <v>2028269</v>
      </c>
      <c r="B11865" s="11">
        <v>44641</v>
      </c>
      <c r="C11865" s="13" t="s">
        <v>14704</v>
      </c>
      <c r="D11865" s="13" t="s">
        <v>14705</v>
      </c>
      <c r="E11865" s="8">
        <v>2000</v>
      </c>
      <c r="F11865" s="13" t="s">
        <v>70</v>
      </c>
      <c r="G11865" s="14">
        <v>44644</v>
      </c>
      <c r="H11865" s="13" t="s">
        <v>163</v>
      </c>
    </row>
    <row r="11866" spans="1:8" ht="14.4" x14ac:dyDescent="0.3">
      <c r="A11866" s="8">
        <v>2028270</v>
      </c>
      <c r="B11866" s="11">
        <v>44641</v>
      </c>
      <c r="C11866" s="13" t="s">
        <v>14706</v>
      </c>
      <c r="D11866" s="13" t="s">
        <v>14707</v>
      </c>
      <c r="E11866" s="8">
        <v>2000</v>
      </c>
      <c r="F11866" s="13" t="s">
        <v>70</v>
      </c>
      <c r="G11866" s="14">
        <v>44644</v>
      </c>
      <c r="H11866" s="13" t="s">
        <v>163</v>
      </c>
    </row>
    <row r="11867" spans="1:8" ht="14.4" x14ac:dyDescent="0.3">
      <c r="A11867" s="8">
        <v>2028271</v>
      </c>
      <c r="B11867" s="11">
        <v>44641</v>
      </c>
      <c r="C11867" s="13" t="s">
        <v>14708</v>
      </c>
      <c r="D11867" s="13" t="s">
        <v>14709</v>
      </c>
      <c r="E11867" s="8">
        <v>2000</v>
      </c>
      <c r="F11867" s="13" t="s">
        <v>70</v>
      </c>
      <c r="G11867" s="14">
        <v>44645</v>
      </c>
      <c r="H11867" s="13" t="s">
        <v>163</v>
      </c>
    </row>
    <row r="11868" spans="1:8" ht="14.4" x14ac:dyDescent="0.3">
      <c r="A11868" s="8">
        <v>2028272</v>
      </c>
      <c r="B11868" s="11">
        <v>44641</v>
      </c>
      <c r="C11868" s="13" t="s">
        <v>14710</v>
      </c>
      <c r="D11868" s="13" t="s">
        <v>14711</v>
      </c>
      <c r="E11868" s="8">
        <v>2000</v>
      </c>
      <c r="F11868" s="13" t="s">
        <v>70</v>
      </c>
      <c r="G11868" s="14">
        <v>44645</v>
      </c>
      <c r="H11868" s="13" t="s">
        <v>163</v>
      </c>
    </row>
    <row r="11869" spans="1:8" ht="14.4" x14ac:dyDescent="0.3">
      <c r="A11869" s="8">
        <v>2028273</v>
      </c>
      <c r="B11869" s="11">
        <v>44641</v>
      </c>
      <c r="C11869" s="13" t="s">
        <v>14712</v>
      </c>
      <c r="D11869" s="13" t="s">
        <v>14713</v>
      </c>
      <c r="E11869" s="8">
        <v>2000</v>
      </c>
      <c r="F11869" s="13" t="s">
        <v>70</v>
      </c>
      <c r="G11869" s="14">
        <v>44644</v>
      </c>
      <c r="H11869" s="13" t="s">
        <v>163</v>
      </c>
    </row>
    <row r="11870" spans="1:8" ht="14.4" x14ac:dyDescent="0.3">
      <c r="A11870" s="8">
        <v>2028275</v>
      </c>
      <c r="B11870" s="11">
        <v>44641</v>
      </c>
      <c r="C11870" s="13" t="s">
        <v>14714</v>
      </c>
      <c r="D11870" s="13" t="s">
        <v>14715</v>
      </c>
      <c r="E11870" s="8">
        <v>2000</v>
      </c>
      <c r="F11870" s="13" t="s">
        <v>70</v>
      </c>
      <c r="G11870" s="14">
        <v>44644</v>
      </c>
      <c r="H11870" s="13" t="s">
        <v>163</v>
      </c>
    </row>
    <row r="11871" spans="1:8" ht="14.4" x14ac:dyDescent="0.3">
      <c r="A11871" s="8">
        <v>2028276</v>
      </c>
      <c r="B11871" s="11">
        <v>44641</v>
      </c>
      <c r="C11871" s="13" t="s">
        <v>14716</v>
      </c>
      <c r="D11871" s="13" t="s">
        <v>14717</v>
      </c>
      <c r="E11871" s="8">
        <v>2000</v>
      </c>
      <c r="F11871" s="13" t="s">
        <v>70</v>
      </c>
      <c r="G11871" s="14">
        <v>44645</v>
      </c>
      <c r="H11871" s="13" t="s">
        <v>163</v>
      </c>
    </row>
    <row r="11872" spans="1:8" ht="14.4" x14ac:dyDescent="0.3">
      <c r="A11872" s="8">
        <v>2028277</v>
      </c>
      <c r="B11872" s="11">
        <v>44641</v>
      </c>
      <c r="C11872" s="13" t="s">
        <v>14718</v>
      </c>
      <c r="D11872" s="13" t="s">
        <v>14719</v>
      </c>
      <c r="E11872" s="8">
        <v>1000</v>
      </c>
      <c r="F11872" s="13" t="s">
        <v>70</v>
      </c>
      <c r="G11872" s="14">
        <v>44644</v>
      </c>
      <c r="H11872" s="13" t="s">
        <v>163</v>
      </c>
    </row>
    <row r="11873" spans="1:8" ht="14.4" x14ac:dyDescent="0.3">
      <c r="A11873" s="8">
        <v>2028278</v>
      </c>
      <c r="B11873" s="11">
        <v>44641</v>
      </c>
      <c r="C11873" s="13" t="s">
        <v>14720</v>
      </c>
      <c r="D11873" s="13" t="s">
        <v>14721</v>
      </c>
      <c r="E11873" s="8">
        <v>2000</v>
      </c>
      <c r="F11873" s="13" t="s">
        <v>70</v>
      </c>
      <c r="G11873" s="14">
        <v>44644</v>
      </c>
      <c r="H11873" s="13" t="s">
        <v>163</v>
      </c>
    </row>
    <row r="11874" spans="1:8" ht="14.4" x14ac:dyDescent="0.3">
      <c r="A11874" s="8">
        <v>2028279</v>
      </c>
      <c r="B11874" s="11">
        <v>44641</v>
      </c>
      <c r="C11874" s="13" t="s">
        <v>14722</v>
      </c>
      <c r="D11874" s="13" t="s">
        <v>14723</v>
      </c>
      <c r="E11874" s="8">
        <v>2000</v>
      </c>
      <c r="F11874" s="13" t="s">
        <v>70</v>
      </c>
      <c r="G11874" s="14">
        <v>44644</v>
      </c>
      <c r="H11874" s="13" t="s">
        <v>163</v>
      </c>
    </row>
    <row r="11875" spans="1:8" ht="14.4" x14ac:dyDescent="0.3">
      <c r="A11875" s="8">
        <v>2028280</v>
      </c>
      <c r="B11875" s="11">
        <v>44641</v>
      </c>
      <c r="C11875" s="13" t="s">
        <v>7560</v>
      </c>
      <c r="D11875" s="13" t="s">
        <v>14724</v>
      </c>
      <c r="E11875" s="8">
        <v>6000</v>
      </c>
      <c r="F11875" s="13" t="s">
        <v>70</v>
      </c>
      <c r="G11875" s="14">
        <v>44644</v>
      </c>
      <c r="H11875" s="13" t="s">
        <v>163</v>
      </c>
    </row>
    <row r="11876" spans="1:8" ht="14.4" x14ac:dyDescent="0.3">
      <c r="A11876" s="8">
        <v>2028281</v>
      </c>
      <c r="B11876" s="11">
        <v>44641</v>
      </c>
      <c r="C11876" s="13" t="s">
        <v>14725</v>
      </c>
      <c r="D11876" s="13" t="s">
        <v>14726</v>
      </c>
      <c r="E11876" s="8">
        <v>4000</v>
      </c>
      <c r="F11876" s="13" t="s">
        <v>70</v>
      </c>
      <c r="G11876" s="14">
        <v>44645</v>
      </c>
      <c r="H11876" s="13" t="s">
        <v>163</v>
      </c>
    </row>
    <row r="11877" spans="1:8" ht="14.4" x14ac:dyDescent="0.3">
      <c r="A11877" s="8">
        <v>2028282</v>
      </c>
      <c r="B11877" s="11">
        <v>44641</v>
      </c>
      <c r="C11877" s="13" t="s">
        <v>14727</v>
      </c>
      <c r="D11877" s="13" t="s">
        <v>14728</v>
      </c>
      <c r="E11877" s="8">
        <v>4000</v>
      </c>
      <c r="F11877" s="13" t="s">
        <v>70</v>
      </c>
      <c r="G11877" s="14">
        <v>44680</v>
      </c>
      <c r="H11877" s="13" t="s">
        <v>163</v>
      </c>
    </row>
    <row r="11878" spans="1:8" ht="14.4" x14ac:dyDescent="0.3">
      <c r="A11878" s="8">
        <v>2028283</v>
      </c>
      <c r="B11878" s="11">
        <v>44641</v>
      </c>
      <c r="C11878" s="13" t="s">
        <v>14729</v>
      </c>
      <c r="D11878" s="13" t="s">
        <v>14730</v>
      </c>
      <c r="E11878" s="8">
        <v>6000</v>
      </c>
      <c r="F11878" s="13" t="s">
        <v>70</v>
      </c>
      <c r="G11878" s="14">
        <v>44645</v>
      </c>
      <c r="H11878" s="13" t="s">
        <v>163</v>
      </c>
    </row>
    <row r="11879" spans="1:8" ht="14.4" x14ac:dyDescent="0.3">
      <c r="A11879" s="8">
        <v>2028284</v>
      </c>
      <c r="B11879" s="11">
        <v>44641</v>
      </c>
      <c r="C11879" s="13" t="s">
        <v>14731</v>
      </c>
      <c r="D11879" s="13" t="s">
        <v>14732</v>
      </c>
      <c r="E11879" s="8">
        <v>2000</v>
      </c>
      <c r="F11879" s="13" t="s">
        <v>70</v>
      </c>
      <c r="G11879" s="14">
        <v>44643</v>
      </c>
      <c r="H11879" s="13" t="s">
        <v>163</v>
      </c>
    </row>
    <row r="11880" spans="1:8" ht="14.4" x14ac:dyDescent="0.3">
      <c r="A11880" s="8">
        <v>2028285</v>
      </c>
      <c r="B11880" s="11">
        <v>44641</v>
      </c>
      <c r="C11880" s="13" t="s">
        <v>14733</v>
      </c>
      <c r="D11880" s="13" t="s">
        <v>14734</v>
      </c>
      <c r="E11880" s="8">
        <v>2000</v>
      </c>
      <c r="F11880" s="13" t="s">
        <v>70</v>
      </c>
      <c r="G11880" s="14">
        <v>44643</v>
      </c>
      <c r="H11880" s="13" t="s">
        <v>163</v>
      </c>
    </row>
    <row r="11881" spans="1:8" ht="14.4" x14ac:dyDescent="0.3">
      <c r="A11881" s="8">
        <v>2028286</v>
      </c>
      <c r="B11881" s="11">
        <v>44641</v>
      </c>
      <c r="C11881" s="13" t="s">
        <v>14735</v>
      </c>
      <c r="D11881" s="13" t="s">
        <v>14736</v>
      </c>
      <c r="E11881" s="8">
        <v>2000</v>
      </c>
      <c r="F11881" s="13" t="s">
        <v>70</v>
      </c>
      <c r="G11881" s="14">
        <v>44645</v>
      </c>
      <c r="H11881" s="13" t="s">
        <v>163</v>
      </c>
    </row>
    <row r="11882" spans="1:8" ht="14.4" x14ac:dyDescent="0.3">
      <c r="A11882" s="8">
        <v>2028287</v>
      </c>
      <c r="B11882" s="11">
        <v>44641</v>
      </c>
      <c r="C11882" s="13" t="s">
        <v>11462</v>
      </c>
      <c r="D11882" s="13" t="s">
        <v>14737</v>
      </c>
      <c r="E11882" s="8">
        <v>2000</v>
      </c>
      <c r="F11882" s="13" t="s">
        <v>70</v>
      </c>
      <c r="G11882" s="14">
        <v>44643</v>
      </c>
      <c r="H11882" s="13" t="s">
        <v>163</v>
      </c>
    </row>
    <row r="11883" spans="1:8" ht="14.4" x14ac:dyDescent="0.3">
      <c r="A11883" s="8">
        <v>2028288</v>
      </c>
      <c r="B11883" s="11">
        <v>44641</v>
      </c>
      <c r="C11883" s="13" t="s">
        <v>14738</v>
      </c>
      <c r="D11883" s="13" t="s">
        <v>14739</v>
      </c>
      <c r="E11883" s="8">
        <v>10000</v>
      </c>
      <c r="F11883" s="13" t="s">
        <v>70</v>
      </c>
      <c r="G11883" s="14">
        <v>44644</v>
      </c>
      <c r="H11883" s="13" t="s">
        <v>163</v>
      </c>
    </row>
    <row r="11884" spans="1:8" ht="14.4" x14ac:dyDescent="0.3">
      <c r="A11884" s="8">
        <v>2028289</v>
      </c>
      <c r="B11884" s="11">
        <v>44641</v>
      </c>
      <c r="C11884" s="13" t="s">
        <v>8488</v>
      </c>
      <c r="D11884" s="13" t="s">
        <v>14740</v>
      </c>
      <c r="E11884" s="8">
        <v>20000</v>
      </c>
      <c r="F11884" s="13" t="s">
        <v>70</v>
      </c>
      <c r="G11884" s="14">
        <v>44645</v>
      </c>
      <c r="H11884" s="13" t="s">
        <v>163</v>
      </c>
    </row>
    <row r="11885" spans="1:8" ht="14.4" x14ac:dyDescent="0.3">
      <c r="A11885" s="8">
        <v>2028290</v>
      </c>
      <c r="B11885" s="11">
        <v>44641</v>
      </c>
      <c r="C11885" s="13" t="s">
        <v>8768</v>
      </c>
      <c r="D11885" s="13" t="s">
        <v>14741</v>
      </c>
      <c r="E11885" s="8">
        <v>6000</v>
      </c>
      <c r="F11885" s="13" t="s">
        <v>70</v>
      </c>
      <c r="G11885" s="14">
        <v>44645</v>
      </c>
      <c r="H11885" s="13" t="s">
        <v>163</v>
      </c>
    </row>
    <row r="11886" spans="1:8" ht="14.4" x14ac:dyDescent="0.3">
      <c r="A11886" s="8">
        <v>2028291</v>
      </c>
      <c r="B11886" s="11">
        <v>44641</v>
      </c>
      <c r="C11886" s="13" t="s">
        <v>14742</v>
      </c>
      <c r="D11886" s="13" t="s">
        <v>14743</v>
      </c>
      <c r="E11886" s="8">
        <v>2000</v>
      </c>
      <c r="F11886" s="13" t="s">
        <v>70</v>
      </c>
      <c r="G11886" s="14">
        <v>44644</v>
      </c>
      <c r="H11886" s="13" t="s">
        <v>163</v>
      </c>
    </row>
    <row r="11887" spans="1:8" ht="14.4" x14ac:dyDescent="0.3">
      <c r="A11887" s="8">
        <v>2028292</v>
      </c>
      <c r="B11887" s="11">
        <v>44641</v>
      </c>
      <c r="C11887" s="13" t="s">
        <v>14744</v>
      </c>
      <c r="D11887" s="13" t="s">
        <v>14745</v>
      </c>
      <c r="E11887" s="8">
        <v>2000</v>
      </c>
      <c r="F11887" s="13" t="s">
        <v>70</v>
      </c>
      <c r="G11887" s="14">
        <v>44645</v>
      </c>
      <c r="H11887" s="13" t="s">
        <v>163</v>
      </c>
    </row>
    <row r="11888" spans="1:8" ht="14.4" x14ac:dyDescent="0.3">
      <c r="A11888" s="8">
        <v>2028293</v>
      </c>
      <c r="B11888" s="11">
        <v>44641</v>
      </c>
      <c r="C11888" s="13" t="s">
        <v>14746</v>
      </c>
      <c r="D11888" s="13" t="s">
        <v>14747</v>
      </c>
      <c r="E11888" s="8">
        <v>2000</v>
      </c>
      <c r="F11888" s="13" t="s">
        <v>70</v>
      </c>
      <c r="G11888" s="14">
        <v>44644</v>
      </c>
      <c r="H11888" s="13" t="s">
        <v>163</v>
      </c>
    </row>
    <row r="11889" spans="1:8" ht="14.4" x14ac:dyDescent="0.3">
      <c r="A11889" s="8">
        <v>2028294</v>
      </c>
      <c r="B11889" s="11">
        <v>44641</v>
      </c>
      <c r="C11889" s="13" t="s">
        <v>14748</v>
      </c>
      <c r="D11889" s="13" t="s">
        <v>14749</v>
      </c>
      <c r="E11889" s="8">
        <v>2000</v>
      </c>
      <c r="F11889" s="13" t="s">
        <v>70</v>
      </c>
      <c r="G11889" s="14">
        <v>44643</v>
      </c>
      <c r="H11889" s="13" t="s">
        <v>163</v>
      </c>
    </row>
    <row r="11890" spans="1:8" ht="14.4" x14ac:dyDescent="0.3">
      <c r="A11890" s="8">
        <v>2028295</v>
      </c>
      <c r="B11890" s="11">
        <v>44641</v>
      </c>
      <c r="C11890" s="13" t="s">
        <v>14750</v>
      </c>
      <c r="D11890" s="13" t="s">
        <v>14751</v>
      </c>
      <c r="E11890" s="8">
        <v>2000</v>
      </c>
      <c r="F11890" s="13" t="s">
        <v>70</v>
      </c>
      <c r="G11890" s="14">
        <v>44645</v>
      </c>
      <c r="H11890" s="13" t="s">
        <v>163</v>
      </c>
    </row>
    <row r="11891" spans="1:8" ht="14.4" x14ac:dyDescent="0.3">
      <c r="A11891" s="8">
        <v>2028296</v>
      </c>
      <c r="B11891" s="11">
        <v>44641</v>
      </c>
      <c r="C11891" s="13" t="s">
        <v>14752</v>
      </c>
      <c r="D11891" s="13" t="s">
        <v>14753</v>
      </c>
      <c r="E11891" s="8">
        <v>6000</v>
      </c>
      <c r="F11891" s="13" t="s">
        <v>70</v>
      </c>
      <c r="G11891" s="14">
        <v>44643</v>
      </c>
      <c r="H11891" s="13" t="s">
        <v>163</v>
      </c>
    </row>
    <row r="11892" spans="1:8" ht="14.4" x14ac:dyDescent="0.3">
      <c r="A11892" s="8">
        <v>2028297</v>
      </c>
      <c r="B11892" s="11">
        <v>44641</v>
      </c>
      <c r="C11892" s="13" t="s">
        <v>14754</v>
      </c>
      <c r="D11892" s="13" t="s">
        <v>14755</v>
      </c>
      <c r="E11892" s="8">
        <v>2000</v>
      </c>
      <c r="F11892" s="13" t="s">
        <v>70</v>
      </c>
      <c r="G11892" s="14">
        <v>44644</v>
      </c>
      <c r="H11892" s="13" t="s">
        <v>163</v>
      </c>
    </row>
    <row r="11893" spans="1:8" ht="14.4" x14ac:dyDescent="0.3">
      <c r="A11893" s="8">
        <v>2028298</v>
      </c>
      <c r="B11893" s="11">
        <v>44641</v>
      </c>
      <c r="C11893" s="13" t="s">
        <v>14756</v>
      </c>
      <c r="D11893" s="13" t="s">
        <v>14757</v>
      </c>
      <c r="E11893" s="8">
        <v>2000</v>
      </c>
      <c r="F11893" s="13" t="s">
        <v>70</v>
      </c>
      <c r="G11893" s="14">
        <v>44645</v>
      </c>
      <c r="H11893" s="13" t="s">
        <v>163</v>
      </c>
    </row>
    <row r="11894" spans="1:8" ht="14.4" x14ac:dyDescent="0.3">
      <c r="A11894" s="8">
        <v>2028299</v>
      </c>
      <c r="B11894" s="11">
        <v>44641</v>
      </c>
      <c r="C11894" s="13" t="s">
        <v>14758</v>
      </c>
      <c r="D11894" s="13" t="s">
        <v>14759</v>
      </c>
      <c r="E11894" s="8">
        <v>2000</v>
      </c>
      <c r="F11894" s="13" t="s">
        <v>70</v>
      </c>
      <c r="G11894" s="14">
        <v>44645</v>
      </c>
      <c r="H11894" s="13" t="s">
        <v>163</v>
      </c>
    </row>
    <row r="11895" spans="1:8" ht="14.4" x14ac:dyDescent="0.3">
      <c r="A11895" s="8">
        <v>2028300</v>
      </c>
      <c r="B11895" s="11">
        <v>44641</v>
      </c>
      <c r="C11895" s="13" t="s">
        <v>14760</v>
      </c>
      <c r="D11895" s="13" t="s">
        <v>14761</v>
      </c>
      <c r="E11895" s="8">
        <v>2000</v>
      </c>
      <c r="F11895" s="13" t="s">
        <v>70</v>
      </c>
      <c r="G11895" s="14">
        <v>44644</v>
      </c>
      <c r="H11895" s="13" t="s">
        <v>163</v>
      </c>
    </row>
    <row r="11896" spans="1:8" ht="14.4" x14ac:dyDescent="0.3">
      <c r="A11896" s="8">
        <v>2028302</v>
      </c>
      <c r="B11896" s="11">
        <v>44642</v>
      </c>
      <c r="C11896" s="13" t="s">
        <v>14762</v>
      </c>
      <c r="D11896" s="13" t="s">
        <v>14763</v>
      </c>
      <c r="E11896" s="8">
        <v>2000</v>
      </c>
      <c r="F11896" s="13" t="s">
        <v>70</v>
      </c>
      <c r="G11896" s="14">
        <v>44750</v>
      </c>
      <c r="H11896" s="13" t="s">
        <v>163</v>
      </c>
    </row>
    <row r="11897" spans="1:8" ht="14.4" x14ac:dyDescent="0.3">
      <c r="A11897" s="8">
        <v>2028303</v>
      </c>
      <c r="B11897" s="11">
        <v>44642</v>
      </c>
      <c r="C11897" s="13" t="s">
        <v>14764</v>
      </c>
      <c r="D11897" s="13" t="s">
        <v>14765</v>
      </c>
      <c r="E11897" s="8">
        <v>2000</v>
      </c>
      <c r="F11897" s="13" t="s">
        <v>70</v>
      </c>
      <c r="G11897" s="14">
        <v>44683</v>
      </c>
      <c r="H11897" s="13" t="s">
        <v>163</v>
      </c>
    </row>
    <row r="11898" spans="1:8" ht="14.4" x14ac:dyDescent="0.3">
      <c r="A11898" s="8">
        <v>2028304</v>
      </c>
      <c r="B11898" s="11">
        <v>44642</v>
      </c>
      <c r="C11898" s="13" t="s">
        <v>14766</v>
      </c>
      <c r="D11898" s="13" t="s">
        <v>14767</v>
      </c>
      <c r="E11898" s="8">
        <v>2000</v>
      </c>
      <c r="F11898" s="13" t="s">
        <v>70</v>
      </c>
      <c r="G11898" s="14">
        <v>44683</v>
      </c>
      <c r="H11898" s="13" t="s">
        <v>163</v>
      </c>
    </row>
    <row r="11899" spans="1:8" ht="14.4" x14ac:dyDescent="0.3">
      <c r="A11899" s="8">
        <v>2028305</v>
      </c>
      <c r="B11899" s="11">
        <v>44642</v>
      </c>
      <c r="C11899" s="13" t="s">
        <v>902</v>
      </c>
      <c r="D11899" s="13" t="s">
        <v>14768</v>
      </c>
      <c r="E11899" s="8">
        <v>2000</v>
      </c>
      <c r="F11899" s="13" t="s">
        <v>70</v>
      </c>
      <c r="G11899" s="14">
        <v>44683</v>
      </c>
      <c r="H11899" s="13" t="s">
        <v>163</v>
      </c>
    </row>
    <row r="11900" spans="1:8" ht="14.4" x14ac:dyDescent="0.3">
      <c r="A11900" s="8">
        <v>2028306</v>
      </c>
      <c r="B11900" s="11">
        <v>44642</v>
      </c>
      <c r="C11900" s="13" t="s">
        <v>14769</v>
      </c>
      <c r="D11900" s="13" t="s">
        <v>14770</v>
      </c>
      <c r="E11900" s="8">
        <v>2000</v>
      </c>
      <c r="F11900" s="13" t="s">
        <v>70</v>
      </c>
      <c r="G11900" s="14">
        <v>44683</v>
      </c>
      <c r="H11900" s="13" t="s">
        <v>163</v>
      </c>
    </row>
    <row r="11901" spans="1:8" ht="14.4" x14ac:dyDescent="0.3">
      <c r="A11901" s="8">
        <v>2028307</v>
      </c>
      <c r="B11901" s="11">
        <v>44642</v>
      </c>
      <c r="C11901" s="13" t="s">
        <v>8428</v>
      </c>
      <c r="D11901" s="13" t="s">
        <v>14771</v>
      </c>
      <c r="E11901" s="8">
        <v>8000</v>
      </c>
      <c r="F11901" s="13" t="s">
        <v>70</v>
      </c>
      <c r="G11901" s="14">
        <v>44683</v>
      </c>
      <c r="H11901" s="13" t="s">
        <v>163</v>
      </c>
    </row>
    <row r="11902" spans="1:8" ht="14.4" x14ac:dyDescent="0.3">
      <c r="A11902" s="8">
        <v>2028308</v>
      </c>
      <c r="B11902" s="11">
        <v>44642</v>
      </c>
      <c r="C11902" s="13" t="s">
        <v>14772</v>
      </c>
      <c r="D11902" s="13" t="s">
        <v>14773</v>
      </c>
      <c r="E11902" s="8">
        <v>2000</v>
      </c>
      <c r="F11902" s="13" t="s">
        <v>70</v>
      </c>
      <c r="G11902" s="14">
        <v>44683</v>
      </c>
      <c r="H11902" s="13" t="s">
        <v>163</v>
      </c>
    </row>
    <row r="11903" spans="1:8" ht="14.4" x14ac:dyDescent="0.3">
      <c r="A11903" s="8">
        <v>2028309</v>
      </c>
      <c r="B11903" s="11">
        <v>44642</v>
      </c>
      <c r="C11903" s="13" t="s">
        <v>14774</v>
      </c>
      <c r="D11903" s="13" t="s">
        <v>14775</v>
      </c>
      <c r="E11903" s="8">
        <v>2000</v>
      </c>
      <c r="F11903" s="13" t="s">
        <v>70</v>
      </c>
      <c r="G11903" s="14">
        <v>44680</v>
      </c>
      <c r="H11903" s="13" t="s">
        <v>163</v>
      </c>
    </row>
    <row r="11904" spans="1:8" ht="14.4" x14ac:dyDescent="0.3">
      <c r="A11904" s="8">
        <v>2028310</v>
      </c>
      <c r="B11904" s="11">
        <v>44642</v>
      </c>
      <c r="C11904" s="13" t="s">
        <v>14776</v>
      </c>
      <c r="D11904" s="13" t="s">
        <v>14777</v>
      </c>
      <c r="E11904" s="8">
        <v>2000</v>
      </c>
      <c r="F11904" s="13" t="s">
        <v>70</v>
      </c>
      <c r="G11904" s="14">
        <v>44680</v>
      </c>
      <c r="H11904" s="13" t="s">
        <v>163</v>
      </c>
    </row>
    <row r="11905" spans="1:8" ht="14.4" x14ac:dyDescent="0.3">
      <c r="A11905" s="8">
        <v>2028311</v>
      </c>
      <c r="B11905" s="11">
        <v>44642</v>
      </c>
      <c r="C11905" s="13" t="s">
        <v>14778</v>
      </c>
      <c r="D11905" s="13" t="s">
        <v>14779</v>
      </c>
      <c r="E11905" s="8">
        <v>8000</v>
      </c>
      <c r="F11905" s="13" t="s">
        <v>70</v>
      </c>
      <c r="G11905" s="14">
        <v>44683</v>
      </c>
      <c r="H11905" s="13" t="s">
        <v>163</v>
      </c>
    </row>
    <row r="11906" spans="1:8" ht="14.4" x14ac:dyDescent="0.3">
      <c r="A11906" s="8">
        <v>2028312</v>
      </c>
      <c r="B11906" s="11">
        <v>44642</v>
      </c>
      <c r="C11906" s="13" t="s">
        <v>9018</v>
      </c>
      <c r="D11906" s="13" t="s">
        <v>14780</v>
      </c>
      <c r="E11906" s="8">
        <v>2000</v>
      </c>
      <c r="F11906" s="13" t="s">
        <v>70</v>
      </c>
      <c r="G11906" s="14">
        <v>44683</v>
      </c>
      <c r="H11906" s="13" t="s">
        <v>163</v>
      </c>
    </row>
    <row r="11907" spans="1:8" ht="14.4" x14ac:dyDescent="0.3">
      <c r="A11907" s="8">
        <v>2028313</v>
      </c>
      <c r="B11907" s="11">
        <v>44642</v>
      </c>
      <c r="C11907" s="13" t="s">
        <v>14781</v>
      </c>
      <c r="D11907" s="13" t="s">
        <v>14782</v>
      </c>
      <c r="E11907" s="8">
        <v>2000</v>
      </c>
      <c r="F11907" s="13" t="s">
        <v>70</v>
      </c>
      <c r="G11907" s="14">
        <v>44683</v>
      </c>
      <c r="H11907" s="13" t="s">
        <v>163</v>
      </c>
    </row>
    <row r="11908" spans="1:8" ht="14.4" x14ac:dyDescent="0.3">
      <c r="A11908" s="8">
        <v>2028314</v>
      </c>
      <c r="B11908" s="11">
        <v>44642</v>
      </c>
      <c r="C11908" s="13" t="s">
        <v>14783</v>
      </c>
      <c r="D11908" s="13" t="s">
        <v>14784</v>
      </c>
      <c r="E11908" s="8">
        <v>20000</v>
      </c>
      <c r="F11908" s="13" t="s">
        <v>70</v>
      </c>
      <c r="G11908" s="14">
        <v>44644</v>
      </c>
      <c r="H11908" s="13" t="s">
        <v>163</v>
      </c>
    </row>
    <row r="11909" spans="1:8" ht="14.4" x14ac:dyDescent="0.3">
      <c r="A11909" s="8">
        <v>2028315</v>
      </c>
      <c r="B11909" s="11">
        <v>44642</v>
      </c>
      <c r="C11909" s="13" t="s">
        <v>14785</v>
      </c>
      <c r="D11909" s="13" t="s">
        <v>14786</v>
      </c>
      <c r="E11909" s="8">
        <v>20000</v>
      </c>
      <c r="F11909" s="13" t="s">
        <v>70</v>
      </c>
      <c r="G11909" s="14">
        <v>44683</v>
      </c>
      <c r="H11909" s="13" t="s">
        <v>163</v>
      </c>
    </row>
    <row r="11910" spans="1:8" ht="14.4" x14ac:dyDescent="0.3">
      <c r="A11910" s="8">
        <v>2028316</v>
      </c>
      <c r="B11910" s="11">
        <v>44642</v>
      </c>
      <c r="C11910" s="13" t="s">
        <v>14787</v>
      </c>
      <c r="D11910" s="13" t="s">
        <v>14788</v>
      </c>
      <c r="E11910" s="8">
        <v>4000</v>
      </c>
      <c r="F11910" s="13" t="s">
        <v>70</v>
      </c>
      <c r="G11910" s="14">
        <v>44645</v>
      </c>
      <c r="H11910" s="13" t="s">
        <v>163</v>
      </c>
    </row>
    <row r="11911" spans="1:8" ht="14.4" x14ac:dyDescent="0.3">
      <c r="A11911" s="8">
        <v>2028317</v>
      </c>
      <c r="B11911" s="11">
        <v>44642</v>
      </c>
      <c r="C11911" s="13" t="s">
        <v>14789</v>
      </c>
      <c r="D11911" s="13" t="s">
        <v>14790</v>
      </c>
      <c r="E11911" s="8">
        <v>2000</v>
      </c>
      <c r="F11911" s="13" t="s">
        <v>70</v>
      </c>
      <c r="G11911" s="14">
        <v>44683</v>
      </c>
      <c r="H11911" s="13" t="s">
        <v>163</v>
      </c>
    </row>
    <row r="11912" spans="1:8" ht="14.4" x14ac:dyDescent="0.3">
      <c r="A11912" s="8">
        <v>2028318</v>
      </c>
      <c r="B11912" s="11">
        <v>44642</v>
      </c>
      <c r="C11912" s="13" t="s">
        <v>14791</v>
      </c>
      <c r="D11912" s="13" t="s">
        <v>14792</v>
      </c>
      <c r="E11912" s="8">
        <v>6000</v>
      </c>
      <c r="F11912" s="13" t="s">
        <v>70</v>
      </c>
      <c r="G11912" s="14">
        <v>44680</v>
      </c>
      <c r="H11912" s="13" t="s">
        <v>163</v>
      </c>
    </row>
    <row r="11913" spans="1:8" ht="14.4" x14ac:dyDescent="0.3">
      <c r="A11913" s="8">
        <v>2028319</v>
      </c>
      <c r="B11913" s="11">
        <v>44642</v>
      </c>
      <c r="C11913" s="13" t="s">
        <v>14793</v>
      </c>
      <c r="D11913" s="13" t="s">
        <v>14794</v>
      </c>
      <c r="E11913" s="8">
        <v>2000</v>
      </c>
      <c r="F11913" s="13" t="s">
        <v>70</v>
      </c>
      <c r="G11913" s="14">
        <v>44683</v>
      </c>
      <c r="H11913" s="13" t="s">
        <v>163</v>
      </c>
    </row>
    <row r="11914" spans="1:8" ht="14.4" x14ac:dyDescent="0.3">
      <c r="A11914" s="8">
        <v>2028320</v>
      </c>
      <c r="B11914" s="11">
        <v>44642</v>
      </c>
      <c r="C11914" s="13" t="s">
        <v>8917</v>
      </c>
      <c r="D11914" s="13" t="s">
        <v>14795</v>
      </c>
      <c r="E11914" s="8">
        <v>6000</v>
      </c>
      <c r="F11914" s="13" t="s">
        <v>70</v>
      </c>
      <c r="G11914" s="14">
        <v>44680</v>
      </c>
      <c r="H11914" s="13" t="s">
        <v>163</v>
      </c>
    </row>
    <row r="11915" spans="1:8" ht="14.4" x14ac:dyDescent="0.3">
      <c r="A11915" s="8">
        <v>2028321</v>
      </c>
      <c r="B11915" s="11">
        <v>44642</v>
      </c>
      <c r="C11915" s="13" t="s">
        <v>14796</v>
      </c>
      <c r="D11915" s="13" t="s">
        <v>14797</v>
      </c>
      <c r="E11915" s="8">
        <v>4731707.5</v>
      </c>
      <c r="F11915" s="13" t="s">
        <v>70</v>
      </c>
      <c r="G11915" s="14">
        <v>44644</v>
      </c>
      <c r="H11915" s="13" t="s">
        <v>163</v>
      </c>
    </row>
    <row r="11916" spans="1:8" ht="14.4" x14ac:dyDescent="0.3">
      <c r="A11916" s="8">
        <v>2028322</v>
      </c>
      <c r="B11916" s="11">
        <v>44642</v>
      </c>
      <c r="C11916" s="13" t="s">
        <v>8463</v>
      </c>
      <c r="D11916" s="13" t="s">
        <v>14798</v>
      </c>
      <c r="E11916" s="8">
        <v>6000</v>
      </c>
      <c r="F11916" s="13" t="s">
        <v>70</v>
      </c>
      <c r="G11916" s="14">
        <v>44697</v>
      </c>
      <c r="H11916" s="13" t="s">
        <v>163</v>
      </c>
    </row>
    <row r="11917" spans="1:8" ht="14.4" x14ac:dyDescent="0.3">
      <c r="A11917" s="8">
        <v>2028323</v>
      </c>
      <c r="B11917" s="11">
        <v>44642</v>
      </c>
      <c r="C11917" s="13" t="s">
        <v>7989</v>
      </c>
      <c r="D11917" s="13" t="s">
        <v>14799</v>
      </c>
      <c r="E11917" s="8">
        <v>8000</v>
      </c>
      <c r="F11917" s="13" t="s">
        <v>70</v>
      </c>
      <c r="G11917" s="14">
        <v>44680</v>
      </c>
      <c r="H11917" s="13" t="s">
        <v>163</v>
      </c>
    </row>
    <row r="11918" spans="1:8" ht="14.4" x14ac:dyDescent="0.3">
      <c r="A11918" s="8">
        <v>2028324</v>
      </c>
      <c r="B11918" s="11">
        <v>44642</v>
      </c>
      <c r="C11918" s="13" t="s">
        <v>8934</v>
      </c>
      <c r="D11918" s="13" t="s">
        <v>14800</v>
      </c>
      <c r="E11918" s="8">
        <v>4000</v>
      </c>
      <c r="F11918" s="13" t="s">
        <v>70</v>
      </c>
      <c r="G11918" s="14">
        <v>44680</v>
      </c>
      <c r="H11918" s="13" t="s">
        <v>163</v>
      </c>
    </row>
    <row r="11919" spans="1:8" ht="14.4" x14ac:dyDescent="0.3">
      <c r="A11919" s="8">
        <v>2028325</v>
      </c>
      <c r="B11919" s="11">
        <v>44642</v>
      </c>
      <c r="C11919" s="13" t="s">
        <v>7862</v>
      </c>
      <c r="D11919" s="13" t="s">
        <v>14801</v>
      </c>
      <c r="E11919" s="8">
        <v>6000</v>
      </c>
      <c r="F11919" s="13" t="s">
        <v>70</v>
      </c>
      <c r="G11919" s="14">
        <v>44683</v>
      </c>
      <c r="H11919" s="13" t="s">
        <v>163</v>
      </c>
    </row>
    <row r="11920" spans="1:8" ht="14.4" x14ac:dyDescent="0.3">
      <c r="A11920" s="8">
        <v>2028326</v>
      </c>
      <c r="B11920" s="11">
        <v>44642</v>
      </c>
      <c r="C11920" s="13" t="s">
        <v>8084</v>
      </c>
      <c r="D11920" s="13" t="s">
        <v>14802</v>
      </c>
      <c r="E11920" s="8">
        <v>8000</v>
      </c>
      <c r="F11920" s="13" t="s">
        <v>70</v>
      </c>
      <c r="G11920" s="14">
        <v>44692</v>
      </c>
      <c r="H11920" s="13" t="s">
        <v>163</v>
      </c>
    </row>
    <row r="11921" spans="1:8" ht="14.4" x14ac:dyDescent="0.3">
      <c r="A11921" s="8">
        <v>2028327</v>
      </c>
      <c r="B11921" s="11">
        <v>44642</v>
      </c>
      <c r="C11921" s="13" t="s">
        <v>14803</v>
      </c>
      <c r="D11921" s="13" t="s">
        <v>14804</v>
      </c>
      <c r="E11921" s="8">
        <v>2000</v>
      </c>
      <c r="F11921" s="13" t="s">
        <v>70</v>
      </c>
      <c r="G11921" s="14">
        <v>44680</v>
      </c>
      <c r="H11921" s="13" t="s">
        <v>163</v>
      </c>
    </row>
    <row r="11922" spans="1:8" ht="14.4" x14ac:dyDescent="0.3">
      <c r="A11922" s="8">
        <v>2028328</v>
      </c>
      <c r="B11922" s="11">
        <v>44642</v>
      </c>
      <c r="C11922" s="13" t="s">
        <v>14805</v>
      </c>
      <c r="D11922" s="13" t="s">
        <v>14806</v>
      </c>
      <c r="E11922" s="8">
        <v>2000</v>
      </c>
      <c r="F11922" s="13" t="s">
        <v>70</v>
      </c>
      <c r="G11922" s="14">
        <v>44683</v>
      </c>
      <c r="H11922" s="13" t="s">
        <v>163</v>
      </c>
    </row>
    <row r="11923" spans="1:8" ht="14.4" x14ac:dyDescent="0.3">
      <c r="A11923" s="8">
        <v>2028329</v>
      </c>
      <c r="B11923" s="11">
        <v>44642</v>
      </c>
      <c r="C11923" s="13" t="s">
        <v>14807</v>
      </c>
      <c r="D11923" s="13" t="s">
        <v>14808</v>
      </c>
      <c r="E11923" s="8">
        <v>4000</v>
      </c>
      <c r="F11923" s="13" t="s">
        <v>70</v>
      </c>
      <c r="G11923" s="14">
        <v>44680</v>
      </c>
      <c r="H11923" s="13" t="s">
        <v>163</v>
      </c>
    </row>
    <row r="11924" spans="1:8" ht="14.4" x14ac:dyDescent="0.3">
      <c r="A11924" s="8">
        <v>2028330</v>
      </c>
      <c r="B11924" s="11">
        <v>44642</v>
      </c>
      <c r="C11924" s="13" t="s">
        <v>14809</v>
      </c>
      <c r="D11924" s="13" t="s">
        <v>14810</v>
      </c>
      <c r="E11924" s="8">
        <v>12000</v>
      </c>
      <c r="F11924" s="13" t="s">
        <v>70</v>
      </c>
      <c r="G11924" s="14">
        <v>44683</v>
      </c>
      <c r="H11924" s="13" t="s">
        <v>163</v>
      </c>
    </row>
    <row r="11925" spans="1:8" ht="14.4" x14ac:dyDescent="0.3">
      <c r="A11925" s="8">
        <v>2028331</v>
      </c>
      <c r="B11925" s="11">
        <v>44642</v>
      </c>
      <c r="C11925" s="13" t="s">
        <v>14811</v>
      </c>
      <c r="D11925" s="13" t="s">
        <v>14812</v>
      </c>
      <c r="E11925" s="8">
        <v>10000</v>
      </c>
      <c r="F11925" s="13" t="s">
        <v>70</v>
      </c>
      <c r="G11925" s="14">
        <v>44680</v>
      </c>
      <c r="H11925" s="13" t="s">
        <v>163</v>
      </c>
    </row>
    <row r="11926" spans="1:8" ht="14.4" x14ac:dyDescent="0.3">
      <c r="A11926" s="8">
        <v>2028332</v>
      </c>
      <c r="B11926" s="11">
        <v>44642</v>
      </c>
      <c r="C11926" s="13" t="s">
        <v>14813</v>
      </c>
      <c r="D11926" s="13" t="s">
        <v>14814</v>
      </c>
      <c r="E11926" s="8">
        <v>4000</v>
      </c>
      <c r="F11926" s="13" t="s">
        <v>70</v>
      </c>
      <c r="G11926" s="14">
        <v>44683</v>
      </c>
      <c r="H11926" s="13" t="s">
        <v>163</v>
      </c>
    </row>
    <row r="11927" spans="1:8" ht="14.4" x14ac:dyDescent="0.3">
      <c r="A11927" s="8">
        <v>2028333</v>
      </c>
      <c r="B11927" s="11">
        <v>44642</v>
      </c>
      <c r="C11927" s="13" t="s">
        <v>14815</v>
      </c>
      <c r="D11927" s="13" t="s">
        <v>14816</v>
      </c>
      <c r="E11927" s="8">
        <v>2000</v>
      </c>
      <c r="F11927" s="13" t="s">
        <v>70</v>
      </c>
      <c r="G11927" s="14">
        <v>44708</v>
      </c>
      <c r="H11927" s="13" t="s">
        <v>163</v>
      </c>
    </row>
    <row r="11928" spans="1:8" ht="14.4" x14ac:dyDescent="0.3">
      <c r="A11928" s="8">
        <v>2028334</v>
      </c>
      <c r="B11928" s="11">
        <v>44642</v>
      </c>
      <c r="C11928" s="13" t="s">
        <v>14817</v>
      </c>
      <c r="D11928" s="13" t="s">
        <v>14818</v>
      </c>
      <c r="E11928" s="8">
        <v>15000</v>
      </c>
      <c r="F11928" s="13" t="s">
        <v>70</v>
      </c>
      <c r="G11928" s="14">
        <v>44680</v>
      </c>
      <c r="H11928" s="13" t="s">
        <v>163</v>
      </c>
    </row>
    <row r="11929" spans="1:8" ht="14.4" x14ac:dyDescent="0.3">
      <c r="A11929" s="8">
        <v>2028335</v>
      </c>
      <c r="B11929" s="11">
        <v>44642</v>
      </c>
      <c r="C11929" s="13" t="s">
        <v>14819</v>
      </c>
      <c r="D11929" s="13" t="s">
        <v>14820</v>
      </c>
      <c r="E11929" s="8">
        <v>2000</v>
      </c>
      <c r="F11929" s="13" t="s">
        <v>70</v>
      </c>
      <c r="G11929" s="14">
        <v>44680</v>
      </c>
      <c r="H11929" s="13" t="s">
        <v>163</v>
      </c>
    </row>
    <row r="11930" spans="1:8" ht="14.4" x14ac:dyDescent="0.3">
      <c r="A11930" s="8">
        <v>2028336</v>
      </c>
      <c r="B11930" s="11">
        <v>44642</v>
      </c>
      <c r="C11930" s="13" t="s">
        <v>14821</v>
      </c>
      <c r="D11930" s="13" t="s">
        <v>14822</v>
      </c>
      <c r="E11930" s="8">
        <v>2000</v>
      </c>
      <c r="F11930" s="13" t="s">
        <v>70</v>
      </c>
      <c r="G11930" s="14">
        <v>44680</v>
      </c>
      <c r="H11930" s="13" t="s">
        <v>163</v>
      </c>
    </row>
    <row r="11931" spans="1:8" ht="14.4" x14ac:dyDescent="0.3">
      <c r="A11931" s="8">
        <v>2028337</v>
      </c>
      <c r="B11931" s="11">
        <v>44642</v>
      </c>
      <c r="C11931" s="13" t="s">
        <v>8882</v>
      </c>
      <c r="D11931" s="13" t="s">
        <v>14823</v>
      </c>
      <c r="E11931" s="8">
        <v>4000</v>
      </c>
      <c r="F11931" s="13" t="s">
        <v>70</v>
      </c>
      <c r="G11931" s="14">
        <v>44645</v>
      </c>
      <c r="H11931" s="13" t="s">
        <v>163</v>
      </c>
    </row>
    <row r="11932" spans="1:8" ht="14.4" x14ac:dyDescent="0.3">
      <c r="A11932" s="8">
        <v>2028338</v>
      </c>
      <c r="B11932" s="11">
        <v>44642</v>
      </c>
      <c r="C11932" s="13" t="s">
        <v>1272</v>
      </c>
      <c r="D11932" s="13" t="s">
        <v>14824</v>
      </c>
      <c r="E11932" s="8">
        <v>4000</v>
      </c>
      <c r="F11932" s="13" t="s">
        <v>70</v>
      </c>
      <c r="G11932" s="14">
        <v>44685</v>
      </c>
      <c r="H11932" s="13" t="s">
        <v>163</v>
      </c>
    </row>
    <row r="11933" spans="1:8" ht="14.4" x14ac:dyDescent="0.3">
      <c r="A11933" s="8">
        <v>2028339</v>
      </c>
      <c r="B11933" s="11">
        <v>44642</v>
      </c>
      <c r="C11933" s="13" t="s">
        <v>14825</v>
      </c>
      <c r="D11933" s="13" t="s">
        <v>14826</v>
      </c>
      <c r="E11933" s="8">
        <v>4000</v>
      </c>
      <c r="F11933" s="13" t="s">
        <v>70</v>
      </c>
      <c r="G11933" s="14">
        <v>44644</v>
      </c>
      <c r="H11933" s="13" t="s">
        <v>163</v>
      </c>
    </row>
    <row r="11934" spans="1:8" ht="14.4" x14ac:dyDescent="0.3">
      <c r="A11934" s="8">
        <v>2028340</v>
      </c>
      <c r="B11934" s="11">
        <v>44642</v>
      </c>
      <c r="C11934" s="13" t="s">
        <v>14827</v>
      </c>
      <c r="D11934" s="13" t="s">
        <v>14828</v>
      </c>
      <c r="E11934" s="8">
        <v>6000</v>
      </c>
      <c r="F11934" s="13" t="s">
        <v>70</v>
      </c>
      <c r="G11934" s="14">
        <v>44685</v>
      </c>
      <c r="H11934" s="13" t="s">
        <v>163</v>
      </c>
    </row>
    <row r="11935" spans="1:8" ht="14.4" x14ac:dyDescent="0.3">
      <c r="A11935" s="8">
        <v>2028341</v>
      </c>
      <c r="B11935" s="11">
        <v>44642</v>
      </c>
      <c r="C11935" s="13" t="s">
        <v>14829</v>
      </c>
      <c r="D11935" s="13" t="s">
        <v>14830</v>
      </c>
      <c r="E11935" s="8">
        <v>8000</v>
      </c>
      <c r="F11935" s="13" t="s">
        <v>70</v>
      </c>
      <c r="G11935" s="14">
        <v>44680</v>
      </c>
      <c r="H11935" s="13" t="s">
        <v>163</v>
      </c>
    </row>
    <row r="11936" spans="1:8" ht="14.4" x14ac:dyDescent="0.3">
      <c r="A11936" s="8">
        <v>2028342</v>
      </c>
      <c r="B11936" s="11">
        <v>44642</v>
      </c>
      <c r="C11936" s="13" t="s">
        <v>14831</v>
      </c>
      <c r="D11936" s="13" t="s">
        <v>14832</v>
      </c>
      <c r="E11936" s="8">
        <v>4000</v>
      </c>
      <c r="F11936" s="13" t="s">
        <v>70</v>
      </c>
      <c r="G11936" s="14">
        <v>44643</v>
      </c>
      <c r="H11936" s="13" t="s">
        <v>163</v>
      </c>
    </row>
    <row r="11937" spans="1:8" ht="14.4" x14ac:dyDescent="0.3">
      <c r="A11937" s="8">
        <v>2028343</v>
      </c>
      <c r="B11937" s="11">
        <v>44642</v>
      </c>
      <c r="C11937" s="13" t="s">
        <v>9038</v>
      </c>
      <c r="D11937" s="13" t="s">
        <v>14833</v>
      </c>
      <c r="E11937" s="8">
        <v>4000</v>
      </c>
      <c r="F11937" s="13" t="s">
        <v>70</v>
      </c>
      <c r="G11937" s="14">
        <v>44683</v>
      </c>
      <c r="H11937" s="13" t="s">
        <v>163</v>
      </c>
    </row>
    <row r="11938" spans="1:8" ht="14.4" x14ac:dyDescent="0.3">
      <c r="A11938" s="8">
        <v>2028344</v>
      </c>
      <c r="B11938" s="11">
        <v>44642</v>
      </c>
      <c r="C11938" s="13" t="s">
        <v>14834</v>
      </c>
      <c r="D11938" s="13" t="s">
        <v>14835</v>
      </c>
      <c r="E11938" s="8">
        <v>16000</v>
      </c>
      <c r="F11938" s="13" t="s">
        <v>70</v>
      </c>
      <c r="G11938" s="14">
        <v>44645</v>
      </c>
      <c r="H11938" s="13" t="s">
        <v>163</v>
      </c>
    </row>
    <row r="11939" spans="1:8" ht="14.4" x14ac:dyDescent="0.3">
      <c r="A11939" s="8">
        <v>2028345</v>
      </c>
      <c r="B11939" s="11">
        <v>44642</v>
      </c>
      <c r="C11939" s="13" t="s">
        <v>14836</v>
      </c>
      <c r="D11939" s="13" t="s">
        <v>14837</v>
      </c>
      <c r="E11939" s="8">
        <v>4000</v>
      </c>
      <c r="F11939" s="13" t="s">
        <v>70</v>
      </c>
      <c r="G11939" s="14">
        <v>44683</v>
      </c>
      <c r="H11939" s="13" t="s">
        <v>163</v>
      </c>
    </row>
    <row r="11940" spans="1:8" ht="14.4" x14ac:dyDescent="0.3">
      <c r="A11940" s="8">
        <v>2028346</v>
      </c>
      <c r="B11940" s="11">
        <v>44642</v>
      </c>
      <c r="C11940" s="13" t="s">
        <v>14838</v>
      </c>
      <c r="D11940" s="13" t="s">
        <v>14839</v>
      </c>
      <c r="E11940" s="8">
        <v>2000</v>
      </c>
      <c r="F11940" s="13" t="s">
        <v>70</v>
      </c>
      <c r="G11940" s="14">
        <v>44686</v>
      </c>
      <c r="H11940" s="13" t="s">
        <v>163</v>
      </c>
    </row>
    <row r="11941" spans="1:8" ht="14.4" x14ac:dyDescent="0.3">
      <c r="A11941" s="8">
        <v>2028347</v>
      </c>
      <c r="B11941" s="11">
        <v>44642</v>
      </c>
      <c r="C11941" s="13" t="s">
        <v>14840</v>
      </c>
      <c r="D11941" s="13" t="s">
        <v>14841</v>
      </c>
      <c r="E11941" s="8">
        <v>4000</v>
      </c>
      <c r="F11941" s="13" t="s">
        <v>70</v>
      </c>
      <c r="G11941" s="14">
        <v>44700</v>
      </c>
      <c r="H11941" s="13" t="s">
        <v>163</v>
      </c>
    </row>
    <row r="11942" spans="1:8" ht="14.4" x14ac:dyDescent="0.3">
      <c r="A11942" s="8">
        <v>2028348</v>
      </c>
      <c r="B11942" s="11">
        <v>44642</v>
      </c>
      <c r="C11942" s="13" t="s">
        <v>14842</v>
      </c>
      <c r="D11942" s="13" t="s">
        <v>14843</v>
      </c>
      <c r="E11942" s="8">
        <v>2000</v>
      </c>
      <c r="F11942" s="13" t="s">
        <v>70</v>
      </c>
      <c r="G11942" s="14">
        <v>44683</v>
      </c>
      <c r="H11942" s="13" t="s">
        <v>163</v>
      </c>
    </row>
    <row r="11943" spans="1:8" ht="14.4" x14ac:dyDescent="0.3">
      <c r="A11943" s="8">
        <v>2028349</v>
      </c>
      <c r="B11943" s="11">
        <v>44642</v>
      </c>
      <c r="C11943" s="13" t="s">
        <v>14844</v>
      </c>
      <c r="D11943" s="13" t="s">
        <v>14845</v>
      </c>
      <c r="E11943" s="8">
        <v>2000</v>
      </c>
      <c r="F11943" s="13" t="s">
        <v>70</v>
      </c>
      <c r="G11943" s="14">
        <v>44683</v>
      </c>
      <c r="H11943" s="13" t="s">
        <v>163</v>
      </c>
    </row>
    <row r="11944" spans="1:8" ht="14.4" x14ac:dyDescent="0.3">
      <c r="A11944" s="8">
        <v>2028350</v>
      </c>
      <c r="B11944" s="11">
        <v>44642</v>
      </c>
      <c r="C11944" s="13" t="s">
        <v>14846</v>
      </c>
      <c r="D11944" s="13" t="s">
        <v>14847</v>
      </c>
      <c r="E11944" s="8">
        <v>2000</v>
      </c>
      <c r="F11944" s="13" t="s">
        <v>70</v>
      </c>
      <c r="G11944" s="14">
        <v>44686</v>
      </c>
      <c r="H11944" s="13" t="s">
        <v>163</v>
      </c>
    </row>
    <row r="11945" spans="1:8" ht="14.4" x14ac:dyDescent="0.3">
      <c r="A11945" s="8">
        <v>2028351</v>
      </c>
      <c r="B11945" s="11">
        <v>44642</v>
      </c>
      <c r="C11945" s="13" t="s">
        <v>14848</v>
      </c>
      <c r="D11945" s="13" t="s">
        <v>14849</v>
      </c>
      <c r="E11945" s="8">
        <v>2000</v>
      </c>
      <c r="F11945" s="13" t="s">
        <v>70</v>
      </c>
      <c r="G11945" s="14">
        <v>44680</v>
      </c>
      <c r="H11945" s="13" t="s">
        <v>163</v>
      </c>
    </row>
    <row r="11946" spans="1:8" ht="14.4" x14ac:dyDescent="0.3">
      <c r="A11946" s="8">
        <v>2028352</v>
      </c>
      <c r="B11946" s="11">
        <v>44642</v>
      </c>
      <c r="C11946" s="13" t="s">
        <v>14850</v>
      </c>
      <c r="D11946" s="13" t="s">
        <v>14851</v>
      </c>
      <c r="E11946" s="8">
        <v>2000</v>
      </c>
      <c r="F11946" s="13" t="s">
        <v>70</v>
      </c>
      <c r="G11946" s="14">
        <v>44680</v>
      </c>
      <c r="H11946" s="13" t="s">
        <v>163</v>
      </c>
    </row>
    <row r="11947" spans="1:8" ht="14.4" x14ac:dyDescent="0.3">
      <c r="A11947" s="8">
        <v>2028353</v>
      </c>
      <c r="B11947" s="11">
        <v>44642</v>
      </c>
      <c r="C11947" s="13" t="s">
        <v>14852</v>
      </c>
      <c r="D11947" s="13" t="s">
        <v>14853</v>
      </c>
      <c r="E11947" s="8">
        <v>1000</v>
      </c>
      <c r="F11947" s="13" t="s">
        <v>70</v>
      </c>
      <c r="G11947" s="14">
        <v>44680</v>
      </c>
      <c r="H11947" s="13" t="s">
        <v>163</v>
      </c>
    </row>
    <row r="11948" spans="1:8" ht="14.4" x14ac:dyDescent="0.3">
      <c r="A11948" s="8">
        <v>2028354</v>
      </c>
      <c r="B11948" s="11">
        <v>44642</v>
      </c>
      <c r="C11948" s="13" t="s">
        <v>14854</v>
      </c>
      <c r="D11948" s="13" t="s">
        <v>14855</v>
      </c>
      <c r="E11948" s="8">
        <v>4000</v>
      </c>
      <c r="F11948" s="13" t="s">
        <v>70</v>
      </c>
      <c r="G11948" s="14">
        <v>44680</v>
      </c>
      <c r="H11948" s="13" t="s">
        <v>163</v>
      </c>
    </row>
    <row r="11949" spans="1:8" ht="14.4" x14ac:dyDescent="0.3">
      <c r="A11949" s="8">
        <v>2028355</v>
      </c>
      <c r="B11949" s="11">
        <v>44642</v>
      </c>
      <c r="C11949" s="13" t="s">
        <v>14856</v>
      </c>
      <c r="D11949" s="13" t="s">
        <v>14857</v>
      </c>
      <c r="E11949" s="8">
        <v>10000</v>
      </c>
      <c r="F11949" s="13" t="s">
        <v>70</v>
      </c>
      <c r="G11949" s="14">
        <v>44685</v>
      </c>
      <c r="H11949" s="13" t="s">
        <v>163</v>
      </c>
    </row>
    <row r="11950" spans="1:8" ht="14.4" x14ac:dyDescent="0.3">
      <c r="A11950" s="8">
        <v>2028356</v>
      </c>
      <c r="B11950" s="11">
        <v>44642</v>
      </c>
      <c r="C11950" s="13" t="s">
        <v>1240</v>
      </c>
      <c r="D11950" s="13" t="s">
        <v>14858</v>
      </c>
      <c r="E11950" s="8">
        <v>20000</v>
      </c>
      <c r="F11950" s="13" t="s">
        <v>70</v>
      </c>
      <c r="G11950" s="14">
        <v>44683</v>
      </c>
      <c r="H11950" s="13" t="s">
        <v>163</v>
      </c>
    </row>
    <row r="11951" spans="1:8" ht="14.4" x14ac:dyDescent="0.3">
      <c r="A11951" s="8">
        <v>2028357</v>
      </c>
      <c r="B11951" s="11">
        <v>44642</v>
      </c>
      <c r="C11951" s="13" t="s">
        <v>9625</v>
      </c>
      <c r="D11951" s="13" t="s">
        <v>14859</v>
      </c>
      <c r="E11951" s="8">
        <v>6000</v>
      </c>
      <c r="F11951" s="13" t="s">
        <v>70</v>
      </c>
      <c r="G11951" s="14">
        <v>44680</v>
      </c>
      <c r="H11951" s="13" t="s">
        <v>163</v>
      </c>
    </row>
    <row r="11952" spans="1:8" ht="14.4" x14ac:dyDescent="0.3">
      <c r="A11952" s="8">
        <v>2028358</v>
      </c>
      <c r="B11952" s="11">
        <v>44642</v>
      </c>
      <c r="C11952" s="13" t="s">
        <v>7872</v>
      </c>
      <c r="D11952" s="13" t="s">
        <v>14860</v>
      </c>
      <c r="E11952" s="8">
        <v>4000</v>
      </c>
      <c r="F11952" s="13" t="s">
        <v>70</v>
      </c>
      <c r="G11952" s="14">
        <v>44693</v>
      </c>
      <c r="H11952" s="13" t="s">
        <v>163</v>
      </c>
    </row>
    <row r="11953" spans="1:8" ht="14.4" x14ac:dyDescent="0.3">
      <c r="A11953" s="8">
        <v>2028359</v>
      </c>
      <c r="B11953" s="11">
        <v>44642</v>
      </c>
      <c r="C11953" s="13" t="s">
        <v>8810</v>
      </c>
      <c r="D11953" s="13" t="s">
        <v>14861</v>
      </c>
      <c r="E11953" s="8">
        <v>6000</v>
      </c>
      <c r="F11953" s="13" t="s">
        <v>70</v>
      </c>
      <c r="G11953" s="14">
        <v>44683</v>
      </c>
      <c r="H11953" s="13" t="s">
        <v>163</v>
      </c>
    </row>
    <row r="11954" spans="1:8" ht="14.4" x14ac:dyDescent="0.3">
      <c r="A11954" s="8">
        <v>2028360</v>
      </c>
      <c r="B11954" s="11">
        <v>44642</v>
      </c>
      <c r="C11954" s="13" t="s">
        <v>14862</v>
      </c>
      <c r="D11954" s="13" t="s">
        <v>14863</v>
      </c>
      <c r="E11954" s="8">
        <v>2000</v>
      </c>
      <c r="F11954" s="13" t="s">
        <v>70</v>
      </c>
      <c r="G11954" s="14">
        <v>44694</v>
      </c>
      <c r="H11954" s="13" t="s">
        <v>163</v>
      </c>
    </row>
    <row r="11955" spans="1:8" ht="14.4" x14ac:dyDescent="0.3">
      <c r="A11955" s="8">
        <v>2028361</v>
      </c>
      <c r="B11955" s="11">
        <v>44642</v>
      </c>
      <c r="C11955" s="13" t="s">
        <v>14864</v>
      </c>
      <c r="D11955" s="13" t="s">
        <v>14865</v>
      </c>
      <c r="E11955" s="8">
        <v>4000</v>
      </c>
      <c r="F11955" s="13" t="s">
        <v>70</v>
      </c>
      <c r="G11955" s="14">
        <v>44680</v>
      </c>
      <c r="H11955" s="13" t="s">
        <v>163</v>
      </c>
    </row>
    <row r="11956" spans="1:8" ht="14.4" x14ac:dyDescent="0.3">
      <c r="A11956" s="8">
        <v>2028362</v>
      </c>
      <c r="B11956" s="11">
        <v>44642</v>
      </c>
      <c r="C11956" s="13" t="s">
        <v>14866</v>
      </c>
      <c r="D11956" s="13" t="s">
        <v>14867</v>
      </c>
      <c r="E11956" s="8">
        <v>8000</v>
      </c>
      <c r="F11956" s="13" t="s">
        <v>70</v>
      </c>
      <c r="G11956" s="14">
        <v>44683</v>
      </c>
      <c r="H11956" s="13" t="s">
        <v>163</v>
      </c>
    </row>
    <row r="11957" spans="1:8" ht="14.4" x14ac:dyDescent="0.3">
      <c r="A11957" s="8">
        <v>2028363</v>
      </c>
      <c r="B11957" s="11">
        <v>44642</v>
      </c>
      <c r="C11957" s="13" t="s">
        <v>14868</v>
      </c>
      <c r="D11957" s="13" t="s">
        <v>14869</v>
      </c>
      <c r="E11957" s="8">
        <v>4000</v>
      </c>
      <c r="F11957" s="13" t="s">
        <v>70</v>
      </c>
      <c r="G11957" s="14">
        <v>44680</v>
      </c>
      <c r="H11957" s="13" t="s">
        <v>163</v>
      </c>
    </row>
    <row r="11958" spans="1:8" ht="14.4" x14ac:dyDescent="0.3">
      <c r="A11958" s="8">
        <v>2028364</v>
      </c>
      <c r="B11958" s="11">
        <v>44642</v>
      </c>
      <c r="C11958" s="13" t="s">
        <v>14870</v>
      </c>
      <c r="D11958" s="13" t="s">
        <v>14871</v>
      </c>
      <c r="E11958" s="8">
        <v>6000</v>
      </c>
      <c r="F11958" s="13" t="s">
        <v>70</v>
      </c>
      <c r="G11958" s="14">
        <v>44680</v>
      </c>
      <c r="H11958" s="13" t="s">
        <v>163</v>
      </c>
    </row>
    <row r="11959" spans="1:8" ht="14.4" x14ac:dyDescent="0.3">
      <c r="A11959" s="8">
        <v>2028365</v>
      </c>
      <c r="B11959" s="11">
        <v>44642</v>
      </c>
      <c r="C11959" s="13" t="s">
        <v>14872</v>
      </c>
      <c r="D11959" s="13" t="s">
        <v>14873</v>
      </c>
      <c r="E11959" s="8">
        <v>2000</v>
      </c>
      <c r="F11959" s="13" t="s">
        <v>70</v>
      </c>
      <c r="G11959" s="14">
        <v>44683</v>
      </c>
      <c r="H11959" s="13" t="s">
        <v>163</v>
      </c>
    </row>
    <row r="11960" spans="1:8" ht="14.4" x14ac:dyDescent="0.3">
      <c r="A11960" s="8">
        <v>2028366</v>
      </c>
      <c r="B11960" s="11">
        <v>44643</v>
      </c>
      <c r="C11960" s="13" t="s">
        <v>14874</v>
      </c>
      <c r="D11960" s="13" t="s">
        <v>14875</v>
      </c>
      <c r="E11960" s="8">
        <v>4000</v>
      </c>
      <c r="F11960" s="13" t="s">
        <v>70</v>
      </c>
      <c r="G11960" s="14">
        <v>44645</v>
      </c>
      <c r="H11960" s="13" t="s">
        <v>163</v>
      </c>
    </row>
    <row r="11961" spans="1:8" ht="14.4" x14ac:dyDescent="0.3">
      <c r="A11961" s="8">
        <v>2028367</v>
      </c>
      <c r="B11961" s="11">
        <v>44643</v>
      </c>
      <c r="C11961" s="13" t="s">
        <v>14876</v>
      </c>
      <c r="D11961" s="13" t="s">
        <v>14877</v>
      </c>
      <c r="E11961" s="8">
        <v>6000</v>
      </c>
      <c r="F11961" s="13" t="s">
        <v>70</v>
      </c>
      <c r="G11961" s="14">
        <v>44680</v>
      </c>
      <c r="H11961" s="13" t="s">
        <v>163</v>
      </c>
    </row>
    <row r="11962" spans="1:8" ht="14.4" x14ac:dyDescent="0.3">
      <c r="A11962" s="8">
        <v>2028368</v>
      </c>
      <c r="B11962" s="11">
        <v>44643</v>
      </c>
      <c r="C11962" s="13" t="s">
        <v>8531</v>
      </c>
      <c r="D11962" s="13" t="s">
        <v>14878</v>
      </c>
      <c r="E11962" s="8">
        <v>4000</v>
      </c>
      <c r="F11962" s="13" t="s">
        <v>70</v>
      </c>
      <c r="G11962" s="14">
        <v>44680</v>
      </c>
      <c r="H11962" s="13" t="s">
        <v>163</v>
      </c>
    </row>
    <row r="11963" spans="1:8" ht="14.4" x14ac:dyDescent="0.3">
      <c r="A11963" s="8">
        <v>2028369</v>
      </c>
      <c r="B11963" s="11">
        <v>44643</v>
      </c>
      <c r="C11963" s="13" t="s">
        <v>8506</v>
      </c>
      <c r="D11963" s="13" t="s">
        <v>14879</v>
      </c>
      <c r="E11963" s="8">
        <v>50000</v>
      </c>
      <c r="F11963" s="13" t="s">
        <v>70</v>
      </c>
      <c r="G11963" s="14">
        <v>44680</v>
      </c>
      <c r="H11963" s="13" t="s">
        <v>163</v>
      </c>
    </row>
    <row r="11964" spans="1:8" ht="14.4" x14ac:dyDescent="0.3">
      <c r="A11964" s="8">
        <v>2028370</v>
      </c>
      <c r="B11964" s="11">
        <v>44643</v>
      </c>
      <c r="C11964" s="13" t="s">
        <v>14880</v>
      </c>
      <c r="D11964" s="13" t="s">
        <v>14881</v>
      </c>
      <c r="E11964" s="8">
        <v>2000</v>
      </c>
      <c r="F11964" s="13" t="s">
        <v>70</v>
      </c>
      <c r="G11964" s="14">
        <v>44644</v>
      </c>
      <c r="H11964" s="13" t="s">
        <v>163</v>
      </c>
    </row>
    <row r="11965" spans="1:8" ht="14.4" x14ac:dyDescent="0.3">
      <c r="A11965" s="8">
        <v>2028371</v>
      </c>
      <c r="B11965" s="11">
        <v>44643</v>
      </c>
      <c r="C11965" s="13" t="s">
        <v>14882</v>
      </c>
      <c r="D11965" s="13" t="s">
        <v>14883</v>
      </c>
      <c r="E11965" s="8">
        <v>4000</v>
      </c>
      <c r="F11965" s="13" t="s">
        <v>70</v>
      </c>
      <c r="G11965" s="14">
        <v>44645</v>
      </c>
      <c r="H11965" s="13" t="s">
        <v>163</v>
      </c>
    </row>
    <row r="11966" spans="1:8" ht="14.4" x14ac:dyDescent="0.3">
      <c r="A11966" s="8">
        <v>2028372</v>
      </c>
      <c r="B11966" s="11">
        <v>44643</v>
      </c>
      <c r="C11966" s="13" t="s">
        <v>8223</v>
      </c>
      <c r="D11966" s="13" t="s">
        <v>14884</v>
      </c>
      <c r="E11966" s="8">
        <v>14000</v>
      </c>
      <c r="F11966" s="13" t="s">
        <v>70</v>
      </c>
      <c r="G11966" s="14">
        <v>44683</v>
      </c>
      <c r="H11966" s="13" t="s">
        <v>163</v>
      </c>
    </row>
    <row r="11967" spans="1:8" ht="14.4" x14ac:dyDescent="0.3">
      <c r="A11967" s="8">
        <v>2028373</v>
      </c>
      <c r="B11967" s="11">
        <v>44643</v>
      </c>
      <c r="C11967" s="13" t="s">
        <v>14885</v>
      </c>
      <c r="D11967" s="13" t="s">
        <v>14886</v>
      </c>
      <c r="E11967" s="8">
        <v>4000</v>
      </c>
      <c r="F11967" s="13" t="s">
        <v>70</v>
      </c>
      <c r="G11967" s="14">
        <v>44645</v>
      </c>
      <c r="H11967" s="13" t="s">
        <v>163</v>
      </c>
    </row>
    <row r="11968" spans="1:8" ht="14.4" x14ac:dyDescent="0.3">
      <c r="A11968" s="8">
        <v>2028374</v>
      </c>
      <c r="B11968" s="11">
        <v>44643</v>
      </c>
      <c r="C11968" s="13" t="s">
        <v>2974</v>
      </c>
      <c r="D11968" s="13" t="s">
        <v>14887</v>
      </c>
      <c r="E11968" s="8">
        <v>2000</v>
      </c>
      <c r="F11968" s="13" t="s">
        <v>70</v>
      </c>
      <c r="G11968" s="14">
        <v>44680</v>
      </c>
      <c r="H11968" s="13" t="s">
        <v>163</v>
      </c>
    </row>
    <row r="11969" spans="1:8" ht="14.4" x14ac:dyDescent="0.3">
      <c r="A11969" s="8">
        <v>2028375</v>
      </c>
      <c r="B11969" s="11">
        <v>44643</v>
      </c>
      <c r="C11969" s="13" t="s">
        <v>14796</v>
      </c>
      <c r="D11969" s="13" t="s">
        <v>13736</v>
      </c>
      <c r="E11969" s="8">
        <v>4949683.2</v>
      </c>
      <c r="F11969" s="13" t="s">
        <v>70</v>
      </c>
      <c r="G11969" s="14">
        <v>44644</v>
      </c>
      <c r="H11969" s="13" t="s">
        <v>163</v>
      </c>
    </row>
    <row r="11970" spans="1:8" ht="14.4" x14ac:dyDescent="0.3">
      <c r="A11970" s="8">
        <v>2028376</v>
      </c>
      <c r="B11970" s="11">
        <v>44643</v>
      </c>
      <c r="C11970" s="13" t="s">
        <v>10978</v>
      </c>
      <c r="D11970" s="13" t="s">
        <v>14888</v>
      </c>
      <c r="E11970" s="8">
        <v>10000</v>
      </c>
      <c r="F11970" s="13" t="s">
        <v>70</v>
      </c>
      <c r="G11970" s="14">
        <v>44644</v>
      </c>
      <c r="H11970" s="13" t="s">
        <v>163</v>
      </c>
    </row>
    <row r="11971" spans="1:8" ht="14.4" x14ac:dyDescent="0.3">
      <c r="A11971" s="8">
        <v>2028377</v>
      </c>
      <c r="B11971" s="11">
        <v>44643</v>
      </c>
      <c r="C11971" s="13" t="s">
        <v>14889</v>
      </c>
      <c r="D11971" s="13" t="s">
        <v>14888</v>
      </c>
      <c r="E11971" s="8">
        <v>10000</v>
      </c>
      <c r="F11971" s="13" t="s">
        <v>70</v>
      </c>
      <c r="G11971" s="14">
        <v>44644</v>
      </c>
      <c r="H11971" s="13" t="s">
        <v>163</v>
      </c>
    </row>
    <row r="11972" spans="1:8" ht="14.4" x14ac:dyDescent="0.3">
      <c r="A11972" s="8">
        <v>2028378</v>
      </c>
      <c r="B11972" s="11">
        <v>44643</v>
      </c>
      <c r="C11972" s="13" t="s">
        <v>14890</v>
      </c>
      <c r="D11972" s="13" t="s">
        <v>14888</v>
      </c>
      <c r="E11972" s="8">
        <v>10000</v>
      </c>
      <c r="F11972" s="13" t="s">
        <v>70</v>
      </c>
      <c r="G11972" s="14">
        <v>44718</v>
      </c>
      <c r="H11972" s="13" t="s">
        <v>163</v>
      </c>
    </row>
    <row r="11973" spans="1:8" ht="14.4" x14ac:dyDescent="0.3">
      <c r="A11973" s="8">
        <v>2028379</v>
      </c>
      <c r="B11973" s="11">
        <v>44643</v>
      </c>
      <c r="C11973" s="13" t="s">
        <v>14891</v>
      </c>
      <c r="D11973" s="13" t="s">
        <v>14888</v>
      </c>
      <c r="E11973" s="8">
        <v>10000</v>
      </c>
      <c r="F11973" s="13" t="s">
        <v>70</v>
      </c>
      <c r="G11973" s="14">
        <v>44644</v>
      </c>
      <c r="H11973" s="13" t="s">
        <v>163</v>
      </c>
    </row>
    <row r="11974" spans="1:8" ht="14.4" x14ac:dyDescent="0.3">
      <c r="A11974" s="8">
        <v>2028380</v>
      </c>
      <c r="B11974" s="11">
        <v>44643</v>
      </c>
      <c r="C11974" s="13" t="s">
        <v>14892</v>
      </c>
      <c r="D11974" s="13" t="s">
        <v>14888</v>
      </c>
      <c r="E11974" s="8">
        <v>10000</v>
      </c>
      <c r="F11974" s="13" t="s">
        <v>70</v>
      </c>
      <c r="G11974" s="14">
        <v>44644</v>
      </c>
      <c r="H11974" s="13" t="s">
        <v>163</v>
      </c>
    </row>
    <row r="11975" spans="1:8" ht="14.4" x14ac:dyDescent="0.3">
      <c r="A11975" s="8">
        <v>2028381</v>
      </c>
      <c r="B11975" s="11">
        <v>44643</v>
      </c>
      <c r="C11975" s="13" t="s">
        <v>10983</v>
      </c>
      <c r="D11975" s="13" t="s">
        <v>14888</v>
      </c>
      <c r="E11975" s="8">
        <v>10000</v>
      </c>
      <c r="F11975" s="13" t="s">
        <v>70</v>
      </c>
      <c r="G11975" s="14">
        <v>44644</v>
      </c>
      <c r="H11975" s="13" t="s">
        <v>163</v>
      </c>
    </row>
    <row r="11976" spans="1:8" ht="14.4" x14ac:dyDescent="0.3">
      <c r="A11976" s="8">
        <v>2028382</v>
      </c>
      <c r="B11976" s="11">
        <v>44643</v>
      </c>
      <c r="C11976" s="13" t="s">
        <v>14893</v>
      </c>
      <c r="D11976" s="13" t="s">
        <v>14888</v>
      </c>
      <c r="E11976" s="8">
        <v>10000</v>
      </c>
      <c r="F11976" s="13" t="s">
        <v>70</v>
      </c>
      <c r="G11976" s="14">
        <v>44644</v>
      </c>
      <c r="H11976" s="13" t="s">
        <v>163</v>
      </c>
    </row>
    <row r="11977" spans="1:8" ht="14.4" x14ac:dyDescent="0.3">
      <c r="A11977" s="8">
        <v>2028383</v>
      </c>
      <c r="B11977" s="11">
        <v>44643</v>
      </c>
      <c r="C11977" s="13" t="s">
        <v>14894</v>
      </c>
      <c r="D11977" s="13" t="s">
        <v>14888</v>
      </c>
      <c r="E11977" s="8">
        <v>10000</v>
      </c>
      <c r="F11977" s="13" t="s">
        <v>70</v>
      </c>
      <c r="G11977" s="14">
        <v>44644</v>
      </c>
      <c r="H11977" s="13" t="s">
        <v>163</v>
      </c>
    </row>
    <row r="11978" spans="1:8" ht="14.4" x14ac:dyDescent="0.3">
      <c r="A11978" s="8">
        <v>2028384</v>
      </c>
      <c r="B11978" s="11">
        <v>44643</v>
      </c>
      <c r="C11978" s="13" t="s">
        <v>14895</v>
      </c>
      <c r="D11978" s="13" t="s">
        <v>14888</v>
      </c>
      <c r="E11978" s="8">
        <v>10000</v>
      </c>
      <c r="F11978" s="13" t="s">
        <v>70</v>
      </c>
      <c r="G11978" s="14">
        <v>44644</v>
      </c>
      <c r="H11978" s="13" t="s">
        <v>163</v>
      </c>
    </row>
    <row r="11979" spans="1:8" ht="14.4" x14ac:dyDescent="0.3">
      <c r="A11979" s="8">
        <v>2028385</v>
      </c>
      <c r="B11979" s="11">
        <v>44643</v>
      </c>
      <c r="C11979" s="13" t="s">
        <v>10980</v>
      </c>
      <c r="D11979" s="13" t="s">
        <v>14888</v>
      </c>
      <c r="E11979" s="8">
        <v>10000</v>
      </c>
      <c r="F11979" s="13" t="s">
        <v>70</v>
      </c>
      <c r="G11979" s="14">
        <v>44644</v>
      </c>
      <c r="H11979" s="13" t="s">
        <v>163</v>
      </c>
    </row>
    <row r="11980" spans="1:8" ht="14.4" x14ac:dyDescent="0.3">
      <c r="A11980" s="8">
        <v>2028386</v>
      </c>
      <c r="B11980" s="11">
        <v>44643</v>
      </c>
      <c r="C11980" s="13" t="s">
        <v>14896</v>
      </c>
      <c r="D11980" s="13" t="s">
        <v>14888</v>
      </c>
      <c r="E11980" s="8">
        <v>10000</v>
      </c>
      <c r="F11980" s="13" t="s">
        <v>70</v>
      </c>
      <c r="G11980" s="14">
        <v>44644</v>
      </c>
      <c r="H11980" s="13" t="s">
        <v>163</v>
      </c>
    </row>
    <row r="11981" spans="1:8" ht="14.4" x14ac:dyDescent="0.3">
      <c r="A11981" s="8">
        <v>2028388</v>
      </c>
      <c r="B11981" s="11">
        <v>44643</v>
      </c>
      <c r="C11981" s="13" t="s">
        <v>10995</v>
      </c>
      <c r="D11981" s="13" t="s">
        <v>14888</v>
      </c>
      <c r="E11981" s="8">
        <v>10000</v>
      </c>
      <c r="F11981" s="13" t="s">
        <v>70</v>
      </c>
      <c r="G11981" s="14">
        <v>44644</v>
      </c>
      <c r="H11981" s="13" t="s">
        <v>163</v>
      </c>
    </row>
    <row r="11982" spans="1:8" ht="14.4" x14ac:dyDescent="0.3">
      <c r="A11982" s="8">
        <v>2028389</v>
      </c>
      <c r="B11982" s="11">
        <v>44643</v>
      </c>
      <c r="C11982" s="13" t="s">
        <v>14897</v>
      </c>
      <c r="D11982" s="13" t="s">
        <v>14888</v>
      </c>
      <c r="E11982" s="8">
        <v>10000</v>
      </c>
      <c r="F11982" s="13" t="s">
        <v>70</v>
      </c>
      <c r="G11982" s="14">
        <v>44644</v>
      </c>
      <c r="H11982" s="13" t="s">
        <v>163</v>
      </c>
    </row>
    <row r="11983" spans="1:8" ht="14.4" x14ac:dyDescent="0.3">
      <c r="A11983" s="8">
        <v>2028390</v>
      </c>
      <c r="B11983" s="11">
        <v>44643</v>
      </c>
      <c r="C11983" s="13" t="s">
        <v>14898</v>
      </c>
      <c r="D11983" s="13" t="s">
        <v>14888</v>
      </c>
      <c r="E11983" s="8">
        <v>10000</v>
      </c>
      <c r="F11983" s="13" t="s">
        <v>70</v>
      </c>
      <c r="G11983" s="14">
        <v>44644</v>
      </c>
      <c r="H11983" s="13" t="s">
        <v>163</v>
      </c>
    </row>
    <row r="11984" spans="1:8" ht="14.4" x14ac:dyDescent="0.3">
      <c r="A11984" s="8">
        <v>2028391</v>
      </c>
      <c r="B11984" s="11">
        <v>44643</v>
      </c>
      <c r="C11984" s="13" t="s">
        <v>14899</v>
      </c>
      <c r="D11984" s="13" t="s">
        <v>14888</v>
      </c>
      <c r="E11984" s="8">
        <v>10000</v>
      </c>
      <c r="F11984" s="13" t="s">
        <v>70</v>
      </c>
      <c r="G11984" s="14">
        <v>44644</v>
      </c>
      <c r="H11984" s="13" t="s">
        <v>163</v>
      </c>
    </row>
    <row r="11985" spans="1:8" ht="14.4" x14ac:dyDescent="0.3">
      <c r="A11985" s="8">
        <v>2028392</v>
      </c>
      <c r="B11985" s="11">
        <v>44643</v>
      </c>
      <c r="C11985" s="13" t="s">
        <v>14900</v>
      </c>
      <c r="D11985" s="13" t="s">
        <v>14888</v>
      </c>
      <c r="E11985" s="8">
        <v>10000</v>
      </c>
      <c r="F11985" s="13" t="s">
        <v>70</v>
      </c>
      <c r="G11985" s="14">
        <v>44644</v>
      </c>
      <c r="H11985" s="13" t="s">
        <v>163</v>
      </c>
    </row>
    <row r="11986" spans="1:8" ht="14.4" x14ac:dyDescent="0.3">
      <c r="A11986" s="8">
        <v>2028393</v>
      </c>
      <c r="B11986" s="11">
        <v>44643</v>
      </c>
      <c r="C11986" s="13" t="s">
        <v>10982</v>
      </c>
      <c r="D11986" s="13" t="s">
        <v>14888</v>
      </c>
      <c r="E11986" s="8">
        <v>10000</v>
      </c>
      <c r="F11986" s="13" t="s">
        <v>70</v>
      </c>
      <c r="G11986" s="14">
        <v>44644</v>
      </c>
      <c r="H11986" s="13" t="s">
        <v>163</v>
      </c>
    </row>
    <row r="11987" spans="1:8" ht="14.4" x14ac:dyDescent="0.3">
      <c r="A11987" s="8">
        <v>2028394</v>
      </c>
      <c r="B11987" s="11">
        <v>44643</v>
      </c>
      <c r="C11987" s="13" t="s">
        <v>14901</v>
      </c>
      <c r="D11987" s="13" t="s">
        <v>14888</v>
      </c>
      <c r="E11987" s="8">
        <v>10000</v>
      </c>
      <c r="F11987" s="13" t="s">
        <v>70</v>
      </c>
      <c r="G11987" s="14">
        <v>44644</v>
      </c>
      <c r="H11987" s="13" t="s">
        <v>163</v>
      </c>
    </row>
    <row r="11988" spans="1:8" ht="14.4" x14ac:dyDescent="0.3">
      <c r="A11988" s="8">
        <v>2028395</v>
      </c>
      <c r="B11988" s="11">
        <v>44643</v>
      </c>
      <c r="C11988" s="13" t="s">
        <v>10993</v>
      </c>
      <c r="D11988" s="13" t="s">
        <v>14888</v>
      </c>
      <c r="E11988" s="8">
        <v>10000</v>
      </c>
      <c r="F11988" s="13" t="s">
        <v>70</v>
      </c>
      <c r="G11988" s="14">
        <v>44644</v>
      </c>
      <c r="H11988" s="13" t="s">
        <v>163</v>
      </c>
    </row>
    <row r="11989" spans="1:8" ht="14.4" x14ac:dyDescent="0.3">
      <c r="A11989" s="8">
        <v>2028396</v>
      </c>
      <c r="B11989" s="11">
        <v>44643</v>
      </c>
      <c r="C11989" s="13" t="s">
        <v>14902</v>
      </c>
      <c r="D11989" s="13" t="s">
        <v>14903</v>
      </c>
      <c r="E11989" s="8">
        <v>10000</v>
      </c>
      <c r="F11989" s="13" t="s">
        <v>70</v>
      </c>
      <c r="G11989" s="14">
        <v>44644</v>
      </c>
      <c r="H11989" s="13" t="s">
        <v>163</v>
      </c>
    </row>
    <row r="11990" spans="1:8" ht="14.4" x14ac:dyDescent="0.3">
      <c r="A11990" s="8">
        <v>2028397</v>
      </c>
      <c r="B11990" s="11">
        <v>44643</v>
      </c>
      <c r="C11990" s="13" t="s">
        <v>14904</v>
      </c>
      <c r="D11990" s="13" t="s">
        <v>14888</v>
      </c>
      <c r="E11990" s="8">
        <v>10000</v>
      </c>
      <c r="F11990" s="13" t="s">
        <v>70</v>
      </c>
      <c r="G11990" s="14">
        <v>44644</v>
      </c>
      <c r="H11990" s="13" t="s">
        <v>163</v>
      </c>
    </row>
    <row r="11991" spans="1:8" ht="14.4" x14ac:dyDescent="0.3">
      <c r="A11991" s="8">
        <v>2028398</v>
      </c>
      <c r="B11991" s="11">
        <v>44643</v>
      </c>
      <c r="C11991" s="13" t="s">
        <v>14905</v>
      </c>
      <c r="D11991" s="13" t="s">
        <v>14888</v>
      </c>
      <c r="E11991" s="8">
        <v>10000</v>
      </c>
      <c r="F11991" s="13" t="s">
        <v>70</v>
      </c>
      <c r="G11991" s="14">
        <v>44644</v>
      </c>
      <c r="H11991" s="13" t="s">
        <v>163</v>
      </c>
    </row>
    <row r="11992" spans="1:8" ht="14.4" x14ac:dyDescent="0.3">
      <c r="A11992" s="8">
        <v>2028399</v>
      </c>
      <c r="B11992" s="11">
        <v>44643</v>
      </c>
      <c r="C11992" s="13" t="s">
        <v>14906</v>
      </c>
      <c r="D11992" s="13" t="s">
        <v>14888</v>
      </c>
      <c r="E11992" s="8">
        <v>10000</v>
      </c>
      <c r="F11992" s="13" t="s">
        <v>70</v>
      </c>
      <c r="G11992" s="14">
        <v>44644</v>
      </c>
      <c r="H11992" s="13" t="s">
        <v>163</v>
      </c>
    </row>
    <row r="11993" spans="1:8" ht="14.4" x14ac:dyDescent="0.3">
      <c r="A11993" s="8">
        <v>2028400</v>
      </c>
      <c r="B11993" s="11">
        <v>44643</v>
      </c>
      <c r="C11993" s="13" t="s">
        <v>14907</v>
      </c>
      <c r="D11993" s="13" t="s">
        <v>14888</v>
      </c>
      <c r="E11993" s="8">
        <v>10000</v>
      </c>
      <c r="F11993" s="13" t="s">
        <v>70</v>
      </c>
      <c r="G11993" s="14">
        <v>44644</v>
      </c>
      <c r="H11993" s="13" t="s">
        <v>163</v>
      </c>
    </row>
    <row r="11994" spans="1:8" ht="14.4" x14ac:dyDescent="0.3">
      <c r="A11994" s="8">
        <v>2028402</v>
      </c>
      <c r="B11994" s="11">
        <v>44643</v>
      </c>
      <c r="C11994" s="13" t="s">
        <v>14908</v>
      </c>
      <c r="D11994" s="13" t="s">
        <v>14888</v>
      </c>
      <c r="E11994" s="8">
        <v>10000</v>
      </c>
      <c r="F11994" s="13" t="s">
        <v>70</v>
      </c>
      <c r="G11994" s="14">
        <v>44644</v>
      </c>
      <c r="H11994" s="13" t="s">
        <v>163</v>
      </c>
    </row>
    <row r="11995" spans="1:8" ht="14.4" x14ac:dyDescent="0.3">
      <c r="A11995" s="8">
        <v>2028403</v>
      </c>
      <c r="B11995" s="11">
        <v>44643</v>
      </c>
      <c r="C11995" s="13" t="s">
        <v>14909</v>
      </c>
      <c r="D11995" s="13" t="s">
        <v>14888</v>
      </c>
      <c r="E11995" s="8">
        <v>10000</v>
      </c>
      <c r="F11995" s="13" t="s">
        <v>70</v>
      </c>
      <c r="G11995" s="14">
        <v>44644</v>
      </c>
      <c r="H11995" s="13" t="s">
        <v>163</v>
      </c>
    </row>
    <row r="11996" spans="1:8" ht="14.4" x14ac:dyDescent="0.3">
      <c r="A11996" s="8">
        <v>2028404</v>
      </c>
      <c r="B11996" s="11">
        <v>44643</v>
      </c>
      <c r="C11996" s="13" t="s">
        <v>14910</v>
      </c>
      <c r="D11996" s="13" t="s">
        <v>14888</v>
      </c>
      <c r="E11996" s="8">
        <v>10000</v>
      </c>
      <c r="F11996" s="13" t="s">
        <v>70</v>
      </c>
      <c r="G11996" s="14">
        <v>44644</v>
      </c>
      <c r="H11996" s="13" t="s">
        <v>163</v>
      </c>
    </row>
    <row r="11997" spans="1:8" ht="14.4" x14ac:dyDescent="0.3">
      <c r="A11997" s="8">
        <v>2028405</v>
      </c>
      <c r="B11997" s="11">
        <v>44643</v>
      </c>
      <c r="C11997" s="13" t="s">
        <v>14911</v>
      </c>
      <c r="D11997" s="13" t="s">
        <v>14888</v>
      </c>
      <c r="E11997" s="8">
        <v>10000</v>
      </c>
      <c r="F11997" s="13" t="s">
        <v>70</v>
      </c>
      <c r="G11997" s="14">
        <v>44644</v>
      </c>
      <c r="H11997" s="13" t="s">
        <v>163</v>
      </c>
    </row>
    <row r="11998" spans="1:8" ht="14.4" x14ac:dyDescent="0.3">
      <c r="A11998" s="8">
        <v>2028406</v>
      </c>
      <c r="B11998" s="11">
        <v>44643</v>
      </c>
      <c r="C11998" s="13" t="s">
        <v>10997</v>
      </c>
      <c r="D11998" s="13" t="s">
        <v>14888</v>
      </c>
      <c r="E11998" s="8">
        <v>10000</v>
      </c>
      <c r="F11998" s="13" t="s">
        <v>70</v>
      </c>
      <c r="G11998" s="14">
        <v>44644</v>
      </c>
      <c r="H11998" s="13" t="s">
        <v>163</v>
      </c>
    </row>
    <row r="11999" spans="1:8" ht="14.4" x14ac:dyDescent="0.3">
      <c r="A11999" s="8">
        <v>2028407</v>
      </c>
      <c r="B11999" s="11">
        <v>44643</v>
      </c>
      <c r="C11999" s="13" t="s">
        <v>14912</v>
      </c>
      <c r="D11999" s="13" t="s">
        <v>14888</v>
      </c>
      <c r="E11999" s="8">
        <v>10000</v>
      </c>
      <c r="F11999" s="13" t="s">
        <v>70</v>
      </c>
      <c r="G11999" s="14">
        <v>44644</v>
      </c>
      <c r="H11999" s="13" t="s">
        <v>163</v>
      </c>
    </row>
    <row r="12000" spans="1:8" ht="14.4" x14ac:dyDescent="0.3">
      <c r="A12000" s="8">
        <v>2028408</v>
      </c>
      <c r="B12000" s="11">
        <v>44643</v>
      </c>
      <c r="C12000" s="13" t="s">
        <v>14913</v>
      </c>
      <c r="D12000" s="13" t="s">
        <v>14888</v>
      </c>
      <c r="E12000" s="8">
        <v>10000</v>
      </c>
      <c r="F12000" s="13" t="s">
        <v>70</v>
      </c>
      <c r="G12000" s="14">
        <v>44644</v>
      </c>
      <c r="H12000" s="13" t="s">
        <v>163</v>
      </c>
    </row>
    <row r="12001" spans="1:8" ht="14.4" x14ac:dyDescent="0.3">
      <c r="A12001" s="8">
        <v>2028410</v>
      </c>
      <c r="B12001" s="11">
        <v>44643</v>
      </c>
      <c r="C12001" s="13" t="s">
        <v>14914</v>
      </c>
      <c r="D12001" s="13" t="s">
        <v>14888</v>
      </c>
      <c r="E12001" s="8">
        <v>10000</v>
      </c>
      <c r="F12001" s="13" t="s">
        <v>70</v>
      </c>
      <c r="G12001" s="14">
        <v>44644</v>
      </c>
      <c r="H12001" s="13" t="s">
        <v>163</v>
      </c>
    </row>
    <row r="12002" spans="1:8" ht="14.4" x14ac:dyDescent="0.3">
      <c r="A12002" s="8">
        <v>2028411</v>
      </c>
      <c r="B12002" s="11">
        <v>44643</v>
      </c>
      <c r="C12002" s="13" t="s">
        <v>14915</v>
      </c>
      <c r="D12002" s="13" t="s">
        <v>14888</v>
      </c>
      <c r="E12002" s="8">
        <v>10000</v>
      </c>
      <c r="F12002" s="13" t="s">
        <v>70</v>
      </c>
      <c r="G12002" s="14">
        <v>44644</v>
      </c>
      <c r="H12002" s="13" t="s">
        <v>163</v>
      </c>
    </row>
    <row r="12003" spans="1:8" ht="14.4" x14ac:dyDescent="0.3">
      <c r="A12003" s="8">
        <v>2028412</v>
      </c>
      <c r="B12003" s="11">
        <v>44643</v>
      </c>
      <c r="C12003" s="13" t="s">
        <v>11007</v>
      </c>
      <c r="D12003" s="13" t="s">
        <v>14888</v>
      </c>
      <c r="E12003" s="8">
        <v>10000</v>
      </c>
      <c r="F12003" s="13" t="s">
        <v>70</v>
      </c>
      <c r="G12003" s="14">
        <v>44644</v>
      </c>
      <c r="H12003" s="13" t="s">
        <v>163</v>
      </c>
    </row>
    <row r="12004" spans="1:8" ht="14.4" x14ac:dyDescent="0.3">
      <c r="A12004" s="8">
        <v>2028413</v>
      </c>
      <c r="B12004" s="11">
        <v>44643</v>
      </c>
      <c r="C12004" s="13" t="s">
        <v>14916</v>
      </c>
      <c r="D12004" s="13" t="s">
        <v>14888</v>
      </c>
      <c r="E12004" s="8">
        <v>10000</v>
      </c>
      <c r="F12004" s="13" t="s">
        <v>70</v>
      </c>
      <c r="G12004" s="14">
        <v>44644</v>
      </c>
      <c r="H12004" s="13" t="s">
        <v>163</v>
      </c>
    </row>
    <row r="12005" spans="1:8" ht="14.4" x14ac:dyDescent="0.3">
      <c r="A12005" s="8">
        <v>2028414</v>
      </c>
      <c r="B12005" s="11">
        <v>44643</v>
      </c>
      <c r="C12005" s="13" t="s">
        <v>14917</v>
      </c>
      <c r="D12005" s="13" t="s">
        <v>14888</v>
      </c>
      <c r="E12005" s="8">
        <v>10000</v>
      </c>
      <c r="F12005" s="13" t="s">
        <v>70</v>
      </c>
      <c r="G12005" s="14">
        <v>44644</v>
      </c>
      <c r="H12005" s="13" t="s">
        <v>163</v>
      </c>
    </row>
    <row r="12006" spans="1:8" ht="14.4" x14ac:dyDescent="0.3">
      <c r="A12006" s="8">
        <v>2028415</v>
      </c>
      <c r="B12006" s="11">
        <v>44643</v>
      </c>
      <c r="C12006" s="13" t="s">
        <v>14918</v>
      </c>
      <c r="D12006" s="13" t="s">
        <v>14888</v>
      </c>
      <c r="E12006" s="8">
        <v>10000</v>
      </c>
      <c r="F12006" s="13" t="s">
        <v>70</v>
      </c>
      <c r="G12006" s="14">
        <v>44644</v>
      </c>
      <c r="H12006" s="13" t="s">
        <v>163</v>
      </c>
    </row>
    <row r="12007" spans="1:8" ht="14.4" x14ac:dyDescent="0.3">
      <c r="A12007" s="8">
        <v>2028416</v>
      </c>
      <c r="B12007" s="11">
        <v>44643</v>
      </c>
      <c r="C12007" s="13" t="s">
        <v>14919</v>
      </c>
      <c r="D12007" s="13" t="s">
        <v>14888</v>
      </c>
      <c r="E12007" s="8">
        <v>10000</v>
      </c>
      <c r="F12007" s="13" t="s">
        <v>70</v>
      </c>
      <c r="G12007" s="14">
        <v>44644</v>
      </c>
      <c r="H12007" s="13" t="s">
        <v>163</v>
      </c>
    </row>
    <row r="12008" spans="1:8" ht="14.4" x14ac:dyDescent="0.3">
      <c r="A12008" s="8">
        <v>2028417</v>
      </c>
      <c r="B12008" s="11">
        <v>44643</v>
      </c>
      <c r="C12008" s="13" t="s">
        <v>10986</v>
      </c>
      <c r="D12008" s="13" t="s">
        <v>14888</v>
      </c>
      <c r="E12008" s="8">
        <v>10000</v>
      </c>
      <c r="F12008" s="13" t="s">
        <v>70</v>
      </c>
      <c r="G12008" s="14">
        <v>44644</v>
      </c>
      <c r="H12008" s="13" t="s">
        <v>163</v>
      </c>
    </row>
    <row r="12009" spans="1:8" ht="14.4" x14ac:dyDescent="0.3">
      <c r="A12009" s="8">
        <v>2028418</v>
      </c>
      <c r="B12009" s="11">
        <v>44643</v>
      </c>
      <c r="C12009" s="13" t="s">
        <v>14920</v>
      </c>
      <c r="D12009" s="13" t="s">
        <v>14888</v>
      </c>
      <c r="E12009" s="8">
        <v>10000</v>
      </c>
      <c r="F12009" s="13" t="s">
        <v>70</v>
      </c>
      <c r="G12009" s="14">
        <v>44644</v>
      </c>
      <c r="H12009" s="13" t="s">
        <v>163</v>
      </c>
    </row>
    <row r="12010" spans="1:8" ht="14.4" x14ac:dyDescent="0.3">
      <c r="A12010" s="8">
        <v>2028419</v>
      </c>
      <c r="B12010" s="11">
        <v>44643</v>
      </c>
      <c r="C12010" s="13" t="s">
        <v>14921</v>
      </c>
      <c r="D12010" s="13" t="s">
        <v>14888</v>
      </c>
      <c r="E12010" s="8">
        <v>10000</v>
      </c>
      <c r="F12010" s="13" t="s">
        <v>70</v>
      </c>
      <c r="G12010" s="14">
        <v>44644</v>
      </c>
      <c r="H12010" s="13" t="s">
        <v>163</v>
      </c>
    </row>
    <row r="12011" spans="1:8" ht="14.4" x14ac:dyDescent="0.3">
      <c r="A12011" s="8">
        <v>2028420</v>
      </c>
      <c r="B12011" s="11">
        <v>44643</v>
      </c>
      <c r="C12011" s="13" t="s">
        <v>14922</v>
      </c>
      <c r="D12011" s="13" t="s">
        <v>14888</v>
      </c>
      <c r="E12011" s="8">
        <v>10000</v>
      </c>
      <c r="F12011" s="13" t="s">
        <v>70</v>
      </c>
      <c r="G12011" s="14">
        <v>44644</v>
      </c>
      <c r="H12011" s="13" t="s">
        <v>163</v>
      </c>
    </row>
    <row r="12012" spans="1:8" ht="14.4" x14ac:dyDescent="0.3">
      <c r="A12012" s="8">
        <v>2028421</v>
      </c>
      <c r="B12012" s="11">
        <v>44643</v>
      </c>
      <c r="C12012" s="13" t="s">
        <v>14923</v>
      </c>
      <c r="D12012" s="13" t="s">
        <v>14888</v>
      </c>
      <c r="E12012" s="8">
        <v>10000</v>
      </c>
      <c r="F12012" s="13" t="s">
        <v>70</v>
      </c>
      <c r="G12012" s="14">
        <v>44644</v>
      </c>
      <c r="H12012" s="13" t="s">
        <v>163</v>
      </c>
    </row>
    <row r="12013" spans="1:8" ht="14.4" x14ac:dyDescent="0.3">
      <c r="A12013" s="8">
        <v>2028422</v>
      </c>
      <c r="B12013" s="11">
        <v>44643</v>
      </c>
      <c r="C12013" s="13" t="s">
        <v>14924</v>
      </c>
      <c r="D12013" s="13" t="s">
        <v>14888</v>
      </c>
      <c r="E12013" s="8">
        <v>10000</v>
      </c>
      <c r="F12013" s="13" t="s">
        <v>70</v>
      </c>
      <c r="G12013" s="14">
        <v>44644</v>
      </c>
      <c r="H12013" s="13" t="s">
        <v>163</v>
      </c>
    </row>
    <row r="12014" spans="1:8" ht="14.4" x14ac:dyDescent="0.3">
      <c r="A12014" s="8">
        <v>2028423</v>
      </c>
      <c r="B12014" s="11">
        <v>44643</v>
      </c>
      <c r="C12014" s="13" t="s">
        <v>14925</v>
      </c>
      <c r="D12014" s="13" t="s">
        <v>14888</v>
      </c>
      <c r="E12014" s="8">
        <v>10000</v>
      </c>
      <c r="F12014" s="13" t="s">
        <v>70</v>
      </c>
      <c r="G12014" s="14">
        <v>44644</v>
      </c>
      <c r="H12014" s="13" t="s">
        <v>163</v>
      </c>
    </row>
    <row r="12015" spans="1:8" ht="14.4" x14ac:dyDescent="0.3">
      <c r="A12015" s="8">
        <v>2028424</v>
      </c>
      <c r="B12015" s="11">
        <v>44643</v>
      </c>
      <c r="C12015" s="13" t="s">
        <v>14926</v>
      </c>
      <c r="D12015" s="13" t="s">
        <v>14888</v>
      </c>
      <c r="E12015" s="8">
        <v>10000</v>
      </c>
      <c r="F12015" s="13" t="s">
        <v>70</v>
      </c>
      <c r="G12015" s="14">
        <v>44644</v>
      </c>
      <c r="H12015" s="13" t="s">
        <v>163</v>
      </c>
    </row>
    <row r="12016" spans="1:8" ht="14.4" x14ac:dyDescent="0.3">
      <c r="A12016" s="8">
        <v>2028425</v>
      </c>
      <c r="B12016" s="11">
        <v>44643</v>
      </c>
      <c r="C12016" s="13" t="s">
        <v>14927</v>
      </c>
      <c r="D12016" s="13" t="s">
        <v>14888</v>
      </c>
      <c r="E12016" s="8">
        <v>10000</v>
      </c>
      <c r="F12016" s="13" t="s">
        <v>70</v>
      </c>
      <c r="G12016" s="14">
        <v>44644</v>
      </c>
      <c r="H12016" s="13" t="s">
        <v>163</v>
      </c>
    </row>
    <row r="12017" spans="1:8" ht="14.4" x14ac:dyDescent="0.3">
      <c r="A12017" s="8">
        <v>2028426</v>
      </c>
      <c r="B12017" s="11">
        <v>44643</v>
      </c>
      <c r="C12017" s="13" t="s">
        <v>14928</v>
      </c>
      <c r="D12017" s="13" t="s">
        <v>14888</v>
      </c>
      <c r="E12017" s="8">
        <v>10000</v>
      </c>
      <c r="F12017" s="13" t="s">
        <v>70</v>
      </c>
      <c r="G12017" s="14">
        <v>44644</v>
      </c>
      <c r="H12017" s="13" t="s">
        <v>163</v>
      </c>
    </row>
    <row r="12018" spans="1:8" ht="14.4" x14ac:dyDescent="0.3">
      <c r="A12018" s="8">
        <v>2028427</v>
      </c>
      <c r="B12018" s="11">
        <v>44643</v>
      </c>
      <c r="C12018" s="13" t="s">
        <v>14929</v>
      </c>
      <c r="D12018" s="13" t="s">
        <v>14888</v>
      </c>
      <c r="E12018" s="8">
        <v>10000</v>
      </c>
      <c r="F12018" s="13" t="s">
        <v>70</v>
      </c>
      <c r="G12018" s="14">
        <v>44644</v>
      </c>
      <c r="H12018" s="13" t="s">
        <v>163</v>
      </c>
    </row>
    <row r="12019" spans="1:8" ht="14.4" x14ac:dyDescent="0.3">
      <c r="A12019" s="8">
        <v>2028428</v>
      </c>
      <c r="B12019" s="11">
        <v>44643</v>
      </c>
      <c r="C12019" s="13" t="s">
        <v>14930</v>
      </c>
      <c r="D12019" s="13" t="s">
        <v>14888</v>
      </c>
      <c r="E12019" s="8">
        <v>10000</v>
      </c>
      <c r="F12019" s="13" t="s">
        <v>70</v>
      </c>
      <c r="G12019" s="14">
        <v>44644</v>
      </c>
      <c r="H12019" s="13" t="s">
        <v>163</v>
      </c>
    </row>
    <row r="12020" spans="1:8" ht="14.4" x14ac:dyDescent="0.3">
      <c r="A12020" s="8">
        <v>2028429</v>
      </c>
      <c r="B12020" s="11">
        <v>44644</v>
      </c>
      <c r="C12020" s="13" t="s">
        <v>14931</v>
      </c>
      <c r="D12020" s="13" t="s">
        <v>14932</v>
      </c>
      <c r="E12020" s="8">
        <v>16000</v>
      </c>
      <c r="F12020" s="13" t="s">
        <v>70</v>
      </c>
      <c r="G12020" s="14">
        <v>44645</v>
      </c>
      <c r="H12020" s="13" t="s">
        <v>163</v>
      </c>
    </row>
    <row r="12021" spans="1:8" ht="14.4" x14ac:dyDescent="0.3">
      <c r="A12021" s="8">
        <v>2028431</v>
      </c>
      <c r="B12021" s="11">
        <v>44644</v>
      </c>
      <c r="C12021" s="13" t="s">
        <v>13294</v>
      </c>
      <c r="D12021" s="13" t="s">
        <v>14933</v>
      </c>
      <c r="E12021" s="8">
        <v>304725.5</v>
      </c>
      <c r="F12021" s="13" t="s">
        <v>70</v>
      </c>
      <c r="G12021" s="14">
        <v>44645</v>
      </c>
      <c r="H12021" s="13" t="s">
        <v>163</v>
      </c>
    </row>
    <row r="12022" spans="1:8" ht="14.4" x14ac:dyDescent="0.3">
      <c r="A12022" s="8">
        <v>2028433</v>
      </c>
      <c r="B12022" s="11">
        <v>44644</v>
      </c>
      <c r="C12022" s="13" t="s">
        <v>14934</v>
      </c>
      <c r="D12022" s="13" t="s">
        <v>14935</v>
      </c>
      <c r="E12022" s="8">
        <v>6000</v>
      </c>
      <c r="F12022" s="13" t="s">
        <v>70</v>
      </c>
      <c r="G12022" s="14">
        <v>44683</v>
      </c>
      <c r="H12022" s="13" t="s">
        <v>163</v>
      </c>
    </row>
    <row r="12023" spans="1:8" ht="14.4" x14ac:dyDescent="0.3">
      <c r="A12023" s="8">
        <v>2028434</v>
      </c>
      <c r="B12023" s="11">
        <v>44644</v>
      </c>
      <c r="C12023" s="13" t="s">
        <v>14936</v>
      </c>
      <c r="D12023" s="13" t="s">
        <v>14937</v>
      </c>
      <c r="E12023" s="8">
        <v>2000</v>
      </c>
      <c r="F12023" s="13" t="s">
        <v>70</v>
      </c>
      <c r="G12023" s="14">
        <v>44680</v>
      </c>
      <c r="H12023" s="13" t="s">
        <v>163</v>
      </c>
    </row>
    <row r="12024" spans="1:8" ht="14.4" x14ac:dyDescent="0.3">
      <c r="A12024" s="8">
        <v>2028435</v>
      </c>
      <c r="B12024" s="11">
        <v>44644</v>
      </c>
      <c r="C12024" s="13" t="s">
        <v>14938</v>
      </c>
      <c r="D12024" s="13" t="s">
        <v>14939</v>
      </c>
      <c r="E12024" s="8">
        <v>12000</v>
      </c>
      <c r="F12024" s="13" t="s">
        <v>70</v>
      </c>
      <c r="G12024" s="14">
        <v>44680</v>
      </c>
      <c r="H12024" s="13" t="s">
        <v>163</v>
      </c>
    </row>
    <row r="12025" spans="1:8" ht="14.4" x14ac:dyDescent="0.3">
      <c r="A12025" s="8">
        <v>2028436</v>
      </c>
      <c r="B12025" s="11">
        <v>44644</v>
      </c>
      <c r="C12025" s="13" t="s">
        <v>14940</v>
      </c>
      <c r="D12025" s="13" t="s">
        <v>14941</v>
      </c>
      <c r="E12025" s="8">
        <v>2000</v>
      </c>
      <c r="F12025" s="13" t="s">
        <v>70</v>
      </c>
      <c r="G12025" s="14">
        <v>44683</v>
      </c>
      <c r="H12025" s="13" t="s">
        <v>163</v>
      </c>
    </row>
    <row r="12026" spans="1:8" ht="14.4" x14ac:dyDescent="0.3">
      <c r="A12026" s="8">
        <v>2028437</v>
      </c>
      <c r="B12026" s="11">
        <v>44644</v>
      </c>
      <c r="C12026" s="13" t="s">
        <v>14942</v>
      </c>
      <c r="D12026" s="13" t="s">
        <v>14943</v>
      </c>
      <c r="E12026" s="8">
        <v>2000</v>
      </c>
      <c r="F12026" s="13" t="s">
        <v>70</v>
      </c>
      <c r="G12026" s="14">
        <v>44686</v>
      </c>
      <c r="H12026" s="13" t="s">
        <v>163</v>
      </c>
    </row>
    <row r="12027" spans="1:8" ht="14.4" x14ac:dyDescent="0.3">
      <c r="A12027" s="8">
        <v>2028438</v>
      </c>
      <c r="B12027" s="11">
        <v>44644</v>
      </c>
      <c r="C12027" s="13" t="s">
        <v>14944</v>
      </c>
      <c r="D12027" s="13" t="s">
        <v>14945</v>
      </c>
      <c r="E12027" s="8">
        <v>8000</v>
      </c>
      <c r="F12027" s="13" t="s">
        <v>70</v>
      </c>
      <c r="G12027" s="14">
        <v>44683</v>
      </c>
      <c r="H12027" s="13" t="s">
        <v>163</v>
      </c>
    </row>
    <row r="12028" spans="1:8" ht="14.4" x14ac:dyDescent="0.3">
      <c r="A12028" s="8">
        <v>2028439</v>
      </c>
      <c r="B12028" s="11">
        <v>44644</v>
      </c>
      <c r="C12028" s="13" t="s">
        <v>14946</v>
      </c>
      <c r="D12028" s="13" t="s">
        <v>14947</v>
      </c>
      <c r="E12028" s="8">
        <v>6000</v>
      </c>
      <c r="F12028" s="13" t="s">
        <v>70</v>
      </c>
      <c r="G12028" s="14">
        <v>44680</v>
      </c>
      <c r="H12028" s="13" t="s">
        <v>163</v>
      </c>
    </row>
    <row r="12029" spans="1:8" ht="14.4" x14ac:dyDescent="0.3">
      <c r="A12029" s="8">
        <v>2028440</v>
      </c>
      <c r="B12029" s="11">
        <v>44644</v>
      </c>
      <c r="C12029" s="13" t="s">
        <v>14948</v>
      </c>
      <c r="D12029" s="13" t="s">
        <v>14949</v>
      </c>
      <c r="E12029" s="8">
        <v>4000</v>
      </c>
      <c r="F12029" s="13" t="s">
        <v>70</v>
      </c>
      <c r="G12029" s="14">
        <v>44644</v>
      </c>
      <c r="H12029" s="13" t="s">
        <v>163</v>
      </c>
    </row>
    <row r="12030" spans="1:8" ht="14.4" x14ac:dyDescent="0.3">
      <c r="A12030" s="8">
        <v>2028441</v>
      </c>
      <c r="B12030" s="11">
        <v>44644</v>
      </c>
      <c r="C12030" s="13" t="s">
        <v>5952</v>
      </c>
      <c r="D12030" s="13" t="s">
        <v>14950</v>
      </c>
      <c r="E12030" s="8">
        <v>2732531.46</v>
      </c>
      <c r="F12030" s="13" t="s">
        <v>70</v>
      </c>
      <c r="G12030" s="14">
        <v>44644</v>
      </c>
      <c r="H12030" s="13" t="s">
        <v>163</v>
      </c>
    </row>
    <row r="12031" spans="1:8" ht="14.4" x14ac:dyDescent="0.3">
      <c r="A12031" s="8">
        <v>2028442</v>
      </c>
      <c r="B12031" s="11">
        <v>44644</v>
      </c>
      <c r="C12031" s="13" t="s">
        <v>14951</v>
      </c>
      <c r="D12031" s="13" t="s">
        <v>14952</v>
      </c>
      <c r="E12031" s="8">
        <v>6000</v>
      </c>
      <c r="F12031" s="13" t="s">
        <v>70</v>
      </c>
      <c r="G12031" s="14">
        <v>44707</v>
      </c>
      <c r="H12031" s="13" t="s">
        <v>163</v>
      </c>
    </row>
    <row r="12032" spans="1:8" ht="14.4" x14ac:dyDescent="0.3">
      <c r="A12032" s="8">
        <v>2028443</v>
      </c>
      <c r="B12032" s="11">
        <v>44644</v>
      </c>
      <c r="C12032" s="13" t="s">
        <v>14953</v>
      </c>
      <c r="D12032" s="13" t="s">
        <v>14954</v>
      </c>
      <c r="E12032" s="8">
        <v>30000</v>
      </c>
      <c r="F12032" s="13" t="s">
        <v>70</v>
      </c>
      <c r="G12032" s="14">
        <v>44680</v>
      </c>
      <c r="H12032" s="13" t="s">
        <v>163</v>
      </c>
    </row>
    <row r="12033" spans="1:8" ht="14.4" x14ac:dyDescent="0.3">
      <c r="A12033" s="8">
        <v>2028444</v>
      </c>
      <c r="B12033" s="11">
        <v>44644</v>
      </c>
      <c r="C12033" s="13" t="s">
        <v>14955</v>
      </c>
      <c r="D12033" s="13" t="s">
        <v>14956</v>
      </c>
      <c r="E12033" s="8">
        <v>20000</v>
      </c>
      <c r="F12033" s="13" t="s">
        <v>70</v>
      </c>
      <c r="G12033" s="14">
        <v>44680</v>
      </c>
      <c r="H12033" s="13" t="s">
        <v>163</v>
      </c>
    </row>
    <row r="12034" spans="1:8" ht="14.4" x14ac:dyDescent="0.3">
      <c r="A12034" s="8">
        <v>2028445</v>
      </c>
      <c r="B12034" s="11">
        <v>44644</v>
      </c>
      <c r="C12034" s="13" t="s">
        <v>14957</v>
      </c>
      <c r="D12034" s="13" t="s">
        <v>14958</v>
      </c>
      <c r="E12034" s="8">
        <v>16000</v>
      </c>
      <c r="F12034" s="13" t="s">
        <v>70</v>
      </c>
      <c r="G12034" s="14">
        <v>44707</v>
      </c>
      <c r="H12034" s="13" t="s">
        <v>163</v>
      </c>
    </row>
    <row r="12035" spans="1:8" ht="14.4" x14ac:dyDescent="0.3">
      <c r="A12035" s="8">
        <v>2028446</v>
      </c>
      <c r="B12035" s="11">
        <v>44644</v>
      </c>
      <c r="C12035" s="13" t="s">
        <v>14959</v>
      </c>
      <c r="D12035" s="13" t="s">
        <v>14960</v>
      </c>
      <c r="E12035" s="8">
        <v>2000</v>
      </c>
      <c r="F12035" s="13" t="s">
        <v>70</v>
      </c>
      <c r="G12035" s="14">
        <v>44683</v>
      </c>
      <c r="H12035" s="13" t="s">
        <v>163</v>
      </c>
    </row>
    <row r="12036" spans="1:8" ht="14.4" x14ac:dyDescent="0.3">
      <c r="A12036" s="8">
        <v>2028447</v>
      </c>
      <c r="B12036" s="11">
        <v>44644</v>
      </c>
      <c r="C12036" s="13" t="s">
        <v>14961</v>
      </c>
      <c r="D12036" s="13" t="s">
        <v>14962</v>
      </c>
      <c r="E12036" s="8">
        <v>4000</v>
      </c>
      <c r="F12036" s="13" t="s">
        <v>70</v>
      </c>
      <c r="G12036" s="14">
        <v>44683</v>
      </c>
      <c r="H12036" s="13" t="s">
        <v>163</v>
      </c>
    </row>
    <row r="12037" spans="1:8" ht="14.4" x14ac:dyDescent="0.3">
      <c r="A12037" s="8">
        <v>2028448</v>
      </c>
      <c r="B12037" s="11">
        <v>44644</v>
      </c>
      <c r="C12037" s="13" t="s">
        <v>14963</v>
      </c>
      <c r="D12037" s="13" t="s">
        <v>14964</v>
      </c>
      <c r="E12037" s="8">
        <v>4000</v>
      </c>
      <c r="F12037" s="13" t="s">
        <v>70</v>
      </c>
      <c r="G12037" s="14">
        <v>44686</v>
      </c>
      <c r="H12037" s="13" t="s">
        <v>163</v>
      </c>
    </row>
    <row r="12038" spans="1:8" ht="14.4" x14ac:dyDescent="0.3">
      <c r="A12038" s="8">
        <v>2028449</v>
      </c>
      <c r="B12038" s="11">
        <v>44644</v>
      </c>
      <c r="C12038" s="13" t="s">
        <v>14965</v>
      </c>
      <c r="D12038" s="13" t="s">
        <v>14966</v>
      </c>
      <c r="E12038" s="8">
        <v>24000</v>
      </c>
      <c r="F12038" s="13" t="s">
        <v>70</v>
      </c>
      <c r="G12038" s="14">
        <v>44680</v>
      </c>
      <c r="H12038" s="13" t="s">
        <v>163</v>
      </c>
    </row>
    <row r="12039" spans="1:8" ht="14.4" x14ac:dyDescent="0.3">
      <c r="A12039" s="8">
        <v>2028450</v>
      </c>
      <c r="B12039" s="11">
        <v>44644</v>
      </c>
      <c r="C12039" s="13" t="s">
        <v>14967</v>
      </c>
      <c r="D12039" s="13" t="s">
        <v>14968</v>
      </c>
      <c r="E12039" s="8">
        <v>4000</v>
      </c>
      <c r="F12039" s="13" t="s">
        <v>70</v>
      </c>
      <c r="G12039" s="14">
        <v>44683</v>
      </c>
      <c r="H12039" s="13" t="s">
        <v>163</v>
      </c>
    </row>
    <row r="12040" spans="1:8" ht="14.4" x14ac:dyDescent="0.3">
      <c r="A12040" s="8">
        <v>2028451</v>
      </c>
      <c r="B12040" s="11">
        <v>44644</v>
      </c>
      <c r="C12040" s="13" t="s">
        <v>14969</v>
      </c>
      <c r="D12040" s="13" t="s">
        <v>13603</v>
      </c>
      <c r="E12040" s="8">
        <v>10000</v>
      </c>
      <c r="F12040" s="13" t="s">
        <v>70</v>
      </c>
      <c r="G12040" s="14">
        <v>44683</v>
      </c>
      <c r="H12040" s="13" t="s">
        <v>163</v>
      </c>
    </row>
    <row r="12041" spans="1:8" ht="14.4" x14ac:dyDescent="0.3">
      <c r="A12041" s="8">
        <v>2028452</v>
      </c>
      <c r="B12041" s="11">
        <v>44644</v>
      </c>
      <c r="C12041" s="13" t="s">
        <v>14970</v>
      </c>
      <c r="D12041" s="13" t="s">
        <v>14971</v>
      </c>
      <c r="E12041" s="8">
        <v>6000</v>
      </c>
      <c r="F12041" s="13" t="s">
        <v>70</v>
      </c>
      <c r="G12041" s="14">
        <v>44711</v>
      </c>
      <c r="H12041" s="13" t="s">
        <v>163</v>
      </c>
    </row>
    <row r="12042" spans="1:8" ht="14.4" x14ac:dyDescent="0.3">
      <c r="A12042" s="8">
        <v>2028453</v>
      </c>
      <c r="B12042" s="11">
        <v>44644</v>
      </c>
      <c r="C12042" s="13" t="s">
        <v>14972</v>
      </c>
      <c r="D12042" s="13" t="s">
        <v>14973</v>
      </c>
      <c r="E12042" s="8">
        <v>2000</v>
      </c>
      <c r="F12042" s="13" t="s">
        <v>70</v>
      </c>
      <c r="G12042" s="14">
        <v>44680</v>
      </c>
      <c r="H12042" s="13" t="s">
        <v>163</v>
      </c>
    </row>
    <row r="12043" spans="1:8" ht="14.4" x14ac:dyDescent="0.3">
      <c r="A12043" s="8">
        <v>2028454</v>
      </c>
      <c r="B12043" s="11">
        <v>44644</v>
      </c>
      <c r="C12043" s="13" t="s">
        <v>14974</v>
      </c>
      <c r="D12043" s="13" t="s">
        <v>14975</v>
      </c>
      <c r="E12043" s="8">
        <v>2000</v>
      </c>
      <c r="F12043" s="13" t="s">
        <v>70</v>
      </c>
      <c r="G12043" s="14">
        <v>44683</v>
      </c>
      <c r="H12043" s="13" t="s">
        <v>163</v>
      </c>
    </row>
    <row r="12044" spans="1:8" ht="14.4" x14ac:dyDescent="0.3">
      <c r="A12044" s="8">
        <v>2028455</v>
      </c>
      <c r="B12044" s="11">
        <v>44644</v>
      </c>
      <c r="C12044" s="13" t="s">
        <v>14976</v>
      </c>
      <c r="D12044" s="13" t="s">
        <v>14977</v>
      </c>
      <c r="E12044" s="8">
        <v>6000</v>
      </c>
      <c r="F12044" s="13" t="s">
        <v>70</v>
      </c>
      <c r="G12044" s="14">
        <v>44715</v>
      </c>
      <c r="H12044" s="13" t="s">
        <v>163</v>
      </c>
    </row>
    <row r="12045" spans="1:8" ht="14.4" x14ac:dyDescent="0.3">
      <c r="A12045" s="8">
        <v>2028456</v>
      </c>
      <c r="B12045" s="11">
        <v>44644</v>
      </c>
      <c r="C12045" s="13" t="s">
        <v>14978</v>
      </c>
      <c r="D12045" s="13" t="s">
        <v>14979</v>
      </c>
      <c r="E12045" s="8">
        <v>4000</v>
      </c>
      <c r="F12045" s="13" t="s">
        <v>70</v>
      </c>
      <c r="G12045" s="14">
        <v>44680</v>
      </c>
      <c r="H12045" s="13" t="s">
        <v>163</v>
      </c>
    </row>
    <row r="12046" spans="1:8" ht="14.4" x14ac:dyDescent="0.3">
      <c r="A12046" s="8">
        <v>2028457</v>
      </c>
      <c r="B12046" s="11">
        <v>44644</v>
      </c>
      <c r="C12046" s="13" t="s">
        <v>14980</v>
      </c>
      <c r="D12046" s="13" t="s">
        <v>14981</v>
      </c>
      <c r="E12046" s="8">
        <v>16000</v>
      </c>
      <c r="F12046" s="13" t="s">
        <v>70</v>
      </c>
      <c r="G12046" s="14">
        <v>44680</v>
      </c>
      <c r="H12046" s="13" t="s">
        <v>163</v>
      </c>
    </row>
    <row r="12047" spans="1:8" ht="14.4" x14ac:dyDescent="0.3">
      <c r="A12047" s="8">
        <v>2028458</v>
      </c>
      <c r="B12047" s="11">
        <v>44644</v>
      </c>
      <c r="C12047" s="13" t="s">
        <v>14982</v>
      </c>
      <c r="D12047" s="13" t="s">
        <v>14983</v>
      </c>
      <c r="E12047" s="8">
        <v>4000</v>
      </c>
      <c r="F12047" s="13" t="s">
        <v>70</v>
      </c>
      <c r="G12047" s="14">
        <v>44683</v>
      </c>
      <c r="H12047" s="13" t="s">
        <v>163</v>
      </c>
    </row>
    <row r="12048" spans="1:8" ht="14.4" x14ac:dyDescent="0.3">
      <c r="A12048" s="8">
        <v>2028459</v>
      </c>
      <c r="B12048" s="11">
        <v>44644</v>
      </c>
      <c r="C12048" s="13" t="s">
        <v>14984</v>
      </c>
      <c r="D12048" s="13" t="s">
        <v>14985</v>
      </c>
      <c r="E12048" s="8">
        <v>16000</v>
      </c>
      <c r="F12048" s="13" t="s">
        <v>70</v>
      </c>
      <c r="G12048" s="14">
        <v>44687</v>
      </c>
      <c r="H12048" s="13" t="s">
        <v>163</v>
      </c>
    </row>
    <row r="12049" spans="1:8" ht="14.4" x14ac:dyDescent="0.3">
      <c r="A12049" s="8">
        <v>2028461</v>
      </c>
      <c r="B12049" s="11">
        <v>44644</v>
      </c>
      <c r="C12049" s="13" t="s">
        <v>8681</v>
      </c>
      <c r="D12049" s="13" t="s">
        <v>14986</v>
      </c>
      <c r="E12049" s="8">
        <v>16000</v>
      </c>
      <c r="F12049" s="13" t="s">
        <v>70</v>
      </c>
      <c r="G12049" s="14">
        <v>44680</v>
      </c>
      <c r="H12049" s="13" t="s">
        <v>163</v>
      </c>
    </row>
    <row r="12050" spans="1:8" ht="14.4" x14ac:dyDescent="0.3">
      <c r="A12050" s="8">
        <v>2028462</v>
      </c>
      <c r="B12050" s="11">
        <v>44644</v>
      </c>
      <c r="C12050" s="13" t="s">
        <v>14987</v>
      </c>
      <c r="D12050" s="13" t="s">
        <v>14988</v>
      </c>
      <c r="E12050" s="8">
        <v>2000</v>
      </c>
      <c r="F12050" s="13" t="s">
        <v>70</v>
      </c>
      <c r="G12050" s="14">
        <v>44693</v>
      </c>
      <c r="H12050" s="13" t="s">
        <v>163</v>
      </c>
    </row>
    <row r="12051" spans="1:8" ht="14.4" x14ac:dyDescent="0.3">
      <c r="A12051" s="8">
        <v>2028463</v>
      </c>
      <c r="B12051" s="11">
        <v>44644</v>
      </c>
      <c r="C12051" s="13" t="s">
        <v>14989</v>
      </c>
      <c r="D12051" s="13" t="s">
        <v>14990</v>
      </c>
      <c r="E12051" s="8">
        <v>2000</v>
      </c>
      <c r="F12051" s="13" t="s">
        <v>70</v>
      </c>
      <c r="G12051" s="14">
        <v>44683</v>
      </c>
      <c r="H12051" s="13" t="s">
        <v>163</v>
      </c>
    </row>
    <row r="12052" spans="1:8" ht="14.4" x14ac:dyDescent="0.3">
      <c r="A12052" s="8">
        <v>2028464</v>
      </c>
      <c r="B12052" s="11">
        <v>44644</v>
      </c>
      <c r="C12052" s="13" t="s">
        <v>14991</v>
      </c>
      <c r="D12052" s="13" t="s">
        <v>14992</v>
      </c>
      <c r="E12052" s="8">
        <v>2000</v>
      </c>
      <c r="F12052" s="13" t="s">
        <v>70</v>
      </c>
      <c r="G12052" s="14">
        <v>44680</v>
      </c>
      <c r="H12052" s="13" t="s">
        <v>163</v>
      </c>
    </row>
    <row r="12053" spans="1:8" ht="14.4" x14ac:dyDescent="0.3">
      <c r="A12053" s="8">
        <v>2028465</v>
      </c>
      <c r="B12053" s="11">
        <v>44644</v>
      </c>
      <c r="C12053" s="13" t="s">
        <v>14993</v>
      </c>
      <c r="D12053" s="13" t="s">
        <v>14994</v>
      </c>
      <c r="E12053" s="8">
        <v>16000</v>
      </c>
      <c r="F12053" s="13" t="s">
        <v>70</v>
      </c>
      <c r="G12053" s="14">
        <v>44683</v>
      </c>
      <c r="H12053" s="13" t="s">
        <v>163</v>
      </c>
    </row>
    <row r="12054" spans="1:8" ht="14.4" x14ac:dyDescent="0.3">
      <c r="A12054" s="8">
        <v>2028466</v>
      </c>
      <c r="B12054" s="11">
        <v>44644</v>
      </c>
      <c r="C12054" s="13" t="s">
        <v>14995</v>
      </c>
      <c r="D12054" s="13" t="s">
        <v>14996</v>
      </c>
      <c r="E12054" s="8">
        <v>1155.2</v>
      </c>
      <c r="F12054" s="13" t="s">
        <v>70</v>
      </c>
      <c r="G12054" s="14">
        <v>44698</v>
      </c>
      <c r="H12054" s="13" t="s">
        <v>163</v>
      </c>
    </row>
    <row r="12055" spans="1:8" ht="14.4" x14ac:dyDescent="0.3">
      <c r="A12055" s="8">
        <v>2028467</v>
      </c>
      <c r="B12055" s="11">
        <v>44644</v>
      </c>
      <c r="C12055" s="13" t="s">
        <v>14997</v>
      </c>
      <c r="D12055" s="13" t="s">
        <v>14998</v>
      </c>
      <c r="E12055" s="8">
        <v>4000</v>
      </c>
      <c r="F12055" s="13" t="s">
        <v>70</v>
      </c>
      <c r="G12055" s="14">
        <v>44680</v>
      </c>
      <c r="H12055" s="13" t="s">
        <v>163</v>
      </c>
    </row>
    <row r="12056" spans="1:8" ht="14.4" x14ac:dyDescent="0.3">
      <c r="A12056" s="8">
        <v>2028468</v>
      </c>
      <c r="B12056" s="11">
        <v>44644</v>
      </c>
      <c r="C12056" s="13" t="s">
        <v>14999</v>
      </c>
      <c r="D12056" s="13" t="s">
        <v>15000</v>
      </c>
      <c r="E12056" s="8">
        <v>4000</v>
      </c>
      <c r="F12056" s="13" t="s">
        <v>70</v>
      </c>
      <c r="G12056" s="14">
        <v>44685</v>
      </c>
      <c r="H12056" s="13" t="s">
        <v>163</v>
      </c>
    </row>
    <row r="12057" spans="1:8" ht="14.4" x14ac:dyDescent="0.3">
      <c r="A12057" s="8">
        <v>2028469</v>
      </c>
      <c r="B12057" s="11">
        <v>44644</v>
      </c>
      <c r="C12057" s="13" t="s">
        <v>15001</v>
      </c>
      <c r="D12057" s="13" t="s">
        <v>15002</v>
      </c>
      <c r="E12057" s="8">
        <v>2000</v>
      </c>
      <c r="F12057" s="13" t="s">
        <v>70</v>
      </c>
      <c r="G12057" s="14">
        <v>44680</v>
      </c>
      <c r="H12057" s="13" t="s">
        <v>163</v>
      </c>
    </row>
    <row r="12058" spans="1:8" ht="14.4" x14ac:dyDescent="0.3">
      <c r="A12058" s="8">
        <v>2028470</v>
      </c>
      <c r="B12058" s="11">
        <v>44644</v>
      </c>
      <c r="C12058" s="13" t="s">
        <v>15003</v>
      </c>
      <c r="D12058" s="13" t="s">
        <v>15004</v>
      </c>
      <c r="E12058" s="8">
        <v>20000</v>
      </c>
      <c r="F12058" s="13" t="s">
        <v>70</v>
      </c>
      <c r="G12058" s="14">
        <v>44680</v>
      </c>
      <c r="H12058" s="13" t="s">
        <v>163</v>
      </c>
    </row>
    <row r="12059" spans="1:8" ht="14.4" x14ac:dyDescent="0.3">
      <c r="A12059" s="8">
        <v>2028471</v>
      </c>
      <c r="B12059" s="11">
        <v>44644</v>
      </c>
      <c r="C12059" s="13" t="s">
        <v>15005</v>
      </c>
      <c r="D12059" s="13" t="s">
        <v>15006</v>
      </c>
      <c r="E12059" s="8">
        <v>12000</v>
      </c>
      <c r="F12059" s="13" t="s">
        <v>70</v>
      </c>
      <c r="G12059" s="14">
        <v>44680</v>
      </c>
      <c r="H12059" s="13" t="s">
        <v>163</v>
      </c>
    </row>
    <row r="12060" spans="1:8" ht="14.4" x14ac:dyDescent="0.3">
      <c r="A12060" s="8">
        <v>2028472</v>
      </c>
      <c r="B12060" s="11">
        <v>44644</v>
      </c>
      <c r="C12060" s="13" t="s">
        <v>15007</v>
      </c>
      <c r="D12060" s="13" t="s">
        <v>15008</v>
      </c>
      <c r="E12060" s="8">
        <v>4000</v>
      </c>
      <c r="F12060" s="13" t="s">
        <v>70</v>
      </c>
      <c r="G12060" s="14">
        <v>44722</v>
      </c>
      <c r="H12060" s="13" t="s">
        <v>163</v>
      </c>
    </row>
    <row r="12061" spans="1:8" ht="14.4" x14ac:dyDescent="0.3">
      <c r="A12061" s="8">
        <v>2028473</v>
      </c>
      <c r="B12061" s="11">
        <v>44644</v>
      </c>
      <c r="C12061" s="13" t="s">
        <v>15009</v>
      </c>
      <c r="D12061" s="13" t="s">
        <v>15010</v>
      </c>
      <c r="E12061" s="8">
        <v>4000</v>
      </c>
      <c r="F12061" s="13" t="s">
        <v>70</v>
      </c>
      <c r="G12061" s="14">
        <v>44693</v>
      </c>
      <c r="H12061" s="13" t="s">
        <v>163</v>
      </c>
    </row>
    <row r="12062" spans="1:8" ht="14.4" x14ac:dyDescent="0.3">
      <c r="A12062" s="8">
        <v>2028474</v>
      </c>
      <c r="B12062" s="11">
        <v>44644</v>
      </c>
      <c r="C12062" s="13" t="s">
        <v>15011</v>
      </c>
      <c r="D12062" s="13" t="s">
        <v>15012</v>
      </c>
      <c r="E12062" s="8">
        <v>12000</v>
      </c>
      <c r="F12062" s="13" t="s">
        <v>70</v>
      </c>
      <c r="G12062" s="14">
        <v>44680</v>
      </c>
      <c r="H12062" s="13" t="s">
        <v>163</v>
      </c>
    </row>
    <row r="12063" spans="1:8" ht="14.4" x14ac:dyDescent="0.3">
      <c r="A12063" s="8">
        <v>2028475</v>
      </c>
      <c r="B12063" s="11">
        <v>44644</v>
      </c>
      <c r="C12063" s="13" t="s">
        <v>15013</v>
      </c>
      <c r="D12063" s="13" t="s">
        <v>15014</v>
      </c>
      <c r="E12063" s="8">
        <v>8000</v>
      </c>
      <c r="F12063" s="13" t="s">
        <v>70</v>
      </c>
      <c r="G12063" s="14">
        <v>44683</v>
      </c>
      <c r="H12063" s="13" t="s">
        <v>163</v>
      </c>
    </row>
    <row r="12064" spans="1:8" ht="14.4" x14ac:dyDescent="0.3">
      <c r="A12064" s="8">
        <v>2028477</v>
      </c>
      <c r="B12064" s="11">
        <v>44644</v>
      </c>
      <c r="C12064" s="13" t="s">
        <v>9059</v>
      </c>
      <c r="D12064" s="13" t="s">
        <v>15015</v>
      </c>
      <c r="E12064" s="8">
        <v>8000</v>
      </c>
      <c r="F12064" s="13" t="s">
        <v>70</v>
      </c>
      <c r="G12064" s="14">
        <v>44749</v>
      </c>
      <c r="H12064" s="13" t="s">
        <v>163</v>
      </c>
    </row>
    <row r="12065" spans="1:8" ht="14.4" x14ac:dyDescent="0.3">
      <c r="A12065" s="8">
        <v>2028478</v>
      </c>
      <c r="B12065" s="11">
        <v>44644</v>
      </c>
      <c r="C12065" s="13" t="s">
        <v>15016</v>
      </c>
      <c r="D12065" s="13" t="s">
        <v>15017</v>
      </c>
      <c r="E12065" s="8">
        <v>4000</v>
      </c>
      <c r="F12065" s="13" t="s">
        <v>70</v>
      </c>
      <c r="G12065" s="14">
        <v>44683</v>
      </c>
      <c r="H12065" s="13" t="s">
        <v>163</v>
      </c>
    </row>
    <row r="12066" spans="1:8" ht="14.4" x14ac:dyDescent="0.3">
      <c r="A12066" s="8">
        <v>2028479</v>
      </c>
      <c r="B12066" s="11">
        <v>44644</v>
      </c>
      <c r="C12066" s="13" t="s">
        <v>15018</v>
      </c>
      <c r="D12066" s="13" t="s">
        <v>15019</v>
      </c>
      <c r="E12066" s="8">
        <v>16000</v>
      </c>
      <c r="F12066" s="13" t="s">
        <v>70</v>
      </c>
      <c r="G12066" s="14">
        <v>44683</v>
      </c>
      <c r="H12066" s="13" t="s">
        <v>163</v>
      </c>
    </row>
    <row r="12067" spans="1:8" ht="14.4" x14ac:dyDescent="0.3">
      <c r="A12067" s="8">
        <v>2028480</v>
      </c>
      <c r="B12067" s="11">
        <v>44644</v>
      </c>
      <c r="C12067" s="13" t="s">
        <v>15020</v>
      </c>
      <c r="D12067" s="13" t="s">
        <v>15021</v>
      </c>
      <c r="E12067" s="8">
        <v>6000</v>
      </c>
      <c r="F12067" s="13" t="s">
        <v>70</v>
      </c>
      <c r="G12067" s="14">
        <v>44685</v>
      </c>
      <c r="H12067" s="13" t="s">
        <v>163</v>
      </c>
    </row>
    <row r="12068" spans="1:8" ht="14.4" x14ac:dyDescent="0.3">
      <c r="A12068" s="8">
        <v>2028481</v>
      </c>
      <c r="B12068" s="11">
        <v>44644</v>
      </c>
      <c r="C12068" s="13" t="s">
        <v>15022</v>
      </c>
      <c r="D12068" s="13" t="s">
        <v>15023</v>
      </c>
      <c r="E12068" s="8">
        <v>6000</v>
      </c>
      <c r="F12068" s="13" t="s">
        <v>70</v>
      </c>
      <c r="G12068" s="14">
        <v>44683</v>
      </c>
      <c r="H12068" s="13" t="s">
        <v>163</v>
      </c>
    </row>
    <row r="12069" spans="1:8" ht="14.4" x14ac:dyDescent="0.3">
      <c r="A12069" s="8">
        <v>2028482</v>
      </c>
      <c r="B12069" s="11">
        <v>44644</v>
      </c>
      <c r="C12069" s="13" t="s">
        <v>15024</v>
      </c>
      <c r="D12069" s="13" t="s">
        <v>15025</v>
      </c>
      <c r="E12069" s="8">
        <v>10000</v>
      </c>
      <c r="F12069" s="13" t="s">
        <v>70</v>
      </c>
      <c r="G12069" s="14">
        <v>44680</v>
      </c>
      <c r="H12069" s="13" t="s">
        <v>163</v>
      </c>
    </row>
    <row r="12070" spans="1:8" ht="14.4" x14ac:dyDescent="0.3">
      <c r="A12070" s="8">
        <v>2028483</v>
      </c>
      <c r="B12070" s="11">
        <v>44644</v>
      </c>
      <c r="C12070" s="13" t="s">
        <v>15026</v>
      </c>
      <c r="D12070" s="13" t="s">
        <v>15027</v>
      </c>
      <c r="E12070" s="8">
        <v>6000</v>
      </c>
      <c r="F12070" s="13" t="s">
        <v>70</v>
      </c>
      <c r="G12070" s="14">
        <v>44683</v>
      </c>
      <c r="H12070" s="13" t="s">
        <v>163</v>
      </c>
    </row>
    <row r="12071" spans="1:8" ht="14.4" x14ac:dyDescent="0.3">
      <c r="A12071" s="8">
        <v>2028484</v>
      </c>
      <c r="B12071" s="11">
        <v>44644</v>
      </c>
      <c r="C12071" s="13" t="s">
        <v>9783</v>
      </c>
      <c r="D12071" s="13" t="s">
        <v>15028</v>
      </c>
      <c r="E12071" s="8">
        <v>20000</v>
      </c>
      <c r="F12071" s="13" t="s">
        <v>70</v>
      </c>
      <c r="G12071" s="14">
        <v>44683</v>
      </c>
      <c r="H12071" s="13" t="s">
        <v>163</v>
      </c>
    </row>
    <row r="12072" spans="1:8" ht="14.4" x14ac:dyDescent="0.3">
      <c r="A12072" s="8">
        <v>2028485</v>
      </c>
      <c r="B12072" s="11">
        <v>44644</v>
      </c>
      <c r="C12072" s="13" t="s">
        <v>8829</v>
      </c>
      <c r="D12072" s="13" t="s">
        <v>15029</v>
      </c>
      <c r="E12072" s="8">
        <v>4000</v>
      </c>
      <c r="F12072" s="13" t="s">
        <v>70</v>
      </c>
      <c r="G12072" s="14">
        <v>44680</v>
      </c>
      <c r="H12072" s="13" t="s">
        <v>163</v>
      </c>
    </row>
    <row r="12073" spans="1:8" ht="14.4" x14ac:dyDescent="0.3">
      <c r="A12073" s="8">
        <v>2028486</v>
      </c>
      <c r="B12073" s="11">
        <v>44644</v>
      </c>
      <c r="C12073" s="13" t="s">
        <v>15030</v>
      </c>
      <c r="D12073" s="13" t="s">
        <v>15031</v>
      </c>
      <c r="E12073" s="8">
        <v>6000</v>
      </c>
      <c r="F12073" s="13" t="s">
        <v>70</v>
      </c>
      <c r="G12073" s="14">
        <v>44680</v>
      </c>
      <c r="H12073" s="13" t="s">
        <v>163</v>
      </c>
    </row>
    <row r="12074" spans="1:8" ht="14.4" x14ac:dyDescent="0.3">
      <c r="A12074" s="8">
        <v>2028487</v>
      </c>
      <c r="B12074" s="11">
        <v>44650</v>
      </c>
      <c r="C12074" s="13" t="s">
        <v>13458</v>
      </c>
      <c r="D12074" s="13" t="s">
        <v>15032</v>
      </c>
      <c r="E12074" s="8">
        <v>21364.799999999999</v>
      </c>
      <c r="F12074" s="13" t="s">
        <v>70</v>
      </c>
      <c r="G12074" s="14">
        <v>44651</v>
      </c>
      <c r="H12074" s="13" t="s">
        <v>163</v>
      </c>
    </row>
    <row r="12075" spans="1:8" ht="14.4" x14ac:dyDescent="0.3">
      <c r="A12075" s="8">
        <v>2028488</v>
      </c>
      <c r="B12075" s="11">
        <v>44650</v>
      </c>
      <c r="C12075" s="13" t="s">
        <v>1596</v>
      </c>
      <c r="D12075" s="13" t="s">
        <v>15033</v>
      </c>
      <c r="E12075" s="8">
        <v>4263</v>
      </c>
      <c r="F12075" s="13" t="s">
        <v>70</v>
      </c>
      <c r="G12075" s="14">
        <v>44657</v>
      </c>
      <c r="H12075" s="13" t="s">
        <v>163</v>
      </c>
    </row>
    <row r="12076" spans="1:8" ht="14.4" x14ac:dyDescent="0.3">
      <c r="A12076" s="8">
        <v>2028490</v>
      </c>
      <c r="B12076" s="11">
        <v>44650</v>
      </c>
      <c r="C12076" s="13" t="s">
        <v>1736</v>
      </c>
      <c r="D12076" s="13" t="s">
        <v>15034</v>
      </c>
      <c r="E12076" s="8">
        <v>35280</v>
      </c>
      <c r="F12076" s="13" t="s">
        <v>70</v>
      </c>
      <c r="G12076" s="14">
        <v>44673</v>
      </c>
      <c r="H12076" s="13" t="s">
        <v>163</v>
      </c>
    </row>
    <row r="12077" spans="1:8" ht="14.4" x14ac:dyDescent="0.3">
      <c r="A12077" s="8">
        <v>2028491</v>
      </c>
      <c r="B12077" s="11">
        <v>44650</v>
      </c>
      <c r="C12077" s="13" t="s">
        <v>245</v>
      </c>
      <c r="D12077" s="13" t="s">
        <v>15035</v>
      </c>
      <c r="E12077" s="8">
        <v>42218.28</v>
      </c>
      <c r="F12077" s="13" t="s">
        <v>70</v>
      </c>
      <c r="G12077" s="14">
        <v>44670</v>
      </c>
      <c r="H12077" s="13" t="s">
        <v>163</v>
      </c>
    </row>
    <row r="12078" spans="1:8" ht="14.4" x14ac:dyDescent="0.3">
      <c r="A12078" s="8">
        <v>2028492</v>
      </c>
      <c r="B12078" s="11">
        <v>44651</v>
      </c>
      <c r="C12078" s="13" t="s">
        <v>2624</v>
      </c>
      <c r="D12078" s="13" t="s">
        <v>15036</v>
      </c>
      <c r="E12078" s="8">
        <v>378964.28</v>
      </c>
      <c r="F12078" s="13" t="s">
        <v>70</v>
      </c>
      <c r="G12078" s="14">
        <v>44652</v>
      </c>
      <c r="H12078" s="13" t="s">
        <v>163</v>
      </c>
    </row>
    <row r="12079" spans="1:8" ht="14.4" x14ac:dyDescent="0.3">
      <c r="A12079" s="8">
        <v>2028493</v>
      </c>
      <c r="B12079" s="11">
        <v>44651</v>
      </c>
      <c r="C12079" s="13" t="s">
        <v>2571</v>
      </c>
      <c r="D12079" s="13" t="s">
        <v>15037</v>
      </c>
      <c r="E12079" s="8">
        <v>1118435.5</v>
      </c>
      <c r="F12079" s="13" t="s">
        <v>70</v>
      </c>
      <c r="G12079" s="14">
        <v>44655</v>
      </c>
      <c r="H12079" s="13" t="s">
        <v>163</v>
      </c>
    </row>
    <row r="12080" spans="1:8" ht="14.4" x14ac:dyDescent="0.3">
      <c r="A12080" s="8">
        <v>2028494</v>
      </c>
      <c r="B12080" s="11">
        <v>44652</v>
      </c>
      <c r="C12080" s="13" t="s">
        <v>168</v>
      </c>
      <c r="D12080" s="13" t="s">
        <v>15038</v>
      </c>
      <c r="E12080" s="8">
        <v>1058400</v>
      </c>
      <c r="F12080" s="13" t="s">
        <v>70</v>
      </c>
      <c r="G12080" s="14">
        <v>44656</v>
      </c>
      <c r="H12080" s="13" t="s">
        <v>163</v>
      </c>
    </row>
    <row r="12081" spans="1:8" ht="14.4" x14ac:dyDescent="0.3">
      <c r="A12081" s="8">
        <v>2028495</v>
      </c>
      <c r="B12081" s="11">
        <v>44652</v>
      </c>
      <c r="C12081" s="13" t="s">
        <v>13294</v>
      </c>
      <c r="D12081" s="13" t="s">
        <v>15039</v>
      </c>
      <c r="E12081" s="8">
        <v>381307</v>
      </c>
      <c r="F12081" s="13" t="s">
        <v>70</v>
      </c>
      <c r="G12081" s="14">
        <v>44656</v>
      </c>
      <c r="H12081" s="13" t="s">
        <v>163</v>
      </c>
    </row>
    <row r="12082" spans="1:8" ht="14.4" x14ac:dyDescent="0.3">
      <c r="A12082" s="8">
        <v>2028497</v>
      </c>
      <c r="B12082" s="11">
        <v>44656</v>
      </c>
      <c r="C12082" s="13" t="s">
        <v>2624</v>
      </c>
      <c r="D12082" s="13" t="s">
        <v>15040</v>
      </c>
      <c r="E12082" s="8">
        <v>1390635.63</v>
      </c>
      <c r="F12082" s="13" t="s">
        <v>70</v>
      </c>
      <c r="G12082" s="14">
        <v>44657</v>
      </c>
      <c r="H12082" s="13" t="s">
        <v>163</v>
      </c>
    </row>
    <row r="12083" spans="1:8" ht="14.4" x14ac:dyDescent="0.3">
      <c r="A12083" s="8">
        <v>2028498</v>
      </c>
      <c r="B12083" s="11">
        <v>44658</v>
      </c>
      <c r="C12083" s="13" t="s">
        <v>14668</v>
      </c>
      <c r="D12083" s="13" t="s">
        <v>15041</v>
      </c>
      <c r="E12083" s="8">
        <v>11400</v>
      </c>
      <c r="F12083" s="13" t="s">
        <v>70</v>
      </c>
      <c r="G12083" s="14">
        <v>44672</v>
      </c>
      <c r="H12083" s="13" t="s">
        <v>163</v>
      </c>
    </row>
    <row r="12084" spans="1:8" ht="14.4" x14ac:dyDescent="0.3">
      <c r="A12084" s="8">
        <v>2055101</v>
      </c>
      <c r="B12084" s="11">
        <v>44662</v>
      </c>
      <c r="C12084" s="13" t="s">
        <v>14796</v>
      </c>
      <c r="D12084" s="13" t="s">
        <v>15042</v>
      </c>
      <c r="E12084" s="8">
        <v>14849049.6</v>
      </c>
      <c r="F12084" s="13" t="s">
        <v>70</v>
      </c>
      <c r="G12084" s="14">
        <v>44659</v>
      </c>
      <c r="H12084" s="13" t="s">
        <v>163</v>
      </c>
    </row>
    <row r="12085" spans="1:8" ht="14.4" x14ac:dyDescent="0.3">
      <c r="A12085" s="8">
        <v>2055102</v>
      </c>
      <c r="B12085" s="11">
        <v>44662</v>
      </c>
      <c r="C12085" s="13" t="s">
        <v>14796</v>
      </c>
      <c r="D12085" s="13" t="s">
        <v>15043</v>
      </c>
      <c r="E12085" s="8">
        <v>4949544.5999999996</v>
      </c>
      <c r="F12085" s="13" t="s">
        <v>70</v>
      </c>
      <c r="G12085" s="14">
        <v>44659</v>
      </c>
      <c r="H12085" s="13" t="s">
        <v>163</v>
      </c>
    </row>
    <row r="12086" spans="1:8" ht="14.4" x14ac:dyDescent="0.3">
      <c r="A12086" s="8">
        <v>2055103</v>
      </c>
      <c r="B12086" s="11">
        <v>44670</v>
      </c>
      <c r="C12086" s="13" t="s">
        <v>13460</v>
      </c>
      <c r="D12086" s="13" t="s">
        <v>15044</v>
      </c>
      <c r="E12086" s="8">
        <v>313680.5</v>
      </c>
      <c r="F12086" s="13" t="s">
        <v>70</v>
      </c>
      <c r="G12086" s="14">
        <v>44671</v>
      </c>
      <c r="H12086" s="13" t="s">
        <v>163</v>
      </c>
    </row>
    <row r="12087" spans="1:8" ht="14.4" x14ac:dyDescent="0.3">
      <c r="A12087" s="8">
        <v>2055104</v>
      </c>
      <c r="B12087" s="11">
        <v>44673</v>
      </c>
      <c r="C12087" s="13" t="s">
        <v>15045</v>
      </c>
      <c r="D12087" s="13" t="s">
        <v>15046</v>
      </c>
      <c r="E12087" s="8">
        <v>5000</v>
      </c>
      <c r="F12087" s="13" t="s">
        <v>70</v>
      </c>
      <c r="G12087" s="14">
        <v>44677</v>
      </c>
      <c r="H12087" s="13" t="s">
        <v>163</v>
      </c>
    </row>
    <row r="12088" spans="1:8" ht="14.4" x14ac:dyDescent="0.3">
      <c r="A12088" s="8">
        <v>2055105</v>
      </c>
      <c r="B12088" s="11">
        <v>44673</v>
      </c>
      <c r="C12088" s="13" t="s">
        <v>15047</v>
      </c>
      <c r="D12088" s="13" t="s">
        <v>15046</v>
      </c>
      <c r="E12088" s="8">
        <v>20000</v>
      </c>
      <c r="F12088" s="13" t="s">
        <v>70</v>
      </c>
      <c r="G12088" s="14">
        <v>44756</v>
      </c>
      <c r="H12088" s="13" t="s">
        <v>163</v>
      </c>
    </row>
    <row r="12089" spans="1:8" ht="14.4" x14ac:dyDescent="0.3">
      <c r="A12089" s="8">
        <v>2055106</v>
      </c>
      <c r="B12089" s="11">
        <v>44673</v>
      </c>
      <c r="C12089" s="13" t="s">
        <v>15048</v>
      </c>
      <c r="D12089" s="13" t="s">
        <v>15046</v>
      </c>
      <c r="E12089" s="8">
        <v>30000</v>
      </c>
      <c r="F12089" s="13" t="s">
        <v>70</v>
      </c>
      <c r="G12089" s="14">
        <v>44680</v>
      </c>
      <c r="H12089" s="13" t="s">
        <v>163</v>
      </c>
    </row>
    <row r="12090" spans="1:8" ht="14.4" x14ac:dyDescent="0.3">
      <c r="A12090" s="8">
        <v>2055107</v>
      </c>
      <c r="B12090" s="11">
        <v>44673</v>
      </c>
      <c r="C12090" s="13" t="s">
        <v>15049</v>
      </c>
      <c r="D12090" s="13" t="s">
        <v>15050</v>
      </c>
      <c r="E12090" s="8">
        <v>5000</v>
      </c>
      <c r="F12090" s="13" t="s">
        <v>70</v>
      </c>
      <c r="G12090" s="14">
        <v>44678</v>
      </c>
      <c r="H12090" s="13" t="s">
        <v>163</v>
      </c>
    </row>
    <row r="12091" spans="1:8" ht="14.4" x14ac:dyDescent="0.3">
      <c r="A12091" s="8">
        <v>2055108</v>
      </c>
      <c r="B12091" s="11">
        <v>44673</v>
      </c>
      <c r="C12091" s="13" t="s">
        <v>15051</v>
      </c>
      <c r="D12091" s="13" t="s">
        <v>15046</v>
      </c>
      <c r="E12091" s="8">
        <v>60000</v>
      </c>
      <c r="F12091" s="13" t="s">
        <v>70</v>
      </c>
      <c r="G12091" s="14">
        <v>44677</v>
      </c>
      <c r="H12091" s="13" t="s">
        <v>163</v>
      </c>
    </row>
    <row r="12092" spans="1:8" ht="14.4" x14ac:dyDescent="0.3">
      <c r="A12092" s="8">
        <v>2055109</v>
      </c>
      <c r="B12092" s="11">
        <v>44673</v>
      </c>
      <c r="C12092" s="13" t="s">
        <v>15052</v>
      </c>
      <c r="D12092" s="13" t="s">
        <v>15046</v>
      </c>
      <c r="E12092" s="8">
        <v>5000</v>
      </c>
      <c r="F12092" s="13" t="s">
        <v>70</v>
      </c>
      <c r="G12092" s="14">
        <v>44679</v>
      </c>
      <c r="H12092" s="13" t="s">
        <v>163</v>
      </c>
    </row>
    <row r="12093" spans="1:8" ht="14.4" x14ac:dyDescent="0.3">
      <c r="A12093" s="8">
        <v>2055110</v>
      </c>
      <c r="B12093" s="11">
        <v>44673</v>
      </c>
      <c r="C12093" s="13" t="s">
        <v>15053</v>
      </c>
      <c r="D12093" s="13" t="s">
        <v>15046</v>
      </c>
      <c r="E12093" s="8">
        <v>5000</v>
      </c>
      <c r="F12093" s="13" t="s">
        <v>70</v>
      </c>
      <c r="G12093" s="14">
        <v>44677</v>
      </c>
      <c r="H12093" s="13" t="s">
        <v>163</v>
      </c>
    </row>
    <row r="12094" spans="1:8" ht="14.4" x14ac:dyDescent="0.3">
      <c r="A12094" s="8">
        <v>2055111</v>
      </c>
      <c r="B12094" s="11">
        <v>44673</v>
      </c>
      <c r="C12094" s="13" t="s">
        <v>15054</v>
      </c>
      <c r="D12094" s="13" t="s">
        <v>15050</v>
      </c>
      <c r="E12094" s="8">
        <v>5000</v>
      </c>
      <c r="F12094" s="13" t="s">
        <v>70</v>
      </c>
      <c r="G12094" s="14">
        <v>44678</v>
      </c>
      <c r="H12094" s="13" t="s">
        <v>163</v>
      </c>
    </row>
    <row r="12095" spans="1:8" ht="14.4" x14ac:dyDescent="0.3">
      <c r="A12095" s="8">
        <v>2055112</v>
      </c>
      <c r="B12095" s="11">
        <v>44673</v>
      </c>
      <c r="C12095" s="13" t="s">
        <v>15055</v>
      </c>
      <c r="D12095" s="13" t="s">
        <v>15046</v>
      </c>
      <c r="E12095" s="8">
        <v>5000</v>
      </c>
      <c r="F12095" s="13" t="s">
        <v>70</v>
      </c>
      <c r="G12095" s="14">
        <v>44680</v>
      </c>
      <c r="H12095" s="13" t="s">
        <v>163</v>
      </c>
    </row>
    <row r="12096" spans="1:8" ht="14.4" x14ac:dyDescent="0.3">
      <c r="A12096" s="8">
        <v>2055113</v>
      </c>
      <c r="B12096" s="11">
        <v>44673</v>
      </c>
      <c r="C12096" s="13" t="s">
        <v>15056</v>
      </c>
      <c r="D12096" s="13" t="s">
        <v>15046</v>
      </c>
      <c r="E12096" s="8">
        <v>5000</v>
      </c>
      <c r="F12096" s="13" t="s">
        <v>70</v>
      </c>
      <c r="G12096" s="14">
        <v>44683</v>
      </c>
      <c r="H12096" s="13" t="s">
        <v>163</v>
      </c>
    </row>
    <row r="12097" spans="1:8" ht="14.4" x14ac:dyDescent="0.3">
      <c r="A12097" s="8">
        <v>2055114</v>
      </c>
      <c r="B12097" s="11">
        <v>44673</v>
      </c>
      <c r="C12097" s="13" t="s">
        <v>15057</v>
      </c>
      <c r="D12097" s="13" t="s">
        <v>15046</v>
      </c>
      <c r="E12097" s="8">
        <v>5000</v>
      </c>
      <c r="F12097" s="13" t="s">
        <v>70</v>
      </c>
      <c r="G12097" s="14">
        <v>44680</v>
      </c>
      <c r="H12097" s="13" t="s">
        <v>163</v>
      </c>
    </row>
    <row r="12098" spans="1:8" ht="14.4" x14ac:dyDescent="0.3">
      <c r="A12098" s="8">
        <v>2055115</v>
      </c>
      <c r="B12098" s="11">
        <v>44673</v>
      </c>
      <c r="C12098" s="13" t="s">
        <v>15058</v>
      </c>
      <c r="D12098" s="13" t="s">
        <v>15046</v>
      </c>
      <c r="E12098" s="8">
        <v>5000</v>
      </c>
      <c r="F12098" s="13" t="s">
        <v>70</v>
      </c>
      <c r="G12098" s="14">
        <v>44680</v>
      </c>
      <c r="H12098" s="13" t="s">
        <v>163</v>
      </c>
    </row>
    <row r="12099" spans="1:8" ht="14.4" x14ac:dyDescent="0.3">
      <c r="A12099" s="8">
        <v>2055116</v>
      </c>
      <c r="B12099" s="11">
        <v>44676</v>
      </c>
      <c r="C12099" s="13" t="s">
        <v>15059</v>
      </c>
      <c r="D12099" s="13" t="s">
        <v>15060</v>
      </c>
      <c r="E12099" s="8">
        <v>5558893.1399999997</v>
      </c>
      <c r="F12099" s="13" t="s">
        <v>70</v>
      </c>
      <c r="G12099" s="14">
        <v>44677</v>
      </c>
      <c r="H12099" s="13" t="s">
        <v>163</v>
      </c>
    </row>
    <row r="12100" spans="1:8" ht="14.4" x14ac:dyDescent="0.3">
      <c r="A12100" s="8">
        <v>2055117</v>
      </c>
      <c r="B12100" s="11">
        <v>44679</v>
      </c>
      <c r="C12100" s="13" t="s">
        <v>15061</v>
      </c>
      <c r="D12100" s="13" t="s">
        <v>15062</v>
      </c>
      <c r="E12100" s="8">
        <v>73228.72</v>
      </c>
      <c r="F12100" s="13" t="s">
        <v>70</v>
      </c>
      <c r="G12100" s="14">
        <v>44686</v>
      </c>
      <c r="H12100" s="13" t="s">
        <v>163</v>
      </c>
    </row>
    <row r="12101" spans="1:8" ht="14.4" x14ac:dyDescent="0.3">
      <c r="A12101" s="8">
        <v>2055118</v>
      </c>
      <c r="B12101" s="11">
        <v>44679</v>
      </c>
      <c r="C12101" s="13" t="s">
        <v>13294</v>
      </c>
      <c r="D12101" s="13" t="s">
        <v>15063</v>
      </c>
      <c r="E12101" s="8">
        <v>285538.90000000002</v>
      </c>
      <c r="F12101" s="13" t="s">
        <v>70</v>
      </c>
      <c r="G12101" s="14">
        <v>44683</v>
      </c>
      <c r="H12101" s="13" t="s">
        <v>163</v>
      </c>
    </row>
    <row r="12102" spans="1:8" ht="14.4" x14ac:dyDescent="0.3">
      <c r="A12102" s="8">
        <v>2055119</v>
      </c>
      <c r="B12102" s="11">
        <v>44680</v>
      </c>
      <c r="C12102" s="13" t="s">
        <v>13458</v>
      </c>
      <c r="D12102" s="13" t="s">
        <v>15064</v>
      </c>
      <c r="E12102" s="8">
        <v>62148.14</v>
      </c>
      <c r="F12102" s="13" t="s">
        <v>70</v>
      </c>
      <c r="G12102" s="14">
        <v>44683</v>
      </c>
      <c r="H12102" s="13" t="s">
        <v>163</v>
      </c>
    </row>
    <row r="12103" spans="1:8" ht="14.4" x14ac:dyDescent="0.3">
      <c r="A12103" s="8">
        <v>2055120</v>
      </c>
      <c r="B12103" s="11">
        <v>44683</v>
      </c>
      <c r="C12103" s="13" t="s">
        <v>13294</v>
      </c>
      <c r="D12103" s="13" t="s">
        <v>15065</v>
      </c>
      <c r="E12103" s="8">
        <v>381307</v>
      </c>
      <c r="F12103" s="13" t="s">
        <v>70</v>
      </c>
      <c r="G12103" s="14">
        <v>44683</v>
      </c>
      <c r="H12103" s="13" t="s">
        <v>163</v>
      </c>
    </row>
    <row r="12104" spans="1:8" ht="14.4" x14ac:dyDescent="0.3">
      <c r="A12104" s="8">
        <v>2055121</v>
      </c>
      <c r="B12104" s="11">
        <v>44683</v>
      </c>
      <c r="C12104" s="13" t="s">
        <v>8784</v>
      </c>
      <c r="D12104" s="13" t="s">
        <v>15066</v>
      </c>
      <c r="E12104" s="8">
        <v>20000</v>
      </c>
      <c r="F12104" s="13" t="s">
        <v>70</v>
      </c>
      <c r="G12104" s="14">
        <v>44685</v>
      </c>
      <c r="H12104" s="13" t="s">
        <v>163</v>
      </c>
    </row>
    <row r="12105" spans="1:8" ht="14.4" x14ac:dyDescent="0.3">
      <c r="A12105" s="8">
        <v>2055122</v>
      </c>
      <c r="B12105" s="11">
        <v>44683</v>
      </c>
      <c r="C12105" s="13" t="s">
        <v>15067</v>
      </c>
      <c r="D12105" s="13" t="s">
        <v>15068</v>
      </c>
      <c r="E12105" s="8">
        <v>4000</v>
      </c>
      <c r="F12105" s="13" t="s">
        <v>70</v>
      </c>
      <c r="G12105" s="14">
        <v>44698</v>
      </c>
      <c r="H12105" s="13" t="s">
        <v>163</v>
      </c>
    </row>
    <row r="12106" spans="1:8" ht="14.4" x14ac:dyDescent="0.3">
      <c r="A12106" s="8">
        <v>2055123</v>
      </c>
      <c r="B12106" s="11">
        <v>44683</v>
      </c>
      <c r="C12106" s="13" t="s">
        <v>15069</v>
      </c>
      <c r="D12106" s="13" t="s">
        <v>15070</v>
      </c>
      <c r="E12106" s="8">
        <v>4000</v>
      </c>
      <c r="F12106" s="13" t="s">
        <v>70</v>
      </c>
      <c r="G12106" s="14">
        <v>44698</v>
      </c>
      <c r="H12106" s="13" t="s">
        <v>163</v>
      </c>
    </row>
    <row r="12107" spans="1:8" ht="14.4" x14ac:dyDescent="0.3">
      <c r="A12107" s="8">
        <v>2055124</v>
      </c>
      <c r="B12107" s="11">
        <v>44683</v>
      </c>
      <c r="C12107" s="13" t="s">
        <v>1830</v>
      </c>
      <c r="D12107" s="13" t="s">
        <v>15071</v>
      </c>
      <c r="E12107" s="8">
        <v>10000</v>
      </c>
      <c r="F12107" s="13" t="s">
        <v>70</v>
      </c>
      <c r="G12107" s="14">
        <v>44694</v>
      </c>
      <c r="H12107" s="13" t="s">
        <v>163</v>
      </c>
    </row>
    <row r="12108" spans="1:8" ht="14.4" x14ac:dyDescent="0.3">
      <c r="A12108" s="8">
        <v>2055125</v>
      </c>
      <c r="B12108" s="11">
        <v>44683</v>
      </c>
      <c r="C12108" s="13" t="s">
        <v>15072</v>
      </c>
      <c r="D12108" s="13" t="s">
        <v>15073</v>
      </c>
      <c r="E12108" s="8">
        <v>2000</v>
      </c>
      <c r="F12108" s="13" t="s">
        <v>70</v>
      </c>
      <c r="G12108" s="14">
        <v>44700</v>
      </c>
      <c r="H12108" s="13" t="s">
        <v>163</v>
      </c>
    </row>
    <row r="12109" spans="1:8" ht="14.4" x14ac:dyDescent="0.3">
      <c r="A12109" s="8">
        <v>2055126</v>
      </c>
      <c r="B12109" s="11">
        <v>44683</v>
      </c>
      <c r="C12109" s="13" t="s">
        <v>15074</v>
      </c>
      <c r="D12109" s="13" t="s">
        <v>15075</v>
      </c>
      <c r="E12109" s="8">
        <v>8000</v>
      </c>
      <c r="F12109" s="13" t="s">
        <v>70</v>
      </c>
      <c r="G12109" s="14">
        <v>44693</v>
      </c>
      <c r="H12109" s="13" t="s">
        <v>163</v>
      </c>
    </row>
    <row r="12110" spans="1:8" ht="14.4" x14ac:dyDescent="0.3">
      <c r="A12110" s="8">
        <v>2055127</v>
      </c>
      <c r="B12110" s="11">
        <v>44683</v>
      </c>
      <c r="C12110" s="13" t="s">
        <v>8478</v>
      </c>
      <c r="D12110" s="13" t="s">
        <v>15076</v>
      </c>
      <c r="E12110" s="8">
        <v>20000</v>
      </c>
      <c r="F12110" s="13" t="s">
        <v>70</v>
      </c>
      <c r="G12110" s="14">
        <v>44697</v>
      </c>
      <c r="H12110" s="13" t="s">
        <v>163</v>
      </c>
    </row>
    <row r="12111" spans="1:8" ht="14.4" x14ac:dyDescent="0.3">
      <c r="A12111" s="8">
        <v>2055128</v>
      </c>
      <c r="B12111" s="11">
        <v>44683</v>
      </c>
      <c r="C12111" s="13" t="s">
        <v>8946</v>
      </c>
      <c r="D12111" s="13" t="s">
        <v>12556</v>
      </c>
      <c r="E12111" s="8">
        <v>16000</v>
      </c>
      <c r="F12111" s="13" t="s">
        <v>70</v>
      </c>
      <c r="G12111" s="14">
        <v>44691</v>
      </c>
      <c r="H12111" s="13" t="s">
        <v>163</v>
      </c>
    </row>
    <row r="12112" spans="1:8" ht="14.4" x14ac:dyDescent="0.3">
      <c r="A12112" s="8">
        <v>2055129</v>
      </c>
      <c r="B12112" s="11">
        <v>44683</v>
      </c>
      <c r="C12112" s="13" t="s">
        <v>15077</v>
      </c>
      <c r="D12112" s="13" t="s">
        <v>15078</v>
      </c>
      <c r="E12112" s="8">
        <v>4000</v>
      </c>
      <c r="F12112" s="13" t="s">
        <v>70</v>
      </c>
      <c r="G12112" s="14">
        <v>44694</v>
      </c>
      <c r="H12112" s="13" t="s">
        <v>163</v>
      </c>
    </row>
    <row r="12113" spans="1:8" ht="14.4" x14ac:dyDescent="0.3">
      <c r="A12113" s="8">
        <v>2055130</v>
      </c>
      <c r="B12113" s="11">
        <v>44683</v>
      </c>
      <c r="C12113" s="13" t="s">
        <v>15079</v>
      </c>
      <c r="D12113" s="13" t="s">
        <v>15080</v>
      </c>
      <c r="E12113" s="8">
        <v>6000</v>
      </c>
      <c r="F12113" s="13" t="s">
        <v>70</v>
      </c>
      <c r="G12113" s="14">
        <v>44698</v>
      </c>
      <c r="H12113" s="13" t="s">
        <v>163</v>
      </c>
    </row>
    <row r="12114" spans="1:8" ht="14.4" x14ac:dyDescent="0.3">
      <c r="A12114" s="8">
        <v>2055131</v>
      </c>
      <c r="B12114" s="11">
        <v>44683</v>
      </c>
      <c r="C12114" s="13" t="s">
        <v>15081</v>
      </c>
      <c r="D12114" s="13" t="s">
        <v>13597</v>
      </c>
      <c r="E12114" s="8">
        <v>4000</v>
      </c>
      <c r="F12114" s="13" t="s">
        <v>70</v>
      </c>
      <c r="G12114" s="14">
        <v>44693</v>
      </c>
      <c r="H12114" s="13" t="s">
        <v>163</v>
      </c>
    </row>
    <row r="12115" spans="1:8" ht="14.4" x14ac:dyDescent="0.3">
      <c r="A12115" s="8">
        <v>2055132</v>
      </c>
      <c r="B12115" s="11">
        <v>44683</v>
      </c>
      <c r="C12115" s="13" t="s">
        <v>15082</v>
      </c>
      <c r="D12115" s="13" t="s">
        <v>15083</v>
      </c>
      <c r="E12115" s="8">
        <v>2000</v>
      </c>
      <c r="F12115" s="13" t="s">
        <v>70</v>
      </c>
      <c r="G12115" s="14">
        <v>44693</v>
      </c>
      <c r="H12115" s="13" t="s">
        <v>163</v>
      </c>
    </row>
    <row r="12116" spans="1:8" ht="14.4" x14ac:dyDescent="0.3">
      <c r="A12116" s="8">
        <v>2055133</v>
      </c>
      <c r="B12116" s="11">
        <v>44683</v>
      </c>
      <c r="C12116" s="13" t="s">
        <v>8776</v>
      </c>
      <c r="D12116" s="13" t="s">
        <v>15084</v>
      </c>
      <c r="E12116" s="8">
        <v>20000</v>
      </c>
      <c r="F12116" s="13" t="s">
        <v>70</v>
      </c>
      <c r="G12116" s="14">
        <v>44698</v>
      </c>
      <c r="H12116" s="13" t="s">
        <v>163</v>
      </c>
    </row>
    <row r="12117" spans="1:8" ht="14.4" x14ac:dyDescent="0.3">
      <c r="A12117" s="8">
        <v>2055134</v>
      </c>
      <c r="B12117" s="11">
        <v>44683</v>
      </c>
      <c r="C12117" s="13" t="s">
        <v>15085</v>
      </c>
      <c r="D12117" s="13" t="s">
        <v>15086</v>
      </c>
      <c r="E12117" s="8">
        <v>4000</v>
      </c>
      <c r="F12117" s="13" t="s">
        <v>70</v>
      </c>
      <c r="G12117" s="14">
        <v>44728</v>
      </c>
      <c r="H12117" s="13" t="s">
        <v>163</v>
      </c>
    </row>
    <row r="12118" spans="1:8" ht="14.4" x14ac:dyDescent="0.3">
      <c r="A12118" s="8">
        <v>2055135</v>
      </c>
      <c r="B12118" s="11">
        <v>44683</v>
      </c>
      <c r="C12118" s="13" t="s">
        <v>15087</v>
      </c>
      <c r="D12118" s="13" t="s">
        <v>15088</v>
      </c>
      <c r="E12118" s="8">
        <v>16000</v>
      </c>
      <c r="F12118" s="13" t="s">
        <v>70</v>
      </c>
      <c r="G12118" s="14">
        <v>44694</v>
      </c>
      <c r="H12118" s="13" t="s">
        <v>163</v>
      </c>
    </row>
    <row r="12119" spans="1:8" ht="14.4" x14ac:dyDescent="0.3">
      <c r="A12119" s="8">
        <v>2055136</v>
      </c>
      <c r="B12119" s="11">
        <v>44683</v>
      </c>
      <c r="C12119" s="13" t="s">
        <v>15089</v>
      </c>
      <c r="D12119" s="13" t="s">
        <v>15090</v>
      </c>
      <c r="E12119" s="8">
        <v>20000</v>
      </c>
      <c r="F12119" s="13" t="s">
        <v>70</v>
      </c>
      <c r="G12119" s="14">
        <v>44795</v>
      </c>
      <c r="H12119" s="13" t="s">
        <v>163</v>
      </c>
    </row>
    <row r="12120" spans="1:8" ht="14.4" x14ac:dyDescent="0.3">
      <c r="A12120" s="8">
        <v>2055137</v>
      </c>
      <c r="B12120" s="11">
        <v>44683</v>
      </c>
      <c r="C12120" s="13" t="s">
        <v>8471</v>
      </c>
      <c r="D12120" s="13" t="s">
        <v>15091</v>
      </c>
      <c r="E12120" s="8">
        <v>20000</v>
      </c>
      <c r="F12120" s="13" t="s">
        <v>70</v>
      </c>
      <c r="G12120" s="14">
        <v>44693</v>
      </c>
      <c r="H12120" s="13" t="s">
        <v>163</v>
      </c>
    </row>
    <row r="12121" spans="1:8" ht="14.4" x14ac:dyDescent="0.3">
      <c r="A12121" s="8">
        <v>2055138</v>
      </c>
      <c r="B12121" s="11">
        <v>44683</v>
      </c>
      <c r="C12121" s="13" t="s">
        <v>2624</v>
      </c>
      <c r="D12121" s="13" t="s">
        <v>15092</v>
      </c>
      <c r="E12121" s="8">
        <v>583778.68000000005</v>
      </c>
      <c r="F12121" s="13" t="s">
        <v>70</v>
      </c>
      <c r="G12121" s="14">
        <v>44685</v>
      </c>
      <c r="H12121" s="13" t="s">
        <v>163</v>
      </c>
    </row>
    <row r="12122" spans="1:8" ht="14.4" x14ac:dyDescent="0.3">
      <c r="A12122" s="8">
        <v>2055139</v>
      </c>
      <c r="B12122" s="11">
        <v>44685</v>
      </c>
      <c r="C12122" s="13" t="s">
        <v>15093</v>
      </c>
      <c r="D12122" s="13" t="s">
        <v>15094</v>
      </c>
      <c r="E12122" s="8">
        <v>113</v>
      </c>
      <c r="F12122" s="13" t="s">
        <v>70</v>
      </c>
      <c r="G12122" s="14">
        <v>44704</v>
      </c>
      <c r="H12122" s="13" t="s">
        <v>163</v>
      </c>
    </row>
    <row r="12123" spans="1:8" ht="14.4" x14ac:dyDescent="0.3">
      <c r="A12123" s="8">
        <v>2055140</v>
      </c>
      <c r="B12123" s="11">
        <v>44686</v>
      </c>
      <c r="C12123" s="13" t="s">
        <v>15095</v>
      </c>
      <c r="D12123" s="13" t="s">
        <v>15096</v>
      </c>
      <c r="E12123" s="8">
        <v>2000</v>
      </c>
      <c r="F12123" s="13" t="s">
        <v>70</v>
      </c>
      <c r="G12123" s="14">
        <v>44698</v>
      </c>
      <c r="H12123" s="13" t="s">
        <v>163</v>
      </c>
    </row>
    <row r="12124" spans="1:8" ht="14.4" x14ac:dyDescent="0.3">
      <c r="A12124" s="8">
        <v>2055141</v>
      </c>
      <c r="B12124" s="11">
        <v>44686</v>
      </c>
      <c r="C12124" s="13" t="s">
        <v>8874</v>
      </c>
      <c r="D12124" s="13" t="s">
        <v>15097</v>
      </c>
      <c r="E12124" s="8">
        <v>10000</v>
      </c>
      <c r="F12124" s="13" t="s">
        <v>70</v>
      </c>
      <c r="G12124" s="14">
        <v>44692</v>
      </c>
      <c r="H12124" s="13" t="s">
        <v>163</v>
      </c>
    </row>
    <row r="12125" spans="1:8" ht="14.4" x14ac:dyDescent="0.3">
      <c r="A12125" s="8">
        <v>2055142</v>
      </c>
      <c r="B12125" s="11">
        <v>44686</v>
      </c>
      <c r="C12125" s="13" t="s">
        <v>2017</v>
      </c>
      <c r="D12125" s="13" t="s">
        <v>15098</v>
      </c>
      <c r="E12125" s="8">
        <v>50000</v>
      </c>
      <c r="F12125" s="13" t="s">
        <v>70</v>
      </c>
      <c r="G12125" s="14">
        <v>44692</v>
      </c>
      <c r="H12125" s="13" t="s">
        <v>163</v>
      </c>
    </row>
    <row r="12126" spans="1:8" ht="14.4" x14ac:dyDescent="0.3">
      <c r="A12126" s="8">
        <v>2055143</v>
      </c>
      <c r="B12126" s="11">
        <v>44686</v>
      </c>
      <c r="C12126" s="13" t="s">
        <v>15099</v>
      </c>
      <c r="D12126" s="13" t="s">
        <v>15100</v>
      </c>
      <c r="E12126" s="8">
        <v>16000</v>
      </c>
      <c r="F12126" s="13" t="s">
        <v>70</v>
      </c>
      <c r="G12126" s="14">
        <v>44694</v>
      </c>
      <c r="H12126" s="13" t="s">
        <v>163</v>
      </c>
    </row>
    <row r="12127" spans="1:8" ht="14.4" x14ac:dyDescent="0.3">
      <c r="A12127" s="8">
        <v>2055144</v>
      </c>
      <c r="B12127" s="11">
        <v>44686</v>
      </c>
      <c r="C12127" s="13" t="s">
        <v>15101</v>
      </c>
      <c r="D12127" s="13" t="s">
        <v>15102</v>
      </c>
      <c r="E12127" s="8">
        <v>10000</v>
      </c>
      <c r="F12127" s="13" t="s">
        <v>70</v>
      </c>
      <c r="G12127" s="14">
        <v>44692</v>
      </c>
      <c r="H12127" s="13" t="s">
        <v>163</v>
      </c>
    </row>
    <row r="12128" spans="1:8" ht="14.4" x14ac:dyDescent="0.3">
      <c r="A12128" s="8">
        <v>2055145</v>
      </c>
      <c r="B12128" s="11">
        <v>44686</v>
      </c>
      <c r="C12128" s="13" t="s">
        <v>9421</v>
      </c>
      <c r="D12128" s="13" t="s">
        <v>15103</v>
      </c>
      <c r="E12128" s="8">
        <v>14000</v>
      </c>
      <c r="F12128" s="13" t="s">
        <v>70</v>
      </c>
      <c r="G12128" s="14">
        <v>44692</v>
      </c>
      <c r="H12128" s="13" t="s">
        <v>163</v>
      </c>
    </row>
    <row r="12129" spans="1:8" ht="14.4" x14ac:dyDescent="0.3">
      <c r="A12129" s="8">
        <v>2055146</v>
      </c>
      <c r="B12129" s="11">
        <v>44686</v>
      </c>
      <c r="C12129" s="13" t="s">
        <v>15104</v>
      </c>
      <c r="D12129" s="13" t="s">
        <v>15105</v>
      </c>
      <c r="E12129" s="8">
        <v>6000</v>
      </c>
      <c r="F12129" s="13" t="s">
        <v>70</v>
      </c>
      <c r="G12129" s="14">
        <v>44692</v>
      </c>
      <c r="H12129" s="13" t="s">
        <v>163</v>
      </c>
    </row>
    <row r="12130" spans="1:8" ht="14.4" x14ac:dyDescent="0.3">
      <c r="A12130" s="8">
        <v>2055147</v>
      </c>
      <c r="B12130" s="11">
        <v>44686</v>
      </c>
      <c r="C12130" s="13" t="s">
        <v>2044</v>
      </c>
      <c r="D12130" s="13" t="s">
        <v>15106</v>
      </c>
      <c r="E12130" s="8">
        <v>10000</v>
      </c>
      <c r="F12130" s="13" t="s">
        <v>70</v>
      </c>
      <c r="G12130" s="14">
        <v>44750</v>
      </c>
      <c r="H12130" s="13" t="s">
        <v>163</v>
      </c>
    </row>
    <row r="12131" spans="1:8" ht="14.4" x14ac:dyDescent="0.3">
      <c r="A12131" s="8">
        <v>2055148</v>
      </c>
      <c r="B12131" s="11">
        <v>44686</v>
      </c>
      <c r="C12131" s="13" t="s">
        <v>15107</v>
      </c>
      <c r="D12131" s="13" t="s">
        <v>15108</v>
      </c>
      <c r="E12131" s="8">
        <v>12000</v>
      </c>
      <c r="F12131" s="13" t="s">
        <v>70</v>
      </c>
      <c r="G12131" s="14">
        <v>44692</v>
      </c>
      <c r="H12131" s="13" t="s">
        <v>163</v>
      </c>
    </row>
    <row r="12132" spans="1:8" ht="14.4" x14ac:dyDescent="0.3">
      <c r="A12132" s="8">
        <v>2055149</v>
      </c>
      <c r="B12132" s="11">
        <v>44686</v>
      </c>
      <c r="C12132" s="13" t="s">
        <v>15109</v>
      </c>
      <c r="D12132" s="13" t="s">
        <v>15110</v>
      </c>
      <c r="E12132" s="8">
        <v>4000</v>
      </c>
      <c r="F12132" s="13" t="s">
        <v>70</v>
      </c>
      <c r="G12132" s="14">
        <v>44693</v>
      </c>
      <c r="H12132" s="13" t="s">
        <v>163</v>
      </c>
    </row>
    <row r="12133" spans="1:8" ht="14.4" x14ac:dyDescent="0.3">
      <c r="A12133" s="8">
        <v>2055150</v>
      </c>
      <c r="B12133" s="11">
        <v>44686</v>
      </c>
      <c r="C12133" s="13" t="s">
        <v>15111</v>
      </c>
      <c r="D12133" s="13" t="s">
        <v>15112</v>
      </c>
      <c r="E12133" s="8">
        <v>6000</v>
      </c>
      <c r="F12133" s="13" t="s">
        <v>70</v>
      </c>
      <c r="G12133" s="14">
        <v>44692</v>
      </c>
      <c r="H12133" s="13" t="s">
        <v>163</v>
      </c>
    </row>
    <row r="12134" spans="1:8" ht="14.4" x14ac:dyDescent="0.3">
      <c r="A12134" s="8">
        <v>2055151</v>
      </c>
      <c r="B12134" s="11">
        <v>44686</v>
      </c>
      <c r="C12134" s="13" t="s">
        <v>15113</v>
      </c>
      <c r="D12134" s="13" t="s">
        <v>15114</v>
      </c>
      <c r="E12134" s="8">
        <v>6000</v>
      </c>
      <c r="F12134" s="13" t="s">
        <v>70</v>
      </c>
      <c r="G12134" s="14">
        <v>44699</v>
      </c>
      <c r="H12134" s="13" t="s">
        <v>163</v>
      </c>
    </row>
    <row r="12135" spans="1:8" ht="14.4" x14ac:dyDescent="0.3">
      <c r="A12135" s="8">
        <v>2055152</v>
      </c>
      <c r="B12135" s="11">
        <v>44686</v>
      </c>
      <c r="C12135" s="13" t="s">
        <v>15115</v>
      </c>
      <c r="D12135" s="13" t="s">
        <v>15116</v>
      </c>
      <c r="E12135" s="8">
        <v>6000</v>
      </c>
      <c r="F12135" s="13" t="s">
        <v>70</v>
      </c>
      <c r="G12135" s="14">
        <v>44705</v>
      </c>
      <c r="H12135" s="13" t="s">
        <v>163</v>
      </c>
    </row>
    <row r="12136" spans="1:8" ht="14.4" x14ac:dyDescent="0.3">
      <c r="A12136" s="8">
        <v>2055153</v>
      </c>
      <c r="B12136" s="11">
        <v>44686</v>
      </c>
      <c r="C12136" s="13" t="s">
        <v>15117</v>
      </c>
      <c r="D12136" s="13" t="s">
        <v>15118</v>
      </c>
      <c r="E12136" s="8">
        <v>20000</v>
      </c>
      <c r="F12136" s="13" t="s">
        <v>70</v>
      </c>
      <c r="G12136" s="14">
        <v>44691</v>
      </c>
      <c r="H12136" s="13" t="s">
        <v>163</v>
      </c>
    </row>
    <row r="12137" spans="1:8" ht="14.4" x14ac:dyDescent="0.3">
      <c r="A12137" s="8">
        <v>2055154</v>
      </c>
      <c r="B12137" s="11">
        <v>44686</v>
      </c>
      <c r="C12137" s="13" t="s">
        <v>9558</v>
      </c>
      <c r="D12137" s="13" t="s">
        <v>15119</v>
      </c>
      <c r="E12137" s="8">
        <v>20000</v>
      </c>
      <c r="F12137" s="13" t="s">
        <v>70</v>
      </c>
      <c r="G12137" s="14">
        <v>44691</v>
      </c>
      <c r="H12137" s="13" t="s">
        <v>163</v>
      </c>
    </row>
    <row r="12138" spans="1:8" ht="14.4" x14ac:dyDescent="0.3">
      <c r="A12138" s="8">
        <v>2055155</v>
      </c>
      <c r="B12138" s="11">
        <v>44686</v>
      </c>
      <c r="C12138" s="13" t="s">
        <v>15120</v>
      </c>
      <c r="D12138" s="13" t="s">
        <v>15121</v>
      </c>
      <c r="E12138" s="8">
        <v>20000</v>
      </c>
      <c r="F12138" s="13" t="s">
        <v>70</v>
      </c>
      <c r="G12138" s="14">
        <v>44692</v>
      </c>
      <c r="H12138" s="13" t="s">
        <v>163</v>
      </c>
    </row>
    <row r="12139" spans="1:8" ht="14.4" x14ac:dyDescent="0.3">
      <c r="A12139" s="8">
        <v>2055156</v>
      </c>
      <c r="B12139" s="11">
        <v>44686</v>
      </c>
      <c r="C12139" s="13" t="s">
        <v>15122</v>
      </c>
      <c r="D12139" s="13" t="s">
        <v>15123</v>
      </c>
      <c r="E12139" s="8">
        <v>13000</v>
      </c>
      <c r="F12139" s="13" t="s">
        <v>70</v>
      </c>
      <c r="G12139" s="14">
        <v>44692</v>
      </c>
      <c r="H12139" s="13" t="s">
        <v>163</v>
      </c>
    </row>
    <row r="12140" spans="1:8" ht="14.4" x14ac:dyDescent="0.3">
      <c r="A12140" s="8">
        <v>2055157</v>
      </c>
      <c r="B12140" s="11">
        <v>44686</v>
      </c>
      <c r="C12140" s="13" t="s">
        <v>15124</v>
      </c>
      <c r="D12140" s="13" t="s">
        <v>15125</v>
      </c>
      <c r="E12140" s="8">
        <v>6000</v>
      </c>
      <c r="F12140" s="13" t="s">
        <v>70</v>
      </c>
      <c r="G12140" s="14">
        <v>44692</v>
      </c>
      <c r="H12140" s="13" t="s">
        <v>163</v>
      </c>
    </row>
    <row r="12141" spans="1:8" ht="14.4" x14ac:dyDescent="0.3">
      <c r="A12141" s="8">
        <v>2055158</v>
      </c>
      <c r="B12141" s="11">
        <v>44686</v>
      </c>
      <c r="C12141" s="13" t="s">
        <v>15126</v>
      </c>
      <c r="D12141" s="13" t="s">
        <v>15127</v>
      </c>
      <c r="E12141" s="8">
        <v>2000</v>
      </c>
      <c r="F12141" s="13" t="s">
        <v>70</v>
      </c>
      <c r="G12141" s="14">
        <v>44692</v>
      </c>
      <c r="H12141" s="13" t="s">
        <v>163</v>
      </c>
    </row>
    <row r="12142" spans="1:8" ht="14.4" x14ac:dyDescent="0.3">
      <c r="A12142" s="8">
        <v>2055159</v>
      </c>
      <c r="B12142" s="11">
        <v>44686</v>
      </c>
      <c r="C12142" s="13" t="s">
        <v>15128</v>
      </c>
      <c r="D12142" s="13" t="s">
        <v>15129</v>
      </c>
      <c r="E12142" s="8">
        <v>2000</v>
      </c>
      <c r="F12142" s="13" t="s">
        <v>70</v>
      </c>
      <c r="G12142" s="14">
        <v>44693</v>
      </c>
      <c r="H12142" s="13" t="s">
        <v>163</v>
      </c>
    </row>
    <row r="12143" spans="1:8" ht="14.4" x14ac:dyDescent="0.3">
      <c r="A12143" s="8">
        <v>2055160</v>
      </c>
      <c r="B12143" s="11">
        <v>44686</v>
      </c>
      <c r="C12143" s="13" t="s">
        <v>15130</v>
      </c>
      <c r="D12143" s="13" t="s">
        <v>15131</v>
      </c>
      <c r="E12143" s="8">
        <v>4000</v>
      </c>
      <c r="F12143" s="13" t="s">
        <v>70</v>
      </c>
      <c r="G12143" s="14">
        <v>44693</v>
      </c>
      <c r="H12143" s="13" t="s">
        <v>163</v>
      </c>
    </row>
    <row r="12144" spans="1:8" ht="14.4" x14ac:dyDescent="0.3">
      <c r="A12144" s="8">
        <v>2055161</v>
      </c>
      <c r="B12144" s="11">
        <v>44687</v>
      </c>
      <c r="C12144" s="13" t="s">
        <v>15132</v>
      </c>
      <c r="D12144" s="13" t="s">
        <v>15133</v>
      </c>
      <c r="E12144" s="8">
        <v>2000</v>
      </c>
      <c r="F12144" s="13" t="s">
        <v>70</v>
      </c>
      <c r="G12144" s="14">
        <v>44713</v>
      </c>
      <c r="H12144" s="13" t="s">
        <v>163</v>
      </c>
    </row>
    <row r="12145" spans="1:8" ht="14.4" x14ac:dyDescent="0.3">
      <c r="A12145" s="8">
        <v>2055162</v>
      </c>
      <c r="B12145" s="11">
        <v>44687</v>
      </c>
      <c r="C12145" s="13" t="s">
        <v>14134</v>
      </c>
      <c r="D12145" s="13" t="s">
        <v>15134</v>
      </c>
      <c r="E12145" s="8">
        <v>6333.75</v>
      </c>
      <c r="F12145" s="13" t="s">
        <v>70</v>
      </c>
      <c r="G12145" s="14">
        <v>44691</v>
      </c>
      <c r="H12145" s="13" t="s">
        <v>163</v>
      </c>
    </row>
    <row r="12146" spans="1:8" ht="14.4" x14ac:dyDescent="0.3">
      <c r="A12146" s="8">
        <v>2055163</v>
      </c>
      <c r="B12146" s="11">
        <v>44687</v>
      </c>
      <c r="C12146" s="13" t="s">
        <v>85</v>
      </c>
      <c r="D12146" s="13" t="s">
        <v>15135</v>
      </c>
      <c r="E12146" s="8">
        <v>9446.24</v>
      </c>
      <c r="F12146" s="13" t="s">
        <v>70</v>
      </c>
      <c r="G12146" s="14">
        <v>44693</v>
      </c>
      <c r="H12146" s="13" t="s">
        <v>163</v>
      </c>
    </row>
    <row r="12147" spans="1:8" ht="14.4" x14ac:dyDescent="0.3">
      <c r="A12147" s="8">
        <v>2055164</v>
      </c>
      <c r="B12147" s="11">
        <v>44687</v>
      </c>
      <c r="C12147" s="13" t="s">
        <v>285</v>
      </c>
      <c r="D12147" s="13" t="s">
        <v>15136</v>
      </c>
      <c r="E12147" s="8">
        <v>200</v>
      </c>
      <c r="F12147" s="13" t="s">
        <v>70</v>
      </c>
      <c r="G12147" s="14">
        <v>44704</v>
      </c>
      <c r="H12147" s="13" t="s">
        <v>163</v>
      </c>
    </row>
    <row r="12148" spans="1:8" ht="14.4" x14ac:dyDescent="0.3">
      <c r="A12148" s="8">
        <v>2055165</v>
      </c>
      <c r="B12148" s="11">
        <v>44687</v>
      </c>
      <c r="C12148" s="13" t="s">
        <v>9646</v>
      </c>
      <c r="D12148" s="13" t="s">
        <v>15137</v>
      </c>
      <c r="E12148" s="8">
        <v>8000</v>
      </c>
      <c r="F12148" s="13" t="s">
        <v>70</v>
      </c>
      <c r="G12148" s="14">
        <v>44692</v>
      </c>
      <c r="H12148" s="13" t="s">
        <v>163</v>
      </c>
    </row>
    <row r="12149" spans="1:8" ht="14.4" x14ac:dyDescent="0.3">
      <c r="A12149" s="8">
        <v>2055166</v>
      </c>
      <c r="B12149" s="11">
        <v>44687</v>
      </c>
      <c r="C12149" s="13" t="s">
        <v>15138</v>
      </c>
      <c r="D12149" s="13" t="s">
        <v>15139</v>
      </c>
      <c r="E12149" s="8">
        <v>16000</v>
      </c>
      <c r="F12149" s="13" t="s">
        <v>70</v>
      </c>
      <c r="G12149" s="14">
        <v>44707</v>
      </c>
      <c r="H12149" s="13" t="s">
        <v>163</v>
      </c>
    </row>
    <row r="12150" spans="1:8" ht="14.4" x14ac:dyDescent="0.3">
      <c r="A12150" s="8">
        <v>2055167</v>
      </c>
      <c r="B12150" s="11">
        <v>44687</v>
      </c>
      <c r="C12150" s="13" t="s">
        <v>15140</v>
      </c>
      <c r="D12150" s="13" t="s">
        <v>15141</v>
      </c>
      <c r="E12150" s="8">
        <v>8000</v>
      </c>
      <c r="F12150" s="13" t="s">
        <v>70</v>
      </c>
      <c r="G12150" s="14">
        <v>44694</v>
      </c>
      <c r="H12150" s="13" t="s">
        <v>163</v>
      </c>
    </row>
    <row r="12151" spans="1:8" ht="14.4" x14ac:dyDescent="0.3">
      <c r="A12151" s="8">
        <v>2055168</v>
      </c>
      <c r="B12151" s="11">
        <v>44687</v>
      </c>
      <c r="C12151" s="13" t="s">
        <v>15142</v>
      </c>
      <c r="D12151" s="13" t="s">
        <v>15143</v>
      </c>
      <c r="E12151" s="8">
        <v>6000</v>
      </c>
      <c r="F12151" s="13" t="s">
        <v>70</v>
      </c>
      <c r="G12151" s="14">
        <v>44693</v>
      </c>
      <c r="H12151" s="13" t="s">
        <v>163</v>
      </c>
    </row>
    <row r="12152" spans="1:8" ht="14.4" x14ac:dyDescent="0.3">
      <c r="A12152" s="8">
        <v>2055169</v>
      </c>
      <c r="B12152" s="11">
        <v>44687</v>
      </c>
      <c r="C12152" s="13" t="s">
        <v>9593</v>
      </c>
      <c r="D12152" s="13" t="s">
        <v>15144</v>
      </c>
      <c r="E12152" s="8">
        <v>8000</v>
      </c>
      <c r="F12152" s="13" t="s">
        <v>70</v>
      </c>
      <c r="G12152" s="14">
        <v>44692</v>
      </c>
      <c r="H12152" s="13" t="s">
        <v>163</v>
      </c>
    </row>
    <row r="12153" spans="1:8" ht="14.4" x14ac:dyDescent="0.3">
      <c r="A12153" s="8">
        <v>2055170</v>
      </c>
      <c r="B12153" s="11">
        <v>44687</v>
      </c>
      <c r="C12153" s="13" t="s">
        <v>15145</v>
      </c>
      <c r="D12153" s="13" t="s">
        <v>15146</v>
      </c>
      <c r="E12153" s="8">
        <v>16000</v>
      </c>
      <c r="F12153" s="13" t="s">
        <v>70</v>
      </c>
      <c r="G12153" s="14">
        <v>44694</v>
      </c>
      <c r="H12153" s="13" t="s">
        <v>163</v>
      </c>
    </row>
    <row r="12154" spans="1:8" ht="14.4" x14ac:dyDescent="0.3">
      <c r="A12154" s="8">
        <v>2055171</v>
      </c>
      <c r="B12154" s="11">
        <v>44687</v>
      </c>
      <c r="C12154" s="13" t="s">
        <v>15147</v>
      </c>
      <c r="D12154" s="13" t="s">
        <v>15148</v>
      </c>
      <c r="E12154" s="8">
        <v>8000</v>
      </c>
      <c r="F12154" s="13" t="s">
        <v>70</v>
      </c>
      <c r="G12154" s="14">
        <v>44693</v>
      </c>
      <c r="H12154" s="13" t="s">
        <v>163</v>
      </c>
    </row>
    <row r="12155" spans="1:8" ht="14.4" x14ac:dyDescent="0.3">
      <c r="A12155" s="8">
        <v>2055173</v>
      </c>
      <c r="B12155" s="11">
        <v>44687</v>
      </c>
      <c r="C12155" s="13" t="s">
        <v>15149</v>
      </c>
      <c r="D12155" s="13" t="s">
        <v>15150</v>
      </c>
      <c r="E12155" s="8">
        <v>16000</v>
      </c>
      <c r="F12155" s="13" t="s">
        <v>70</v>
      </c>
      <c r="G12155" s="14">
        <v>44693</v>
      </c>
      <c r="H12155" s="13" t="s">
        <v>163</v>
      </c>
    </row>
    <row r="12156" spans="1:8" ht="14.4" x14ac:dyDescent="0.3">
      <c r="A12156" s="8">
        <v>2055174</v>
      </c>
      <c r="B12156" s="11">
        <v>44687</v>
      </c>
      <c r="C12156" s="13" t="s">
        <v>15151</v>
      </c>
      <c r="D12156" s="13" t="s">
        <v>15152</v>
      </c>
      <c r="E12156" s="8">
        <v>6000</v>
      </c>
      <c r="F12156" s="13" t="s">
        <v>70</v>
      </c>
      <c r="G12156" s="14">
        <v>44694</v>
      </c>
      <c r="H12156" s="13" t="s">
        <v>163</v>
      </c>
    </row>
    <row r="12157" spans="1:8" ht="14.4" x14ac:dyDescent="0.3">
      <c r="A12157" s="8">
        <v>2055175</v>
      </c>
      <c r="B12157" s="11">
        <v>44687</v>
      </c>
      <c r="C12157" s="13" t="s">
        <v>15153</v>
      </c>
      <c r="D12157" s="13" t="s">
        <v>15154</v>
      </c>
      <c r="E12157" s="8">
        <v>8000</v>
      </c>
      <c r="F12157" s="13" t="s">
        <v>70</v>
      </c>
      <c r="G12157" s="14">
        <v>44692</v>
      </c>
      <c r="H12157" s="13" t="s">
        <v>163</v>
      </c>
    </row>
    <row r="12158" spans="1:8" ht="14.4" x14ac:dyDescent="0.3">
      <c r="A12158" s="8">
        <v>2055176</v>
      </c>
      <c r="B12158" s="11">
        <v>44687</v>
      </c>
      <c r="C12158" s="13" t="s">
        <v>15155</v>
      </c>
      <c r="D12158" s="13" t="s">
        <v>15156</v>
      </c>
      <c r="E12158" s="8">
        <v>8000</v>
      </c>
      <c r="F12158" s="13" t="s">
        <v>70</v>
      </c>
      <c r="G12158" s="14">
        <v>44694</v>
      </c>
      <c r="H12158" s="13" t="s">
        <v>163</v>
      </c>
    </row>
    <row r="12159" spans="1:8" ht="14.4" x14ac:dyDescent="0.3">
      <c r="A12159" s="8">
        <v>2055177</v>
      </c>
      <c r="B12159" s="11">
        <v>44687</v>
      </c>
      <c r="C12159" s="13" t="s">
        <v>15157</v>
      </c>
      <c r="D12159" s="13" t="s">
        <v>15158</v>
      </c>
      <c r="E12159" s="8">
        <v>8000</v>
      </c>
      <c r="F12159" s="13" t="s">
        <v>70</v>
      </c>
      <c r="G12159" s="14">
        <v>44693</v>
      </c>
      <c r="H12159" s="13" t="s">
        <v>163</v>
      </c>
    </row>
    <row r="12160" spans="1:8" ht="14.4" x14ac:dyDescent="0.3">
      <c r="A12160" s="8">
        <v>2055178</v>
      </c>
      <c r="B12160" s="11">
        <v>44687</v>
      </c>
      <c r="C12160" s="13" t="s">
        <v>15159</v>
      </c>
      <c r="D12160" s="13" t="s">
        <v>15160</v>
      </c>
      <c r="E12160" s="8">
        <v>8000</v>
      </c>
      <c r="F12160" s="13" t="s">
        <v>70</v>
      </c>
      <c r="G12160" s="14">
        <v>44692</v>
      </c>
      <c r="H12160" s="13" t="s">
        <v>163</v>
      </c>
    </row>
    <row r="12161" spans="1:8" ht="14.4" x14ac:dyDescent="0.3">
      <c r="A12161" s="8">
        <v>2055179</v>
      </c>
      <c r="B12161" s="11">
        <v>44687</v>
      </c>
      <c r="C12161" s="13" t="s">
        <v>15161</v>
      </c>
      <c r="D12161" s="13" t="s">
        <v>15162</v>
      </c>
      <c r="E12161" s="8">
        <v>4000</v>
      </c>
      <c r="F12161" s="13" t="s">
        <v>70</v>
      </c>
      <c r="G12161" s="14">
        <v>44692</v>
      </c>
      <c r="H12161" s="13" t="s">
        <v>163</v>
      </c>
    </row>
    <row r="12162" spans="1:8" ht="14.4" x14ac:dyDescent="0.3">
      <c r="A12162" s="8">
        <v>2055180</v>
      </c>
      <c r="B12162" s="11">
        <v>44687</v>
      </c>
      <c r="C12162" s="13" t="s">
        <v>15163</v>
      </c>
      <c r="D12162" s="13" t="s">
        <v>15164</v>
      </c>
      <c r="E12162" s="8">
        <v>8000</v>
      </c>
      <c r="F12162" s="13" t="s">
        <v>70</v>
      </c>
      <c r="G12162" s="14">
        <v>44693</v>
      </c>
      <c r="H12162" s="13" t="s">
        <v>163</v>
      </c>
    </row>
    <row r="12163" spans="1:8" ht="14.4" x14ac:dyDescent="0.3">
      <c r="A12163" s="8">
        <v>2055181</v>
      </c>
      <c r="B12163" s="11">
        <v>44687</v>
      </c>
      <c r="C12163" s="13" t="s">
        <v>15165</v>
      </c>
      <c r="D12163" s="13" t="s">
        <v>15166</v>
      </c>
      <c r="E12163" s="8">
        <v>10000</v>
      </c>
      <c r="F12163" s="13" t="s">
        <v>70</v>
      </c>
      <c r="G12163" s="14">
        <v>44693</v>
      </c>
      <c r="H12163" s="13" t="s">
        <v>163</v>
      </c>
    </row>
    <row r="12164" spans="1:8" ht="14.4" x14ac:dyDescent="0.3">
      <c r="A12164" s="8">
        <v>2055182</v>
      </c>
      <c r="B12164" s="11">
        <v>44687</v>
      </c>
      <c r="C12164" s="13" t="s">
        <v>15167</v>
      </c>
      <c r="D12164" s="13" t="s">
        <v>15168</v>
      </c>
      <c r="E12164" s="8">
        <v>6000</v>
      </c>
      <c r="F12164" s="13" t="s">
        <v>70</v>
      </c>
      <c r="G12164" s="14">
        <v>44693</v>
      </c>
      <c r="H12164" s="13" t="s">
        <v>163</v>
      </c>
    </row>
    <row r="12165" spans="1:8" ht="14.4" x14ac:dyDescent="0.3">
      <c r="A12165" s="8">
        <v>2055183</v>
      </c>
      <c r="B12165" s="11">
        <v>44687</v>
      </c>
      <c r="C12165" s="13" t="s">
        <v>15169</v>
      </c>
      <c r="D12165" s="13" t="s">
        <v>15170</v>
      </c>
      <c r="E12165" s="8">
        <v>8000</v>
      </c>
      <c r="F12165" s="13" t="s">
        <v>70</v>
      </c>
      <c r="G12165" s="14">
        <v>44693</v>
      </c>
      <c r="H12165" s="13" t="s">
        <v>163</v>
      </c>
    </row>
    <row r="12166" spans="1:8" ht="14.4" x14ac:dyDescent="0.3">
      <c r="A12166" s="8">
        <v>2055184</v>
      </c>
      <c r="B12166" s="11">
        <v>44687</v>
      </c>
      <c r="C12166" s="13" t="s">
        <v>15171</v>
      </c>
      <c r="D12166" s="13" t="s">
        <v>15172</v>
      </c>
      <c r="E12166" s="8">
        <v>14000</v>
      </c>
      <c r="F12166" s="13" t="s">
        <v>70</v>
      </c>
      <c r="G12166" s="14">
        <v>44692</v>
      </c>
      <c r="H12166" s="13" t="s">
        <v>163</v>
      </c>
    </row>
    <row r="12167" spans="1:8" ht="14.4" x14ac:dyDescent="0.3">
      <c r="A12167" s="8">
        <v>2055185</v>
      </c>
      <c r="B12167" s="11">
        <v>44692</v>
      </c>
      <c r="C12167" s="13" t="s">
        <v>1524</v>
      </c>
      <c r="D12167" s="13" t="s">
        <v>15173</v>
      </c>
      <c r="E12167" s="8">
        <v>466402.3</v>
      </c>
      <c r="F12167" s="13" t="s">
        <v>70</v>
      </c>
      <c r="G12167" s="14">
        <v>44694</v>
      </c>
      <c r="H12167" s="13" t="s">
        <v>163</v>
      </c>
    </row>
    <row r="12168" spans="1:8" ht="14.4" x14ac:dyDescent="0.3">
      <c r="A12168" s="8">
        <v>2055186</v>
      </c>
      <c r="B12168" s="11">
        <v>44692</v>
      </c>
      <c r="C12168" s="13" t="s">
        <v>1524</v>
      </c>
      <c r="D12168" s="13" t="s">
        <v>15174</v>
      </c>
      <c r="E12168" s="8">
        <v>466802.15</v>
      </c>
      <c r="F12168" s="13" t="s">
        <v>70</v>
      </c>
      <c r="G12168" s="14">
        <v>44694</v>
      </c>
      <c r="H12168" s="13" t="s">
        <v>163</v>
      </c>
    </row>
    <row r="12169" spans="1:8" ht="14.4" x14ac:dyDescent="0.3">
      <c r="A12169" s="8">
        <v>2055187</v>
      </c>
      <c r="B12169" s="11">
        <v>44693</v>
      </c>
      <c r="C12169" s="13" t="s">
        <v>254</v>
      </c>
      <c r="D12169" s="13" t="s">
        <v>15175</v>
      </c>
      <c r="E12169" s="8">
        <v>26689.279999999999</v>
      </c>
      <c r="F12169" s="13" t="s">
        <v>70</v>
      </c>
      <c r="G12169" s="14">
        <v>44694</v>
      </c>
      <c r="H12169" s="13" t="s">
        <v>163</v>
      </c>
    </row>
    <row r="12170" spans="1:8" ht="14.4" x14ac:dyDescent="0.3">
      <c r="A12170" s="8">
        <v>2055188</v>
      </c>
      <c r="B12170" s="11">
        <v>44693</v>
      </c>
      <c r="C12170" s="13" t="s">
        <v>2007</v>
      </c>
      <c r="D12170" s="13" t="s">
        <v>15176</v>
      </c>
      <c r="E12170" s="8">
        <v>16000</v>
      </c>
      <c r="F12170" s="13" t="s">
        <v>70</v>
      </c>
      <c r="G12170" s="14">
        <v>44708</v>
      </c>
      <c r="H12170" s="13" t="s">
        <v>163</v>
      </c>
    </row>
    <row r="12171" spans="1:8" ht="14.4" x14ac:dyDescent="0.3">
      <c r="A12171" s="8">
        <v>2055189</v>
      </c>
      <c r="B12171" s="11">
        <v>44694</v>
      </c>
      <c r="C12171" s="13" t="s">
        <v>85</v>
      </c>
      <c r="D12171" s="13" t="s">
        <v>15177</v>
      </c>
      <c r="E12171" s="8">
        <v>261687.79</v>
      </c>
      <c r="F12171" s="13" t="s">
        <v>70</v>
      </c>
      <c r="G12171" s="14">
        <v>44697</v>
      </c>
      <c r="H12171" s="13" t="s">
        <v>163</v>
      </c>
    </row>
    <row r="12172" spans="1:8" ht="14.4" x14ac:dyDescent="0.3">
      <c r="A12172" s="8">
        <v>2055190</v>
      </c>
      <c r="B12172" s="11">
        <v>44694</v>
      </c>
      <c r="C12172" s="13" t="s">
        <v>15178</v>
      </c>
      <c r="D12172" s="13" t="s">
        <v>15179</v>
      </c>
      <c r="E12172" s="8">
        <v>30000</v>
      </c>
      <c r="F12172" s="13" t="s">
        <v>70</v>
      </c>
      <c r="G12172" s="14">
        <v>44713</v>
      </c>
      <c r="H12172" s="13" t="s">
        <v>163</v>
      </c>
    </row>
    <row r="12173" spans="1:8" ht="14.4" x14ac:dyDescent="0.3">
      <c r="A12173" s="8">
        <v>2055192</v>
      </c>
      <c r="B12173" s="11">
        <v>44694</v>
      </c>
      <c r="C12173" s="13" t="s">
        <v>15180</v>
      </c>
      <c r="D12173" s="13" t="s">
        <v>15181</v>
      </c>
      <c r="E12173" s="8">
        <v>6000</v>
      </c>
      <c r="F12173" s="13" t="s">
        <v>70</v>
      </c>
      <c r="G12173" s="14">
        <v>44706</v>
      </c>
      <c r="H12173" s="13" t="s">
        <v>163</v>
      </c>
    </row>
    <row r="12174" spans="1:8" ht="14.4" x14ac:dyDescent="0.3">
      <c r="A12174" s="8">
        <v>2055193</v>
      </c>
      <c r="B12174" s="11">
        <v>44694</v>
      </c>
      <c r="C12174" s="13" t="s">
        <v>15182</v>
      </c>
      <c r="D12174" s="13" t="s">
        <v>15183</v>
      </c>
      <c r="E12174" s="8">
        <v>30000</v>
      </c>
      <c r="F12174" s="13" t="s">
        <v>70</v>
      </c>
      <c r="G12174" s="14">
        <v>44698</v>
      </c>
      <c r="H12174" s="13" t="s">
        <v>163</v>
      </c>
    </row>
    <row r="12175" spans="1:8" ht="14.4" x14ac:dyDescent="0.3">
      <c r="A12175" s="8">
        <v>2055194</v>
      </c>
      <c r="B12175" s="11">
        <v>44694</v>
      </c>
      <c r="C12175" s="13" t="s">
        <v>15184</v>
      </c>
      <c r="D12175" s="13" t="s">
        <v>15185</v>
      </c>
      <c r="E12175" s="8">
        <v>6000</v>
      </c>
      <c r="F12175" s="13" t="s">
        <v>70</v>
      </c>
      <c r="G12175" s="14">
        <v>44708</v>
      </c>
      <c r="H12175" s="13" t="s">
        <v>163</v>
      </c>
    </row>
    <row r="12176" spans="1:8" ht="14.4" x14ac:dyDescent="0.3">
      <c r="A12176" s="8">
        <v>2055195</v>
      </c>
      <c r="B12176" s="11">
        <v>44694</v>
      </c>
      <c r="C12176" s="13" t="s">
        <v>7794</v>
      </c>
      <c r="D12176" s="13" t="s">
        <v>15186</v>
      </c>
      <c r="E12176" s="8">
        <v>8000</v>
      </c>
      <c r="F12176" s="13" t="s">
        <v>70</v>
      </c>
      <c r="G12176" s="14">
        <v>44697</v>
      </c>
      <c r="H12176" s="13" t="s">
        <v>163</v>
      </c>
    </row>
    <row r="12177" spans="1:8" ht="14.4" x14ac:dyDescent="0.3">
      <c r="A12177" s="8">
        <v>2055196</v>
      </c>
      <c r="B12177" s="11">
        <v>44694</v>
      </c>
      <c r="C12177" s="13" t="s">
        <v>8780</v>
      </c>
      <c r="D12177" s="13" t="s">
        <v>15187</v>
      </c>
      <c r="E12177" s="8">
        <v>30000</v>
      </c>
      <c r="F12177" s="13" t="s">
        <v>70</v>
      </c>
      <c r="G12177" s="14">
        <v>44699</v>
      </c>
      <c r="H12177" s="13" t="s">
        <v>163</v>
      </c>
    </row>
    <row r="12178" spans="1:8" ht="14.4" x14ac:dyDescent="0.3">
      <c r="A12178" s="8">
        <v>2055197</v>
      </c>
      <c r="B12178" s="11">
        <v>44694</v>
      </c>
      <c r="C12178" s="13" t="s">
        <v>15188</v>
      </c>
      <c r="D12178" s="13" t="s">
        <v>15189</v>
      </c>
      <c r="E12178" s="8">
        <v>20000</v>
      </c>
      <c r="F12178" s="13" t="s">
        <v>70</v>
      </c>
      <c r="G12178" s="14">
        <v>44714</v>
      </c>
      <c r="H12178" s="13" t="s">
        <v>163</v>
      </c>
    </row>
    <row r="12179" spans="1:8" ht="14.4" x14ac:dyDescent="0.3">
      <c r="A12179" s="8">
        <v>2055198</v>
      </c>
      <c r="B12179" s="11">
        <v>44694</v>
      </c>
      <c r="C12179" s="13" t="s">
        <v>15190</v>
      </c>
      <c r="D12179" s="13" t="s">
        <v>15191</v>
      </c>
      <c r="E12179" s="8">
        <v>8000</v>
      </c>
      <c r="F12179" s="13" t="s">
        <v>70</v>
      </c>
      <c r="G12179" s="14">
        <v>44711</v>
      </c>
      <c r="H12179" s="13" t="s">
        <v>163</v>
      </c>
    </row>
    <row r="12180" spans="1:8" ht="14.4" x14ac:dyDescent="0.3">
      <c r="A12180" s="8">
        <v>2055199</v>
      </c>
      <c r="B12180" s="11">
        <v>44697</v>
      </c>
      <c r="C12180" s="13" t="s">
        <v>15192</v>
      </c>
      <c r="D12180" s="13" t="s">
        <v>15193</v>
      </c>
      <c r="E12180" s="8">
        <v>2000</v>
      </c>
      <c r="F12180" s="13" t="s">
        <v>70</v>
      </c>
      <c r="G12180" s="14">
        <v>44701</v>
      </c>
      <c r="H12180" s="13" t="s">
        <v>163</v>
      </c>
    </row>
    <row r="12181" spans="1:8" ht="14.4" x14ac:dyDescent="0.3">
      <c r="A12181" s="8">
        <v>2055200</v>
      </c>
      <c r="B12181" s="11">
        <v>44697</v>
      </c>
      <c r="C12181" s="13" t="s">
        <v>15194</v>
      </c>
      <c r="D12181" s="13" t="s">
        <v>15195</v>
      </c>
      <c r="E12181" s="8">
        <v>4000</v>
      </c>
      <c r="F12181" s="13" t="s">
        <v>70</v>
      </c>
      <c r="G12181" s="14">
        <v>44701</v>
      </c>
      <c r="H12181" s="13" t="s">
        <v>163</v>
      </c>
    </row>
    <row r="12182" spans="1:8" ht="14.4" x14ac:dyDescent="0.3">
      <c r="A12182" s="8">
        <v>2055201</v>
      </c>
      <c r="B12182" s="11">
        <v>44697</v>
      </c>
      <c r="C12182" s="13" t="s">
        <v>15196</v>
      </c>
      <c r="D12182" s="13" t="s">
        <v>34</v>
      </c>
      <c r="E12182" s="8">
        <v>29470</v>
      </c>
      <c r="F12182" s="13" t="s">
        <v>70</v>
      </c>
      <c r="G12182" s="14">
        <v>44746</v>
      </c>
      <c r="H12182" s="13" t="s">
        <v>163</v>
      </c>
    </row>
    <row r="12183" spans="1:8" ht="14.4" x14ac:dyDescent="0.3">
      <c r="A12183" s="8">
        <v>2055202</v>
      </c>
      <c r="B12183" s="11">
        <v>44697</v>
      </c>
      <c r="C12183" s="13" t="s">
        <v>7477</v>
      </c>
      <c r="D12183" s="13" t="s">
        <v>15197</v>
      </c>
      <c r="E12183" s="8">
        <v>83464.83</v>
      </c>
      <c r="F12183" s="13" t="s">
        <v>70</v>
      </c>
      <c r="G12183" s="14">
        <v>44708</v>
      </c>
      <c r="H12183" s="13" t="s">
        <v>163</v>
      </c>
    </row>
    <row r="12184" spans="1:8" ht="14.4" x14ac:dyDescent="0.3">
      <c r="A12184" s="8">
        <v>2055203</v>
      </c>
      <c r="B12184" s="11">
        <v>44697</v>
      </c>
      <c r="C12184" s="13" t="s">
        <v>13460</v>
      </c>
      <c r="D12184" s="13" t="s">
        <v>15198</v>
      </c>
      <c r="E12184" s="8">
        <v>1549419.4</v>
      </c>
      <c r="F12184" s="13" t="s">
        <v>70</v>
      </c>
      <c r="G12184" s="14">
        <v>44698</v>
      </c>
      <c r="H12184" s="13" t="s">
        <v>163</v>
      </c>
    </row>
    <row r="12185" spans="1:8" ht="14.4" x14ac:dyDescent="0.3">
      <c r="A12185" s="8">
        <v>2055204</v>
      </c>
      <c r="B12185" s="11">
        <v>44698</v>
      </c>
      <c r="C12185" s="13" t="s">
        <v>13735</v>
      </c>
      <c r="D12185" s="13" t="s">
        <v>15043</v>
      </c>
      <c r="E12185" s="8">
        <v>4949544.5999999996</v>
      </c>
      <c r="F12185" s="13" t="s">
        <v>70</v>
      </c>
      <c r="G12185" s="14">
        <v>44705</v>
      </c>
      <c r="H12185" s="13" t="s">
        <v>163</v>
      </c>
    </row>
    <row r="12186" spans="1:8" ht="14.4" x14ac:dyDescent="0.3">
      <c r="A12186" s="8">
        <v>2055205</v>
      </c>
      <c r="B12186" s="11">
        <v>44700</v>
      </c>
      <c r="C12186" s="13" t="s">
        <v>15199</v>
      </c>
      <c r="D12186" s="13" t="s">
        <v>15200</v>
      </c>
      <c r="E12186" s="8">
        <v>3443</v>
      </c>
      <c r="F12186" s="13" t="s">
        <v>70</v>
      </c>
      <c r="G12186" s="14">
        <v>44712</v>
      </c>
      <c r="H12186" s="13" t="s">
        <v>163</v>
      </c>
    </row>
    <row r="12187" spans="1:8" ht="14.4" x14ac:dyDescent="0.3">
      <c r="A12187" s="8">
        <v>2055206</v>
      </c>
      <c r="B12187" s="11">
        <v>44700</v>
      </c>
      <c r="C12187" s="13" t="s">
        <v>15201</v>
      </c>
      <c r="D12187" s="13" t="s">
        <v>15202</v>
      </c>
      <c r="E12187" s="8">
        <v>20000</v>
      </c>
      <c r="F12187" s="13" t="s">
        <v>70</v>
      </c>
      <c r="G12187" s="14">
        <v>44708</v>
      </c>
      <c r="H12187" s="13" t="s">
        <v>163</v>
      </c>
    </row>
    <row r="12188" spans="1:8" ht="14.4" x14ac:dyDescent="0.3">
      <c r="A12188" s="8">
        <v>2055207</v>
      </c>
      <c r="B12188" s="11">
        <v>44700</v>
      </c>
      <c r="C12188" s="13" t="s">
        <v>15203</v>
      </c>
      <c r="D12188" s="13" t="s">
        <v>15204</v>
      </c>
      <c r="E12188" s="8">
        <v>50000</v>
      </c>
      <c r="F12188" s="13" t="s">
        <v>70</v>
      </c>
      <c r="G12188" s="14">
        <v>44741</v>
      </c>
      <c r="H12188" s="13" t="s">
        <v>163</v>
      </c>
    </row>
    <row r="12189" spans="1:8" ht="14.4" x14ac:dyDescent="0.3">
      <c r="A12189" s="8">
        <v>2055208</v>
      </c>
      <c r="B12189" s="11">
        <v>44700</v>
      </c>
      <c r="C12189" s="13" t="s">
        <v>15205</v>
      </c>
      <c r="D12189" s="13" t="s">
        <v>15206</v>
      </c>
      <c r="E12189" s="8">
        <v>50000</v>
      </c>
      <c r="F12189" s="13" t="s">
        <v>70</v>
      </c>
      <c r="G12189" s="14">
        <v>44720</v>
      </c>
      <c r="H12189" s="13" t="s">
        <v>163</v>
      </c>
    </row>
    <row r="12190" spans="1:8" ht="14.4" x14ac:dyDescent="0.3">
      <c r="A12190" s="8">
        <v>2055209</v>
      </c>
      <c r="B12190" s="11">
        <v>44704</v>
      </c>
      <c r="C12190" s="13" t="s">
        <v>710</v>
      </c>
      <c r="D12190" s="13" t="s">
        <v>15207</v>
      </c>
      <c r="E12190" s="8">
        <v>11000</v>
      </c>
      <c r="F12190" s="13" t="s">
        <v>70</v>
      </c>
      <c r="G12190" s="14">
        <v>44708</v>
      </c>
      <c r="H12190" s="13" t="s">
        <v>163</v>
      </c>
    </row>
    <row r="12191" spans="1:8" ht="14.4" x14ac:dyDescent="0.3">
      <c r="A12191" s="8">
        <v>2055210</v>
      </c>
      <c r="B12191" s="11">
        <v>44704</v>
      </c>
      <c r="C12191" s="13" t="s">
        <v>2687</v>
      </c>
      <c r="D12191" s="13" t="s">
        <v>15208</v>
      </c>
      <c r="E12191" s="8">
        <v>14000</v>
      </c>
      <c r="F12191" s="13" t="s">
        <v>70</v>
      </c>
      <c r="G12191" s="14">
        <v>44706</v>
      </c>
      <c r="H12191" s="13" t="s">
        <v>163</v>
      </c>
    </row>
    <row r="12192" spans="1:8" ht="14.4" x14ac:dyDescent="0.3">
      <c r="A12192" s="8">
        <v>2055211</v>
      </c>
      <c r="B12192" s="11">
        <v>44704</v>
      </c>
      <c r="C12192" s="13" t="s">
        <v>15209</v>
      </c>
      <c r="D12192" s="13" t="s">
        <v>15210</v>
      </c>
      <c r="E12192" s="8">
        <v>18000</v>
      </c>
      <c r="F12192" s="13" t="s">
        <v>70</v>
      </c>
      <c r="G12192" s="14">
        <v>44707</v>
      </c>
      <c r="H12192" s="13" t="s">
        <v>163</v>
      </c>
    </row>
    <row r="12193" spans="1:8" ht="14.4" x14ac:dyDescent="0.3">
      <c r="A12193" s="8">
        <v>2055212</v>
      </c>
      <c r="B12193" s="11">
        <v>44704</v>
      </c>
      <c r="C12193" s="13" t="s">
        <v>15211</v>
      </c>
      <c r="D12193" s="13" t="s">
        <v>15212</v>
      </c>
      <c r="E12193" s="8">
        <v>20000</v>
      </c>
      <c r="F12193" s="13" t="s">
        <v>70</v>
      </c>
      <c r="G12193" s="14">
        <v>44707</v>
      </c>
      <c r="H12193" s="13" t="s">
        <v>163</v>
      </c>
    </row>
    <row r="12194" spans="1:8" ht="14.4" x14ac:dyDescent="0.3">
      <c r="A12194" s="8">
        <v>2055213</v>
      </c>
      <c r="B12194" s="11">
        <v>44704</v>
      </c>
      <c r="C12194" s="13" t="s">
        <v>15213</v>
      </c>
      <c r="D12194" s="13" t="s">
        <v>15214</v>
      </c>
      <c r="E12194" s="8">
        <v>6000</v>
      </c>
      <c r="F12194" s="13" t="s">
        <v>70</v>
      </c>
      <c r="G12194" s="14">
        <v>44705</v>
      </c>
      <c r="H12194" s="13" t="s">
        <v>163</v>
      </c>
    </row>
    <row r="12195" spans="1:8" ht="14.4" x14ac:dyDescent="0.3">
      <c r="A12195" s="8">
        <v>2055214</v>
      </c>
      <c r="B12195" s="11">
        <v>44704</v>
      </c>
      <c r="C12195" s="13" t="s">
        <v>15215</v>
      </c>
      <c r="D12195" s="13" t="s">
        <v>15216</v>
      </c>
      <c r="E12195" s="8">
        <v>8000</v>
      </c>
      <c r="F12195" s="13" t="s">
        <v>70</v>
      </c>
      <c r="G12195" s="14">
        <v>44742</v>
      </c>
      <c r="H12195" s="13" t="s">
        <v>163</v>
      </c>
    </row>
    <row r="12196" spans="1:8" ht="14.4" x14ac:dyDescent="0.3">
      <c r="A12196" s="8">
        <v>2055215</v>
      </c>
      <c r="B12196" s="11">
        <v>44704</v>
      </c>
      <c r="C12196" s="13" t="s">
        <v>15217</v>
      </c>
      <c r="D12196" s="13" t="s">
        <v>15218</v>
      </c>
      <c r="E12196" s="8">
        <v>10000</v>
      </c>
      <c r="F12196" s="13" t="s">
        <v>70</v>
      </c>
      <c r="G12196" s="14">
        <v>44707</v>
      </c>
      <c r="H12196" s="13" t="s">
        <v>163</v>
      </c>
    </row>
    <row r="12197" spans="1:8" ht="14.4" x14ac:dyDescent="0.3">
      <c r="A12197" s="8">
        <v>2055216</v>
      </c>
      <c r="B12197" s="11">
        <v>44704</v>
      </c>
      <c r="C12197" s="13" t="s">
        <v>3028</v>
      </c>
      <c r="D12197" s="13" t="s">
        <v>15219</v>
      </c>
      <c r="E12197" s="8">
        <v>10000</v>
      </c>
      <c r="F12197" s="13" t="s">
        <v>70</v>
      </c>
      <c r="G12197" s="14">
        <v>44707</v>
      </c>
      <c r="H12197" s="13" t="s">
        <v>163</v>
      </c>
    </row>
    <row r="12198" spans="1:8" ht="14.4" x14ac:dyDescent="0.3">
      <c r="A12198" s="8">
        <v>2055217</v>
      </c>
      <c r="B12198" s="11">
        <v>44704</v>
      </c>
      <c r="C12198" s="13" t="s">
        <v>15220</v>
      </c>
      <c r="D12198" s="13" t="s">
        <v>15221</v>
      </c>
      <c r="E12198" s="8">
        <v>9000</v>
      </c>
      <c r="F12198" s="13" t="s">
        <v>70</v>
      </c>
      <c r="G12198" s="14">
        <v>44706</v>
      </c>
      <c r="H12198" s="13" t="s">
        <v>163</v>
      </c>
    </row>
    <row r="12199" spans="1:8" ht="14.4" x14ac:dyDescent="0.3">
      <c r="A12199" s="8">
        <v>2055218</v>
      </c>
      <c r="B12199" s="11">
        <v>44704</v>
      </c>
      <c r="C12199" s="13" t="s">
        <v>15222</v>
      </c>
      <c r="D12199" s="13" t="s">
        <v>15223</v>
      </c>
      <c r="E12199" s="8">
        <v>11000</v>
      </c>
      <c r="F12199" s="13" t="s">
        <v>70</v>
      </c>
      <c r="G12199" s="14">
        <v>44707</v>
      </c>
      <c r="H12199" s="13" t="s">
        <v>163</v>
      </c>
    </row>
    <row r="12200" spans="1:8" ht="14.4" x14ac:dyDescent="0.3">
      <c r="A12200" s="8">
        <v>2055219</v>
      </c>
      <c r="B12200" s="11">
        <v>44704</v>
      </c>
      <c r="C12200" s="13" t="s">
        <v>5470</v>
      </c>
      <c r="D12200" s="13" t="s">
        <v>15224</v>
      </c>
      <c r="E12200" s="8">
        <v>20000</v>
      </c>
      <c r="F12200" s="13" t="s">
        <v>70</v>
      </c>
      <c r="G12200" s="14">
        <v>44711</v>
      </c>
      <c r="H12200" s="13" t="s">
        <v>163</v>
      </c>
    </row>
    <row r="12201" spans="1:8" ht="14.4" x14ac:dyDescent="0.3">
      <c r="A12201" s="8">
        <v>2055220</v>
      </c>
      <c r="B12201" s="11">
        <v>44704</v>
      </c>
      <c r="C12201" s="13" t="s">
        <v>15225</v>
      </c>
      <c r="D12201" s="13" t="s">
        <v>15226</v>
      </c>
      <c r="E12201" s="8">
        <v>50000</v>
      </c>
      <c r="F12201" s="13" t="s">
        <v>70</v>
      </c>
      <c r="G12201" s="14">
        <v>44706</v>
      </c>
      <c r="H12201" s="13" t="s">
        <v>163</v>
      </c>
    </row>
    <row r="12202" spans="1:8" ht="14.4" x14ac:dyDescent="0.3">
      <c r="A12202" s="8">
        <v>2055221</v>
      </c>
      <c r="B12202" s="11">
        <v>44704</v>
      </c>
      <c r="C12202" s="13" t="s">
        <v>15227</v>
      </c>
      <c r="D12202" s="13" t="s">
        <v>15228</v>
      </c>
      <c r="E12202" s="8">
        <v>32600</v>
      </c>
      <c r="F12202" s="13" t="s">
        <v>70</v>
      </c>
      <c r="G12202" s="14">
        <v>44708</v>
      </c>
      <c r="H12202" s="13" t="s">
        <v>163</v>
      </c>
    </row>
    <row r="12203" spans="1:8" ht="14.4" x14ac:dyDescent="0.3">
      <c r="A12203" s="8">
        <v>2055222</v>
      </c>
      <c r="B12203" s="11">
        <v>44704</v>
      </c>
      <c r="C12203" s="13" t="s">
        <v>15229</v>
      </c>
      <c r="D12203" s="13" t="s">
        <v>15230</v>
      </c>
      <c r="E12203" s="8">
        <v>10000</v>
      </c>
      <c r="F12203" s="13" t="s">
        <v>70</v>
      </c>
      <c r="G12203" s="14">
        <v>44711</v>
      </c>
      <c r="H12203" s="13" t="s">
        <v>163</v>
      </c>
    </row>
    <row r="12204" spans="1:8" ht="14.4" x14ac:dyDescent="0.3">
      <c r="A12204" s="8">
        <v>2055223</v>
      </c>
      <c r="B12204" s="11">
        <v>44704</v>
      </c>
      <c r="C12204" s="13" t="s">
        <v>2747</v>
      </c>
      <c r="D12204" s="13" t="s">
        <v>15231</v>
      </c>
      <c r="E12204" s="8">
        <v>13000</v>
      </c>
      <c r="F12204" s="13" t="s">
        <v>70</v>
      </c>
      <c r="G12204" s="14">
        <v>44707</v>
      </c>
      <c r="H12204" s="13" t="s">
        <v>163</v>
      </c>
    </row>
    <row r="12205" spans="1:8" ht="14.4" x14ac:dyDescent="0.3">
      <c r="A12205" s="8">
        <v>2055224</v>
      </c>
      <c r="B12205" s="11">
        <v>44704</v>
      </c>
      <c r="C12205" s="13" t="s">
        <v>15232</v>
      </c>
      <c r="D12205" s="13" t="s">
        <v>15233</v>
      </c>
      <c r="E12205" s="8">
        <v>10000</v>
      </c>
      <c r="F12205" s="13" t="s">
        <v>70</v>
      </c>
      <c r="G12205" s="14">
        <v>44707</v>
      </c>
      <c r="H12205" s="13" t="s">
        <v>163</v>
      </c>
    </row>
    <row r="12206" spans="1:8" ht="14.4" x14ac:dyDescent="0.3">
      <c r="A12206" s="8">
        <v>2055225</v>
      </c>
      <c r="B12206" s="11">
        <v>44704</v>
      </c>
      <c r="C12206" s="13" t="s">
        <v>15234</v>
      </c>
      <c r="D12206" s="13" t="s">
        <v>15235</v>
      </c>
      <c r="E12206" s="8">
        <v>9000</v>
      </c>
      <c r="F12206" s="13" t="s">
        <v>70</v>
      </c>
      <c r="G12206" s="14">
        <v>44708</v>
      </c>
      <c r="H12206" s="13" t="s">
        <v>163</v>
      </c>
    </row>
    <row r="12207" spans="1:8" ht="14.4" x14ac:dyDescent="0.3">
      <c r="A12207" s="8">
        <v>2055226</v>
      </c>
      <c r="B12207" s="11">
        <v>44704</v>
      </c>
      <c r="C12207" s="13" t="s">
        <v>1193</v>
      </c>
      <c r="D12207" s="13" t="s">
        <v>15236</v>
      </c>
      <c r="E12207" s="8">
        <v>7000</v>
      </c>
      <c r="F12207" s="13" t="s">
        <v>70</v>
      </c>
      <c r="G12207" s="14">
        <v>44708</v>
      </c>
      <c r="H12207" s="13" t="s">
        <v>163</v>
      </c>
    </row>
    <row r="12208" spans="1:8" ht="14.4" x14ac:dyDescent="0.3">
      <c r="A12208" s="8">
        <v>2055227</v>
      </c>
      <c r="B12208" s="11">
        <v>44704</v>
      </c>
      <c r="C12208" s="13" t="s">
        <v>74</v>
      </c>
      <c r="D12208" s="13" t="s">
        <v>15237</v>
      </c>
      <c r="E12208" s="8">
        <v>14000</v>
      </c>
      <c r="F12208" s="13" t="s">
        <v>70</v>
      </c>
      <c r="G12208" s="14">
        <v>44707</v>
      </c>
      <c r="H12208" s="13" t="s">
        <v>163</v>
      </c>
    </row>
    <row r="12209" spans="1:8" ht="14.4" x14ac:dyDescent="0.3">
      <c r="A12209" s="8">
        <v>2055228</v>
      </c>
      <c r="B12209" s="11">
        <v>44704</v>
      </c>
      <c r="C12209" s="13" t="s">
        <v>15238</v>
      </c>
      <c r="D12209" s="13" t="s">
        <v>15239</v>
      </c>
      <c r="E12209" s="8">
        <v>40000</v>
      </c>
      <c r="F12209" s="13" t="s">
        <v>70</v>
      </c>
      <c r="G12209" s="14">
        <v>44706</v>
      </c>
      <c r="H12209" s="13" t="s">
        <v>163</v>
      </c>
    </row>
    <row r="12210" spans="1:8" ht="14.4" x14ac:dyDescent="0.3">
      <c r="A12210" s="8">
        <v>2055229</v>
      </c>
      <c r="B12210" s="11">
        <v>44704</v>
      </c>
      <c r="C12210" s="13" t="s">
        <v>13294</v>
      </c>
      <c r="D12210" s="13" t="s">
        <v>15240</v>
      </c>
      <c r="E12210" s="8">
        <v>301500.25</v>
      </c>
      <c r="F12210" s="13" t="s">
        <v>70</v>
      </c>
      <c r="G12210" s="14">
        <v>44705</v>
      </c>
      <c r="H12210" s="13" t="s">
        <v>163</v>
      </c>
    </row>
    <row r="12211" spans="1:8" ht="14.4" x14ac:dyDescent="0.3">
      <c r="A12211" s="8">
        <v>2055230</v>
      </c>
      <c r="B12211" s="11">
        <v>44704</v>
      </c>
      <c r="C12211" s="13" t="s">
        <v>15241</v>
      </c>
      <c r="D12211" s="13" t="s">
        <v>15242</v>
      </c>
      <c r="E12211" s="8">
        <v>15000</v>
      </c>
      <c r="F12211" s="13" t="s">
        <v>70</v>
      </c>
      <c r="G12211" s="14">
        <v>44705</v>
      </c>
      <c r="H12211" s="13" t="s">
        <v>163</v>
      </c>
    </row>
    <row r="12212" spans="1:8" ht="14.4" x14ac:dyDescent="0.3">
      <c r="A12212" s="8">
        <v>2055231</v>
      </c>
      <c r="B12212" s="11">
        <v>44705</v>
      </c>
      <c r="C12212" s="13" t="s">
        <v>15243</v>
      </c>
      <c r="D12212" s="13" t="s">
        <v>15244</v>
      </c>
      <c r="E12212" s="8">
        <v>10000</v>
      </c>
      <c r="F12212" s="13" t="s">
        <v>70</v>
      </c>
      <c r="G12212" s="14">
        <v>44714</v>
      </c>
      <c r="H12212" s="13" t="s">
        <v>163</v>
      </c>
    </row>
    <row r="12213" spans="1:8" ht="14.4" x14ac:dyDescent="0.3">
      <c r="A12213" s="8">
        <v>2055232</v>
      </c>
      <c r="B12213" s="11">
        <v>44705</v>
      </c>
      <c r="C12213" s="13" t="s">
        <v>15245</v>
      </c>
      <c r="D12213" s="13" t="s">
        <v>15246</v>
      </c>
      <c r="E12213" s="8">
        <v>40000</v>
      </c>
      <c r="F12213" s="13" t="s">
        <v>70</v>
      </c>
      <c r="G12213" s="14">
        <v>44714</v>
      </c>
      <c r="H12213" s="13" t="s">
        <v>163</v>
      </c>
    </row>
    <row r="12214" spans="1:8" ht="14.4" x14ac:dyDescent="0.3">
      <c r="A12214" s="8">
        <v>2055233</v>
      </c>
      <c r="B12214" s="11">
        <v>44705</v>
      </c>
      <c r="C12214" s="13" t="s">
        <v>15247</v>
      </c>
      <c r="D12214" s="13" t="s">
        <v>15248</v>
      </c>
      <c r="E12214" s="8">
        <v>10000</v>
      </c>
      <c r="F12214" s="13" t="s">
        <v>70</v>
      </c>
      <c r="G12214" s="14">
        <v>44706</v>
      </c>
      <c r="H12214" s="13" t="s">
        <v>163</v>
      </c>
    </row>
    <row r="12215" spans="1:8" ht="14.4" x14ac:dyDescent="0.3">
      <c r="A12215" s="8">
        <v>2055234</v>
      </c>
      <c r="B12215" s="11">
        <v>44705</v>
      </c>
      <c r="C12215" s="13" t="s">
        <v>15249</v>
      </c>
      <c r="D12215" s="13" t="s">
        <v>15250</v>
      </c>
      <c r="E12215" s="8">
        <v>30000</v>
      </c>
      <c r="F12215" s="13" t="s">
        <v>70</v>
      </c>
      <c r="G12215" s="14">
        <v>44708</v>
      </c>
      <c r="H12215" s="13" t="s">
        <v>163</v>
      </c>
    </row>
    <row r="12216" spans="1:8" ht="14.4" x14ac:dyDescent="0.3">
      <c r="A12216" s="8">
        <v>2055235</v>
      </c>
      <c r="B12216" s="11">
        <v>44705</v>
      </c>
      <c r="C12216" s="13" t="s">
        <v>15251</v>
      </c>
      <c r="D12216" s="13" t="s">
        <v>15252</v>
      </c>
      <c r="E12216" s="8">
        <v>15000</v>
      </c>
      <c r="F12216" s="13" t="s">
        <v>70</v>
      </c>
      <c r="G12216" s="14">
        <v>44706</v>
      </c>
      <c r="H12216" s="13" t="s">
        <v>163</v>
      </c>
    </row>
    <row r="12217" spans="1:8" ht="14.4" x14ac:dyDescent="0.3">
      <c r="A12217" s="8">
        <v>2055236</v>
      </c>
      <c r="B12217" s="11">
        <v>44705</v>
      </c>
      <c r="C12217" s="13" t="s">
        <v>15253</v>
      </c>
      <c r="D12217" s="13" t="s">
        <v>15254</v>
      </c>
      <c r="E12217" s="8">
        <v>10000</v>
      </c>
      <c r="F12217" s="13" t="s">
        <v>70</v>
      </c>
      <c r="G12217" s="14">
        <v>44714</v>
      </c>
      <c r="H12217" s="13" t="s">
        <v>163</v>
      </c>
    </row>
    <row r="12218" spans="1:8" ht="14.4" x14ac:dyDescent="0.3">
      <c r="A12218" s="8">
        <v>2055237</v>
      </c>
      <c r="B12218" s="11">
        <v>44705</v>
      </c>
      <c r="C12218" s="13" t="s">
        <v>15255</v>
      </c>
      <c r="D12218" s="13" t="s">
        <v>15256</v>
      </c>
      <c r="E12218" s="8">
        <v>23000</v>
      </c>
      <c r="F12218" s="13" t="s">
        <v>70</v>
      </c>
      <c r="G12218" s="14">
        <v>44714</v>
      </c>
      <c r="H12218" s="13" t="s">
        <v>163</v>
      </c>
    </row>
    <row r="12219" spans="1:8" ht="14.4" x14ac:dyDescent="0.3">
      <c r="A12219" s="8">
        <v>2055238</v>
      </c>
      <c r="B12219" s="11">
        <v>44705</v>
      </c>
      <c r="C12219" s="13" t="s">
        <v>15257</v>
      </c>
      <c r="D12219" s="13" t="s">
        <v>15258</v>
      </c>
      <c r="E12219" s="8">
        <v>14000</v>
      </c>
      <c r="F12219" s="13" t="s">
        <v>70</v>
      </c>
      <c r="G12219" s="14">
        <v>44707</v>
      </c>
      <c r="H12219" s="13" t="s">
        <v>163</v>
      </c>
    </row>
    <row r="12220" spans="1:8" ht="14.4" x14ac:dyDescent="0.3">
      <c r="A12220" s="8">
        <v>2055239</v>
      </c>
      <c r="B12220" s="11">
        <v>44705</v>
      </c>
      <c r="C12220" s="13" t="s">
        <v>15259</v>
      </c>
      <c r="D12220" s="13" t="s">
        <v>15260</v>
      </c>
      <c r="E12220" s="8">
        <v>50000</v>
      </c>
      <c r="F12220" s="13" t="s">
        <v>70</v>
      </c>
      <c r="G12220" s="14">
        <v>44711</v>
      </c>
      <c r="H12220" s="13" t="s">
        <v>163</v>
      </c>
    </row>
    <row r="12221" spans="1:8" ht="14.4" x14ac:dyDescent="0.3">
      <c r="A12221" s="8">
        <v>2055240</v>
      </c>
      <c r="B12221" s="11">
        <v>44705</v>
      </c>
      <c r="C12221" s="13" t="s">
        <v>2987</v>
      </c>
      <c r="D12221" s="13" t="s">
        <v>15261</v>
      </c>
      <c r="E12221" s="8">
        <v>6000</v>
      </c>
      <c r="F12221" s="13" t="s">
        <v>70</v>
      </c>
      <c r="G12221" s="14">
        <v>44715</v>
      </c>
      <c r="H12221" s="13" t="s">
        <v>163</v>
      </c>
    </row>
    <row r="12222" spans="1:8" ht="14.4" x14ac:dyDescent="0.3">
      <c r="A12222" s="8">
        <v>2055241</v>
      </c>
      <c r="B12222" s="11">
        <v>44706</v>
      </c>
      <c r="C12222" s="13" t="s">
        <v>15262</v>
      </c>
      <c r="D12222" s="13" t="s">
        <v>15263</v>
      </c>
      <c r="E12222" s="8">
        <v>15000</v>
      </c>
      <c r="F12222" s="13" t="s">
        <v>70</v>
      </c>
      <c r="G12222" s="14">
        <v>44708</v>
      </c>
      <c r="H12222" s="13" t="s">
        <v>163</v>
      </c>
    </row>
    <row r="12223" spans="1:8" ht="14.4" x14ac:dyDescent="0.3">
      <c r="A12223" s="8">
        <v>2055242</v>
      </c>
      <c r="B12223" s="11">
        <v>44706</v>
      </c>
      <c r="C12223" s="13" t="s">
        <v>15264</v>
      </c>
      <c r="D12223" s="13" t="s">
        <v>15265</v>
      </c>
      <c r="E12223" s="8">
        <v>20000</v>
      </c>
      <c r="F12223" s="13" t="s">
        <v>70</v>
      </c>
      <c r="G12223" s="14">
        <v>44708</v>
      </c>
      <c r="H12223" s="13" t="s">
        <v>163</v>
      </c>
    </row>
    <row r="12224" spans="1:8" ht="14.4" x14ac:dyDescent="0.3">
      <c r="A12224" s="8">
        <v>2055243</v>
      </c>
      <c r="B12224" s="11">
        <v>44706</v>
      </c>
      <c r="C12224" s="13" t="s">
        <v>15266</v>
      </c>
      <c r="D12224" s="13" t="s">
        <v>15267</v>
      </c>
      <c r="E12224" s="8">
        <v>10000</v>
      </c>
      <c r="F12224" s="13" t="s">
        <v>70</v>
      </c>
      <c r="G12224" s="14">
        <v>44711</v>
      </c>
      <c r="H12224" s="13" t="s">
        <v>163</v>
      </c>
    </row>
    <row r="12225" spans="1:8" ht="14.4" x14ac:dyDescent="0.3">
      <c r="A12225" s="8">
        <v>2055244</v>
      </c>
      <c r="B12225" s="11">
        <v>44706</v>
      </c>
      <c r="C12225" s="13" t="s">
        <v>1033</v>
      </c>
      <c r="D12225" s="13" t="s">
        <v>15268</v>
      </c>
      <c r="E12225" s="8">
        <v>20000</v>
      </c>
      <c r="F12225" s="13" t="s">
        <v>70</v>
      </c>
      <c r="G12225" s="14">
        <v>44707</v>
      </c>
      <c r="H12225" s="13" t="s">
        <v>163</v>
      </c>
    </row>
    <row r="12226" spans="1:8" ht="14.4" x14ac:dyDescent="0.3">
      <c r="A12226" s="8">
        <v>2055245</v>
      </c>
      <c r="B12226" s="11">
        <v>44706</v>
      </c>
      <c r="C12226" s="13" t="s">
        <v>1033</v>
      </c>
      <c r="D12226" s="13" t="s">
        <v>15269</v>
      </c>
      <c r="E12226" s="8">
        <v>15000</v>
      </c>
      <c r="F12226" s="13" t="s">
        <v>70</v>
      </c>
      <c r="G12226" s="14">
        <v>44707</v>
      </c>
      <c r="H12226" s="13" t="s">
        <v>163</v>
      </c>
    </row>
    <row r="12227" spans="1:8" ht="14.4" x14ac:dyDescent="0.3">
      <c r="A12227" s="8">
        <v>2055246</v>
      </c>
      <c r="B12227" s="11">
        <v>44706</v>
      </c>
      <c r="C12227" s="13" t="s">
        <v>15270</v>
      </c>
      <c r="D12227" s="13" t="s">
        <v>15271</v>
      </c>
      <c r="E12227" s="8">
        <v>50000</v>
      </c>
      <c r="F12227" s="13" t="s">
        <v>70</v>
      </c>
      <c r="G12227" s="14">
        <v>44711</v>
      </c>
      <c r="H12227" s="13" t="s">
        <v>163</v>
      </c>
    </row>
    <row r="12228" spans="1:8" ht="14.4" x14ac:dyDescent="0.3">
      <c r="A12228" s="8">
        <v>2055247</v>
      </c>
      <c r="B12228" s="11">
        <v>44706</v>
      </c>
      <c r="C12228" s="13" t="s">
        <v>2888</v>
      </c>
      <c r="D12228" s="13" t="s">
        <v>15272</v>
      </c>
      <c r="E12228" s="8">
        <v>8000</v>
      </c>
      <c r="F12228" s="13" t="s">
        <v>70</v>
      </c>
      <c r="G12228" s="14">
        <v>44708</v>
      </c>
      <c r="H12228" s="13" t="s">
        <v>163</v>
      </c>
    </row>
    <row r="12229" spans="1:8" ht="14.4" x14ac:dyDescent="0.3">
      <c r="A12229" s="8">
        <v>2055248</v>
      </c>
      <c r="B12229" s="11">
        <v>44706</v>
      </c>
      <c r="C12229" s="13" t="s">
        <v>15273</v>
      </c>
      <c r="D12229" s="13" t="s">
        <v>15274</v>
      </c>
      <c r="E12229" s="8">
        <v>40000</v>
      </c>
      <c r="F12229" s="13" t="s">
        <v>70</v>
      </c>
      <c r="G12229" s="14">
        <v>44708</v>
      </c>
      <c r="H12229" s="13" t="s">
        <v>163</v>
      </c>
    </row>
    <row r="12230" spans="1:8" ht="14.4" x14ac:dyDescent="0.3">
      <c r="A12230" s="8">
        <v>2055249</v>
      </c>
      <c r="B12230" s="11">
        <v>44706</v>
      </c>
      <c r="C12230" s="13" t="s">
        <v>15275</v>
      </c>
      <c r="D12230" s="13" t="s">
        <v>15276</v>
      </c>
      <c r="E12230" s="8">
        <v>50000</v>
      </c>
      <c r="F12230" s="13" t="s">
        <v>70</v>
      </c>
      <c r="G12230" s="14">
        <v>44708</v>
      </c>
      <c r="H12230" s="13" t="s">
        <v>163</v>
      </c>
    </row>
    <row r="12231" spans="1:8" ht="14.4" x14ac:dyDescent="0.3">
      <c r="A12231" s="8">
        <v>2055250</v>
      </c>
      <c r="B12231" s="11">
        <v>44706</v>
      </c>
      <c r="C12231" s="13" t="s">
        <v>15277</v>
      </c>
      <c r="D12231" s="13" t="s">
        <v>15278</v>
      </c>
      <c r="E12231" s="8">
        <v>15000</v>
      </c>
      <c r="F12231" s="13" t="s">
        <v>70</v>
      </c>
      <c r="G12231" s="14">
        <v>44711</v>
      </c>
      <c r="H12231" s="13" t="s">
        <v>163</v>
      </c>
    </row>
    <row r="12232" spans="1:8" ht="14.4" x14ac:dyDescent="0.3">
      <c r="A12232" s="8">
        <v>2055251</v>
      </c>
      <c r="B12232" s="11">
        <v>44706</v>
      </c>
      <c r="C12232" s="13" t="s">
        <v>15279</v>
      </c>
      <c r="D12232" s="13" t="s">
        <v>15280</v>
      </c>
      <c r="E12232" s="8">
        <v>19000</v>
      </c>
      <c r="F12232" s="13" t="s">
        <v>70</v>
      </c>
      <c r="G12232" s="14">
        <v>44708</v>
      </c>
      <c r="H12232" s="13" t="s">
        <v>163</v>
      </c>
    </row>
    <row r="12233" spans="1:8" ht="14.4" x14ac:dyDescent="0.3">
      <c r="A12233" s="8">
        <v>2055252</v>
      </c>
      <c r="B12233" s="11">
        <v>44706</v>
      </c>
      <c r="C12233" s="13" t="s">
        <v>15281</v>
      </c>
      <c r="D12233" s="13" t="s">
        <v>15282</v>
      </c>
      <c r="E12233" s="8">
        <v>17000</v>
      </c>
      <c r="F12233" s="13" t="s">
        <v>70</v>
      </c>
      <c r="G12233" s="14">
        <v>44708</v>
      </c>
      <c r="H12233" s="13" t="s">
        <v>163</v>
      </c>
    </row>
    <row r="12234" spans="1:8" ht="14.4" x14ac:dyDescent="0.3">
      <c r="A12234" s="8">
        <v>2055253</v>
      </c>
      <c r="B12234" s="11">
        <v>44706</v>
      </c>
      <c r="C12234" s="13" t="s">
        <v>15283</v>
      </c>
      <c r="D12234" s="13" t="s">
        <v>15284</v>
      </c>
      <c r="E12234" s="8">
        <v>22000</v>
      </c>
      <c r="F12234" s="13" t="s">
        <v>70</v>
      </c>
      <c r="G12234" s="14">
        <v>44712</v>
      </c>
      <c r="H12234" s="13" t="s">
        <v>163</v>
      </c>
    </row>
    <row r="12235" spans="1:8" ht="14.4" x14ac:dyDescent="0.3">
      <c r="A12235" s="8">
        <v>2055254</v>
      </c>
      <c r="B12235" s="11">
        <v>44706</v>
      </c>
      <c r="C12235" s="13" t="s">
        <v>15285</v>
      </c>
      <c r="D12235" s="13" t="s">
        <v>15286</v>
      </c>
      <c r="E12235" s="8">
        <v>12000</v>
      </c>
      <c r="F12235" s="13" t="s">
        <v>70</v>
      </c>
      <c r="G12235" s="14">
        <v>44708</v>
      </c>
      <c r="H12235" s="13" t="s">
        <v>163</v>
      </c>
    </row>
    <row r="12236" spans="1:8" ht="14.4" x14ac:dyDescent="0.3">
      <c r="A12236" s="8">
        <v>2055255</v>
      </c>
      <c r="B12236" s="11">
        <v>44706</v>
      </c>
      <c r="C12236" s="13" t="s">
        <v>15287</v>
      </c>
      <c r="D12236" s="13" t="s">
        <v>15288</v>
      </c>
      <c r="E12236" s="8">
        <v>16000</v>
      </c>
      <c r="F12236" s="13" t="s">
        <v>70</v>
      </c>
      <c r="G12236" s="14">
        <v>44708</v>
      </c>
      <c r="H12236" s="13" t="s">
        <v>163</v>
      </c>
    </row>
    <row r="12237" spans="1:8" ht="14.4" x14ac:dyDescent="0.3">
      <c r="A12237" s="8">
        <v>2055256</v>
      </c>
      <c r="B12237" s="11">
        <v>44706</v>
      </c>
      <c r="C12237" s="13" t="s">
        <v>15289</v>
      </c>
      <c r="D12237" s="13" t="s">
        <v>15290</v>
      </c>
      <c r="E12237" s="8">
        <v>35000</v>
      </c>
      <c r="F12237" s="13" t="s">
        <v>70</v>
      </c>
      <c r="G12237" s="14">
        <v>44708</v>
      </c>
      <c r="H12237" s="13" t="s">
        <v>163</v>
      </c>
    </row>
    <row r="12238" spans="1:8" ht="14.4" x14ac:dyDescent="0.3">
      <c r="A12238" s="8">
        <v>2055257</v>
      </c>
      <c r="B12238" s="11">
        <v>44706</v>
      </c>
      <c r="C12238" s="13" t="s">
        <v>15291</v>
      </c>
      <c r="D12238" s="13" t="s">
        <v>15292</v>
      </c>
      <c r="E12238" s="8">
        <v>10000</v>
      </c>
      <c r="F12238" s="13" t="s">
        <v>70</v>
      </c>
      <c r="G12238" s="14">
        <v>44729</v>
      </c>
      <c r="H12238" s="13" t="s">
        <v>163</v>
      </c>
    </row>
    <row r="12239" spans="1:8" ht="14.4" x14ac:dyDescent="0.3">
      <c r="A12239" s="8">
        <v>2055258</v>
      </c>
      <c r="B12239" s="11">
        <v>44706</v>
      </c>
      <c r="C12239" s="13" t="s">
        <v>15293</v>
      </c>
      <c r="D12239" s="13" t="s">
        <v>15294</v>
      </c>
      <c r="E12239" s="8">
        <v>6000</v>
      </c>
      <c r="F12239" s="13" t="s">
        <v>70</v>
      </c>
      <c r="G12239" s="14">
        <v>44708</v>
      </c>
      <c r="H12239" s="13" t="s">
        <v>163</v>
      </c>
    </row>
    <row r="12240" spans="1:8" ht="14.4" x14ac:dyDescent="0.3">
      <c r="A12240" s="8">
        <v>2055259</v>
      </c>
      <c r="B12240" s="11">
        <v>44706</v>
      </c>
      <c r="C12240" s="13" t="s">
        <v>506</v>
      </c>
      <c r="D12240" s="13" t="s">
        <v>15295</v>
      </c>
      <c r="E12240" s="8">
        <v>21000</v>
      </c>
      <c r="F12240" s="13" t="s">
        <v>70</v>
      </c>
      <c r="G12240" s="14">
        <v>44718</v>
      </c>
      <c r="H12240" s="13" t="s">
        <v>163</v>
      </c>
    </row>
    <row r="12241" spans="1:8" ht="14.4" x14ac:dyDescent="0.3">
      <c r="A12241" s="8">
        <v>2055260</v>
      </c>
      <c r="B12241" s="11">
        <v>44706</v>
      </c>
      <c r="C12241" s="13" t="s">
        <v>893</v>
      </c>
      <c r="D12241" s="13" t="s">
        <v>15296</v>
      </c>
      <c r="E12241" s="8">
        <v>149000</v>
      </c>
      <c r="F12241" s="13" t="s">
        <v>70</v>
      </c>
      <c r="G12241" s="14">
        <v>44718</v>
      </c>
      <c r="H12241" s="13" t="s">
        <v>163</v>
      </c>
    </row>
    <row r="12242" spans="1:8" ht="14.4" x14ac:dyDescent="0.3">
      <c r="A12242" s="8">
        <v>2055261</v>
      </c>
      <c r="B12242" s="11">
        <v>44707</v>
      </c>
      <c r="C12242" s="13" t="s">
        <v>2624</v>
      </c>
      <c r="D12242" s="13" t="s">
        <v>15297</v>
      </c>
      <c r="E12242" s="8">
        <v>129706.48</v>
      </c>
      <c r="F12242" s="13" t="s">
        <v>70</v>
      </c>
      <c r="G12242" s="14">
        <v>44707</v>
      </c>
      <c r="H12242" s="13" t="s">
        <v>163</v>
      </c>
    </row>
    <row r="12243" spans="1:8" ht="14.4" x14ac:dyDescent="0.3">
      <c r="A12243" s="8">
        <v>2055262</v>
      </c>
      <c r="B12243" s="11">
        <v>44708</v>
      </c>
      <c r="C12243" s="13" t="s">
        <v>99</v>
      </c>
      <c r="D12243" s="13" t="s">
        <v>15298</v>
      </c>
      <c r="E12243" s="8">
        <v>25000</v>
      </c>
      <c r="F12243" s="13" t="s">
        <v>70</v>
      </c>
      <c r="G12243" s="14">
        <v>44715</v>
      </c>
      <c r="H12243" s="13" t="s">
        <v>163</v>
      </c>
    </row>
    <row r="12244" spans="1:8" ht="14.4" x14ac:dyDescent="0.3">
      <c r="A12244" s="8">
        <v>2055263</v>
      </c>
      <c r="B12244" s="11">
        <v>44708</v>
      </c>
      <c r="C12244" s="13" t="s">
        <v>15299</v>
      </c>
      <c r="D12244" s="13" t="s">
        <v>15300</v>
      </c>
      <c r="E12244" s="8">
        <v>15000</v>
      </c>
      <c r="F12244" s="13" t="s">
        <v>70</v>
      </c>
      <c r="G12244" s="14">
        <v>44714</v>
      </c>
      <c r="H12244" s="13" t="s">
        <v>163</v>
      </c>
    </row>
    <row r="12245" spans="1:8" ht="14.4" x14ac:dyDescent="0.3">
      <c r="A12245" s="8">
        <v>2055264</v>
      </c>
      <c r="B12245" s="11">
        <v>44708</v>
      </c>
      <c r="C12245" s="13" t="s">
        <v>15301</v>
      </c>
      <c r="D12245" s="13" t="s">
        <v>15302</v>
      </c>
      <c r="E12245" s="8">
        <v>14000</v>
      </c>
      <c r="F12245" s="13" t="s">
        <v>70</v>
      </c>
      <c r="G12245" s="14">
        <v>44714</v>
      </c>
      <c r="H12245" s="13" t="s">
        <v>163</v>
      </c>
    </row>
    <row r="12246" spans="1:8" ht="14.4" x14ac:dyDescent="0.3">
      <c r="A12246" s="8">
        <v>2055265</v>
      </c>
      <c r="B12246" s="11">
        <v>44708</v>
      </c>
      <c r="C12246" s="13" t="s">
        <v>15303</v>
      </c>
      <c r="D12246" s="13" t="s">
        <v>15304</v>
      </c>
      <c r="E12246" s="8">
        <v>50000</v>
      </c>
      <c r="F12246" s="13" t="s">
        <v>70</v>
      </c>
      <c r="G12246" s="14">
        <v>44714</v>
      </c>
      <c r="H12246" s="13" t="s">
        <v>163</v>
      </c>
    </row>
    <row r="12247" spans="1:8" ht="14.4" x14ac:dyDescent="0.3">
      <c r="A12247" s="8">
        <v>2055266</v>
      </c>
      <c r="B12247" s="11">
        <v>44708</v>
      </c>
      <c r="C12247" s="13" t="s">
        <v>15305</v>
      </c>
      <c r="D12247" s="13" t="s">
        <v>15306</v>
      </c>
      <c r="E12247" s="8">
        <v>10000</v>
      </c>
      <c r="F12247" s="13" t="s">
        <v>70</v>
      </c>
      <c r="G12247" s="14">
        <v>44714</v>
      </c>
      <c r="H12247" s="13" t="s">
        <v>163</v>
      </c>
    </row>
    <row r="12248" spans="1:8" ht="14.4" x14ac:dyDescent="0.3">
      <c r="A12248" s="8">
        <v>2055267</v>
      </c>
      <c r="B12248" s="11">
        <v>44708</v>
      </c>
      <c r="C12248" s="13" t="s">
        <v>3313</v>
      </c>
      <c r="D12248" s="13" t="s">
        <v>15307</v>
      </c>
      <c r="E12248" s="8">
        <v>25000</v>
      </c>
      <c r="F12248" s="13" t="s">
        <v>70</v>
      </c>
      <c r="G12248" s="14">
        <v>44712</v>
      </c>
      <c r="H12248" s="13" t="s">
        <v>163</v>
      </c>
    </row>
    <row r="12249" spans="1:8" ht="14.4" x14ac:dyDescent="0.3">
      <c r="A12249" s="8">
        <v>2055268</v>
      </c>
      <c r="B12249" s="11">
        <v>44708</v>
      </c>
      <c r="C12249" s="13" t="s">
        <v>11462</v>
      </c>
      <c r="D12249" s="13" t="s">
        <v>15308</v>
      </c>
      <c r="E12249" s="8">
        <v>11500</v>
      </c>
      <c r="F12249" s="13" t="s">
        <v>70</v>
      </c>
      <c r="G12249" s="14">
        <v>44712</v>
      </c>
      <c r="H12249" s="13" t="s">
        <v>163</v>
      </c>
    </row>
    <row r="12250" spans="1:8" ht="14.4" x14ac:dyDescent="0.3">
      <c r="A12250" s="8">
        <v>2055269</v>
      </c>
      <c r="B12250" s="11">
        <v>44708</v>
      </c>
      <c r="C12250" s="13" t="s">
        <v>15309</v>
      </c>
      <c r="D12250" s="13" t="s">
        <v>15310</v>
      </c>
      <c r="E12250" s="8">
        <v>10800</v>
      </c>
      <c r="F12250" s="13" t="s">
        <v>70</v>
      </c>
      <c r="G12250" s="14">
        <v>44714</v>
      </c>
      <c r="H12250" s="13" t="s">
        <v>163</v>
      </c>
    </row>
    <row r="12251" spans="1:8" ht="14.4" x14ac:dyDescent="0.3">
      <c r="A12251" s="8">
        <v>2055270</v>
      </c>
      <c r="B12251" s="11">
        <v>44708</v>
      </c>
      <c r="C12251" s="13" t="s">
        <v>11464</v>
      </c>
      <c r="D12251" s="13" t="s">
        <v>15311</v>
      </c>
      <c r="E12251" s="8">
        <v>10800</v>
      </c>
      <c r="F12251" s="13" t="s">
        <v>70</v>
      </c>
      <c r="G12251" s="14">
        <v>44714</v>
      </c>
      <c r="H12251" s="13" t="s">
        <v>163</v>
      </c>
    </row>
    <row r="12252" spans="1:8" ht="14.4" x14ac:dyDescent="0.3">
      <c r="A12252" s="8">
        <v>2055271</v>
      </c>
      <c r="B12252" s="11">
        <v>44708</v>
      </c>
      <c r="C12252" s="13" t="s">
        <v>2922</v>
      </c>
      <c r="D12252" s="13" t="s">
        <v>15312</v>
      </c>
      <c r="E12252" s="8">
        <v>6000</v>
      </c>
      <c r="F12252" s="13" t="s">
        <v>70</v>
      </c>
      <c r="G12252" s="14">
        <v>44714</v>
      </c>
      <c r="H12252" s="13" t="s">
        <v>163</v>
      </c>
    </row>
    <row r="12253" spans="1:8" ht="14.4" x14ac:dyDescent="0.3">
      <c r="A12253" s="8">
        <v>2055272</v>
      </c>
      <c r="B12253" s="11">
        <v>44708</v>
      </c>
      <c r="C12253" s="13" t="s">
        <v>15313</v>
      </c>
      <c r="D12253" s="13" t="s">
        <v>15314</v>
      </c>
      <c r="E12253" s="8">
        <v>9300</v>
      </c>
      <c r="F12253" s="13" t="s">
        <v>70</v>
      </c>
      <c r="G12253" s="14">
        <v>44715</v>
      </c>
      <c r="H12253" s="13" t="s">
        <v>163</v>
      </c>
    </row>
    <row r="12254" spans="1:8" ht="14.4" x14ac:dyDescent="0.3">
      <c r="A12254" s="8">
        <v>2055273</v>
      </c>
      <c r="B12254" s="11">
        <v>44708</v>
      </c>
      <c r="C12254" s="13" t="s">
        <v>15315</v>
      </c>
      <c r="D12254" s="13" t="s">
        <v>15316</v>
      </c>
      <c r="E12254" s="8">
        <v>7000</v>
      </c>
      <c r="F12254" s="13" t="s">
        <v>70</v>
      </c>
      <c r="G12254" s="14">
        <v>44714</v>
      </c>
      <c r="H12254" s="13" t="s">
        <v>163</v>
      </c>
    </row>
    <row r="12255" spans="1:8" ht="14.4" x14ac:dyDescent="0.3">
      <c r="A12255" s="8">
        <v>2055274</v>
      </c>
      <c r="B12255" s="11">
        <v>44708</v>
      </c>
      <c r="C12255" s="13" t="s">
        <v>15317</v>
      </c>
      <c r="D12255" s="13" t="s">
        <v>15318</v>
      </c>
      <c r="E12255" s="8">
        <v>15000</v>
      </c>
      <c r="F12255" s="13" t="s">
        <v>70</v>
      </c>
      <c r="G12255" s="14">
        <v>44714</v>
      </c>
      <c r="H12255" s="13" t="s">
        <v>163</v>
      </c>
    </row>
    <row r="12256" spans="1:8" ht="14.4" x14ac:dyDescent="0.3">
      <c r="A12256" s="8">
        <v>2055275</v>
      </c>
      <c r="B12256" s="11">
        <v>44708</v>
      </c>
      <c r="C12256" s="13" t="s">
        <v>15319</v>
      </c>
      <c r="D12256" s="13" t="s">
        <v>15320</v>
      </c>
      <c r="E12256" s="8">
        <v>7000</v>
      </c>
      <c r="F12256" s="13" t="s">
        <v>70</v>
      </c>
      <c r="G12256" s="14">
        <v>44714</v>
      </c>
      <c r="H12256" s="13" t="s">
        <v>163</v>
      </c>
    </row>
    <row r="12257" spans="1:8" ht="14.4" x14ac:dyDescent="0.3">
      <c r="A12257" s="8">
        <v>2055276</v>
      </c>
      <c r="B12257" s="11">
        <v>44711</v>
      </c>
      <c r="C12257" s="13" t="s">
        <v>15321</v>
      </c>
      <c r="D12257" s="13" t="s">
        <v>15322</v>
      </c>
      <c r="E12257" s="8">
        <v>30104.47</v>
      </c>
      <c r="F12257" s="13" t="s">
        <v>70</v>
      </c>
      <c r="G12257" s="14">
        <v>44721</v>
      </c>
      <c r="H12257" s="13" t="s">
        <v>163</v>
      </c>
    </row>
    <row r="12258" spans="1:8" ht="14.4" x14ac:dyDescent="0.3">
      <c r="A12258" s="8">
        <v>2055277</v>
      </c>
      <c r="B12258" s="11">
        <v>44711</v>
      </c>
      <c r="C12258" s="13" t="s">
        <v>3001</v>
      </c>
      <c r="D12258" s="13" t="s">
        <v>15323</v>
      </c>
      <c r="E12258" s="8">
        <v>8000</v>
      </c>
      <c r="F12258" s="13" t="s">
        <v>70</v>
      </c>
      <c r="G12258" s="14">
        <v>44714</v>
      </c>
      <c r="H12258" s="13" t="s">
        <v>163</v>
      </c>
    </row>
    <row r="12259" spans="1:8" ht="14.4" x14ac:dyDescent="0.3">
      <c r="A12259" s="8">
        <v>2055278</v>
      </c>
      <c r="B12259" s="11">
        <v>44711</v>
      </c>
      <c r="C12259" s="13" t="s">
        <v>15324</v>
      </c>
      <c r="D12259" s="13" t="s">
        <v>15325</v>
      </c>
      <c r="E12259" s="8">
        <v>10000</v>
      </c>
      <c r="F12259" s="13" t="s">
        <v>70</v>
      </c>
      <c r="G12259" s="14">
        <v>44750</v>
      </c>
      <c r="H12259" s="13" t="s">
        <v>163</v>
      </c>
    </row>
    <row r="12260" spans="1:8" ht="14.4" x14ac:dyDescent="0.3">
      <c r="A12260" s="8">
        <v>2055279</v>
      </c>
      <c r="B12260" s="11">
        <v>44711</v>
      </c>
      <c r="C12260" s="13" t="s">
        <v>1276</v>
      </c>
      <c r="D12260" s="13" t="s">
        <v>15326</v>
      </c>
      <c r="E12260" s="8">
        <v>15000</v>
      </c>
      <c r="F12260" s="13" t="s">
        <v>70</v>
      </c>
      <c r="G12260" s="14">
        <v>44714</v>
      </c>
      <c r="H12260" s="13" t="s">
        <v>163</v>
      </c>
    </row>
    <row r="12261" spans="1:8" ht="14.4" x14ac:dyDescent="0.3">
      <c r="A12261" s="8">
        <v>2055280</v>
      </c>
      <c r="B12261" s="11">
        <v>44711</v>
      </c>
      <c r="C12261" s="13" t="s">
        <v>15327</v>
      </c>
      <c r="D12261" s="13" t="s">
        <v>15328</v>
      </c>
      <c r="E12261" s="8">
        <v>12000</v>
      </c>
      <c r="F12261" s="13" t="s">
        <v>70</v>
      </c>
      <c r="G12261" s="14">
        <v>44715</v>
      </c>
      <c r="H12261" s="13" t="s">
        <v>163</v>
      </c>
    </row>
    <row r="12262" spans="1:8" ht="14.4" x14ac:dyDescent="0.3">
      <c r="A12262" s="8">
        <v>2055281</v>
      </c>
      <c r="B12262" s="11">
        <v>44711</v>
      </c>
      <c r="C12262" s="13" t="s">
        <v>15329</v>
      </c>
      <c r="D12262" s="13" t="s">
        <v>15330</v>
      </c>
      <c r="E12262" s="8">
        <v>12000</v>
      </c>
      <c r="F12262" s="13" t="s">
        <v>70</v>
      </c>
      <c r="G12262" s="14">
        <v>44718</v>
      </c>
      <c r="H12262" s="13" t="s">
        <v>163</v>
      </c>
    </row>
    <row r="12263" spans="1:8" ht="14.4" x14ac:dyDescent="0.3">
      <c r="A12263" s="8">
        <v>2055282</v>
      </c>
      <c r="B12263" s="11">
        <v>44711</v>
      </c>
      <c r="C12263" s="13" t="s">
        <v>12674</v>
      </c>
      <c r="D12263" s="13" t="s">
        <v>15331</v>
      </c>
      <c r="E12263" s="8">
        <v>12500</v>
      </c>
      <c r="F12263" s="13" t="s">
        <v>70</v>
      </c>
      <c r="G12263" s="14">
        <v>44714</v>
      </c>
      <c r="H12263" s="13" t="s">
        <v>163</v>
      </c>
    </row>
    <row r="12264" spans="1:8" ht="14.4" x14ac:dyDescent="0.3">
      <c r="A12264" s="8">
        <v>2055283</v>
      </c>
      <c r="B12264" s="11">
        <v>44711</v>
      </c>
      <c r="C12264" s="13" t="s">
        <v>15332</v>
      </c>
      <c r="D12264" s="13" t="s">
        <v>15333</v>
      </c>
      <c r="E12264" s="8">
        <v>50000</v>
      </c>
      <c r="F12264" s="13" t="s">
        <v>70</v>
      </c>
      <c r="G12264" s="14">
        <v>44712</v>
      </c>
      <c r="H12264" s="13" t="s">
        <v>163</v>
      </c>
    </row>
    <row r="12265" spans="1:8" ht="14.4" x14ac:dyDescent="0.3">
      <c r="A12265" s="8">
        <v>2055284</v>
      </c>
      <c r="B12265" s="11">
        <v>44711</v>
      </c>
      <c r="C12265" s="13" t="s">
        <v>15334</v>
      </c>
      <c r="D12265" s="13" t="s">
        <v>15335</v>
      </c>
      <c r="E12265" s="8">
        <v>15000</v>
      </c>
      <c r="F12265" s="13" t="s">
        <v>70</v>
      </c>
      <c r="G12265" s="14">
        <v>44713</v>
      </c>
      <c r="H12265" s="13" t="s">
        <v>163</v>
      </c>
    </row>
    <row r="12266" spans="1:8" ht="14.4" x14ac:dyDescent="0.3">
      <c r="A12266" s="8">
        <v>2055285</v>
      </c>
      <c r="B12266" s="11">
        <v>44711</v>
      </c>
      <c r="C12266" s="13" t="s">
        <v>15336</v>
      </c>
      <c r="D12266" s="13" t="s">
        <v>15337</v>
      </c>
      <c r="E12266" s="8">
        <v>25000</v>
      </c>
      <c r="F12266" s="13" t="s">
        <v>70</v>
      </c>
      <c r="G12266" s="14">
        <v>44715</v>
      </c>
      <c r="H12266" s="13" t="s">
        <v>163</v>
      </c>
    </row>
    <row r="12267" spans="1:8" ht="14.4" x14ac:dyDescent="0.3">
      <c r="A12267" s="8">
        <v>2055286</v>
      </c>
      <c r="B12267" s="11">
        <v>44711</v>
      </c>
      <c r="C12267" s="13" t="s">
        <v>15338</v>
      </c>
      <c r="D12267" s="13" t="s">
        <v>15339</v>
      </c>
      <c r="E12267" s="8">
        <v>10000</v>
      </c>
      <c r="F12267" s="13" t="s">
        <v>70</v>
      </c>
      <c r="G12267" s="14">
        <v>44715</v>
      </c>
      <c r="H12267" s="13" t="s">
        <v>163</v>
      </c>
    </row>
    <row r="12268" spans="1:8" ht="14.4" x14ac:dyDescent="0.3">
      <c r="A12268" s="8">
        <v>2055287</v>
      </c>
      <c r="B12268" s="11">
        <v>44711</v>
      </c>
      <c r="C12268" s="13" t="s">
        <v>15340</v>
      </c>
      <c r="D12268" s="13" t="s">
        <v>15341</v>
      </c>
      <c r="E12268" s="8">
        <v>10000</v>
      </c>
      <c r="F12268" s="13" t="s">
        <v>70</v>
      </c>
      <c r="G12268" s="14">
        <v>44750</v>
      </c>
      <c r="H12268" s="13" t="s">
        <v>163</v>
      </c>
    </row>
    <row r="12269" spans="1:8" ht="14.4" x14ac:dyDescent="0.3">
      <c r="A12269" s="8">
        <v>2055288</v>
      </c>
      <c r="B12269" s="11">
        <v>44711</v>
      </c>
      <c r="C12269" s="13" t="s">
        <v>15342</v>
      </c>
      <c r="D12269" s="13" t="s">
        <v>15343</v>
      </c>
      <c r="E12269" s="8">
        <v>15000</v>
      </c>
      <c r="F12269" s="13" t="s">
        <v>70</v>
      </c>
      <c r="G12269" s="14">
        <v>44714</v>
      </c>
      <c r="H12269" s="13" t="s">
        <v>163</v>
      </c>
    </row>
    <row r="12270" spans="1:8" ht="14.4" x14ac:dyDescent="0.3">
      <c r="A12270" s="8">
        <v>2055289</v>
      </c>
      <c r="B12270" s="11">
        <v>44711</v>
      </c>
      <c r="C12270" s="13" t="s">
        <v>15344</v>
      </c>
      <c r="D12270" s="13" t="s">
        <v>15345</v>
      </c>
      <c r="E12270" s="8">
        <v>10000</v>
      </c>
      <c r="F12270" s="13" t="s">
        <v>70</v>
      </c>
      <c r="G12270" s="14">
        <v>44714</v>
      </c>
      <c r="H12270" s="13" t="s">
        <v>163</v>
      </c>
    </row>
    <row r="12271" spans="1:8" ht="14.4" x14ac:dyDescent="0.3">
      <c r="A12271" s="8">
        <v>2055290</v>
      </c>
      <c r="B12271" s="11">
        <v>44711</v>
      </c>
      <c r="C12271" s="13" t="s">
        <v>15346</v>
      </c>
      <c r="D12271" s="13" t="s">
        <v>15347</v>
      </c>
      <c r="E12271" s="8">
        <v>10000</v>
      </c>
      <c r="F12271" s="13" t="s">
        <v>70</v>
      </c>
      <c r="G12271" s="14">
        <v>44754</v>
      </c>
      <c r="H12271" s="13" t="s">
        <v>163</v>
      </c>
    </row>
    <row r="12272" spans="1:8" ht="14.4" x14ac:dyDescent="0.3">
      <c r="A12272" s="8">
        <v>2055291</v>
      </c>
      <c r="B12272" s="11">
        <v>44711</v>
      </c>
      <c r="C12272" s="13" t="s">
        <v>7198</v>
      </c>
      <c r="D12272" s="13" t="s">
        <v>15348</v>
      </c>
      <c r="E12272" s="8">
        <v>8500</v>
      </c>
      <c r="F12272" s="13" t="s">
        <v>70</v>
      </c>
      <c r="G12272" s="14">
        <v>44714</v>
      </c>
      <c r="H12272" s="13" t="s">
        <v>163</v>
      </c>
    </row>
    <row r="12273" spans="1:8" ht="14.4" x14ac:dyDescent="0.3">
      <c r="A12273" s="8">
        <v>2055292</v>
      </c>
      <c r="B12273" s="11">
        <v>44711</v>
      </c>
      <c r="C12273" s="13" t="s">
        <v>15349</v>
      </c>
      <c r="D12273" s="13" t="s">
        <v>15350</v>
      </c>
      <c r="E12273" s="8">
        <v>15000</v>
      </c>
      <c r="F12273" s="13" t="s">
        <v>70</v>
      </c>
      <c r="G12273" s="14">
        <v>44715</v>
      </c>
      <c r="H12273" s="13" t="s">
        <v>163</v>
      </c>
    </row>
    <row r="12274" spans="1:8" ht="14.4" x14ac:dyDescent="0.3">
      <c r="A12274" s="8">
        <v>2055293</v>
      </c>
      <c r="B12274" s="11">
        <v>44711</v>
      </c>
      <c r="C12274" s="13" t="s">
        <v>15351</v>
      </c>
      <c r="D12274" s="13" t="s">
        <v>15352</v>
      </c>
      <c r="E12274" s="8">
        <v>20000</v>
      </c>
      <c r="F12274" s="13" t="s">
        <v>70</v>
      </c>
      <c r="G12274" s="14">
        <v>44715</v>
      </c>
      <c r="H12274" s="13" t="s">
        <v>163</v>
      </c>
    </row>
    <row r="12275" spans="1:8" ht="14.4" x14ac:dyDescent="0.3">
      <c r="A12275" s="8">
        <v>2055294</v>
      </c>
      <c r="B12275" s="11">
        <v>44711</v>
      </c>
      <c r="C12275" s="13" t="s">
        <v>48</v>
      </c>
      <c r="D12275" s="13" t="s">
        <v>15353</v>
      </c>
      <c r="E12275" s="8">
        <v>20000</v>
      </c>
      <c r="F12275" s="13" t="s">
        <v>70</v>
      </c>
      <c r="G12275" s="14">
        <v>44727</v>
      </c>
      <c r="H12275" s="13" t="s">
        <v>163</v>
      </c>
    </row>
    <row r="12276" spans="1:8" ht="14.4" x14ac:dyDescent="0.3">
      <c r="A12276" s="8">
        <v>2055295</v>
      </c>
      <c r="B12276" s="11">
        <v>44711</v>
      </c>
      <c r="C12276" s="13" t="s">
        <v>15354</v>
      </c>
      <c r="D12276" s="13" t="s">
        <v>15355</v>
      </c>
      <c r="E12276" s="8">
        <v>40000</v>
      </c>
      <c r="F12276" s="13" t="s">
        <v>70</v>
      </c>
      <c r="G12276" s="14">
        <v>44715</v>
      </c>
      <c r="H12276" s="13" t="s">
        <v>163</v>
      </c>
    </row>
    <row r="12277" spans="1:8" ht="14.4" x14ac:dyDescent="0.3">
      <c r="A12277" s="8">
        <v>2055296</v>
      </c>
      <c r="B12277" s="11">
        <v>44711</v>
      </c>
      <c r="C12277" s="13" t="s">
        <v>2816</v>
      </c>
      <c r="D12277" s="13" t="s">
        <v>15356</v>
      </c>
      <c r="E12277" s="8">
        <v>11000</v>
      </c>
      <c r="F12277" s="13" t="s">
        <v>70</v>
      </c>
      <c r="G12277" s="14">
        <v>44715</v>
      </c>
      <c r="H12277" s="13" t="s">
        <v>163</v>
      </c>
    </row>
    <row r="12278" spans="1:8" ht="14.4" x14ac:dyDescent="0.3">
      <c r="A12278" s="8">
        <v>2055297</v>
      </c>
      <c r="B12278" s="11">
        <v>44711</v>
      </c>
      <c r="C12278" s="13" t="s">
        <v>15357</v>
      </c>
      <c r="D12278" s="13" t="s">
        <v>15358</v>
      </c>
      <c r="E12278" s="8">
        <v>13000</v>
      </c>
      <c r="F12278" s="13" t="s">
        <v>70</v>
      </c>
      <c r="G12278" s="14">
        <v>44715</v>
      </c>
      <c r="H12278" s="13" t="s">
        <v>163</v>
      </c>
    </row>
    <row r="12279" spans="1:8" ht="14.4" x14ac:dyDescent="0.3">
      <c r="A12279" s="8">
        <v>2055298</v>
      </c>
      <c r="B12279" s="11">
        <v>44711</v>
      </c>
      <c r="C12279" s="13" t="s">
        <v>15359</v>
      </c>
      <c r="D12279" s="13" t="s">
        <v>15360</v>
      </c>
      <c r="E12279" s="8">
        <v>30000</v>
      </c>
      <c r="F12279" s="13" t="s">
        <v>70</v>
      </c>
      <c r="G12279" s="14">
        <v>44714</v>
      </c>
      <c r="H12279" s="13" t="s">
        <v>163</v>
      </c>
    </row>
    <row r="12280" spans="1:8" ht="14.4" x14ac:dyDescent="0.3">
      <c r="A12280" s="8">
        <v>2055299</v>
      </c>
      <c r="B12280" s="11">
        <v>44711</v>
      </c>
      <c r="C12280" s="13" t="s">
        <v>15361</v>
      </c>
      <c r="D12280" s="13" t="s">
        <v>15362</v>
      </c>
      <c r="E12280" s="8">
        <v>40000</v>
      </c>
      <c r="F12280" s="13" t="s">
        <v>70</v>
      </c>
      <c r="G12280" s="14">
        <v>44715</v>
      </c>
      <c r="H12280" s="13" t="s">
        <v>163</v>
      </c>
    </row>
    <row r="12281" spans="1:8" ht="14.4" x14ac:dyDescent="0.3">
      <c r="A12281" s="8">
        <v>2055301</v>
      </c>
      <c r="B12281" s="11">
        <v>44711</v>
      </c>
      <c r="C12281" s="13" t="s">
        <v>12457</v>
      </c>
      <c r="D12281" s="13" t="s">
        <v>15363</v>
      </c>
      <c r="E12281" s="8">
        <v>8000</v>
      </c>
      <c r="F12281" s="13" t="s">
        <v>70</v>
      </c>
      <c r="G12281" s="14">
        <v>44715</v>
      </c>
      <c r="H12281" s="13" t="s">
        <v>163</v>
      </c>
    </row>
    <row r="12282" spans="1:8" ht="14.4" x14ac:dyDescent="0.3">
      <c r="A12282" s="8">
        <v>2055302</v>
      </c>
      <c r="B12282" s="11">
        <v>44711</v>
      </c>
      <c r="C12282" s="13" t="s">
        <v>15364</v>
      </c>
      <c r="D12282" s="13" t="s">
        <v>15365</v>
      </c>
      <c r="E12282" s="8">
        <v>10800</v>
      </c>
      <c r="F12282" s="13" t="s">
        <v>70</v>
      </c>
      <c r="G12282" s="14">
        <v>44714</v>
      </c>
      <c r="H12282" s="13" t="s">
        <v>163</v>
      </c>
    </row>
    <row r="12283" spans="1:8" ht="14.4" x14ac:dyDescent="0.3">
      <c r="A12283" s="8">
        <v>2055303</v>
      </c>
      <c r="B12283" s="11">
        <v>44711</v>
      </c>
      <c r="C12283" s="13" t="s">
        <v>15366</v>
      </c>
      <c r="D12283" s="13" t="s">
        <v>15367</v>
      </c>
      <c r="E12283" s="8">
        <v>8800</v>
      </c>
      <c r="F12283" s="13" t="s">
        <v>70</v>
      </c>
      <c r="G12283" s="14">
        <v>44715</v>
      </c>
      <c r="H12283" s="13" t="s">
        <v>163</v>
      </c>
    </row>
    <row r="12284" spans="1:8" ht="14.4" x14ac:dyDescent="0.3">
      <c r="A12284" s="8">
        <v>2055304</v>
      </c>
      <c r="B12284" s="11">
        <v>44711</v>
      </c>
      <c r="C12284" s="13" t="s">
        <v>1268</v>
      </c>
      <c r="D12284" s="13" t="s">
        <v>15368</v>
      </c>
      <c r="E12284" s="8">
        <v>11500</v>
      </c>
      <c r="F12284" s="13" t="s">
        <v>70</v>
      </c>
      <c r="G12284" s="14">
        <v>44714</v>
      </c>
      <c r="H12284" s="13" t="s">
        <v>163</v>
      </c>
    </row>
    <row r="12285" spans="1:8" ht="14.4" x14ac:dyDescent="0.3">
      <c r="A12285" s="8">
        <v>2055305</v>
      </c>
      <c r="B12285" s="11">
        <v>44711</v>
      </c>
      <c r="C12285" s="13" t="s">
        <v>15369</v>
      </c>
      <c r="D12285" s="13" t="s">
        <v>15370</v>
      </c>
      <c r="E12285" s="8">
        <v>36000</v>
      </c>
      <c r="F12285" s="13" t="s">
        <v>70</v>
      </c>
      <c r="G12285" s="14">
        <v>44715</v>
      </c>
      <c r="H12285" s="13" t="s">
        <v>163</v>
      </c>
    </row>
    <row r="12286" spans="1:8" ht="14.4" x14ac:dyDescent="0.3">
      <c r="A12286" s="8">
        <v>2055306</v>
      </c>
      <c r="B12286" s="11">
        <v>44711</v>
      </c>
      <c r="C12286" s="13" t="s">
        <v>74</v>
      </c>
      <c r="D12286" s="13" t="s">
        <v>15371</v>
      </c>
      <c r="E12286" s="8">
        <v>15000</v>
      </c>
      <c r="F12286" s="13" t="s">
        <v>70</v>
      </c>
      <c r="G12286" s="14">
        <v>44718</v>
      </c>
      <c r="H12286" s="13" t="s">
        <v>163</v>
      </c>
    </row>
    <row r="12287" spans="1:8" ht="14.4" x14ac:dyDescent="0.3">
      <c r="A12287" s="8">
        <v>2055307</v>
      </c>
      <c r="B12287" s="11">
        <v>44712</v>
      </c>
      <c r="C12287" s="13" t="s">
        <v>1193</v>
      </c>
      <c r="D12287" s="13" t="s">
        <v>15372</v>
      </c>
      <c r="E12287" s="8">
        <v>62000</v>
      </c>
      <c r="F12287" s="13" t="s">
        <v>70</v>
      </c>
      <c r="G12287" s="14">
        <v>44718</v>
      </c>
      <c r="H12287" s="13" t="s">
        <v>163</v>
      </c>
    </row>
    <row r="12288" spans="1:8" ht="14.4" x14ac:dyDescent="0.3">
      <c r="A12288" s="8">
        <v>2055308</v>
      </c>
      <c r="B12288" s="11">
        <v>44712</v>
      </c>
      <c r="C12288" s="13" t="s">
        <v>15373</v>
      </c>
      <c r="D12288" s="13" t="s">
        <v>15374</v>
      </c>
      <c r="E12288" s="8">
        <v>40000</v>
      </c>
      <c r="F12288" s="13" t="s">
        <v>70</v>
      </c>
      <c r="G12288" s="14">
        <v>44714</v>
      </c>
      <c r="H12288" s="13" t="s">
        <v>163</v>
      </c>
    </row>
    <row r="12289" spans="1:8" ht="14.4" x14ac:dyDescent="0.3">
      <c r="A12289" s="8">
        <v>2055309</v>
      </c>
      <c r="B12289" s="11">
        <v>44712</v>
      </c>
      <c r="C12289" s="13" t="s">
        <v>15375</v>
      </c>
      <c r="D12289" s="13" t="s">
        <v>15376</v>
      </c>
      <c r="E12289" s="8">
        <v>8000</v>
      </c>
      <c r="F12289" s="13" t="s">
        <v>70</v>
      </c>
      <c r="G12289" s="14">
        <v>44714</v>
      </c>
      <c r="H12289" s="13" t="s">
        <v>163</v>
      </c>
    </row>
    <row r="12290" spans="1:8" ht="14.4" x14ac:dyDescent="0.3">
      <c r="A12290" s="8">
        <v>2055310</v>
      </c>
      <c r="B12290" s="11">
        <v>44712</v>
      </c>
      <c r="C12290" s="13" t="s">
        <v>15377</v>
      </c>
      <c r="D12290" s="13" t="s">
        <v>15378</v>
      </c>
      <c r="E12290" s="8">
        <v>25000</v>
      </c>
      <c r="F12290" s="13" t="s">
        <v>70</v>
      </c>
      <c r="G12290" s="14">
        <v>44714</v>
      </c>
      <c r="H12290" s="13" t="s">
        <v>163</v>
      </c>
    </row>
    <row r="12291" spans="1:8" ht="14.4" x14ac:dyDescent="0.3">
      <c r="A12291" s="8">
        <v>2055311</v>
      </c>
      <c r="B12291" s="11">
        <v>44712</v>
      </c>
      <c r="C12291" s="13" t="s">
        <v>15379</v>
      </c>
      <c r="D12291" s="13" t="s">
        <v>15380</v>
      </c>
      <c r="E12291" s="8">
        <v>10000</v>
      </c>
      <c r="F12291" s="13" t="s">
        <v>70</v>
      </c>
      <c r="G12291" s="14">
        <v>44714</v>
      </c>
      <c r="H12291" s="13" t="s">
        <v>163</v>
      </c>
    </row>
    <row r="12292" spans="1:8" ht="14.4" x14ac:dyDescent="0.3">
      <c r="A12292" s="8">
        <v>2055312</v>
      </c>
      <c r="B12292" s="11">
        <v>44712</v>
      </c>
      <c r="C12292" s="13" t="s">
        <v>15381</v>
      </c>
      <c r="D12292" s="13" t="s">
        <v>15382</v>
      </c>
      <c r="E12292" s="8">
        <v>20000</v>
      </c>
      <c r="F12292" s="13" t="s">
        <v>70</v>
      </c>
      <c r="G12292" s="14">
        <v>44715</v>
      </c>
      <c r="H12292" s="13" t="s">
        <v>163</v>
      </c>
    </row>
    <row r="12293" spans="1:8" ht="14.4" x14ac:dyDescent="0.3">
      <c r="A12293" s="8">
        <v>2055313</v>
      </c>
      <c r="B12293" s="11">
        <v>44712</v>
      </c>
      <c r="C12293" s="13" t="s">
        <v>15383</v>
      </c>
      <c r="D12293" s="13" t="s">
        <v>15384</v>
      </c>
      <c r="E12293" s="8">
        <v>30000</v>
      </c>
      <c r="F12293" s="13" t="s">
        <v>70</v>
      </c>
      <c r="G12293" s="14">
        <v>44715</v>
      </c>
      <c r="H12293" s="13" t="s">
        <v>163</v>
      </c>
    </row>
    <row r="12294" spans="1:8" ht="14.4" x14ac:dyDescent="0.3">
      <c r="A12294" s="8">
        <v>2055314</v>
      </c>
      <c r="B12294" s="11">
        <v>44712</v>
      </c>
      <c r="C12294" s="13" t="s">
        <v>2987</v>
      </c>
      <c r="D12294" s="13" t="s">
        <v>15385</v>
      </c>
      <c r="E12294" s="8">
        <v>10000</v>
      </c>
      <c r="F12294" s="13" t="s">
        <v>70</v>
      </c>
      <c r="G12294" s="14">
        <v>44715</v>
      </c>
      <c r="H12294" s="13" t="s">
        <v>163</v>
      </c>
    </row>
    <row r="12295" spans="1:8" ht="14.4" x14ac:dyDescent="0.3">
      <c r="A12295" s="8">
        <v>2055315</v>
      </c>
      <c r="B12295" s="11">
        <v>44712</v>
      </c>
      <c r="C12295" s="13" t="s">
        <v>15386</v>
      </c>
      <c r="D12295" s="13" t="s">
        <v>15387</v>
      </c>
      <c r="E12295" s="8">
        <v>15000</v>
      </c>
      <c r="F12295" s="13" t="s">
        <v>70</v>
      </c>
      <c r="G12295" s="14">
        <v>44718</v>
      </c>
      <c r="H12295" s="13" t="s">
        <v>163</v>
      </c>
    </row>
    <row r="12296" spans="1:8" ht="14.4" x14ac:dyDescent="0.3">
      <c r="A12296" s="8">
        <v>2055316</v>
      </c>
      <c r="B12296" s="11">
        <v>44712</v>
      </c>
      <c r="C12296" s="13" t="s">
        <v>15388</v>
      </c>
      <c r="D12296" s="13" t="s">
        <v>15389</v>
      </c>
      <c r="E12296" s="8">
        <v>10000</v>
      </c>
      <c r="F12296" s="13" t="s">
        <v>70</v>
      </c>
      <c r="G12296" s="14">
        <v>44715</v>
      </c>
      <c r="H12296" s="13" t="s">
        <v>163</v>
      </c>
    </row>
    <row r="12297" spans="1:8" ht="14.4" x14ac:dyDescent="0.3">
      <c r="A12297" s="8">
        <v>2055317</v>
      </c>
      <c r="B12297" s="11">
        <v>44712</v>
      </c>
      <c r="C12297" s="13" t="s">
        <v>15390</v>
      </c>
      <c r="D12297" s="13" t="s">
        <v>15391</v>
      </c>
      <c r="E12297" s="8">
        <v>50000</v>
      </c>
      <c r="F12297" s="13" t="s">
        <v>70</v>
      </c>
      <c r="G12297" s="14">
        <v>44718</v>
      </c>
      <c r="H12297" s="13" t="s">
        <v>163</v>
      </c>
    </row>
    <row r="12298" spans="1:8" ht="14.4" x14ac:dyDescent="0.3">
      <c r="A12298" s="8">
        <v>2055318</v>
      </c>
      <c r="B12298" s="11">
        <v>44712</v>
      </c>
      <c r="C12298" s="13" t="s">
        <v>15392</v>
      </c>
      <c r="D12298" s="13" t="s">
        <v>15393</v>
      </c>
      <c r="E12298" s="8">
        <v>20000</v>
      </c>
      <c r="F12298" s="13" t="s">
        <v>70</v>
      </c>
      <c r="G12298" s="14">
        <v>44715</v>
      </c>
      <c r="H12298" s="13" t="s">
        <v>163</v>
      </c>
    </row>
    <row r="12299" spans="1:8" ht="14.4" x14ac:dyDescent="0.3">
      <c r="A12299" s="8">
        <v>2055319</v>
      </c>
      <c r="B12299" s="11">
        <v>44712</v>
      </c>
      <c r="C12299" s="13" t="s">
        <v>15394</v>
      </c>
      <c r="D12299" s="13" t="s">
        <v>15395</v>
      </c>
      <c r="E12299" s="8">
        <v>30000</v>
      </c>
      <c r="F12299" s="13" t="s">
        <v>70</v>
      </c>
      <c r="G12299" s="14">
        <v>44715</v>
      </c>
      <c r="H12299" s="13" t="s">
        <v>163</v>
      </c>
    </row>
    <row r="12300" spans="1:8" ht="14.4" x14ac:dyDescent="0.3">
      <c r="A12300" s="8">
        <v>2055320</v>
      </c>
      <c r="B12300" s="11">
        <v>44712</v>
      </c>
      <c r="C12300" s="13" t="s">
        <v>3362</v>
      </c>
      <c r="D12300" s="13" t="s">
        <v>15396</v>
      </c>
      <c r="E12300" s="8">
        <v>17000</v>
      </c>
      <c r="F12300" s="13" t="s">
        <v>70</v>
      </c>
      <c r="G12300" s="14">
        <v>44718</v>
      </c>
      <c r="H12300" s="13" t="s">
        <v>163</v>
      </c>
    </row>
    <row r="12301" spans="1:8" ht="14.4" x14ac:dyDescent="0.3">
      <c r="A12301" s="8">
        <v>2055321</v>
      </c>
      <c r="B12301" s="11">
        <v>44712</v>
      </c>
      <c r="C12301" s="13" t="s">
        <v>15397</v>
      </c>
      <c r="D12301" s="13" t="s">
        <v>15398</v>
      </c>
      <c r="E12301" s="8">
        <v>5000</v>
      </c>
      <c r="F12301" s="13" t="s">
        <v>70</v>
      </c>
      <c r="G12301" s="14">
        <v>44715</v>
      </c>
      <c r="H12301" s="13" t="s">
        <v>163</v>
      </c>
    </row>
    <row r="12302" spans="1:8" ht="14.4" x14ac:dyDescent="0.3">
      <c r="A12302" s="8">
        <v>2055322</v>
      </c>
      <c r="B12302" s="11">
        <v>44712</v>
      </c>
      <c r="C12302" s="13" t="s">
        <v>15399</v>
      </c>
      <c r="D12302" s="13" t="s">
        <v>15400</v>
      </c>
      <c r="E12302" s="8">
        <v>10500</v>
      </c>
      <c r="F12302" s="13" t="s">
        <v>70</v>
      </c>
      <c r="G12302" s="14">
        <v>44715</v>
      </c>
      <c r="H12302" s="13" t="s">
        <v>163</v>
      </c>
    </row>
    <row r="12303" spans="1:8" ht="14.4" x14ac:dyDescent="0.3">
      <c r="A12303" s="8">
        <v>2055323</v>
      </c>
      <c r="B12303" s="11">
        <v>44712</v>
      </c>
      <c r="C12303" s="13" t="s">
        <v>3063</v>
      </c>
      <c r="D12303" s="13" t="s">
        <v>15401</v>
      </c>
      <c r="E12303" s="8">
        <v>20000</v>
      </c>
      <c r="F12303" s="13" t="s">
        <v>70</v>
      </c>
      <c r="G12303" s="14">
        <v>44715</v>
      </c>
      <c r="H12303" s="13" t="s">
        <v>163</v>
      </c>
    </row>
    <row r="12304" spans="1:8" ht="14.4" x14ac:dyDescent="0.3">
      <c r="A12304" s="8">
        <v>2055324</v>
      </c>
      <c r="B12304" s="11">
        <v>44712</v>
      </c>
      <c r="C12304" s="13" t="s">
        <v>15402</v>
      </c>
      <c r="D12304" s="13" t="s">
        <v>15403</v>
      </c>
      <c r="E12304" s="8">
        <v>10000</v>
      </c>
      <c r="F12304" s="13" t="s">
        <v>70</v>
      </c>
      <c r="G12304" s="14">
        <v>44714</v>
      </c>
      <c r="H12304" s="13" t="s">
        <v>163</v>
      </c>
    </row>
    <row r="12305" spans="1:8" ht="14.4" x14ac:dyDescent="0.3">
      <c r="A12305" s="8">
        <v>2055325</v>
      </c>
      <c r="B12305" s="11">
        <v>44712</v>
      </c>
      <c r="C12305" s="13" t="s">
        <v>15404</v>
      </c>
      <c r="D12305" s="13" t="s">
        <v>15405</v>
      </c>
      <c r="E12305" s="8">
        <v>10000</v>
      </c>
      <c r="F12305" s="13" t="s">
        <v>70</v>
      </c>
      <c r="G12305" s="14">
        <v>44715</v>
      </c>
      <c r="H12305" s="13" t="s">
        <v>163</v>
      </c>
    </row>
    <row r="12306" spans="1:8" ht="14.4" x14ac:dyDescent="0.3">
      <c r="A12306" s="8">
        <v>2055326</v>
      </c>
      <c r="B12306" s="11">
        <v>44712</v>
      </c>
      <c r="C12306" s="13" t="s">
        <v>1225</v>
      </c>
      <c r="D12306" s="13" t="s">
        <v>15406</v>
      </c>
      <c r="E12306" s="8">
        <v>50000</v>
      </c>
      <c r="F12306" s="13" t="s">
        <v>70</v>
      </c>
      <c r="G12306" s="14">
        <v>44718</v>
      </c>
      <c r="H12306" s="13" t="s">
        <v>163</v>
      </c>
    </row>
    <row r="12307" spans="1:8" ht="14.4" x14ac:dyDescent="0.3">
      <c r="A12307" s="8">
        <v>2055327</v>
      </c>
      <c r="B12307" s="11">
        <v>44712</v>
      </c>
      <c r="C12307" s="13" t="s">
        <v>5128</v>
      </c>
      <c r="D12307" s="13" t="s">
        <v>15407</v>
      </c>
      <c r="E12307" s="8">
        <v>9800</v>
      </c>
      <c r="F12307" s="13" t="s">
        <v>70</v>
      </c>
      <c r="G12307" s="14">
        <v>44718</v>
      </c>
      <c r="H12307" s="13" t="s">
        <v>163</v>
      </c>
    </row>
    <row r="12308" spans="1:8" ht="14.4" x14ac:dyDescent="0.3">
      <c r="A12308" s="8">
        <v>2055328</v>
      </c>
      <c r="B12308" s="11">
        <v>44712</v>
      </c>
      <c r="C12308" s="13" t="s">
        <v>15138</v>
      </c>
      <c r="D12308" s="13" t="s">
        <v>15408</v>
      </c>
      <c r="E12308" s="8">
        <v>20000</v>
      </c>
      <c r="F12308" s="13" t="s">
        <v>70</v>
      </c>
      <c r="G12308" s="14">
        <v>44714</v>
      </c>
      <c r="H12308" s="13" t="s">
        <v>163</v>
      </c>
    </row>
    <row r="12309" spans="1:8" ht="14.4" x14ac:dyDescent="0.3">
      <c r="A12309" s="8">
        <v>2055329</v>
      </c>
      <c r="B12309" s="11">
        <v>44712</v>
      </c>
      <c r="C12309" s="13" t="s">
        <v>15409</v>
      </c>
      <c r="D12309" s="13" t="s">
        <v>15410</v>
      </c>
      <c r="E12309" s="8">
        <v>23000</v>
      </c>
      <c r="F12309" s="13" t="s">
        <v>70</v>
      </c>
      <c r="G12309" s="14">
        <v>44715</v>
      </c>
      <c r="H12309" s="13" t="s">
        <v>163</v>
      </c>
    </row>
    <row r="12310" spans="1:8" ht="14.4" x14ac:dyDescent="0.3">
      <c r="A12310" s="8">
        <v>2055330</v>
      </c>
      <c r="B12310" s="11">
        <v>44712</v>
      </c>
      <c r="C12310" s="13" t="s">
        <v>15411</v>
      </c>
      <c r="D12310" s="13" t="s">
        <v>15412</v>
      </c>
      <c r="E12310" s="8">
        <v>5000</v>
      </c>
      <c r="F12310" s="13" t="s">
        <v>70</v>
      </c>
      <c r="G12310" s="14">
        <v>44715</v>
      </c>
      <c r="H12310" s="13" t="s">
        <v>163</v>
      </c>
    </row>
    <row r="12311" spans="1:8" ht="14.4" x14ac:dyDescent="0.3">
      <c r="A12311" s="8">
        <v>2055331</v>
      </c>
      <c r="B12311" s="11">
        <v>44712</v>
      </c>
      <c r="C12311" s="13" t="s">
        <v>15413</v>
      </c>
      <c r="D12311" s="13" t="s">
        <v>15414</v>
      </c>
      <c r="E12311" s="8">
        <v>5000</v>
      </c>
      <c r="F12311" s="13" t="s">
        <v>70</v>
      </c>
      <c r="G12311" s="14">
        <v>44714</v>
      </c>
      <c r="H12311" s="13" t="s">
        <v>163</v>
      </c>
    </row>
    <row r="12312" spans="1:8" ht="14.4" x14ac:dyDescent="0.3">
      <c r="A12312" s="8">
        <v>2055332</v>
      </c>
      <c r="B12312" s="11">
        <v>44713</v>
      </c>
      <c r="C12312" s="13" t="s">
        <v>15415</v>
      </c>
      <c r="D12312" s="13" t="s">
        <v>15416</v>
      </c>
      <c r="E12312" s="8">
        <v>50000</v>
      </c>
      <c r="F12312" s="13" t="s">
        <v>70</v>
      </c>
      <c r="G12312" s="14">
        <v>44713</v>
      </c>
      <c r="H12312" s="13" t="s">
        <v>163</v>
      </c>
    </row>
    <row r="12313" spans="1:8" ht="14.4" x14ac:dyDescent="0.3">
      <c r="A12313" s="8">
        <v>2055333</v>
      </c>
      <c r="B12313" s="11">
        <v>44713</v>
      </c>
      <c r="C12313" s="13" t="s">
        <v>506</v>
      </c>
      <c r="D12313" s="13" t="s">
        <v>15417</v>
      </c>
      <c r="E12313" s="8">
        <v>131959.26</v>
      </c>
      <c r="F12313" s="13" t="s">
        <v>70</v>
      </c>
      <c r="G12313" s="14">
        <v>44718</v>
      </c>
      <c r="H12313" s="13" t="s">
        <v>163</v>
      </c>
    </row>
    <row r="12314" spans="1:8" ht="14.4" x14ac:dyDescent="0.3">
      <c r="A12314" s="8">
        <v>2055334</v>
      </c>
      <c r="B12314" s="11">
        <v>44713</v>
      </c>
      <c r="C12314" s="13" t="s">
        <v>15418</v>
      </c>
      <c r="D12314" s="13" t="s">
        <v>15419</v>
      </c>
      <c r="E12314" s="8">
        <v>25000</v>
      </c>
      <c r="F12314" s="13" t="s">
        <v>70</v>
      </c>
      <c r="G12314" s="14">
        <v>44715</v>
      </c>
      <c r="H12314" s="13" t="s">
        <v>163</v>
      </c>
    </row>
    <row r="12315" spans="1:8" ht="14.4" x14ac:dyDescent="0.3">
      <c r="A12315" s="8">
        <v>2055335</v>
      </c>
      <c r="B12315" s="11">
        <v>44713</v>
      </c>
      <c r="C12315" s="13" t="s">
        <v>15420</v>
      </c>
      <c r="D12315" s="13" t="s">
        <v>15421</v>
      </c>
      <c r="E12315" s="8">
        <v>20000</v>
      </c>
      <c r="F12315" s="13" t="s">
        <v>70</v>
      </c>
      <c r="G12315" s="14">
        <v>44748</v>
      </c>
      <c r="H12315" s="13" t="s">
        <v>163</v>
      </c>
    </row>
    <row r="12316" spans="1:8" ht="14.4" x14ac:dyDescent="0.3">
      <c r="A12316" s="8">
        <v>2055337</v>
      </c>
      <c r="B12316" s="11">
        <v>44713</v>
      </c>
      <c r="C12316" s="13" t="s">
        <v>15422</v>
      </c>
      <c r="D12316" s="13" t="s">
        <v>15423</v>
      </c>
      <c r="E12316" s="8">
        <v>5000</v>
      </c>
      <c r="F12316" s="13" t="s">
        <v>70</v>
      </c>
      <c r="G12316" s="14">
        <v>44715</v>
      </c>
      <c r="H12316" s="13" t="s">
        <v>163</v>
      </c>
    </row>
    <row r="12317" spans="1:8" ht="14.4" x14ac:dyDescent="0.3">
      <c r="A12317" s="8">
        <v>2055338</v>
      </c>
      <c r="B12317" s="11">
        <v>44713</v>
      </c>
      <c r="C12317" s="13" t="s">
        <v>1033</v>
      </c>
      <c r="D12317" s="13" t="s">
        <v>15424</v>
      </c>
      <c r="E12317" s="8">
        <v>20000</v>
      </c>
      <c r="F12317" s="13" t="s">
        <v>70</v>
      </c>
      <c r="G12317" s="14">
        <v>44718</v>
      </c>
      <c r="H12317" s="13" t="s">
        <v>163</v>
      </c>
    </row>
    <row r="12318" spans="1:8" ht="14.4" x14ac:dyDescent="0.3">
      <c r="A12318" s="8">
        <v>2055339</v>
      </c>
      <c r="B12318" s="11">
        <v>44713</v>
      </c>
      <c r="C12318" s="13" t="s">
        <v>12453</v>
      </c>
      <c r="D12318" s="13" t="s">
        <v>15425</v>
      </c>
      <c r="E12318" s="8">
        <v>7400</v>
      </c>
      <c r="F12318" s="13" t="s">
        <v>70</v>
      </c>
      <c r="G12318" s="14">
        <v>44727</v>
      </c>
      <c r="H12318" s="13" t="s">
        <v>163</v>
      </c>
    </row>
    <row r="12319" spans="1:8" ht="14.4" x14ac:dyDescent="0.3">
      <c r="A12319" s="8">
        <v>2055340</v>
      </c>
      <c r="B12319" s="11">
        <v>44713</v>
      </c>
      <c r="C12319" s="13" t="s">
        <v>2684</v>
      </c>
      <c r="D12319" s="13" t="s">
        <v>15426</v>
      </c>
      <c r="E12319" s="8">
        <v>15000</v>
      </c>
      <c r="F12319" s="13" t="s">
        <v>70</v>
      </c>
      <c r="G12319" s="14">
        <v>44715</v>
      </c>
      <c r="H12319" s="13" t="s">
        <v>163</v>
      </c>
    </row>
    <row r="12320" spans="1:8" ht="14.4" x14ac:dyDescent="0.3">
      <c r="A12320" s="8">
        <v>2055341</v>
      </c>
      <c r="B12320" s="11">
        <v>44713</v>
      </c>
      <c r="C12320" s="13" t="s">
        <v>15427</v>
      </c>
      <c r="D12320" s="13" t="s">
        <v>15428</v>
      </c>
      <c r="E12320" s="8">
        <v>15000</v>
      </c>
      <c r="F12320" s="13" t="s">
        <v>70</v>
      </c>
      <c r="G12320" s="14">
        <v>44715</v>
      </c>
      <c r="H12320" s="13" t="s">
        <v>163</v>
      </c>
    </row>
    <row r="12321" spans="1:8" ht="14.4" x14ac:dyDescent="0.3">
      <c r="A12321" s="8">
        <v>2055342</v>
      </c>
      <c r="B12321" s="11">
        <v>44713</v>
      </c>
      <c r="C12321" s="13" t="s">
        <v>15429</v>
      </c>
      <c r="D12321" s="13" t="s">
        <v>15430</v>
      </c>
      <c r="E12321" s="8">
        <v>30000</v>
      </c>
      <c r="F12321" s="13" t="s">
        <v>70</v>
      </c>
      <c r="G12321" s="14">
        <v>44715</v>
      </c>
      <c r="H12321" s="13" t="s">
        <v>163</v>
      </c>
    </row>
    <row r="12322" spans="1:8" ht="14.4" x14ac:dyDescent="0.3">
      <c r="A12322" s="8">
        <v>2055343</v>
      </c>
      <c r="B12322" s="11">
        <v>44713</v>
      </c>
      <c r="C12322" s="13" t="s">
        <v>1276</v>
      </c>
      <c r="D12322" s="13" t="s">
        <v>15431</v>
      </c>
      <c r="E12322" s="8">
        <v>18000</v>
      </c>
      <c r="F12322" s="13" t="s">
        <v>70</v>
      </c>
      <c r="G12322" s="14">
        <v>44715</v>
      </c>
      <c r="H12322" s="13" t="s">
        <v>163</v>
      </c>
    </row>
    <row r="12323" spans="1:8" ht="14.4" x14ac:dyDescent="0.3">
      <c r="A12323" s="8">
        <v>2055344</v>
      </c>
      <c r="B12323" s="11">
        <v>44714</v>
      </c>
      <c r="C12323" s="13" t="s">
        <v>15432</v>
      </c>
      <c r="D12323" s="13" t="s">
        <v>15433</v>
      </c>
      <c r="E12323" s="8">
        <v>225000</v>
      </c>
      <c r="F12323" s="13" t="s">
        <v>70</v>
      </c>
      <c r="G12323" s="14">
        <v>44725</v>
      </c>
      <c r="H12323" s="13" t="s">
        <v>163</v>
      </c>
    </row>
    <row r="12324" spans="1:8" ht="14.4" x14ac:dyDescent="0.3">
      <c r="A12324" s="8">
        <v>2055345</v>
      </c>
      <c r="B12324" s="11">
        <v>44714</v>
      </c>
      <c r="C12324" s="13" t="s">
        <v>1542</v>
      </c>
      <c r="D12324" s="13" t="s">
        <v>15434</v>
      </c>
      <c r="E12324" s="8">
        <v>306446.24</v>
      </c>
      <c r="F12324" s="13" t="s">
        <v>70</v>
      </c>
      <c r="G12324" s="14">
        <v>44719</v>
      </c>
      <c r="H12324" s="13" t="s">
        <v>163</v>
      </c>
    </row>
    <row r="12325" spans="1:8" ht="14.4" x14ac:dyDescent="0.3">
      <c r="A12325" s="8">
        <v>2055346</v>
      </c>
      <c r="B12325" s="11">
        <v>44714</v>
      </c>
      <c r="C12325" s="13" t="s">
        <v>2624</v>
      </c>
      <c r="D12325" s="13" t="s">
        <v>15435</v>
      </c>
      <c r="E12325" s="8">
        <v>82324.009999999995</v>
      </c>
      <c r="F12325" s="13" t="s">
        <v>70</v>
      </c>
      <c r="G12325" s="14">
        <v>44738</v>
      </c>
      <c r="H12325" s="13" t="s">
        <v>163</v>
      </c>
    </row>
    <row r="12326" spans="1:8" ht="14.4" x14ac:dyDescent="0.3">
      <c r="A12326" s="8">
        <v>2055347</v>
      </c>
      <c r="B12326" s="11">
        <v>44714</v>
      </c>
      <c r="C12326" s="13" t="s">
        <v>2624</v>
      </c>
      <c r="D12326" s="13" t="s">
        <v>15436</v>
      </c>
      <c r="E12326" s="8">
        <v>9324.75</v>
      </c>
      <c r="F12326" s="13" t="s">
        <v>70</v>
      </c>
      <c r="G12326" s="14">
        <v>44738</v>
      </c>
      <c r="H12326" s="13" t="s">
        <v>163</v>
      </c>
    </row>
    <row r="12327" spans="1:8" ht="14.4" x14ac:dyDescent="0.3">
      <c r="A12327" s="8">
        <v>2055348</v>
      </c>
      <c r="B12327" s="11">
        <v>44715</v>
      </c>
      <c r="C12327" s="13" t="s">
        <v>15437</v>
      </c>
      <c r="D12327" s="13" t="s">
        <v>15438</v>
      </c>
      <c r="E12327" s="8">
        <v>87712.27</v>
      </c>
      <c r="F12327" s="13" t="s">
        <v>70</v>
      </c>
      <c r="G12327" s="14">
        <v>44718</v>
      </c>
      <c r="H12327" s="13" t="s">
        <v>163</v>
      </c>
    </row>
    <row r="12328" spans="1:8" ht="14.4" x14ac:dyDescent="0.3">
      <c r="A12328" s="8">
        <v>2055349</v>
      </c>
      <c r="B12328" s="11">
        <v>44715</v>
      </c>
      <c r="C12328" s="13" t="s">
        <v>893</v>
      </c>
      <c r="D12328" s="13" t="s">
        <v>15439</v>
      </c>
      <c r="E12328" s="8">
        <v>218000</v>
      </c>
      <c r="F12328" s="13" t="s">
        <v>70</v>
      </c>
      <c r="G12328" s="14">
        <v>44722</v>
      </c>
      <c r="H12328" s="13" t="s">
        <v>163</v>
      </c>
    </row>
    <row r="12329" spans="1:8" ht="14.4" x14ac:dyDescent="0.3">
      <c r="A12329" s="8">
        <v>2055350</v>
      </c>
      <c r="B12329" s="11">
        <v>44715</v>
      </c>
      <c r="C12329" s="13" t="s">
        <v>3430</v>
      </c>
      <c r="D12329" s="13" t="s">
        <v>15440</v>
      </c>
      <c r="E12329" s="8">
        <v>5000</v>
      </c>
      <c r="F12329" s="13" t="s">
        <v>70</v>
      </c>
      <c r="G12329" s="14">
        <v>44719</v>
      </c>
      <c r="H12329" s="13" t="s">
        <v>163</v>
      </c>
    </row>
    <row r="12330" spans="1:8" ht="14.4" x14ac:dyDescent="0.3">
      <c r="A12330" s="8">
        <v>2055351</v>
      </c>
      <c r="B12330" s="11">
        <v>44715</v>
      </c>
      <c r="C12330" s="13" t="s">
        <v>15441</v>
      </c>
      <c r="D12330" s="13" t="s">
        <v>15442</v>
      </c>
      <c r="E12330" s="8">
        <v>9000</v>
      </c>
      <c r="F12330" s="13" t="s">
        <v>70</v>
      </c>
      <c r="G12330" s="14">
        <v>44719</v>
      </c>
      <c r="H12330" s="13" t="s">
        <v>163</v>
      </c>
    </row>
    <row r="12331" spans="1:8" ht="14.4" x14ac:dyDescent="0.3">
      <c r="A12331" s="8">
        <v>2055352</v>
      </c>
      <c r="B12331" s="11">
        <v>44715</v>
      </c>
      <c r="C12331" s="13" t="s">
        <v>15443</v>
      </c>
      <c r="D12331" s="13" t="s">
        <v>15444</v>
      </c>
      <c r="E12331" s="8">
        <v>7000</v>
      </c>
      <c r="F12331" s="13" t="s">
        <v>70</v>
      </c>
      <c r="G12331" s="14">
        <v>44720</v>
      </c>
      <c r="H12331" s="13" t="s">
        <v>163</v>
      </c>
    </row>
    <row r="12332" spans="1:8" ht="14.4" x14ac:dyDescent="0.3">
      <c r="A12332" s="8">
        <v>2055353</v>
      </c>
      <c r="B12332" s="11">
        <v>44715</v>
      </c>
      <c r="C12332" s="13" t="s">
        <v>4760</v>
      </c>
      <c r="D12332" s="13" t="s">
        <v>15445</v>
      </c>
      <c r="E12332" s="8">
        <v>15000</v>
      </c>
      <c r="F12332" s="13" t="s">
        <v>70</v>
      </c>
      <c r="G12332" s="14">
        <v>44719</v>
      </c>
      <c r="H12332" s="13" t="s">
        <v>163</v>
      </c>
    </row>
    <row r="12333" spans="1:8" ht="14.4" x14ac:dyDescent="0.3">
      <c r="A12333" s="8">
        <v>2055354</v>
      </c>
      <c r="B12333" s="11">
        <v>44715</v>
      </c>
      <c r="C12333" s="13" t="s">
        <v>11636</v>
      </c>
      <c r="D12333" s="13" t="s">
        <v>15446</v>
      </c>
      <c r="E12333" s="8">
        <v>5000</v>
      </c>
      <c r="F12333" s="13" t="s">
        <v>70</v>
      </c>
      <c r="G12333" s="14">
        <v>44720</v>
      </c>
      <c r="H12333" s="13" t="s">
        <v>163</v>
      </c>
    </row>
    <row r="12334" spans="1:8" ht="14.4" x14ac:dyDescent="0.3">
      <c r="A12334" s="8">
        <v>2055355</v>
      </c>
      <c r="B12334" s="11">
        <v>44715</v>
      </c>
      <c r="C12334" s="13" t="s">
        <v>15447</v>
      </c>
      <c r="D12334" s="13" t="s">
        <v>15448</v>
      </c>
      <c r="E12334" s="8">
        <v>5000</v>
      </c>
      <c r="F12334" s="13" t="s">
        <v>70</v>
      </c>
      <c r="G12334" s="14">
        <v>44719</v>
      </c>
      <c r="H12334" s="13" t="s">
        <v>163</v>
      </c>
    </row>
    <row r="12335" spans="1:8" ht="14.4" x14ac:dyDescent="0.3">
      <c r="A12335" s="8">
        <v>2055356</v>
      </c>
      <c r="B12335" s="11">
        <v>44715</v>
      </c>
      <c r="C12335" s="13" t="s">
        <v>15449</v>
      </c>
      <c r="D12335" s="13" t="s">
        <v>15450</v>
      </c>
      <c r="E12335" s="8">
        <v>5000</v>
      </c>
      <c r="F12335" s="13" t="s">
        <v>70</v>
      </c>
      <c r="G12335" s="14">
        <v>44749</v>
      </c>
      <c r="H12335" s="13" t="s">
        <v>163</v>
      </c>
    </row>
    <row r="12336" spans="1:8" ht="14.4" x14ac:dyDescent="0.3">
      <c r="A12336" s="8">
        <v>2055357</v>
      </c>
      <c r="B12336" s="11">
        <v>44715</v>
      </c>
      <c r="C12336" s="13" t="s">
        <v>15451</v>
      </c>
      <c r="D12336" s="13" t="s">
        <v>15452</v>
      </c>
      <c r="E12336" s="8">
        <v>40000</v>
      </c>
      <c r="F12336" s="13" t="s">
        <v>70</v>
      </c>
      <c r="G12336" s="14">
        <v>44719</v>
      </c>
      <c r="H12336" s="13" t="s">
        <v>163</v>
      </c>
    </row>
    <row r="12337" spans="1:8" ht="14.4" x14ac:dyDescent="0.3">
      <c r="A12337" s="8">
        <v>2055358</v>
      </c>
      <c r="B12337" s="11">
        <v>44715</v>
      </c>
      <c r="C12337" s="13" t="s">
        <v>15453</v>
      </c>
      <c r="D12337" s="13" t="s">
        <v>15454</v>
      </c>
      <c r="E12337" s="8">
        <v>5000</v>
      </c>
      <c r="F12337" s="13" t="s">
        <v>70</v>
      </c>
      <c r="G12337" s="14">
        <v>44726</v>
      </c>
      <c r="H12337" s="13" t="s">
        <v>163</v>
      </c>
    </row>
    <row r="12338" spans="1:8" ht="14.4" x14ac:dyDescent="0.3">
      <c r="A12338" s="8">
        <v>2055359</v>
      </c>
      <c r="B12338" s="11">
        <v>44715</v>
      </c>
      <c r="C12338" s="13" t="s">
        <v>15455</v>
      </c>
      <c r="D12338" s="13" t="s">
        <v>15456</v>
      </c>
      <c r="E12338" s="8">
        <v>5000</v>
      </c>
      <c r="F12338" s="13" t="s">
        <v>70</v>
      </c>
      <c r="G12338" s="14">
        <v>44719</v>
      </c>
      <c r="H12338" s="13" t="s">
        <v>163</v>
      </c>
    </row>
    <row r="12339" spans="1:8" ht="14.4" x14ac:dyDescent="0.3">
      <c r="A12339" s="8">
        <v>2055360</v>
      </c>
      <c r="B12339" s="11">
        <v>44715</v>
      </c>
      <c r="C12339" s="13" t="s">
        <v>15457</v>
      </c>
      <c r="D12339" s="13" t="s">
        <v>15458</v>
      </c>
      <c r="E12339" s="8">
        <v>15000</v>
      </c>
      <c r="F12339" s="13" t="s">
        <v>70</v>
      </c>
      <c r="G12339" s="14">
        <v>44719</v>
      </c>
      <c r="H12339" s="13" t="s">
        <v>163</v>
      </c>
    </row>
    <row r="12340" spans="1:8" ht="14.4" x14ac:dyDescent="0.3">
      <c r="A12340" s="8">
        <v>2055361</v>
      </c>
      <c r="B12340" s="11">
        <v>44715</v>
      </c>
      <c r="C12340" s="13" t="s">
        <v>15459</v>
      </c>
      <c r="D12340" s="13" t="s">
        <v>15460</v>
      </c>
      <c r="E12340" s="8">
        <v>8000</v>
      </c>
      <c r="F12340" s="13" t="s">
        <v>70</v>
      </c>
      <c r="G12340" s="14">
        <v>44720</v>
      </c>
      <c r="H12340" s="13" t="s">
        <v>163</v>
      </c>
    </row>
    <row r="12341" spans="1:8" ht="14.4" x14ac:dyDescent="0.3">
      <c r="A12341" s="8">
        <v>2055362</v>
      </c>
      <c r="B12341" s="11">
        <v>44715</v>
      </c>
      <c r="C12341" s="13" t="s">
        <v>15461</v>
      </c>
      <c r="D12341" s="13" t="s">
        <v>15462</v>
      </c>
      <c r="E12341" s="8">
        <v>9000</v>
      </c>
      <c r="F12341" s="13" t="s">
        <v>70</v>
      </c>
      <c r="G12341" s="14">
        <v>44722</v>
      </c>
      <c r="H12341" s="13" t="s">
        <v>163</v>
      </c>
    </row>
    <row r="12342" spans="1:8" ht="14.4" x14ac:dyDescent="0.3">
      <c r="A12342" s="8">
        <v>2055363</v>
      </c>
      <c r="B12342" s="11">
        <v>44715</v>
      </c>
      <c r="C12342" s="13" t="s">
        <v>15463</v>
      </c>
      <c r="D12342" s="13" t="s">
        <v>15464</v>
      </c>
      <c r="E12342" s="8">
        <v>45000</v>
      </c>
      <c r="F12342" s="13" t="s">
        <v>70</v>
      </c>
      <c r="G12342" s="14">
        <v>44719</v>
      </c>
      <c r="H12342" s="13" t="s">
        <v>163</v>
      </c>
    </row>
    <row r="12343" spans="1:8" ht="14.4" x14ac:dyDescent="0.3">
      <c r="A12343" s="8">
        <v>2055364</v>
      </c>
      <c r="B12343" s="11">
        <v>44715</v>
      </c>
      <c r="C12343" s="13" t="s">
        <v>15465</v>
      </c>
      <c r="D12343" s="13" t="s">
        <v>15466</v>
      </c>
      <c r="E12343" s="8">
        <v>10000</v>
      </c>
      <c r="F12343" s="13" t="s">
        <v>70</v>
      </c>
      <c r="G12343" s="14">
        <v>44719</v>
      </c>
      <c r="H12343" s="13" t="s">
        <v>163</v>
      </c>
    </row>
    <row r="12344" spans="1:8" ht="14.4" x14ac:dyDescent="0.3">
      <c r="A12344" s="8">
        <v>2055365</v>
      </c>
      <c r="B12344" s="11">
        <v>44715</v>
      </c>
      <c r="C12344" s="13" t="s">
        <v>2743</v>
      </c>
      <c r="D12344" s="13" t="s">
        <v>15467</v>
      </c>
      <c r="E12344" s="8">
        <v>35000</v>
      </c>
      <c r="F12344" s="13" t="s">
        <v>70</v>
      </c>
      <c r="G12344" s="14">
        <v>44719</v>
      </c>
      <c r="H12344" s="13" t="s">
        <v>163</v>
      </c>
    </row>
    <row r="12345" spans="1:8" ht="14.4" x14ac:dyDescent="0.3">
      <c r="A12345" s="8">
        <v>2055366</v>
      </c>
      <c r="B12345" s="11">
        <v>44715</v>
      </c>
      <c r="C12345" s="13" t="s">
        <v>15468</v>
      </c>
      <c r="D12345" s="13" t="s">
        <v>15469</v>
      </c>
      <c r="E12345" s="8">
        <v>5000</v>
      </c>
      <c r="F12345" s="13" t="s">
        <v>70</v>
      </c>
      <c r="G12345" s="14">
        <v>44720</v>
      </c>
      <c r="H12345" s="13" t="s">
        <v>163</v>
      </c>
    </row>
    <row r="12346" spans="1:8" ht="14.4" x14ac:dyDescent="0.3">
      <c r="A12346" s="8">
        <v>2055367</v>
      </c>
      <c r="B12346" s="11">
        <v>44715</v>
      </c>
      <c r="C12346" s="13" t="s">
        <v>15470</v>
      </c>
      <c r="D12346" s="13" t="s">
        <v>15471</v>
      </c>
      <c r="E12346" s="8">
        <v>5000</v>
      </c>
      <c r="F12346" s="13" t="s">
        <v>70</v>
      </c>
      <c r="G12346" s="14">
        <v>44720</v>
      </c>
      <c r="H12346" s="13" t="s">
        <v>163</v>
      </c>
    </row>
    <row r="12347" spans="1:8" ht="14.4" x14ac:dyDescent="0.3">
      <c r="A12347" s="8">
        <v>2055368</v>
      </c>
      <c r="B12347" s="11">
        <v>44715</v>
      </c>
      <c r="C12347" s="13" t="s">
        <v>15472</v>
      </c>
      <c r="D12347" s="13" t="s">
        <v>15473</v>
      </c>
      <c r="E12347" s="8">
        <v>12000</v>
      </c>
      <c r="F12347" s="13" t="s">
        <v>70</v>
      </c>
      <c r="G12347" s="14">
        <v>44720</v>
      </c>
      <c r="H12347" s="13" t="s">
        <v>163</v>
      </c>
    </row>
    <row r="12348" spans="1:8" ht="14.4" x14ac:dyDescent="0.3">
      <c r="A12348" s="8">
        <v>2055369</v>
      </c>
      <c r="B12348" s="11">
        <v>44715</v>
      </c>
      <c r="C12348" s="13" t="s">
        <v>15474</v>
      </c>
      <c r="D12348" s="13" t="s">
        <v>15475</v>
      </c>
      <c r="E12348" s="8">
        <v>10000</v>
      </c>
      <c r="F12348" s="13" t="s">
        <v>70</v>
      </c>
      <c r="G12348" s="14">
        <v>44721</v>
      </c>
      <c r="H12348" s="13" t="s">
        <v>163</v>
      </c>
    </row>
    <row r="12349" spans="1:8" ht="14.4" x14ac:dyDescent="0.3">
      <c r="A12349" s="8">
        <v>2055370</v>
      </c>
      <c r="B12349" s="11">
        <v>44715</v>
      </c>
      <c r="C12349" s="13" t="s">
        <v>15476</v>
      </c>
      <c r="D12349" s="13" t="s">
        <v>15477</v>
      </c>
      <c r="E12349" s="8">
        <v>5000</v>
      </c>
      <c r="F12349" s="13" t="s">
        <v>70</v>
      </c>
      <c r="G12349" s="14">
        <v>44719</v>
      </c>
      <c r="H12349" s="13" t="s">
        <v>163</v>
      </c>
    </row>
    <row r="12350" spans="1:8" ht="14.4" x14ac:dyDescent="0.3">
      <c r="A12350" s="8">
        <v>2055371</v>
      </c>
      <c r="B12350" s="11">
        <v>44715</v>
      </c>
      <c r="C12350" s="13" t="s">
        <v>15478</v>
      </c>
      <c r="D12350" s="13" t="s">
        <v>15479</v>
      </c>
      <c r="E12350" s="8">
        <v>5000</v>
      </c>
      <c r="F12350" s="13" t="s">
        <v>70</v>
      </c>
      <c r="G12350" s="14">
        <v>44719</v>
      </c>
      <c r="H12350" s="13" t="s">
        <v>163</v>
      </c>
    </row>
    <row r="12351" spans="1:8" ht="14.4" x14ac:dyDescent="0.3">
      <c r="A12351" s="8">
        <v>2055372</v>
      </c>
      <c r="B12351" s="11">
        <v>44715</v>
      </c>
      <c r="C12351" s="13" t="s">
        <v>14499</v>
      </c>
      <c r="D12351" s="13" t="s">
        <v>15480</v>
      </c>
      <c r="E12351" s="8">
        <v>5000</v>
      </c>
      <c r="F12351" s="13" t="s">
        <v>70</v>
      </c>
      <c r="G12351" s="14">
        <v>44721</v>
      </c>
      <c r="H12351" s="13" t="s">
        <v>163</v>
      </c>
    </row>
    <row r="12352" spans="1:8" ht="14.4" x14ac:dyDescent="0.3">
      <c r="A12352" s="8">
        <v>2055373</v>
      </c>
      <c r="B12352" s="11">
        <v>44715</v>
      </c>
      <c r="C12352" s="13" t="s">
        <v>15481</v>
      </c>
      <c r="D12352" s="13" t="s">
        <v>15482</v>
      </c>
      <c r="E12352" s="8">
        <v>10800</v>
      </c>
      <c r="F12352" s="13" t="s">
        <v>70</v>
      </c>
      <c r="G12352" s="14">
        <v>44719</v>
      </c>
      <c r="H12352" s="13" t="s">
        <v>163</v>
      </c>
    </row>
    <row r="12353" spans="1:8" ht="14.4" x14ac:dyDescent="0.3">
      <c r="A12353" s="8">
        <v>2055375</v>
      </c>
      <c r="B12353" s="11">
        <v>44715</v>
      </c>
      <c r="C12353" s="13" t="s">
        <v>15483</v>
      </c>
      <c r="D12353" s="13" t="s">
        <v>15484</v>
      </c>
      <c r="E12353" s="8">
        <v>7000</v>
      </c>
      <c r="F12353" s="13" t="s">
        <v>70</v>
      </c>
      <c r="G12353" s="14">
        <v>44720</v>
      </c>
      <c r="H12353" s="13" t="s">
        <v>163</v>
      </c>
    </row>
    <row r="12354" spans="1:8" ht="14.4" x14ac:dyDescent="0.3">
      <c r="A12354" s="8">
        <v>2055376</v>
      </c>
      <c r="B12354" s="11">
        <v>44715</v>
      </c>
      <c r="C12354" s="13" t="s">
        <v>5112</v>
      </c>
      <c r="D12354" s="13" t="s">
        <v>15485</v>
      </c>
      <c r="E12354" s="8">
        <v>7000</v>
      </c>
      <c r="F12354" s="13" t="s">
        <v>70</v>
      </c>
      <c r="G12354" s="14">
        <v>44720</v>
      </c>
      <c r="H12354" s="13" t="s">
        <v>163</v>
      </c>
    </row>
    <row r="12355" spans="1:8" ht="14.4" x14ac:dyDescent="0.3">
      <c r="A12355" s="8">
        <v>2055377</v>
      </c>
      <c r="B12355" s="11">
        <v>44715</v>
      </c>
      <c r="C12355" s="13" t="s">
        <v>15486</v>
      </c>
      <c r="D12355" s="13" t="s">
        <v>15487</v>
      </c>
      <c r="E12355" s="8">
        <v>5000</v>
      </c>
      <c r="F12355" s="13" t="s">
        <v>70</v>
      </c>
      <c r="G12355" s="14">
        <v>44719</v>
      </c>
      <c r="H12355" s="13" t="s">
        <v>163</v>
      </c>
    </row>
    <row r="12356" spans="1:8" ht="14.4" x14ac:dyDescent="0.3">
      <c r="A12356" s="8">
        <v>2055378</v>
      </c>
      <c r="B12356" s="11">
        <v>44715</v>
      </c>
      <c r="C12356" s="13" t="s">
        <v>6943</v>
      </c>
      <c r="D12356" s="13" t="s">
        <v>15488</v>
      </c>
      <c r="E12356" s="8">
        <v>7000</v>
      </c>
      <c r="F12356" s="13" t="s">
        <v>70</v>
      </c>
      <c r="G12356" s="14">
        <v>44719</v>
      </c>
      <c r="H12356" s="13" t="s">
        <v>163</v>
      </c>
    </row>
    <row r="12357" spans="1:8" ht="14.4" x14ac:dyDescent="0.3">
      <c r="A12357" s="8">
        <v>2055379</v>
      </c>
      <c r="B12357" s="11">
        <v>44718</v>
      </c>
      <c r="C12357" s="13" t="s">
        <v>15489</v>
      </c>
      <c r="D12357" s="13" t="s">
        <v>15490</v>
      </c>
      <c r="E12357" s="8">
        <v>18000</v>
      </c>
      <c r="F12357" s="13" t="s">
        <v>70</v>
      </c>
      <c r="G12357" s="14">
        <v>44726</v>
      </c>
      <c r="H12357" s="13" t="s">
        <v>163</v>
      </c>
    </row>
    <row r="12358" spans="1:8" ht="14.4" x14ac:dyDescent="0.3">
      <c r="A12358" s="8">
        <v>2055380</v>
      </c>
      <c r="B12358" s="11">
        <v>44720</v>
      </c>
      <c r="C12358" s="13" t="s">
        <v>4744</v>
      </c>
      <c r="D12358" s="13" t="s">
        <v>15491</v>
      </c>
      <c r="E12358" s="8">
        <v>5000</v>
      </c>
      <c r="F12358" s="13" t="s">
        <v>70</v>
      </c>
      <c r="G12358" s="14">
        <v>44741</v>
      </c>
      <c r="H12358" s="13" t="s">
        <v>163</v>
      </c>
    </row>
    <row r="12359" spans="1:8" ht="14.4" x14ac:dyDescent="0.3">
      <c r="A12359" s="8">
        <v>2055381</v>
      </c>
      <c r="B12359" s="11">
        <v>44720</v>
      </c>
      <c r="C12359" s="13" t="s">
        <v>15492</v>
      </c>
      <c r="D12359" s="13" t="s">
        <v>15493</v>
      </c>
      <c r="E12359" s="8">
        <v>11500</v>
      </c>
      <c r="F12359" s="13" t="s">
        <v>70</v>
      </c>
      <c r="G12359" s="14">
        <v>44732</v>
      </c>
      <c r="H12359" s="13" t="s">
        <v>163</v>
      </c>
    </row>
    <row r="12360" spans="1:8" ht="14.4" x14ac:dyDescent="0.3">
      <c r="A12360" s="8">
        <v>2055382</v>
      </c>
      <c r="B12360" s="11">
        <v>44720</v>
      </c>
      <c r="C12360" s="13" t="s">
        <v>15494</v>
      </c>
      <c r="D12360" s="13" t="s">
        <v>15495</v>
      </c>
      <c r="E12360" s="8">
        <v>50000</v>
      </c>
      <c r="F12360" s="13" t="s">
        <v>70</v>
      </c>
      <c r="G12360" s="14">
        <v>44749</v>
      </c>
      <c r="H12360" s="13" t="s">
        <v>163</v>
      </c>
    </row>
    <row r="12361" spans="1:8" ht="14.4" x14ac:dyDescent="0.3">
      <c r="A12361" s="8">
        <v>2055383</v>
      </c>
      <c r="B12361" s="11">
        <v>44720</v>
      </c>
      <c r="C12361" s="13" t="s">
        <v>3358</v>
      </c>
      <c r="D12361" s="13" t="s">
        <v>15496</v>
      </c>
      <c r="E12361" s="8">
        <v>22000</v>
      </c>
      <c r="F12361" s="13" t="s">
        <v>70</v>
      </c>
      <c r="G12361" s="14">
        <v>44735</v>
      </c>
      <c r="H12361" s="13" t="s">
        <v>163</v>
      </c>
    </row>
    <row r="12362" spans="1:8" ht="14.4" x14ac:dyDescent="0.3">
      <c r="A12362" s="8">
        <v>2055384</v>
      </c>
      <c r="B12362" s="11">
        <v>44720</v>
      </c>
      <c r="C12362" s="13" t="s">
        <v>15497</v>
      </c>
      <c r="D12362" s="13" t="s">
        <v>15498</v>
      </c>
      <c r="E12362" s="8">
        <v>50000</v>
      </c>
      <c r="F12362" s="13" t="s">
        <v>70</v>
      </c>
      <c r="G12362" s="14">
        <v>44725</v>
      </c>
      <c r="H12362" s="13" t="s">
        <v>163</v>
      </c>
    </row>
    <row r="12363" spans="1:8" ht="14.4" x14ac:dyDescent="0.3">
      <c r="A12363" s="8">
        <v>2055385</v>
      </c>
      <c r="B12363" s="11">
        <v>44720</v>
      </c>
      <c r="C12363" s="13" t="s">
        <v>15499</v>
      </c>
      <c r="D12363" s="13" t="s">
        <v>15500</v>
      </c>
      <c r="E12363" s="8">
        <v>11000</v>
      </c>
      <c r="F12363" s="13" t="s">
        <v>70</v>
      </c>
      <c r="G12363" s="14">
        <v>44749</v>
      </c>
      <c r="H12363" s="13" t="s">
        <v>163</v>
      </c>
    </row>
    <row r="12364" spans="1:8" ht="14.4" x14ac:dyDescent="0.3">
      <c r="A12364" s="8">
        <v>2055386</v>
      </c>
      <c r="B12364" s="10">
        <v>44720</v>
      </c>
      <c r="C12364" s="13" t="s">
        <v>15501</v>
      </c>
      <c r="D12364" s="13" t="s">
        <v>15502</v>
      </c>
      <c r="E12364" s="8">
        <v>8000</v>
      </c>
      <c r="F12364" s="13" t="s">
        <v>70</v>
      </c>
      <c r="G12364" s="14">
        <v>44742</v>
      </c>
      <c r="H12364" s="13" t="s">
        <v>163</v>
      </c>
    </row>
    <row r="12365" spans="1:8" ht="14.4" x14ac:dyDescent="0.3">
      <c r="A12365" s="8">
        <v>2055387</v>
      </c>
      <c r="B12365" s="11">
        <v>44720</v>
      </c>
      <c r="C12365" s="13" t="s">
        <v>15503</v>
      </c>
      <c r="D12365" s="13" t="s">
        <v>15504</v>
      </c>
      <c r="E12365" s="8">
        <v>12000</v>
      </c>
      <c r="F12365" s="13" t="s">
        <v>70</v>
      </c>
      <c r="G12365" s="14">
        <v>44746</v>
      </c>
      <c r="H12365" s="13" t="s">
        <v>163</v>
      </c>
    </row>
    <row r="12366" spans="1:8" ht="14.4" x14ac:dyDescent="0.3">
      <c r="A12366" s="8">
        <v>2055388</v>
      </c>
      <c r="B12366" s="11">
        <v>44720</v>
      </c>
      <c r="C12366" s="13" t="s">
        <v>15505</v>
      </c>
      <c r="D12366" s="13" t="s">
        <v>15506</v>
      </c>
      <c r="E12366" s="8">
        <v>5000</v>
      </c>
      <c r="F12366" s="13" t="s">
        <v>70</v>
      </c>
      <c r="G12366" s="14">
        <v>44749</v>
      </c>
      <c r="H12366" s="13" t="s">
        <v>163</v>
      </c>
    </row>
    <row r="12367" spans="1:8" ht="14.4" x14ac:dyDescent="0.3">
      <c r="A12367" s="8">
        <v>2055389</v>
      </c>
      <c r="B12367" s="11">
        <v>44720</v>
      </c>
      <c r="C12367" s="13" t="s">
        <v>15507</v>
      </c>
      <c r="D12367" s="13" t="s">
        <v>15508</v>
      </c>
      <c r="E12367" s="8">
        <v>5000</v>
      </c>
      <c r="F12367" s="13" t="s">
        <v>70</v>
      </c>
      <c r="G12367" s="14">
        <v>44749</v>
      </c>
      <c r="H12367" s="13" t="s">
        <v>163</v>
      </c>
    </row>
    <row r="12368" spans="1:8" ht="14.4" x14ac:dyDescent="0.3">
      <c r="A12368" s="8">
        <v>2055390</v>
      </c>
      <c r="B12368" s="11">
        <v>44720</v>
      </c>
      <c r="C12368" s="13" t="s">
        <v>15509</v>
      </c>
      <c r="D12368" s="13" t="s">
        <v>15510</v>
      </c>
      <c r="E12368" s="8">
        <v>15000</v>
      </c>
      <c r="F12368" s="13" t="s">
        <v>70</v>
      </c>
      <c r="G12368" s="14">
        <v>44739</v>
      </c>
      <c r="H12368" s="13" t="s">
        <v>163</v>
      </c>
    </row>
    <row r="12369" spans="1:8" ht="14.4" x14ac:dyDescent="0.3">
      <c r="A12369" s="8">
        <v>2055391</v>
      </c>
      <c r="B12369" s="11">
        <v>44720</v>
      </c>
      <c r="C12369" s="13" t="s">
        <v>15511</v>
      </c>
      <c r="D12369" s="13" t="s">
        <v>15512</v>
      </c>
      <c r="E12369" s="8">
        <v>5000</v>
      </c>
      <c r="F12369" s="13" t="s">
        <v>70</v>
      </c>
      <c r="G12369" s="14">
        <v>44729</v>
      </c>
      <c r="H12369" s="13" t="s">
        <v>163</v>
      </c>
    </row>
    <row r="12370" spans="1:8" ht="14.4" x14ac:dyDescent="0.3">
      <c r="A12370" s="8">
        <v>2055392</v>
      </c>
      <c r="B12370" s="11">
        <v>44720</v>
      </c>
      <c r="C12370" s="13" t="s">
        <v>15513</v>
      </c>
      <c r="D12370" s="13" t="s">
        <v>15514</v>
      </c>
      <c r="E12370" s="8">
        <v>8000</v>
      </c>
      <c r="F12370" s="13" t="s">
        <v>70</v>
      </c>
      <c r="G12370" s="14">
        <v>44749</v>
      </c>
      <c r="H12370" s="13" t="s">
        <v>163</v>
      </c>
    </row>
    <row r="12371" spans="1:8" ht="14.4" x14ac:dyDescent="0.3">
      <c r="A12371" s="8">
        <v>2055393</v>
      </c>
      <c r="B12371" s="11">
        <v>44720</v>
      </c>
      <c r="C12371" s="13" t="s">
        <v>15515</v>
      </c>
      <c r="D12371" s="13" t="s">
        <v>15516</v>
      </c>
      <c r="E12371" s="8">
        <v>5000</v>
      </c>
      <c r="F12371" s="13" t="s">
        <v>70</v>
      </c>
      <c r="G12371" s="14">
        <v>44733</v>
      </c>
      <c r="H12371" s="13" t="s">
        <v>163</v>
      </c>
    </row>
    <row r="12372" spans="1:8" ht="14.4" x14ac:dyDescent="0.3">
      <c r="A12372" s="8">
        <v>2055394</v>
      </c>
      <c r="B12372" s="11">
        <v>44720</v>
      </c>
      <c r="C12372" s="13" t="s">
        <v>15517</v>
      </c>
      <c r="D12372" s="13" t="s">
        <v>15518</v>
      </c>
      <c r="E12372" s="8">
        <v>9700</v>
      </c>
      <c r="F12372" s="13" t="s">
        <v>70</v>
      </c>
      <c r="G12372" s="14">
        <v>44748</v>
      </c>
      <c r="H12372" s="13" t="s">
        <v>163</v>
      </c>
    </row>
    <row r="12373" spans="1:8" ht="14.4" x14ac:dyDescent="0.3">
      <c r="A12373" s="8">
        <v>2055395</v>
      </c>
      <c r="B12373" s="11">
        <v>44720</v>
      </c>
      <c r="C12373" s="13" t="s">
        <v>15519</v>
      </c>
      <c r="D12373" s="13" t="s">
        <v>15520</v>
      </c>
      <c r="E12373" s="8">
        <v>14000</v>
      </c>
      <c r="F12373" s="13" t="s">
        <v>70</v>
      </c>
      <c r="G12373" s="14">
        <v>44739</v>
      </c>
      <c r="H12373" s="13" t="s">
        <v>163</v>
      </c>
    </row>
    <row r="12374" spans="1:8" ht="14.4" x14ac:dyDescent="0.3">
      <c r="A12374" s="8">
        <v>2055396</v>
      </c>
      <c r="B12374" s="11">
        <v>44720</v>
      </c>
      <c r="C12374" s="13" t="s">
        <v>15521</v>
      </c>
      <c r="D12374" s="13" t="s">
        <v>15522</v>
      </c>
      <c r="E12374" s="8">
        <v>10200</v>
      </c>
      <c r="F12374" s="13" t="s">
        <v>70</v>
      </c>
      <c r="G12374" s="14">
        <v>44749</v>
      </c>
      <c r="H12374" s="13" t="s">
        <v>163</v>
      </c>
    </row>
    <row r="12375" spans="1:8" ht="14.4" x14ac:dyDescent="0.3">
      <c r="A12375" s="8">
        <v>2055397</v>
      </c>
      <c r="B12375" s="11">
        <v>44720</v>
      </c>
      <c r="C12375" s="13" t="s">
        <v>15523</v>
      </c>
      <c r="D12375" s="13" t="s">
        <v>15524</v>
      </c>
      <c r="E12375" s="8">
        <v>31000</v>
      </c>
      <c r="F12375" s="13" t="s">
        <v>70</v>
      </c>
      <c r="G12375" s="14">
        <v>44728</v>
      </c>
      <c r="H12375" s="13" t="s">
        <v>163</v>
      </c>
    </row>
    <row r="12376" spans="1:8" ht="14.4" x14ac:dyDescent="0.3">
      <c r="A12376" s="8">
        <v>2055398</v>
      </c>
      <c r="B12376" s="11">
        <v>44720</v>
      </c>
      <c r="C12376" s="13" t="s">
        <v>15525</v>
      </c>
      <c r="D12376" s="13" t="s">
        <v>15526</v>
      </c>
      <c r="E12376" s="8">
        <v>30000</v>
      </c>
      <c r="F12376" s="13" t="s">
        <v>70</v>
      </c>
      <c r="G12376" s="14">
        <v>44721</v>
      </c>
      <c r="H12376" s="13" t="s">
        <v>163</v>
      </c>
    </row>
    <row r="12377" spans="1:8" ht="14.4" x14ac:dyDescent="0.3">
      <c r="A12377" s="8">
        <v>2055399</v>
      </c>
      <c r="B12377" s="11">
        <v>44721</v>
      </c>
      <c r="C12377" s="13" t="s">
        <v>15527</v>
      </c>
      <c r="D12377" s="13" t="s">
        <v>15528</v>
      </c>
      <c r="E12377" s="8">
        <v>50000</v>
      </c>
      <c r="F12377" s="13" t="s">
        <v>70</v>
      </c>
      <c r="G12377" s="14">
        <v>44722</v>
      </c>
      <c r="H12377" s="13" t="s">
        <v>163</v>
      </c>
    </row>
    <row r="12378" spans="1:8" ht="14.4" x14ac:dyDescent="0.3">
      <c r="A12378" s="8">
        <v>2055400</v>
      </c>
      <c r="B12378" s="11">
        <v>44721</v>
      </c>
      <c r="C12378" s="13" t="s">
        <v>15529</v>
      </c>
      <c r="D12378" s="13" t="s">
        <v>15530</v>
      </c>
      <c r="E12378" s="8">
        <v>5000</v>
      </c>
      <c r="F12378" s="13" t="s">
        <v>70</v>
      </c>
      <c r="G12378" s="14">
        <v>44726</v>
      </c>
      <c r="H12378" s="13" t="s">
        <v>163</v>
      </c>
    </row>
    <row r="12379" spans="1:8" ht="14.4" x14ac:dyDescent="0.3">
      <c r="A12379" s="8">
        <v>2055401</v>
      </c>
      <c r="B12379" s="11">
        <v>44721</v>
      </c>
      <c r="C12379" s="13" t="s">
        <v>15531</v>
      </c>
      <c r="D12379" s="13" t="s">
        <v>15532</v>
      </c>
      <c r="E12379" s="8">
        <v>5000</v>
      </c>
      <c r="F12379" s="13" t="s">
        <v>70</v>
      </c>
      <c r="G12379" s="14">
        <v>44725</v>
      </c>
      <c r="H12379" s="13" t="s">
        <v>163</v>
      </c>
    </row>
    <row r="12380" spans="1:8" ht="14.4" x14ac:dyDescent="0.3">
      <c r="A12380" s="8">
        <v>2055402</v>
      </c>
      <c r="B12380" s="11">
        <v>44721</v>
      </c>
      <c r="C12380" s="13" t="s">
        <v>15533</v>
      </c>
      <c r="D12380" s="13" t="s">
        <v>15534</v>
      </c>
      <c r="E12380" s="8">
        <v>15000</v>
      </c>
      <c r="F12380" s="13" t="s">
        <v>70</v>
      </c>
      <c r="G12380" s="14">
        <v>44726</v>
      </c>
      <c r="H12380" s="13" t="s">
        <v>163</v>
      </c>
    </row>
    <row r="12381" spans="1:8" ht="14.4" x14ac:dyDescent="0.3">
      <c r="A12381" s="8">
        <v>2055403</v>
      </c>
      <c r="B12381" s="11">
        <v>44721</v>
      </c>
      <c r="C12381" s="13" t="s">
        <v>15535</v>
      </c>
      <c r="D12381" s="13" t="s">
        <v>15536</v>
      </c>
      <c r="E12381" s="8">
        <v>20000</v>
      </c>
      <c r="F12381" s="13" t="s">
        <v>70</v>
      </c>
      <c r="G12381" s="14">
        <v>44727</v>
      </c>
      <c r="H12381" s="13" t="s">
        <v>163</v>
      </c>
    </row>
    <row r="12382" spans="1:8" ht="14.4" x14ac:dyDescent="0.3">
      <c r="A12382" s="8">
        <v>2055404</v>
      </c>
      <c r="B12382" s="11">
        <v>44721</v>
      </c>
      <c r="C12382" s="13" t="s">
        <v>3673</v>
      </c>
      <c r="D12382" s="13" t="s">
        <v>15537</v>
      </c>
      <c r="E12382" s="8">
        <v>11000</v>
      </c>
      <c r="F12382" s="13" t="s">
        <v>70</v>
      </c>
      <c r="G12382" s="14">
        <v>44726</v>
      </c>
      <c r="H12382" s="13" t="s">
        <v>163</v>
      </c>
    </row>
    <row r="12383" spans="1:8" ht="14.4" x14ac:dyDescent="0.3">
      <c r="A12383" s="8">
        <v>2055405</v>
      </c>
      <c r="B12383" s="11">
        <v>44721</v>
      </c>
      <c r="C12383" s="13" t="s">
        <v>15538</v>
      </c>
      <c r="D12383" s="13" t="s">
        <v>15539</v>
      </c>
      <c r="E12383" s="8">
        <v>11000</v>
      </c>
      <c r="F12383" s="13" t="s">
        <v>70</v>
      </c>
      <c r="G12383" s="14">
        <v>44733</v>
      </c>
      <c r="H12383" s="13" t="s">
        <v>163</v>
      </c>
    </row>
    <row r="12384" spans="1:8" ht="14.4" x14ac:dyDescent="0.3">
      <c r="A12384" s="8">
        <v>2055406</v>
      </c>
      <c r="B12384" s="11">
        <v>44721</v>
      </c>
      <c r="C12384" s="13" t="s">
        <v>15540</v>
      </c>
      <c r="D12384" s="13" t="s">
        <v>15541</v>
      </c>
      <c r="E12384" s="8">
        <v>15000</v>
      </c>
      <c r="F12384" s="13" t="s">
        <v>70</v>
      </c>
      <c r="G12384" s="14">
        <v>44727</v>
      </c>
      <c r="H12384" s="13" t="s">
        <v>163</v>
      </c>
    </row>
    <row r="12385" spans="1:8" ht="14.4" x14ac:dyDescent="0.3">
      <c r="A12385" s="8">
        <v>2055407</v>
      </c>
      <c r="B12385" s="11">
        <v>44721</v>
      </c>
      <c r="C12385" s="13" t="s">
        <v>15542</v>
      </c>
      <c r="D12385" s="13" t="s">
        <v>15543</v>
      </c>
      <c r="E12385" s="8">
        <v>5000</v>
      </c>
      <c r="F12385" s="13" t="s">
        <v>70</v>
      </c>
      <c r="G12385" s="14">
        <v>44726</v>
      </c>
      <c r="H12385" s="13" t="s">
        <v>163</v>
      </c>
    </row>
    <row r="12386" spans="1:8" ht="14.4" x14ac:dyDescent="0.3">
      <c r="A12386" s="8">
        <v>2055408</v>
      </c>
      <c r="B12386" s="11">
        <v>44721</v>
      </c>
      <c r="C12386" s="13" t="s">
        <v>15544</v>
      </c>
      <c r="D12386" s="13" t="s">
        <v>15545</v>
      </c>
      <c r="E12386" s="8">
        <v>5000</v>
      </c>
      <c r="F12386" s="13" t="s">
        <v>70</v>
      </c>
      <c r="G12386" s="14">
        <v>44726</v>
      </c>
      <c r="H12386" s="13" t="s">
        <v>163</v>
      </c>
    </row>
    <row r="12387" spans="1:8" ht="14.4" x14ac:dyDescent="0.3">
      <c r="A12387" s="8">
        <v>2055409</v>
      </c>
      <c r="B12387" s="10">
        <v>44721</v>
      </c>
      <c r="C12387" s="13" t="s">
        <v>15546</v>
      </c>
      <c r="D12387" s="13" t="s">
        <v>15547</v>
      </c>
      <c r="E12387" s="8">
        <v>5000</v>
      </c>
      <c r="F12387" s="13" t="s">
        <v>70</v>
      </c>
      <c r="G12387" s="14">
        <v>44726</v>
      </c>
      <c r="H12387" s="13" t="s">
        <v>163</v>
      </c>
    </row>
    <row r="12388" spans="1:8" ht="14.4" x14ac:dyDescent="0.3">
      <c r="A12388" s="8">
        <v>2055410</v>
      </c>
      <c r="B12388" s="11">
        <v>44722</v>
      </c>
      <c r="C12388" s="13" t="s">
        <v>15548</v>
      </c>
      <c r="D12388" s="13" t="s">
        <v>15549</v>
      </c>
      <c r="E12388" s="8">
        <v>5000</v>
      </c>
      <c r="F12388" s="13" t="s">
        <v>70</v>
      </c>
      <c r="G12388" s="14">
        <v>44728</v>
      </c>
      <c r="H12388" s="13" t="s">
        <v>163</v>
      </c>
    </row>
    <row r="12389" spans="1:8" ht="14.4" x14ac:dyDescent="0.3">
      <c r="A12389" s="8">
        <v>2055411</v>
      </c>
      <c r="B12389" s="11">
        <v>44722</v>
      </c>
      <c r="C12389" s="13" t="s">
        <v>11787</v>
      </c>
      <c r="D12389" s="13" t="s">
        <v>15550</v>
      </c>
      <c r="E12389" s="8">
        <v>5000</v>
      </c>
      <c r="F12389" s="13" t="s">
        <v>70</v>
      </c>
      <c r="G12389" s="14">
        <v>44728</v>
      </c>
      <c r="H12389" s="13" t="s">
        <v>163</v>
      </c>
    </row>
    <row r="12390" spans="1:8" ht="14.4" x14ac:dyDescent="0.3">
      <c r="A12390" s="8">
        <v>2055412</v>
      </c>
      <c r="B12390" s="11">
        <v>44722</v>
      </c>
      <c r="C12390" s="13" t="s">
        <v>15551</v>
      </c>
      <c r="D12390" s="13" t="s">
        <v>15552</v>
      </c>
      <c r="E12390" s="8">
        <v>5000</v>
      </c>
      <c r="F12390" s="13" t="s">
        <v>70</v>
      </c>
      <c r="G12390" s="14">
        <v>44749</v>
      </c>
      <c r="H12390" s="13" t="s">
        <v>163</v>
      </c>
    </row>
    <row r="12391" spans="1:8" ht="14.4" x14ac:dyDescent="0.3">
      <c r="A12391" s="8">
        <v>2055413</v>
      </c>
      <c r="B12391" s="11">
        <v>44722</v>
      </c>
      <c r="C12391" s="13" t="s">
        <v>15553</v>
      </c>
      <c r="D12391" s="13" t="s">
        <v>15554</v>
      </c>
      <c r="E12391" s="8">
        <v>5000</v>
      </c>
      <c r="F12391" s="13" t="s">
        <v>70</v>
      </c>
      <c r="G12391" s="14">
        <v>44726</v>
      </c>
      <c r="H12391" s="13" t="s">
        <v>163</v>
      </c>
    </row>
    <row r="12392" spans="1:8" ht="14.4" x14ac:dyDescent="0.3">
      <c r="A12392" s="8">
        <v>2055414</v>
      </c>
      <c r="B12392" s="11">
        <v>44722</v>
      </c>
      <c r="C12392" s="13" t="s">
        <v>15555</v>
      </c>
      <c r="D12392" s="13" t="s">
        <v>15556</v>
      </c>
      <c r="E12392" s="8">
        <v>5000</v>
      </c>
      <c r="F12392" s="13" t="s">
        <v>70</v>
      </c>
      <c r="G12392" s="14">
        <v>44734</v>
      </c>
      <c r="H12392" s="13" t="s">
        <v>163</v>
      </c>
    </row>
    <row r="12393" spans="1:8" ht="14.4" x14ac:dyDescent="0.3">
      <c r="A12393" s="8">
        <v>2055415</v>
      </c>
      <c r="B12393" s="11">
        <v>44722</v>
      </c>
      <c r="C12393" s="13" t="s">
        <v>14662</v>
      </c>
      <c r="D12393" s="13" t="s">
        <v>15557</v>
      </c>
      <c r="E12393" s="8">
        <v>5000</v>
      </c>
      <c r="F12393" s="13" t="s">
        <v>70</v>
      </c>
      <c r="G12393" s="14">
        <v>44727</v>
      </c>
      <c r="H12393" s="13" t="s">
        <v>163</v>
      </c>
    </row>
    <row r="12394" spans="1:8" ht="14.4" x14ac:dyDescent="0.3">
      <c r="A12394" s="8">
        <v>2055416</v>
      </c>
      <c r="B12394" s="11">
        <v>44722</v>
      </c>
      <c r="C12394" s="13" t="s">
        <v>14374</v>
      </c>
      <c r="D12394" s="13" t="s">
        <v>15558</v>
      </c>
      <c r="E12394" s="8">
        <v>5000</v>
      </c>
      <c r="F12394" s="13" t="s">
        <v>70</v>
      </c>
      <c r="G12394" s="14">
        <v>44726</v>
      </c>
      <c r="H12394" s="13" t="s">
        <v>163</v>
      </c>
    </row>
    <row r="12395" spans="1:8" ht="14.4" x14ac:dyDescent="0.3">
      <c r="A12395" s="8">
        <v>2055417</v>
      </c>
      <c r="B12395" s="11">
        <v>44722</v>
      </c>
      <c r="C12395" s="13" t="s">
        <v>15559</v>
      </c>
      <c r="D12395" s="13" t="s">
        <v>15560</v>
      </c>
      <c r="E12395" s="8">
        <v>50000</v>
      </c>
      <c r="F12395" s="13" t="s">
        <v>70</v>
      </c>
      <c r="G12395" s="14">
        <v>44727</v>
      </c>
      <c r="H12395" s="13" t="s">
        <v>163</v>
      </c>
    </row>
    <row r="12396" spans="1:8" ht="14.4" x14ac:dyDescent="0.3">
      <c r="A12396" s="8">
        <v>2055418</v>
      </c>
      <c r="B12396" s="11">
        <v>44722</v>
      </c>
      <c r="C12396" s="13" t="s">
        <v>15561</v>
      </c>
      <c r="D12396" s="13" t="s">
        <v>15562</v>
      </c>
      <c r="E12396" s="8">
        <v>5000</v>
      </c>
      <c r="F12396" s="13" t="s">
        <v>70</v>
      </c>
      <c r="G12396" s="14">
        <v>44728</v>
      </c>
      <c r="H12396" s="13" t="s">
        <v>163</v>
      </c>
    </row>
    <row r="12397" spans="1:8" ht="14.4" x14ac:dyDescent="0.3">
      <c r="A12397" s="8">
        <v>2055419</v>
      </c>
      <c r="B12397" s="11">
        <v>44722</v>
      </c>
      <c r="C12397" s="13" t="s">
        <v>2774</v>
      </c>
      <c r="D12397" s="13" t="s">
        <v>15563</v>
      </c>
      <c r="E12397" s="8">
        <v>15000</v>
      </c>
      <c r="F12397" s="13" t="s">
        <v>70</v>
      </c>
      <c r="G12397" s="14">
        <v>44726</v>
      </c>
      <c r="H12397" s="13" t="s">
        <v>163</v>
      </c>
    </row>
    <row r="12398" spans="1:8" ht="14.4" x14ac:dyDescent="0.3">
      <c r="A12398" s="8">
        <v>2055420</v>
      </c>
      <c r="B12398" s="11">
        <v>44722</v>
      </c>
      <c r="C12398" s="13" t="s">
        <v>506</v>
      </c>
      <c r="D12398" s="13" t="s">
        <v>15564</v>
      </c>
      <c r="E12398" s="8">
        <v>118000</v>
      </c>
      <c r="F12398" s="13" t="s">
        <v>70</v>
      </c>
      <c r="G12398" s="14">
        <v>44726</v>
      </c>
      <c r="H12398" s="13" t="s">
        <v>163</v>
      </c>
    </row>
    <row r="12399" spans="1:8" ht="14.4" x14ac:dyDescent="0.3">
      <c r="A12399" s="8">
        <v>2055421</v>
      </c>
      <c r="B12399" s="11">
        <v>44722</v>
      </c>
      <c r="C12399" s="13" t="s">
        <v>74</v>
      </c>
      <c r="D12399" s="13" t="s">
        <v>15565</v>
      </c>
      <c r="E12399" s="8">
        <v>9000</v>
      </c>
      <c r="F12399" s="13" t="s">
        <v>70</v>
      </c>
      <c r="G12399" s="14">
        <v>44726</v>
      </c>
      <c r="H12399" s="13" t="s">
        <v>163</v>
      </c>
    </row>
    <row r="12400" spans="1:8" ht="14.4" x14ac:dyDescent="0.3">
      <c r="A12400" s="8">
        <v>2055422</v>
      </c>
      <c r="B12400" s="11">
        <v>44722</v>
      </c>
      <c r="C12400" s="13" t="s">
        <v>15566</v>
      </c>
      <c r="D12400" s="13" t="s">
        <v>15567</v>
      </c>
      <c r="E12400" s="8">
        <v>5000</v>
      </c>
      <c r="F12400" s="13" t="s">
        <v>70</v>
      </c>
      <c r="G12400" s="14">
        <v>44727</v>
      </c>
      <c r="H12400" s="13" t="s">
        <v>163</v>
      </c>
    </row>
    <row r="12401" spans="1:8" ht="14.4" x14ac:dyDescent="0.3">
      <c r="A12401" s="8">
        <v>2055423</v>
      </c>
      <c r="B12401" s="11">
        <v>44722</v>
      </c>
      <c r="C12401" s="13" t="s">
        <v>15568</v>
      </c>
      <c r="D12401" s="13" t="s">
        <v>15569</v>
      </c>
      <c r="E12401" s="8">
        <v>5000</v>
      </c>
      <c r="F12401" s="13" t="s">
        <v>70</v>
      </c>
      <c r="G12401" s="14">
        <v>44727</v>
      </c>
      <c r="H12401" s="13" t="s">
        <v>163</v>
      </c>
    </row>
    <row r="12402" spans="1:8" ht="14.4" x14ac:dyDescent="0.3">
      <c r="A12402" s="8">
        <v>2055424</v>
      </c>
      <c r="B12402" s="11">
        <v>44722</v>
      </c>
      <c r="C12402" s="13" t="s">
        <v>15570</v>
      </c>
      <c r="D12402" s="13" t="s">
        <v>15571</v>
      </c>
      <c r="E12402" s="8">
        <v>20000</v>
      </c>
      <c r="F12402" s="13" t="s">
        <v>70</v>
      </c>
      <c r="G12402" s="14">
        <v>44726</v>
      </c>
      <c r="H12402" s="13" t="s">
        <v>163</v>
      </c>
    </row>
    <row r="12403" spans="1:8" ht="14.4" x14ac:dyDescent="0.3">
      <c r="A12403" s="8">
        <v>2055425</v>
      </c>
      <c r="B12403" s="11">
        <v>44722</v>
      </c>
      <c r="C12403" s="13" t="s">
        <v>15572</v>
      </c>
      <c r="D12403" s="13" t="s">
        <v>15573</v>
      </c>
      <c r="E12403" s="8">
        <v>30000</v>
      </c>
      <c r="F12403" s="13" t="s">
        <v>70</v>
      </c>
      <c r="G12403" s="14">
        <v>44726</v>
      </c>
      <c r="H12403" s="13" t="s">
        <v>163</v>
      </c>
    </row>
    <row r="12404" spans="1:8" ht="14.4" x14ac:dyDescent="0.3">
      <c r="A12404" s="8">
        <v>2055426</v>
      </c>
      <c r="B12404" s="11">
        <v>44722</v>
      </c>
      <c r="C12404" s="13" t="s">
        <v>15574</v>
      </c>
      <c r="D12404" s="13" t="s">
        <v>15575</v>
      </c>
      <c r="E12404" s="8">
        <v>5000</v>
      </c>
      <c r="F12404" s="13" t="s">
        <v>70</v>
      </c>
      <c r="G12404" s="14">
        <v>44728</v>
      </c>
      <c r="H12404" s="13" t="s">
        <v>163</v>
      </c>
    </row>
    <row r="12405" spans="1:8" ht="14.4" x14ac:dyDescent="0.3">
      <c r="A12405" s="8">
        <v>2055427</v>
      </c>
      <c r="B12405" s="11">
        <v>44722</v>
      </c>
      <c r="C12405" s="13" t="s">
        <v>14514</v>
      </c>
      <c r="D12405" s="13" t="s">
        <v>15576</v>
      </c>
      <c r="E12405" s="8">
        <v>5000</v>
      </c>
      <c r="F12405" s="13" t="s">
        <v>70</v>
      </c>
      <c r="G12405" s="14">
        <v>44727</v>
      </c>
      <c r="H12405" s="13" t="s">
        <v>163</v>
      </c>
    </row>
    <row r="12406" spans="1:8" ht="14.4" x14ac:dyDescent="0.3">
      <c r="A12406" s="8">
        <v>2055428</v>
      </c>
      <c r="B12406" s="11">
        <v>44722</v>
      </c>
      <c r="C12406" s="13" t="s">
        <v>15577</v>
      </c>
      <c r="D12406" s="13" t="s">
        <v>15578</v>
      </c>
      <c r="E12406" s="8">
        <v>20000</v>
      </c>
      <c r="F12406" s="13" t="s">
        <v>70</v>
      </c>
      <c r="G12406" s="14">
        <v>44726</v>
      </c>
      <c r="H12406" s="13" t="s">
        <v>163</v>
      </c>
    </row>
    <row r="12407" spans="1:8" ht="14.4" x14ac:dyDescent="0.3">
      <c r="A12407" s="8">
        <v>2055429</v>
      </c>
      <c r="B12407" s="11">
        <v>44722</v>
      </c>
      <c r="C12407" s="13" t="s">
        <v>15579</v>
      </c>
      <c r="D12407" s="13" t="s">
        <v>15580</v>
      </c>
      <c r="E12407" s="8">
        <v>5000</v>
      </c>
      <c r="F12407" s="13" t="s">
        <v>70</v>
      </c>
      <c r="G12407" s="14">
        <v>44726</v>
      </c>
      <c r="H12407" s="13" t="s">
        <v>163</v>
      </c>
    </row>
    <row r="12408" spans="1:8" ht="14.4" x14ac:dyDescent="0.3">
      <c r="A12408" s="8">
        <v>2055430</v>
      </c>
      <c r="B12408" s="11">
        <v>44722</v>
      </c>
      <c r="C12408" s="13" t="s">
        <v>15581</v>
      </c>
      <c r="D12408" s="13" t="s">
        <v>15582</v>
      </c>
      <c r="E12408" s="8">
        <v>20000</v>
      </c>
      <c r="F12408" s="13" t="s">
        <v>70</v>
      </c>
      <c r="G12408" s="14">
        <v>44726</v>
      </c>
      <c r="H12408" s="13" t="s">
        <v>163</v>
      </c>
    </row>
    <row r="12409" spans="1:8" ht="14.4" x14ac:dyDescent="0.3">
      <c r="A12409" s="8">
        <v>2055431</v>
      </c>
      <c r="B12409" s="11">
        <v>44722</v>
      </c>
      <c r="C12409" s="13" t="s">
        <v>15583</v>
      </c>
      <c r="D12409" s="13" t="s">
        <v>15584</v>
      </c>
      <c r="E12409" s="8">
        <v>5000</v>
      </c>
      <c r="F12409" s="13" t="s">
        <v>70</v>
      </c>
      <c r="G12409" s="14">
        <v>44726</v>
      </c>
      <c r="H12409" s="13" t="s">
        <v>163</v>
      </c>
    </row>
    <row r="12410" spans="1:8" ht="14.4" x14ac:dyDescent="0.3">
      <c r="A12410" s="8">
        <v>2055432</v>
      </c>
      <c r="B12410" s="11">
        <v>44722</v>
      </c>
      <c r="C12410" s="13" t="s">
        <v>15585</v>
      </c>
      <c r="D12410" s="13" t="s">
        <v>15586</v>
      </c>
      <c r="E12410" s="8">
        <v>5000</v>
      </c>
      <c r="F12410" s="13" t="s">
        <v>70</v>
      </c>
      <c r="G12410" s="14">
        <v>44727</v>
      </c>
      <c r="H12410" s="13" t="s">
        <v>163</v>
      </c>
    </row>
    <row r="12411" spans="1:8" ht="14.4" x14ac:dyDescent="0.3">
      <c r="A12411" s="8">
        <v>2055433</v>
      </c>
      <c r="B12411" s="11">
        <v>44722</v>
      </c>
      <c r="C12411" s="13" t="s">
        <v>15587</v>
      </c>
      <c r="D12411" s="13" t="s">
        <v>15588</v>
      </c>
      <c r="E12411" s="8">
        <v>5000</v>
      </c>
      <c r="F12411" s="13" t="s">
        <v>70</v>
      </c>
      <c r="G12411" s="14">
        <v>44726</v>
      </c>
      <c r="H12411" s="13" t="s">
        <v>163</v>
      </c>
    </row>
    <row r="12412" spans="1:8" ht="14.4" x14ac:dyDescent="0.3">
      <c r="A12412" s="8">
        <v>2055434</v>
      </c>
      <c r="B12412" s="11">
        <v>44722</v>
      </c>
      <c r="C12412" s="13" t="s">
        <v>123</v>
      </c>
      <c r="D12412" s="13" t="s">
        <v>15589</v>
      </c>
      <c r="E12412" s="8">
        <v>30000</v>
      </c>
      <c r="F12412" s="13" t="s">
        <v>70</v>
      </c>
      <c r="G12412" s="14">
        <v>44727</v>
      </c>
      <c r="H12412" s="13" t="s">
        <v>163</v>
      </c>
    </row>
    <row r="12413" spans="1:8" ht="14.4" x14ac:dyDescent="0.3">
      <c r="A12413" s="8">
        <v>2055435</v>
      </c>
      <c r="B12413" s="11">
        <v>44722</v>
      </c>
      <c r="C12413" s="13" t="s">
        <v>15590</v>
      </c>
      <c r="D12413" s="13" t="s">
        <v>15591</v>
      </c>
      <c r="E12413" s="8">
        <v>5000</v>
      </c>
      <c r="F12413" s="13" t="s">
        <v>70</v>
      </c>
      <c r="G12413" s="14">
        <v>44726</v>
      </c>
      <c r="H12413" s="13" t="s">
        <v>163</v>
      </c>
    </row>
    <row r="12414" spans="1:8" ht="14.4" x14ac:dyDescent="0.3">
      <c r="A12414" s="8">
        <v>2055436</v>
      </c>
      <c r="B12414" s="11">
        <v>44722</v>
      </c>
      <c r="C12414" s="13" t="s">
        <v>15592</v>
      </c>
      <c r="D12414" s="13" t="s">
        <v>15593</v>
      </c>
      <c r="E12414" s="8">
        <v>12000</v>
      </c>
      <c r="F12414" s="13" t="s">
        <v>70</v>
      </c>
      <c r="G12414" s="14">
        <v>44726</v>
      </c>
      <c r="H12414" s="13" t="s">
        <v>163</v>
      </c>
    </row>
    <row r="12415" spans="1:8" ht="14.4" x14ac:dyDescent="0.3">
      <c r="A12415" s="8">
        <v>2055437</v>
      </c>
      <c r="B12415" s="11">
        <v>44722</v>
      </c>
      <c r="C12415" s="13" t="s">
        <v>3764</v>
      </c>
      <c r="D12415" s="13" t="s">
        <v>15594</v>
      </c>
      <c r="E12415" s="8">
        <v>42000</v>
      </c>
      <c r="F12415" s="13" t="s">
        <v>70</v>
      </c>
      <c r="G12415" s="14">
        <v>44727</v>
      </c>
      <c r="H12415" s="13" t="s">
        <v>163</v>
      </c>
    </row>
    <row r="12416" spans="1:8" ht="14.4" x14ac:dyDescent="0.3">
      <c r="A12416" s="8">
        <v>2055438</v>
      </c>
      <c r="B12416" s="11">
        <v>44722</v>
      </c>
      <c r="C12416" s="13" t="s">
        <v>15595</v>
      </c>
      <c r="D12416" s="13" t="s">
        <v>15596</v>
      </c>
      <c r="E12416" s="8">
        <v>7000</v>
      </c>
      <c r="F12416" s="13" t="s">
        <v>70</v>
      </c>
      <c r="G12416" s="14">
        <v>44726</v>
      </c>
      <c r="H12416" s="13" t="s">
        <v>163</v>
      </c>
    </row>
    <row r="12417" spans="1:8" ht="14.4" x14ac:dyDescent="0.3">
      <c r="A12417" s="8">
        <v>2055439</v>
      </c>
      <c r="B12417" s="11">
        <v>44722</v>
      </c>
      <c r="C12417" s="13" t="s">
        <v>15597</v>
      </c>
      <c r="D12417" s="13" t="s">
        <v>15598</v>
      </c>
      <c r="E12417" s="8">
        <v>10000</v>
      </c>
      <c r="F12417" s="13" t="s">
        <v>70</v>
      </c>
      <c r="G12417" s="14">
        <v>44726</v>
      </c>
      <c r="H12417" s="13" t="s">
        <v>163</v>
      </c>
    </row>
    <row r="12418" spans="1:8" ht="14.4" x14ac:dyDescent="0.3">
      <c r="A12418" s="8">
        <v>2055440</v>
      </c>
      <c r="B12418" s="11">
        <v>44722</v>
      </c>
      <c r="C12418" s="13" t="s">
        <v>15599</v>
      </c>
      <c r="D12418" s="13" t="s">
        <v>15600</v>
      </c>
      <c r="E12418" s="8">
        <v>37000</v>
      </c>
      <c r="F12418" s="13" t="s">
        <v>70</v>
      </c>
      <c r="G12418" s="14">
        <v>44727</v>
      </c>
      <c r="H12418" s="13" t="s">
        <v>163</v>
      </c>
    </row>
    <row r="12419" spans="1:8" ht="14.4" x14ac:dyDescent="0.3">
      <c r="A12419" s="8">
        <v>2055441</v>
      </c>
      <c r="B12419" s="11">
        <v>44722</v>
      </c>
      <c r="C12419" s="13" t="s">
        <v>15601</v>
      </c>
      <c r="D12419" s="13" t="s">
        <v>15602</v>
      </c>
      <c r="E12419" s="8">
        <v>10000</v>
      </c>
      <c r="F12419" s="13" t="s">
        <v>70</v>
      </c>
      <c r="G12419" s="14">
        <v>44726</v>
      </c>
      <c r="H12419" s="13" t="s">
        <v>163</v>
      </c>
    </row>
    <row r="12420" spans="1:8" ht="14.4" x14ac:dyDescent="0.3">
      <c r="A12420" s="8">
        <v>2055442</v>
      </c>
      <c r="B12420" s="11">
        <v>44722</v>
      </c>
      <c r="C12420" s="13" t="s">
        <v>15603</v>
      </c>
      <c r="D12420" s="13" t="s">
        <v>15604</v>
      </c>
      <c r="E12420" s="8">
        <v>20000</v>
      </c>
      <c r="F12420" s="13" t="s">
        <v>70</v>
      </c>
      <c r="G12420" s="14">
        <v>44726</v>
      </c>
      <c r="H12420" s="13" t="s">
        <v>163</v>
      </c>
    </row>
    <row r="12421" spans="1:8" ht="14.4" x14ac:dyDescent="0.3">
      <c r="A12421" s="8">
        <v>2055443</v>
      </c>
      <c r="B12421" s="11">
        <v>44722</v>
      </c>
      <c r="C12421" s="13" t="s">
        <v>15605</v>
      </c>
      <c r="D12421" s="13" t="s">
        <v>15606</v>
      </c>
      <c r="E12421" s="8">
        <v>6000</v>
      </c>
      <c r="F12421" s="13" t="s">
        <v>70</v>
      </c>
      <c r="G12421" s="14">
        <v>44729</v>
      </c>
      <c r="H12421" s="13" t="s">
        <v>163</v>
      </c>
    </row>
    <row r="12422" spans="1:8" ht="14.4" x14ac:dyDescent="0.3">
      <c r="A12422" s="8">
        <v>2055445</v>
      </c>
      <c r="B12422" s="11">
        <v>44722</v>
      </c>
      <c r="C12422" s="13" t="s">
        <v>14742</v>
      </c>
      <c r="D12422" s="13" t="s">
        <v>15607</v>
      </c>
      <c r="E12422" s="8">
        <v>7000</v>
      </c>
      <c r="F12422" s="13" t="s">
        <v>70</v>
      </c>
      <c r="G12422" s="14">
        <v>44727</v>
      </c>
      <c r="H12422" s="13" t="s">
        <v>163</v>
      </c>
    </row>
    <row r="12423" spans="1:8" ht="14.4" x14ac:dyDescent="0.3">
      <c r="A12423" s="8">
        <v>2055446</v>
      </c>
      <c r="B12423" s="11">
        <v>44722</v>
      </c>
      <c r="C12423" s="13" t="s">
        <v>7155</v>
      </c>
      <c r="D12423" s="13" t="s">
        <v>15608</v>
      </c>
      <c r="E12423" s="8">
        <v>7400</v>
      </c>
      <c r="F12423" s="13" t="s">
        <v>70</v>
      </c>
      <c r="G12423" s="14">
        <v>44726</v>
      </c>
      <c r="H12423" s="13" t="s">
        <v>163</v>
      </c>
    </row>
    <row r="12424" spans="1:8" ht="14.4" x14ac:dyDescent="0.3">
      <c r="A12424" s="8">
        <v>2055447</v>
      </c>
      <c r="B12424" s="11">
        <v>44722</v>
      </c>
      <c r="C12424" s="13" t="s">
        <v>15609</v>
      </c>
      <c r="D12424" s="13" t="s">
        <v>15610</v>
      </c>
      <c r="E12424" s="8">
        <v>6000</v>
      </c>
      <c r="F12424" s="13" t="s">
        <v>70</v>
      </c>
      <c r="G12424" s="14">
        <v>44732</v>
      </c>
      <c r="H12424" s="13" t="s">
        <v>163</v>
      </c>
    </row>
    <row r="12425" spans="1:8" ht="14.4" x14ac:dyDescent="0.3">
      <c r="A12425" s="8">
        <v>2055448</v>
      </c>
      <c r="B12425" s="11">
        <v>44722</v>
      </c>
      <c r="C12425" s="13" t="s">
        <v>15611</v>
      </c>
      <c r="D12425" s="13" t="s">
        <v>15612</v>
      </c>
      <c r="E12425" s="8">
        <v>5000</v>
      </c>
      <c r="F12425" s="13" t="s">
        <v>70</v>
      </c>
      <c r="G12425" s="14">
        <v>44726</v>
      </c>
      <c r="H12425" s="13" t="s">
        <v>163</v>
      </c>
    </row>
    <row r="12426" spans="1:8" ht="14.4" x14ac:dyDescent="0.3">
      <c r="A12426" s="8">
        <v>2055449</v>
      </c>
      <c r="B12426" s="11">
        <v>44722</v>
      </c>
      <c r="C12426" s="13" t="s">
        <v>15613</v>
      </c>
      <c r="D12426" s="13" t="s">
        <v>15614</v>
      </c>
      <c r="E12426" s="8">
        <v>34000</v>
      </c>
      <c r="F12426" s="13" t="s">
        <v>70</v>
      </c>
      <c r="G12426" s="14">
        <v>44727</v>
      </c>
      <c r="H12426" s="13" t="s">
        <v>163</v>
      </c>
    </row>
    <row r="12427" spans="1:8" ht="14.4" x14ac:dyDescent="0.3">
      <c r="A12427" s="8">
        <v>2055450</v>
      </c>
      <c r="B12427" s="11">
        <v>44722</v>
      </c>
      <c r="C12427" s="13" t="s">
        <v>15615</v>
      </c>
      <c r="D12427" s="13" t="s">
        <v>15616</v>
      </c>
      <c r="E12427" s="8">
        <v>15000</v>
      </c>
      <c r="F12427" s="13" t="s">
        <v>70</v>
      </c>
      <c r="G12427" s="14">
        <v>44727</v>
      </c>
      <c r="H12427" s="13" t="s">
        <v>163</v>
      </c>
    </row>
    <row r="12428" spans="1:8" ht="14.4" x14ac:dyDescent="0.3">
      <c r="A12428" s="8">
        <v>2055451</v>
      </c>
      <c r="B12428" s="11">
        <v>44722</v>
      </c>
      <c r="C12428" s="13" t="s">
        <v>15617</v>
      </c>
      <c r="D12428" s="13" t="s">
        <v>15618</v>
      </c>
      <c r="E12428" s="8">
        <v>5000</v>
      </c>
      <c r="F12428" s="13" t="s">
        <v>70</v>
      </c>
      <c r="G12428" s="14">
        <v>44727</v>
      </c>
      <c r="H12428" s="13" t="s">
        <v>163</v>
      </c>
    </row>
    <row r="12429" spans="1:8" ht="14.4" x14ac:dyDescent="0.3">
      <c r="A12429" s="8">
        <v>2055452</v>
      </c>
      <c r="B12429" s="11">
        <v>44722</v>
      </c>
      <c r="C12429" s="13" t="s">
        <v>15619</v>
      </c>
      <c r="D12429" s="13" t="s">
        <v>15620</v>
      </c>
      <c r="E12429" s="8">
        <v>5000</v>
      </c>
      <c r="F12429" s="13" t="s">
        <v>70</v>
      </c>
      <c r="G12429" s="14">
        <v>44727</v>
      </c>
      <c r="H12429" s="13" t="s">
        <v>163</v>
      </c>
    </row>
    <row r="12430" spans="1:8" ht="14.4" x14ac:dyDescent="0.3">
      <c r="A12430" s="8">
        <v>2055453</v>
      </c>
      <c r="B12430" s="11">
        <v>44722</v>
      </c>
      <c r="C12430" s="13" t="s">
        <v>13113</v>
      </c>
      <c r="D12430" s="13" t="s">
        <v>15621</v>
      </c>
      <c r="E12430" s="8">
        <v>18000</v>
      </c>
      <c r="F12430" s="13" t="s">
        <v>70</v>
      </c>
      <c r="G12430" s="14">
        <v>44726</v>
      </c>
      <c r="H12430" s="13" t="s">
        <v>163</v>
      </c>
    </row>
    <row r="12431" spans="1:8" ht="14.4" x14ac:dyDescent="0.3">
      <c r="A12431" s="8">
        <v>2055454</v>
      </c>
      <c r="B12431" s="11">
        <v>44722</v>
      </c>
      <c r="C12431" s="13" t="s">
        <v>13735</v>
      </c>
      <c r="D12431" s="13" t="s">
        <v>15622</v>
      </c>
      <c r="E12431" s="8">
        <v>9899089.1999999993</v>
      </c>
      <c r="F12431" s="13" t="s">
        <v>70</v>
      </c>
      <c r="G12431" s="14">
        <v>44725</v>
      </c>
      <c r="H12431" s="13" t="s">
        <v>163</v>
      </c>
    </row>
    <row r="12432" spans="1:8" ht="14.4" x14ac:dyDescent="0.3">
      <c r="A12432" s="8">
        <v>2055455</v>
      </c>
      <c r="B12432" s="11">
        <v>44726</v>
      </c>
      <c r="C12432" s="13" t="s">
        <v>2571</v>
      </c>
      <c r="D12432" s="13" t="s">
        <v>15623</v>
      </c>
      <c r="E12432" s="8">
        <v>7527.89</v>
      </c>
      <c r="F12432" s="13" t="s">
        <v>70</v>
      </c>
      <c r="G12432" s="14">
        <v>44728</v>
      </c>
      <c r="H12432" s="13" t="s">
        <v>163</v>
      </c>
    </row>
    <row r="12433" spans="1:8" ht="14.4" x14ac:dyDescent="0.3">
      <c r="A12433" s="8">
        <v>2055456</v>
      </c>
      <c r="B12433" s="11">
        <v>44726</v>
      </c>
      <c r="C12433" s="13" t="s">
        <v>15624</v>
      </c>
      <c r="D12433" s="13" t="s">
        <v>15625</v>
      </c>
      <c r="E12433" s="8">
        <v>5000</v>
      </c>
      <c r="F12433" s="13" t="s">
        <v>70</v>
      </c>
      <c r="G12433" s="14">
        <v>44732</v>
      </c>
      <c r="H12433" s="13" t="s">
        <v>163</v>
      </c>
    </row>
    <row r="12434" spans="1:8" ht="14.4" x14ac:dyDescent="0.3">
      <c r="A12434" s="8">
        <v>2055457</v>
      </c>
      <c r="B12434" s="11">
        <v>44726</v>
      </c>
      <c r="C12434" s="13" t="s">
        <v>13627</v>
      </c>
      <c r="D12434" s="13" t="s">
        <v>15626</v>
      </c>
      <c r="E12434" s="8">
        <v>5000</v>
      </c>
      <c r="F12434" s="13" t="s">
        <v>70</v>
      </c>
      <c r="G12434" s="14">
        <v>44729</v>
      </c>
      <c r="H12434" s="13" t="s">
        <v>163</v>
      </c>
    </row>
    <row r="12435" spans="1:8" ht="14.4" x14ac:dyDescent="0.3">
      <c r="A12435" s="8">
        <v>2055458</v>
      </c>
      <c r="B12435" s="11">
        <v>44726</v>
      </c>
      <c r="C12435" s="13" t="s">
        <v>13922</v>
      </c>
      <c r="D12435" s="13" t="s">
        <v>15627</v>
      </c>
      <c r="E12435" s="8">
        <v>5000</v>
      </c>
      <c r="F12435" s="13" t="s">
        <v>70</v>
      </c>
      <c r="G12435" s="14">
        <v>44729</v>
      </c>
      <c r="H12435" s="13" t="s">
        <v>163</v>
      </c>
    </row>
    <row r="12436" spans="1:8" ht="14.4" x14ac:dyDescent="0.3">
      <c r="A12436" s="8">
        <v>2055459</v>
      </c>
      <c r="B12436" s="11">
        <v>44726</v>
      </c>
      <c r="C12436" s="13" t="s">
        <v>14553</v>
      </c>
      <c r="D12436" s="13" t="s">
        <v>15628</v>
      </c>
      <c r="E12436" s="8">
        <v>5000</v>
      </c>
      <c r="F12436" s="13" t="s">
        <v>70</v>
      </c>
      <c r="G12436" s="14">
        <v>44729</v>
      </c>
      <c r="H12436" s="13" t="s">
        <v>163</v>
      </c>
    </row>
    <row r="12437" spans="1:8" ht="14.4" x14ac:dyDescent="0.3">
      <c r="A12437" s="8">
        <v>2055460</v>
      </c>
      <c r="B12437" s="11">
        <v>44726</v>
      </c>
      <c r="C12437" s="13" t="s">
        <v>14608</v>
      </c>
      <c r="D12437" s="13" t="s">
        <v>15629</v>
      </c>
      <c r="E12437" s="8">
        <v>5000</v>
      </c>
      <c r="F12437" s="13" t="s">
        <v>70</v>
      </c>
      <c r="G12437" s="14">
        <v>44729</v>
      </c>
      <c r="H12437" s="13" t="s">
        <v>163</v>
      </c>
    </row>
    <row r="12438" spans="1:8" ht="14.4" x14ac:dyDescent="0.3">
      <c r="A12438" s="8">
        <v>2055461</v>
      </c>
      <c r="B12438" s="11">
        <v>44726</v>
      </c>
      <c r="C12438" s="13" t="s">
        <v>15630</v>
      </c>
      <c r="D12438" s="13" t="s">
        <v>15631</v>
      </c>
      <c r="E12438" s="8">
        <v>20000</v>
      </c>
      <c r="F12438" s="13" t="s">
        <v>70</v>
      </c>
      <c r="G12438" s="14">
        <v>44729</v>
      </c>
      <c r="H12438" s="13" t="s">
        <v>163</v>
      </c>
    </row>
    <row r="12439" spans="1:8" ht="14.4" x14ac:dyDescent="0.3">
      <c r="A12439" s="8">
        <v>2055462</v>
      </c>
      <c r="B12439" s="11">
        <v>44726</v>
      </c>
      <c r="C12439" s="13" t="s">
        <v>15632</v>
      </c>
      <c r="D12439" s="13" t="s">
        <v>15633</v>
      </c>
      <c r="E12439" s="8">
        <v>5000</v>
      </c>
      <c r="F12439" s="13" t="s">
        <v>70</v>
      </c>
      <c r="G12439" s="14">
        <v>44729</v>
      </c>
      <c r="H12439" s="13" t="s">
        <v>163</v>
      </c>
    </row>
    <row r="12440" spans="1:8" ht="14.4" x14ac:dyDescent="0.3">
      <c r="A12440" s="8">
        <v>2055463</v>
      </c>
      <c r="B12440" s="11">
        <v>44726</v>
      </c>
      <c r="C12440" s="13" t="s">
        <v>15634</v>
      </c>
      <c r="D12440" s="13" t="s">
        <v>15635</v>
      </c>
      <c r="E12440" s="8">
        <v>20000</v>
      </c>
      <c r="F12440" s="13" t="s">
        <v>70</v>
      </c>
      <c r="G12440" s="14">
        <v>44729</v>
      </c>
      <c r="H12440" s="13" t="s">
        <v>163</v>
      </c>
    </row>
    <row r="12441" spans="1:8" ht="14.4" x14ac:dyDescent="0.3">
      <c r="A12441" s="8">
        <v>2055464</v>
      </c>
      <c r="B12441" s="11">
        <v>44726</v>
      </c>
      <c r="C12441" s="13" t="s">
        <v>15636</v>
      </c>
      <c r="D12441" s="13" t="s">
        <v>15637</v>
      </c>
      <c r="E12441" s="8">
        <v>5000</v>
      </c>
      <c r="F12441" s="13" t="s">
        <v>70</v>
      </c>
      <c r="G12441" s="14">
        <v>44732</v>
      </c>
      <c r="H12441" s="13" t="s">
        <v>163</v>
      </c>
    </row>
    <row r="12442" spans="1:8" ht="14.4" x14ac:dyDescent="0.3">
      <c r="A12442" s="8">
        <v>2055465</v>
      </c>
      <c r="B12442" s="11">
        <v>44726</v>
      </c>
      <c r="C12442" s="13" t="s">
        <v>15638</v>
      </c>
      <c r="D12442" s="13" t="s">
        <v>15639</v>
      </c>
      <c r="E12442" s="8">
        <v>5000</v>
      </c>
      <c r="F12442" s="13" t="s">
        <v>70</v>
      </c>
      <c r="G12442" s="14">
        <v>44729</v>
      </c>
      <c r="H12442" s="13" t="s">
        <v>163</v>
      </c>
    </row>
    <row r="12443" spans="1:8" ht="14.4" x14ac:dyDescent="0.3">
      <c r="A12443" s="8">
        <v>2055466</v>
      </c>
      <c r="B12443" s="11">
        <v>44726</v>
      </c>
      <c r="C12443" s="13" t="s">
        <v>3024</v>
      </c>
      <c r="D12443" s="13" t="s">
        <v>15640</v>
      </c>
      <c r="E12443" s="8">
        <v>50000</v>
      </c>
      <c r="F12443" s="13" t="s">
        <v>70</v>
      </c>
      <c r="G12443" s="14">
        <v>44732</v>
      </c>
      <c r="H12443" s="13" t="s">
        <v>163</v>
      </c>
    </row>
    <row r="12444" spans="1:8" ht="14.4" x14ac:dyDescent="0.3">
      <c r="A12444" s="8">
        <v>2055467</v>
      </c>
      <c r="B12444" s="11">
        <v>44726</v>
      </c>
      <c r="C12444" s="13" t="s">
        <v>15641</v>
      </c>
      <c r="D12444" s="13" t="s">
        <v>15642</v>
      </c>
      <c r="E12444" s="8">
        <v>20000</v>
      </c>
      <c r="F12444" s="13" t="s">
        <v>70</v>
      </c>
      <c r="G12444" s="14">
        <v>44741</v>
      </c>
      <c r="H12444" s="13" t="s">
        <v>163</v>
      </c>
    </row>
    <row r="12445" spans="1:8" ht="14.4" x14ac:dyDescent="0.3">
      <c r="A12445" s="8">
        <v>2055468</v>
      </c>
      <c r="B12445" s="11">
        <v>44726</v>
      </c>
      <c r="C12445" s="13" t="s">
        <v>15643</v>
      </c>
      <c r="D12445" s="13" t="s">
        <v>15644</v>
      </c>
      <c r="E12445" s="8">
        <v>35000</v>
      </c>
      <c r="F12445" s="13" t="s">
        <v>70</v>
      </c>
      <c r="G12445" s="14">
        <v>44729</v>
      </c>
      <c r="H12445" s="13" t="s">
        <v>163</v>
      </c>
    </row>
    <row r="12446" spans="1:8" ht="14.4" x14ac:dyDescent="0.3">
      <c r="A12446" s="8">
        <v>2055469</v>
      </c>
      <c r="B12446" s="11">
        <v>44726</v>
      </c>
      <c r="C12446" s="13" t="s">
        <v>15645</v>
      </c>
      <c r="D12446" s="13" t="s">
        <v>15646</v>
      </c>
      <c r="E12446" s="8">
        <v>50000</v>
      </c>
      <c r="F12446" s="13" t="s">
        <v>70</v>
      </c>
      <c r="G12446" s="14">
        <v>44740</v>
      </c>
      <c r="H12446" s="13" t="s">
        <v>163</v>
      </c>
    </row>
    <row r="12447" spans="1:8" ht="14.4" x14ac:dyDescent="0.3">
      <c r="A12447" s="8">
        <v>2055470</v>
      </c>
      <c r="B12447" s="11">
        <v>44726</v>
      </c>
      <c r="C12447" s="13" t="s">
        <v>15647</v>
      </c>
      <c r="D12447" s="13" t="s">
        <v>15648</v>
      </c>
      <c r="E12447" s="8">
        <v>25000</v>
      </c>
      <c r="F12447" s="13" t="s">
        <v>70</v>
      </c>
      <c r="G12447" s="14">
        <v>44732</v>
      </c>
      <c r="H12447" s="13" t="s">
        <v>163</v>
      </c>
    </row>
    <row r="12448" spans="1:8" ht="14.4" x14ac:dyDescent="0.3">
      <c r="A12448" s="8">
        <v>2055471</v>
      </c>
      <c r="B12448" s="11">
        <v>44726</v>
      </c>
      <c r="C12448" s="13" t="s">
        <v>15649</v>
      </c>
      <c r="D12448" s="13" t="s">
        <v>15650</v>
      </c>
      <c r="E12448" s="8">
        <v>20000</v>
      </c>
      <c r="F12448" s="13" t="s">
        <v>70</v>
      </c>
      <c r="G12448" s="14">
        <v>44729</v>
      </c>
      <c r="H12448" s="13" t="s">
        <v>163</v>
      </c>
    </row>
    <row r="12449" spans="1:8" ht="14.4" x14ac:dyDescent="0.3">
      <c r="A12449" s="8">
        <v>2055472</v>
      </c>
      <c r="B12449" s="11">
        <v>44726</v>
      </c>
      <c r="C12449" s="13" t="s">
        <v>15651</v>
      </c>
      <c r="D12449" s="13" t="s">
        <v>15652</v>
      </c>
      <c r="E12449" s="8">
        <v>50000</v>
      </c>
      <c r="F12449" s="13" t="s">
        <v>70</v>
      </c>
      <c r="G12449" s="14">
        <v>44729</v>
      </c>
      <c r="H12449" s="13" t="s">
        <v>163</v>
      </c>
    </row>
    <row r="12450" spans="1:8" ht="14.4" x14ac:dyDescent="0.3">
      <c r="A12450" s="8">
        <v>2055473</v>
      </c>
      <c r="B12450" s="11">
        <v>44726</v>
      </c>
      <c r="C12450" s="13" t="s">
        <v>15653</v>
      </c>
      <c r="D12450" s="13" t="s">
        <v>15654</v>
      </c>
      <c r="E12450" s="8">
        <v>5000</v>
      </c>
      <c r="F12450" s="13" t="s">
        <v>70</v>
      </c>
      <c r="G12450" s="14">
        <v>44729</v>
      </c>
      <c r="H12450" s="13" t="s">
        <v>163</v>
      </c>
    </row>
    <row r="12451" spans="1:8" ht="14.4" x14ac:dyDescent="0.3">
      <c r="A12451" s="8">
        <v>2055474</v>
      </c>
      <c r="B12451" s="11">
        <v>44726</v>
      </c>
      <c r="C12451" s="13" t="s">
        <v>15655</v>
      </c>
      <c r="D12451" s="13" t="s">
        <v>15656</v>
      </c>
      <c r="E12451" s="8">
        <v>5000</v>
      </c>
      <c r="F12451" s="13" t="s">
        <v>70</v>
      </c>
      <c r="G12451" s="14">
        <v>44729</v>
      </c>
      <c r="H12451" s="13" t="s">
        <v>163</v>
      </c>
    </row>
    <row r="12452" spans="1:8" ht="14.4" x14ac:dyDescent="0.3">
      <c r="A12452" s="8">
        <v>2055475</v>
      </c>
      <c r="B12452" s="11">
        <v>44726</v>
      </c>
      <c r="C12452" s="13" t="s">
        <v>15657</v>
      </c>
      <c r="D12452" s="13" t="s">
        <v>15658</v>
      </c>
      <c r="E12452" s="8">
        <v>5000</v>
      </c>
      <c r="F12452" s="13" t="s">
        <v>70</v>
      </c>
      <c r="G12452" s="14">
        <v>44729</v>
      </c>
      <c r="H12452" s="13" t="s">
        <v>163</v>
      </c>
    </row>
    <row r="12453" spans="1:8" ht="14.4" x14ac:dyDescent="0.3">
      <c r="A12453" s="8">
        <v>2055476</v>
      </c>
      <c r="B12453" s="11">
        <v>44726</v>
      </c>
      <c r="C12453" s="13" t="s">
        <v>14632</v>
      </c>
      <c r="D12453" s="13" t="s">
        <v>15659</v>
      </c>
      <c r="E12453" s="8">
        <v>11000</v>
      </c>
      <c r="F12453" s="13" t="s">
        <v>70</v>
      </c>
      <c r="G12453" s="14">
        <v>44729</v>
      </c>
      <c r="H12453" s="13" t="s">
        <v>163</v>
      </c>
    </row>
    <row r="12454" spans="1:8" ht="14.4" x14ac:dyDescent="0.3">
      <c r="A12454" s="8">
        <v>2055477</v>
      </c>
      <c r="B12454" s="11">
        <v>44726</v>
      </c>
      <c r="C12454" s="13" t="s">
        <v>2831</v>
      </c>
      <c r="D12454" s="13" t="s">
        <v>15660</v>
      </c>
      <c r="E12454" s="8">
        <v>7000</v>
      </c>
      <c r="F12454" s="13" t="s">
        <v>70</v>
      </c>
      <c r="G12454" s="14">
        <v>44729</v>
      </c>
      <c r="H12454" s="13" t="s">
        <v>163</v>
      </c>
    </row>
    <row r="12455" spans="1:8" ht="14.4" x14ac:dyDescent="0.3">
      <c r="A12455" s="8">
        <v>2055478</v>
      </c>
      <c r="B12455" s="11">
        <v>44726</v>
      </c>
      <c r="C12455" s="13" t="s">
        <v>2619</v>
      </c>
      <c r="D12455" s="13" t="s">
        <v>15661</v>
      </c>
      <c r="E12455" s="8">
        <v>5000</v>
      </c>
      <c r="F12455" s="13" t="s">
        <v>70</v>
      </c>
      <c r="G12455" s="14">
        <v>44728</v>
      </c>
      <c r="H12455" s="13" t="s">
        <v>163</v>
      </c>
    </row>
    <row r="12456" spans="1:8" ht="14.4" x14ac:dyDescent="0.3">
      <c r="A12456" s="8">
        <v>2055479</v>
      </c>
      <c r="B12456" s="10">
        <v>44726</v>
      </c>
      <c r="C12456" s="13" t="s">
        <v>15662</v>
      </c>
      <c r="D12456" s="13" t="s">
        <v>15663</v>
      </c>
      <c r="E12456" s="8">
        <v>20000</v>
      </c>
      <c r="F12456" s="13" t="s">
        <v>70</v>
      </c>
      <c r="G12456" s="14">
        <v>44729</v>
      </c>
      <c r="H12456" s="13" t="s">
        <v>163</v>
      </c>
    </row>
    <row r="12457" spans="1:8" ht="14.4" x14ac:dyDescent="0.3">
      <c r="A12457" s="8">
        <v>2055480</v>
      </c>
      <c r="B12457" s="11">
        <v>44726</v>
      </c>
      <c r="C12457" s="13" t="s">
        <v>14567</v>
      </c>
      <c r="D12457" s="13" t="s">
        <v>15664</v>
      </c>
      <c r="E12457" s="8">
        <v>12000</v>
      </c>
      <c r="F12457" s="13" t="s">
        <v>70</v>
      </c>
      <c r="G12457" s="14">
        <v>44729</v>
      </c>
      <c r="H12457" s="13" t="s">
        <v>163</v>
      </c>
    </row>
    <row r="12458" spans="1:8" ht="14.4" x14ac:dyDescent="0.3">
      <c r="A12458" s="8">
        <v>2055481</v>
      </c>
      <c r="B12458" s="11">
        <v>44726</v>
      </c>
      <c r="C12458" s="13" t="s">
        <v>15665</v>
      </c>
      <c r="D12458" s="13" t="s">
        <v>15666</v>
      </c>
      <c r="E12458" s="8">
        <v>20000</v>
      </c>
      <c r="F12458" s="13" t="s">
        <v>70</v>
      </c>
      <c r="G12458" s="14">
        <v>44729</v>
      </c>
      <c r="H12458" s="13" t="s">
        <v>163</v>
      </c>
    </row>
    <row r="12459" spans="1:8" ht="14.4" x14ac:dyDescent="0.3">
      <c r="A12459" s="8">
        <v>2055482</v>
      </c>
      <c r="B12459" s="11">
        <v>44726</v>
      </c>
      <c r="C12459" s="13" t="s">
        <v>15667</v>
      </c>
      <c r="D12459" s="13" t="s">
        <v>15668</v>
      </c>
      <c r="E12459" s="8">
        <v>5000</v>
      </c>
      <c r="F12459" s="13" t="s">
        <v>70</v>
      </c>
      <c r="G12459" s="14">
        <v>44728</v>
      </c>
      <c r="H12459" s="13" t="s">
        <v>163</v>
      </c>
    </row>
    <row r="12460" spans="1:8" ht="14.4" x14ac:dyDescent="0.3">
      <c r="A12460" s="8">
        <v>2055483</v>
      </c>
      <c r="B12460" s="11">
        <v>44726</v>
      </c>
      <c r="C12460" s="13" t="s">
        <v>15669</v>
      </c>
      <c r="D12460" s="13" t="s">
        <v>15670</v>
      </c>
      <c r="E12460" s="8">
        <v>10000</v>
      </c>
      <c r="F12460" s="13" t="s">
        <v>70</v>
      </c>
      <c r="G12460" s="14">
        <v>44729</v>
      </c>
      <c r="H12460" s="13" t="s">
        <v>163</v>
      </c>
    </row>
    <row r="12461" spans="1:8" ht="14.4" x14ac:dyDescent="0.3">
      <c r="A12461" s="8">
        <v>2055484</v>
      </c>
      <c r="B12461" s="11">
        <v>44726</v>
      </c>
      <c r="C12461" s="13" t="s">
        <v>15671</v>
      </c>
      <c r="D12461" s="13" t="s">
        <v>15672</v>
      </c>
      <c r="E12461" s="8">
        <v>5000</v>
      </c>
      <c r="F12461" s="13" t="s">
        <v>70</v>
      </c>
      <c r="G12461" s="14">
        <v>44729</v>
      </c>
      <c r="H12461" s="13" t="s">
        <v>163</v>
      </c>
    </row>
    <row r="12462" spans="1:8" ht="14.4" x14ac:dyDescent="0.3">
      <c r="A12462" s="8">
        <v>2055485</v>
      </c>
      <c r="B12462" s="11">
        <v>44726</v>
      </c>
      <c r="C12462" s="13" t="s">
        <v>15673</v>
      </c>
      <c r="D12462" s="13" t="s">
        <v>15674</v>
      </c>
      <c r="E12462" s="8">
        <v>5000</v>
      </c>
      <c r="F12462" s="13" t="s">
        <v>70</v>
      </c>
      <c r="G12462" s="14">
        <v>44728</v>
      </c>
      <c r="H12462" s="13" t="s">
        <v>163</v>
      </c>
    </row>
    <row r="12463" spans="1:8" ht="14.4" x14ac:dyDescent="0.3">
      <c r="A12463" s="8">
        <v>2055486</v>
      </c>
      <c r="B12463" s="11">
        <v>44726</v>
      </c>
      <c r="C12463" s="13" t="s">
        <v>15675</v>
      </c>
      <c r="D12463" s="13" t="s">
        <v>15676</v>
      </c>
      <c r="E12463" s="8">
        <v>8000</v>
      </c>
      <c r="F12463" s="13" t="s">
        <v>70</v>
      </c>
      <c r="G12463" s="14">
        <v>44729</v>
      </c>
      <c r="H12463" s="13" t="s">
        <v>163</v>
      </c>
    </row>
    <row r="12464" spans="1:8" ht="14.4" x14ac:dyDescent="0.3">
      <c r="A12464" s="8">
        <v>2055487</v>
      </c>
      <c r="B12464" s="11">
        <v>44726</v>
      </c>
      <c r="C12464" s="13" t="s">
        <v>13315</v>
      </c>
      <c r="D12464" s="13" t="s">
        <v>15677</v>
      </c>
      <c r="E12464" s="8">
        <v>15000</v>
      </c>
      <c r="F12464" s="13" t="s">
        <v>70</v>
      </c>
      <c r="G12464" s="14">
        <v>44729</v>
      </c>
      <c r="H12464" s="13" t="s">
        <v>163</v>
      </c>
    </row>
    <row r="12465" spans="1:8" ht="14.4" x14ac:dyDescent="0.3">
      <c r="A12465" s="8">
        <v>2055488</v>
      </c>
      <c r="B12465" s="11">
        <v>44726</v>
      </c>
      <c r="C12465" s="13" t="s">
        <v>15678</v>
      </c>
      <c r="D12465" s="13" t="s">
        <v>15679</v>
      </c>
      <c r="E12465" s="8">
        <v>20000</v>
      </c>
      <c r="F12465" s="13" t="s">
        <v>70</v>
      </c>
      <c r="G12465" s="14">
        <v>44729</v>
      </c>
      <c r="H12465" s="13" t="s">
        <v>163</v>
      </c>
    </row>
    <row r="12466" spans="1:8" ht="14.4" x14ac:dyDescent="0.3">
      <c r="A12466" s="8">
        <v>2055489</v>
      </c>
      <c r="B12466" s="11">
        <v>44726</v>
      </c>
      <c r="C12466" s="13" t="s">
        <v>15680</v>
      </c>
      <c r="D12466" s="13" t="s">
        <v>15681</v>
      </c>
      <c r="E12466" s="8">
        <v>30000</v>
      </c>
      <c r="F12466" s="13" t="s">
        <v>70</v>
      </c>
      <c r="G12466" s="14">
        <v>44729</v>
      </c>
      <c r="H12466" s="13" t="s">
        <v>163</v>
      </c>
    </row>
    <row r="12467" spans="1:8" ht="14.4" x14ac:dyDescent="0.3">
      <c r="A12467" s="8">
        <v>2055490</v>
      </c>
      <c r="B12467" s="10">
        <v>44726</v>
      </c>
      <c r="C12467" s="13" t="s">
        <v>15682</v>
      </c>
      <c r="D12467" s="13" t="s">
        <v>15683</v>
      </c>
      <c r="E12467" s="8">
        <v>7000</v>
      </c>
      <c r="F12467" s="13" t="s">
        <v>70</v>
      </c>
      <c r="G12467" s="14">
        <v>44729</v>
      </c>
      <c r="H12467" s="13" t="s">
        <v>163</v>
      </c>
    </row>
    <row r="12468" spans="1:8" ht="14.4" x14ac:dyDescent="0.3">
      <c r="A12468" s="8">
        <v>2055491</v>
      </c>
      <c r="B12468" s="11">
        <v>44726</v>
      </c>
      <c r="C12468" s="13" t="s">
        <v>15684</v>
      </c>
      <c r="D12468" s="13" t="s">
        <v>15685</v>
      </c>
      <c r="E12468" s="8">
        <v>5000</v>
      </c>
      <c r="F12468" s="13" t="s">
        <v>70</v>
      </c>
      <c r="G12468" s="14">
        <v>44732</v>
      </c>
      <c r="H12468" s="13" t="s">
        <v>163</v>
      </c>
    </row>
    <row r="12469" spans="1:8" ht="14.4" x14ac:dyDescent="0.3">
      <c r="A12469" s="8">
        <v>2055492</v>
      </c>
      <c r="B12469" s="11">
        <v>44726</v>
      </c>
      <c r="C12469" s="13" t="s">
        <v>15686</v>
      </c>
      <c r="D12469" s="13" t="s">
        <v>15687</v>
      </c>
      <c r="E12469" s="8">
        <v>5000</v>
      </c>
      <c r="F12469" s="13" t="s">
        <v>70</v>
      </c>
      <c r="G12469" s="14">
        <v>44729</v>
      </c>
      <c r="H12469" s="13" t="s">
        <v>163</v>
      </c>
    </row>
    <row r="12470" spans="1:8" ht="14.4" x14ac:dyDescent="0.3">
      <c r="A12470" s="8">
        <v>2055493</v>
      </c>
      <c r="B12470" s="11">
        <v>44726</v>
      </c>
      <c r="C12470" s="13" t="s">
        <v>11815</v>
      </c>
      <c r="D12470" s="13" t="s">
        <v>15688</v>
      </c>
      <c r="E12470" s="8">
        <v>10000</v>
      </c>
      <c r="F12470" s="13" t="s">
        <v>70</v>
      </c>
      <c r="G12470" s="14">
        <v>44729</v>
      </c>
      <c r="H12470" s="13" t="s">
        <v>163</v>
      </c>
    </row>
    <row r="12471" spans="1:8" ht="14.4" x14ac:dyDescent="0.3">
      <c r="A12471" s="8">
        <v>2055494</v>
      </c>
      <c r="B12471" s="11">
        <v>44726</v>
      </c>
      <c r="C12471" s="13" t="s">
        <v>14776</v>
      </c>
      <c r="D12471" s="13" t="s">
        <v>15689</v>
      </c>
      <c r="E12471" s="8">
        <v>5000</v>
      </c>
      <c r="F12471" s="13" t="s">
        <v>70</v>
      </c>
      <c r="G12471" s="14">
        <v>44749</v>
      </c>
      <c r="H12471" s="13" t="s">
        <v>163</v>
      </c>
    </row>
    <row r="12472" spans="1:8" ht="14.4" x14ac:dyDescent="0.3">
      <c r="A12472" s="8">
        <v>2055495</v>
      </c>
      <c r="B12472" s="11">
        <v>44726</v>
      </c>
      <c r="C12472" s="13" t="s">
        <v>15690</v>
      </c>
      <c r="D12472" s="13" t="s">
        <v>15691</v>
      </c>
      <c r="E12472" s="8">
        <v>5000</v>
      </c>
      <c r="F12472" s="13" t="s">
        <v>70</v>
      </c>
      <c r="G12472" s="14">
        <v>44729</v>
      </c>
      <c r="H12472" s="13" t="s">
        <v>163</v>
      </c>
    </row>
    <row r="12473" spans="1:8" ht="14.4" x14ac:dyDescent="0.3">
      <c r="A12473" s="8">
        <v>2055496</v>
      </c>
      <c r="B12473" s="11">
        <v>44727</v>
      </c>
      <c r="C12473" s="13" t="s">
        <v>8531</v>
      </c>
      <c r="D12473" s="13" t="s">
        <v>15692</v>
      </c>
      <c r="E12473" s="8">
        <v>5000</v>
      </c>
      <c r="F12473" s="13" t="s">
        <v>70</v>
      </c>
      <c r="G12473" s="14">
        <v>44733</v>
      </c>
      <c r="H12473" s="13" t="s">
        <v>163</v>
      </c>
    </row>
    <row r="12474" spans="1:8" ht="14.4" x14ac:dyDescent="0.3">
      <c r="A12474" s="8">
        <v>2055497</v>
      </c>
      <c r="B12474" s="11">
        <v>44727</v>
      </c>
      <c r="C12474" s="13" t="s">
        <v>122</v>
      </c>
      <c r="D12474" s="13" t="s">
        <v>15693</v>
      </c>
      <c r="E12474" s="8">
        <v>30000</v>
      </c>
      <c r="F12474" s="13" t="s">
        <v>70</v>
      </c>
      <c r="G12474" s="14">
        <v>44732</v>
      </c>
      <c r="H12474" s="13" t="s">
        <v>163</v>
      </c>
    </row>
    <row r="12475" spans="1:8" ht="14.4" x14ac:dyDescent="0.3">
      <c r="A12475" s="8">
        <v>2055498</v>
      </c>
      <c r="B12475" s="11">
        <v>44727</v>
      </c>
      <c r="C12475" s="13" t="s">
        <v>15694</v>
      </c>
      <c r="D12475" s="13" t="s">
        <v>15695</v>
      </c>
      <c r="E12475" s="8">
        <v>12000</v>
      </c>
      <c r="F12475" s="13" t="s">
        <v>70</v>
      </c>
      <c r="G12475" s="14">
        <v>44736</v>
      </c>
      <c r="H12475" s="13" t="s">
        <v>163</v>
      </c>
    </row>
    <row r="12476" spans="1:8" ht="14.4" x14ac:dyDescent="0.3">
      <c r="A12476" s="8">
        <v>2055499</v>
      </c>
      <c r="B12476" s="11">
        <v>44727</v>
      </c>
      <c r="C12476" s="13" t="s">
        <v>15696</v>
      </c>
      <c r="D12476" s="13" t="s">
        <v>15697</v>
      </c>
      <c r="E12476" s="8">
        <v>10000</v>
      </c>
      <c r="F12476" s="13" t="s">
        <v>70</v>
      </c>
      <c r="G12476" s="14">
        <v>44734</v>
      </c>
      <c r="H12476" s="13" t="s">
        <v>163</v>
      </c>
    </row>
    <row r="12477" spans="1:8" ht="14.4" x14ac:dyDescent="0.3">
      <c r="A12477" s="8">
        <v>2055500</v>
      </c>
      <c r="B12477" s="11">
        <v>44727</v>
      </c>
      <c r="C12477" s="13" t="s">
        <v>2898</v>
      </c>
      <c r="D12477" s="13" t="s">
        <v>15698</v>
      </c>
      <c r="E12477" s="8">
        <v>50000</v>
      </c>
      <c r="F12477" s="13" t="s">
        <v>70</v>
      </c>
      <c r="G12477" s="14">
        <v>44733</v>
      </c>
      <c r="H12477" s="13" t="s">
        <v>163</v>
      </c>
    </row>
    <row r="12478" spans="1:8" ht="14.4" x14ac:dyDescent="0.3">
      <c r="A12478" s="8">
        <v>2055501</v>
      </c>
      <c r="B12478" s="11">
        <v>44727</v>
      </c>
      <c r="C12478" s="13" t="s">
        <v>15699</v>
      </c>
      <c r="D12478" s="13" t="s">
        <v>15700</v>
      </c>
      <c r="E12478" s="8">
        <v>15000</v>
      </c>
      <c r="F12478" s="13" t="s">
        <v>70</v>
      </c>
      <c r="G12478" s="14">
        <v>44732</v>
      </c>
      <c r="H12478" s="13" t="s">
        <v>163</v>
      </c>
    </row>
    <row r="12479" spans="1:8" ht="14.4" x14ac:dyDescent="0.3">
      <c r="A12479" s="8">
        <v>2055502</v>
      </c>
      <c r="B12479" s="11">
        <v>44727</v>
      </c>
      <c r="C12479" s="13" t="s">
        <v>15701</v>
      </c>
      <c r="D12479" s="13" t="s">
        <v>15702</v>
      </c>
      <c r="E12479" s="8">
        <v>12000</v>
      </c>
      <c r="F12479" s="13" t="s">
        <v>70</v>
      </c>
      <c r="G12479" s="14">
        <v>44733</v>
      </c>
      <c r="H12479" s="13" t="s">
        <v>163</v>
      </c>
    </row>
    <row r="12480" spans="1:8" ht="14.4" x14ac:dyDescent="0.3">
      <c r="A12480" s="8">
        <v>2055503</v>
      </c>
      <c r="B12480" s="11">
        <v>44727</v>
      </c>
      <c r="C12480" s="13" t="s">
        <v>15703</v>
      </c>
      <c r="D12480" s="13" t="s">
        <v>15704</v>
      </c>
      <c r="E12480" s="8">
        <v>30000</v>
      </c>
      <c r="F12480" s="13" t="s">
        <v>70</v>
      </c>
      <c r="G12480" s="14">
        <v>44735</v>
      </c>
      <c r="H12480" s="13" t="s">
        <v>163</v>
      </c>
    </row>
    <row r="12481" spans="1:8" ht="14.4" x14ac:dyDescent="0.3">
      <c r="A12481" s="8">
        <v>2055504</v>
      </c>
      <c r="B12481" s="11">
        <v>44727</v>
      </c>
      <c r="C12481" s="13" t="s">
        <v>15705</v>
      </c>
      <c r="D12481" s="13" t="s">
        <v>15706</v>
      </c>
      <c r="E12481" s="8">
        <v>5000</v>
      </c>
      <c r="F12481" s="13" t="s">
        <v>70</v>
      </c>
      <c r="G12481" s="14">
        <v>44732</v>
      </c>
      <c r="H12481" s="13" t="s">
        <v>163</v>
      </c>
    </row>
    <row r="12482" spans="1:8" ht="14.4" x14ac:dyDescent="0.3">
      <c r="A12482" s="8">
        <v>2055505</v>
      </c>
      <c r="B12482" s="11">
        <v>44727</v>
      </c>
      <c r="C12482" s="13" t="s">
        <v>15707</v>
      </c>
      <c r="D12482" s="13" t="s">
        <v>15708</v>
      </c>
      <c r="E12482" s="8">
        <v>5000</v>
      </c>
      <c r="F12482" s="13" t="s">
        <v>70</v>
      </c>
      <c r="G12482" s="14">
        <v>44732</v>
      </c>
      <c r="H12482" s="13" t="s">
        <v>163</v>
      </c>
    </row>
    <row r="12483" spans="1:8" ht="14.4" x14ac:dyDescent="0.3">
      <c r="A12483" s="8">
        <v>2055506</v>
      </c>
      <c r="B12483" s="11">
        <v>44727</v>
      </c>
      <c r="C12483" s="13" t="s">
        <v>13071</v>
      </c>
      <c r="D12483" s="13" t="s">
        <v>15709</v>
      </c>
      <c r="E12483" s="8">
        <v>5000</v>
      </c>
      <c r="F12483" s="13" t="s">
        <v>70</v>
      </c>
      <c r="G12483" s="14">
        <v>44733</v>
      </c>
      <c r="H12483" s="13" t="s">
        <v>163</v>
      </c>
    </row>
    <row r="12484" spans="1:8" ht="14.4" x14ac:dyDescent="0.3">
      <c r="A12484" s="8">
        <v>2055507</v>
      </c>
      <c r="B12484" s="11">
        <v>44727</v>
      </c>
      <c r="C12484" s="13" t="s">
        <v>15710</v>
      </c>
      <c r="D12484" s="13" t="s">
        <v>15711</v>
      </c>
      <c r="E12484" s="8">
        <v>5000</v>
      </c>
      <c r="F12484" s="13" t="s">
        <v>70</v>
      </c>
      <c r="G12484" s="14">
        <v>44732</v>
      </c>
      <c r="H12484" s="13" t="s">
        <v>163</v>
      </c>
    </row>
    <row r="12485" spans="1:8" ht="14.4" x14ac:dyDescent="0.3">
      <c r="A12485" s="8">
        <v>2055508</v>
      </c>
      <c r="B12485" s="11">
        <v>44727</v>
      </c>
      <c r="C12485" s="13" t="s">
        <v>15712</v>
      </c>
      <c r="D12485" s="13" t="s">
        <v>15713</v>
      </c>
      <c r="E12485" s="8">
        <v>5000</v>
      </c>
      <c r="F12485" s="13" t="s">
        <v>70</v>
      </c>
      <c r="G12485" s="14">
        <v>44732</v>
      </c>
      <c r="H12485" s="13" t="s">
        <v>163</v>
      </c>
    </row>
    <row r="12486" spans="1:8" ht="14.4" x14ac:dyDescent="0.3">
      <c r="A12486" s="8">
        <v>2055509</v>
      </c>
      <c r="B12486" s="11">
        <v>44727</v>
      </c>
      <c r="C12486" s="13" t="s">
        <v>15714</v>
      </c>
      <c r="D12486" s="13" t="s">
        <v>15715</v>
      </c>
      <c r="E12486" s="8">
        <v>5000</v>
      </c>
      <c r="F12486" s="13" t="s">
        <v>70</v>
      </c>
      <c r="G12486" s="14">
        <v>44732</v>
      </c>
      <c r="H12486" s="13" t="s">
        <v>163</v>
      </c>
    </row>
    <row r="12487" spans="1:8" ht="14.4" x14ac:dyDescent="0.3">
      <c r="A12487" s="8">
        <v>2055510</v>
      </c>
      <c r="B12487" s="11">
        <v>44727</v>
      </c>
      <c r="C12487" s="13" t="s">
        <v>14470</v>
      </c>
      <c r="D12487" s="13" t="s">
        <v>15716</v>
      </c>
      <c r="E12487" s="8">
        <v>5000</v>
      </c>
      <c r="F12487" s="13" t="s">
        <v>70</v>
      </c>
      <c r="G12487" s="14">
        <v>44734</v>
      </c>
      <c r="H12487" s="13" t="s">
        <v>163</v>
      </c>
    </row>
    <row r="12488" spans="1:8" ht="14.4" x14ac:dyDescent="0.3">
      <c r="A12488" s="8">
        <v>2055511</v>
      </c>
      <c r="B12488" s="11">
        <v>44727</v>
      </c>
      <c r="C12488" s="13" t="s">
        <v>15717</v>
      </c>
      <c r="D12488" s="13" t="s">
        <v>15718</v>
      </c>
      <c r="E12488" s="8">
        <v>5000</v>
      </c>
      <c r="F12488" s="13" t="s">
        <v>70</v>
      </c>
      <c r="G12488" s="14">
        <v>44733</v>
      </c>
      <c r="H12488" s="13" t="s">
        <v>163</v>
      </c>
    </row>
    <row r="12489" spans="1:8" ht="14.4" x14ac:dyDescent="0.3">
      <c r="A12489" s="8">
        <v>2055512</v>
      </c>
      <c r="B12489" s="11">
        <v>44727</v>
      </c>
      <c r="C12489" s="13" t="s">
        <v>15719</v>
      </c>
      <c r="D12489" s="13" t="s">
        <v>15720</v>
      </c>
      <c r="E12489" s="8">
        <v>5000</v>
      </c>
      <c r="F12489" s="13" t="s">
        <v>70</v>
      </c>
      <c r="G12489" s="14">
        <v>44733</v>
      </c>
      <c r="H12489" s="13" t="s">
        <v>163</v>
      </c>
    </row>
    <row r="12490" spans="1:8" ht="14.4" x14ac:dyDescent="0.3">
      <c r="A12490" s="8">
        <v>2055513</v>
      </c>
      <c r="B12490" s="11">
        <v>44727</v>
      </c>
      <c r="C12490" s="13" t="s">
        <v>15721</v>
      </c>
      <c r="D12490" s="13" t="s">
        <v>15722</v>
      </c>
      <c r="E12490" s="8">
        <v>5000</v>
      </c>
      <c r="F12490" s="13" t="s">
        <v>70</v>
      </c>
      <c r="G12490" s="14">
        <v>44733</v>
      </c>
      <c r="H12490" s="13" t="s">
        <v>163</v>
      </c>
    </row>
    <row r="12491" spans="1:8" ht="14.4" x14ac:dyDescent="0.3">
      <c r="A12491" s="8">
        <v>2055514</v>
      </c>
      <c r="B12491" s="11">
        <v>44727</v>
      </c>
      <c r="C12491" s="13" t="s">
        <v>15723</v>
      </c>
      <c r="D12491" s="13" t="s">
        <v>15724</v>
      </c>
      <c r="E12491" s="8">
        <v>12000</v>
      </c>
      <c r="F12491" s="13" t="s">
        <v>70</v>
      </c>
      <c r="G12491" s="14">
        <v>44727</v>
      </c>
      <c r="H12491" s="13" t="s">
        <v>163</v>
      </c>
    </row>
    <row r="12492" spans="1:8" ht="14.4" x14ac:dyDescent="0.3">
      <c r="A12492" s="8">
        <v>2055515</v>
      </c>
      <c r="B12492" s="11">
        <v>44728</v>
      </c>
      <c r="C12492" s="13" t="s">
        <v>13460</v>
      </c>
      <c r="D12492" s="13" t="s">
        <v>15725</v>
      </c>
      <c r="E12492" s="8">
        <v>136900.1</v>
      </c>
      <c r="F12492" s="13" t="s">
        <v>70</v>
      </c>
      <c r="G12492" s="14">
        <v>44729</v>
      </c>
      <c r="H12492" s="13" t="s">
        <v>163</v>
      </c>
    </row>
    <row r="12493" spans="1:8" ht="14.4" x14ac:dyDescent="0.3">
      <c r="A12493" s="8">
        <v>2055516</v>
      </c>
      <c r="B12493" s="11">
        <v>44728</v>
      </c>
      <c r="C12493" s="13" t="s">
        <v>14456</v>
      </c>
      <c r="D12493" s="13" t="s">
        <v>15726</v>
      </c>
      <c r="E12493" s="8">
        <v>5000</v>
      </c>
      <c r="F12493" s="13" t="s">
        <v>70</v>
      </c>
      <c r="G12493" s="14">
        <v>44732</v>
      </c>
      <c r="H12493" s="13" t="s">
        <v>163</v>
      </c>
    </row>
    <row r="12494" spans="1:8" ht="14.4" x14ac:dyDescent="0.3">
      <c r="A12494" s="8">
        <v>2055517</v>
      </c>
      <c r="B12494" s="11">
        <v>44728</v>
      </c>
      <c r="C12494" s="13" t="s">
        <v>15727</v>
      </c>
      <c r="D12494" s="13" t="s">
        <v>15728</v>
      </c>
      <c r="E12494" s="8">
        <v>10000</v>
      </c>
      <c r="F12494" s="13" t="s">
        <v>70</v>
      </c>
      <c r="G12494" s="14">
        <v>44732</v>
      </c>
      <c r="H12494" s="13" t="s">
        <v>163</v>
      </c>
    </row>
    <row r="12495" spans="1:8" ht="14.4" x14ac:dyDescent="0.3">
      <c r="A12495" s="8">
        <v>2055518</v>
      </c>
      <c r="B12495" s="11">
        <v>44728</v>
      </c>
      <c r="C12495" s="13" t="s">
        <v>15729</v>
      </c>
      <c r="D12495" s="13" t="s">
        <v>15730</v>
      </c>
      <c r="E12495" s="8">
        <v>7000</v>
      </c>
      <c r="F12495" s="13" t="s">
        <v>70</v>
      </c>
      <c r="G12495" s="14">
        <v>44734</v>
      </c>
      <c r="H12495" s="13" t="s">
        <v>163</v>
      </c>
    </row>
    <row r="12496" spans="1:8" ht="14.4" x14ac:dyDescent="0.3">
      <c r="A12496" s="8">
        <v>2055519</v>
      </c>
      <c r="B12496" s="11">
        <v>44728</v>
      </c>
      <c r="C12496" s="13" t="s">
        <v>15731</v>
      </c>
      <c r="D12496" s="13" t="s">
        <v>15732</v>
      </c>
      <c r="E12496" s="8">
        <v>5000</v>
      </c>
      <c r="F12496" s="13" t="s">
        <v>70</v>
      </c>
      <c r="G12496" s="14">
        <v>44733</v>
      </c>
      <c r="H12496" s="13" t="s">
        <v>163</v>
      </c>
    </row>
    <row r="12497" spans="1:8" ht="14.4" x14ac:dyDescent="0.3">
      <c r="A12497" s="8">
        <v>2055520</v>
      </c>
      <c r="B12497" s="11">
        <v>44728</v>
      </c>
      <c r="C12497" s="13" t="s">
        <v>12350</v>
      </c>
      <c r="D12497" s="13" t="s">
        <v>15733</v>
      </c>
      <c r="E12497" s="8">
        <v>50000</v>
      </c>
      <c r="F12497" s="13" t="s">
        <v>70</v>
      </c>
      <c r="G12497" s="14">
        <v>44732</v>
      </c>
      <c r="H12497" s="13" t="s">
        <v>163</v>
      </c>
    </row>
    <row r="12498" spans="1:8" ht="14.4" x14ac:dyDescent="0.3">
      <c r="A12498" s="8">
        <v>2055521</v>
      </c>
      <c r="B12498" s="11">
        <v>44728</v>
      </c>
      <c r="C12498" s="13" t="s">
        <v>15734</v>
      </c>
      <c r="D12498" s="13" t="s">
        <v>15735</v>
      </c>
      <c r="E12498" s="8">
        <v>5000</v>
      </c>
      <c r="F12498" s="13" t="s">
        <v>70</v>
      </c>
      <c r="G12498" s="14">
        <v>44732</v>
      </c>
      <c r="H12498" s="13" t="s">
        <v>163</v>
      </c>
    </row>
    <row r="12499" spans="1:8" ht="14.4" x14ac:dyDescent="0.3">
      <c r="A12499" s="8">
        <v>2055522</v>
      </c>
      <c r="B12499" s="11">
        <v>44728</v>
      </c>
      <c r="C12499" s="13" t="s">
        <v>13284</v>
      </c>
      <c r="D12499" s="13" t="s">
        <v>15736</v>
      </c>
      <c r="E12499" s="8">
        <v>10000</v>
      </c>
      <c r="F12499" s="13" t="s">
        <v>70</v>
      </c>
      <c r="G12499" s="14">
        <v>44732</v>
      </c>
      <c r="H12499" s="13" t="s">
        <v>163</v>
      </c>
    </row>
    <row r="12500" spans="1:8" ht="14.4" x14ac:dyDescent="0.3">
      <c r="A12500" s="8">
        <v>2055523</v>
      </c>
      <c r="B12500" s="11">
        <v>44728</v>
      </c>
      <c r="C12500" s="13" t="s">
        <v>14685</v>
      </c>
      <c r="D12500" s="13" t="s">
        <v>15737</v>
      </c>
      <c r="E12500" s="8">
        <v>5000</v>
      </c>
      <c r="F12500" s="13" t="s">
        <v>70</v>
      </c>
      <c r="G12500" s="14">
        <v>44732</v>
      </c>
      <c r="H12500" s="13" t="s">
        <v>163</v>
      </c>
    </row>
    <row r="12501" spans="1:8" ht="14.4" x14ac:dyDescent="0.3">
      <c r="A12501" s="8">
        <v>2055524</v>
      </c>
      <c r="B12501" s="11">
        <v>44728</v>
      </c>
      <c r="C12501" s="13" t="s">
        <v>15738</v>
      </c>
      <c r="D12501" s="13" t="s">
        <v>15739</v>
      </c>
      <c r="E12501" s="8">
        <v>20000</v>
      </c>
      <c r="F12501" s="13" t="s">
        <v>70</v>
      </c>
      <c r="G12501" s="14">
        <v>44732</v>
      </c>
      <c r="H12501" s="13" t="s">
        <v>163</v>
      </c>
    </row>
    <row r="12502" spans="1:8" ht="14.4" x14ac:dyDescent="0.3">
      <c r="A12502" s="8">
        <v>2055525</v>
      </c>
      <c r="B12502" s="11">
        <v>44728</v>
      </c>
      <c r="C12502" s="13" t="s">
        <v>15740</v>
      </c>
      <c r="D12502" s="13" t="s">
        <v>15741</v>
      </c>
      <c r="E12502" s="8">
        <v>8000</v>
      </c>
      <c r="F12502" s="13" t="s">
        <v>70</v>
      </c>
      <c r="G12502" s="14">
        <v>44732</v>
      </c>
      <c r="H12502" s="13" t="s">
        <v>163</v>
      </c>
    </row>
    <row r="12503" spans="1:8" ht="14.4" x14ac:dyDescent="0.3">
      <c r="A12503" s="8">
        <v>2055526</v>
      </c>
      <c r="B12503" s="11">
        <v>44728</v>
      </c>
      <c r="C12503" s="13" t="s">
        <v>15742</v>
      </c>
      <c r="D12503" s="13" t="s">
        <v>15743</v>
      </c>
      <c r="E12503" s="8">
        <v>5000</v>
      </c>
      <c r="F12503" s="13" t="s">
        <v>70</v>
      </c>
      <c r="G12503" s="14">
        <v>44732</v>
      </c>
      <c r="H12503" s="13" t="s">
        <v>163</v>
      </c>
    </row>
    <row r="12504" spans="1:8" ht="14.4" x14ac:dyDescent="0.3">
      <c r="A12504" s="8">
        <v>2055527</v>
      </c>
      <c r="B12504" s="11">
        <v>44728</v>
      </c>
      <c r="C12504" s="13" t="s">
        <v>15744</v>
      </c>
      <c r="D12504" s="13" t="s">
        <v>15745</v>
      </c>
      <c r="E12504" s="8">
        <v>5000</v>
      </c>
      <c r="F12504" s="13" t="s">
        <v>70</v>
      </c>
      <c r="G12504" s="14">
        <v>44732</v>
      </c>
      <c r="H12504" s="13" t="s">
        <v>163</v>
      </c>
    </row>
    <row r="12505" spans="1:8" ht="14.4" x14ac:dyDescent="0.3">
      <c r="A12505" s="8">
        <v>2055528</v>
      </c>
      <c r="B12505" s="11">
        <v>44728</v>
      </c>
      <c r="C12505" s="13" t="s">
        <v>3671</v>
      </c>
      <c r="D12505" s="13" t="s">
        <v>15746</v>
      </c>
      <c r="E12505" s="8">
        <v>30000</v>
      </c>
      <c r="F12505" s="13" t="s">
        <v>70</v>
      </c>
      <c r="G12505" s="14">
        <v>44732</v>
      </c>
      <c r="H12505" s="13" t="s">
        <v>163</v>
      </c>
    </row>
    <row r="12506" spans="1:8" ht="14.4" x14ac:dyDescent="0.3">
      <c r="A12506" s="8">
        <v>2055529</v>
      </c>
      <c r="B12506" s="11">
        <v>44728</v>
      </c>
      <c r="C12506" s="13" t="s">
        <v>15747</v>
      </c>
      <c r="D12506" s="13" t="s">
        <v>15748</v>
      </c>
      <c r="E12506" s="8">
        <v>6000</v>
      </c>
      <c r="F12506" s="13" t="s">
        <v>70</v>
      </c>
      <c r="G12506" s="14">
        <v>44733</v>
      </c>
      <c r="H12506" s="13" t="s">
        <v>163</v>
      </c>
    </row>
    <row r="12507" spans="1:8" ht="14.4" x14ac:dyDescent="0.3">
      <c r="A12507" s="8">
        <v>2055530</v>
      </c>
      <c r="B12507" s="11">
        <v>44728</v>
      </c>
      <c r="C12507" s="13" t="s">
        <v>15749</v>
      </c>
      <c r="D12507" s="13" t="s">
        <v>15750</v>
      </c>
      <c r="E12507" s="8">
        <v>5200</v>
      </c>
      <c r="F12507" s="13" t="s">
        <v>70</v>
      </c>
      <c r="G12507" s="14">
        <v>44732</v>
      </c>
      <c r="H12507" s="13" t="s">
        <v>163</v>
      </c>
    </row>
    <row r="12508" spans="1:8" ht="14.4" x14ac:dyDescent="0.3">
      <c r="A12508" s="8">
        <v>2055531</v>
      </c>
      <c r="B12508" s="11">
        <v>44728</v>
      </c>
      <c r="C12508" s="13" t="s">
        <v>15751</v>
      </c>
      <c r="D12508" s="13" t="s">
        <v>15752</v>
      </c>
      <c r="E12508" s="8">
        <v>10900</v>
      </c>
      <c r="F12508" s="13" t="s">
        <v>70</v>
      </c>
      <c r="G12508" s="14">
        <v>44732</v>
      </c>
      <c r="H12508" s="13" t="s">
        <v>163</v>
      </c>
    </row>
    <row r="12509" spans="1:8" ht="14.4" x14ac:dyDescent="0.3">
      <c r="A12509" s="8">
        <v>2055532</v>
      </c>
      <c r="B12509" s="11">
        <v>44728</v>
      </c>
      <c r="C12509" s="13" t="s">
        <v>2684</v>
      </c>
      <c r="D12509" s="13" t="s">
        <v>15753</v>
      </c>
      <c r="E12509" s="8">
        <v>15000</v>
      </c>
      <c r="F12509" s="13" t="s">
        <v>70</v>
      </c>
      <c r="G12509" s="14">
        <v>44733</v>
      </c>
      <c r="H12509" s="13" t="s">
        <v>163</v>
      </c>
    </row>
    <row r="12510" spans="1:8" ht="14.4" x14ac:dyDescent="0.3">
      <c r="A12510" s="8">
        <v>2055533</v>
      </c>
      <c r="B12510" s="11">
        <v>44728</v>
      </c>
      <c r="C12510" s="13" t="s">
        <v>457</v>
      </c>
      <c r="D12510" s="13" t="s">
        <v>15754</v>
      </c>
      <c r="E12510" s="8">
        <v>20000</v>
      </c>
      <c r="F12510" s="13" t="s">
        <v>70</v>
      </c>
      <c r="G12510" s="14">
        <v>44734</v>
      </c>
      <c r="H12510" s="13" t="s">
        <v>163</v>
      </c>
    </row>
    <row r="12511" spans="1:8" ht="14.4" x14ac:dyDescent="0.3">
      <c r="A12511" s="8">
        <v>2055534</v>
      </c>
      <c r="B12511" s="11">
        <v>44728</v>
      </c>
      <c r="C12511" s="13" t="s">
        <v>8502</v>
      </c>
      <c r="D12511" s="13" t="s">
        <v>15755</v>
      </c>
      <c r="E12511" s="8">
        <v>9000</v>
      </c>
      <c r="F12511" s="13" t="s">
        <v>70</v>
      </c>
      <c r="G12511" s="14">
        <v>44733</v>
      </c>
      <c r="H12511" s="13" t="s">
        <v>163</v>
      </c>
    </row>
    <row r="12512" spans="1:8" ht="14.4" x14ac:dyDescent="0.3">
      <c r="A12512" s="8">
        <v>2055535</v>
      </c>
      <c r="B12512" s="11">
        <v>44728</v>
      </c>
      <c r="C12512" s="13" t="s">
        <v>15756</v>
      </c>
      <c r="D12512" s="13" t="s">
        <v>15757</v>
      </c>
      <c r="E12512" s="8">
        <v>10000</v>
      </c>
      <c r="F12512" s="13" t="s">
        <v>70</v>
      </c>
      <c r="G12512" s="14">
        <v>44732</v>
      </c>
      <c r="H12512" s="13" t="s">
        <v>163</v>
      </c>
    </row>
    <row r="12513" spans="1:8" ht="14.4" x14ac:dyDescent="0.3">
      <c r="A12513" s="8">
        <v>2055537</v>
      </c>
      <c r="B12513" s="11">
        <v>44728</v>
      </c>
      <c r="C12513" s="13" t="s">
        <v>15758</v>
      </c>
      <c r="D12513" s="13" t="s">
        <v>15759</v>
      </c>
      <c r="E12513" s="8">
        <v>14000</v>
      </c>
      <c r="F12513" s="13" t="s">
        <v>70</v>
      </c>
      <c r="G12513" s="14">
        <v>44733</v>
      </c>
      <c r="H12513" s="13" t="s">
        <v>163</v>
      </c>
    </row>
    <row r="12514" spans="1:8" ht="14.4" x14ac:dyDescent="0.3">
      <c r="A12514" s="8">
        <v>2055538</v>
      </c>
      <c r="B12514" s="11">
        <v>44728</v>
      </c>
      <c r="C12514" s="13" t="s">
        <v>15760</v>
      </c>
      <c r="D12514" s="13" t="s">
        <v>15761</v>
      </c>
      <c r="E12514" s="8">
        <v>5000</v>
      </c>
      <c r="F12514" s="13" t="s">
        <v>70</v>
      </c>
      <c r="G12514" s="14">
        <v>44732</v>
      </c>
      <c r="H12514" s="13" t="s">
        <v>163</v>
      </c>
    </row>
    <row r="12515" spans="1:8" ht="14.4" x14ac:dyDescent="0.3">
      <c r="A12515" s="8">
        <v>2055539</v>
      </c>
      <c r="B12515" s="11">
        <v>44728</v>
      </c>
      <c r="C12515" s="13" t="s">
        <v>15762</v>
      </c>
      <c r="D12515" s="13" t="s">
        <v>15763</v>
      </c>
      <c r="E12515" s="8">
        <v>12000</v>
      </c>
      <c r="F12515" s="13" t="s">
        <v>70</v>
      </c>
      <c r="G12515" s="14">
        <v>44732</v>
      </c>
      <c r="H12515" s="13" t="s">
        <v>163</v>
      </c>
    </row>
    <row r="12516" spans="1:8" ht="14.4" x14ac:dyDescent="0.3">
      <c r="A12516" s="8">
        <v>2055540</v>
      </c>
      <c r="B12516" s="11">
        <v>44728</v>
      </c>
      <c r="C12516" s="13" t="s">
        <v>15764</v>
      </c>
      <c r="D12516" s="13" t="s">
        <v>15765</v>
      </c>
      <c r="E12516" s="8">
        <v>5000</v>
      </c>
      <c r="F12516" s="13" t="s">
        <v>70</v>
      </c>
      <c r="G12516" s="14">
        <v>44732</v>
      </c>
      <c r="H12516" s="13" t="s">
        <v>163</v>
      </c>
    </row>
    <row r="12517" spans="1:8" ht="14.4" x14ac:dyDescent="0.3">
      <c r="A12517" s="8">
        <v>2055541</v>
      </c>
      <c r="B12517" s="11">
        <v>44728</v>
      </c>
      <c r="C12517" s="13" t="s">
        <v>15766</v>
      </c>
      <c r="D12517" s="13" t="s">
        <v>15767</v>
      </c>
      <c r="E12517" s="8">
        <v>10000</v>
      </c>
      <c r="F12517" s="13" t="s">
        <v>70</v>
      </c>
      <c r="G12517" s="14">
        <v>44732</v>
      </c>
      <c r="H12517" s="13" t="s">
        <v>163</v>
      </c>
    </row>
    <row r="12518" spans="1:8" ht="14.4" x14ac:dyDescent="0.3">
      <c r="A12518" s="8">
        <v>2055542</v>
      </c>
      <c r="B12518" s="11">
        <v>44728</v>
      </c>
      <c r="C12518" s="13" t="s">
        <v>15768</v>
      </c>
      <c r="D12518" s="13" t="s">
        <v>15769</v>
      </c>
      <c r="E12518" s="8">
        <v>20000</v>
      </c>
      <c r="F12518" s="13" t="s">
        <v>70</v>
      </c>
      <c r="G12518" s="14">
        <v>44733</v>
      </c>
      <c r="H12518" s="13" t="s">
        <v>163</v>
      </c>
    </row>
    <row r="12519" spans="1:8" ht="14.4" x14ac:dyDescent="0.3">
      <c r="A12519" s="8">
        <v>2055543</v>
      </c>
      <c r="B12519" s="11">
        <v>44728</v>
      </c>
      <c r="C12519" s="13" t="s">
        <v>7619</v>
      </c>
      <c r="D12519" s="13" t="s">
        <v>15770</v>
      </c>
      <c r="E12519" s="8">
        <v>25000</v>
      </c>
      <c r="F12519" s="13" t="s">
        <v>70</v>
      </c>
      <c r="G12519" s="14">
        <v>44733</v>
      </c>
      <c r="H12519" s="13" t="s">
        <v>163</v>
      </c>
    </row>
    <row r="12520" spans="1:8" ht="14.4" x14ac:dyDescent="0.3">
      <c r="A12520" s="8">
        <v>2055544</v>
      </c>
      <c r="B12520" s="11">
        <v>44728</v>
      </c>
      <c r="C12520" s="13" t="s">
        <v>15771</v>
      </c>
      <c r="D12520" s="13" t="s">
        <v>15772</v>
      </c>
      <c r="E12520" s="8">
        <v>15000</v>
      </c>
      <c r="F12520" s="13" t="s">
        <v>70</v>
      </c>
      <c r="G12520" s="14">
        <v>44733</v>
      </c>
      <c r="H12520" s="13" t="s">
        <v>163</v>
      </c>
    </row>
    <row r="12521" spans="1:8" ht="14.4" x14ac:dyDescent="0.3">
      <c r="A12521" s="8">
        <v>2055545</v>
      </c>
      <c r="B12521" s="11">
        <v>44728</v>
      </c>
      <c r="C12521" s="13" t="s">
        <v>15773</v>
      </c>
      <c r="D12521" s="13" t="s">
        <v>15774</v>
      </c>
      <c r="E12521" s="8">
        <v>5000</v>
      </c>
      <c r="F12521" s="13" t="s">
        <v>70</v>
      </c>
      <c r="G12521" s="14">
        <v>44733</v>
      </c>
      <c r="H12521" s="13" t="s">
        <v>163</v>
      </c>
    </row>
    <row r="12522" spans="1:8" ht="14.4" x14ac:dyDescent="0.3">
      <c r="A12522" s="8">
        <v>2055546</v>
      </c>
      <c r="B12522" s="11">
        <v>44728</v>
      </c>
      <c r="C12522" s="13" t="s">
        <v>15775</v>
      </c>
      <c r="D12522" s="13" t="s">
        <v>15776</v>
      </c>
      <c r="E12522" s="8">
        <v>5000</v>
      </c>
      <c r="F12522" s="13" t="s">
        <v>70</v>
      </c>
      <c r="G12522" s="14">
        <v>44733</v>
      </c>
      <c r="H12522" s="13" t="s">
        <v>163</v>
      </c>
    </row>
    <row r="12523" spans="1:8" ht="14.4" x14ac:dyDescent="0.3">
      <c r="A12523" s="8">
        <v>2055547</v>
      </c>
      <c r="B12523" s="11">
        <v>44728</v>
      </c>
      <c r="C12523" s="13" t="s">
        <v>15777</v>
      </c>
      <c r="D12523" s="13" t="s">
        <v>15778</v>
      </c>
      <c r="E12523" s="8">
        <v>10000</v>
      </c>
      <c r="F12523" s="13" t="s">
        <v>70</v>
      </c>
      <c r="G12523" s="14">
        <v>44740</v>
      </c>
      <c r="H12523" s="13" t="s">
        <v>163</v>
      </c>
    </row>
    <row r="12524" spans="1:8" ht="14.4" x14ac:dyDescent="0.3">
      <c r="A12524" s="8">
        <v>2055548</v>
      </c>
      <c r="B12524" s="11">
        <v>44728</v>
      </c>
      <c r="C12524" s="13" t="s">
        <v>14355</v>
      </c>
      <c r="D12524" s="13" t="s">
        <v>15779</v>
      </c>
      <c r="E12524" s="8">
        <v>5000</v>
      </c>
      <c r="F12524" s="13" t="s">
        <v>70</v>
      </c>
      <c r="G12524" s="14">
        <v>44734</v>
      </c>
      <c r="H12524" s="13" t="s">
        <v>163</v>
      </c>
    </row>
    <row r="12525" spans="1:8" ht="14.4" x14ac:dyDescent="0.3">
      <c r="A12525" s="8">
        <v>2055549</v>
      </c>
      <c r="B12525" s="11">
        <v>44728</v>
      </c>
      <c r="C12525" s="13" t="s">
        <v>15780</v>
      </c>
      <c r="D12525" s="13" t="s">
        <v>15781</v>
      </c>
      <c r="E12525" s="8">
        <v>5900</v>
      </c>
      <c r="F12525" s="13" t="s">
        <v>70</v>
      </c>
      <c r="G12525" s="14">
        <v>44732</v>
      </c>
      <c r="H12525" s="13" t="s">
        <v>163</v>
      </c>
    </row>
    <row r="12526" spans="1:8" ht="14.4" x14ac:dyDescent="0.3">
      <c r="A12526" s="8">
        <v>2055550</v>
      </c>
      <c r="B12526" s="11">
        <v>44728</v>
      </c>
      <c r="C12526" s="13" t="s">
        <v>15782</v>
      </c>
      <c r="D12526" s="13" t="s">
        <v>15783</v>
      </c>
      <c r="E12526" s="8">
        <v>30000</v>
      </c>
      <c r="F12526" s="13" t="s">
        <v>70</v>
      </c>
      <c r="G12526" s="14">
        <v>44733</v>
      </c>
      <c r="H12526" s="13" t="s">
        <v>163</v>
      </c>
    </row>
    <row r="12527" spans="1:8" ht="14.4" x14ac:dyDescent="0.3">
      <c r="A12527" s="8">
        <v>2055551</v>
      </c>
      <c r="B12527" s="11">
        <v>44728</v>
      </c>
      <c r="C12527" s="13" t="s">
        <v>15784</v>
      </c>
      <c r="D12527" s="13" t="s">
        <v>15785</v>
      </c>
      <c r="E12527" s="8">
        <v>8000</v>
      </c>
      <c r="F12527" s="13" t="s">
        <v>70</v>
      </c>
      <c r="G12527" s="14">
        <v>44733</v>
      </c>
      <c r="H12527" s="13" t="s">
        <v>163</v>
      </c>
    </row>
    <row r="12528" spans="1:8" ht="14.4" x14ac:dyDescent="0.3">
      <c r="A12528" s="8">
        <v>2055552</v>
      </c>
      <c r="B12528" s="11">
        <v>44729</v>
      </c>
      <c r="C12528" s="13" t="s">
        <v>2987</v>
      </c>
      <c r="D12528" s="13" t="s">
        <v>15786</v>
      </c>
      <c r="E12528" s="8">
        <v>8500</v>
      </c>
      <c r="F12528" s="13" t="s">
        <v>70</v>
      </c>
      <c r="G12528" s="14">
        <v>44734</v>
      </c>
      <c r="H12528" s="13" t="s">
        <v>163</v>
      </c>
    </row>
    <row r="12529" spans="1:8" ht="14.4" x14ac:dyDescent="0.3">
      <c r="A12529" s="8">
        <v>2055553</v>
      </c>
      <c r="B12529" s="11">
        <v>44729</v>
      </c>
      <c r="C12529" s="13" t="s">
        <v>15787</v>
      </c>
      <c r="D12529" s="13" t="s">
        <v>15788</v>
      </c>
      <c r="E12529" s="8">
        <v>6500</v>
      </c>
      <c r="F12529" s="13" t="s">
        <v>70</v>
      </c>
      <c r="G12529" s="14">
        <v>44734</v>
      </c>
      <c r="H12529" s="13" t="s">
        <v>163</v>
      </c>
    </row>
    <row r="12530" spans="1:8" ht="14.4" x14ac:dyDescent="0.3">
      <c r="A12530" s="8">
        <v>2055554</v>
      </c>
      <c r="B12530" s="11">
        <v>44729</v>
      </c>
      <c r="C12530" s="13" t="s">
        <v>15789</v>
      </c>
      <c r="D12530" s="13" t="s">
        <v>15790</v>
      </c>
      <c r="E12530" s="8">
        <v>5000</v>
      </c>
      <c r="F12530" s="13" t="s">
        <v>70</v>
      </c>
      <c r="G12530" s="14">
        <v>44735</v>
      </c>
      <c r="H12530" s="13" t="s">
        <v>163</v>
      </c>
    </row>
    <row r="12531" spans="1:8" ht="14.4" x14ac:dyDescent="0.3">
      <c r="A12531" s="8">
        <v>2055555</v>
      </c>
      <c r="B12531" s="11">
        <v>44729</v>
      </c>
      <c r="C12531" s="13" t="s">
        <v>15791</v>
      </c>
      <c r="D12531" s="13" t="s">
        <v>15792</v>
      </c>
      <c r="E12531" s="8">
        <v>5000</v>
      </c>
      <c r="F12531" s="13" t="s">
        <v>70</v>
      </c>
      <c r="G12531" s="14">
        <v>44733</v>
      </c>
      <c r="H12531" s="13" t="s">
        <v>163</v>
      </c>
    </row>
    <row r="12532" spans="1:8" ht="14.4" x14ac:dyDescent="0.3">
      <c r="A12532" s="8">
        <v>2055556</v>
      </c>
      <c r="B12532" s="11">
        <v>44729</v>
      </c>
      <c r="C12532" s="13" t="s">
        <v>15793</v>
      </c>
      <c r="D12532" s="13" t="s">
        <v>14062</v>
      </c>
      <c r="E12532" s="8">
        <v>5000</v>
      </c>
      <c r="F12532" s="13" t="s">
        <v>70</v>
      </c>
      <c r="G12532" s="14">
        <v>44734</v>
      </c>
      <c r="H12532" s="13" t="s">
        <v>163</v>
      </c>
    </row>
    <row r="12533" spans="1:8" ht="14.4" x14ac:dyDescent="0.3">
      <c r="A12533" s="8">
        <v>2055557</v>
      </c>
      <c r="B12533" s="11">
        <v>44729</v>
      </c>
      <c r="C12533" s="13" t="s">
        <v>15794</v>
      </c>
      <c r="D12533" s="13" t="s">
        <v>15795</v>
      </c>
      <c r="E12533" s="8">
        <v>5000</v>
      </c>
      <c r="F12533" s="13" t="s">
        <v>70</v>
      </c>
      <c r="G12533" s="14">
        <v>44746</v>
      </c>
      <c r="H12533" s="13" t="s">
        <v>163</v>
      </c>
    </row>
    <row r="12534" spans="1:8" ht="14.4" x14ac:dyDescent="0.3">
      <c r="A12534" s="8">
        <v>2055558</v>
      </c>
      <c r="B12534" s="11">
        <v>44729</v>
      </c>
      <c r="C12534" s="13" t="s">
        <v>15796</v>
      </c>
      <c r="D12534" s="13" t="s">
        <v>15797</v>
      </c>
      <c r="E12534" s="8">
        <v>5000</v>
      </c>
      <c r="F12534" s="13" t="s">
        <v>70</v>
      </c>
      <c r="G12534" s="14">
        <v>44733</v>
      </c>
      <c r="H12534" s="13" t="s">
        <v>163</v>
      </c>
    </row>
    <row r="12535" spans="1:8" ht="14.4" x14ac:dyDescent="0.3">
      <c r="A12535" s="8">
        <v>2055559</v>
      </c>
      <c r="B12535" s="11">
        <v>44729</v>
      </c>
      <c r="C12535" s="13" t="s">
        <v>4283</v>
      </c>
      <c r="D12535" s="13" t="s">
        <v>14062</v>
      </c>
      <c r="E12535" s="8">
        <v>35000</v>
      </c>
      <c r="F12535" s="13" t="s">
        <v>70</v>
      </c>
      <c r="G12535" s="14">
        <v>44733</v>
      </c>
      <c r="H12535" s="13" t="s">
        <v>163</v>
      </c>
    </row>
    <row r="12536" spans="1:8" ht="14.4" x14ac:dyDescent="0.3">
      <c r="A12536" s="8">
        <v>2055560</v>
      </c>
      <c r="B12536" s="11">
        <v>44729</v>
      </c>
      <c r="C12536" s="13" t="s">
        <v>5111</v>
      </c>
      <c r="D12536" s="13" t="s">
        <v>166</v>
      </c>
      <c r="E12536" s="8">
        <v>5000</v>
      </c>
      <c r="F12536" s="13" t="s">
        <v>70</v>
      </c>
      <c r="G12536" s="14">
        <v>44734</v>
      </c>
      <c r="H12536" s="13" t="s">
        <v>163</v>
      </c>
    </row>
    <row r="12537" spans="1:8" ht="14.4" x14ac:dyDescent="0.3">
      <c r="A12537" s="8">
        <v>2055561</v>
      </c>
      <c r="B12537" s="11">
        <v>44729</v>
      </c>
      <c r="C12537" s="13" t="s">
        <v>10248</v>
      </c>
      <c r="D12537" s="13" t="s">
        <v>167</v>
      </c>
      <c r="E12537" s="8">
        <v>10000</v>
      </c>
      <c r="F12537" s="13" t="s">
        <v>70</v>
      </c>
      <c r="G12537" s="14">
        <v>44733</v>
      </c>
      <c r="H12537" s="13" t="s">
        <v>163</v>
      </c>
    </row>
    <row r="12538" spans="1:8" ht="14.4" x14ac:dyDescent="0.3">
      <c r="A12538" s="8">
        <v>2055562</v>
      </c>
      <c r="B12538" s="11">
        <v>44729</v>
      </c>
      <c r="C12538" s="13" t="s">
        <v>148</v>
      </c>
      <c r="D12538" s="13" t="s">
        <v>15798</v>
      </c>
      <c r="E12538" s="8">
        <v>5000</v>
      </c>
      <c r="F12538" s="13" t="s">
        <v>70</v>
      </c>
      <c r="G12538" s="14">
        <v>44733</v>
      </c>
      <c r="H12538" s="13" t="s">
        <v>163</v>
      </c>
    </row>
    <row r="12539" spans="1:8" ht="14.4" x14ac:dyDescent="0.3">
      <c r="A12539" s="8">
        <v>2055563</v>
      </c>
      <c r="B12539" s="11">
        <v>44729</v>
      </c>
      <c r="C12539" s="13" t="s">
        <v>15799</v>
      </c>
      <c r="D12539" s="13" t="s">
        <v>15800</v>
      </c>
      <c r="E12539" s="8">
        <v>12000</v>
      </c>
      <c r="F12539" s="13" t="s">
        <v>70</v>
      </c>
      <c r="G12539" s="14">
        <v>44733</v>
      </c>
      <c r="H12539" s="13" t="s">
        <v>163</v>
      </c>
    </row>
    <row r="12540" spans="1:8" ht="14.4" x14ac:dyDescent="0.3">
      <c r="A12540" s="8">
        <v>2055564</v>
      </c>
      <c r="B12540" s="11">
        <v>44729</v>
      </c>
      <c r="C12540" s="13" t="s">
        <v>15801</v>
      </c>
      <c r="D12540" s="13" t="s">
        <v>15802</v>
      </c>
      <c r="E12540" s="8">
        <v>50000</v>
      </c>
      <c r="F12540" s="13" t="s">
        <v>70</v>
      </c>
      <c r="G12540" s="14">
        <v>44734</v>
      </c>
      <c r="H12540" s="13" t="s">
        <v>163</v>
      </c>
    </row>
    <row r="12541" spans="1:8" ht="14.4" x14ac:dyDescent="0.3">
      <c r="A12541" s="8">
        <v>2055565</v>
      </c>
      <c r="B12541" s="11">
        <v>44729</v>
      </c>
      <c r="C12541" s="13" t="s">
        <v>15803</v>
      </c>
      <c r="D12541" s="13" t="s">
        <v>15804</v>
      </c>
      <c r="E12541" s="8">
        <v>40000</v>
      </c>
      <c r="F12541" s="13" t="s">
        <v>70</v>
      </c>
      <c r="G12541" s="14">
        <v>44734</v>
      </c>
      <c r="H12541" s="13" t="s">
        <v>163</v>
      </c>
    </row>
    <row r="12542" spans="1:8" ht="14.4" x14ac:dyDescent="0.3">
      <c r="A12542" s="8">
        <v>2055566</v>
      </c>
      <c r="B12542" s="11">
        <v>44729</v>
      </c>
      <c r="C12542" s="13" t="s">
        <v>15805</v>
      </c>
      <c r="D12542" s="13" t="s">
        <v>15806</v>
      </c>
      <c r="E12542" s="8">
        <v>10000</v>
      </c>
      <c r="F12542" s="13" t="s">
        <v>70</v>
      </c>
      <c r="G12542" s="14">
        <v>44734</v>
      </c>
      <c r="H12542" s="13" t="s">
        <v>163</v>
      </c>
    </row>
    <row r="12543" spans="1:8" ht="14.4" x14ac:dyDescent="0.3">
      <c r="A12543" s="8">
        <v>2055567</v>
      </c>
      <c r="B12543" s="11">
        <v>44729</v>
      </c>
      <c r="C12543" s="13" t="s">
        <v>15807</v>
      </c>
      <c r="D12543" s="13" t="s">
        <v>15808</v>
      </c>
      <c r="E12543" s="8">
        <v>15000</v>
      </c>
      <c r="F12543" s="13" t="s">
        <v>70</v>
      </c>
      <c r="G12543" s="14">
        <v>44734</v>
      </c>
      <c r="H12543" s="13" t="s">
        <v>163</v>
      </c>
    </row>
    <row r="12544" spans="1:8" ht="14.4" x14ac:dyDescent="0.3">
      <c r="A12544" s="8">
        <v>2055568</v>
      </c>
      <c r="B12544" s="11">
        <v>44729</v>
      </c>
      <c r="C12544" s="13" t="s">
        <v>8438</v>
      </c>
      <c r="D12544" s="13" t="s">
        <v>15809</v>
      </c>
      <c r="E12544" s="8">
        <v>50000</v>
      </c>
      <c r="F12544" s="13" t="s">
        <v>70</v>
      </c>
      <c r="G12544" s="14">
        <v>44733</v>
      </c>
      <c r="H12544" s="13" t="s">
        <v>163</v>
      </c>
    </row>
    <row r="12545" spans="1:8" ht="14.4" x14ac:dyDescent="0.3">
      <c r="A12545" s="8">
        <v>2055569</v>
      </c>
      <c r="B12545" s="11">
        <v>44729</v>
      </c>
      <c r="C12545" s="13" t="s">
        <v>14630</v>
      </c>
      <c r="D12545" s="13" t="s">
        <v>15810</v>
      </c>
      <c r="E12545" s="8">
        <v>5000</v>
      </c>
      <c r="F12545" s="13" t="s">
        <v>70</v>
      </c>
      <c r="G12545" s="14">
        <v>44733</v>
      </c>
      <c r="H12545" s="13" t="s">
        <v>163</v>
      </c>
    </row>
    <row r="12546" spans="1:8" ht="14.4" x14ac:dyDescent="0.3">
      <c r="A12546" s="8">
        <v>2055570</v>
      </c>
      <c r="B12546" s="11">
        <v>44729</v>
      </c>
      <c r="C12546" s="13" t="s">
        <v>15811</v>
      </c>
      <c r="D12546" s="13" t="s">
        <v>15812</v>
      </c>
      <c r="E12546" s="8">
        <v>5000</v>
      </c>
      <c r="F12546" s="13" t="s">
        <v>70</v>
      </c>
      <c r="G12546" s="14">
        <v>44733</v>
      </c>
      <c r="H12546" s="13" t="s">
        <v>163</v>
      </c>
    </row>
    <row r="12547" spans="1:8" ht="14.4" x14ac:dyDescent="0.3">
      <c r="A12547" s="8">
        <v>2055571</v>
      </c>
      <c r="B12547" s="11">
        <v>44729</v>
      </c>
      <c r="C12547" s="13" t="s">
        <v>15813</v>
      </c>
      <c r="D12547" s="13" t="s">
        <v>166</v>
      </c>
      <c r="E12547" s="8">
        <v>5000</v>
      </c>
      <c r="F12547" s="13" t="s">
        <v>70</v>
      </c>
      <c r="G12547" s="14">
        <v>44736</v>
      </c>
      <c r="H12547" s="13" t="s">
        <v>163</v>
      </c>
    </row>
    <row r="12548" spans="1:8" ht="14.4" x14ac:dyDescent="0.3">
      <c r="A12548" s="8">
        <v>2055572</v>
      </c>
      <c r="B12548" s="11">
        <v>44729</v>
      </c>
      <c r="C12548" s="13" t="s">
        <v>15814</v>
      </c>
      <c r="D12548" s="13" t="s">
        <v>15815</v>
      </c>
      <c r="E12548" s="8">
        <v>5000</v>
      </c>
      <c r="F12548" s="13" t="s">
        <v>70</v>
      </c>
      <c r="G12548" s="14">
        <v>44733</v>
      </c>
      <c r="H12548" s="13" t="s">
        <v>163</v>
      </c>
    </row>
    <row r="12549" spans="1:8" ht="14.4" x14ac:dyDescent="0.3">
      <c r="A12549" s="8">
        <v>2055573</v>
      </c>
      <c r="B12549" s="11">
        <v>44729</v>
      </c>
      <c r="C12549" s="13" t="s">
        <v>15816</v>
      </c>
      <c r="D12549" s="13" t="s">
        <v>15817</v>
      </c>
      <c r="E12549" s="8">
        <v>5000</v>
      </c>
      <c r="F12549" s="13" t="s">
        <v>70</v>
      </c>
      <c r="G12549" s="14">
        <v>44734</v>
      </c>
      <c r="H12549" s="13" t="s">
        <v>163</v>
      </c>
    </row>
    <row r="12550" spans="1:8" ht="14.4" x14ac:dyDescent="0.3">
      <c r="A12550" s="8">
        <v>2055574</v>
      </c>
      <c r="B12550" s="11">
        <v>44729</v>
      </c>
      <c r="C12550" s="13" t="s">
        <v>15818</v>
      </c>
      <c r="D12550" s="13" t="s">
        <v>15819</v>
      </c>
      <c r="E12550" s="8">
        <v>8000</v>
      </c>
      <c r="F12550" s="13" t="s">
        <v>70</v>
      </c>
      <c r="G12550" s="14">
        <v>44735</v>
      </c>
      <c r="H12550" s="13" t="s">
        <v>163</v>
      </c>
    </row>
    <row r="12551" spans="1:8" ht="14.4" x14ac:dyDescent="0.3">
      <c r="A12551" s="8">
        <v>2055575</v>
      </c>
      <c r="B12551" s="11">
        <v>44729</v>
      </c>
      <c r="C12551" s="13" t="s">
        <v>15820</v>
      </c>
      <c r="D12551" s="13" t="s">
        <v>15821</v>
      </c>
      <c r="E12551" s="8">
        <v>5000</v>
      </c>
      <c r="F12551" s="13" t="s">
        <v>70</v>
      </c>
      <c r="G12551" s="14">
        <v>44734</v>
      </c>
      <c r="H12551" s="13" t="s">
        <v>163</v>
      </c>
    </row>
    <row r="12552" spans="1:8" ht="14.4" x14ac:dyDescent="0.3">
      <c r="A12552" s="8">
        <v>2055576</v>
      </c>
      <c r="B12552" s="11">
        <v>44729</v>
      </c>
      <c r="C12552" s="13" t="s">
        <v>15822</v>
      </c>
      <c r="D12552" s="13" t="s">
        <v>166</v>
      </c>
      <c r="E12552" s="8">
        <v>5000</v>
      </c>
      <c r="F12552" s="13" t="s">
        <v>70</v>
      </c>
      <c r="G12552" s="14">
        <v>44735</v>
      </c>
      <c r="H12552" s="13" t="s">
        <v>163</v>
      </c>
    </row>
    <row r="12553" spans="1:8" ht="14.4" x14ac:dyDescent="0.3">
      <c r="A12553" s="8">
        <v>2055577</v>
      </c>
      <c r="B12553" s="11">
        <v>44729</v>
      </c>
      <c r="C12553" s="13" t="s">
        <v>15823</v>
      </c>
      <c r="D12553" s="13" t="s">
        <v>15824</v>
      </c>
      <c r="E12553" s="8">
        <v>5000</v>
      </c>
      <c r="F12553" s="13" t="s">
        <v>70</v>
      </c>
      <c r="G12553" s="14">
        <v>44734</v>
      </c>
      <c r="H12553" s="13" t="s">
        <v>163</v>
      </c>
    </row>
    <row r="12554" spans="1:8" ht="14.4" x14ac:dyDescent="0.3">
      <c r="A12554" s="8">
        <v>2055578</v>
      </c>
      <c r="B12554" s="11">
        <v>44729</v>
      </c>
      <c r="C12554" s="13" t="s">
        <v>15825</v>
      </c>
      <c r="D12554" s="13" t="s">
        <v>15826</v>
      </c>
      <c r="E12554" s="8">
        <v>7000</v>
      </c>
      <c r="F12554" s="13" t="s">
        <v>70</v>
      </c>
      <c r="G12554" s="14">
        <v>44734</v>
      </c>
      <c r="H12554" s="13" t="s">
        <v>163</v>
      </c>
    </row>
    <row r="12555" spans="1:8" ht="14.4" x14ac:dyDescent="0.3">
      <c r="A12555" s="8">
        <v>2055579</v>
      </c>
      <c r="B12555" s="11">
        <v>44729</v>
      </c>
      <c r="C12555" s="13" t="s">
        <v>15827</v>
      </c>
      <c r="D12555" s="13" t="s">
        <v>15828</v>
      </c>
      <c r="E12555" s="8">
        <v>9000</v>
      </c>
      <c r="F12555" s="13" t="s">
        <v>70</v>
      </c>
      <c r="G12555" s="14">
        <v>44734</v>
      </c>
      <c r="H12555" s="13" t="s">
        <v>163</v>
      </c>
    </row>
    <row r="12556" spans="1:8" ht="14.4" x14ac:dyDescent="0.3">
      <c r="A12556" s="8">
        <v>2055580</v>
      </c>
      <c r="B12556" s="11">
        <v>44729</v>
      </c>
      <c r="C12556" s="13" t="s">
        <v>15829</v>
      </c>
      <c r="D12556" s="13" t="s">
        <v>167</v>
      </c>
      <c r="E12556" s="8">
        <v>50000</v>
      </c>
      <c r="F12556" s="13" t="s">
        <v>70</v>
      </c>
      <c r="G12556" s="14">
        <v>44734</v>
      </c>
      <c r="H12556" s="13" t="s">
        <v>163</v>
      </c>
    </row>
    <row r="12557" spans="1:8" ht="14.4" x14ac:dyDescent="0.3">
      <c r="A12557" s="8">
        <v>2055581</v>
      </c>
      <c r="B12557" s="11">
        <v>44729</v>
      </c>
      <c r="C12557" s="13" t="s">
        <v>10601</v>
      </c>
      <c r="D12557" s="13" t="s">
        <v>15830</v>
      </c>
      <c r="E12557" s="8">
        <v>15000</v>
      </c>
      <c r="F12557" s="13" t="s">
        <v>70</v>
      </c>
      <c r="G12557" s="14">
        <v>44742</v>
      </c>
      <c r="H12557" s="13" t="s">
        <v>163</v>
      </c>
    </row>
    <row r="12558" spans="1:8" ht="14.4" x14ac:dyDescent="0.3">
      <c r="A12558" s="8">
        <v>2055582</v>
      </c>
      <c r="B12558" s="11">
        <v>44729</v>
      </c>
      <c r="C12558" s="13" t="s">
        <v>15831</v>
      </c>
      <c r="D12558" s="13" t="s">
        <v>15832</v>
      </c>
      <c r="E12558" s="8">
        <v>20000</v>
      </c>
      <c r="F12558" s="13" t="s">
        <v>70</v>
      </c>
      <c r="G12558" s="14">
        <v>44735</v>
      </c>
      <c r="H12558" s="13" t="s">
        <v>163</v>
      </c>
    </row>
    <row r="12559" spans="1:8" ht="14.4" x14ac:dyDescent="0.3">
      <c r="A12559" s="8">
        <v>2055583</v>
      </c>
      <c r="B12559" s="11">
        <v>44729</v>
      </c>
      <c r="C12559" s="13" t="s">
        <v>15833</v>
      </c>
      <c r="D12559" s="13" t="s">
        <v>15834</v>
      </c>
      <c r="E12559" s="8">
        <v>30000</v>
      </c>
      <c r="F12559" s="13" t="s">
        <v>70</v>
      </c>
      <c r="G12559" s="14">
        <v>44733</v>
      </c>
      <c r="H12559" s="13" t="s">
        <v>163</v>
      </c>
    </row>
    <row r="12560" spans="1:8" ht="14.4" x14ac:dyDescent="0.3">
      <c r="A12560" s="8">
        <v>2055584</v>
      </c>
      <c r="B12560" s="11">
        <v>44729</v>
      </c>
      <c r="C12560" s="13" t="s">
        <v>15422</v>
      </c>
      <c r="D12560" s="13" t="s">
        <v>15835</v>
      </c>
      <c r="E12560" s="8">
        <v>9900</v>
      </c>
      <c r="F12560" s="13" t="s">
        <v>70</v>
      </c>
      <c r="G12560" s="14">
        <v>44734</v>
      </c>
      <c r="H12560" s="13" t="s">
        <v>163</v>
      </c>
    </row>
    <row r="12561" spans="1:8" ht="14.4" x14ac:dyDescent="0.3">
      <c r="A12561" s="8">
        <v>2055585</v>
      </c>
      <c r="B12561" s="11">
        <v>44729</v>
      </c>
      <c r="C12561" s="13" t="s">
        <v>12706</v>
      </c>
      <c r="D12561" s="13" t="s">
        <v>15836</v>
      </c>
      <c r="E12561" s="8">
        <v>8600</v>
      </c>
      <c r="F12561" s="13" t="s">
        <v>70</v>
      </c>
      <c r="G12561" s="14">
        <v>44735</v>
      </c>
      <c r="H12561" s="13" t="s">
        <v>163</v>
      </c>
    </row>
    <row r="12562" spans="1:8" ht="14.4" x14ac:dyDescent="0.3">
      <c r="A12562" s="8">
        <v>2055586</v>
      </c>
      <c r="B12562" s="11">
        <v>44729</v>
      </c>
      <c r="C12562" s="13" t="s">
        <v>3426</v>
      </c>
      <c r="D12562" s="13" t="s">
        <v>15837</v>
      </c>
      <c r="E12562" s="8">
        <v>26000</v>
      </c>
      <c r="F12562" s="13" t="s">
        <v>70</v>
      </c>
      <c r="G12562" s="14">
        <v>44734</v>
      </c>
      <c r="H12562" s="13" t="s">
        <v>163</v>
      </c>
    </row>
    <row r="12563" spans="1:8" ht="14.4" x14ac:dyDescent="0.3">
      <c r="A12563" s="8">
        <v>2055587</v>
      </c>
      <c r="B12563" s="11">
        <v>44729</v>
      </c>
      <c r="C12563" s="13" t="s">
        <v>15838</v>
      </c>
      <c r="D12563" s="13" t="s">
        <v>14062</v>
      </c>
      <c r="E12563" s="8">
        <v>5000</v>
      </c>
      <c r="F12563" s="13" t="s">
        <v>70</v>
      </c>
      <c r="G12563" s="14">
        <v>44755</v>
      </c>
      <c r="H12563" s="13" t="s">
        <v>163</v>
      </c>
    </row>
    <row r="12564" spans="1:8" ht="14.4" x14ac:dyDescent="0.3">
      <c r="A12564" s="8">
        <v>2055588</v>
      </c>
      <c r="B12564" s="11">
        <v>44729</v>
      </c>
      <c r="C12564" s="13" t="s">
        <v>15839</v>
      </c>
      <c r="D12564" s="13" t="s">
        <v>15840</v>
      </c>
      <c r="E12564" s="8">
        <v>5000</v>
      </c>
      <c r="F12564" s="13" t="s">
        <v>70</v>
      </c>
      <c r="G12564" s="14">
        <v>44734</v>
      </c>
      <c r="H12564" s="13" t="s">
        <v>163</v>
      </c>
    </row>
    <row r="12565" spans="1:8" ht="14.4" x14ac:dyDescent="0.3">
      <c r="A12565" s="8">
        <v>2055589</v>
      </c>
      <c r="B12565" s="11">
        <v>44729</v>
      </c>
      <c r="C12565" s="13" t="s">
        <v>15841</v>
      </c>
      <c r="D12565" s="13" t="s">
        <v>15842</v>
      </c>
      <c r="E12565" s="8">
        <v>5000</v>
      </c>
      <c r="F12565" s="13" t="s">
        <v>70</v>
      </c>
      <c r="G12565" s="14">
        <v>44734</v>
      </c>
      <c r="H12565" s="13" t="s">
        <v>163</v>
      </c>
    </row>
    <row r="12566" spans="1:8" ht="14.4" x14ac:dyDescent="0.3">
      <c r="A12566" s="8">
        <v>2055590</v>
      </c>
      <c r="B12566" s="11">
        <v>44729</v>
      </c>
      <c r="C12566" s="13" t="s">
        <v>15843</v>
      </c>
      <c r="D12566" s="13" t="s">
        <v>15844</v>
      </c>
      <c r="E12566" s="8">
        <v>50000</v>
      </c>
      <c r="F12566" s="13" t="s">
        <v>70</v>
      </c>
      <c r="G12566" s="14">
        <v>44735</v>
      </c>
      <c r="H12566" s="13" t="s">
        <v>163</v>
      </c>
    </row>
    <row r="12567" spans="1:8" ht="14.4" x14ac:dyDescent="0.3">
      <c r="A12567" s="8">
        <v>2055591</v>
      </c>
      <c r="B12567" s="11">
        <v>44729</v>
      </c>
      <c r="C12567" s="13" t="s">
        <v>13883</v>
      </c>
      <c r="D12567" s="13" t="s">
        <v>15845</v>
      </c>
      <c r="E12567" s="8">
        <v>5000</v>
      </c>
      <c r="F12567" s="13" t="s">
        <v>70</v>
      </c>
      <c r="G12567" s="14">
        <v>44735</v>
      </c>
      <c r="H12567" s="13" t="s">
        <v>163</v>
      </c>
    </row>
    <row r="12568" spans="1:8" ht="14.4" x14ac:dyDescent="0.3">
      <c r="A12568" s="8">
        <v>2055592</v>
      </c>
      <c r="B12568" s="11">
        <v>44729</v>
      </c>
      <c r="C12568" s="13" t="s">
        <v>15846</v>
      </c>
      <c r="D12568" s="13" t="s">
        <v>15847</v>
      </c>
      <c r="E12568" s="8">
        <v>5000</v>
      </c>
      <c r="F12568" s="13" t="s">
        <v>70</v>
      </c>
      <c r="G12568" s="14">
        <v>44734</v>
      </c>
      <c r="H12568" s="13" t="s">
        <v>163</v>
      </c>
    </row>
    <row r="12569" spans="1:8" ht="14.4" x14ac:dyDescent="0.3">
      <c r="A12569" s="8">
        <v>2055593</v>
      </c>
      <c r="B12569" s="11">
        <v>44729</v>
      </c>
      <c r="C12569" s="13" t="s">
        <v>15848</v>
      </c>
      <c r="D12569" s="13" t="s">
        <v>15849</v>
      </c>
      <c r="E12569" s="8">
        <v>30000</v>
      </c>
      <c r="F12569" s="13" t="s">
        <v>70</v>
      </c>
      <c r="G12569" s="14">
        <v>44734</v>
      </c>
      <c r="H12569" s="13" t="s">
        <v>163</v>
      </c>
    </row>
    <row r="12570" spans="1:8" ht="14.4" x14ac:dyDescent="0.3">
      <c r="A12570" s="8">
        <v>2055594</v>
      </c>
      <c r="B12570" s="11">
        <v>44729</v>
      </c>
      <c r="C12570" s="13" t="s">
        <v>15850</v>
      </c>
      <c r="D12570" s="13" t="s">
        <v>14062</v>
      </c>
      <c r="E12570" s="8">
        <v>5000</v>
      </c>
      <c r="F12570" s="13" t="s">
        <v>70</v>
      </c>
      <c r="G12570" s="14">
        <v>44734</v>
      </c>
      <c r="H12570" s="13" t="s">
        <v>163</v>
      </c>
    </row>
    <row r="12571" spans="1:8" ht="14.4" x14ac:dyDescent="0.3">
      <c r="A12571" s="8">
        <v>2055595</v>
      </c>
      <c r="B12571" s="11">
        <v>44729</v>
      </c>
      <c r="C12571" s="13" t="s">
        <v>7615</v>
      </c>
      <c r="D12571" s="13" t="s">
        <v>15851</v>
      </c>
      <c r="E12571" s="8">
        <v>10000</v>
      </c>
      <c r="F12571" s="13" t="s">
        <v>70</v>
      </c>
      <c r="G12571" s="14">
        <v>44734</v>
      </c>
      <c r="H12571" s="13" t="s">
        <v>163</v>
      </c>
    </row>
    <row r="12572" spans="1:8" ht="14.4" x14ac:dyDescent="0.3">
      <c r="A12572" s="8">
        <v>2055596</v>
      </c>
      <c r="B12572" s="11">
        <v>44732</v>
      </c>
      <c r="C12572" s="13" t="s">
        <v>15852</v>
      </c>
      <c r="D12572" s="13" t="s">
        <v>15853</v>
      </c>
      <c r="E12572" s="8">
        <v>50000</v>
      </c>
      <c r="F12572" s="13" t="s">
        <v>70</v>
      </c>
      <c r="G12572" s="14">
        <v>44735</v>
      </c>
      <c r="H12572" s="13" t="s">
        <v>163</v>
      </c>
    </row>
    <row r="12573" spans="1:8" ht="14.4" x14ac:dyDescent="0.3">
      <c r="A12573" s="8">
        <v>2055597</v>
      </c>
      <c r="B12573" s="11">
        <v>44732</v>
      </c>
      <c r="C12573" s="13" t="s">
        <v>15854</v>
      </c>
      <c r="D12573" s="13" t="s">
        <v>15855</v>
      </c>
      <c r="E12573" s="8">
        <v>20000</v>
      </c>
      <c r="F12573" s="13" t="s">
        <v>70</v>
      </c>
      <c r="G12573" s="14">
        <v>44735</v>
      </c>
      <c r="H12573" s="13" t="s">
        <v>163</v>
      </c>
    </row>
    <row r="12574" spans="1:8" ht="14.4" x14ac:dyDescent="0.3">
      <c r="A12574" s="8">
        <v>2055598</v>
      </c>
      <c r="B12574" s="11">
        <v>44732</v>
      </c>
      <c r="C12574" s="13" t="s">
        <v>14781</v>
      </c>
      <c r="D12574" s="13" t="s">
        <v>15856</v>
      </c>
      <c r="E12574" s="8">
        <v>5000</v>
      </c>
      <c r="F12574" s="13" t="s">
        <v>70</v>
      </c>
      <c r="G12574" s="14">
        <v>44735</v>
      </c>
      <c r="H12574" s="13" t="s">
        <v>163</v>
      </c>
    </row>
    <row r="12575" spans="1:8" ht="14.4" x14ac:dyDescent="0.3">
      <c r="A12575" s="8">
        <v>2055599</v>
      </c>
      <c r="B12575" s="11">
        <v>44732</v>
      </c>
      <c r="C12575" s="13" t="s">
        <v>15857</v>
      </c>
      <c r="D12575" s="13" t="s">
        <v>15858</v>
      </c>
      <c r="E12575" s="8">
        <v>30000</v>
      </c>
      <c r="F12575" s="13" t="s">
        <v>70</v>
      </c>
      <c r="G12575" s="14">
        <v>44747</v>
      </c>
      <c r="H12575" s="13" t="s">
        <v>163</v>
      </c>
    </row>
    <row r="12576" spans="1:8" ht="14.4" x14ac:dyDescent="0.3">
      <c r="A12576" s="8">
        <v>2055600</v>
      </c>
      <c r="B12576" s="11">
        <v>44732</v>
      </c>
      <c r="C12576" s="13" t="s">
        <v>15859</v>
      </c>
      <c r="D12576" s="13" t="s">
        <v>15860</v>
      </c>
      <c r="E12576" s="8">
        <v>35000</v>
      </c>
      <c r="F12576" s="13" t="s">
        <v>70</v>
      </c>
      <c r="G12576" s="14">
        <v>44736</v>
      </c>
      <c r="H12576" s="13" t="s">
        <v>163</v>
      </c>
    </row>
    <row r="12577" spans="1:8" ht="14.4" x14ac:dyDescent="0.3">
      <c r="A12577" s="8">
        <v>2055601</v>
      </c>
      <c r="B12577" s="11">
        <v>44732</v>
      </c>
      <c r="C12577" s="13" t="s">
        <v>15861</v>
      </c>
      <c r="D12577" s="13" t="s">
        <v>15862</v>
      </c>
      <c r="E12577" s="8">
        <v>5000</v>
      </c>
      <c r="F12577" s="13" t="s">
        <v>70</v>
      </c>
      <c r="G12577" s="14">
        <v>44735</v>
      </c>
      <c r="H12577" s="13" t="s">
        <v>163</v>
      </c>
    </row>
    <row r="12578" spans="1:8" ht="14.4" x14ac:dyDescent="0.3">
      <c r="A12578" s="8">
        <v>2055602</v>
      </c>
      <c r="B12578" s="11">
        <v>44732</v>
      </c>
      <c r="C12578" s="13" t="s">
        <v>506</v>
      </c>
      <c r="D12578" s="13" t="s">
        <v>15863</v>
      </c>
      <c r="E12578" s="8">
        <v>95000</v>
      </c>
      <c r="F12578" s="13" t="s">
        <v>70</v>
      </c>
      <c r="G12578" s="14">
        <v>44743</v>
      </c>
      <c r="H12578" s="13" t="s">
        <v>163</v>
      </c>
    </row>
    <row r="12579" spans="1:8" ht="14.4" x14ac:dyDescent="0.3">
      <c r="A12579" s="8">
        <v>2055603</v>
      </c>
      <c r="B12579" s="11">
        <v>44732</v>
      </c>
      <c r="C12579" s="13" t="s">
        <v>74</v>
      </c>
      <c r="D12579" s="13" t="s">
        <v>15864</v>
      </c>
      <c r="E12579" s="8">
        <v>44000</v>
      </c>
      <c r="F12579" s="13" t="s">
        <v>70</v>
      </c>
      <c r="G12579" s="14">
        <v>44743</v>
      </c>
      <c r="H12579" s="13" t="s">
        <v>163</v>
      </c>
    </row>
    <row r="12580" spans="1:8" ht="14.4" x14ac:dyDescent="0.3">
      <c r="A12580" s="8">
        <v>2055604</v>
      </c>
      <c r="B12580" s="11">
        <v>44732</v>
      </c>
      <c r="C12580" s="13" t="s">
        <v>99</v>
      </c>
      <c r="D12580" s="13" t="s">
        <v>15865</v>
      </c>
      <c r="E12580" s="8">
        <v>10000</v>
      </c>
      <c r="F12580" s="13" t="s">
        <v>70</v>
      </c>
      <c r="G12580" s="14">
        <v>44736</v>
      </c>
      <c r="H12580" s="13" t="s">
        <v>163</v>
      </c>
    </row>
    <row r="12581" spans="1:8" ht="14.4" x14ac:dyDescent="0.3">
      <c r="A12581" s="8">
        <v>2055605</v>
      </c>
      <c r="B12581" s="11">
        <v>44732</v>
      </c>
      <c r="C12581" s="13" t="s">
        <v>15866</v>
      </c>
      <c r="D12581" s="13" t="s">
        <v>15867</v>
      </c>
      <c r="E12581" s="8">
        <v>10000</v>
      </c>
      <c r="F12581" s="13" t="s">
        <v>70</v>
      </c>
      <c r="G12581" s="14">
        <v>44740</v>
      </c>
      <c r="H12581" s="13" t="s">
        <v>163</v>
      </c>
    </row>
    <row r="12582" spans="1:8" ht="14.4" x14ac:dyDescent="0.3">
      <c r="A12582" s="8">
        <v>2055606</v>
      </c>
      <c r="B12582" s="11">
        <v>44732</v>
      </c>
      <c r="C12582" s="13" t="s">
        <v>15868</v>
      </c>
      <c r="D12582" s="13" t="s">
        <v>15869</v>
      </c>
      <c r="E12582" s="8">
        <v>13000</v>
      </c>
      <c r="F12582" s="13" t="s">
        <v>70</v>
      </c>
      <c r="G12582" s="14">
        <v>44735</v>
      </c>
      <c r="H12582" s="13" t="s">
        <v>163</v>
      </c>
    </row>
    <row r="12583" spans="1:8" ht="14.4" x14ac:dyDescent="0.3">
      <c r="A12583" s="8">
        <v>2055607</v>
      </c>
      <c r="B12583" s="11">
        <v>44732</v>
      </c>
      <c r="C12583" s="13" t="s">
        <v>15870</v>
      </c>
      <c r="D12583" s="13" t="s">
        <v>15871</v>
      </c>
      <c r="E12583" s="8">
        <v>25000</v>
      </c>
      <c r="F12583" s="13" t="s">
        <v>70</v>
      </c>
      <c r="G12583" s="14">
        <v>44734</v>
      </c>
      <c r="H12583" s="13" t="s">
        <v>163</v>
      </c>
    </row>
    <row r="12584" spans="1:8" ht="14.4" x14ac:dyDescent="0.3">
      <c r="A12584" s="8">
        <v>2055608</v>
      </c>
      <c r="B12584" s="11">
        <v>44732</v>
      </c>
      <c r="C12584" s="13" t="s">
        <v>15872</v>
      </c>
      <c r="D12584" s="13" t="s">
        <v>15873</v>
      </c>
      <c r="E12584" s="8">
        <v>5000</v>
      </c>
      <c r="F12584" s="13" t="s">
        <v>70</v>
      </c>
      <c r="G12584" s="14">
        <v>44733</v>
      </c>
      <c r="H12584" s="13" t="s">
        <v>163</v>
      </c>
    </row>
    <row r="12585" spans="1:8" ht="14.4" x14ac:dyDescent="0.3">
      <c r="A12585" s="8">
        <v>2055609</v>
      </c>
      <c r="B12585" s="11">
        <v>44732</v>
      </c>
      <c r="C12585" s="13" t="s">
        <v>15874</v>
      </c>
      <c r="D12585" s="13" t="s">
        <v>15875</v>
      </c>
      <c r="E12585" s="8">
        <v>10000</v>
      </c>
      <c r="F12585" s="13" t="s">
        <v>70</v>
      </c>
      <c r="G12585" s="14">
        <v>44734</v>
      </c>
      <c r="H12585" s="13" t="s">
        <v>163</v>
      </c>
    </row>
    <row r="12586" spans="1:8" ht="14.4" x14ac:dyDescent="0.3">
      <c r="A12586" s="8">
        <v>2055610</v>
      </c>
      <c r="B12586" s="11">
        <v>44732</v>
      </c>
      <c r="C12586" s="13" t="s">
        <v>14050</v>
      </c>
      <c r="D12586" s="13" t="s">
        <v>15876</v>
      </c>
      <c r="E12586" s="8">
        <v>10000</v>
      </c>
      <c r="F12586" s="13" t="s">
        <v>70</v>
      </c>
      <c r="G12586" s="14">
        <v>44734</v>
      </c>
      <c r="H12586" s="13" t="s">
        <v>163</v>
      </c>
    </row>
    <row r="12587" spans="1:8" ht="14.4" x14ac:dyDescent="0.3">
      <c r="A12587" s="8">
        <v>2055611</v>
      </c>
      <c r="B12587" s="11">
        <v>44732</v>
      </c>
      <c r="C12587" s="13" t="s">
        <v>893</v>
      </c>
      <c r="D12587" s="13" t="s">
        <v>15564</v>
      </c>
      <c r="E12587" s="8">
        <v>323000</v>
      </c>
      <c r="F12587" s="13" t="s">
        <v>70</v>
      </c>
      <c r="G12587" s="14">
        <v>44743</v>
      </c>
      <c r="H12587" s="13" t="s">
        <v>163</v>
      </c>
    </row>
    <row r="12588" spans="1:8" ht="14.4" x14ac:dyDescent="0.3">
      <c r="A12588" s="8">
        <v>2055612</v>
      </c>
      <c r="B12588" s="11">
        <v>44732</v>
      </c>
      <c r="C12588" s="13" t="s">
        <v>15877</v>
      </c>
      <c r="D12588" s="13" t="s">
        <v>15878</v>
      </c>
      <c r="E12588" s="8">
        <v>46</v>
      </c>
      <c r="F12588" s="13" t="s">
        <v>70</v>
      </c>
      <c r="G12588" s="14">
        <v>44734</v>
      </c>
      <c r="H12588" s="13" t="s">
        <v>163</v>
      </c>
    </row>
    <row r="12589" spans="1:8" ht="14.4" x14ac:dyDescent="0.3">
      <c r="A12589" s="8">
        <v>2055613</v>
      </c>
      <c r="B12589" s="11">
        <v>44732</v>
      </c>
      <c r="C12589" s="13" t="s">
        <v>15879</v>
      </c>
      <c r="D12589" s="13" t="s">
        <v>15880</v>
      </c>
      <c r="E12589" s="8">
        <v>20000</v>
      </c>
      <c r="F12589" s="13" t="s">
        <v>70</v>
      </c>
      <c r="G12589" s="14">
        <v>44735</v>
      </c>
      <c r="H12589" s="13" t="s">
        <v>163</v>
      </c>
    </row>
    <row r="12590" spans="1:8" ht="14.4" x14ac:dyDescent="0.3">
      <c r="A12590" s="8">
        <v>2055614</v>
      </c>
      <c r="B12590" s="11">
        <v>44732</v>
      </c>
      <c r="C12590" s="13" t="s">
        <v>15881</v>
      </c>
      <c r="D12590" s="13" t="s">
        <v>15882</v>
      </c>
      <c r="E12590" s="8">
        <v>20000</v>
      </c>
      <c r="F12590" s="13" t="s">
        <v>70</v>
      </c>
      <c r="G12590" s="14">
        <v>44734</v>
      </c>
      <c r="H12590" s="13" t="s">
        <v>163</v>
      </c>
    </row>
    <row r="12591" spans="1:8" ht="14.4" x14ac:dyDescent="0.3">
      <c r="A12591" s="8">
        <v>2055615</v>
      </c>
      <c r="B12591" s="11">
        <v>44732</v>
      </c>
      <c r="C12591" s="13" t="s">
        <v>15883</v>
      </c>
      <c r="D12591" s="13" t="s">
        <v>15884</v>
      </c>
      <c r="E12591" s="8">
        <v>15000</v>
      </c>
      <c r="F12591" s="13" t="s">
        <v>70</v>
      </c>
      <c r="G12591" s="14">
        <v>44734</v>
      </c>
      <c r="H12591" s="13" t="s">
        <v>163</v>
      </c>
    </row>
    <row r="12592" spans="1:8" ht="14.4" x14ac:dyDescent="0.3">
      <c r="A12592" s="8">
        <v>2055616</v>
      </c>
      <c r="B12592" s="11">
        <v>44733</v>
      </c>
      <c r="C12592" s="13" t="s">
        <v>13294</v>
      </c>
      <c r="D12592" s="13" t="s">
        <v>15885</v>
      </c>
      <c r="E12592" s="8">
        <v>381307</v>
      </c>
      <c r="F12592" s="13" t="s">
        <v>70</v>
      </c>
      <c r="G12592" s="14">
        <v>44733</v>
      </c>
      <c r="H12592" s="13" t="s">
        <v>163</v>
      </c>
    </row>
    <row r="12593" spans="1:8" ht="14.4" x14ac:dyDescent="0.3">
      <c r="A12593" s="8">
        <v>2055617</v>
      </c>
      <c r="B12593" s="11">
        <v>44733</v>
      </c>
      <c r="C12593" s="13" t="s">
        <v>15886</v>
      </c>
      <c r="D12593" s="13" t="s">
        <v>15887</v>
      </c>
      <c r="E12593" s="8">
        <v>8000</v>
      </c>
      <c r="F12593" s="13" t="s">
        <v>70</v>
      </c>
      <c r="G12593" s="14">
        <v>44734</v>
      </c>
      <c r="H12593" s="13" t="s">
        <v>163</v>
      </c>
    </row>
    <row r="12594" spans="1:8" ht="14.4" x14ac:dyDescent="0.3">
      <c r="A12594" s="8">
        <v>2055618</v>
      </c>
      <c r="B12594" s="11">
        <v>44733</v>
      </c>
      <c r="C12594" s="13" t="s">
        <v>15888</v>
      </c>
      <c r="D12594" s="13" t="s">
        <v>15889</v>
      </c>
      <c r="E12594" s="8">
        <v>4637500</v>
      </c>
      <c r="F12594" s="13" t="s">
        <v>70</v>
      </c>
      <c r="G12594" s="14">
        <v>44734</v>
      </c>
      <c r="H12594" s="13" t="s">
        <v>163</v>
      </c>
    </row>
    <row r="12595" spans="1:8" ht="14.4" x14ac:dyDescent="0.3">
      <c r="A12595" s="8">
        <v>2055619</v>
      </c>
      <c r="B12595" s="11">
        <v>44734</v>
      </c>
      <c r="C12595" s="13" t="s">
        <v>3311</v>
      </c>
      <c r="D12595" s="13" t="s">
        <v>15890</v>
      </c>
      <c r="E12595" s="8">
        <v>10000</v>
      </c>
      <c r="F12595" s="13" t="s">
        <v>70</v>
      </c>
      <c r="G12595" s="14">
        <v>44735</v>
      </c>
      <c r="H12595" s="13" t="s">
        <v>163</v>
      </c>
    </row>
    <row r="12596" spans="1:8" ht="14.4" x14ac:dyDescent="0.3">
      <c r="A12596" s="8">
        <v>2055620</v>
      </c>
      <c r="B12596" s="11">
        <v>44734</v>
      </c>
      <c r="C12596" s="13" t="s">
        <v>2003</v>
      </c>
      <c r="D12596" s="13" t="s">
        <v>15891</v>
      </c>
      <c r="E12596" s="8">
        <v>4000</v>
      </c>
      <c r="F12596" s="13" t="s">
        <v>70</v>
      </c>
      <c r="G12596" s="14">
        <v>44736</v>
      </c>
      <c r="H12596" s="13" t="s">
        <v>163</v>
      </c>
    </row>
    <row r="12597" spans="1:8" ht="14.4" x14ac:dyDescent="0.3">
      <c r="A12597" s="8">
        <v>2055621</v>
      </c>
      <c r="B12597" s="11">
        <v>44734</v>
      </c>
      <c r="C12597" s="13" t="s">
        <v>13113</v>
      </c>
      <c r="D12597" s="13" t="s">
        <v>15892</v>
      </c>
      <c r="E12597" s="8">
        <v>53000</v>
      </c>
      <c r="F12597" s="13" t="s">
        <v>70</v>
      </c>
      <c r="G12597" s="14">
        <v>44743</v>
      </c>
      <c r="H12597" s="13" t="s">
        <v>163</v>
      </c>
    </row>
    <row r="12598" spans="1:8" ht="14.4" x14ac:dyDescent="0.3">
      <c r="A12598" s="8">
        <v>2055622</v>
      </c>
      <c r="B12598" s="11">
        <v>44734</v>
      </c>
      <c r="C12598" s="13" t="s">
        <v>15893</v>
      </c>
      <c r="D12598" s="13" t="s">
        <v>15894</v>
      </c>
      <c r="E12598" s="8">
        <v>10000</v>
      </c>
      <c r="F12598" s="13" t="s">
        <v>70</v>
      </c>
      <c r="G12598" s="14">
        <v>44739</v>
      </c>
      <c r="H12598" s="13" t="s">
        <v>163</v>
      </c>
    </row>
    <row r="12599" spans="1:8" ht="14.4" x14ac:dyDescent="0.3">
      <c r="A12599" s="8">
        <v>2055623</v>
      </c>
      <c r="B12599" s="11">
        <v>44734</v>
      </c>
      <c r="C12599" s="13" t="s">
        <v>15895</v>
      </c>
      <c r="D12599" s="13" t="s">
        <v>15896</v>
      </c>
      <c r="E12599" s="8">
        <v>10000</v>
      </c>
      <c r="F12599" s="13" t="s">
        <v>70</v>
      </c>
      <c r="G12599" s="14">
        <v>44742</v>
      </c>
      <c r="H12599" s="13" t="s">
        <v>163</v>
      </c>
    </row>
    <row r="12600" spans="1:8" ht="14.4" x14ac:dyDescent="0.3">
      <c r="A12600" s="8">
        <v>2055624</v>
      </c>
      <c r="B12600" s="11">
        <v>44734</v>
      </c>
      <c r="C12600" s="13" t="s">
        <v>1033</v>
      </c>
      <c r="D12600" s="13" t="s">
        <v>15897</v>
      </c>
      <c r="E12600" s="8">
        <v>6000</v>
      </c>
      <c r="F12600" s="13" t="s">
        <v>70</v>
      </c>
      <c r="G12600" s="14">
        <v>44748</v>
      </c>
      <c r="H12600" s="13" t="s">
        <v>163</v>
      </c>
    </row>
    <row r="12601" spans="1:8" ht="14.4" x14ac:dyDescent="0.3">
      <c r="A12601" s="8">
        <v>2055625</v>
      </c>
      <c r="B12601" s="11">
        <v>44734</v>
      </c>
      <c r="C12601" s="13" t="s">
        <v>15898</v>
      </c>
      <c r="D12601" s="13" t="s">
        <v>15899</v>
      </c>
      <c r="E12601" s="8">
        <v>6000</v>
      </c>
      <c r="F12601" s="13" t="s">
        <v>70</v>
      </c>
      <c r="G12601" s="14">
        <v>44742</v>
      </c>
      <c r="H12601" s="13" t="s">
        <v>163</v>
      </c>
    </row>
    <row r="12602" spans="1:8" ht="14.4" x14ac:dyDescent="0.3">
      <c r="A12602" s="8">
        <v>2055626</v>
      </c>
      <c r="B12602" s="11">
        <v>44734</v>
      </c>
      <c r="C12602" s="13" t="s">
        <v>15900</v>
      </c>
      <c r="D12602" s="13" t="s">
        <v>15901</v>
      </c>
      <c r="E12602" s="8">
        <v>4000</v>
      </c>
      <c r="F12602" s="13" t="s">
        <v>70</v>
      </c>
      <c r="G12602" s="14">
        <v>44742</v>
      </c>
      <c r="H12602" s="13" t="s">
        <v>163</v>
      </c>
    </row>
    <row r="12603" spans="1:8" ht="14.4" x14ac:dyDescent="0.3">
      <c r="A12603" s="8">
        <v>2055627</v>
      </c>
      <c r="B12603" s="11">
        <v>44734</v>
      </c>
      <c r="C12603" s="13" t="s">
        <v>15902</v>
      </c>
      <c r="D12603" s="13" t="s">
        <v>15903</v>
      </c>
      <c r="E12603" s="8">
        <v>4000</v>
      </c>
      <c r="F12603" s="13" t="s">
        <v>70</v>
      </c>
      <c r="G12603" s="14">
        <v>44746</v>
      </c>
      <c r="H12603" s="13" t="s">
        <v>163</v>
      </c>
    </row>
    <row r="12604" spans="1:8" ht="14.4" x14ac:dyDescent="0.3">
      <c r="A12604" s="8">
        <v>2055628</v>
      </c>
      <c r="B12604" s="11">
        <v>44734</v>
      </c>
      <c r="C12604" s="13" t="s">
        <v>15904</v>
      </c>
      <c r="D12604" s="13" t="s">
        <v>15905</v>
      </c>
      <c r="E12604" s="8">
        <v>6000</v>
      </c>
      <c r="F12604" s="13" t="s">
        <v>70</v>
      </c>
      <c r="G12604" s="14">
        <v>44739</v>
      </c>
      <c r="H12604" s="13" t="s">
        <v>163</v>
      </c>
    </row>
    <row r="12605" spans="1:8" ht="14.4" x14ac:dyDescent="0.3">
      <c r="A12605" s="8">
        <v>2055629</v>
      </c>
      <c r="B12605" s="11">
        <v>44734</v>
      </c>
      <c r="C12605" s="13" t="s">
        <v>15238</v>
      </c>
      <c r="D12605" s="13" t="s">
        <v>15906</v>
      </c>
      <c r="E12605" s="8">
        <v>20000</v>
      </c>
      <c r="F12605" s="13" t="s">
        <v>70</v>
      </c>
      <c r="G12605" s="14">
        <v>44736</v>
      </c>
      <c r="H12605" s="13" t="s">
        <v>163</v>
      </c>
    </row>
    <row r="12606" spans="1:8" ht="14.4" x14ac:dyDescent="0.3">
      <c r="A12606" s="8">
        <v>2055632</v>
      </c>
      <c r="B12606" s="11">
        <v>44734</v>
      </c>
      <c r="C12606" s="13" t="s">
        <v>15907</v>
      </c>
      <c r="D12606" s="13" t="s">
        <v>15908</v>
      </c>
      <c r="E12606" s="8">
        <v>6000</v>
      </c>
      <c r="F12606" s="13" t="s">
        <v>70</v>
      </c>
      <c r="G12606" s="14">
        <v>44739</v>
      </c>
      <c r="H12606" s="13" t="s">
        <v>163</v>
      </c>
    </row>
    <row r="12607" spans="1:8" ht="14.4" x14ac:dyDescent="0.3">
      <c r="A12607" s="8">
        <v>2055633</v>
      </c>
      <c r="B12607" s="11">
        <v>44734</v>
      </c>
      <c r="C12607" s="13" t="s">
        <v>932</v>
      </c>
      <c r="D12607" s="13" t="s">
        <v>15909</v>
      </c>
      <c r="E12607" s="8">
        <v>10000</v>
      </c>
      <c r="F12607" s="13" t="s">
        <v>70</v>
      </c>
      <c r="G12607" s="14">
        <v>44735</v>
      </c>
      <c r="H12607" s="13" t="s">
        <v>163</v>
      </c>
    </row>
    <row r="12608" spans="1:8" ht="14.4" x14ac:dyDescent="0.3">
      <c r="A12608" s="8">
        <v>2055634</v>
      </c>
      <c r="B12608" s="11">
        <v>44735</v>
      </c>
      <c r="C12608" s="13" t="s">
        <v>15910</v>
      </c>
      <c r="D12608" s="13" t="s">
        <v>15911</v>
      </c>
      <c r="E12608" s="8">
        <v>10000</v>
      </c>
      <c r="F12608" s="13" t="s">
        <v>70</v>
      </c>
      <c r="G12608" s="14">
        <v>44743</v>
      </c>
      <c r="H12608" s="13" t="s">
        <v>163</v>
      </c>
    </row>
    <row r="12609" spans="1:8" ht="14.4" x14ac:dyDescent="0.3">
      <c r="A12609" s="8">
        <v>2055635</v>
      </c>
      <c r="B12609" s="11">
        <v>44735</v>
      </c>
      <c r="C12609" s="13" t="s">
        <v>15912</v>
      </c>
      <c r="D12609" s="13" t="s">
        <v>15913</v>
      </c>
      <c r="E12609" s="8">
        <v>8000</v>
      </c>
      <c r="F12609" s="13" t="s">
        <v>70</v>
      </c>
      <c r="G12609" s="14">
        <v>44742</v>
      </c>
      <c r="H12609" s="13" t="s">
        <v>163</v>
      </c>
    </row>
    <row r="12610" spans="1:8" ht="14.4" x14ac:dyDescent="0.3">
      <c r="A12610" s="8">
        <v>2055636</v>
      </c>
      <c r="B12610" s="11">
        <v>44735</v>
      </c>
      <c r="C12610" s="13" t="s">
        <v>15914</v>
      </c>
      <c r="D12610" s="13" t="s">
        <v>15915</v>
      </c>
      <c r="E12610" s="8">
        <v>10000</v>
      </c>
      <c r="F12610" s="13" t="s">
        <v>70</v>
      </c>
      <c r="G12610" s="14">
        <v>44740</v>
      </c>
      <c r="H12610" s="13" t="s">
        <v>163</v>
      </c>
    </row>
    <row r="12611" spans="1:8" ht="14.4" x14ac:dyDescent="0.3">
      <c r="A12611" s="8">
        <v>2055637</v>
      </c>
      <c r="B12611" s="11">
        <v>44735</v>
      </c>
      <c r="C12611" s="13" t="s">
        <v>15916</v>
      </c>
      <c r="D12611" s="13" t="s">
        <v>15917</v>
      </c>
      <c r="E12611" s="8">
        <v>8000</v>
      </c>
      <c r="F12611" s="13" t="s">
        <v>70</v>
      </c>
      <c r="G12611" s="14">
        <v>44742</v>
      </c>
      <c r="H12611" s="13" t="s">
        <v>163</v>
      </c>
    </row>
    <row r="12612" spans="1:8" ht="14.4" x14ac:dyDescent="0.3">
      <c r="A12612" s="8">
        <v>2055638</v>
      </c>
      <c r="B12612" s="11">
        <v>44735</v>
      </c>
      <c r="C12612" s="13" t="s">
        <v>9801</v>
      </c>
      <c r="D12612" s="13" t="s">
        <v>15918</v>
      </c>
      <c r="E12612" s="8">
        <v>20000</v>
      </c>
      <c r="F12612" s="13" t="s">
        <v>70</v>
      </c>
      <c r="G12612" s="14">
        <v>44742</v>
      </c>
      <c r="H12612" s="13" t="s">
        <v>163</v>
      </c>
    </row>
    <row r="12613" spans="1:8" ht="14.4" x14ac:dyDescent="0.3">
      <c r="A12613" s="8">
        <v>2055639</v>
      </c>
      <c r="B12613" s="11">
        <v>44735</v>
      </c>
      <c r="C12613" s="13" t="s">
        <v>9755</v>
      </c>
      <c r="D12613" s="13" t="s">
        <v>15919</v>
      </c>
      <c r="E12613" s="8">
        <v>8000</v>
      </c>
      <c r="F12613" s="13" t="s">
        <v>70</v>
      </c>
      <c r="G12613" s="14">
        <v>44740</v>
      </c>
      <c r="H12613" s="13" t="s">
        <v>163</v>
      </c>
    </row>
    <row r="12614" spans="1:8" ht="14.4" x14ac:dyDescent="0.3">
      <c r="A12614" s="8">
        <v>2055640</v>
      </c>
      <c r="B12614" s="11">
        <v>44735</v>
      </c>
      <c r="C12614" s="13" t="s">
        <v>15920</v>
      </c>
      <c r="D12614" s="13" t="s">
        <v>15921</v>
      </c>
      <c r="E12614" s="8">
        <v>8000</v>
      </c>
      <c r="F12614" s="13" t="s">
        <v>70</v>
      </c>
      <c r="G12614" s="14">
        <v>44739</v>
      </c>
      <c r="H12614" s="13" t="s">
        <v>163</v>
      </c>
    </row>
    <row r="12615" spans="1:8" ht="14.4" x14ac:dyDescent="0.3">
      <c r="A12615" s="8">
        <v>2055641</v>
      </c>
      <c r="B12615" s="11">
        <v>44735</v>
      </c>
      <c r="C12615" s="13" t="s">
        <v>15247</v>
      </c>
      <c r="D12615" s="13" t="s">
        <v>15922</v>
      </c>
      <c r="E12615" s="8">
        <v>2000</v>
      </c>
      <c r="F12615" s="13" t="s">
        <v>70</v>
      </c>
      <c r="G12615" s="14">
        <v>44742</v>
      </c>
      <c r="H12615" s="13" t="s">
        <v>163</v>
      </c>
    </row>
    <row r="12616" spans="1:8" ht="14.4" x14ac:dyDescent="0.3">
      <c r="A12616" s="8">
        <v>2055642</v>
      </c>
      <c r="B12616" s="11">
        <v>44735</v>
      </c>
      <c r="C12616" s="13" t="s">
        <v>15923</v>
      </c>
      <c r="D12616" s="13" t="s">
        <v>15924</v>
      </c>
      <c r="E12616" s="8">
        <v>6000</v>
      </c>
      <c r="F12616" s="13" t="s">
        <v>70</v>
      </c>
      <c r="G12616" s="14">
        <v>44742</v>
      </c>
      <c r="H12616" s="13" t="s">
        <v>163</v>
      </c>
    </row>
    <row r="12617" spans="1:8" ht="14.4" x14ac:dyDescent="0.3">
      <c r="A12617" s="8">
        <v>2055643</v>
      </c>
      <c r="B12617" s="11">
        <v>44735</v>
      </c>
      <c r="C12617" s="13" t="s">
        <v>10815</v>
      </c>
      <c r="D12617" s="13" t="s">
        <v>15925</v>
      </c>
      <c r="E12617" s="8">
        <v>8000</v>
      </c>
      <c r="F12617" s="13" t="s">
        <v>70</v>
      </c>
      <c r="G12617" s="14">
        <v>44739</v>
      </c>
      <c r="H12617" s="13" t="s">
        <v>163</v>
      </c>
    </row>
    <row r="12618" spans="1:8" ht="14.4" x14ac:dyDescent="0.3">
      <c r="A12618" s="8">
        <v>2055644</v>
      </c>
      <c r="B12618" s="11">
        <v>44735</v>
      </c>
      <c r="C12618" s="13" t="s">
        <v>15926</v>
      </c>
      <c r="D12618" s="13" t="s">
        <v>15927</v>
      </c>
      <c r="E12618" s="8">
        <v>4000</v>
      </c>
      <c r="F12618" s="13" t="s">
        <v>70</v>
      </c>
      <c r="G12618" s="14">
        <v>44740</v>
      </c>
      <c r="H12618" s="13" t="s">
        <v>163</v>
      </c>
    </row>
    <row r="12619" spans="1:8" ht="14.4" x14ac:dyDescent="0.3">
      <c r="A12619" s="8">
        <v>2055645</v>
      </c>
      <c r="B12619" s="11">
        <v>44735</v>
      </c>
      <c r="C12619" s="13" t="s">
        <v>15928</v>
      </c>
      <c r="D12619" s="13" t="s">
        <v>15929</v>
      </c>
      <c r="E12619" s="8">
        <v>50000</v>
      </c>
      <c r="F12619" s="13" t="s">
        <v>70</v>
      </c>
      <c r="G12619" s="14">
        <v>44742</v>
      </c>
      <c r="H12619" s="13" t="s">
        <v>163</v>
      </c>
    </row>
    <row r="12620" spans="1:8" ht="14.4" x14ac:dyDescent="0.3">
      <c r="A12620" s="8">
        <v>2055646</v>
      </c>
      <c r="B12620" s="11">
        <v>44735</v>
      </c>
      <c r="C12620" s="13" t="s">
        <v>9555</v>
      </c>
      <c r="D12620" s="13" t="s">
        <v>15930</v>
      </c>
      <c r="E12620" s="8">
        <v>8000</v>
      </c>
      <c r="F12620" s="13" t="s">
        <v>70</v>
      </c>
      <c r="G12620" s="14">
        <v>44742</v>
      </c>
      <c r="H12620" s="13" t="s">
        <v>163</v>
      </c>
    </row>
    <row r="12621" spans="1:8" ht="14.4" x14ac:dyDescent="0.3">
      <c r="A12621" s="8">
        <v>2055647</v>
      </c>
      <c r="B12621" s="11">
        <v>44735</v>
      </c>
      <c r="C12621" s="13" t="s">
        <v>15931</v>
      </c>
      <c r="D12621" s="13" t="s">
        <v>15932</v>
      </c>
      <c r="E12621" s="8">
        <v>8000</v>
      </c>
      <c r="F12621" s="13" t="s">
        <v>70</v>
      </c>
      <c r="G12621" s="14">
        <v>44741</v>
      </c>
      <c r="H12621" s="13" t="s">
        <v>163</v>
      </c>
    </row>
    <row r="12622" spans="1:8" ht="14.4" x14ac:dyDescent="0.3">
      <c r="A12622" s="8">
        <v>2055648</v>
      </c>
      <c r="B12622" s="11">
        <v>44735</v>
      </c>
      <c r="C12622" s="13" t="s">
        <v>15933</v>
      </c>
      <c r="D12622" s="13" t="s">
        <v>15934</v>
      </c>
      <c r="E12622" s="8">
        <v>4000</v>
      </c>
      <c r="F12622" s="13" t="s">
        <v>70</v>
      </c>
      <c r="G12622" s="14">
        <v>44750</v>
      </c>
      <c r="H12622" s="13" t="s">
        <v>163</v>
      </c>
    </row>
    <row r="12623" spans="1:8" ht="14.4" x14ac:dyDescent="0.3">
      <c r="A12623" s="8">
        <v>2055649</v>
      </c>
      <c r="B12623" s="11">
        <v>44735</v>
      </c>
      <c r="C12623" s="13" t="s">
        <v>15935</v>
      </c>
      <c r="D12623" s="13" t="s">
        <v>15936</v>
      </c>
      <c r="E12623" s="8">
        <v>4000</v>
      </c>
      <c r="F12623" s="13" t="s">
        <v>70</v>
      </c>
      <c r="G12623" s="14">
        <v>44740</v>
      </c>
      <c r="H12623" s="13" t="s">
        <v>163</v>
      </c>
    </row>
    <row r="12624" spans="1:8" ht="14.4" x14ac:dyDescent="0.3">
      <c r="A12624" s="8">
        <v>2055650</v>
      </c>
      <c r="B12624" s="11">
        <v>44735</v>
      </c>
      <c r="C12624" s="13" t="s">
        <v>2107</v>
      </c>
      <c r="D12624" s="13" t="s">
        <v>15937</v>
      </c>
      <c r="E12624" s="8">
        <v>10000</v>
      </c>
      <c r="F12624" s="13" t="s">
        <v>70</v>
      </c>
      <c r="G12624" s="14">
        <v>44742</v>
      </c>
      <c r="H12624" s="13" t="s">
        <v>163</v>
      </c>
    </row>
    <row r="12625" spans="1:8" ht="14.4" x14ac:dyDescent="0.3">
      <c r="A12625" s="8">
        <v>2055651</v>
      </c>
      <c r="B12625" s="11">
        <v>44736</v>
      </c>
      <c r="C12625" s="13" t="s">
        <v>15357</v>
      </c>
      <c r="D12625" s="13" t="s">
        <v>15938</v>
      </c>
      <c r="E12625" s="8">
        <v>6000</v>
      </c>
      <c r="F12625" s="13" t="s">
        <v>70</v>
      </c>
      <c r="G12625" s="14">
        <v>44739</v>
      </c>
      <c r="H12625" s="13" t="s">
        <v>163</v>
      </c>
    </row>
    <row r="12626" spans="1:8" ht="14.4" x14ac:dyDescent="0.3">
      <c r="A12626" s="8">
        <v>2055652</v>
      </c>
      <c r="B12626" s="11">
        <v>44736</v>
      </c>
      <c r="C12626" s="13" t="s">
        <v>123</v>
      </c>
      <c r="D12626" s="13" t="s">
        <v>15939</v>
      </c>
      <c r="E12626" s="8">
        <v>6000</v>
      </c>
      <c r="F12626" s="13" t="s">
        <v>70</v>
      </c>
      <c r="G12626" s="14">
        <v>44763</v>
      </c>
      <c r="H12626" s="13" t="s">
        <v>163</v>
      </c>
    </row>
    <row r="12627" spans="1:8" ht="14.4" x14ac:dyDescent="0.3">
      <c r="A12627" s="8">
        <v>2055653</v>
      </c>
      <c r="B12627" s="11">
        <v>44736</v>
      </c>
      <c r="C12627" s="13" t="s">
        <v>1436</v>
      </c>
      <c r="D12627" s="13" t="s">
        <v>15940</v>
      </c>
      <c r="E12627" s="8">
        <v>6000</v>
      </c>
      <c r="F12627" s="13" t="s">
        <v>70</v>
      </c>
      <c r="G12627" s="14">
        <v>44740</v>
      </c>
      <c r="H12627" s="13" t="s">
        <v>163</v>
      </c>
    </row>
    <row r="12628" spans="1:8" ht="14.4" x14ac:dyDescent="0.3">
      <c r="A12628" s="8">
        <v>2055654</v>
      </c>
      <c r="B12628" s="11">
        <v>44736</v>
      </c>
      <c r="C12628" s="13" t="s">
        <v>15941</v>
      </c>
      <c r="D12628" s="13" t="s">
        <v>15942</v>
      </c>
      <c r="E12628" s="8">
        <v>2000</v>
      </c>
      <c r="F12628" s="13" t="s">
        <v>70</v>
      </c>
      <c r="G12628" s="14">
        <v>44742</v>
      </c>
      <c r="H12628" s="13" t="s">
        <v>163</v>
      </c>
    </row>
    <row r="12629" spans="1:8" ht="14.4" x14ac:dyDescent="0.3">
      <c r="A12629" s="8">
        <v>2055655</v>
      </c>
      <c r="B12629" s="11">
        <v>44736</v>
      </c>
      <c r="C12629" s="13" t="s">
        <v>15943</v>
      </c>
      <c r="D12629" s="13" t="s">
        <v>15944</v>
      </c>
      <c r="E12629" s="8">
        <v>8000</v>
      </c>
      <c r="F12629" s="13" t="s">
        <v>70</v>
      </c>
      <c r="G12629" s="14">
        <v>44740</v>
      </c>
      <c r="H12629" s="13" t="s">
        <v>163</v>
      </c>
    </row>
    <row r="12630" spans="1:8" ht="14.4" x14ac:dyDescent="0.3">
      <c r="A12630" s="8">
        <v>2055656</v>
      </c>
      <c r="B12630" s="11">
        <v>44736</v>
      </c>
      <c r="C12630" s="13" t="s">
        <v>1960</v>
      </c>
      <c r="D12630" s="13" t="s">
        <v>15945</v>
      </c>
      <c r="E12630" s="8">
        <v>4000</v>
      </c>
      <c r="F12630" s="13" t="s">
        <v>70</v>
      </c>
      <c r="G12630" s="14">
        <v>44747</v>
      </c>
      <c r="H12630" s="13" t="s">
        <v>163</v>
      </c>
    </row>
    <row r="12631" spans="1:8" ht="14.4" x14ac:dyDescent="0.3">
      <c r="A12631" s="8">
        <v>2055657</v>
      </c>
      <c r="B12631" s="11">
        <v>44736</v>
      </c>
      <c r="C12631" s="13" t="s">
        <v>15946</v>
      </c>
      <c r="D12631" s="13" t="s">
        <v>15947</v>
      </c>
      <c r="E12631" s="8">
        <v>4000</v>
      </c>
      <c r="F12631" s="13" t="s">
        <v>70</v>
      </c>
      <c r="G12631" s="14">
        <v>44767</v>
      </c>
      <c r="H12631" s="13" t="s">
        <v>163</v>
      </c>
    </row>
    <row r="12632" spans="1:8" ht="14.4" x14ac:dyDescent="0.3">
      <c r="A12632" s="8">
        <v>2055658</v>
      </c>
      <c r="B12632" s="11">
        <v>44736</v>
      </c>
      <c r="C12632" s="13" t="s">
        <v>15948</v>
      </c>
      <c r="D12632" s="13" t="s">
        <v>15949</v>
      </c>
      <c r="E12632" s="8">
        <v>12000</v>
      </c>
      <c r="F12632" s="13" t="s">
        <v>70</v>
      </c>
      <c r="G12632" s="14">
        <v>44741</v>
      </c>
      <c r="H12632" s="13" t="s">
        <v>163</v>
      </c>
    </row>
    <row r="12633" spans="1:8" ht="14.4" x14ac:dyDescent="0.3">
      <c r="A12633" s="8">
        <v>2055659</v>
      </c>
      <c r="B12633" s="11">
        <v>44736</v>
      </c>
      <c r="C12633" s="13" t="s">
        <v>15756</v>
      </c>
      <c r="D12633" s="13" t="s">
        <v>15950</v>
      </c>
      <c r="E12633" s="8">
        <v>8000</v>
      </c>
      <c r="F12633" s="13" t="s">
        <v>70</v>
      </c>
      <c r="G12633" s="14">
        <v>44755</v>
      </c>
      <c r="H12633" s="13" t="s">
        <v>163</v>
      </c>
    </row>
    <row r="12634" spans="1:8" ht="14.4" x14ac:dyDescent="0.3">
      <c r="A12634" s="8">
        <v>2055660</v>
      </c>
      <c r="B12634" s="11">
        <v>44736</v>
      </c>
      <c r="C12634" s="13" t="s">
        <v>15951</v>
      </c>
      <c r="D12634" s="13" t="s">
        <v>15952</v>
      </c>
      <c r="E12634" s="8">
        <v>6000</v>
      </c>
      <c r="F12634" s="13" t="s">
        <v>70</v>
      </c>
      <c r="G12634" s="14">
        <v>44755</v>
      </c>
      <c r="H12634" s="13" t="s">
        <v>163</v>
      </c>
    </row>
    <row r="12635" spans="1:8" ht="14.4" x14ac:dyDescent="0.3">
      <c r="A12635" s="8">
        <v>2055661</v>
      </c>
      <c r="B12635" s="11">
        <v>44736</v>
      </c>
      <c r="C12635" s="13" t="s">
        <v>15953</v>
      </c>
      <c r="D12635" s="13" t="s">
        <v>15954</v>
      </c>
      <c r="E12635" s="8">
        <v>10000</v>
      </c>
      <c r="F12635" s="13" t="s">
        <v>70</v>
      </c>
      <c r="G12635" s="14">
        <v>44742</v>
      </c>
      <c r="H12635" s="13" t="s">
        <v>163</v>
      </c>
    </row>
    <row r="12636" spans="1:8" ht="14.4" x14ac:dyDescent="0.3">
      <c r="A12636" s="8">
        <v>2055662</v>
      </c>
      <c r="B12636" s="11">
        <v>44736</v>
      </c>
      <c r="C12636" s="13" t="s">
        <v>15955</v>
      </c>
      <c r="D12636" s="13" t="s">
        <v>15956</v>
      </c>
      <c r="E12636" s="8">
        <v>8000</v>
      </c>
      <c r="F12636" s="13" t="s">
        <v>70</v>
      </c>
      <c r="G12636" s="14">
        <v>44756</v>
      </c>
      <c r="H12636" s="13" t="s">
        <v>163</v>
      </c>
    </row>
    <row r="12637" spans="1:8" ht="14.4" x14ac:dyDescent="0.3">
      <c r="A12637" s="8">
        <v>2055663</v>
      </c>
      <c r="B12637" s="11">
        <v>44736</v>
      </c>
      <c r="C12637" s="13" t="s">
        <v>9470</v>
      </c>
      <c r="D12637" s="13" t="s">
        <v>15957</v>
      </c>
      <c r="E12637" s="8">
        <v>50000</v>
      </c>
      <c r="F12637" s="13" t="s">
        <v>70</v>
      </c>
      <c r="G12637" s="14">
        <v>44741</v>
      </c>
      <c r="H12637" s="13" t="s">
        <v>163</v>
      </c>
    </row>
    <row r="12638" spans="1:8" ht="14.4" x14ac:dyDescent="0.3">
      <c r="A12638" s="8">
        <v>2055664</v>
      </c>
      <c r="B12638" s="11">
        <v>44736</v>
      </c>
      <c r="C12638" s="13" t="s">
        <v>15531</v>
      </c>
      <c r="D12638" s="13" t="s">
        <v>15958</v>
      </c>
      <c r="E12638" s="8">
        <v>6000</v>
      </c>
      <c r="F12638" s="13" t="s">
        <v>70</v>
      </c>
      <c r="G12638" s="14">
        <v>44742</v>
      </c>
      <c r="H12638" s="13" t="s">
        <v>163</v>
      </c>
    </row>
    <row r="12639" spans="1:8" ht="14.4" x14ac:dyDescent="0.3">
      <c r="A12639" s="8">
        <v>2055665</v>
      </c>
      <c r="B12639" s="11">
        <v>44736</v>
      </c>
      <c r="C12639" s="13" t="s">
        <v>15959</v>
      </c>
      <c r="D12639" s="13" t="s">
        <v>15960</v>
      </c>
      <c r="E12639" s="8">
        <v>30000</v>
      </c>
      <c r="F12639" s="13" t="s">
        <v>70</v>
      </c>
      <c r="G12639" s="14">
        <v>44741</v>
      </c>
      <c r="H12639" s="13" t="s">
        <v>163</v>
      </c>
    </row>
    <row r="12640" spans="1:8" ht="14.4" x14ac:dyDescent="0.3">
      <c r="A12640" s="8">
        <v>2055666</v>
      </c>
      <c r="B12640" s="11">
        <v>44739</v>
      </c>
      <c r="C12640" s="13" t="s">
        <v>15961</v>
      </c>
      <c r="D12640" s="13" t="s">
        <v>15962</v>
      </c>
      <c r="E12640" s="8">
        <v>6000</v>
      </c>
      <c r="F12640" s="13" t="s">
        <v>70</v>
      </c>
      <c r="G12640" s="14">
        <v>44747</v>
      </c>
      <c r="H12640" s="13" t="s">
        <v>163</v>
      </c>
    </row>
    <row r="12641" spans="1:8" ht="14.4" x14ac:dyDescent="0.3">
      <c r="A12641" s="8">
        <v>2055667</v>
      </c>
      <c r="B12641" s="11">
        <v>44739</v>
      </c>
      <c r="C12641" s="13" t="s">
        <v>2554</v>
      </c>
      <c r="D12641" s="13" t="s">
        <v>15963</v>
      </c>
      <c r="E12641" s="8">
        <v>16000</v>
      </c>
      <c r="F12641" s="13" t="s">
        <v>70</v>
      </c>
      <c r="G12641" s="14">
        <v>44750</v>
      </c>
      <c r="H12641" s="13" t="s">
        <v>163</v>
      </c>
    </row>
    <row r="12642" spans="1:8" ht="14.4" x14ac:dyDescent="0.3">
      <c r="A12642" s="8">
        <v>2055668</v>
      </c>
      <c r="B12642" s="11">
        <v>44739</v>
      </c>
      <c r="C12642" s="13" t="s">
        <v>2153</v>
      </c>
      <c r="D12642" s="13" t="s">
        <v>15964</v>
      </c>
      <c r="E12642" s="8">
        <v>10000</v>
      </c>
      <c r="F12642" s="13" t="s">
        <v>70</v>
      </c>
      <c r="G12642" s="14">
        <v>44746</v>
      </c>
      <c r="H12642" s="13" t="s">
        <v>163</v>
      </c>
    </row>
    <row r="12643" spans="1:8" ht="14.4" x14ac:dyDescent="0.3">
      <c r="A12643" s="8">
        <v>2055669</v>
      </c>
      <c r="B12643" s="11">
        <v>44739</v>
      </c>
      <c r="C12643" s="13" t="s">
        <v>15965</v>
      </c>
      <c r="D12643" s="13" t="s">
        <v>15966</v>
      </c>
      <c r="E12643" s="8">
        <v>4000</v>
      </c>
      <c r="F12643" s="13" t="s">
        <v>70</v>
      </c>
      <c r="G12643" s="14">
        <v>44747</v>
      </c>
      <c r="H12643" s="13" t="s">
        <v>163</v>
      </c>
    </row>
    <row r="12644" spans="1:8" ht="14.4" x14ac:dyDescent="0.3">
      <c r="A12644" s="8">
        <v>2055670</v>
      </c>
      <c r="B12644" s="11">
        <v>44739</v>
      </c>
      <c r="C12644" s="13" t="s">
        <v>15967</v>
      </c>
      <c r="D12644" s="13" t="s">
        <v>15968</v>
      </c>
      <c r="E12644" s="8">
        <v>20000</v>
      </c>
      <c r="F12644" s="13" t="s">
        <v>70</v>
      </c>
      <c r="G12644" s="14">
        <v>44743</v>
      </c>
      <c r="H12644" s="13" t="s">
        <v>163</v>
      </c>
    </row>
    <row r="12645" spans="1:8" ht="14.4" x14ac:dyDescent="0.3">
      <c r="A12645" s="8">
        <v>2055671</v>
      </c>
      <c r="B12645" s="11">
        <v>44739</v>
      </c>
      <c r="C12645" s="13" t="s">
        <v>15969</v>
      </c>
      <c r="D12645" s="13" t="s">
        <v>15970</v>
      </c>
      <c r="E12645" s="8">
        <v>4000</v>
      </c>
      <c r="F12645" s="13" t="s">
        <v>70</v>
      </c>
      <c r="G12645" s="14">
        <v>44747</v>
      </c>
      <c r="H12645" s="13" t="s">
        <v>163</v>
      </c>
    </row>
    <row r="12646" spans="1:8" ht="14.4" x14ac:dyDescent="0.3">
      <c r="A12646" s="8">
        <v>2055672</v>
      </c>
      <c r="B12646" s="11">
        <v>44739</v>
      </c>
      <c r="C12646" s="13" t="s">
        <v>15971</v>
      </c>
      <c r="D12646" s="13" t="s">
        <v>15972</v>
      </c>
      <c r="E12646" s="8">
        <v>4000</v>
      </c>
      <c r="F12646" s="13" t="s">
        <v>70</v>
      </c>
      <c r="G12646" s="14">
        <v>44747</v>
      </c>
      <c r="H12646" s="13" t="s">
        <v>163</v>
      </c>
    </row>
    <row r="12647" spans="1:8" ht="14.4" x14ac:dyDescent="0.3">
      <c r="A12647" s="8">
        <v>2055673</v>
      </c>
      <c r="B12647" s="11">
        <v>44739</v>
      </c>
      <c r="C12647" s="13" t="s">
        <v>15973</v>
      </c>
      <c r="D12647" s="13" t="s">
        <v>15974</v>
      </c>
      <c r="E12647" s="8">
        <v>6000</v>
      </c>
      <c r="F12647" s="13" t="s">
        <v>70</v>
      </c>
      <c r="G12647" s="14">
        <v>44750</v>
      </c>
      <c r="H12647" s="13" t="s">
        <v>163</v>
      </c>
    </row>
    <row r="12648" spans="1:8" ht="14.4" x14ac:dyDescent="0.3">
      <c r="A12648" s="8">
        <v>2055674</v>
      </c>
      <c r="B12648" s="11">
        <v>44739</v>
      </c>
      <c r="C12648" s="13" t="s">
        <v>15975</v>
      </c>
      <c r="D12648" s="13" t="s">
        <v>15976</v>
      </c>
      <c r="E12648" s="8">
        <v>10000</v>
      </c>
      <c r="F12648" s="13" t="s">
        <v>70</v>
      </c>
      <c r="G12648" s="14">
        <v>44743</v>
      </c>
      <c r="H12648" s="13" t="s">
        <v>163</v>
      </c>
    </row>
    <row r="12649" spans="1:8" ht="14.4" x14ac:dyDescent="0.3">
      <c r="A12649" s="8">
        <v>2055675</v>
      </c>
      <c r="B12649" s="11">
        <v>44739</v>
      </c>
      <c r="C12649" s="13" t="s">
        <v>15977</v>
      </c>
      <c r="D12649" s="13" t="s">
        <v>15978</v>
      </c>
      <c r="E12649" s="8">
        <v>8000</v>
      </c>
      <c r="F12649" s="13" t="s">
        <v>70</v>
      </c>
      <c r="G12649" s="14">
        <v>44750</v>
      </c>
      <c r="H12649" s="13" t="s">
        <v>163</v>
      </c>
    </row>
    <row r="12650" spans="1:8" ht="14.4" x14ac:dyDescent="0.3">
      <c r="A12650" s="8">
        <v>2055676</v>
      </c>
      <c r="B12650" s="11">
        <v>44739</v>
      </c>
      <c r="C12650" s="13" t="s">
        <v>15979</v>
      </c>
      <c r="D12650" s="13" t="s">
        <v>15980</v>
      </c>
      <c r="E12650" s="8">
        <v>2000</v>
      </c>
      <c r="F12650" s="13" t="s">
        <v>70</v>
      </c>
      <c r="G12650" s="14">
        <v>44743</v>
      </c>
      <c r="H12650" s="13" t="s">
        <v>163</v>
      </c>
    </row>
    <row r="12651" spans="1:8" ht="14.4" x14ac:dyDescent="0.3">
      <c r="A12651" s="8">
        <v>2055677</v>
      </c>
      <c r="B12651" s="11">
        <v>44739</v>
      </c>
      <c r="C12651" s="13" t="s">
        <v>15981</v>
      </c>
      <c r="D12651" s="13" t="s">
        <v>15982</v>
      </c>
      <c r="E12651" s="8">
        <v>12000</v>
      </c>
      <c r="F12651" s="13" t="s">
        <v>70</v>
      </c>
      <c r="G12651" s="14">
        <v>44749</v>
      </c>
      <c r="H12651" s="13" t="s">
        <v>163</v>
      </c>
    </row>
    <row r="12652" spans="1:8" ht="14.4" x14ac:dyDescent="0.3">
      <c r="A12652" s="8">
        <v>2055678</v>
      </c>
      <c r="B12652" s="11">
        <v>44739</v>
      </c>
      <c r="C12652" s="13" t="s">
        <v>15983</v>
      </c>
      <c r="D12652" s="13" t="s">
        <v>15984</v>
      </c>
      <c r="E12652" s="8">
        <v>4000</v>
      </c>
      <c r="F12652" s="13" t="s">
        <v>70</v>
      </c>
      <c r="G12652" s="14">
        <v>44749</v>
      </c>
      <c r="H12652" s="13" t="s">
        <v>163</v>
      </c>
    </row>
    <row r="12653" spans="1:8" ht="14.4" x14ac:dyDescent="0.3">
      <c r="A12653" s="8">
        <v>2055679</v>
      </c>
      <c r="B12653" s="11">
        <v>44739</v>
      </c>
      <c r="C12653" s="13" t="s">
        <v>15985</v>
      </c>
      <c r="D12653" s="13" t="s">
        <v>15986</v>
      </c>
      <c r="E12653" s="8">
        <v>10000</v>
      </c>
      <c r="F12653" s="13" t="s">
        <v>70</v>
      </c>
      <c r="G12653" s="14">
        <v>44747</v>
      </c>
      <c r="H12653" s="13" t="s">
        <v>163</v>
      </c>
    </row>
    <row r="12654" spans="1:8" ht="14.4" x14ac:dyDescent="0.3">
      <c r="A12654" s="8">
        <v>2055680</v>
      </c>
      <c r="B12654" s="11">
        <v>44739</v>
      </c>
      <c r="C12654" s="13" t="s">
        <v>15987</v>
      </c>
      <c r="D12654" s="13" t="s">
        <v>15988</v>
      </c>
      <c r="E12654" s="8">
        <v>2000</v>
      </c>
      <c r="F12654" s="13" t="s">
        <v>70</v>
      </c>
      <c r="G12654" s="14">
        <v>44750</v>
      </c>
      <c r="H12654" s="13" t="s">
        <v>163</v>
      </c>
    </row>
    <row r="12655" spans="1:8" ht="14.4" x14ac:dyDescent="0.3">
      <c r="A12655" s="8">
        <v>2055681</v>
      </c>
      <c r="B12655" s="11">
        <v>44739</v>
      </c>
      <c r="C12655" s="13" t="s">
        <v>15989</v>
      </c>
      <c r="D12655" s="13" t="s">
        <v>15990</v>
      </c>
      <c r="E12655" s="8">
        <v>1000</v>
      </c>
      <c r="F12655" s="13" t="s">
        <v>70</v>
      </c>
      <c r="G12655" s="14">
        <v>44746</v>
      </c>
      <c r="H12655" s="13" t="s">
        <v>163</v>
      </c>
    </row>
    <row r="12656" spans="1:8" ht="14.4" x14ac:dyDescent="0.3">
      <c r="A12656" s="8">
        <v>2055682</v>
      </c>
      <c r="B12656" s="11">
        <v>44739</v>
      </c>
      <c r="C12656" s="13" t="s">
        <v>15991</v>
      </c>
      <c r="D12656" s="13" t="s">
        <v>15992</v>
      </c>
      <c r="E12656" s="8">
        <v>6000</v>
      </c>
      <c r="F12656" s="13" t="s">
        <v>70</v>
      </c>
      <c r="G12656" s="14">
        <v>44743</v>
      </c>
      <c r="H12656" s="13" t="s">
        <v>163</v>
      </c>
    </row>
    <row r="12657" spans="1:8" ht="14.4" x14ac:dyDescent="0.3">
      <c r="A12657" s="8">
        <v>2055683</v>
      </c>
      <c r="B12657" s="11">
        <v>44739</v>
      </c>
      <c r="C12657" s="13" t="s">
        <v>15993</v>
      </c>
      <c r="D12657" s="13" t="s">
        <v>15994</v>
      </c>
      <c r="E12657" s="8">
        <v>6000</v>
      </c>
      <c r="F12657" s="13" t="s">
        <v>70</v>
      </c>
      <c r="G12657" s="14">
        <v>44743</v>
      </c>
      <c r="H12657" s="13" t="s">
        <v>163</v>
      </c>
    </row>
    <row r="12658" spans="1:8" ht="14.4" x14ac:dyDescent="0.3">
      <c r="A12658" s="8">
        <v>2055684</v>
      </c>
      <c r="B12658" s="11">
        <v>44740</v>
      </c>
      <c r="C12658" s="13" t="s">
        <v>13294</v>
      </c>
      <c r="D12658" s="13" t="s">
        <v>15995</v>
      </c>
      <c r="E12658" s="8">
        <v>381307</v>
      </c>
      <c r="F12658" s="13" t="s">
        <v>70</v>
      </c>
      <c r="G12658" s="14">
        <v>44741</v>
      </c>
      <c r="H12658" s="13" t="s">
        <v>163</v>
      </c>
    </row>
    <row r="12659" spans="1:8" ht="14.4" x14ac:dyDescent="0.3">
      <c r="A12659" s="8">
        <v>2055685</v>
      </c>
      <c r="B12659" s="11">
        <v>44740</v>
      </c>
      <c r="C12659" s="13" t="s">
        <v>893</v>
      </c>
      <c r="D12659" s="13" t="s">
        <v>15996</v>
      </c>
      <c r="E12659" s="8">
        <v>289500</v>
      </c>
      <c r="F12659" s="13" t="s">
        <v>70</v>
      </c>
      <c r="G12659" s="14">
        <v>44761</v>
      </c>
      <c r="H12659" s="13" t="s">
        <v>163</v>
      </c>
    </row>
    <row r="12660" spans="1:8" ht="14.4" x14ac:dyDescent="0.3">
      <c r="A12660" s="8">
        <v>2055686</v>
      </c>
      <c r="B12660" s="11">
        <v>44740</v>
      </c>
      <c r="C12660" s="13" t="s">
        <v>15997</v>
      </c>
      <c r="D12660" s="13" t="s">
        <v>15998</v>
      </c>
      <c r="E12660" s="8">
        <v>8000</v>
      </c>
      <c r="F12660" s="13" t="s">
        <v>70</v>
      </c>
      <c r="G12660" s="14">
        <v>44743</v>
      </c>
      <c r="H12660" s="13" t="s">
        <v>163</v>
      </c>
    </row>
    <row r="12661" spans="1:8" ht="14.4" x14ac:dyDescent="0.3">
      <c r="A12661" s="8">
        <v>2055687</v>
      </c>
      <c r="B12661" s="11">
        <v>44740</v>
      </c>
      <c r="C12661" s="13" t="s">
        <v>2833</v>
      </c>
      <c r="D12661" s="13" t="s">
        <v>15999</v>
      </c>
      <c r="E12661" s="8">
        <v>16000</v>
      </c>
      <c r="F12661" s="13" t="s">
        <v>70</v>
      </c>
      <c r="G12661" s="14">
        <v>44742</v>
      </c>
      <c r="H12661" s="13" t="s">
        <v>163</v>
      </c>
    </row>
    <row r="12662" spans="1:8" ht="14.4" x14ac:dyDescent="0.3">
      <c r="A12662" s="8">
        <v>2055688</v>
      </c>
      <c r="B12662" s="11">
        <v>44740</v>
      </c>
      <c r="C12662" s="13" t="s">
        <v>9456</v>
      </c>
      <c r="D12662" s="13" t="s">
        <v>16000</v>
      </c>
      <c r="E12662" s="8">
        <v>10000</v>
      </c>
      <c r="F12662" s="13" t="s">
        <v>70</v>
      </c>
      <c r="G12662" s="14">
        <v>44748</v>
      </c>
      <c r="H12662" s="13" t="s">
        <v>163</v>
      </c>
    </row>
    <row r="12663" spans="1:8" ht="14.4" x14ac:dyDescent="0.3">
      <c r="A12663" s="8">
        <v>2055689</v>
      </c>
      <c r="B12663" s="11">
        <v>44740</v>
      </c>
      <c r="C12663" s="13" t="s">
        <v>9749</v>
      </c>
      <c r="D12663" s="13" t="s">
        <v>16001</v>
      </c>
      <c r="E12663" s="8">
        <v>6000</v>
      </c>
      <c r="F12663" s="13" t="s">
        <v>70</v>
      </c>
      <c r="G12663" s="14">
        <v>44741</v>
      </c>
      <c r="H12663" s="13" t="s">
        <v>163</v>
      </c>
    </row>
    <row r="12664" spans="1:8" ht="14.4" x14ac:dyDescent="0.3">
      <c r="A12664" s="8">
        <v>2055690</v>
      </c>
      <c r="B12664" s="11">
        <v>44740</v>
      </c>
      <c r="C12664" s="13" t="s">
        <v>16002</v>
      </c>
      <c r="D12664" s="13" t="s">
        <v>16003</v>
      </c>
      <c r="E12664" s="8">
        <v>6000</v>
      </c>
      <c r="F12664" s="13" t="s">
        <v>70</v>
      </c>
      <c r="G12664" s="14">
        <v>44749</v>
      </c>
      <c r="H12664" s="13" t="s">
        <v>163</v>
      </c>
    </row>
    <row r="12665" spans="1:8" ht="14.4" x14ac:dyDescent="0.3">
      <c r="A12665" s="8">
        <v>2055691</v>
      </c>
      <c r="B12665" s="11">
        <v>44740</v>
      </c>
      <c r="C12665" s="13" t="s">
        <v>2733</v>
      </c>
      <c r="D12665" s="13" t="s">
        <v>16004</v>
      </c>
      <c r="E12665" s="8">
        <v>6000</v>
      </c>
      <c r="F12665" s="13" t="s">
        <v>70</v>
      </c>
      <c r="G12665" s="14">
        <v>44743</v>
      </c>
      <c r="H12665" s="13" t="s">
        <v>163</v>
      </c>
    </row>
    <row r="12666" spans="1:8" ht="14.4" x14ac:dyDescent="0.3">
      <c r="A12666" s="8">
        <v>2055692</v>
      </c>
      <c r="B12666" s="11">
        <v>44740</v>
      </c>
      <c r="C12666" s="13" t="s">
        <v>16005</v>
      </c>
      <c r="D12666" s="13" t="s">
        <v>16006</v>
      </c>
      <c r="E12666" s="8">
        <v>20000</v>
      </c>
      <c r="F12666" s="13" t="s">
        <v>70</v>
      </c>
      <c r="G12666" s="14">
        <v>44749</v>
      </c>
      <c r="H12666" s="13" t="s">
        <v>163</v>
      </c>
    </row>
    <row r="12667" spans="1:8" ht="14.4" x14ac:dyDescent="0.3">
      <c r="A12667" s="8">
        <v>2055693</v>
      </c>
      <c r="B12667" s="11">
        <v>44740</v>
      </c>
      <c r="C12667" s="13" t="s">
        <v>16007</v>
      </c>
      <c r="D12667" s="13" t="s">
        <v>16008</v>
      </c>
      <c r="E12667" s="8">
        <v>6000</v>
      </c>
      <c r="F12667" s="13" t="s">
        <v>70</v>
      </c>
      <c r="G12667" s="14">
        <v>44746</v>
      </c>
      <c r="H12667" s="13" t="s">
        <v>163</v>
      </c>
    </row>
    <row r="12668" spans="1:8" ht="14.4" x14ac:dyDescent="0.3">
      <c r="A12668" s="8">
        <v>2055694</v>
      </c>
      <c r="B12668" s="11">
        <v>44740</v>
      </c>
      <c r="C12668" s="13" t="s">
        <v>16009</v>
      </c>
      <c r="D12668" s="13" t="s">
        <v>16010</v>
      </c>
      <c r="E12668" s="8">
        <v>4000</v>
      </c>
      <c r="F12668" s="13" t="s">
        <v>70</v>
      </c>
      <c r="G12668" s="14">
        <v>44749</v>
      </c>
      <c r="H12668" s="13" t="s">
        <v>163</v>
      </c>
    </row>
    <row r="12669" spans="1:8" ht="14.4" x14ac:dyDescent="0.3">
      <c r="A12669" s="8">
        <v>2055695</v>
      </c>
      <c r="B12669" s="11">
        <v>44740</v>
      </c>
      <c r="C12669" s="13" t="s">
        <v>16011</v>
      </c>
      <c r="D12669" s="13" t="s">
        <v>16012</v>
      </c>
      <c r="E12669" s="8">
        <v>2000</v>
      </c>
      <c r="F12669" s="13" t="s">
        <v>70</v>
      </c>
      <c r="G12669" s="14">
        <v>44749</v>
      </c>
      <c r="H12669" s="13" t="s">
        <v>163</v>
      </c>
    </row>
    <row r="12670" spans="1:8" ht="14.4" x14ac:dyDescent="0.3">
      <c r="A12670" s="8">
        <v>2055696</v>
      </c>
      <c r="B12670" s="11">
        <v>44740</v>
      </c>
      <c r="C12670" s="13" t="s">
        <v>16013</v>
      </c>
      <c r="D12670" s="13" t="s">
        <v>20352</v>
      </c>
      <c r="E12670" s="8">
        <v>6000</v>
      </c>
      <c r="F12670" s="13" t="s">
        <v>70</v>
      </c>
      <c r="G12670" s="14">
        <v>44749</v>
      </c>
      <c r="H12670" s="13" t="s">
        <v>163</v>
      </c>
    </row>
    <row r="12671" spans="1:8" ht="14.4" x14ac:dyDescent="0.3">
      <c r="A12671" s="8">
        <v>2055697</v>
      </c>
      <c r="B12671" s="11">
        <v>44740</v>
      </c>
      <c r="C12671" s="13" t="s">
        <v>16014</v>
      </c>
      <c r="D12671" s="13" t="s">
        <v>16015</v>
      </c>
      <c r="E12671" s="8">
        <v>8000</v>
      </c>
      <c r="F12671" s="13" t="s">
        <v>70</v>
      </c>
      <c r="G12671" s="14">
        <v>44743</v>
      </c>
      <c r="H12671" s="13" t="s">
        <v>163</v>
      </c>
    </row>
    <row r="12672" spans="1:8" ht="14.4" x14ac:dyDescent="0.3">
      <c r="A12672" s="8">
        <v>2055698</v>
      </c>
      <c r="B12672" s="11">
        <v>44740</v>
      </c>
      <c r="C12672" s="13" t="s">
        <v>13242</v>
      </c>
      <c r="D12672" s="13" t="s">
        <v>16016</v>
      </c>
      <c r="E12672" s="8">
        <v>12000</v>
      </c>
      <c r="F12672" s="13" t="s">
        <v>70</v>
      </c>
      <c r="G12672" s="14">
        <v>44742</v>
      </c>
      <c r="H12672" s="13" t="s">
        <v>163</v>
      </c>
    </row>
    <row r="12673" spans="1:8" ht="14.4" x14ac:dyDescent="0.3">
      <c r="A12673" s="8">
        <v>2055699</v>
      </c>
      <c r="B12673" s="11">
        <v>44740</v>
      </c>
      <c r="C12673" s="13" t="s">
        <v>16017</v>
      </c>
      <c r="D12673" s="13" t="s">
        <v>16018</v>
      </c>
      <c r="E12673" s="8">
        <v>8000</v>
      </c>
      <c r="F12673" s="13" t="s">
        <v>70</v>
      </c>
      <c r="G12673" s="14">
        <v>44764</v>
      </c>
      <c r="H12673" s="13" t="s">
        <v>163</v>
      </c>
    </row>
    <row r="12674" spans="1:8" ht="14.4" x14ac:dyDescent="0.3">
      <c r="A12674" s="8">
        <v>2055700</v>
      </c>
      <c r="B12674" s="11">
        <v>44740</v>
      </c>
      <c r="C12674" s="13" t="s">
        <v>16019</v>
      </c>
      <c r="D12674" s="13" t="s">
        <v>16020</v>
      </c>
      <c r="E12674" s="8">
        <v>6000</v>
      </c>
      <c r="F12674" s="13" t="s">
        <v>70</v>
      </c>
      <c r="G12674" s="14">
        <v>44743</v>
      </c>
      <c r="H12674" s="13" t="s">
        <v>163</v>
      </c>
    </row>
    <row r="12675" spans="1:8" ht="14.4" x14ac:dyDescent="0.3">
      <c r="A12675" s="8">
        <v>2055701</v>
      </c>
      <c r="B12675" s="11">
        <v>44740</v>
      </c>
      <c r="C12675" s="13" t="s">
        <v>16021</v>
      </c>
      <c r="D12675" s="13" t="s">
        <v>16022</v>
      </c>
      <c r="E12675" s="8">
        <v>10000</v>
      </c>
      <c r="F12675" s="13" t="s">
        <v>70</v>
      </c>
      <c r="G12675" s="14">
        <v>44743</v>
      </c>
      <c r="H12675" s="13" t="s">
        <v>163</v>
      </c>
    </row>
    <row r="12676" spans="1:8" ht="14.4" x14ac:dyDescent="0.3">
      <c r="A12676" s="8">
        <v>2055702</v>
      </c>
      <c r="B12676" s="11">
        <v>44740</v>
      </c>
      <c r="C12676" s="13" t="s">
        <v>429</v>
      </c>
      <c r="D12676" s="13" t="s">
        <v>16023</v>
      </c>
      <c r="E12676" s="8">
        <v>8000</v>
      </c>
      <c r="F12676" s="13" t="s">
        <v>70</v>
      </c>
      <c r="G12676" s="14">
        <v>44746</v>
      </c>
      <c r="H12676" s="13" t="s">
        <v>163</v>
      </c>
    </row>
    <row r="12677" spans="1:8" ht="14.4" x14ac:dyDescent="0.3">
      <c r="A12677" s="8">
        <v>2055703</v>
      </c>
      <c r="B12677" s="11">
        <v>44740</v>
      </c>
      <c r="C12677" s="13" t="s">
        <v>16024</v>
      </c>
      <c r="D12677" s="13" t="s">
        <v>16025</v>
      </c>
      <c r="E12677" s="8">
        <v>6000</v>
      </c>
      <c r="F12677" s="13" t="s">
        <v>70</v>
      </c>
      <c r="G12677" s="14">
        <v>44743</v>
      </c>
      <c r="H12677" s="13" t="s">
        <v>163</v>
      </c>
    </row>
    <row r="12678" spans="1:8" ht="14.4" x14ac:dyDescent="0.3">
      <c r="A12678" s="8">
        <v>2055704</v>
      </c>
      <c r="B12678" s="11">
        <v>44740</v>
      </c>
      <c r="C12678" s="13" t="s">
        <v>2930</v>
      </c>
      <c r="D12678" s="13" t="s">
        <v>16026</v>
      </c>
      <c r="E12678" s="8">
        <v>40000</v>
      </c>
      <c r="F12678" s="13" t="s">
        <v>70</v>
      </c>
      <c r="G12678" s="14">
        <v>44746</v>
      </c>
      <c r="H12678" s="13" t="s">
        <v>163</v>
      </c>
    </row>
    <row r="12679" spans="1:8" ht="14.4" x14ac:dyDescent="0.3">
      <c r="A12679" s="8">
        <v>2055705</v>
      </c>
      <c r="B12679" s="11">
        <v>44740</v>
      </c>
      <c r="C12679" s="13" t="s">
        <v>16027</v>
      </c>
      <c r="D12679" s="13" t="s">
        <v>16028</v>
      </c>
      <c r="E12679" s="8">
        <v>10000</v>
      </c>
      <c r="F12679" s="13" t="s">
        <v>70</v>
      </c>
      <c r="G12679" s="14">
        <v>44743</v>
      </c>
      <c r="H12679" s="13" t="s">
        <v>163</v>
      </c>
    </row>
    <row r="12680" spans="1:8" ht="14.4" x14ac:dyDescent="0.3">
      <c r="A12680" s="8">
        <v>2055706</v>
      </c>
      <c r="B12680" s="11">
        <v>44740</v>
      </c>
      <c r="C12680" s="13" t="s">
        <v>16029</v>
      </c>
      <c r="D12680" s="13" t="s">
        <v>16030</v>
      </c>
      <c r="E12680" s="8">
        <v>12000</v>
      </c>
      <c r="F12680" s="13" t="s">
        <v>70</v>
      </c>
      <c r="G12680" s="14">
        <v>44742</v>
      </c>
      <c r="H12680" s="13" t="s">
        <v>163</v>
      </c>
    </row>
    <row r="12681" spans="1:8" ht="14.4" x14ac:dyDescent="0.3">
      <c r="A12681" s="8">
        <v>2055707</v>
      </c>
      <c r="B12681" s="11">
        <v>44740</v>
      </c>
      <c r="C12681" s="13" t="s">
        <v>16031</v>
      </c>
      <c r="D12681" s="13" t="s">
        <v>16032</v>
      </c>
      <c r="E12681" s="8">
        <v>2000</v>
      </c>
      <c r="F12681" s="13" t="s">
        <v>70</v>
      </c>
      <c r="G12681" s="14">
        <v>44746</v>
      </c>
      <c r="H12681" s="13" t="s">
        <v>163</v>
      </c>
    </row>
    <row r="12682" spans="1:8" ht="14.4" x14ac:dyDescent="0.3">
      <c r="A12682" s="8">
        <v>2055708</v>
      </c>
      <c r="B12682" s="11">
        <v>44740</v>
      </c>
      <c r="C12682" s="13" t="s">
        <v>16033</v>
      </c>
      <c r="D12682" s="13" t="s">
        <v>16034</v>
      </c>
      <c r="E12682" s="8">
        <v>50000</v>
      </c>
      <c r="F12682" s="13" t="s">
        <v>70</v>
      </c>
      <c r="G12682" s="14">
        <v>44747</v>
      </c>
      <c r="H12682" s="13" t="s">
        <v>163</v>
      </c>
    </row>
    <row r="12683" spans="1:8" ht="14.4" x14ac:dyDescent="0.3">
      <c r="A12683" s="8">
        <v>2055709</v>
      </c>
      <c r="B12683" s="11">
        <v>44740</v>
      </c>
      <c r="C12683" s="13" t="s">
        <v>2772</v>
      </c>
      <c r="D12683" s="13" t="s">
        <v>16035</v>
      </c>
      <c r="E12683" s="8">
        <v>30000</v>
      </c>
      <c r="F12683" s="13" t="s">
        <v>70</v>
      </c>
      <c r="G12683" s="14">
        <v>44742</v>
      </c>
      <c r="H12683" s="13" t="s">
        <v>163</v>
      </c>
    </row>
    <row r="12684" spans="1:8" ht="14.4" x14ac:dyDescent="0.3">
      <c r="A12684" s="8">
        <v>2055710</v>
      </c>
      <c r="B12684" s="11">
        <v>44741</v>
      </c>
      <c r="C12684" s="13" t="s">
        <v>1420</v>
      </c>
      <c r="D12684" s="13" t="s">
        <v>16036</v>
      </c>
      <c r="E12684" s="8">
        <v>233990.09</v>
      </c>
      <c r="F12684" s="13" t="s">
        <v>70</v>
      </c>
      <c r="G12684" s="14">
        <v>44747</v>
      </c>
      <c r="H12684" s="13" t="s">
        <v>163</v>
      </c>
    </row>
    <row r="12685" spans="1:8" ht="14.4" x14ac:dyDescent="0.3">
      <c r="A12685" s="8">
        <v>2055711</v>
      </c>
      <c r="B12685" s="11">
        <v>44742</v>
      </c>
      <c r="C12685" s="13" t="s">
        <v>16037</v>
      </c>
      <c r="D12685" s="13" t="s">
        <v>16038</v>
      </c>
      <c r="E12685" s="8">
        <v>6000</v>
      </c>
      <c r="F12685" s="13" t="s">
        <v>70</v>
      </c>
      <c r="G12685" s="14">
        <v>44743</v>
      </c>
      <c r="H12685" s="13" t="s">
        <v>163</v>
      </c>
    </row>
    <row r="12686" spans="1:8" ht="14.4" x14ac:dyDescent="0.3">
      <c r="A12686" s="8">
        <v>2055712</v>
      </c>
      <c r="B12686" s="11">
        <v>44742</v>
      </c>
      <c r="C12686" s="13" t="s">
        <v>16039</v>
      </c>
      <c r="D12686" s="13" t="s">
        <v>16040</v>
      </c>
      <c r="E12686" s="8">
        <v>8000</v>
      </c>
      <c r="F12686" s="13" t="s">
        <v>70</v>
      </c>
      <c r="G12686" s="14">
        <v>44746</v>
      </c>
      <c r="H12686" s="13" t="s">
        <v>163</v>
      </c>
    </row>
    <row r="12687" spans="1:8" ht="14.4" x14ac:dyDescent="0.3">
      <c r="A12687" s="8">
        <v>2055713</v>
      </c>
      <c r="B12687" s="11">
        <v>44742</v>
      </c>
      <c r="C12687" s="13" t="s">
        <v>16041</v>
      </c>
      <c r="D12687" s="13" t="s">
        <v>16042</v>
      </c>
      <c r="E12687" s="8">
        <v>10000</v>
      </c>
      <c r="F12687" s="13" t="s">
        <v>70</v>
      </c>
      <c r="G12687" s="14">
        <v>44743</v>
      </c>
      <c r="H12687" s="13" t="s">
        <v>163</v>
      </c>
    </row>
    <row r="12688" spans="1:8" ht="14.4" x14ac:dyDescent="0.3">
      <c r="A12688" s="8">
        <v>2055714</v>
      </c>
      <c r="B12688" s="11">
        <v>44742</v>
      </c>
      <c r="C12688" s="13" t="s">
        <v>16043</v>
      </c>
      <c r="D12688" s="13" t="s">
        <v>16044</v>
      </c>
      <c r="E12688" s="8">
        <v>6000</v>
      </c>
      <c r="F12688" s="13" t="s">
        <v>70</v>
      </c>
      <c r="G12688" s="14">
        <v>44749</v>
      </c>
      <c r="H12688" s="13" t="s">
        <v>163</v>
      </c>
    </row>
    <row r="12689" spans="1:8" ht="14.4" x14ac:dyDescent="0.3">
      <c r="A12689" s="8">
        <v>2055715</v>
      </c>
      <c r="B12689" s="11">
        <v>44742</v>
      </c>
      <c r="C12689" s="13" t="s">
        <v>16045</v>
      </c>
      <c r="D12689" s="13" t="s">
        <v>16046</v>
      </c>
      <c r="E12689" s="8">
        <v>4000</v>
      </c>
      <c r="F12689" s="13" t="s">
        <v>70</v>
      </c>
      <c r="G12689" s="14">
        <v>44743</v>
      </c>
      <c r="H12689" s="13" t="s">
        <v>163</v>
      </c>
    </row>
    <row r="12690" spans="1:8" ht="14.4" x14ac:dyDescent="0.3">
      <c r="A12690" s="8">
        <v>2055716</v>
      </c>
      <c r="B12690" s="11">
        <v>44742</v>
      </c>
      <c r="C12690" s="13" t="s">
        <v>13385</v>
      </c>
      <c r="D12690" s="13" t="s">
        <v>16047</v>
      </c>
      <c r="E12690" s="8">
        <v>8000</v>
      </c>
      <c r="F12690" s="13" t="s">
        <v>70</v>
      </c>
      <c r="G12690" s="14">
        <v>44743</v>
      </c>
      <c r="H12690" s="13" t="s">
        <v>163</v>
      </c>
    </row>
    <row r="12691" spans="1:8" ht="14.4" x14ac:dyDescent="0.3">
      <c r="A12691" s="8">
        <v>2055717</v>
      </c>
      <c r="B12691" s="11">
        <v>44742</v>
      </c>
      <c r="C12691" s="13" t="s">
        <v>16048</v>
      </c>
      <c r="D12691" s="13" t="s">
        <v>16049</v>
      </c>
      <c r="E12691" s="8">
        <v>6000</v>
      </c>
      <c r="F12691" s="13" t="s">
        <v>70</v>
      </c>
      <c r="G12691" s="14">
        <v>44743</v>
      </c>
      <c r="H12691" s="13" t="s">
        <v>163</v>
      </c>
    </row>
    <row r="12692" spans="1:8" ht="14.4" x14ac:dyDescent="0.3">
      <c r="A12692" s="8">
        <v>2055718</v>
      </c>
      <c r="B12692" s="11">
        <v>44742</v>
      </c>
      <c r="C12692" s="13" t="s">
        <v>16050</v>
      </c>
      <c r="D12692" s="13" t="s">
        <v>16051</v>
      </c>
      <c r="E12692" s="8">
        <v>6000</v>
      </c>
      <c r="F12692" s="13" t="s">
        <v>70</v>
      </c>
      <c r="G12692" s="14">
        <v>44743</v>
      </c>
      <c r="H12692" s="13" t="s">
        <v>163</v>
      </c>
    </row>
    <row r="12693" spans="1:8" ht="14.4" x14ac:dyDescent="0.3">
      <c r="A12693" s="8">
        <v>2055719</v>
      </c>
      <c r="B12693" s="11">
        <v>44742</v>
      </c>
      <c r="C12693" s="13" t="s">
        <v>16052</v>
      </c>
      <c r="D12693" s="13" t="s">
        <v>16053</v>
      </c>
      <c r="E12693" s="8">
        <v>2000</v>
      </c>
      <c r="F12693" s="13" t="s">
        <v>70</v>
      </c>
      <c r="G12693" s="14">
        <v>44747</v>
      </c>
      <c r="H12693" s="13" t="s">
        <v>163</v>
      </c>
    </row>
    <row r="12694" spans="1:8" ht="14.4" x14ac:dyDescent="0.3">
      <c r="A12694" s="8">
        <v>2055720</v>
      </c>
      <c r="B12694" s="11">
        <v>44742</v>
      </c>
      <c r="C12694" s="13" t="s">
        <v>3098</v>
      </c>
      <c r="D12694" s="13" t="s">
        <v>16054</v>
      </c>
      <c r="E12694" s="8">
        <v>4000</v>
      </c>
      <c r="F12694" s="13" t="s">
        <v>70</v>
      </c>
      <c r="G12694" s="14">
        <v>44742</v>
      </c>
      <c r="H12694" s="13" t="s">
        <v>163</v>
      </c>
    </row>
    <row r="12695" spans="1:8" ht="14.4" x14ac:dyDescent="0.3">
      <c r="A12695" s="8">
        <v>2055721</v>
      </c>
      <c r="B12695" s="11">
        <v>44742</v>
      </c>
      <c r="C12695" s="13" t="s">
        <v>16055</v>
      </c>
      <c r="D12695" s="13" t="s">
        <v>16056</v>
      </c>
      <c r="E12695" s="8">
        <v>25000</v>
      </c>
      <c r="F12695" s="13" t="s">
        <v>70</v>
      </c>
      <c r="G12695" s="14">
        <v>44746</v>
      </c>
      <c r="H12695" s="13" t="s">
        <v>163</v>
      </c>
    </row>
    <row r="12696" spans="1:8" ht="14.4" x14ac:dyDescent="0.3">
      <c r="A12696" s="8">
        <v>2055722</v>
      </c>
      <c r="B12696" s="11">
        <v>44742</v>
      </c>
      <c r="C12696" s="13" t="s">
        <v>16057</v>
      </c>
      <c r="D12696" s="13" t="s">
        <v>16058</v>
      </c>
      <c r="E12696" s="8">
        <v>6000</v>
      </c>
      <c r="F12696" s="13" t="s">
        <v>70</v>
      </c>
      <c r="G12696" s="14">
        <v>44743</v>
      </c>
      <c r="H12696" s="13" t="s">
        <v>163</v>
      </c>
    </row>
    <row r="12697" spans="1:8" ht="14.4" x14ac:dyDescent="0.3">
      <c r="A12697" s="8">
        <v>2055723</v>
      </c>
      <c r="B12697" s="11">
        <v>44742</v>
      </c>
      <c r="C12697" s="13" t="s">
        <v>16059</v>
      </c>
      <c r="D12697" s="13" t="s">
        <v>16060</v>
      </c>
      <c r="E12697" s="8">
        <v>14000</v>
      </c>
      <c r="F12697" s="13" t="s">
        <v>70</v>
      </c>
      <c r="G12697" s="14">
        <v>44746</v>
      </c>
      <c r="H12697" s="13" t="s">
        <v>163</v>
      </c>
    </row>
    <row r="12698" spans="1:8" ht="14.4" x14ac:dyDescent="0.3">
      <c r="A12698" s="8">
        <v>2055724</v>
      </c>
      <c r="B12698" s="11">
        <v>44742</v>
      </c>
      <c r="C12698" s="13" t="s">
        <v>16061</v>
      </c>
      <c r="D12698" s="13" t="s">
        <v>16062</v>
      </c>
      <c r="E12698" s="8">
        <v>4000</v>
      </c>
      <c r="F12698" s="13" t="s">
        <v>70</v>
      </c>
      <c r="G12698" s="14">
        <v>44743</v>
      </c>
      <c r="H12698" s="13" t="s">
        <v>163</v>
      </c>
    </row>
    <row r="12699" spans="1:8" ht="14.4" x14ac:dyDescent="0.3">
      <c r="A12699" s="8">
        <v>2055725</v>
      </c>
      <c r="B12699" s="11">
        <v>44742</v>
      </c>
      <c r="C12699" s="13" t="s">
        <v>16063</v>
      </c>
      <c r="D12699" s="13" t="s">
        <v>16064</v>
      </c>
      <c r="E12699" s="8">
        <v>2000</v>
      </c>
      <c r="F12699" s="13" t="s">
        <v>70</v>
      </c>
      <c r="G12699" s="14">
        <v>44746</v>
      </c>
      <c r="H12699" s="13" t="s">
        <v>163</v>
      </c>
    </row>
    <row r="12700" spans="1:8" ht="14.4" x14ac:dyDescent="0.3">
      <c r="A12700" s="8">
        <v>2055726</v>
      </c>
      <c r="B12700" s="11">
        <v>44742</v>
      </c>
      <c r="C12700" s="13" t="s">
        <v>16065</v>
      </c>
      <c r="D12700" s="13" t="s">
        <v>16066</v>
      </c>
      <c r="E12700" s="8">
        <v>10000</v>
      </c>
      <c r="F12700" s="13" t="s">
        <v>70</v>
      </c>
      <c r="G12700" s="14">
        <v>44746</v>
      </c>
      <c r="H12700" s="13" t="s">
        <v>163</v>
      </c>
    </row>
    <row r="12701" spans="1:8" ht="14.4" x14ac:dyDescent="0.3">
      <c r="A12701" s="8">
        <v>2055727</v>
      </c>
      <c r="B12701" s="11">
        <v>44742</v>
      </c>
      <c r="C12701" s="13" t="s">
        <v>16067</v>
      </c>
      <c r="D12701" s="13" t="s">
        <v>16068</v>
      </c>
      <c r="E12701" s="8">
        <v>6000</v>
      </c>
      <c r="F12701" s="13" t="s">
        <v>70</v>
      </c>
      <c r="G12701" s="14">
        <v>44743</v>
      </c>
      <c r="H12701" s="13" t="s">
        <v>163</v>
      </c>
    </row>
    <row r="12702" spans="1:8" ht="14.4" x14ac:dyDescent="0.3">
      <c r="A12702" s="8">
        <v>2055728</v>
      </c>
      <c r="B12702" s="11">
        <v>44742</v>
      </c>
      <c r="C12702" s="13" t="s">
        <v>16069</v>
      </c>
      <c r="D12702" s="13" t="s">
        <v>16070</v>
      </c>
      <c r="E12702" s="8">
        <v>2000</v>
      </c>
      <c r="F12702" s="13" t="s">
        <v>70</v>
      </c>
      <c r="G12702" s="14">
        <v>44743</v>
      </c>
      <c r="H12702" s="13" t="s">
        <v>163</v>
      </c>
    </row>
    <row r="12703" spans="1:8" ht="14.4" x14ac:dyDescent="0.3">
      <c r="A12703" s="8">
        <v>2055729</v>
      </c>
      <c r="B12703" s="11">
        <v>44742</v>
      </c>
      <c r="C12703" s="13" t="s">
        <v>16071</v>
      </c>
      <c r="D12703" s="13" t="s">
        <v>16072</v>
      </c>
      <c r="E12703" s="8">
        <v>8000</v>
      </c>
      <c r="F12703" s="13" t="s">
        <v>70</v>
      </c>
      <c r="G12703" s="14">
        <v>44746</v>
      </c>
      <c r="H12703" s="13" t="s">
        <v>163</v>
      </c>
    </row>
    <row r="12704" spans="1:8" ht="14.4" x14ac:dyDescent="0.3">
      <c r="A12704" s="8">
        <v>2055730</v>
      </c>
      <c r="B12704" s="11">
        <v>44742</v>
      </c>
      <c r="C12704" s="13" t="s">
        <v>16073</v>
      </c>
      <c r="D12704" s="13" t="s">
        <v>16074</v>
      </c>
      <c r="E12704" s="8">
        <v>8000</v>
      </c>
      <c r="F12704" s="13" t="s">
        <v>70</v>
      </c>
      <c r="G12704" s="14">
        <v>44743</v>
      </c>
      <c r="H12704" s="13" t="s">
        <v>163</v>
      </c>
    </row>
    <row r="12705" spans="1:8" ht="14.4" x14ac:dyDescent="0.3">
      <c r="A12705" s="8">
        <v>2055731</v>
      </c>
      <c r="B12705" s="11">
        <v>44742</v>
      </c>
      <c r="C12705" s="13" t="s">
        <v>8865</v>
      </c>
      <c r="D12705" s="13" t="s">
        <v>16075</v>
      </c>
      <c r="E12705" s="8">
        <v>6000</v>
      </c>
      <c r="F12705" s="13" t="s">
        <v>70</v>
      </c>
      <c r="G12705" s="14">
        <v>44746</v>
      </c>
      <c r="H12705" s="13" t="s">
        <v>163</v>
      </c>
    </row>
    <row r="12706" spans="1:8" ht="14.4" x14ac:dyDescent="0.3">
      <c r="A12706" s="8">
        <v>2055732</v>
      </c>
      <c r="B12706" s="11">
        <v>44742</v>
      </c>
      <c r="C12706" s="13" t="s">
        <v>16076</v>
      </c>
      <c r="D12706" s="13" t="s">
        <v>16077</v>
      </c>
      <c r="E12706" s="8">
        <v>10000</v>
      </c>
      <c r="F12706" s="13" t="s">
        <v>70</v>
      </c>
      <c r="G12706" s="14">
        <v>44756</v>
      </c>
      <c r="H12706" s="13" t="s">
        <v>163</v>
      </c>
    </row>
    <row r="12707" spans="1:8" ht="14.4" x14ac:dyDescent="0.3">
      <c r="A12707" s="8">
        <v>2055733</v>
      </c>
      <c r="B12707" s="11">
        <v>44742</v>
      </c>
      <c r="C12707" s="13" t="s">
        <v>16078</v>
      </c>
      <c r="D12707" s="13" t="s">
        <v>16079</v>
      </c>
      <c r="E12707" s="8">
        <v>6000</v>
      </c>
      <c r="F12707" s="13" t="s">
        <v>70</v>
      </c>
      <c r="G12707" s="14">
        <v>44743</v>
      </c>
      <c r="H12707" s="13" t="s">
        <v>163</v>
      </c>
    </row>
    <row r="12708" spans="1:8" ht="14.4" x14ac:dyDescent="0.3">
      <c r="A12708" s="8">
        <v>2055734</v>
      </c>
      <c r="B12708" s="11">
        <v>44742</v>
      </c>
      <c r="C12708" s="13" t="s">
        <v>16080</v>
      </c>
      <c r="D12708" s="13" t="s">
        <v>16081</v>
      </c>
      <c r="E12708" s="8">
        <v>60766</v>
      </c>
      <c r="F12708" s="13" t="s">
        <v>70</v>
      </c>
      <c r="G12708" s="14">
        <v>44755</v>
      </c>
      <c r="H12708" s="13" t="s">
        <v>163</v>
      </c>
    </row>
    <row r="12709" spans="1:8" ht="14.4" x14ac:dyDescent="0.3">
      <c r="A12709" s="8">
        <v>2055735</v>
      </c>
      <c r="B12709" s="11">
        <v>44742</v>
      </c>
      <c r="C12709" s="13" t="s">
        <v>151</v>
      </c>
      <c r="D12709" s="13" t="s">
        <v>16082</v>
      </c>
      <c r="E12709" s="8">
        <v>47040</v>
      </c>
      <c r="F12709" s="13" t="s">
        <v>70</v>
      </c>
      <c r="G12709" s="14">
        <v>44748</v>
      </c>
      <c r="H12709" s="13" t="s">
        <v>163</v>
      </c>
    </row>
    <row r="12710" spans="1:8" ht="14.4" x14ac:dyDescent="0.3">
      <c r="A12710" s="8">
        <v>2055736</v>
      </c>
      <c r="B12710" s="11">
        <v>44742</v>
      </c>
      <c r="C12710" s="13" t="s">
        <v>201</v>
      </c>
      <c r="D12710" s="13" t="s">
        <v>16082</v>
      </c>
      <c r="E12710" s="8">
        <v>56507</v>
      </c>
      <c r="F12710" s="13" t="s">
        <v>70</v>
      </c>
      <c r="G12710" s="14">
        <v>44750</v>
      </c>
      <c r="H12710" s="13" t="s">
        <v>163</v>
      </c>
    </row>
    <row r="12711" spans="1:8" ht="14.4" x14ac:dyDescent="0.3">
      <c r="A12711" s="8">
        <v>2055737</v>
      </c>
      <c r="B12711" s="11">
        <v>44742</v>
      </c>
      <c r="C12711" s="13" t="s">
        <v>14796</v>
      </c>
      <c r="D12711" s="13" t="s">
        <v>13736</v>
      </c>
      <c r="E12711" s="8">
        <v>9899604</v>
      </c>
      <c r="F12711" s="13" t="s">
        <v>70</v>
      </c>
      <c r="G12711" s="14">
        <v>44743</v>
      </c>
      <c r="H12711" s="13" t="s">
        <v>163</v>
      </c>
    </row>
    <row r="12712" spans="1:8" ht="14.4" x14ac:dyDescent="0.3">
      <c r="A12712" s="8">
        <v>2055738</v>
      </c>
      <c r="B12712" s="11">
        <v>44742</v>
      </c>
      <c r="C12712" s="13" t="s">
        <v>13294</v>
      </c>
      <c r="D12712" s="13" t="s">
        <v>16083</v>
      </c>
      <c r="E12712" s="8">
        <v>461113.75</v>
      </c>
      <c r="F12712" s="13" t="s">
        <v>70</v>
      </c>
      <c r="G12712" s="14">
        <v>44748</v>
      </c>
      <c r="H12712" s="13" t="s">
        <v>163</v>
      </c>
    </row>
    <row r="12713" spans="1:8" ht="14.4" x14ac:dyDescent="0.3">
      <c r="A12713" s="8">
        <v>2055739</v>
      </c>
      <c r="B12713" s="11">
        <v>44747</v>
      </c>
      <c r="C12713" s="13" t="s">
        <v>2624</v>
      </c>
      <c r="D12713" s="13" t="s">
        <v>6016</v>
      </c>
      <c r="E12713" s="8">
        <v>456806.56</v>
      </c>
      <c r="F12713" s="13" t="s">
        <v>70</v>
      </c>
      <c r="G12713" s="14">
        <v>44747</v>
      </c>
      <c r="H12713" s="13" t="s">
        <v>163</v>
      </c>
    </row>
    <row r="12714" spans="1:8" ht="14.4" x14ac:dyDescent="0.3">
      <c r="A12714" s="8">
        <v>2055740</v>
      </c>
      <c r="B12714" s="11">
        <v>44747</v>
      </c>
      <c r="C12714" s="13" t="s">
        <v>2206</v>
      </c>
      <c r="D12714" s="13" t="s">
        <v>16084</v>
      </c>
      <c r="E12714" s="8">
        <v>20000</v>
      </c>
      <c r="F12714" s="13" t="s">
        <v>70</v>
      </c>
      <c r="G12714" s="14">
        <v>44773</v>
      </c>
      <c r="H12714" s="13" t="s">
        <v>163</v>
      </c>
    </row>
    <row r="12715" spans="1:8" ht="14.4" x14ac:dyDescent="0.3">
      <c r="A12715" s="8">
        <v>2055741</v>
      </c>
      <c r="B12715" s="11">
        <v>44747</v>
      </c>
      <c r="C12715" s="13" t="s">
        <v>16085</v>
      </c>
      <c r="D12715" s="13" t="s">
        <v>16086</v>
      </c>
      <c r="E12715" s="8">
        <v>10000</v>
      </c>
      <c r="F12715" s="13" t="s">
        <v>70</v>
      </c>
      <c r="G12715" s="14">
        <v>44789</v>
      </c>
      <c r="H12715" s="13" t="s">
        <v>163</v>
      </c>
    </row>
    <row r="12716" spans="1:8" ht="14.4" x14ac:dyDescent="0.3">
      <c r="A12716" s="8">
        <v>2055742</v>
      </c>
      <c r="B12716" s="11">
        <v>44747</v>
      </c>
      <c r="C12716" s="13" t="s">
        <v>16087</v>
      </c>
      <c r="D12716" s="13" t="s">
        <v>16088</v>
      </c>
      <c r="E12716" s="8">
        <v>6000</v>
      </c>
      <c r="F12716" s="13" t="s">
        <v>70</v>
      </c>
      <c r="G12716" s="14">
        <v>44755</v>
      </c>
      <c r="H12716" s="13" t="s">
        <v>163</v>
      </c>
    </row>
    <row r="12717" spans="1:8" ht="14.4" x14ac:dyDescent="0.3">
      <c r="A12717" s="8">
        <v>2055743</v>
      </c>
      <c r="B12717" s="11">
        <v>44747</v>
      </c>
      <c r="C12717" s="13" t="s">
        <v>16089</v>
      </c>
      <c r="D12717" s="13" t="s">
        <v>16090</v>
      </c>
      <c r="E12717" s="8">
        <v>6000</v>
      </c>
      <c r="F12717" s="13" t="s">
        <v>70</v>
      </c>
      <c r="G12717" s="14">
        <v>44755</v>
      </c>
      <c r="H12717" s="13" t="s">
        <v>163</v>
      </c>
    </row>
    <row r="12718" spans="1:8" ht="14.4" x14ac:dyDescent="0.3">
      <c r="A12718" s="8">
        <v>2055744</v>
      </c>
      <c r="B12718" s="11">
        <v>44747</v>
      </c>
      <c r="C12718" s="13" t="s">
        <v>16091</v>
      </c>
      <c r="D12718" s="13" t="s">
        <v>16092</v>
      </c>
      <c r="E12718" s="8">
        <v>10000</v>
      </c>
      <c r="F12718" s="13" t="s">
        <v>70</v>
      </c>
      <c r="G12718" s="14">
        <v>44753</v>
      </c>
      <c r="H12718" s="13" t="s">
        <v>163</v>
      </c>
    </row>
    <row r="12719" spans="1:8" ht="14.4" x14ac:dyDescent="0.3">
      <c r="A12719" s="8">
        <v>2055745</v>
      </c>
      <c r="B12719" s="11">
        <v>44747</v>
      </c>
      <c r="C12719" s="13" t="s">
        <v>16093</v>
      </c>
      <c r="D12719" s="13" t="s">
        <v>16094</v>
      </c>
      <c r="E12719" s="8">
        <v>16000</v>
      </c>
      <c r="F12719" s="13" t="s">
        <v>70</v>
      </c>
      <c r="G12719" s="14">
        <v>44756</v>
      </c>
      <c r="H12719" s="13" t="s">
        <v>163</v>
      </c>
    </row>
    <row r="12720" spans="1:8" ht="14.4" x14ac:dyDescent="0.3">
      <c r="A12720" s="8">
        <v>2055746</v>
      </c>
      <c r="B12720" s="11">
        <v>44747</v>
      </c>
      <c r="C12720" s="13" t="s">
        <v>2550</v>
      </c>
      <c r="D12720" s="13" t="s">
        <v>16095</v>
      </c>
      <c r="E12720" s="8">
        <v>6000</v>
      </c>
      <c r="F12720" s="13" t="s">
        <v>70</v>
      </c>
      <c r="G12720" s="14">
        <v>44754</v>
      </c>
      <c r="H12720" s="13" t="s">
        <v>163</v>
      </c>
    </row>
    <row r="12721" spans="1:8" ht="14.4" x14ac:dyDescent="0.3">
      <c r="A12721" s="8">
        <v>2055747</v>
      </c>
      <c r="B12721" s="11">
        <v>44747</v>
      </c>
      <c r="C12721" s="13" t="s">
        <v>16096</v>
      </c>
      <c r="D12721" s="13" t="s">
        <v>16097</v>
      </c>
      <c r="E12721" s="8">
        <v>10000</v>
      </c>
      <c r="F12721" s="13" t="s">
        <v>70</v>
      </c>
      <c r="G12721" s="14">
        <v>44755</v>
      </c>
      <c r="H12721" s="13" t="s">
        <v>163</v>
      </c>
    </row>
    <row r="12722" spans="1:8" ht="14.4" x14ac:dyDescent="0.3">
      <c r="A12722" s="8">
        <v>2055748</v>
      </c>
      <c r="B12722" s="11">
        <v>44747</v>
      </c>
      <c r="C12722" s="13" t="s">
        <v>16098</v>
      </c>
      <c r="D12722" s="13" t="s">
        <v>16099</v>
      </c>
      <c r="E12722" s="8">
        <v>2000</v>
      </c>
      <c r="F12722" s="13" t="s">
        <v>70</v>
      </c>
      <c r="G12722" s="14">
        <v>44755</v>
      </c>
      <c r="H12722" s="13" t="s">
        <v>163</v>
      </c>
    </row>
    <row r="12723" spans="1:8" ht="14.4" x14ac:dyDescent="0.3">
      <c r="A12723" s="8">
        <v>2055749</v>
      </c>
      <c r="B12723" s="11">
        <v>44748</v>
      </c>
      <c r="C12723" s="13" t="s">
        <v>16080</v>
      </c>
      <c r="D12723" s="13" t="s">
        <v>16100</v>
      </c>
      <c r="E12723" s="8">
        <v>6550317.8499999996</v>
      </c>
      <c r="F12723" s="13" t="s">
        <v>70</v>
      </c>
      <c r="G12723" s="14">
        <v>44773</v>
      </c>
      <c r="H12723" s="13" t="s">
        <v>163</v>
      </c>
    </row>
    <row r="12724" spans="1:8" ht="14.4" x14ac:dyDescent="0.3">
      <c r="A12724" s="8">
        <v>2055750</v>
      </c>
      <c r="B12724" s="11">
        <v>44748</v>
      </c>
      <c r="C12724" s="13" t="s">
        <v>16101</v>
      </c>
      <c r="D12724" s="13" t="s">
        <v>16102</v>
      </c>
      <c r="E12724" s="8">
        <v>10000</v>
      </c>
      <c r="F12724" s="13" t="s">
        <v>70</v>
      </c>
      <c r="G12724" s="14">
        <v>44756</v>
      </c>
      <c r="H12724" s="13" t="s">
        <v>163</v>
      </c>
    </row>
    <row r="12725" spans="1:8" ht="14.4" x14ac:dyDescent="0.3">
      <c r="A12725" s="8">
        <v>2055751</v>
      </c>
      <c r="B12725" s="11">
        <v>44749</v>
      </c>
      <c r="C12725" s="13" t="s">
        <v>16103</v>
      </c>
      <c r="D12725" s="13" t="s">
        <v>16104</v>
      </c>
      <c r="E12725" s="8">
        <v>1000</v>
      </c>
      <c r="F12725" s="13" t="s">
        <v>70</v>
      </c>
      <c r="G12725" s="14">
        <v>44753</v>
      </c>
      <c r="H12725" s="13" t="s">
        <v>163</v>
      </c>
    </row>
    <row r="12726" spans="1:8" ht="14.4" x14ac:dyDescent="0.3">
      <c r="A12726" s="8">
        <v>2055752</v>
      </c>
      <c r="B12726" s="11">
        <v>44749</v>
      </c>
      <c r="C12726" s="13" t="s">
        <v>16105</v>
      </c>
      <c r="D12726" s="13" t="s">
        <v>16106</v>
      </c>
      <c r="E12726" s="8">
        <v>8000</v>
      </c>
      <c r="F12726" s="13" t="s">
        <v>70</v>
      </c>
      <c r="G12726" s="14">
        <v>44753</v>
      </c>
      <c r="H12726" s="13" t="s">
        <v>163</v>
      </c>
    </row>
    <row r="12727" spans="1:8" ht="14.4" x14ac:dyDescent="0.3">
      <c r="A12727" s="8">
        <v>2055753</v>
      </c>
      <c r="B12727" s="11">
        <v>44749</v>
      </c>
      <c r="C12727" s="13" t="s">
        <v>3366</v>
      </c>
      <c r="D12727" s="13" t="s">
        <v>16107</v>
      </c>
      <c r="E12727" s="8">
        <v>8000</v>
      </c>
      <c r="F12727" s="13" t="s">
        <v>70</v>
      </c>
      <c r="G12727" s="14">
        <v>44754</v>
      </c>
      <c r="H12727" s="13" t="s">
        <v>163</v>
      </c>
    </row>
    <row r="12728" spans="1:8" ht="14.4" x14ac:dyDescent="0.3">
      <c r="A12728" s="8">
        <v>2055754</v>
      </c>
      <c r="B12728" s="11">
        <v>44749</v>
      </c>
      <c r="C12728" s="13" t="s">
        <v>16108</v>
      </c>
      <c r="D12728" s="13" t="s">
        <v>16109</v>
      </c>
      <c r="E12728" s="8">
        <v>4000</v>
      </c>
      <c r="F12728" s="13" t="s">
        <v>70</v>
      </c>
      <c r="G12728" s="14">
        <v>44753</v>
      </c>
      <c r="H12728" s="13" t="s">
        <v>163</v>
      </c>
    </row>
    <row r="12729" spans="1:8" ht="14.4" x14ac:dyDescent="0.3">
      <c r="A12729" s="8">
        <v>2055755</v>
      </c>
      <c r="B12729" s="11">
        <v>44749</v>
      </c>
      <c r="C12729" s="13" t="s">
        <v>16110</v>
      </c>
      <c r="D12729" s="13" t="s">
        <v>16111</v>
      </c>
      <c r="E12729" s="8">
        <v>2000</v>
      </c>
      <c r="F12729" s="13" t="s">
        <v>70</v>
      </c>
      <c r="G12729" s="14">
        <v>44753</v>
      </c>
      <c r="H12729" s="13" t="s">
        <v>163</v>
      </c>
    </row>
    <row r="12730" spans="1:8" ht="14.4" x14ac:dyDescent="0.3">
      <c r="A12730" s="8">
        <v>2055756</v>
      </c>
      <c r="B12730" s="11">
        <v>44749</v>
      </c>
      <c r="C12730" s="13" t="s">
        <v>16112</v>
      </c>
      <c r="D12730" s="13" t="s">
        <v>16113</v>
      </c>
      <c r="E12730" s="8">
        <v>2000</v>
      </c>
      <c r="F12730" s="13" t="s">
        <v>70</v>
      </c>
      <c r="G12730" s="14">
        <v>44753</v>
      </c>
      <c r="H12730" s="13" t="s">
        <v>163</v>
      </c>
    </row>
    <row r="12731" spans="1:8" ht="14.4" x14ac:dyDescent="0.3">
      <c r="A12731" s="8">
        <v>2055757</v>
      </c>
      <c r="B12731" s="11">
        <v>44749</v>
      </c>
      <c r="C12731" s="13" t="s">
        <v>16114</v>
      </c>
      <c r="D12731" s="13" t="s">
        <v>16115</v>
      </c>
      <c r="E12731" s="8">
        <v>2000</v>
      </c>
      <c r="F12731" s="13" t="s">
        <v>70</v>
      </c>
      <c r="G12731" s="14">
        <v>44753</v>
      </c>
      <c r="H12731" s="13" t="s">
        <v>163</v>
      </c>
    </row>
    <row r="12732" spans="1:8" ht="14.4" x14ac:dyDescent="0.3">
      <c r="A12732" s="8">
        <v>2055758</v>
      </c>
      <c r="B12732" s="11">
        <v>44749</v>
      </c>
      <c r="C12732" s="13" t="s">
        <v>3801</v>
      </c>
      <c r="D12732" s="13" t="s">
        <v>16116</v>
      </c>
      <c r="E12732" s="8">
        <v>2000</v>
      </c>
      <c r="F12732" s="13" t="s">
        <v>70</v>
      </c>
      <c r="G12732" s="14">
        <v>44753</v>
      </c>
      <c r="H12732" s="13" t="s">
        <v>163</v>
      </c>
    </row>
    <row r="12733" spans="1:8" ht="14.4" x14ac:dyDescent="0.3">
      <c r="A12733" s="8">
        <v>2055759</v>
      </c>
      <c r="B12733" s="11">
        <v>44749</v>
      </c>
      <c r="C12733" s="13" t="s">
        <v>16117</v>
      </c>
      <c r="D12733" s="13" t="s">
        <v>16118</v>
      </c>
      <c r="E12733" s="8">
        <v>2000</v>
      </c>
      <c r="F12733" s="13" t="s">
        <v>70</v>
      </c>
      <c r="G12733" s="14">
        <v>44753</v>
      </c>
      <c r="H12733" s="13" t="s">
        <v>163</v>
      </c>
    </row>
    <row r="12734" spans="1:8" ht="14.4" x14ac:dyDescent="0.3">
      <c r="A12734" s="8">
        <v>2055760</v>
      </c>
      <c r="B12734" s="11">
        <v>44749</v>
      </c>
      <c r="C12734" s="13" t="s">
        <v>16119</v>
      </c>
      <c r="D12734" s="13" t="s">
        <v>16120</v>
      </c>
      <c r="E12734" s="8">
        <v>4000</v>
      </c>
      <c r="F12734" s="13" t="s">
        <v>70</v>
      </c>
      <c r="G12734" s="14">
        <v>44753</v>
      </c>
      <c r="H12734" s="13" t="s">
        <v>163</v>
      </c>
    </row>
    <row r="12735" spans="1:8" ht="14.4" x14ac:dyDescent="0.3">
      <c r="A12735" s="8">
        <v>2055761</v>
      </c>
      <c r="B12735" s="11">
        <v>44749</v>
      </c>
      <c r="C12735" s="13" t="s">
        <v>16121</v>
      </c>
      <c r="D12735" s="13" t="s">
        <v>16122</v>
      </c>
      <c r="E12735" s="8">
        <v>4000</v>
      </c>
      <c r="F12735" s="13" t="s">
        <v>70</v>
      </c>
      <c r="G12735" s="14">
        <v>44753</v>
      </c>
      <c r="H12735" s="13" t="s">
        <v>163</v>
      </c>
    </row>
    <row r="12736" spans="1:8" ht="14.4" x14ac:dyDescent="0.3">
      <c r="A12736" s="8">
        <v>2055762</v>
      </c>
      <c r="B12736" s="11">
        <v>44749</v>
      </c>
      <c r="C12736" s="13" t="s">
        <v>9544</v>
      </c>
      <c r="D12736" s="13" t="s">
        <v>16123</v>
      </c>
      <c r="E12736" s="8">
        <v>6000</v>
      </c>
      <c r="F12736" s="13" t="s">
        <v>70</v>
      </c>
      <c r="G12736" s="14">
        <v>44753</v>
      </c>
      <c r="H12736" s="13" t="s">
        <v>163</v>
      </c>
    </row>
    <row r="12737" spans="1:8" ht="14.4" x14ac:dyDescent="0.3">
      <c r="A12737" s="8">
        <v>2055763</v>
      </c>
      <c r="B12737" s="11">
        <v>44749</v>
      </c>
      <c r="C12737" s="13" t="s">
        <v>13313</v>
      </c>
      <c r="D12737" s="13" t="s">
        <v>16124</v>
      </c>
      <c r="E12737" s="8">
        <v>6000</v>
      </c>
      <c r="F12737" s="13" t="s">
        <v>70</v>
      </c>
      <c r="G12737" s="14">
        <v>44757</v>
      </c>
      <c r="H12737" s="13" t="s">
        <v>163</v>
      </c>
    </row>
    <row r="12738" spans="1:8" ht="14.4" x14ac:dyDescent="0.3">
      <c r="A12738" s="8">
        <v>2055764</v>
      </c>
      <c r="B12738" s="11">
        <v>44749</v>
      </c>
      <c r="C12738" s="13" t="s">
        <v>3448</v>
      </c>
      <c r="D12738" s="13" t="s">
        <v>16125</v>
      </c>
      <c r="E12738" s="8">
        <v>8000</v>
      </c>
      <c r="F12738" s="13" t="s">
        <v>70</v>
      </c>
      <c r="G12738" s="14">
        <v>44750</v>
      </c>
      <c r="H12738" s="13" t="s">
        <v>163</v>
      </c>
    </row>
    <row r="12739" spans="1:8" ht="14.4" x14ac:dyDescent="0.3">
      <c r="A12739" s="8">
        <v>2055765</v>
      </c>
      <c r="B12739" s="11">
        <v>44750</v>
      </c>
      <c r="C12739" s="13" t="s">
        <v>2669</v>
      </c>
      <c r="D12739" s="13" t="s">
        <v>16126</v>
      </c>
      <c r="E12739" s="8">
        <v>14000</v>
      </c>
      <c r="F12739" s="13" t="s">
        <v>70</v>
      </c>
      <c r="G12739" s="14">
        <v>44750</v>
      </c>
      <c r="H12739" s="13" t="s">
        <v>163</v>
      </c>
    </row>
    <row r="12740" spans="1:8" ht="14.4" x14ac:dyDescent="0.3">
      <c r="A12740" s="8">
        <v>2055766</v>
      </c>
      <c r="B12740" s="11">
        <v>44750</v>
      </c>
      <c r="C12740" s="13" t="s">
        <v>10587</v>
      </c>
      <c r="D12740" s="13" t="s">
        <v>16127</v>
      </c>
      <c r="E12740" s="8">
        <v>2000</v>
      </c>
      <c r="F12740" s="13" t="s">
        <v>70</v>
      </c>
      <c r="G12740" s="14">
        <v>44755</v>
      </c>
      <c r="H12740" s="13" t="s">
        <v>163</v>
      </c>
    </row>
    <row r="12741" spans="1:8" ht="14.4" x14ac:dyDescent="0.3">
      <c r="A12741" s="8">
        <v>2055767</v>
      </c>
      <c r="B12741" s="11">
        <v>44750</v>
      </c>
      <c r="C12741" s="13" t="s">
        <v>16128</v>
      </c>
      <c r="D12741" s="13" t="s">
        <v>16129</v>
      </c>
      <c r="E12741" s="8">
        <v>6000</v>
      </c>
      <c r="F12741" s="13" t="s">
        <v>70</v>
      </c>
      <c r="G12741" s="14">
        <v>44754</v>
      </c>
      <c r="H12741" s="13" t="s">
        <v>163</v>
      </c>
    </row>
    <row r="12742" spans="1:8" ht="14.4" x14ac:dyDescent="0.3">
      <c r="A12742" s="8">
        <v>2055768</v>
      </c>
      <c r="B12742" s="11">
        <v>44753</v>
      </c>
      <c r="C12742" s="13" t="s">
        <v>7463</v>
      </c>
      <c r="D12742" s="13" t="s">
        <v>16130</v>
      </c>
      <c r="E12742" s="8">
        <v>10000</v>
      </c>
      <c r="F12742" s="13" t="s">
        <v>70</v>
      </c>
      <c r="G12742" s="14">
        <v>44770</v>
      </c>
      <c r="H12742" s="13" t="s">
        <v>163</v>
      </c>
    </row>
    <row r="12743" spans="1:8" ht="14.4" x14ac:dyDescent="0.3">
      <c r="A12743" s="8">
        <v>2055769</v>
      </c>
      <c r="B12743" s="11">
        <v>44753</v>
      </c>
      <c r="C12743" s="13" t="s">
        <v>16131</v>
      </c>
      <c r="D12743" s="13" t="s">
        <v>16132</v>
      </c>
      <c r="E12743" s="8">
        <v>6000</v>
      </c>
      <c r="F12743" s="13" t="s">
        <v>70</v>
      </c>
      <c r="G12743" s="14">
        <v>44763</v>
      </c>
      <c r="H12743" s="13" t="s">
        <v>163</v>
      </c>
    </row>
    <row r="12744" spans="1:8" ht="14.4" x14ac:dyDescent="0.3">
      <c r="A12744" s="8">
        <v>2055770</v>
      </c>
      <c r="B12744" s="11">
        <v>44753</v>
      </c>
      <c r="C12744" s="13" t="s">
        <v>16133</v>
      </c>
      <c r="D12744" s="13" t="s">
        <v>16134</v>
      </c>
      <c r="E12744" s="8">
        <v>10000</v>
      </c>
      <c r="F12744" s="13" t="s">
        <v>70</v>
      </c>
      <c r="G12744" s="14">
        <v>44756</v>
      </c>
      <c r="H12744" s="13" t="s">
        <v>163</v>
      </c>
    </row>
    <row r="12745" spans="1:8" ht="14.4" x14ac:dyDescent="0.3">
      <c r="A12745" s="8">
        <v>2055771</v>
      </c>
      <c r="B12745" s="11">
        <v>44753</v>
      </c>
      <c r="C12745" s="13" t="s">
        <v>16135</v>
      </c>
      <c r="D12745" s="13" t="s">
        <v>16136</v>
      </c>
      <c r="E12745" s="8">
        <v>6000</v>
      </c>
      <c r="F12745" s="13" t="s">
        <v>70</v>
      </c>
      <c r="G12745" s="14">
        <v>44755</v>
      </c>
      <c r="H12745" s="13" t="s">
        <v>163</v>
      </c>
    </row>
    <row r="12746" spans="1:8" ht="14.4" x14ac:dyDescent="0.3">
      <c r="A12746" s="8">
        <v>2055772</v>
      </c>
      <c r="B12746" s="11">
        <v>44753</v>
      </c>
      <c r="C12746" s="13" t="s">
        <v>16137</v>
      </c>
      <c r="D12746" s="13" t="s">
        <v>16138</v>
      </c>
      <c r="E12746" s="8">
        <v>8000</v>
      </c>
      <c r="F12746" s="13" t="s">
        <v>70</v>
      </c>
      <c r="G12746" s="14">
        <v>44755</v>
      </c>
      <c r="H12746" s="13" t="s">
        <v>163</v>
      </c>
    </row>
    <row r="12747" spans="1:8" ht="14.4" x14ac:dyDescent="0.3">
      <c r="A12747" s="8">
        <v>2055773</v>
      </c>
      <c r="B12747" s="11">
        <v>44753</v>
      </c>
      <c r="C12747" s="13" t="s">
        <v>10228</v>
      </c>
      <c r="D12747" s="13" t="s">
        <v>16139</v>
      </c>
      <c r="E12747" s="8">
        <v>6000</v>
      </c>
      <c r="F12747" s="13" t="s">
        <v>70</v>
      </c>
      <c r="G12747" s="14">
        <v>44755</v>
      </c>
      <c r="H12747" s="13" t="s">
        <v>163</v>
      </c>
    </row>
    <row r="12748" spans="1:8" ht="14.4" x14ac:dyDescent="0.3">
      <c r="A12748" s="8">
        <v>2055774</v>
      </c>
      <c r="B12748" s="11">
        <v>44753</v>
      </c>
      <c r="C12748" s="13" t="s">
        <v>16140</v>
      </c>
      <c r="D12748" s="13" t="s">
        <v>16141</v>
      </c>
      <c r="E12748" s="8">
        <v>6000</v>
      </c>
      <c r="F12748" s="13" t="s">
        <v>70</v>
      </c>
      <c r="G12748" s="14">
        <v>44757</v>
      </c>
      <c r="H12748" s="13" t="s">
        <v>163</v>
      </c>
    </row>
    <row r="12749" spans="1:8" ht="14.4" x14ac:dyDescent="0.3">
      <c r="A12749" s="8">
        <v>2055775</v>
      </c>
      <c r="B12749" s="11">
        <v>44753</v>
      </c>
      <c r="C12749" s="13" t="s">
        <v>16142</v>
      </c>
      <c r="D12749" s="13" t="s">
        <v>16143</v>
      </c>
      <c r="E12749" s="8">
        <v>2000</v>
      </c>
      <c r="F12749" s="13" t="s">
        <v>70</v>
      </c>
      <c r="G12749" s="14">
        <v>44755</v>
      </c>
      <c r="H12749" s="13" t="s">
        <v>163</v>
      </c>
    </row>
    <row r="12750" spans="1:8" ht="14.4" x14ac:dyDescent="0.3">
      <c r="A12750" s="8">
        <v>2055776</v>
      </c>
      <c r="B12750" s="11">
        <v>44753</v>
      </c>
      <c r="C12750" s="13" t="s">
        <v>16144</v>
      </c>
      <c r="D12750" s="13" t="s">
        <v>16145</v>
      </c>
      <c r="E12750" s="8">
        <v>6000</v>
      </c>
      <c r="F12750" s="13" t="s">
        <v>70</v>
      </c>
      <c r="G12750" s="14">
        <v>44756</v>
      </c>
      <c r="H12750" s="13" t="s">
        <v>163</v>
      </c>
    </row>
    <row r="12751" spans="1:8" ht="14.4" x14ac:dyDescent="0.3">
      <c r="A12751" s="8">
        <v>2055777</v>
      </c>
      <c r="B12751" s="11">
        <v>44753</v>
      </c>
      <c r="C12751" s="13" t="s">
        <v>16146</v>
      </c>
      <c r="D12751" s="13" t="s">
        <v>16147</v>
      </c>
      <c r="E12751" s="8">
        <v>2000</v>
      </c>
      <c r="F12751" s="13" t="s">
        <v>70</v>
      </c>
      <c r="G12751" s="14">
        <v>44756</v>
      </c>
      <c r="H12751" s="13" t="s">
        <v>163</v>
      </c>
    </row>
    <row r="12752" spans="1:8" ht="14.4" x14ac:dyDescent="0.3">
      <c r="A12752" s="8">
        <v>2055778</v>
      </c>
      <c r="B12752" s="11">
        <v>44753</v>
      </c>
      <c r="C12752" s="13" t="s">
        <v>16148</v>
      </c>
      <c r="D12752" s="13" t="s">
        <v>16149</v>
      </c>
      <c r="E12752" s="8">
        <v>2000</v>
      </c>
      <c r="F12752" s="13" t="s">
        <v>70</v>
      </c>
      <c r="G12752" s="14">
        <v>44755</v>
      </c>
      <c r="H12752" s="13" t="s">
        <v>163</v>
      </c>
    </row>
    <row r="12753" spans="1:8" ht="14.4" x14ac:dyDescent="0.3">
      <c r="A12753" s="8">
        <v>2055779</v>
      </c>
      <c r="B12753" s="11">
        <v>44754</v>
      </c>
      <c r="C12753" s="13" t="s">
        <v>14948</v>
      </c>
      <c r="D12753" s="13" t="s">
        <v>16150</v>
      </c>
      <c r="E12753" s="8">
        <v>10000</v>
      </c>
      <c r="F12753" s="13" t="s">
        <v>70</v>
      </c>
      <c r="G12753" s="14">
        <v>44755</v>
      </c>
      <c r="H12753" s="13" t="s">
        <v>163</v>
      </c>
    </row>
    <row r="12754" spans="1:8" ht="14.4" x14ac:dyDescent="0.3">
      <c r="A12754" s="8">
        <v>2055780</v>
      </c>
      <c r="B12754" s="11">
        <v>44754</v>
      </c>
      <c r="C12754" s="13" t="s">
        <v>16151</v>
      </c>
      <c r="D12754" s="13" t="s">
        <v>16152</v>
      </c>
      <c r="E12754" s="8">
        <v>9500</v>
      </c>
      <c r="F12754" s="13" t="s">
        <v>70</v>
      </c>
      <c r="G12754" s="14">
        <v>44757</v>
      </c>
      <c r="H12754" s="13" t="s">
        <v>163</v>
      </c>
    </row>
    <row r="12755" spans="1:8" ht="14.4" x14ac:dyDescent="0.3">
      <c r="A12755" s="8">
        <v>2055781</v>
      </c>
      <c r="B12755" s="11">
        <v>44754</v>
      </c>
      <c r="C12755" s="13" t="s">
        <v>16153</v>
      </c>
      <c r="D12755" s="13" t="s">
        <v>16154</v>
      </c>
      <c r="E12755" s="8">
        <v>8000</v>
      </c>
      <c r="F12755" s="13" t="s">
        <v>70</v>
      </c>
      <c r="G12755" s="14">
        <v>44756</v>
      </c>
      <c r="H12755" s="13" t="s">
        <v>163</v>
      </c>
    </row>
    <row r="12756" spans="1:8" ht="14.4" x14ac:dyDescent="0.3">
      <c r="A12756" s="8">
        <v>2055782</v>
      </c>
      <c r="B12756" s="11">
        <v>44754</v>
      </c>
      <c r="C12756" s="13" t="s">
        <v>2823</v>
      </c>
      <c r="D12756" s="13" t="s">
        <v>16155</v>
      </c>
      <c r="E12756" s="8">
        <v>14000</v>
      </c>
      <c r="F12756" s="13" t="s">
        <v>70</v>
      </c>
      <c r="G12756" s="14">
        <v>44756</v>
      </c>
      <c r="H12756" s="13" t="s">
        <v>163</v>
      </c>
    </row>
    <row r="12757" spans="1:8" ht="14.4" x14ac:dyDescent="0.3">
      <c r="A12757" s="8">
        <v>2055783</v>
      </c>
      <c r="B12757" s="11">
        <v>44754</v>
      </c>
      <c r="C12757" s="13" t="s">
        <v>16156</v>
      </c>
      <c r="D12757" s="13" t="s">
        <v>16157</v>
      </c>
      <c r="E12757" s="8">
        <v>10000</v>
      </c>
      <c r="F12757" s="13" t="s">
        <v>70</v>
      </c>
      <c r="G12757" s="14">
        <v>44757</v>
      </c>
      <c r="H12757" s="13" t="s">
        <v>163</v>
      </c>
    </row>
    <row r="12758" spans="1:8" ht="14.4" x14ac:dyDescent="0.3">
      <c r="A12758" s="8">
        <v>2055784</v>
      </c>
      <c r="B12758" s="11">
        <v>44754</v>
      </c>
      <c r="C12758" s="13" t="s">
        <v>2918</v>
      </c>
      <c r="D12758" s="13" t="s">
        <v>16158</v>
      </c>
      <c r="E12758" s="8">
        <v>4000</v>
      </c>
      <c r="F12758" s="13" t="s">
        <v>70</v>
      </c>
      <c r="G12758" s="14">
        <v>44756</v>
      </c>
      <c r="H12758" s="13" t="s">
        <v>163</v>
      </c>
    </row>
    <row r="12759" spans="1:8" ht="14.4" x14ac:dyDescent="0.3">
      <c r="A12759" s="8">
        <v>2055785</v>
      </c>
      <c r="B12759" s="11">
        <v>44754</v>
      </c>
      <c r="C12759" s="13" t="s">
        <v>16159</v>
      </c>
      <c r="D12759" s="13" t="s">
        <v>16160</v>
      </c>
      <c r="E12759" s="8">
        <v>2000</v>
      </c>
      <c r="F12759" s="13" t="s">
        <v>70</v>
      </c>
      <c r="G12759" s="14">
        <v>44756</v>
      </c>
      <c r="H12759" s="13" t="s">
        <v>163</v>
      </c>
    </row>
    <row r="12760" spans="1:8" ht="14.4" x14ac:dyDescent="0.3">
      <c r="A12760" s="8">
        <v>2055786</v>
      </c>
      <c r="B12760" s="11">
        <v>44754</v>
      </c>
      <c r="C12760" s="13" t="s">
        <v>10238</v>
      </c>
      <c r="D12760" s="13" t="s">
        <v>16161</v>
      </c>
      <c r="E12760" s="8">
        <v>20000</v>
      </c>
      <c r="F12760" s="13" t="s">
        <v>70</v>
      </c>
      <c r="G12760" s="14">
        <v>44756</v>
      </c>
      <c r="H12760" s="13" t="s">
        <v>163</v>
      </c>
    </row>
    <row r="12761" spans="1:8" ht="14.4" x14ac:dyDescent="0.3">
      <c r="A12761" s="8">
        <v>2055787</v>
      </c>
      <c r="B12761" s="11">
        <v>44754</v>
      </c>
      <c r="C12761" s="13" t="s">
        <v>16162</v>
      </c>
      <c r="D12761" s="13" t="s">
        <v>16163</v>
      </c>
      <c r="E12761" s="8">
        <v>2000</v>
      </c>
      <c r="F12761" s="13" t="s">
        <v>70</v>
      </c>
      <c r="G12761" s="14">
        <v>44757</v>
      </c>
      <c r="H12761" s="13" t="s">
        <v>163</v>
      </c>
    </row>
    <row r="12762" spans="1:8" ht="14.4" x14ac:dyDescent="0.3">
      <c r="A12762" s="8">
        <v>2055788</v>
      </c>
      <c r="B12762" s="11">
        <v>44754</v>
      </c>
      <c r="C12762" s="13" t="s">
        <v>8827</v>
      </c>
      <c r="D12762" s="13" t="s">
        <v>16164</v>
      </c>
      <c r="E12762" s="8">
        <v>8000</v>
      </c>
      <c r="F12762" s="13" t="s">
        <v>70</v>
      </c>
      <c r="G12762" s="14">
        <v>44756</v>
      </c>
      <c r="H12762" s="13" t="s">
        <v>163</v>
      </c>
    </row>
    <row r="12763" spans="1:8" ht="14.4" x14ac:dyDescent="0.3">
      <c r="A12763" s="8">
        <v>2055789</v>
      </c>
      <c r="B12763" s="11">
        <v>44754</v>
      </c>
      <c r="C12763" s="13" t="s">
        <v>16165</v>
      </c>
      <c r="D12763" s="13" t="s">
        <v>16166</v>
      </c>
      <c r="E12763" s="8">
        <v>4000</v>
      </c>
      <c r="F12763" s="13" t="s">
        <v>70</v>
      </c>
      <c r="G12763" s="14">
        <v>44756</v>
      </c>
      <c r="H12763" s="13" t="s">
        <v>163</v>
      </c>
    </row>
    <row r="12764" spans="1:8" ht="14.4" x14ac:dyDescent="0.3">
      <c r="A12764" s="8">
        <v>2055790</v>
      </c>
      <c r="B12764" s="11">
        <v>44754</v>
      </c>
      <c r="C12764" s="13" t="s">
        <v>16167</v>
      </c>
      <c r="D12764" s="13" t="s">
        <v>16168</v>
      </c>
      <c r="E12764" s="8">
        <v>2000</v>
      </c>
      <c r="F12764" s="13" t="s">
        <v>70</v>
      </c>
      <c r="G12764" s="14">
        <v>44756</v>
      </c>
      <c r="H12764" s="13" t="s">
        <v>163</v>
      </c>
    </row>
    <row r="12765" spans="1:8" ht="14.4" x14ac:dyDescent="0.3">
      <c r="A12765" s="8">
        <v>2055791</v>
      </c>
      <c r="B12765" s="11">
        <v>44754</v>
      </c>
      <c r="C12765" s="13" t="s">
        <v>16169</v>
      </c>
      <c r="D12765" s="13" t="s">
        <v>16170</v>
      </c>
      <c r="E12765" s="8">
        <v>2000</v>
      </c>
      <c r="F12765" s="13" t="s">
        <v>70</v>
      </c>
      <c r="G12765" s="14">
        <v>44756</v>
      </c>
      <c r="H12765" s="13" t="s">
        <v>163</v>
      </c>
    </row>
    <row r="12766" spans="1:8" ht="14.4" x14ac:dyDescent="0.3">
      <c r="A12766" s="8">
        <v>2055792</v>
      </c>
      <c r="B12766" s="11">
        <v>44754</v>
      </c>
      <c r="C12766" s="13" t="s">
        <v>16171</v>
      </c>
      <c r="D12766" s="13" t="s">
        <v>16172</v>
      </c>
      <c r="E12766" s="8">
        <v>2000</v>
      </c>
      <c r="F12766" s="13" t="s">
        <v>70</v>
      </c>
      <c r="G12766" s="14">
        <v>44756</v>
      </c>
      <c r="H12766" s="13" t="s">
        <v>163</v>
      </c>
    </row>
    <row r="12767" spans="1:8" ht="14.4" x14ac:dyDescent="0.3">
      <c r="A12767" s="8">
        <v>2055793</v>
      </c>
      <c r="B12767" s="11">
        <v>44755</v>
      </c>
      <c r="C12767" s="13" t="s">
        <v>16173</v>
      </c>
      <c r="D12767" s="13" t="s">
        <v>16174</v>
      </c>
      <c r="E12767" s="8">
        <v>2000</v>
      </c>
      <c r="F12767" s="13" t="s">
        <v>70</v>
      </c>
      <c r="G12767" s="14">
        <v>44757</v>
      </c>
      <c r="H12767" s="13" t="s">
        <v>163</v>
      </c>
    </row>
    <row r="12768" spans="1:8" ht="14.4" x14ac:dyDescent="0.3">
      <c r="A12768" s="8">
        <v>2055794</v>
      </c>
      <c r="B12768" s="11">
        <v>44755</v>
      </c>
      <c r="C12768" s="13" t="s">
        <v>16175</v>
      </c>
      <c r="D12768" s="13" t="s">
        <v>16176</v>
      </c>
      <c r="E12768" s="8">
        <v>6000</v>
      </c>
      <c r="F12768" s="13" t="s">
        <v>70</v>
      </c>
      <c r="G12768" s="14">
        <v>44756</v>
      </c>
      <c r="H12768" s="13" t="s">
        <v>163</v>
      </c>
    </row>
    <row r="12769" spans="1:8" ht="14.4" x14ac:dyDescent="0.3">
      <c r="A12769" s="8">
        <v>2055795</v>
      </c>
      <c r="B12769" s="11">
        <v>44755</v>
      </c>
      <c r="C12769" s="13" t="s">
        <v>16177</v>
      </c>
      <c r="D12769" s="13" t="s">
        <v>16178</v>
      </c>
      <c r="E12769" s="8">
        <v>6000</v>
      </c>
      <c r="F12769" s="13" t="s">
        <v>70</v>
      </c>
      <c r="G12769" s="14">
        <v>44757</v>
      </c>
      <c r="H12769" s="13" t="s">
        <v>163</v>
      </c>
    </row>
    <row r="12770" spans="1:8" ht="14.4" x14ac:dyDescent="0.3">
      <c r="A12770" s="8">
        <v>2055796</v>
      </c>
      <c r="B12770" s="11">
        <v>44755</v>
      </c>
      <c r="C12770" s="13" t="s">
        <v>16179</v>
      </c>
      <c r="D12770" s="13" t="s">
        <v>16180</v>
      </c>
      <c r="E12770" s="8">
        <v>10000</v>
      </c>
      <c r="F12770" s="13" t="s">
        <v>70</v>
      </c>
      <c r="G12770" s="14">
        <v>44757</v>
      </c>
      <c r="H12770" s="13" t="s">
        <v>163</v>
      </c>
    </row>
    <row r="12771" spans="1:8" ht="14.4" x14ac:dyDescent="0.3">
      <c r="A12771" s="8">
        <v>2055797</v>
      </c>
      <c r="B12771" s="11">
        <v>44755</v>
      </c>
      <c r="C12771" s="13" t="s">
        <v>16181</v>
      </c>
      <c r="D12771" s="13" t="s">
        <v>16182</v>
      </c>
      <c r="E12771" s="8">
        <v>6000</v>
      </c>
      <c r="F12771" s="13" t="s">
        <v>70</v>
      </c>
      <c r="G12771" s="14">
        <v>44757</v>
      </c>
      <c r="H12771" s="13" t="s">
        <v>163</v>
      </c>
    </row>
    <row r="12772" spans="1:8" ht="14.4" x14ac:dyDescent="0.3">
      <c r="A12772" s="8">
        <v>2055798</v>
      </c>
      <c r="B12772" s="11">
        <v>44755</v>
      </c>
      <c r="C12772" s="13" t="s">
        <v>16183</v>
      </c>
      <c r="D12772" s="13" t="s">
        <v>16184</v>
      </c>
      <c r="E12772" s="8">
        <v>16000</v>
      </c>
      <c r="F12772" s="13" t="s">
        <v>70</v>
      </c>
      <c r="G12772" s="14">
        <v>44757</v>
      </c>
      <c r="H12772" s="13" t="s">
        <v>163</v>
      </c>
    </row>
    <row r="12773" spans="1:8" ht="14.4" x14ac:dyDescent="0.3">
      <c r="A12773" s="8">
        <v>2055799</v>
      </c>
      <c r="B12773" s="11">
        <v>44755</v>
      </c>
      <c r="C12773" s="13" t="s">
        <v>16185</v>
      </c>
      <c r="D12773" s="13" t="s">
        <v>16186</v>
      </c>
      <c r="E12773" s="8">
        <v>10000</v>
      </c>
      <c r="F12773" s="13" t="s">
        <v>70</v>
      </c>
      <c r="G12773" s="14">
        <v>44757</v>
      </c>
      <c r="H12773" s="13" t="s">
        <v>163</v>
      </c>
    </row>
    <row r="12774" spans="1:8" ht="14.4" x14ac:dyDescent="0.3">
      <c r="A12774" s="8">
        <v>2055800</v>
      </c>
      <c r="B12774" s="11">
        <v>44755</v>
      </c>
      <c r="C12774" s="13" t="s">
        <v>16131</v>
      </c>
      <c r="D12774" s="13" t="s">
        <v>16187</v>
      </c>
      <c r="E12774" s="8">
        <v>10000</v>
      </c>
      <c r="F12774" s="13" t="s">
        <v>70</v>
      </c>
      <c r="G12774" s="14">
        <v>44763</v>
      </c>
      <c r="H12774" s="13" t="s">
        <v>163</v>
      </c>
    </row>
    <row r="12775" spans="1:8" ht="14.4" x14ac:dyDescent="0.3">
      <c r="A12775" s="8">
        <v>2055801</v>
      </c>
      <c r="B12775" s="11">
        <v>44755</v>
      </c>
      <c r="C12775" s="13" t="s">
        <v>16188</v>
      </c>
      <c r="D12775" s="13" t="s">
        <v>16189</v>
      </c>
      <c r="E12775" s="8">
        <v>6000</v>
      </c>
      <c r="F12775" s="13" t="s">
        <v>70</v>
      </c>
      <c r="G12775" s="14">
        <v>44757</v>
      </c>
      <c r="H12775" s="13" t="s">
        <v>163</v>
      </c>
    </row>
    <row r="12776" spans="1:8" ht="14.4" x14ac:dyDescent="0.3">
      <c r="A12776" s="8">
        <v>2055802</v>
      </c>
      <c r="B12776" s="11">
        <v>44755</v>
      </c>
      <c r="C12776" s="13" t="s">
        <v>3741</v>
      </c>
      <c r="D12776" s="13" t="s">
        <v>16190</v>
      </c>
      <c r="E12776" s="8">
        <v>16000</v>
      </c>
      <c r="F12776" s="13" t="s">
        <v>70</v>
      </c>
      <c r="G12776" s="14">
        <v>44757</v>
      </c>
      <c r="H12776" s="13" t="s">
        <v>163</v>
      </c>
    </row>
    <row r="12777" spans="1:8" ht="14.4" x14ac:dyDescent="0.3">
      <c r="A12777" s="8">
        <v>2055803</v>
      </c>
      <c r="B12777" s="11">
        <v>44755</v>
      </c>
      <c r="C12777" s="13" t="s">
        <v>16191</v>
      </c>
      <c r="D12777" s="13" t="s">
        <v>16192</v>
      </c>
      <c r="E12777" s="8">
        <v>10000</v>
      </c>
      <c r="F12777" s="13" t="s">
        <v>70</v>
      </c>
      <c r="G12777" s="14">
        <v>44757</v>
      </c>
      <c r="H12777" s="13" t="s">
        <v>163</v>
      </c>
    </row>
    <row r="12778" spans="1:8" ht="14.4" x14ac:dyDescent="0.3">
      <c r="A12778" s="8">
        <v>2055804</v>
      </c>
      <c r="B12778" s="11">
        <v>44755</v>
      </c>
      <c r="C12778" s="13" t="s">
        <v>3751</v>
      </c>
      <c r="D12778" s="13" t="s">
        <v>16193</v>
      </c>
      <c r="E12778" s="8">
        <v>6000</v>
      </c>
      <c r="F12778" s="13" t="s">
        <v>70</v>
      </c>
      <c r="G12778" s="14">
        <v>44757</v>
      </c>
      <c r="H12778" s="13" t="s">
        <v>163</v>
      </c>
    </row>
    <row r="12779" spans="1:8" ht="14.4" x14ac:dyDescent="0.3">
      <c r="A12779" s="8">
        <v>2055805</v>
      </c>
      <c r="B12779" s="11">
        <v>44755</v>
      </c>
      <c r="C12779" s="13" t="s">
        <v>16194</v>
      </c>
      <c r="D12779" s="13" t="s">
        <v>16195</v>
      </c>
      <c r="E12779" s="8">
        <v>6000</v>
      </c>
      <c r="F12779" s="13" t="s">
        <v>70</v>
      </c>
      <c r="G12779" s="14">
        <v>44760</v>
      </c>
      <c r="H12779" s="13" t="s">
        <v>163</v>
      </c>
    </row>
    <row r="12780" spans="1:8" ht="14.4" x14ac:dyDescent="0.3">
      <c r="A12780" s="8">
        <v>2055806</v>
      </c>
      <c r="B12780" s="11">
        <v>44755</v>
      </c>
      <c r="C12780" s="13" t="s">
        <v>9430</v>
      </c>
      <c r="D12780" s="13" t="s">
        <v>16196</v>
      </c>
      <c r="E12780" s="8">
        <v>20000</v>
      </c>
      <c r="F12780" s="13" t="s">
        <v>70</v>
      </c>
      <c r="G12780" s="14">
        <v>44757</v>
      </c>
      <c r="H12780" s="13" t="s">
        <v>163</v>
      </c>
    </row>
    <row r="12781" spans="1:8" ht="14.4" x14ac:dyDescent="0.3">
      <c r="A12781" s="8">
        <v>2055807</v>
      </c>
      <c r="B12781" s="11">
        <v>44755</v>
      </c>
      <c r="C12781" s="13" t="s">
        <v>16197</v>
      </c>
      <c r="D12781" s="13" t="s">
        <v>16198</v>
      </c>
      <c r="E12781" s="8">
        <v>4000</v>
      </c>
      <c r="F12781" s="13" t="s">
        <v>70</v>
      </c>
      <c r="G12781" s="14">
        <v>44757</v>
      </c>
      <c r="H12781" s="13" t="s">
        <v>163</v>
      </c>
    </row>
    <row r="12782" spans="1:8" ht="14.4" x14ac:dyDescent="0.3">
      <c r="A12782" s="8">
        <v>2055808</v>
      </c>
      <c r="B12782" s="11">
        <v>44755</v>
      </c>
      <c r="C12782" s="13" t="s">
        <v>16199</v>
      </c>
      <c r="D12782" s="13" t="s">
        <v>16200</v>
      </c>
      <c r="E12782" s="8">
        <v>6000</v>
      </c>
      <c r="F12782" s="13" t="s">
        <v>70</v>
      </c>
      <c r="G12782" s="14">
        <v>44771</v>
      </c>
      <c r="H12782" s="13" t="s">
        <v>163</v>
      </c>
    </row>
    <row r="12783" spans="1:8" ht="14.4" x14ac:dyDescent="0.3">
      <c r="A12783" s="8">
        <v>2055809</v>
      </c>
      <c r="B12783" s="11">
        <v>44755</v>
      </c>
      <c r="C12783" s="13" t="s">
        <v>16201</v>
      </c>
      <c r="D12783" s="13" t="s">
        <v>16202</v>
      </c>
      <c r="E12783" s="8">
        <v>10000</v>
      </c>
      <c r="F12783" s="13" t="s">
        <v>70</v>
      </c>
      <c r="G12783" s="14">
        <v>44757</v>
      </c>
      <c r="H12783" s="13" t="s">
        <v>163</v>
      </c>
    </row>
    <row r="12784" spans="1:8" ht="14.4" x14ac:dyDescent="0.3">
      <c r="A12784" s="8">
        <v>2055810</v>
      </c>
      <c r="B12784" s="11">
        <v>44755</v>
      </c>
      <c r="C12784" s="13" t="s">
        <v>16203</v>
      </c>
      <c r="D12784" s="13" t="s">
        <v>16204</v>
      </c>
      <c r="E12784" s="8">
        <v>4000</v>
      </c>
      <c r="F12784" s="13" t="s">
        <v>70</v>
      </c>
      <c r="G12784" s="14">
        <v>44789</v>
      </c>
      <c r="H12784" s="13" t="s">
        <v>163</v>
      </c>
    </row>
    <row r="12785" spans="1:8" ht="14.4" x14ac:dyDescent="0.3">
      <c r="A12785" s="8">
        <v>2055811</v>
      </c>
      <c r="B12785" s="11">
        <v>44755</v>
      </c>
      <c r="C12785" s="13" t="s">
        <v>16205</v>
      </c>
      <c r="D12785" s="13" t="s">
        <v>16206</v>
      </c>
      <c r="E12785" s="8">
        <v>8000</v>
      </c>
      <c r="F12785" s="13" t="s">
        <v>70</v>
      </c>
      <c r="G12785" s="14">
        <v>44757</v>
      </c>
      <c r="H12785" s="13" t="s">
        <v>163</v>
      </c>
    </row>
    <row r="12786" spans="1:8" ht="14.4" x14ac:dyDescent="0.3">
      <c r="A12786" s="8">
        <v>2055812</v>
      </c>
      <c r="B12786" s="11">
        <v>44755</v>
      </c>
      <c r="C12786" s="13" t="s">
        <v>16207</v>
      </c>
      <c r="D12786" s="13" t="s">
        <v>16208</v>
      </c>
      <c r="E12786" s="8">
        <v>6000</v>
      </c>
      <c r="F12786" s="13" t="s">
        <v>70</v>
      </c>
      <c r="G12786" s="14">
        <v>44757</v>
      </c>
      <c r="H12786" s="13" t="s">
        <v>163</v>
      </c>
    </row>
    <row r="12787" spans="1:8" ht="14.4" x14ac:dyDescent="0.3">
      <c r="A12787" s="8">
        <v>2055813</v>
      </c>
      <c r="B12787" s="11">
        <v>44755</v>
      </c>
      <c r="C12787" s="13" t="s">
        <v>13777</v>
      </c>
      <c r="D12787" s="13" t="s">
        <v>16209</v>
      </c>
      <c r="E12787" s="8">
        <v>4000</v>
      </c>
      <c r="F12787" s="13" t="s">
        <v>70</v>
      </c>
      <c r="G12787" s="14">
        <v>44757</v>
      </c>
      <c r="H12787" s="13" t="s">
        <v>163</v>
      </c>
    </row>
    <row r="12788" spans="1:8" ht="14.4" x14ac:dyDescent="0.3">
      <c r="A12788" s="8">
        <v>2055814</v>
      </c>
      <c r="B12788" s="11">
        <v>44755</v>
      </c>
      <c r="C12788" s="13" t="s">
        <v>16210</v>
      </c>
      <c r="D12788" s="13" t="s">
        <v>16211</v>
      </c>
      <c r="E12788" s="8">
        <v>6000</v>
      </c>
      <c r="F12788" s="13" t="s">
        <v>70</v>
      </c>
      <c r="G12788" s="14">
        <v>44760</v>
      </c>
      <c r="H12788" s="13" t="s">
        <v>163</v>
      </c>
    </row>
    <row r="12789" spans="1:8" ht="14.4" x14ac:dyDescent="0.3">
      <c r="A12789" s="8">
        <v>2055815</v>
      </c>
      <c r="B12789" s="11">
        <v>44755</v>
      </c>
      <c r="C12789" s="13" t="s">
        <v>16212</v>
      </c>
      <c r="D12789" s="13" t="s">
        <v>16213</v>
      </c>
      <c r="E12789" s="8">
        <v>2000</v>
      </c>
      <c r="F12789" s="13" t="s">
        <v>70</v>
      </c>
      <c r="G12789" s="14">
        <v>44757</v>
      </c>
      <c r="H12789" s="13" t="s">
        <v>163</v>
      </c>
    </row>
    <row r="12790" spans="1:8" ht="14.4" x14ac:dyDescent="0.3">
      <c r="A12790" s="8">
        <v>2055816</v>
      </c>
      <c r="B12790" s="11">
        <v>44755</v>
      </c>
      <c r="C12790" s="13" t="s">
        <v>16214</v>
      </c>
      <c r="D12790" s="13" t="s">
        <v>16215</v>
      </c>
      <c r="E12790" s="8">
        <v>10000</v>
      </c>
      <c r="F12790" s="13" t="s">
        <v>70</v>
      </c>
      <c r="G12790" s="14">
        <v>44757</v>
      </c>
      <c r="H12790" s="13" t="s">
        <v>163</v>
      </c>
    </row>
    <row r="12791" spans="1:8" ht="14.4" x14ac:dyDescent="0.3">
      <c r="A12791" s="8">
        <v>2055817</v>
      </c>
      <c r="B12791" s="11">
        <v>44755</v>
      </c>
      <c r="C12791" s="13" t="s">
        <v>16216</v>
      </c>
      <c r="D12791" s="13" t="s">
        <v>16217</v>
      </c>
      <c r="E12791" s="8">
        <v>8000</v>
      </c>
      <c r="F12791" s="13" t="s">
        <v>70</v>
      </c>
      <c r="G12791" s="14">
        <v>44757</v>
      </c>
      <c r="H12791" s="13" t="s">
        <v>163</v>
      </c>
    </row>
    <row r="12792" spans="1:8" ht="14.4" x14ac:dyDescent="0.3">
      <c r="A12792" s="8">
        <v>2055818</v>
      </c>
      <c r="B12792" s="11">
        <v>44755</v>
      </c>
      <c r="C12792" s="13" t="s">
        <v>16218</v>
      </c>
      <c r="D12792" s="13" t="s">
        <v>16219</v>
      </c>
      <c r="E12792" s="8">
        <v>2000</v>
      </c>
      <c r="F12792" s="13" t="s">
        <v>70</v>
      </c>
      <c r="G12792" s="14">
        <v>44757</v>
      </c>
      <c r="H12792" s="13" t="s">
        <v>163</v>
      </c>
    </row>
    <row r="12793" spans="1:8" ht="14.4" x14ac:dyDescent="0.3">
      <c r="A12793" s="8">
        <v>2055819</v>
      </c>
      <c r="B12793" s="11">
        <v>44755</v>
      </c>
      <c r="C12793" s="13" t="s">
        <v>16220</v>
      </c>
      <c r="D12793" s="13" t="s">
        <v>16221</v>
      </c>
      <c r="E12793" s="8">
        <v>4000</v>
      </c>
      <c r="F12793" s="13" t="s">
        <v>70</v>
      </c>
      <c r="G12793" s="14">
        <v>44757</v>
      </c>
      <c r="H12793" s="13" t="s">
        <v>163</v>
      </c>
    </row>
    <row r="12794" spans="1:8" ht="14.4" x14ac:dyDescent="0.3">
      <c r="A12794" s="8">
        <v>2055820</v>
      </c>
      <c r="B12794" s="11">
        <v>44755</v>
      </c>
      <c r="C12794" s="13" t="s">
        <v>2739</v>
      </c>
      <c r="D12794" s="13" t="s">
        <v>16222</v>
      </c>
      <c r="E12794" s="8">
        <v>30000</v>
      </c>
      <c r="F12794" s="13" t="s">
        <v>70</v>
      </c>
      <c r="G12794" s="14">
        <v>44760</v>
      </c>
      <c r="H12794" s="13" t="s">
        <v>163</v>
      </c>
    </row>
    <row r="12795" spans="1:8" ht="14.4" x14ac:dyDescent="0.3">
      <c r="A12795" s="8">
        <v>2055821</v>
      </c>
      <c r="B12795" s="11">
        <v>44755</v>
      </c>
      <c r="C12795" s="13" t="s">
        <v>16223</v>
      </c>
      <c r="D12795" s="13" t="s">
        <v>16224</v>
      </c>
      <c r="E12795" s="8">
        <v>6000</v>
      </c>
      <c r="F12795" s="13" t="s">
        <v>70</v>
      </c>
      <c r="G12795" s="14">
        <v>44760</v>
      </c>
      <c r="H12795" s="13" t="s">
        <v>163</v>
      </c>
    </row>
    <row r="12796" spans="1:8" ht="14.4" x14ac:dyDescent="0.3">
      <c r="A12796" s="8">
        <v>2055822</v>
      </c>
      <c r="B12796" s="11">
        <v>44755</v>
      </c>
      <c r="C12796" s="13" t="s">
        <v>16225</v>
      </c>
      <c r="D12796" s="13" t="s">
        <v>16226</v>
      </c>
      <c r="E12796" s="8">
        <v>6000</v>
      </c>
      <c r="F12796" s="13" t="s">
        <v>70</v>
      </c>
      <c r="G12796" s="14">
        <v>44757</v>
      </c>
      <c r="H12796" s="13" t="s">
        <v>163</v>
      </c>
    </row>
    <row r="12797" spans="1:8" ht="14.4" x14ac:dyDescent="0.3">
      <c r="A12797" s="8">
        <v>2055824</v>
      </c>
      <c r="B12797" s="11">
        <v>44757</v>
      </c>
      <c r="C12797" s="13" t="s">
        <v>16227</v>
      </c>
      <c r="D12797" s="13" t="s">
        <v>16228</v>
      </c>
      <c r="E12797" s="8">
        <v>6000</v>
      </c>
      <c r="F12797" s="13" t="s">
        <v>70</v>
      </c>
      <c r="G12797" s="14">
        <v>44771</v>
      </c>
      <c r="H12797" s="13" t="s">
        <v>163</v>
      </c>
    </row>
    <row r="12798" spans="1:8" ht="14.4" x14ac:dyDescent="0.3">
      <c r="A12798" s="8">
        <v>2055825</v>
      </c>
      <c r="B12798" s="11">
        <v>44757</v>
      </c>
      <c r="C12798" s="13" t="s">
        <v>16229</v>
      </c>
      <c r="D12798" s="13" t="s">
        <v>14062</v>
      </c>
      <c r="E12798" s="8">
        <v>2000</v>
      </c>
      <c r="F12798" s="13" t="s">
        <v>70</v>
      </c>
      <c r="G12798" s="14">
        <v>44762</v>
      </c>
      <c r="H12798" s="13" t="s">
        <v>163</v>
      </c>
    </row>
    <row r="12799" spans="1:8" ht="14.4" x14ac:dyDescent="0.3">
      <c r="A12799" s="8">
        <v>2055826</v>
      </c>
      <c r="B12799" s="11">
        <v>44757</v>
      </c>
      <c r="C12799" s="13" t="s">
        <v>16230</v>
      </c>
      <c r="D12799" s="13" t="s">
        <v>16231</v>
      </c>
      <c r="E12799" s="8">
        <v>10000</v>
      </c>
      <c r="F12799" s="13" t="s">
        <v>70</v>
      </c>
      <c r="G12799" s="14">
        <v>44761</v>
      </c>
      <c r="H12799" s="13" t="s">
        <v>163</v>
      </c>
    </row>
    <row r="12800" spans="1:8" ht="14.4" x14ac:dyDescent="0.3">
      <c r="A12800" s="8">
        <v>2055827</v>
      </c>
      <c r="B12800" s="11">
        <v>44757</v>
      </c>
      <c r="C12800" s="13" t="s">
        <v>16232</v>
      </c>
      <c r="D12800" s="13" t="s">
        <v>16233</v>
      </c>
      <c r="E12800" s="8">
        <v>6000</v>
      </c>
      <c r="F12800" s="13" t="s">
        <v>70</v>
      </c>
      <c r="G12800" s="14">
        <v>44761</v>
      </c>
      <c r="H12800" s="13" t="s">
        <v>163</v>
      </c>
    </row>
    <row r="12801" spans="1:8" ht="14.4" x14ac:dyDescent="0.3">
      <c r="A12801" s="8">
        <v>2055828</v>
      </c>
      <c r="B12801" s="11">
        <v>44757</v>
      </c>
      <c r="C12801" s="13" t="s">
        <v>16234</v>
      </c>
      <c r="D12801" s="13" t="s">
        <v>16235</v>
      </c>
      <c r="E12801" s="8">
        <v>6000</v>
      </c>
      <c r="F12801" s="13" t="s">
        <v>70</v>
      </c>
      <c r="G12801" s="14">
        <v>44762</v>
      </c>
      <c r="H12801" s="13" t="s">
        <v>163</v>
      </c>
    </row>
    <row r="12802" spans="1:8" ht="14.4" x14ac:dyDescent="0.3">
      <c r="A12802" s="8">
        <v>2055829</v>
      </c>
      <c r="B12802" s="11">
        <v>44757</v>
      </c>
      <c r="C12802" s="13" t="s">
        <v>16236</v>
      </c>
      <c r="D12802" s="13" t="s">
        <v>16237</v>
      </c>
      <c r="E12802" s="8">
        <v>8000</v>
      </c>
      <c r="F12802" s="13" t="s">
        <v>70</v>
      </c>
      <c r="G12802" s="14">
        <v>44761</v>
      </c>
      <c r="H12802" s="13" t="s">
        <v>163</v>
      </c>
    </row>
    <row r="12803" spans="1:8" ht="14.4" x14ac:dyDescent="0.3">
      <c r="A12803" s="8">
        <v>2055830</v>
      </c>
      <c r="B12803" s="11">
        <v>44757</v>
      </c>
      <c r="C12803" s="13" t="s">
        <v>16238</v>
      </c>
      <c r="D12803" s="13" t="s">
        <v>16239</v>
      </c>
      <c r="E12803" s="8">
        <v>14000</v>
      </c>
      <c r="F12803" s="13" t="s">
        <v>70</v>
      </c>
      <c r="G12803" s="14">
        <v>44762</v>
      </c>
      <c r="H12803" s="13" t="s">
        <v>163</v>
      </c>
    </row>
    <row r="12804" spans="1:8" ht="14.4" x14ac:dyDescent="0.3">
      <c r="A12804" s="8">
        <v>2055831</v>
      </c>
      <c r="B12804" s="11">
        <v>44757</v>
      </c>
      <c r="C12804" s="13" t="s">
        <v>16240</v>
      </c>
      <c r="D12804" s="13" t="s">
        <v>16241</v>
      </c>
      <c r="E12804" s="8">
        <v>12000</v>
      </c>
      <c r="F12804" s="13" t="s">
        <v>70</v>
      </c>
      <c r="G12804" s="14">
        <v>44762</v>
      </c>
      <c r="H12804" s="13" t="s">
        <v>163</v>
      </c>
    </row>
    <row r="12805" spans="1:8" ht="14.4" x14ac:dyDescent="0.3">
      <c r="A12805" s="8">
        <v>2055832</v>
      </c>
      <c r="B12805" s="11">
        <v>44757</v>
      </c>
      <c r="C12805" s="13" t="s">
        <v>16242</v>
      </c>
      <c r="D12805" s="13" t="s">
        <v>16243</v>
      </c>
      <c r="E12805" s="8">
        <v>8000</v>
      </c>
      <c r="F12805" s="13" t="s">
        <v>70</v>
      </c>
      <c r="G12805" s="14">
        <v>44762</v>
      </c>
      <c r="H12805" s="13" t="s">
        <v>163</v>
      </c>
    </row>
    <row r="12806" spans="1:8" ht="14.4" x14ac:dyDescent="0.3">
      <c r="A12806" s="8">
        <v>2055833</v>
      </c>
      <c r="B12806" s="11">
        <v>44757</v>
      </c>
      <c r="C12806" s="13" t="s">
        <v>16244</v>
      </c>
      <c r="D12806" s="13" t="s">
        <v>13597</v>
      </c>
      <c r="E12806" s="8">
        <v>4000</v>
      </c>
      <c r="F12806" s="13" t="s">
        <v>70</v>
      </c>
      <c r="G12806" s="14">
        <v>44762</v>
      </c>
      <c r="H12806" s="13" t="s">
        <v>163</v>
      </c>
    </row>
    <row r="12807" spans="1:8" ht="14.4" x14ac:dyDescent="0.3">
      <c r="A12807" s="8">
        <v>2055834</v>
      </c>
      <c r="B12807" s="11">
        <v>44757</v>
      </c>
      <c r="C12807" s="13" t="s">
        <v>16245</v>
      </c>
      <c r="D12807" s="13" t="s">
        <v>16246</v>
      </c>
      <c r="E12807" s="8">
        <v>50000</v>
      </c>
      <c r="F12807" s="13" t="s">
        <v>70</v>
      </c>
      <c r="G12807" s="14">
        <v>44763</v>
      </c>
      <c r="H12807" s="13" t="s">
        <v>163</v>
      </c>
    </row>
    <row r="12808" spans="1:8" ht="14.4" x14ac:dyDescent="0.3">
      <c r="A12808" s="8">
        <v>2055835</v>
      </c>
      <c r="B12808" s="11">
        <v>44757</v>
      </c>
      <c r="C12808" s="13" t="s">
        <v>16247</v>
      </c>
      <c r="D12808" s="13" t="s">
        <v>16248</v>
      </c>
      <c r="E12808" s="8">
        <v>50000</v>
      </c>
      <c r="F12808" s="13" t="s">
        <v>70</v>
      </c>
      <c r="G12808" s="14">
        <v>44761</v>
      </c>
      <c r="H12808" s="13" t="s">
        <v>163</v>
      </c>
    </row>
    <row r="12809" spans="1:8" ht="14.4" x14ac:dyDescent="0.3">
      <c r="A12809" s="8">
        <v>2055836</v>
      </c>
      <c r="B12809" s="11">
        <v>44757</v>
      </c>
      <c r="C12809" s="13" t="s">
        <v>16249</v>
      </c>
      <c r="D12809" s="13" t="s">
        <v>16250</v>
      </c>
      <c r="E12809" s="8">
        <v>4000</v>
      </c>
      <c r="F12809" s="13" t="s">
        <v>70</v>
      </c>
      <c r="G12809" s="14">
        <v>44761</v>
      </c>
      <c r="H12809" s="13" t="s">
        <v>163</v>
      </c>
    </row>
    <row r="12810" spans="1:8" ht="14.4" x14ac:dyDescent="0.3">
      <c r="A12810" s="8">
        <v>2055837</v>
      </c>
      <c r="B12810" s="11">
        <v>44757</v>
      </c>
      <c r="C12810" s="13" t="s">
        <v>16251</v>
      </c>
      <c r="D12810" s="13" t="s">
        <v>166</v>
      </c>
      <c r="E12810" s="8">
        <v>2000</v>
      </c>
      <c r="F12810" s="13" t="s">
        <v>70</v>
      </c>
      <c r="G12810" s="14">
        <v>44762</v>
      </c>
      <c r="H12810" s="13" t="s">
        <v>163</v>
      </c>
    </row>
    <row r="12811" spans="1:8" ht="14.4" x14ac:dyDescent="0.3">
      <c r="A12811" s="8">
        <v>2055838</v>
      </c>
      <c r="B12811" s="11">
        <v>44757</v>
      </c>
      <c r="C12811" s="13" t="s">
        <v>16252</v>
      </c>
      <c r="D12811" s="13" t="s">
        <v>16253</v>
      </c>
      <c r="E12811" s="8">
        <v>4000</v>
      </c>
      <c r="F12811" s="13" t="s">
        <v>70</v>
      </c>
      <c r="G12811" s="14">
        <v>44762</v>
      </c>
      <c r="H12811" s="13" t="s">
        <v>163</v>
      </c>
    </row>
    <row r="12812" spans="1:8" ht="14.4" x14ac:dyDescent="0.3">
      <c r="A12812" s="8">
        <v>2055839</v>
      </c>
      <c r="B12812" s="11">
        <v>44757</v>
      </c>
      <c r="C12812" s="13" t="s">
        <v>16254</v>
      </c>
      <c r="D12812" s="13" t="s">
        <v>16255</v>
      </c>
      <c r="E12812" s="8">
        <v>50000</v>
      </c>
      <c r="F12812" s="13" t="s">
        <v>70</v>
      </c>
      <c r="G12812" s="14">
        <v>44762</v>
      </c>
      <c r="H12812" s="13" t="s">
        <v>163</v>
      </c>
    </row>
    <row r="12813" spans="1:8" ht="14.4" x14ac:dyDescent="0.3">
      <c r="A12813" s="8">
        <v>2055840</v>
      </c>
      <c r="B12813" s="11">
        <v>44757</v>
      </c>
      <c r="C12813" s="13" t="s">
        <v>16256</v>
      </c>
      <c r="D12813" s="13" t="s">
        <v>16257</v>
      </c>
      <c r="E12813" s="8">
        <v>4000</v>
      </c>
      <c r="F12813" s="13" t="s">
        <v>70</v>
      </c>
      <c r="G12813" s="14">
        <v>44761</v>
      </c>
      <c r="H12813" s="13" t="s">
        <v>163</v>
      </c>
    </row>
    <row r="12814" spans="1:8" ht="14.4" x14ac:dyDescent="0.3">
      <c r="A12814" s="8">
        <v>2055842</v>
      </c>
      <c r="B12814" s="11">
        <v>44757</v>
      </c>
      <c r="C12814" s="13" t="s">
        <v>16258</v>
      </c>
      <c r="D12814" s="13" t="s">
        <v>16259</v>
      </c>
      <c r="E12814" s="8">
        <v>10000</v>
      </c>
      <c r="F12814" s="13" t="s">
        <v>70</v>
      </c>
      <c r="G12814" s="14">
        <v>44763</v>
      </c>
      <c r="H12814" s="13" t="s">
        <v>163</v>
      </c>
    </row>
    <row r="12815" spans="1:8" ht="14.4" x14ac:dyDescent="0.3">
      <c r="A12815" s="8">
        <v>2055843</v>
      </c>
      <c r="B12815" s="11">
        <v>44757</v>
      </c>
      <c r="C12815" s="13" t="s">
        <v>16260</v>
      </c>
      <c r="D12815" s="13" t="s">
        <v>16261</v>
      </c>
      <c r="E12815" s="8">
        <v>6000</v>
      </c>
      <c r="F12815" s="13" t="s">
        <v>70</v>
      </c>
      <c r="G12815" s="14">
        <v>44761</v>
      </c>
      <c r="H12815" s="13" t="s">
        <v>163</v>
      </c>
    </row>
    <row r="12816" spans="1:8" ht="14.4" x14ac:dyDescent="0.3">
      <c r="A12816" s="8">
        <v>2055844</v>
      </c>
      <c r="B12816" s="11">
        <v>44757</v>
      </c>
      <c r="C12816" s="13" t="s">
        <v>16262</v>
      </c>
      <c r="D12816" s="13" t="s">
        <v>16263</v>
      </c>
      <c r="E12816" s="8">
        <v>4000</v>
      </c>
      <c r="F12816" s="13" t="s">
        <v>70</v>
      </c>
      <c r="G12816" s="14">
        <v>44761</v>
      </c>
      <c r="H12816" s="13" t="s">
        <v>163</v>
      </c>
    </row>
    <row r="12817" spans="1:8" ht="14.4" x14ac:dyDescent="0.3">
      <c r="A12817" s="8">
        <v>2055845</v>
      </c>
      <c r="B12817" s="11">
        <v>44757</v>
      </c>
      <c r="C12817" s="13" t="s">
        <v>16264</v>
      </c>
      <c r="D12817" s="13" t="s">
        <v>16265</v>
      </c>
      <c r="E12817" s="8">
        <v>2000</v>
      </c>
      <c r="F12817" s="13" t="s">
        <v>70</v>
      </c>
      <c r="G12817" s="14">
        <v>44761</v>
      </c>
      <c r="H12817" s="13" t="s">
        <v>163</v>
      </c>
    </row>
    <row r="12818" spans="1:8" ht="14.4" x14ac:dyDescent="0.3">
      <c r="A12818" s="8">
        <v>2055846</v>
      </c>
      <c r="B12818" s="11">
        <v>44757</v>
      </c>
      <c r="C12818" s="13" t="s">
        <v>16266</v>
      </c>
      <c r="D12818" s="13" t="s">
        <v>16267</v>
      </c>
      <c r="E12818" s="8">
        <v>2000</v>
      </c>
      <c r="F12818" s="13" t="s">
        <v>70</v>
      </c>
      <c r="G12818" s="14">
        <v>44762</v>
      </c>
      <c r="H12818" s="13" t="s">
        <v>163</v>
      </c>
    </row>
    <row r="12819" spans="1:8" ht="14.4" x14ac:dyDescent="0.3">
      <c r="A12819" s="8">
        <v>2055847</v>
      </c>
      <c r="B12819" s="11">
        <v>44757</v>
      </c>
      <c r="C12819" s="13" t="s">
        <v>16268</v>
      </c>
      <c r="D12819" s="13" t="s">
        <v>14062</v>
      </c>
      <c r="E12819" s="8">
        <v>6000</v>
      </c>
      <c r="F12819" s="13" t="s">
        <v>70</v>
      </c>
      <c r="G12819" s="14">
        <v>44763</v>
      </c>
      <c r="H12819" s="13" t="s">
        <v>163</v>
      </c>
    </row>
    <row r="12820" spans="1:8" ht="14.4" x14ac:dyDescent="0.3">
      <c r="A12820" s="8">
        <v>2055848</v>
      </c>
      <c r="B12820" s="11">
        <v>44757</v>
      </c>
      <c r="C12820" s="13" t="s">
        <v>16269</v>
      </c>
      <c r="D12820" s="13" t="s">
        <v>13603</v>
      </c>
      <c r="E12820" s="8">
        <v>4000</v>
      </c>
      <c r="F12820" s="13" t="s">
        <v>70</v>
      </c>
      <c r="G12820" s="14">
        <v>44761</v>
      </c>
      <c r="H12820" s="13" t="s">
        <v>163</v>
      </c>
    </row>
    <row r="12821" spans="1:8" ht="14.4" x14ac:dyDescent="0.3">
      <c r="A12821" s="8">
        <v>2055849</v>
      </c>
      <c r="B12821" s="11">
        <v>44757</v>
      </c>
      <c r="C12821" s="13" t="s">
        <v>16270</v>
      </c>
      <c r="D12821" s="13" t="s">
        <v>16271</v>
      </c>
      <c r="E12821" s="8">
        <v>4000</v>
      </c>
      <c r="F12821" s="13" t="s">
        <v>70</v>
      </c>
      <c r="G12821" s="14">
        <v>44762</v>
      </c>
      <c r="H12821" s="13" t="s">
        <v>163</v>
      </c>
    </row>
    <row r="12822" spans="1:8" ht="14.4" x14ac:dyDescent="0.3">
      <c r="A12822" s="8">
        <v>2055850</v>
      </c>
      <c r="B12822" s="11">
        <v>44757</v>
      </c>
      <c r="C12822" s="13" t="s">
        <v>16272</v>
      </c>
      <c r="D12822" s="13" t="s">
        <v>16273</v>
      </c>
      <c r="E12822" s="8">
        <v>6000</v>
      </c>
      <c r="F12822" s="13" t="s">
        <v>70</v>
      </c>
      <c r="G12822" s="14">
        <v>44761</v>
      </c>
      <c r="H12822" s="13" t="s">
        <v>163</v>
      </c>
    </row>
    <row r="12823" spans="1:8" ht="14.4" x14ac:dyDescent="0.3">
      <c r="A12823" s="8">
        <v>2055851</v>
      </c>
      <c r="B12823" s="11">
        <v>44757</v>
      </c>
      <c r="C12823" s="13" t="s">
        <v>16274</v>
      </c>
      <c r="D12823" s="13" t="s">
        <v>16275</v>
      </c>
      <c r="E12823" s="8">
        <v>16000</v>
      </c>
      <c r="F12823" s="13" t="s">
        <v>70</v>
      </c>
      <c r="G12823" s="14">
        <v>44761</v>
      </c>
      <c r="H12823" s="13" t="s">
        <v>163</v>
      </c>
    </row>
    <row r="12824" spans="1:8" ht="14.4" x14ac:dyDescent="0.3">
      <c r="A12824" s="8">
        <v>2055852</v>
      </c>
      <c r="B12824" s="11">
        <v>44757</v>
      </c>
      <c r="C12824" s="13" t="s">
        <v>16276</v>
      </c>
      <c r="D12824" s="13" t="s">
        <v>16277</v>
      </c>
      <c r="E12824" s="8">
        <v>16000</v>
      </c>
      <c r="F12824" s="13" t="s">
        <v>70</v>
      </c>
      <c r="G12824" s="14">
        <v>44762</v>
      </c>
      <c r="H12824" s="13" t="s">
        <v>163</v>
      </c>
    </row>
    <row r="12825" spans="1:8" ht="14.4" x14ac:dyDescent="0.3">
      <c r="A12825" s="8">
        <v>2055854</v>
      </c>
      <c r="B12825" s="11">
        <v>44757</v>
      </c>
      <c r="C12825" s="13" t="s">
        <v>16278</v>
      </c>
      <c r="D12825" s="13" t="s">
        <v>16279</v>
      </c>
      <c r="E12825" s="8">
        <v>698768.6</v>
      </c>
      <c r="F12825" s="13" t="s">
        <v>70</v>
      </c>
      <c r="G12825" s="14">
        <v>44760</v>
      </c>
      <c r="H12825" s="13" t="s">
        <v>163</v>
      </c>
    </row>
    <row r="12826" spans="1:8" ht="14.4" x14ac:dyDescent="0.3">
      <c r="A12826" s="8">
        <v>2055855</v>
      </c>
      <c r="B12826" s="11">
        <v>44757</v>
      </c>
      <c r="C12826" s="13" t="s">
        <v>16280</v>
      </c>
      <c r="D12826" s="13" t="s">
        <v>16281</v>
      </c>
      <c r="E12826" s="8">
        <v>6000</v>
      </c>
      <c r="F12826" s="13" t="s">
        <v>70</v>
      </c>
      <c r="G12826" s="14">
        <v>44761</v>
      </c>
      <c r="H12826" s="13" t="s">
        <v>163</v>
      </c>
    </row>
    <row r="12827" spans="1:8" ht="14.4" x14ac:dyDescent="0.3">
      <c r="A12827" s="8">
        <v>2055856</v>
      </c>
      <c r="B12827" s="11">
        <v>44757</v>
      </c>
      <c r="C12827" s="13" t="s">
        <v>16282</v>
      </c>
      <c r="D12827" s="13" t="s">
        <v>16228</v>
      </c>
      <c r="E12827" s="8">
        <v>2000</v>
      </c>
      <c r="F12827" s="13" t="s">
        <v>70</v>
      </c>
      <c r="G12827" s="14">
        <v>44762</v>
      </c>
      <c r="H12827" s="13" t="s">
        <v>163</v>
      </c>
    </row>
    <row r="12828" spans="1:8" ht="14.4" x14ac:dyDescent="0.3">
      <c r="A12828" s="8">
        <v>2055857</v>
      </c>
      <c r="B12828" s="11">
        <v>44757</v>
      </c>
      <c r="C12828" s="13" t="s">
        <v>16283</v>
      </c>
      <c r="D12828" s="13" t="s">
        <v>16284</v>
      </c>
      <c r="E12828" s="8">
        <v>10000</v>
      </c>
      <c r="F12828" s="13" t="s">
        <v>70</v>
      </c>
      <c r="G12828" s="14">
        <v>44761</v>
      </c>
      <c r="H12828" s="13" t="s">
        <v>163</v>
      </c>
    </row>
    <row r="12829" spans="1:8" ht="14.4" x14ac:dyDescent="0.3">
      <c r="A12829" s="8">
        <v>2055858</v>
      </c>
      <c r="B12829" s="11">
        <v>44757</v>
      </c>
      <c r="C12829" s="13" t="s">
        <v>16285</v>
      </c>
      <c r="D12829" s="13" t="s">
        <v>16286</v>
      </c>
      <c r="E12829" s="8">
        <v>4000</v>
      </c>
      <c r="F12829" s="13" t="s">
        <v>70</v>
      </c>
      <c r="G12829" s="14">
        <v>44761</v>
      </c>
      <c r="H12829" s="13" t="s">
        <v>163</v>
      </c>
    </row>
    <row r="12830" spans="1:8" ht="14.4" x14ac:dyDescent="0.3">
      <c r="A12830" s="8">
        <v>2055859</v>
      </c>
      <c r="B12830" s="11">
        <v>44757</v>
      </c>
      <c r="C12830" s="13" t="s">
        <v>16287</v>
      </c>
      <c r="D12830" s="13" t="s">
        <v>16288</v>
      </c>
      <c r="E12830" s="8">
        <v>4000</v>
      </c>
      <c r="F12830" s="13" t="s">
        <v>70</v>
      </c>
      <c r="G12830" s="14">
        <v>44761</v>
      </c>
      <c r="H12830" s="13" t="s">
        <v>163</v>
      </c>
    </row>
    <row r="12831" spans="1:8" ht="14.4" x14ac:dyDescent="0.3">
      <c r="A12831" s="8">
        <v>2055860</v>
      </c>
      <c r="B12831" s="11">
        <v>44757</v>
      </c>
      <c r="C12831" s="13" t="s">
        <v>16289</v>
      </c>
      <c r="D12831" s="13" t="s">
        <v>16290</v>
      </c>
      <c r="E12831" s="8">
        <v>2000</v>
      </c>
      <c r="F12831" s="13" t="s">
        <v>70</v>
      </c>
      <c r="G12831" s="14">
        <v>44761</v>
      </c>
      <c r="H12831" s="13" t="s">
        <v>163</v>
      </c>
    </row>
    <row r="12832" spans="1:8" ht="14.4" x14ac:dyDescent="0.3">
      <c r="A12832" s="8">
        <v>2055861</v>
      </c>
      <c r="B12832" s="11">
        <v>44757</v>
      </c>
      <c r="C12832" s="13" t="s">
        <v>2770</v>
      </c>
      <c r="D12832" s="13" t="s">
        <v>13603</v>
      </c>
      <c r="E12832" s="8">
        <v>8000</v>
      </c>
      <c r="F12832" s="13" t="s">
        <v>70</v>
      </c>
      <c r="G12832" s="14">
        <v>44761</v>
      </c>
      <c r="H12832" s="13" t="s">
        <v>163</v>
      </c>
    </row>
    <row r="12833" spans="1:8" ht="14.4" x14ac:dyDescent="0.3">
      <c r="A12833" s="8">
        <v>2055862</v>
      </c>
      <c r="B12833" s="11">
        <v>44757</v>
      </c>
      <c r="C12833" s="13" t="s">
        <v>16291</v>
      </c>
      <c r="D12833" s="13" t="s">
        <v>16292</v>
      </c>
      <c r="E12833" s="8">
        <v>6000</v>
      </c>
      <c r="F12833" s="13" t="s">
        <v>70</v>
      </c>
      <c r="G12833" s="14">
        <v>44761</v>
      </c>
      <c r="H12833" s="13" t="s">
        <v>163</v>
      </c>
    </row>
    <row r="12834" spans="1:8" ht="14.4" x14ac:dyDescent="0.3">
      <c r="A12834" s="8">
        <v>2055863</v>
      </c>
      <c r="B12834" s="11">
        <v>44757</v>
      </c>
      <c r="C12834" s="13" t="s">
        <v>16293</v>
      </c>
      <c r="D12834" s="13" t="s">
        <v>16294</v>
      </c>
      <c r="E12834" s="8">
        <v>30000</v>
      </c>
      <c r="F12834" s="13" t="s">
        <v>70</v>
      </c>
      <c r="G12834" s="14">
        <v>44761</v>
      </c>
      <c r="H12834" s="13" t="s">
        <v>163</v>
      </c>
    </row>
    <row r="12835" spans="1:8" ht="14.4" x14ac:dyDescent="0.3">
      <c r="A12835" s="8">
        <v>2055864</v>
      </c>
      <c r="B12835" s="11">
        <v>44757</v>
      </c>
      <c r="C12835" s="13" t="s">
        <v>16295</v>
      </c>
      <c r="D12835" s="13" t="s">
        <v>13603</v>
      </c>
      <c r="E12835" s="8">
        <v>2000</v>
      </c>
      <c r="F12835" s="13" t="s">
        <v>70</v>
      </c>
      <c r="G12835" s="14">
        <v>44761</v>
      </c>
      <c r="H12835" s="13" t="s">
        <v>163</v>
      </c>
    </row>
    <row r="12836" spans="1:8" ht="14.4" x14ac:dyDescent="0.3">
      <c r="A12836" s="8">
        <v>2055865</v>
      </c>
      <c r="B12836" s="11">
        <v>44757</v>
      </c>
      <c r="C12836" s="13" t="s">
        <v>16296</v>
      </c>
      <c r="D12836" s="13" t="s">
        <v>16297</v>
      </c>
      <c r="E12836" s="8">
        <v>12000</v>
      </c>
      <c r="F12836" s="13" t="s">
        <v>70</v>
      </c>
      <c r="G12836" s="14">
        <v>44763</v>
      </c>
      <c r="H12836" s="13" t="s">
        <v>163</v>
      </c>
    </row>
    <row r="12837" spans="1:8" ht="14.4" x14ac:dyDescent="0.3">
      <c r="A12837" s="8">
        <v>2055866</v>
      </c>
      <c r="B12837" s="11">
        <v>44757</v>
      </c>
      <c r="C12837" s="13" t="s">
        <v>16298</v>
      </c>
      <c r="D12837" s="13" t="s">
        <v>16299</v>
      </c>
      <c r="E12837" s="8">
        <v>24000</v>
      </c>
      <c r="F12837" s="13" t="s">
        <v>70</v>
      </c>
      <c r="G12837" s="14">
        <v>44761</v>
      </c>
      <c r="H12837" s="13" t="s">
        <v>163</v>
      </c>
    </row>
    <row r="12838" spans="1:8" ht="14.4" x14ac:dyDescent="0.3">
      <c r="A12838" s="8">
        <v>2055867</v>
      </c>
      <c r="B12838" s="11">
        <v>44757</v>
      </c>
      <c r="C12838" s="13" t="s">
        <v>16300</v>
      </c>
      <c r="D12838" s="13" t="s">
        <v>16301</v>
      </c>
      <c r="E12838" s="8">
        <v>50000</v>
      </c>
      <c r="F12838" s="13" t="s">
        <v>70</v>
      </c>
      <c r="G12838" s="14">
        <v>44761</v>
      </c>
      <c r="H12838" s="13" t="s">
        <v>163</v>
      </c>
    </row>
    <row r="12839" spans="1:8" ht="14.4" x14ac:dyDescent="0.3">
      <c r="A12839" s="8">
        <v>2055868</v>
      </c>
      <c r="B12839" s="11">
        <v>44757</v>
      </c>
      <c r="C12839" s="13" t="s">
        <v>16302</v>
      </c>
      <c r="D12839" s="13" t="s">
        <v>16303</v>
      </c>
      <c r="E12839" s="8">
        <v>6000</v>
      </c>
      <c r="F12839" s="13" t="s">
        <v>70</v>
      </c>
      <c r="G12839" s="14">
        <v>44761</v>
      </c>
      <c r="H12839" s="13" t="s">
        <v>163</v>
      </c>
    </row>
    <row r="12840" spans="1:8" ht="14.4" x14ac:dyDescent="0.3">
      <c r="A12840" s="8">
        <v>2055869</v>
      </c>
      <c r="B12840" s="11">
        <v>44757</v>
      </c>
      <c r="C12840" s="13" t="s">
        <v>16304</v>
      </c>
      <c r="D12840" s="13" t="s">
        <v>13603</v>
      </c>
      <c r="E12840" s="8">
        <v>4000</v>
      </c>
      <c r="F12840" s="13" t="s">
        <v>70</v>
      </c>
      <c r="G12840" s="14">
        <v>44762</v>
      </c>
      <c r="H12840" s="13" t="s">
        <v>163</v>
      </c>
    </row>
    <row r="12841" spans="1:8" ht="14.4" x14ac:dyDescent="0.3">
      <c r="A12841" s="8">
        <v>2055870</v>
      </c>
      <c r="B12841" s="11">
        <v>44757</v>
      </c>
      <c r="C12841" s="13" t="s">
        <v>16305</v>
      </c>
      <c r="D12841" s="13" t="s">
        <v>16306</v>
      </c>
      <c r="E12841" s="8">
        <v>6000</v>
      </c>
      <c r="F12841" s="13" t="s">
        <v>70</v>
      </c>
      <c r="G12841" s="14">
        <v>44768</v>
      </c>
      <c r="H12841" s="13" t="s">
        <v>163</v>
      </c>
    </row>
    <row r="12842" spans="1:8" ht="14.4" x14ac:dyDescent="0.3">
      <c r="A12842" s="8">
        <v>2055871</v>
      </c>
      <c r="B12842" s="11">
        <v>44757</v>
      </c>
      <c r="C12842" s="13" t="s">
        <v>16307</v>
      </c>
      <c r="D12842" s="13" t="s">
        <v>16308</v>
      </c>
      <c r="E12842" s="8">
        <v>14000</v>
      </c>
      <c r="F12842" s="13" t="s">
        <v>70</v>
      </c>
      <c r="G12842" s="14">
        <v>44761</v>
      </c>
      <c r="H12842" s="13" t="s">
        <v>163</v>
      </c>
    </row>
    <row r="12843" spans="1:8" ht="14.4" x14ac:dyDescent="0.3">
      <c r="A12843" s="8">
        <v>2055872</v>
      </c>
      <c r="B12843" s="11">
        <v>44757</v>
      </c>
      <c r="C12843" s="13" t="s">
        <v>16309</v>
      </c>
      <c r="D12843" s="13" t="s">
        <v>16310</v>
      </c>
      <c r="E12843" s="8">
        <v>26000</v>
      </c>
      <c r="F12843" s="13" t="s">
        <v>70</v>
      </c>
      <c r="G12843" s="14">
        <v>44761</v>
      </c>
      <c r="H12843" s="13" t="s">
        <v>163</v>
      </c>
    </row>
    <row r="12844" spans="1:8" ht="14.4" x14ac:dyDescent="0.3">
      <c r="A12844" s="8">
        <v>2055874</v>
      </c>
      <c r="B12844" s="11">
        <v>44757</v>
      </c>
      <c r="C12844" s="13" t="s">
        <v>16311</v>
      </c>
      <c r="D12844" s="13" t="s">
        <v>16312</v>
      </c>
      <c r="E12844" s="8">
        <v>4000</v>
      </c>
      <c r="F12844" s="13" t="s">
        <v>70</v>
      </c>
      <c r="G12844" s="14">
        <v>44761</v>
      </c>
      <c r="H12844" s="13" t="s">
        <v>163</v>
      </c>
    </row>
    <row r="12845" spans="1:8" ht="14.4" x14ac:dyDescent="0.3">
      <c r="A12845" s="8">
        <v>2055875</v>
      </c>
      <c r="B12845" s="11">
        <v>44757</v>
      </c>
      <c r="C12845" s="13" t="s">
        <v>16313</v>
      </c>
      <c r="D12845" s="13" t="s">
        <v>16314</v>
      </c>
      <c r="E12845" s="8">
        <v>6000</v>
      </c>
      <c r="F12845" s="13" t="s">
        <v>70</v>
      </c>
      <c r="G12845" s="14">
        <v>44761</v>
      </c>
      <c r="H12845" s="13" t="s">
        <v>163</v>
      </c>
    </row>
    <row r="12846" spans="1:8" ht="14.4" x14ac:dyDescent="0.3">
      <c r="A12846" s="8">
        <v>2055876</v>
      </c>
      <c r="B12846" s="11">
        <v>44757</v>
      </c>
      <c r="C12846" s="13" t="s">
        <v>2968</v>
      </c>
      <c r="D12846" s="13" t="s">
        <v>16315</v>
      </c>
      <c r="E12846" s="8">
        <v>50000</v>
      </c>
      <c r="F12846" s="13" t="s">
        <v>70</v>
      </c>
      <c r="G12846" s="14">
        <v>44761</v>
      </c>
      <c r="H12846" s="13" t="s">
        <v>163</v>
      </c>
    </row>
    <row r="12847" spans="1:8" ht="14.4" x14ac:dyDescent="0.3">
      <c r="A12847" s="8">
        <v>2055877</v>
      </c>
      <c r="B12847" s="11">
        <v>44757</v>
      </c>
      <c r="C12847" s="13" t="s">
        <v>16316</v>
      </c>
      <c r="D12847" s="13" t="s">
        <v>16317</v>
      </c>
      <c r="E12847" s="8">
        <v>2000</v>
      </c>
      <c r="F12847" s="13" t="s">
        <v>70</v>
      </c>
      <c r="G12847" s="14">
        <v>44760</v>
      </c>
      <c r="H12847" s="13" t="s">
        <v>163</v>
      </c>
    </row>
    <row r="12848" spans="1:8" ht="14.4" x14ac:dyDescent="0.3">
      <c r="A12848" s="8">
        <v>2055878</v>
      </c>
      <c r="B12848" s="11">
        <v>44760</v>
      </c>
      <c r="C12848" s="13" t="s">
        <v>16318</v>
      </c>
      <c r="D12848" s="13" t="s">
        <v>16319</v>
      </c>
      <c r="E12848" s="8">
        <v>6000</v>
      </c>
      <c r="F12848" s="13" t="s">
        <v>70</v>
      </c>
      <c r="G12848" s="14">
        <v>44776</v>
      </c>
      <c r="H12848" s="13" t="s">
        <v>163</v>
      </c>
    </row>
    <row r="12849" spans="1:8" ht="14.4" x14ac:dyDescent="0.3">
      <c r="A12849" s="8">
        <v>2055879</v>
      </c>
      <c r="B12849" s="11">
        <v>44760</v>
      </c>
      <c r="C12849" s="13" t="s">
        <v>16320</v>
      </c>
      <c r="D12849" s="13" t="s">
        <v>16319</v>
      </c>
      <c r="E12849" s="8">
        <v>6000</v>
      </c>
      <c r="F12849" s="13" t="s">
        <v>70</v>
      </c>
      <c r="G12849" s="14">
        <v>44762</v>
      </c>
      <c r="H12849" s="13" t="s">
        <v>163</v>
      </c>
    </row>
    <row r="12850" spans="1:8" ht="14.4" x14ac:dyDescent="0.3">
      <c r="A12850" s="8">
        <v>2055880</v>
      </c>
      <c r="B12850" s="11">
        <v>44760</v>
      </c>
      <c r="C12850" s="13" t="s">
        <v>3743</v>
      </c>
      <c r="D12850" s="13" t="s">
        <v>16321</v>
      </c>
      <c r="E12850" s="8">
        <v>10000</v>
      </c>
      <c r="F12850" s="13" t="s">
        <v>70</v>
      </c>
      <c r="G12850" s="14">
        <v>44763</v>
      </c>
      <c r="H12850" s="13" t="s">
        <v>163</v>
      </c>
    </row>
    <row r="12851" spans="1:8" ht="14.4" x14ac:dyDescent="0.3">
      <c r="A12851" s="8">
        <v>2055881</v>
      </c>
      <c r="B12851" s="11">
        <v>44760</v>
      </c>
      <c r="C12851" s="13" t="s">
        <v>10243</v>
      </c>
      <c r="D12851" s="13" t="s">
        <v>16322</v>
      </c>
      <c r="E12851" s="8">
        <v>30000</v>
      </c>
      <c r="F12851" s="13" t="s">
        <v>70</v>
      </c>
      <c r="G12851" s="14">
        <v>44773</v>
      </c>
      <c r="H12851" s="13" t="s">
        <v>163</v>
      </c>
    </row>
    <row r="12852" spans="1:8" ht="14.4" x14ac:dyDescent="0.3">
      <c r="A12852" s="8">
        <v>2055882</v>
      </c>
      <c r="B12852" s="11">
        <v>44760</v>
      </c>
      <c r="C12852" s="13" t="s">
        <v>16323</v>
      </c>
      <c r="D12852" s="13" t="s">
        <v>13597</v>
      </c>
      <c r="E12852" s="8">
        <v>16000</v>
      </c>
      <c r="F12852" s="13" t="s">
        <v>70</v>
      </c>
      <c r="G12852" s="14">
        <v>44763</v>
      </c>
      <c r="H12852" s="13" t="s">
        <v>163</v>
      </c>
    </row>
    <row r="12853" spans="1:8" ht="14.4" x14ac:dyDescent="0.3">
      <c r="A12853" s="8">
        <v>2055883</v>
      </c>
      <c r="B12853" s="11">
        <v>44760</v>
      </c>
      <c r="C12853" s="13" t="s">
        <v>16324</v>
      </c>
      <c r="D12853" s="13" t="s">
        <v>16325</v>
      </c>
      <c r="E12853" s="8">
        <v>4000</v>
      </c>
      <c r="F12853" s="13" t="s">
        <v>70</v>
      </c>
      <c r="G12853" s="14">
        <v>44762</v>
      </c>
      <c r="H12853" s="13" t="s">
        <v>163</v>
      </c>
    </row>
    <row r="12854" spans="1:8" ht="14.4" x14ac:dyDescent="0.3">
      <c r="A12854" s="8">
        <v>2055884</v>
      </c>
      <c r="B12854" s="11">
        <v>44760</v>
      </c>
      <c r="C12854" s="13" t="s">
        <v>3410</v>
      </c>
      <c r="D12854" s="13" t="s">
        <v>16325</v>
      </c>
      <c r="E12854" s="8">
        <v>50000</v>
      </c>
      <c r="F12854" s="13" t="s">
        <v>70</v>
      </c>
      <c r="G12854" s="14">
        <v>44762</v>
      </c>
      <c r="H12854" s="13" t="s">
        <v>163</v>
      </c>
    </row>
    <row r="12855" spans="1:8" ht="14.4" x14ac:dyDescent="0.3">
      <c r="A12855" s="8">
        <v>2055885</v>
      </c>
      <c r="B12855" s="11">
        <v>44760</v>
      </c>
      <c r="C12855" s="13" t="s">
        <v>16326</v>
      </c>
      <c r="D12855" s="13" t="s">
        <v>16327</v>
      </c>
      <c r="E12855" s="8">
        <v>10000</v>
      </c>
      <c r="F12855" s="13" t="s">
        <v>70</v>
      </c>
      <c r="G12855" s="14">
        <v>44762</v>
      </c>
      <c r="H12855" s="13" t="s">
        <v>163</v>
      </c>
    </row>
    <row r="12856" spans="1:8" ht="14.4" x14ac:dyDescent="0.3">
      <c r="A12856" s="8">
        <v>2055886</v>
      </c>
      <c r="B12856" s="11">
        <v>44760</v>
      </c>
      <c r="C12856" s="13" t="s">
        <v>4099</v>
      </c>
      <c r="D12856" s="13" t="s">
        <v>16328</v>
      </c>
      <c r="E12856" s="8">
        <v>12000</v>
      </c>
      <c r="F12856" s="13" t="s">
        <v>70</v>
      </c>
      <c r="G12856" s="14">
        <v>44762</v>
      </c>
      <c r="H12856" s="13" t="s">
        <v>163</v>
      </c>
    </row>
    <row r="12857" spans="1:8" ht="14.4" x14ac:dyDescent="0.3">
      <c r="A12857" s="8">
        <v>2055887</v>
      </c>
      <c r="B12857" s="11">
        <v>44760</v>
      </c>
      <c r="C12857" s="13" t="s">
        <v>16329</v>
      </c>
      <c r="D12857" s="13" t="s">
        <v>16330</v>
      </c>
      <c r="E12857" s="8">
        <v>2000</v>
      </c>
      <c r="F12857" s="13" t="s">
        <v>70</v>
      </c>
      <c r="G12857" s="14">
        <v>44763</v>
      </c>
      <c r="H12857" s="13" t="s">
        <v>163</v>
      </c>
    </row>
    <row r="12858" spans="1:8" ht="14.4" x14ac:dyDescent="0.3">
      <c r="A12858" s="8">
        <v>2055888</v>
      </c>
      <c r="B12858" s="11">
        <v>44760</v>
      </c>
      <c r="C12858" s="13" t="s">
        <v>16331</v>
      </c>
      <c r="D12858" s="13" t="s">
        <v>16332</v>
      </c>
      <c r="E12858" s="8">
        <v>6000</v>
      </c>
      <c r="F12858" s="13" t="s">
        <v>70</v>
      </c>
      <c r="G12858" s="14">
        <v>44767</v>
      </c>
      <c r="H12858" s="13" t="s">
        <v>163</v>
      </c>
    </row>
    <row r="12859" spans="1:8" ht="14.4" x14ac:dyDescent="0.3">
      <c r="A12859" s="8">
        <v>2055889</v>
      </c>
      <c r="B12859" s="11">
        <v>44760</v>
      </c>
      <c r="C12859" s="13" t="s">
        <v>16333</v>
      </c>
      <c r="D12859" s="13" t="s">
        <v>16334</v>
      </c>
      <c r="E12859" s="8">
        <v>4000</v>
      </c>
      <c r="F12859" s="13" t="s">
        <v>70</v>
      </c>
      <c r="G12859" s="14">
        <v>44762</v>
      </c>
      <c r="H12859" s="13" t="s">
        <v>163</v>
      </c>
    </row>
    <row r="12860" spans="1:8" ht="14.4" x14ac:dyDescent="0.3">
      <c r="A12860" s="8">
        <v>2055890</v>
      </c>
      <c r="B12860" s="11">
        <v>44760</v>
      </c>
      <c r="C12860" s="13" t="s">
        <v>6986</v>
      </c>
      <c r="D12860" s="13" t="s">
        <v>16335</v>
      </c>
      <c r="E12860" s="8">
        <v>8000</v>
      </c>
      <c r="F12860" s="13" t="s">
        <v>70</v>
      </c>
      <c r="G12860" s="14">
        <v>44762</v>
      </c>
      <c r="H12860" s="13" t="s">
        <v>163</v>
      </c>
    </row>
    <row r="12861" spans="1:8" ht="14.4" x14ac:dyDescent="0.3">
      <c r="A12861" s="8">
        <v>2055891</v>
      </c>
      <c r="B12861" s="11">
        <v>44760</v>
      </c>
      <c r="C12861" s="13" t="s">
        <v>16336</v>
      </c>
      <c r="D12861" s="13" t="s">
        <v>13603</v>
      </c>
      <c r="E12861" s="8">
        <v>4000</v>
      </c>
      <c r="F12861" s="13" t="s">
        <v>70</v>
      </c>
      <c r="G12861" s="14">
        <v>44763</v>
      </c>
      <c r="H12861" s="13" t="s">
        <v>163</v>
      </c>
    </row>
    <row r="12862" spans="1:8" ht="14.4" x14ac:dyDescent="0.3">
      <c r="A12862" s="8">
        <v>2055892</v>
      </c>
      <c r="B12862" s="11">
        <v>44760</v>
      </c>
      <c r="C12862" s="13" t="s">
        <v>16337</v>
      </c>
      <c r="D12862" s="13" t="s">
        <v>16335</v>
      </c>
      <c r="E12862" s="8">
        <v>2000</v>
      </c>
      <c r="F12862" s="13" t="s">
        <v>70</v>
      </c>
      <c r="G12862" s="14">
        <v>44762</v>
      </c>
      <c r="H12862" s="13" t="s">
        <v>163</v>
      </c>
    </row>
    <row r="12863" spans="1:8" ht="14.4" x14ac:dyDescent="0.3">
      <c r="A12863" s="8">
        <v>2055893</v>
      </c>
      <c r="B12863" s="11">
        <v>44760</v>
      </c>
      <c r="C12863" s="13" t="s">
        <v>2697</v>
      </c>
      <c r="D12863" s="13" t="s">
        <v>16338</v>
      </c>
      <c r="E12863" s="8">
        <v>4000</v>
      </c>
      <c r="F12863" s="13" t="s">
        <v>70</v>
      </c>
      <c r="G12863" s="14">
        <v>44763</v>
      </c>
      <c r="H12863" s="13" t="s">
        <v>163</v>
      </c>
    </row>
    <row r="12864" spans="1:8" ht="14.4" x14ac:dyDescent="0.3">
      <c r="A12864" s="8">
        <v>2055894</v>
      </c>
      <c r="B12864" s="11">
        <v>44760</v>
      </c>
      <c r="C12864" s="13" t="s">
        <v>16339</v>
      </c>
      <c r="D12864" s="13" t="s">
        <v>16340</v>
      </c>
      <c r="E12864" s="8">
        <v>8000</v>
      </c>
      <c r="F12864" s="13" t="s">
        <v>70</v>
      </c>
      <c r="G12864" s="14">
        <v>44763</v>
      </c>
      <c r="H12864" s="13" t="s">
        <v>163</v>
      </c>
    </row>
    <row r="12865" spans="1:8" ht="14.4" x14ac:dyDescent="0.3">
      <c r="A12865" s="8">
        <v>2055895</v>
      </c>
      <c r="B12865" s="11">
        <v>44761</v>
      </c>
      <c r="C12865" s="13" t="s">
        <v>13458</v>
      </c>
      <c r="D12865" s="13" t="s">
        <v>16341</v>
      </c>
      <c r="E12865" s="8">
        <v>93376.26</v>
      </c>
      <c r="F12865" s="13" t="s">
        <v>70</v>
      </c>
      <c r="G12865" s="14">
        <v>44762</v>
      </c>
      <c r="H12865" s="13" t="s">
        <v>163</v>
      </c>
    </row>
    <row r="12866" spans="1:8" ht="14.4" x14ac:dyDescent="0.3">
      <c r="A12866" s="8">
        <v>2055896</v>
      </c>
      <c r="B12866" s="11">
        <v>44761</v>
      </c>
      <c r="C12866" s="13" t="s">
        <v>16342</v>
      </c>
      <c r="D12866" s="13" t="s">
        <v>16343</v>
      </c>
      <c r="E12866" s="8">
        <v>5000</v>
      </c>
      <c r="F12866" s="13" t="s">
        <v>70</v>
      </c>
      <c r="G12866" s="14">
        <v>44776</v>
      </c>
      <c r="H12866" s="13" t="s">
        <v>163</v>
      </c>
    </row>
    <row r="12867" spans="1:8" ht="14.4" x14ac:dyDescent="0.3">
      <c r="A12867" s="8">
        <v>2055897</v>
      </c>
      <c r="B12867" s="11">
        <v>44761</v>
      </c>
      <c r="C12867" s="13" t="s">
        <v>16344</v>
      </c>
      <c r="D12867" s="13" t="s">
        <v>16345</v>
      </c>
      <c r="E12867" s="8">
        <v>6000</v>
      </c>
      <c r="F12867" s="13" t="s">
        <v>70</v>
      </c>
      <c r="G12867" s="14">
        <v>44763</v>
      </c>
      <c r="H12867" s="13" t="s">
        <v>163</v>
      </c>
    </row>
    <row r="12868" spans="1:8" ht="14.4" x14ac:dyDescent="0.3">
      <c r="A12868" s="8">
        <v>2055898</v>
      </c>
      <c r="B12868" s="11">
        <v>44761</v>
      </c>
      <c r="C12868" s="13" t="s">
        <v>16346</v>
      </c>
      <c r="D12868" s="13" t="s">
        <v>16347</v>
      </c>
      <c r="E12868" s="8">
        <v>6000</v>
      </c>
      <c r="F12868" s="13" t="s">
        <v>70</v>
      </c>
      <c r="G12868" s="14">
        <v>44763</v>
      </c>
      <c r="H12868" s="13" t="s">
        <v>163</v>
      </c>
    </row>
    <row r="12869" spans="1:8" ht="14.4" x14ac:dyDescent="0.3">
      <c r="A12869" s="8">
        <v>2055899</v>
      </c>
      <c r="B12869" s="11">
        <v>44761</v>
      </c>
      <c r="C12869" s="13" t="s">
        <v>3401</v>
      </c>
      <c r="D12869" s="13" t="s">
        <v>16348</v>
      </c>
      <c r="E12869" s="8">
        <v>8000</v>
      </c>
      <c r="F12869" s="13" t="s">
        <v>70</v>
      </c>
      <c r="G12869" s="14">
        <v>44762</v>
      </c>
      <c r="H12869" s="13" t="s">
        <v>163</v>
      </c>
    </row>
    <row r="12870" spans="1:8" ht="14.4" x14ac:dyDescent="0.3">
      <c r="A12870" s="8">
        <v>2055900</v>
      </c>
      <c r="B12870" s="11">
        <v>44761</v>
      </c>
      <c r="C12870" s="13" t="s">
        <v>16349</v>
      </c>
      <c r="D12870" s="13" t="s">
        <v>16350</v>
      </c>
      <c r="E12870" s="8">
        <v>6000</v>
      </c>
      <c r="F12870" s="13" t="s">
        <v>70</v>
      </c>
      <c r="G12870" s="14">
        <v>44777</v>
      </c>
      <c r="H12870" s="13" t="s">
        <v>163</v>
      </c>
    </row>
    <row r="12871" spans="1:8" ht="14.4" x14ac:dyDescent="0.3">
      <c r="A12871" s="8">
        <v>2055901</v>
      </c>
      <c r="B12871" s="11">
        <v>44761</v>
      </c>
      <c r="C12871" s="13" t="s">
        <v>12939</v>
      </c>
      <c r="D12871" s="13" t="s">
        <v>16351</v>
      </c>
      <c r="E12871" s="8">
        <v>6000</v>
      </c>
      <c r="F12871" s="13" t="s">
        <v>70</v>
      </c>
      <c r="G12871" s="14">
        <v>44762</v>
      </c>
      <c r="H12871" s="13" t="s">
        <v>163</v>
      </c>
    </row>
    <row r="12872" spans="1:8" ht="14.4" x14ac:dyDescent="0.3">
      <c r="A12872" s="8">
        <v>2055902</v>
      </c>
      <c r="B12872" s="11">
        <v>44761</v>
      </c>
      <c r="C12872" s="13" t="s">
        <v>16352</v>
      </c>
      <c r="D12872" s="13" t="s">
        <v>16353</v>
      </c>
      <c r="E12872" s="8">
        <v>8000</v>
      </c>
      <c r="F12872" s="13" t="s">
        <v>70</v>
      </c>
      <c r="G12872" s="14">
        <v>44763</v>
      </c>
      <c r="H12872" s="13" t="s">
        <v>163</v>
      </c>
    </row>
    <row r="12873" spans="1:8" ht="14.4" x14ac:dyDescent="0.3">
      <c r="A12873" s="8">
        <v>2055903</v>
      </c>
      <c r="B12873" s="11">
        <v>44761</v>
      </c>
      <c r="C12873" s="13" t="s">
        <v>16354</v>
      </c>
      <c r="D12873" s="13" t="s">
        <v>16355</v>
      </c>
      <c r="E12873" s="8">
        <v>2000</v>
      </c>
      <c r="F12873" s="13" t="s">
        <v>70</v>
      </c>
      <c r="G12873" s="14">
        <v>44763</v>
      </c>
      <c r="H12873" s="13" t="s">
        <v>163</v>
      </c>
    </row>
    <row r="12874" spans="1:8" ht="14.4" x14ac:dyDescent="0.3">
      <c r="A12874" s="8">
        <v>2055904</v>
      </c>
      <c r="B12874" s="11">
        <v>44761</v>
      </c>
      <c r="C12874" s="13" t="s">
        <v>3008</v>
      </c>
      <c r="D12874" s="13" t="s">
        <v>13603</v>
      </c>
      <c r="E12874" s="8">
        <v>10000</v>
      </c>
      <c r="F12874" s="13" t="s">
        <v>70</v>
      </c>
      <c r="G12874" s="14">
        <v>44762</v>
      </c>
      <c r="H12874" s="13" t="s">
        <v>163</v>
      </c>
    </row>
    <row r="12875" spans="1:8" ht="14.4" x14ac:dyDescent="0.3">
      <c r="A12875" s="8">
        <v>2055905</v>
      </c>
      <c r="B12875" s="11">
        <v>44761</v>
      </c>
      <c r="C12875" s="13" t="s">
        <v>16356</v>
      </c>
      <c r="D12875" s="13" t="s">
        <v>16335</v>
      </c>
      <c r="E12875" s="8">
        <v>6000</v>
      </c>
      <c r="F12875" s="13" t="s">
        <v>70</v>
      </c>
      <c r="G12875" s="14">
        <v>44763</v>
      </c>
      <c r="H12875" s="13" t="s">
        <v>163</v>
      </c>
    </row>
    <row r="12876" spans="1:8" ht="14.4" x14ac:dyDescent="0.3">
      <c r="A12876" s="8">
        <v>2055906</v>
      </c>
      <c r="B12876" s="11">
        <v>44761</v>
      </c>
      <c r="C12876" s="13" t="s">
        <v>16357</v>
      </c>
      <c r="D12876" s="13" t="s">
        <v>16358</v>
      </c>
      <c r="E12876" s="8">
        <v>8000</v>
      </c>
      <c r="F12876" s="13" t="s">
        <v>70</v>
      </c>
      <c r="G12876" s="14">
        <v>44763</v>
      </c>
      <c r="H12876" s="13" t="s">
        <v>163</v>
      </c>
    </row>
    <row r="12877" spans="1:8" ht="14.4" x14ac:dyDescent="0.3">
      <c r="A12877" s="8">
        <v>2055907</v>
      </c>
      <c r="B12877" s="11">
        <v>44761</v>
      </c>
      <c r="C12877" s="13" t="s">
        <v>16359</v>
      </c>
      <c r="D12877" s="13" t="s">
        <v>16360</v>
      </c>
      <c r="E12877" s="8">
        <v>10000</v>
      </c>
      <c r="F12877" s="13" t="s">
        <v>70</v>
      </c>
      <c r="G12877" s="14">
        <v>44764</v>
      </c>
      <c r="H12877" s="13" t="s">
        <v>163</v>
      </c>
    </row>
    <row r="12878" spans="1:8" ht="14.4" x14ac:dyDescent="0.3">
      <c r="A12878" s="8">
        <v>2055908</v>
      </c>
      <c r="B12878" s="11">
        <v>44761</v>
      </c>
      <c r="C12878" s="13" t="s">
        <v>16361</v>
      </c>
      <c r="D12878" s="13" t="s">
        <v>16362</v>
      </c>
      <c r="E12878" s="8">
        <v>20000</v>
      </c>
      <c r="F12878" s="13" t="s">
        <v>70</v>
      </c>
      <c r="G12878" s="14">
        <v>44770</v>
      </c>
      <c r="H12878" s="13" t="s">
        <v>163</v>
      </c>
    </row>
    <row r="12879" spans="1:8" ht="14.4" x14ac:dyDescent="0.3">
      <c r="A12879" s="8">
        <v>2055909</v>
      </c>
      <c r="B12879" s="11">
        <v>44761</v>
      </c>
      <c r="C12879" s="13" t="s">
        <v>3364</v>
      </c>
      <c r="D12879" s="13" t="s">
        <v>16363</v>
      </c>
      <c r="E12879" s="8">
        <v>30000</v>
      </c>
      <c r="F12879" s="13" t="s">
        <v>70</v>
      </c>
      <c r="G12879" s="14">
        <v>44764</v>
      </c>
      <c r="H12879" s="13" t="s">
        <v>163</v>
      </c>
    </row>
    <row r="12880" spans="1:8" ht="14.4" x14ac:dyDescent="0.3">
      <c r="A12880" s="8">
        <v>2055910</v>
      </c>
      <c r="B12880" s="11">
        <v>44761</v>
      </c>
      <c r="C12880" s="13" t="s">
        <v>3659</v>
      </c>
      <c r="D12880" s="13" t="s">
        <v>16364</v>
      </c>
      <c r="E12880" s="8">
        <v>8000</v>
      </c>
      <c r="F12880" s="13" t="s">
        <v>70</v>
      </c>
      <c r="G12880" s="14">
        <v>44763</v>
      </c>
      <c r="H12880" s="13" t="s">
        <v>163</v>
      </c>
    </row>
    <row r="12881" spans="1:8" ht="14.4" x14ac:dyDescent="0.3">
      <c r="A12881" s="8">
        <v>2055911</v>
      </c>
      <c r="B12881" s="11">
        <v>44761</v>
      </c>
      <c r="C12881" s="13" t="s">
        <v>3795</v>
      </c>
      <c r="D12881" s="13" t="s">
        <v>16365</v>
      </c>
      <c r="E12881" s="8">
        <v>10000</v>
      </c>
      <c r="F12881" s="13" t="s">
        <v>70</v>
      </c>
      <c r="G12881" s="14">
        <v>44763</v>
      </c>
      <c r="H12881" s="13" t="s">
        <v>163</v>
      </c>
    </row>
    <row r="12882" spans="1:8" ht="14.4" x14ac:dyDescent="0.3">
      <c r="A12882" s="8">
        <v>2055912</v>
      </c>
      <c r="B12882" s="11">
        <v>44761</v>
      </c>
      <c r="C12882" s="13" t="s">
        <v>16366</v>
      </c>
      <c r="D12882" s="13" t="s">
        <v>16367</v>
      </c>
      <c r="E12882" s="8">
        <v>10000</v>
      </c>
      <c r="F12882" s="13" t="s">
        <v>70</v>
      </c>
      <c r="G12882" s="14">
        <v>44764</v>
      </c>
      <c r="H12882" s="13" t="s">
        <v>163</v>
      </c>
    </row>
    <row r="12883" spans="1:8" ht="14.4" x14ac:dyDescent="0.3">
      <c r="A12883" s="8">
        <v>2055913</v>
      </c>
      <c r="B12883" s="11">
        <v>44761</v>
      </c>
      <c r="C12883" s="13" t="s">
        <v>16368</v>
      </c>
      <c r="D12883" s="13" t="s">
        <v>16369</v>
      </c>
      <c r="E12883" s="8">
        <v>14000</v>
      </c>
      <c r="F12883" s="13" t="s">
        <v>70</v>
      </c>
      <c r="G12883" s="14">
        <v>44764</v>
      </c>
      <c r="H12883" s="13" t="s">
        <v>163</v>
      </c>
    </row>
    <row r="12884" spans="1:8" ht="14.4" x14ac:dyDescent="0.3">
      <c r="A12884" s="8">
        <v>2055914</v>
      </c>
      <c r="B12884" s="11">
        <v>44761</v>
      </c>
      <c r="C12884" s="13" t="s">
        <v>16370</v>
      </c>
      <c r="D12884" s="13" t="s">
        <v>16371</v>
      </c>
      <c r="E12884" s="8">
        <v>8000</v>
      </c>
      <c r="F12884" s="13" t="s">
        <v>70</v>
      </c>
      <c r="G12884" s="14">
        <v>44763</v>
      </c>
      <c r="H12884" s="13" t="s">
        <v>163</v>
      </c>
    </row>
    <row r="12885" spans="1:8" ht="14.4" x14ac:dyDescent="0.3">
      <c r="A12885" s="8">
        <v>2055915</v>
      </c>
      <c r="B12885" s="11">
        <v>44761</v>
      </c>
      <c r="C12885" s="13" t="s">
        <v>16372</v>
      </c>
      <c r="D12885" s="13" t="s">
        <v>16373</v>
      </c>
      <c r="E12885" s="8">
        <v>10000</v>
      </c>
      <c r="F12885" s="13" t="s">
        <v>70</v>
      </c>
      <c r="G12885" s="14">
        <v>44763</v>
      </c>
      <c r="H12885" s="13" t="s">
        <v>163</v>
      </c>
    </row>
    <row r="12886" spans="1:8" ht="14.4" x14ac:dyDescent="0.3">
      <c r="A12886" s="8">
        <v>2055916</v>
      </c>
      <c r="B12886" s="11">
        <v>44761</v>
      </c>
      <c r="C12886" s="13" t="s">
        <v>16374</v>
      </c>
      <c r="D12886" s="13" t="s">
        <v>16375</v>
      </c>
      <c r="E12886" s="8">
        <v>16000</v>
      </c>
      <c r="F12886" s="13" t="s">
        <v>70</v>
      </c>
      <c r="G12886" s="14">
        <v>44763</v>
      </c>
      <c r="H12886" s="13" t="s">
        <v>163</v>
      </c>
    </row>
    <row r="12887" spans="1:8" ht="14.4" x14ac:dyDescent="0.3">
      <c r="A12887" s="8">
        <v>2055917</v>
      </c>
      <c r="B12887" s="11">
        <v>44761</v>
      </c>
      <c r="C12887" s="13" t="s">
        <v>16376</v>
      </c>
      <c r="D12887" s="13" t="s">
        <v>16377</v>
      </c>
      <c r="E12887" s="8">
        <v>4000</v>
      </c>
      <c r="F12887" s="13" t="s">
        <v>70</v>
      </c>
      <c r="G12887" s="14">
        <v>44769</v>
      </c>
      <c r="H12887" s="13" t="s">
        <v>163</v>
      </c>
    </row>
    <row r="12888" spans="1:8" ht="14.4" x14ac:dyDescent="0.3">
      <c r="A12888" s="8">
        <v>2055918</v>
      </c>
      <c r="B12888" s="11">
        <v>44761</v>
      </c>
      <c r="C12888" s="13" t="s">
        <v>16378</v>
      </c>
      <c r="D12888" s="13" t="s">
        <v>16379</v>
      </c>
      <c r="E12888" s="8">
        <v>10000</v>
      </c>
      <c r="F12888" s="13" t="s">
        <v>70</v>
      </c>
      <c r="G12888" s="14">
        <v>44763</v>
      </c>
      <c r="H12888" s="13" t="s">
        <v>163</v>
      </c>
    </row>
    <row r="12889" spans="1:8" ht="14.4" x14ac:dyDescent="0.3">
      <c r="A12889" s="8">
        <v>2055919</v>
      </c>
      <c r="B12889" s="11">
        <v>44761</v>
      </c>
      <c r="C12889" s="13" t="s">
        <v>16380</v>
      </c>
      <c r="D12889" s="13" t="s">
        <v>16381</v>
      </c>
      <c r="E12889" s="8">
        <v>6000</v>
      </c>
      <c r="F12889" s="13" t="s">
        <v>70</v>
      </c>
      <c r="G12889" s="14">
        <v>44771</v>
      </c>
      <c r="H12889" s="13" t="s">
        <v>163</v>
      </c>
    </row>
    <row r="12890" spans="1:8" ht="14.4" x14ac:dyDescent="0.3">
      <c r="A12890" s="8">
        <v>2055920</v>
      </c>
      <c r="B12890" s="11">
        <v>44761</v>
      </c>
      <c r="C12890" s="13" t="s">
        <v>16382</v>
      </c>
      <c r="D12890" s="13" t="s">
        <v>16383</v>
      </c>
      <c r="E12890" s="8">
        <v>6000</v>
      </c>
      <c r="F12890" s="13" t="s">
        <v>70</v>
      </c>
      <c r="G12890" s="14">
        <v>44763</v>
      </c>
      <c r="H12890" s="13" t="s">
        <v>163</v>
      </c>
    </row>
    <row r="12891" spans="1:8" ht="14.4" x14ac:dyDescent="0.3">
      <c r="A12891" s="8">
        <v>2055921</v>
      </c>
      <c r="B12891" s="11">
        <v>44761</v>
      </c>
      <c r="C12891" s="13" t="s">
        <v>16384</v>
      </c>
      <c r="D12891" s="13" t="s">
        <v>16385</v>
      </c>
      <c r="E12891" s="8">
        <v>8000</v>
      </c>
      <c r="F12891" s="13" t="s">
        <v>70</v>
      </c>
      <c r="G12891" s="14">
        <v>44768</v>
      </c>
      <c r="H12891" s="13" t="s">
        <v>163</v>
      </c>
    </row>
    <row r="12892" spans="1:8" ht="14.4" x14ac:dyDescent="0.3">
      <c r="A12892" s="8">
        <v>2055922</v>
      </c>
      <c r="B12892" s="11">
        <v>44761</v>
      </c>
      <c r="C12892" s="13" t="s">
        <v>16386</v>
      </c>
      <c r="D12892" s="13" t="s">
        <v>16387</v>
      </c>
      <c r="E12892" s="8">
        <v>4000</v>
      </c>
      <c r="F12892" s="13" t="s">
        <v>70</v>
      </c>
      <c r="G12892" s="14">
        <v>44792</v>
      </c>
      <c r="H12892" s="13" t="s">
        <v>163</v>
      </c>
    </row>
    <row r="12893" spans="1:8" ht="14.4" x14ac:dyDescent="0.3">
      <c r="A12893" s="8">
        <v>2055923</v>
      </c>
      <c r="B12893" s="11">
        <v>44761</v>
      </c>
      <c r="C12893" s="13" t="s">
        <v>16388</v>
      </c>
      <c r="D12893" s="13" t="s">
        <v>16389</v>
      </c>
      <c r="E12893" s="8">
        <v>10000</v>
      </c>
      <c r="F12893" s="13" t="s">
        <v>70</v>
      </c>
      <c r="G12893" s="14">
        <v>44763</v>
      </c>
      <c r="H12893" s="13" t="s">
        <v>163</v>
      </c>
    </row>
    <row r="12894" spans="1:8" ht="14.4" x14ac:dyDescent="0.3">
      <c r="A12894" s="8">
        <v>2055924</v>
      </c>
      <c r="B12894" s="10">
        <v>44761</v>
      </c>
      <c r="C12894" s="13" t="s">
        <v>16390</v>
      </c>
      <c r="D12894" s="13" t="s">
        <v>16391</v>
      </c>
      <c r="E12894" s="8">
        <v>10000</v>
      </c>
      <c r="F12894" s="13" t="s">
        <v>70</v>
      </c>
      <c r="G12894" s="14">
        <v>44764</v>
      </c>
      <c r="H12894" s="13" t="s">
        <v>163</v>
      </c>
    </row>
    <row r="12895" spans="1:8" ht="14.4" x14ac:dyDescent="0.3">
      <c r="A12895" s="8">
        <v>2055925</v>
      </c>
      <c r="B12895" s="11">
        <v>44762</v>
      </c>
      <c r="C12895" s="13" t="s">
        <v>16392</v>
      </c>
      <c r="D12895" s="13" t="s">
        <v>16393</v>
      </c>
      <c r="E12895" s="8">
        <v>2000</v>
      </c>
      <c r="F12895" s="13" t="s">
        <v>70</v>
      </c>
      <c r="G12895" s="14">
        <v>44764</v>
      </c>
      <c r="H12895" s="13" t="s">
        <v>163</v>
      </c>
    </row>
    <row r="12896" spans="1:8" ht="14.4" x14ac:dyDescent="0.3">
      <c r="A12896" s="8">
        <v>2055926</v>
      </c>
      <c r="B12896" s="11">
        <v>44762</v>
      </c>
      <c r="C12896" s="13" t="s">
        <v>16394</v>
      </c>
      <c r="D12896" s="13" t="s">
        <v>16395</v>
      </c>
      <c r="E12896" s="8">
        <v>6000</v>
      </c>
      <c r="F12896" s="13" t="s">
        <v>70</v>
      </c>
      <c r="G12896" s="14">
        <v>44764</v>
      </c>
      <c r="H12896" s="13" t="s">
        <v>163</v>
      </c>
    </row>
    <row r="12897" spans="1:8" ht="14.4" x14ac:dyDescent="0.3">
      <c r="A12897" s="8">
        <v>2055927</v>
      </c>
      <c r="B12897" s="11">
        <v>44762</v>
      </c>
      <c r="C12897" s="13" t="s">
        <v>16396</v>
      </c>
      <c r="D12897" s="13" t="s">
        <v>16397</v>
      </c>
      <c r="E12897" s="8">
        <v>6000</v>
      </c>
      <c r="F12897" s="13" t="s">
        <v>70</v>
      </c>
      <c r="G12897" s="14">
        <v>44764</v>
      </c>
      <c r="H12897" s="13" t="s">
        <v>163</v>
      </c>
    </row>
    <row r="12898" spans="1:8" ht="14.4" x14ac:dyDescent="0.3">
      <c r="A12898" s="8">
        <v>2055928</v>
      </c>
      <c r="B12898" s="11">
        <v>44762</v>
      </c>
      <c r="C12898" s="13" t="s">
        <v>7149</v>
      </c>
      <c r="D12898" s="13" t="s">
        <v>16398</v>
      </c>
      <c r="E12898" s="8">
        <v>2000</v>
      </c>
      <c r="F12898" s="13" t="s">
        <v>70</v>
      </c>
      <c r="G12898" s="14">
        <v>44767</v>
      </c>
      <c r="H12898" s="13" t="s">
        <v>163</v>
      </c>
    </row>
    <row r="12899" spans="1:8" ht="14.4" x14ac:dyDescent="0.3">
      <c r="A12899" s="8">
        <v>2055929</v>
      </c>
      <c r="B12899" s="11">
        <v>44762</v>
      </c>
      <c r="C12899" s="13" t="s">
        <v>16399</v>
      </c>
      <c r="D12899" s="13" t="s">
        <v>16400</v>
      </c>
      <c r="E12899" s="8">
        <v>2000</v>
      </c>
      <c r="F12899" s="13" t="s">
        <v>70</v>
      </c>
      <c r="G12899" s="14">
        <v>44767</v>
      </c>
      <c r="H12899" s="13" t="s">
        <v>163</v>
      </c>
    </row>
    <row r="12900" spans="1:8" ht="14.4" x14ac:dyDescent="0.3">
      <c r="A12900" s="8">
        <v>2055930</v>
      </c>
      <c r="B12900" s="11">
        <v>44762</v>
      </c>
      <c r="C12900" s="13" t="s">
        <v>16401</v>
      </c>
      <c r="D12900" s="13" t="s">
        <v>16402</v>
      </c>
      <c r="E12900" s="8">
        <v>6000</v>
      </c>
      <c r="F12900" s="13" t="s">
        <v>70</v>
      </c>
      <c r="G12900" s="14">
        <v>44764</v>
      </c>
      <c r="H12900" s="13" t="s">
        <v>163</v>
      </c>
    </row>
    <row r="12901" spans="1:8" ht="14.4" x14ac:dyDescent="0.3">
      <c r="A12901" s="8">
        <v>2055931</v>
      </c>
      <c r="B12901" s="11">
        <v>44762</v>
      </c>
      <c r="C12901" s="13" t="s">
        <v>16403</v>
      </c>
      <c r="D12901" s="13" t="s">
        <v>16404</v>
      </c>
      <c r="E12901" s="8">
        <v>4000</v>
      </c>
      <c r="F12901" s="13" t="s">
        <v>70</v>
      </c>
      <c r="G12901" s="14">
        <v>44767</v>
      </c>
      <c r="H12901" s="13" t="s">
        <v>163</v>
      </c>
    </row>
    <row r="12902" spans="1:8" ht="14.4" x14ac:dyDescent="0.3">
      <c r="A12902" s="8">
        <v>2055932</v>
      </c>
      <c r="B12902" s="11">
        <v>44762</v>
      </c>
      <c r="C12902" s="13" t="s">
        <v>16405</v>
      </c>
      <c r="D12902" s="13" t="s">
        <v>16406</v>
      </c>
      <c r="E12902" s="8">
        <v>2000</v>
      </c>
      <c r="F12902" s="13" t="s">
        <v>70</v>
      </c>
      <c r="G12902" s="14">
        <v>44774</v>
      </c>
      <c r="H12902" s="13" t="s">
        <v>163</v>
      </c>
    </row>
    <row r="12903" spans="1:8" ht="14.4" x14ac:dyDescent="0.3">
      <c r="A12903" s="8">
        <v>2055933</v>
      </c>
      <c r="B12903" s="11">
        <v>44762</v>
      </c>
      <c r="C12903" s="13" t="s">
        <v>16407</v>
      </c>
      <c r="D12903" s="13" t="s">
        <v>16408</v>
      </c>
      <c r="E12903" s="8">
        <v>6000</v>
      </c>
      <c r="F12903" s="13" t="s">
        <v>70</v>
      </c>
      <c r="G12903" s="14">
        <v>44767</v>
      </c>
      <c r="H12903" s="13" t="s">
        <v>163</v>
      </c>
    </row>
    <row r="12904" spans="1:8" ht="14.4" x14ac:dyDescent="0.3">
      <c r="A12904" s="8">
        <v>2055934</v>
      </c>
      <c r="B12904" s="11">
        <v>44762</v>
      </c>
      <c r="C12904" s="13" t="s">
        <v>16409</v>
      </c>
      <c r="D12904" s="13" t="s">
        <v>16410</v>
      </c>
      <c r="E12904" s="8">
        <v>6000</v>
      </c>
      <c r="F12904" s="13" t="s">
        <v>70</v>
      </c>
      <c r="G12904" s="14">
        <v>44764</v>
      </c>
      <c r="H12904" s="13" t="s">
        <v>163</v>
      </c>
    </row>
    <row r="12905" spans="1:8" ht="14.4" x14ac:dyDescent="0.3">
      <c r="A12905" s="8">
        <v>2055935</v>
      </c>
      <c r="B12905" s="11">
        <v>44762</v>
      </c>
      <c r="C12905" s="13" t="s">
        <v>14339</v>
      </c>
      <c r="D12905" s="13" t="s">
        <v>16411</v>
      </c>
      <c r="E12905" s="8">
        <v>5000</v>
      </c>
      <c r="F12905" s="13" t="s">
        <v>70</v>
      </c>
      <c r="G12905" s="14">
        <v>44764</v>
      </c>
      <c r="H12905" s="13" t="s">
        <v>163</v>
      </c>
    </row>
    <row r="12906" spans="1:8" ht="14.4" x14ac:dyDescent="0.3">
      <c r="A12906" s="8">
        <v>2055936</v>
      </c>
      <c r="B12906" s="11">
        <v>44762</v>
      </c>
      <c r="C12906" s="13" t="s">
        <v>3772</v>
      </c>
      <c r="D12906" s="13" t="s">
        <v>16412</v>
      </c>
      <c r="E12906" s="8">
        <v>10000</v>
      </c>
      <c r="F12906" s="13" t="s">
        <v>70</v>
      </c>
      <c r="G12906" s="14">
        <v>44764</v>
      </c>
      <c r="H12906" s="13" t="s">
        <v>163</v>
      </c>
    </row>
    <row r="12907" spans="1:8" ht="14.4" x14ac:dyDescent="0.3">
      <c r="A12907" s="8">
        <v>2055937</v>
      </c>
      <c r="B12907" s="11">
        <v>44762</v>
      </c>
      <c r="C12907" s="13" t="s">
        <v>16413</v>
      </c>
      <c r="D12907" s="13" t="s">
        <v>16414</v>
      </c>
      <c r="E12907" s="8">
        <v>16000</v>
      </c>
      <c r="F12907" s="13" t="s">
        <v>70</v>
      </c>
      <c r="G12907" s="14">
        <v>44764</v>
      </c>
      <c r="H12907" s="13" t="s">
        <v>163</v>
      </c>
    </row>
    <row r="12908" spans="1:8" ht="14.4" x14ac:dyDescent="0.3">
      <c r="A12908" s="8">
        <v>2055939</v>
      </c>
      <c r="B12908" s="11">
        <v>44762</v>
      </c>
      <c r="C12908" s="13" t="s">
        <v>16415</v>
      </c>
      <c r="D12908" s="13" t="s">
        <v>16416</v>
      </c>
      <c r="E12908" s="8">
        <v>2000</v>
      </c>
      <c r="F12908" s="13" t="s">
        <v>70</v>
      </c>
      <c r="G12908" s="14">
        <v>44764</v>
      </c>
      <c r="H12908" s="13" t="s">
        <v>163</v>
      </c>
    </row>
    <row r="12909" spans="1:8" ht="14.4" x14ac:dyDescent="0.3">
      <c r="A12909" s="8">
        <v>2055940</v>
      </c>
      <c r="B12909" s="11">
        <v>44762</v>
      </c>
      <c r="C12909" s="13" t="s">
        <v>16417</v>
      </c>
      <c r="D12909" s="13" t="s">
        <v>16418</v>
      </c>
      <c r="E12909" s="8">
        <v>4000</v>
      </c>
      <c r="F12909" s="13" t="s">
        <v>70</v>
      </c>
      <c r="G12909" s="14">
        <v>44764</v>
      </c>
      <c r="H12909" s="13" t="s">
        <v>163</v>
      </c>
    </row>
    <row r="12910" spans="1:8" ht="14.4" x14ac:dyDescent="0.3">
      <c r="A12910" s="8">
        <v>2055941</v>
      </c>
      <c r="B12910" s="11">
        <v>44762</v>
      </c>
      <c r="C12910" s="13" t="s">
        <v>16419</v>
      </c>
      <c r="D12910" s="13" t="s">
        <v>16420</v>
      </c>
      <c r="E12910" s="8">
        <v>10000</v>
      </c>
      <c r="F12910" s="13" t="s">
        <v>70</v>
      </c>
      <c r="G12910" s="14">
        <v>44764</v>
      </c>
      <c r="H12910" s="13" t="s">
        <v>163</v>
      </c>
    </row>
    <row r="12911" spans="1:8" ht="14.4" x14ac:dyDescent="0.3">
      <c r="A12911" s="8">
        <v>2055942</v>
      </c>
      <c r="B12911" s="11">
        <v>44762</v>
      </c>
      <c r="C12911" s="13" t="s">
        <v>16421</v>
      </c>
      <c r="D12911" s="13" t="s">
        <v>16422</v>
      </c>
      <c r="E12911" s="8">
        <v>4000</v>
      </c>
      <c r="F12911" s="13" t="s">
        <v>70</v>
      </c>
      <c r="G12911" s="14">
        <v>44767</v>
      </c>
      <c r="H12911" s="13" t="s">
        <v>163</v>
      </c>
    </row>
    <row r="12912" spans="1:8" ht="14.4" x14ac:dyDescent="0.3">
      <c r="A12912" s="8">
        <v>2055943</v>
      </c>
      <c r="B12912" s="11">
        <v>44762</v>
      </c>
      <c r="C12912" s="13" t="s">
        <v>16423</v>
      </c>
      <c r="D12912" s="13" t="s">
        <v>16424</v>
      </c>
      <c r="E12912" s="8">
        <v>4000</v>
      </c>
      <c r="F12912" s="13" t="s">
        <v>70</v>
      </c>
      <c r="G12912" s="14">
        <v>44764</v>
      </c>
      <c r="H12912" s="13" t="s">
        <v>163</v>
      </c>
    </row>
    <row r="12913" spans="1:8" ht="14.4" x14ac:dyDescent="0.3">
      <c r="A12913" s="8">
        <v>2055944</v>
      </c>
      <c r="B12913" s="11">
        <v>44762</v>
      </c>
      <c r="C12913" s="13" t="s">
        <v>16425</v>
      </c>
      <c r="D12913" s="13" t="s">
        <v>16426</v>
      </c>
      <c r="E12913" s="8">
        <v>8000</v>
      </c>
      <c r="F12913" s="13" t="s">
        <v>70</v>
      </c>
      <c r="G12913" s="14">
        <v>44764</v>
      </c>
      <c r="H12913" s="13" t="s">
        <v>163</v>
      </c>
    </row>
    <row r="12914" spans="1:8" ht="14.4" x14ac:dyDescent="0.3">
      <c r="A12914" s="8">
        <v>2055945</v>
      </c>
      <c r="B12914" s="11">
        <v>44762</v>
      </c>
      <c r="C12914" s="13" t="s">
        <v>16427</v>
      </c>
      <c r="D12914" s="13" t="s">
        <v>16428</v>
      </c>
      <c r="E12914" s="8">
        <v>4000</v>
      </c>
      <c r="F12914" s="13" t="s">
        <v>70</v>
      </c>
      <c r="G12914" s="14">
        <v>44764</v>
      </c>
      <c r="H12914" s="13" t="s">
        <v>163</v>
      </c>
    </row>
    <row r="12915" spans="1:8" ht="14.4" x14ac:dyDescent="0.3">
      <c r="A12915" s="8">
        <v>2055946</v>
      </c>
      <c r="B12915" s="11">
        <v>44762</v>
      </c>
      <c r="C12915" s="13" t="s">
        <v>16429</v>
      </c>
      <c r="D12915" s="13" t="s">
        <v>16430</v>
      </c>
      <c r="E12915" s="8">
        <v>26000</v>
      </c>
      <c r="F12915" s="13" t="s">
        <v>70</v>
      </c>
      <c r="G12915" s="14">
        <v>44770</v>
      </c>
      <c r="H12915" s="13" t="s">
        <v>163</v>
      </c>
    </row>
    <row r="12916" spans="1:8" ht="14.4" x14ac:dyDescent="0.3">
      <c r="A12916" s="8">
        <v>2055947</v>
      </c>
      <c r="B12916" s="11">
        <v>44762</v>
      </c>
      <c r="C12916" s="13" t="s">
        <v>16431</v>
      </c>
      <c r="D12916" s="13" t="s">
        <v>16432</v>
      </c>
      <c r="E12916" s="8">
        <v>4000</v>
      </c>
      <c r="F12916" s="13" t="s">
        <v>70</v>
      </c>
      <c r="G12916" s="14">
        <v>44764</v>
      </c>
      <c r="H12916" s="13" t="s">
        <v>163</v>
      </c>
    </row>
    <row r="12917" spans="1:8" ht="14.4" x14ac:dyDescent="0.3">
      <c r="A12917" s="8">
        <v>2055948</v>
      </c>
      <c r="B12917" s="11">
        <v>44762</v>
      </c>
      <c r="C12917" s="13" t="s">
        <v>3848</v>
      </c>
      <c r="D12917" s="13" t="s">
        <v>16433</v>
      </c>
      <c r="E12917" s="8">
        <v>6000</v>
      </c>
      <c r="F12917" s="13" t="s">
        <v>70</v>
      </c>
      <c r="G12917" s="14">
        <v>44767</v>
      </c>
      <c r="H12917" s="13" t="s">
        <v>163</v>
      </c>
    </row>
    <row r="12918" spans="1:8" ht="14.4" x14ac:dyDescent="0.3">
      <c r="A12918" s="8">
        <v>2055949</v>
      </c>
      <c r="B12918" s="11">
        <v>44762</v>
      </c>
      <c r="C12918" s="13" t="s">
        <v>7316</v>
      </c>
      <c r="D12918" s="13" t="s">
        <v>16434</v>
      </c>
      <c r="E12918" s="8">
        <v>12000</v>
      </c>
      <c r="F12918" s="13" t="s">
        <v>70</v>
      </c>
      <c r="G12918" s="14">
        <v>44774</v>
      </c>
      <c r="H12918" s="13" t="s">
        <v>163</v>
      </c>
    </row>
    <row r="12919" spans="1:8" ht="14.4" x14ac:dyDescent="0.3">
      <c r="A12919" s="8">
        <v>2055950</v>
      </c>
      <c r="B12919" s="11">
        <v>44762</v>
      </c>
      <c r="C12919" s="13" t="s">
        <v>16435</v>
      </c>
      <c r="D12919" s="13" t="s">
        <v>16436</v>
      </c>
      <c r="E12919" s="8">
        <v>2000</v>
      </c>
      <c r="F12919" s="13" t="s">
        <v>70</v>
      </c>
      <c r="G12919" s="14">
        <v>44764</v>
      </c>
      <c r="H12919" s="13" t="s">
        <v>163</v>
      </c>
    </row>
    <row r="12920" spans="1:8" ht="14.4" x14ac:dyDescent="0.3">
      <c r="A12920" s="8">
        <v>2055951</v>
      </c>
      <c r="B12920" s="11">
        <v>44762</v>
      </c>
      <c r="C12920" s="13" t="s">
        <v>16437</v>
      </c>
      <c r="D12920" s="13" t="s">
        <v>16438</v>
      </c>
      <c r="E12920" s="8">
        <v>8000</v>
      </c>
      <c r="F12920" s="13" t="s">
        <v>70</v>
      </c>
      <c r="G12920" s="14">
        <v>44764</v>
      </c>
      <c r="H12920" s="13" t="s">
        <v>163</v>
      </c>
    </row>
    <row r="12921" spans="1:8" ht="14.4" x14ac:dyDescent="0.3">
      <c r="A12921" s="8">
        <v>2055952</v>
      </c>
      <c r="B12921" s="11">
        <v>44762</v>
      </c>
      <c r="C12921" s="13" t="s">
        <v>16439</v>
      </c>
      <c r="D12921" s="13" t="s">
        <v>16440</v>
      </c>
      <c r="E12921" s="8">
        <v>2000</v>
      </c>
      <c r="F12921" s="13" t="s">
        <v>70</v>
      </c>
      <c r="G12921" s="14">
        <v>44768</v>
      </c>
      <c r="H12921" s="13" t="s">
        <v>163</v>
      </c>
    </row>
    <row r="12922" spans="1:8" ht="14.4" x14ac:dyDescent="0.3">
      <c r="A12922" s="8">
        <v>2055953</v>
      </c>
      <c r="B12922" s="11">
        <v>44762</v>
      </c>
      <c r="C12922" s="13" t="s">
        <v>16441</v>
      </c>
      <c r="D12922" s="13" t="s">
        <v>16442</v>
      </c>
      <c r="E12922" s="8">
        <v>4000</v>
      </c>
      <c r="F12922" s="13" t="s">
        <v>70</v>
      </c>
      <c r="G12922" s="14">
        <v>44768</v>
      </c>
      <c r="H12922" s="13" t="s">
        <v>163</v>
      </c>
    </row>
    <row r="12923" spans="1:8" ht="14.4" x14ac:dyDescent="0.3">
      <c r="A12923" s="8">
        <v>2055954</v>
      </c>
      <c r="B12923" s="10">
        <v>44762</v>
      </c>
      <c r="C12923" s="13" t="s">
        <v>16443</v>
      </c>
      <c r="D12923" s="13" t="s">
        <v>16444</v>
      </c>
      <c r="E12923" s="8">
        <v>6000</v>
      </c>
      <c r="F12923" s="13" t="s">
        <v>70</v>
      </c>
      <c r="G12923" s="14">
        <v>44764</v>
      </c>
      <c r="H12923" s="13" t="s">
        <v>163</v>
      </c>
    </row>
    <row r="12924" spans="1:8" ht="14.4" x14ac:dyDescent="0.3">
      <c r="A12924" s="8">
        <v>2055955</v>
      </c>
      <c r="B12924" s="11">
        <v>44762</v>
      </c>
      <c r="C12924" s="13" t="s">
        <v>16445</v>
      </c>
      <c r="D12924" s="13" t="s">
        <v>16446</v>
      </c>
      <c r="E12924" s="8">
        <v>4000</v>
      </c>
      <c r="F12924" s="13" t="s">
        <v>70</v>
      </c>
      <c r="G12924" s="14">
        <v>44767</v>
      </c>
      <c r="H12924" s="13" t="s">
        <v>163</v>
      </c>
    </row>
    <row r="12925" spans="1:8" ht="14.4" x14ac:dyDescent="0.3">
      <c r="A12925" s="8">
        <v>2055956</v>
      </c>
      <c r="B12925" s="11">
        <v>44762</v>
      </c>
      <c r="C12925" s="13" t="s">
        <v>16447</v>
      </c>
      <c r="D12925" s="13" t="s">
        <v>16448</v>
      </c>
      <c r="E12925" s="8">
        <v>4000</v>
      </c>
      <c r="F12925" s="13" t="s">
        <v>70</v>
      </c>
      <c r="G12925" s="14">
        <v>44764</v>
      </c>
      <c r="H12925" s="13" t="s">
        <v>163</v>
      </c>
    </row>
    <row r="12926" spans="1:8" ht="14.4" x14ac:dyDescent="0.3">
      <c r="A12926" s="8">
        <v>2055957</v>
      </c>
      <c r="B12926" s="11">
        <v>44762</v>
      </c>
      <c r="C12926" s="13" t="s">
        <v>16449</v>
      </c>
      <c r="D12926" s="13" t="s">
        <v>16450</v>
      </c>
      <c r="E12926" s="8">
        <v>14000</v>
      </c>
      <c r="F12926" s="13" t="s">
        <v>70</v>
      </c>
      <c r="G12926" s="14">
        <v>44792</v>
      </c>
      <c r="H12926" s="13" t="s">
        <v>163</v>
      </c>
    </row>
    <row r="12927" spans="1:8" ht="14.4" x14ac:dyDescent="0.3">
      <c r="A12927" s="8">
        <v>2055958</v>
      </c>
      <c r="B12927" s="11">
        <v>44762</v>
      </c>
      <c r="C12927" s="13" t="s">
        <v>16451</v>
      </c>
      <c r="D12927" s="13" t="s">
        <v>16452</v>
      </c>
      <c r="E12927" s="8">
        <v>2000</v>
      </c>
      <c r="F12927" s="13" t="s">
        <v>70</v>
      </c>
      <c r="G12927" s="14">
        <v>44764</v>
      </c>
      <c r="H12927" s="13" t="s">
        <v>163</v>
      </c>
    </row>
    <row r="12928" spans="1:8" ht="14.4" x14ac:dyDescent="0.3">
      <c r="A12928" s="8">
        <v>2055959</v>
      </c>
      <c r="B12928" s="11">
        <v>44762</v>
      </c>
      <c r="C12928" s="13" t="s">
        <v>16453</v>
      </c>
      <c r="D12928" s="13" t="s">
        <v>16454</v>
      </c>
      <c r="E12928" s="8">
        <v>2000</v>
      </c>
      <c r="F12928" s="13" t="s">
        <v>70</v>
      </c>
      <c r="G12928" s="14">
        <v>44764</v>
      </c>
      <c r="H12928" s="13" t="s">
        <v>163</v>
      </c>
    </row>
    <row r="12929" spans="1:8" ht="14.4" x14ac:dyDescent="0.3">
      <c r="A12929" s="8">
        <v>2055960</v>
      </c>
      <c r="B12929" s="11">
        <v>44762</v>
      </c>
      <c r="C12929" s="13" t="s">
        <v>4549</v>
      </c>
      <c r="D12929" s="13" t="s">
        <v>16455</v>
      </c>
      <c r="E12929" s="8">
        <v>2000</v>
      </c>
      <c r="F12929" s="13" t="s">
        <v>70</v>
      </c>
      <c r="G12929" s="14">
        <v>44764</v>
      </c>
      <c r="H12929" s="13" t="s">
        <v>163</v>
      </c>
    </row>
    <row r="12930" spans="1:8" ht="14.4" x14ac:dyDescent="0.3">
      <c r="A12930" s="8">
        <v>2055961</v>
      </c>
      <c r="B12930" s="11">
        <v>44762</v>
      </c>
      <c r="C12930" s="13" t="s">
        <v>16456</v>
      </c>
      <c r="D12930" s="13" t="s">
        <v>16457</v>
      </c>
      <c r="E12930" s="8">
        <v>2000</v>
      </c>
      <c r="F12930" s="13" t="s">
        <v>70</v>
      </c>
      <c r="G12930" s="14">
        <v>44767</v>
      </c>
      <c r="H12930" s="13" t="s">
        <v>163</v>
      </c>
    </row>
    <row r="12931" spans="1:8" ht="14.4" x14ac:dyDescent="0.3">
      <c r="A12931" s="8">
        <v>2055962</v>
      </c>
      <c r="B12931" s="11">
        <v>44762</v>
      </c>
      <c r="C12931" s="13" t="s">
        <v>16458</v>
      </c>
      <c r="D12931" s="13" t="s">
        <v>16459</v>
      </c>
      <c r="E12931" s="8">
        <v>2000</v>
      </c>
      <c r="F12931" s="13" t="s">
        <v>70</v>
      </c>
      <c r="G12931" s="14">
        <v>44764</v>
      </c>
      <c r="H12931" s="13" t="s">
        <v>163</v>
      </c>
    </row>
    <row r="12932" spans="1:8" ht="14.4" x14ac:dyDescent="0.3">
      <c r="A12932" s="8">
        <v>2055963</v>
      </c>
      <c r="B12932" s="11">
        <v>44762</v>
      </c>
      <c r="C12932" s="13" t="s">
        <v>16460</v>
      </c>
      <c r="D12932" s="13" t="s">
        <v>16461</v>
      </c>
      <c r="E12932" s="8">
        <v>2000</v>
      </c>
      <c r="F12932" s="13" t="s">
        <v>70</v>
      </c>
      <c r="G12932" s="14">
        <v>44767</v>
      </c>
      <c r="H12932" s="13" t="s">
        <v>163</v>
      </c>
    </row>
    <row r="12933" spans="1:8" ht="14.4" x14ac:dyDescent="0.3">
      <c r="A12933" s="8">
        <v>2055964</v>
      </c>
      <c r="B12933" s="11">
        <v>44762</v>
      </c>
      <c r="C12933" s="13" t="s">
        <v>16462</v>
      </c>
      <c r="D12933" s="13" t="s">
        <v>16463</v>
      </c>
      <c r="E12933" s="8">
        <v>2000</v>
      </c>
      <c r="F12933" s="13" t="s">
        <v>70</v>
      </c>
      <c r="G12933" s="14">
        <v>44764</v>
      </c>
      <c r="H12933" s="13" t="s">
        <v>163</v>
      </c>
    </row>
    <row r="12934" spans="1:8" ht="14.4" x14ac:dyDescent="0.3">
      <c r="A12934" s="8">
        <v>2055965</v>
      </c>
      <c r="B12934" s="11">
        <v>44762</v>
      </c>
      <c r="C12934" s="13" t="s">
        <v>4124</v>
      </c>
      <c r="D12934" s="13" t="s">
        <v>16464</v>
      </c>
      <c r="E12934" s="8">
        <v>50000</v>
      </c>
      <c r="F12934" s="13" t="s">
        <v>70</v>
      </c>
      <c r="G12934" s="14">
        <v>44767</v>
      </c>
      <c r="H12934" s="13" t="s">
        <v>163</v>
      </c>
    </row>
    <row r="12935" spans="1:8" ht="14.4" x14ac:dyDescent="0.3">
      <c r="A12935" s="8">
        <v>2055966</v>
      </c>
      <c r="B12935" s="11">
        <v>44762</v>
      </c>
      <c r="C12935" s="13" t="s">
        <v>16465</v>
      </c>
      <c r="D12935" s="13" t="s">
        <v>16466</v>
      </c>
      <c r="E12935" s="8">
        <v>20000</v>
      </c>
      <c r="F12935" s="13" t="s">
        <v>70</v>
      </c>
      <c r="G12935" s="14">
        <v>44768</v>
      </c>
      <c r="H12935" s="13" t="s">
        <v>163</v>
      </c>
    </row>
    <row r="12936" spans="1:8" ht="14.4" x14ac:dyDescent="0.3">
      <c r="A12936" s="8">
        <v>2055967</v>
      </c>
      <c r="B12936" s="11">
        <v>44762</v>
      </c>
      <c r="C12936" s="13" t="s">
        <v>16467</v>
      </c>
      <c r="D12936" s="13" t="s">
        <v>16468</v>
      </c>
      <c r="E12936" s="8">
        <v>40000</v>
      </c>
      <c r="F12936" s="13" t="s">
        <v>70</v>
      </c>
      <c r="G12936" s="14">
        <v>44767</v>
      </c>
      <c r="H12936" s="13" t="s">
        <v>163</v>
      </c>
    </row>
    <row r="12937" spans="1:8" ht="14.4" x14ac:dyDescent="0.3">
      <c r="A12937" s="8">
        <v>2055968</v>
      </c>
      <c r="B12937" s="11">
        <v>44762</v>
      </c>
      <c r="C12937" s="13" t="s">
        <v>4631</v>
      </c>
      <c r="D12937" s="13" t="s">
        <v>16469</v>
      </c>
      <c r="E12937" s="8">
        <v>2000</v>
      </c>
      <c r="F12937" s="13" t="s">
        <v>70</v>
      </c>
      <c r="G12937" s="14">
        <v>44768</v>
      </c>
      <c r="H12937" s="13" t="s">
        <v>163</v>
      </c>
    </row>
    <row r="12938" spans="1:8" ht="14.4" x14ac:dyDescent="0.3">
      <c r="A12938" s="8">
        <v>2055969</v>
      </c>
      <c r="B12938" s="11">
        <v>44762</v>
      </c>
      <c r="C12938" s="13" t="s">
        <v>14648</v>
      </c>
      <c r="D12938" s="13" t="s">
        <v>16470</v>
      </c>
      <c r="E12938" s="8">
        <v>2000</v>
      </c>
      <c r="F12938" s="13" t="s">
        <v>70</v>
      </c>
      <c r="G12938" s="14">
        <v>44768</v>
      </c>
      <c r="H12938" s="13" t="s">
        <v>163</v>
      </c>
    </row>
    <row r="12939" spans="1:8" ht="14.4" x14ac:dyDescent="0.3">
      <c r="A12939" s="8">
        <v>2055970</v>
      </c>
      <c r="B12939" s="11">
        <v>44762</v>
      </c>
      <c r="C12939" s="13" t="s">
        <v>7654</v>
      </c>
      <c r="D12939" s="13" t="s">
        <v>16471</v>
      </c>
      <c r="E12939" s="8">
        <v>4000</v>
      </c>
      <c r="F12939" s="13" t="s">
        <v>70</v>
      </c>
      <c r="G12939" s="14">
        <v>44764</v>
      </c>
      <c r="H12939" s="13" t="s">
        <v>163</v>
      </c>
    </row>
    <row r="12940" spans="1:8" ht="14.4" x14ac:dyDescent="0.3">
      <c r="A12940" s="8">
        <v>2055971</v>
      </c>
      <c r="B12940" s="11">
        <v>44762</v>
      </c>
      <c r="C12940" s="13" t="s">
        <v>16472</v>
      </c>
      <c r="D12940" s="13" t="s">
        <v>16473</v>
      </c>
      <c r="E12940" s="8">
        <v>2000</v>
      </c>
      <c r="F12940" s="13" t="s">
        <v>70</v>
      </c>
      <c r="G12940" s="14">
        <v>44764</v>
      </c>
      <c r="H12940" s="13" t="s">
        <v>163</v>
      </c>
    </row>
    <row r="12941" spans="1:8" ht="14.4" x14ac:dyDescent="0.3">
      <c r="A12941" s="8">
        <v>2055973</v>
      </c>
      <c r="B12941" s="11">
        <v>44763</v>
      </c>
      <c r="C12941" s="13" t="s">
        <v>4466</v>
      </c>
      <c r="D12941" s="13" t="s">
        <v>16474</v>
      </c>
      <c r="E12941" s="8">
        <v>9880</v>
      </c>
      <c r="F12941" s="13" t="s">
        <v>70</v>
      </c>
      <c r="G12941" s="14">
        <v>44813</v>
      </c>
      <c r="H12941" s="13" t="s">
        <v>163</v>
      </c>
    </row>
    <row r="12942" spans="1:8" ht="14.4" x14ac:dyDescent="0.3">
      <c r="A12942" s="8">
        <v>2055974</v>
      </c>
      <c r="B12942" s="11">
        <v>44763</v>
      </c>
      <c r="C12942" s="13" t="s">
        <v>201</v>
      </c>
      <c r="D12942" s="13" t="s">
        <v>16475</v>
      </c>
      <c r="E12942" s="8">
        <v>5396.4</v>
      </c>
      <c r="F12942" s="13" t="s">
        <v>70</v>
      </c>
      <c r="G12942" s="14">
        <v>44770</v>
      </c>
      <c r="H12942" s="13" t="s">
        <v>163</v>
      </c>
    </row>
    <row r="12943" spans="1:8" ht="14.4" x14ac:dyDescent="0.3">
      <c r="A12943" s="8">
        <v>2055975</v>
      </c>
      <c r="B12943" s="11">
        <v>44764</v>
      </c>
      <c r="C12943" s="13" t="s">
        <v>16476</v>
      </c>
      <c r="D12943" s="13" t="s">
        <v>16477</v>
      </c>
      <c r="E12943" s="8">
        <v>50000</v>
      </c>
      <c r="F12943" s="13" t="s">
        <v>70</v>
      </c>
      <c r="G12943" s="14">
        <v>44769</v>
      </c>
      <c r="H12943" s="13" t="s">
        <v>163</v>
      </c>
    </row>
    <row r="12944" spans="1:8" ht="14.4" x14ac:dyDescent="0.3">
      <c r="A12944" s="8">
        <v>2055976</v>
      </c>
      <c r="B12944" s="11">
        <v>44764</v>
      </c>
      <c r="C12944" s="13" t="s">
        <v>9444</v>
      </c>
      <c r="D12944" s="13" t="s">
        <v>16478</v>
      </c>
      <c r="E12944" s="8">
        <v>12000</v>
      </c>
      <c r="F12944" s="13" t="s">
        <v>70</v>
      </c>
      <c r="G12944" s="14">
        <v>44768</v>
      </c>
      <c r="H12944" s="13" t="s">
        <v>163</v>
      </c>
    </row>
    <row r="12945" spans="1:8" ht="14.4" x14ac:dyDescent="0.3">
      <c r="A12945" s="8">
        <v>2055977</v>
      </c>
      <c r="B12945" s="11">
        <v>44767</v>
      </c>
      <c r="C12945" s="13" t="s">
        <v>16479</v>
      </c>
      <c r="D12945" s="13" t="s">
        <v>16480</v>
      </c>
      <c r="E12945" s="8">
        <v>20000</v>
      </c>
      <c r="F12945" s="13" t="s">
        <v>70</v>
      </c>
      <c r="G12945" s="14">
        <v>44774</v>
      </c>
      <c r="H12945" s="13" t="s">
        <v>163</v>
      </c>
    </row>
    <row r="12946" spans="1:8" ht="14.4" x14ac:dyDescent="0.3">
      <c r="A12946" s="8">
        <v>2055978</v>
      </c>
      <c r="B12946" s="11">
        <v>44767</v>
      </c>
      <c r="C12946" s="13" t="s">
        <v>16481</v>
      </c>
      <c r="D12946" s="13" t="s">
        <v>16482</v>
      </c>
      <c r="E12946" s="8">
        <v>20000</v>
      </c>
      <c r="F12946" s="13" t="s">
        <v>70</v>
      </c>
      <c r="G12946" s="14">
        <v>44774</v>
      </c>
      <c r="H12946" s="13" t="s">
        <v>163</v>
      </c>
    </row>
    <row r="12947" spans="1:8" ht="14.4" x14ac:dyDescent="0.3">
      <c r="A12947" s="8">
        <v>2055979</v>
      </c>
      <c r="B12947" s="11">
        <v>44767</v>
      </c>
      <c r="C12947" s="13" t="s">
        <v>16483</v>
      </c>
      <c r="D12947" s="13" t="s">
        <v>16484</v>
      </c>
      <c r="E12947" s="8">
        <v>26000</v>
      </c>
      <c r="F12947" s="13" t="s">
        <v>70</v>
      </c>
      <c r="G12947" s="14">
        <v>44774</v>
      </c>
      <c r="H12947" s="13" t="s">
        <v>163</v>
      </c>
    </row>
    <row r="12948" spans="1:8" ht="14.4" x14ac:dyDescent="0.3">
      <c r="A12948" s="8">
        <v>2055980</v>
      </c>
      <c r="B12948" s="11">
        <v>44767</v>
      </c>
      <c r="C12948" s="13" t="s">
        <v>2428</v>
      </c>
      <c r="D12948" s="13" t="s">
        <v>16485</v>
      </c>
      <c r="E12948" s="8">
        <v>12000</v>
      </c>
      <c r="F12948" s="13" t="s">
        <v>70</v>
      </c>
      <c r="G12948" s="14">
        <v>44806</v>
      </c>
      <c r="H12948" s="13" t="s">
        <v>163</v>
      </c>
    </row>
    <row r="12949" spans="1:8" ht="14.4" x14ac:dyDescent="0.3">
      <c r="A12949" s="8">
        <v>2055983</v>
      </c>
      <c r="B12949" s="11">
        <v>44767</v>
      </c>
      <c r="C12949" s="13" t="s">
        <v>16486</v>
      </c>
      <c r="D12949" s="13" t="s">
        <v>16487</v>
      </c>
      <c r="E12949" s="8">
        <v>40000</v>
      </c>
      <c r="F12949" s="13" t="s">
        <v>70</v>
      </c>
      <c r="G12949" s="14">
        <v>44770</v>
      </c>
      <c r="H12949" s="13" t="s">
        <v>163</v>
      </c>
    </row>
    <row r="12950" spans="1:8" ht="14.4" x14ac:dyDescent="0.3">
      <c r="A12950" s="8">
        <v>2055984</v>
      </c>
      <c r="B12950" s="11">
        <v>44767</v>
      </c>
      <c r="C12950" s="13" t="s">
        <v>16488</v>
      </c>
      <c r="D12950" s="13" t="s">
        <v>16489</v>
      </c>
      <c r="E12950" s="8">
        <v>20000</v>
      </c>
      <c r="F12950" s="13" t="s">
        <v>70</v>
      </c>
      <c r="G12950" s="14">
        <v>44774</v>
      </c>
      <c r="H12950" s="13" t="s">
        <v>163</v>
      </c>
    </row>
    <row r="12951" spans="1:8" ht="14.4" x14ac:dyDescent="0.3">
      <c r="A12951" s="8">
        <v>2055985</v>
      </c>
      <c r="B12951" s="11">
        <v>44767</v>
      </c>
      <c r="C12951" s="13" t="s">
        <v>16490</v>
      </c>
      <c r="D12951" s="13" t="s">
        <v>16491</v>
      </c>
      <c r="E12951" s="8">
        <v>2000</v>
      </c>
      <c r="F12951" s="13" t="s">
        <v>70</v>
      </c>
      <c r="G12951" s="14">
        <v>44774</v>
      </c>
      <c r="H12951" s="13" t="s">
        <v>163</v>
      </c>
    </row>
    <row r="12952" spans="1:8" ht="14.4" x14ac:dyDescent="0.3">
      <c r="A12952" s="8">
        <v>2055987</v>
      </c>
      <c r="B12952" s="11">
        <v>44767</v>
      </c>
      <c r="C12952" s="13" t="s">
        <v>16492</v>
      </c>
      <c r="D12952" s="13" t="s">
        <v>16493</v>
      </c>
      <c r="E12952" s="8">
        <v>2000</v>
      </c>
      <c r="F12952" s="13" t="s">
        <v>70</v>
      </c>
      <c r="G12952" s="14">
        <v>44771</v>
      </c>
      <c r="H12952" s="13" t="s">
        <v>163</v>
      </c>
    </row>
    <row r="12953" spans="1:8" ht="14.4" x14ac:dyDescent="0.3">
      <c r="A12953" s="8">
        <v>2055988</v>
      </c>
      <c r="B12953" s="11">
        <v>44767</v>
      </c>
      <c r="C12953" s="13" t="s">
        <v>16494</v>
      </c>
      <c r="D12953" s="13" t="s">
        <v>16495</v>
      </c>
      <c r="E12953" s="8">
        <v>12000</v>
      </c>
      <c r="F12953" s="13" t="s">
        <v>70</v>
      </c>
      <c r="G12953" s="14">
        <v>44771</v>
      </c>
      <c r="H12953" s="13" t="s">
        <v>163</v>
      </c>
    </row>
    <row r="12954" spans="1:8" ht="14.4" x14ac:dyDescent="0.3">
      <c r="A12954" s="8">
        <v>2055989</v>
      </c>
      <c r="B12954" s="11">
        <v>44767</v>
      </c>
      <c r="C12954" s="13" t="s">
        <v>16496</v>
      </c>
      <c r="D12954" s="13" t="s">
        <v>16497</v>
      </c>
      <c r="E12954" s="8">
        <v>6000</v>
      </c>
      <c r="F12954" s="13" t="s">
        <v>70</v>
      </c>
      <c r="G12954" s="14">
        <v>44770</v>
      </c>
      <c r="H12954" s="13" t="s">
        <v>163</v>
      </c>
    </row>
    <row r="12955" spans="1:8" ht="14.4" x14ac:dyDescent="0.3">
      <c r="A12955" s="8">
        <v>2055990</v>
      </c>
      <c r="B12955" s="11">
        <v>44767</v>
      </c>
      <c r="C12955" s="13" t="s">
        <v>7157</v>
      </c>
      <c r="D12955" s="13" t="s">
        <v>16498</v>
      </c>
      <c r="E12955" s="8">
        <v>2000</v>
      </c>
      <c r="F12955" s="13" t="s">
        <v>70</v>
      </c>
      <c r="G12955" s="14">
        <v>44771</v>
      </c>
      <c r="H12955" s="13" t="s">
        <v>163</v>
      </c>
    </row>
    <row r="12956" spans="1:8" ht="14.4" x14ac:dyDescent="0.3">
      <c r="A12956" s="8">
        <v>2055991</v>
      </c>
      <c r="B12956" s="11">
        <v>44767</v>
      </c>
      <c r="C12956" s="13" t="s">
        <v>16499</v>
      </c>
      <c r="D12956" s="13" t="s">
        <v>16500</v>
      </c>
      <c r="E12956" s="8">
        <v>10000</v>
      </c>
      <c r="F12956" s="13" t="s">
        <v>70</v>
      </c>
      <c r="G12956" s="14">
        <v>44771</v>
      </c>
      <c r="H12956" s="13" t="s">
        <v>163</v>
      </c>
    </row>
    <row r="12957" spans="1:8" ht="14.4" x14ac:dyDescent="0.3">
      <c r="A12957" s="8">
        <v>2055992</v>
      </c>
      <c r="B12957" s="11">
        <v>44767</v>
      </c>
      <c r="C12957" s="13" t="s">
        <v>14024</v>
      </c>
      <c r="D12957" s="13" t="s">
        <v>16501</v>
      </c>
      <c r="E12957" s="8">
        <v>2000</v>
      </c>
      <c r="F12957" s="13" t="s">
        <v>70</v>
      </c>
      <c r="G12957" s="14">
        <v>44774</v>
      </c>
      <c r="H12957" s="13" t="s">
        <v>163</v>
      </c>
    </row>
    <row r="12958" spans="1:8" ht="14.4" x14ac:dyDescent="0.3">
      <c r="A12958" s="8">
        <v>2055994</v>
      </c>
      <c r="B12958" s="11">
        <v>44767</v>
      </c>
      <c r="C12958" s="13" t="s">
        <v>16502</v>
      </c>
      <c r="D12958" s="13" t="s">
        <v>16503</v>
      </c>
      <c r="E12958" s="8">
        <v>2000</v>
      </c>
      <c r="F12958" s="13" t="s">
        <v>70</v>
      </c>
      <c r="G12958" s="14">
        <v>44771</v>
      </c>
      <c r="H12958" s="13" t="s">
        <v>163</v>
      </c>
    </row>
    <row r="12959" spans="1:8" ht="14.4" x14ac:dyDescent="0.3">
      <c r="A12959" s="8">
        <v>2055995</v>
      </c>
      <c r="B12959" s="11">
        <v>44767</v>
      </c>
      <c r="C12959" s="13" t="s">
        <v>16504</v>
      </c>
      <c r="D12959" s="13" t="s">
        <v>16505</v>
      </c>
      <c r="E12959" s="8">
        <v>8000</v>
      </c>
      <c r="F12959" s="13" t="s">
        <v>70</v>
      </c>
      <c r="G12959" s="14">
        <v>44771</v>
      </c>
      <c r="H12959" s="13" t="s">
        <v>163</v>
      </c>
    </row>
    <row r="12960" spans="1:8" ht="14.4" x14ac:dyDescent="0.3">
      <c r="A12960" s="8">
        <v>2055997</v>
      </c>
      <c r="B12960" s="11">
        <v>44767</v>
      </c>
      <c r="C12960" s="13" t="s">
        <v>16506</v>
      </c>
      <c r="D12960" s="13" t="s">
        <v>16507</v>
      </c>
      <c r="E12960" s="8">
        <v>2000</v>
      </c>
      <c r="F12960" s="13" t="s">
        <v>70</v>
      </c>
      <c r="G12960" s="14">
        <v>44774</v>
      </c>
      <c r="H12960" s="13" t="s">
        <v>163</v>
      </c>
    </row>
    <row r="12961" spans="1:8" ht="14.4" x14ac:dyDescent="0.3">
      <c r="A12961" s="8">
        <v>2055998</v>
      </c>
      <c r="B12961" s="11">
        <v>44767</v>
      </c>
      <c r="C12961" s="13" t="s">
        <v>16508</v>
      </c>
      <c r="D12961" s="13" t="s">
        <v>16509</v>
      </c>
      <c r="E12961" s="8">
        <v>6000</v>
      </c>
      <c r="F12961" s="13" t="s">
        <v>70</v>
      </c>
      <c r="G12961" s="14">
        <v>44770</v>
      </c>
      <c r="H12961" s="13" t="s">
        <v>163</v>
      </c>
    </row>
    <row r="12962" spans="1:8" ht="14.4" x14ac:dyDescent="0.3">
      <c r="A12962" s="8">
        <v>2055999</v>
      </c>
      <c r="B12962" s="11">
        <v>44767</v>
      </c>
      <c r="C12962" s="13" t="s">
        <v>16510</v>
      </c>
      <c r="D12962" s="13" t="s">
        <v>16511</v>
      </c>
      <c r="E12962" s="8">
        <v>10000</v>
      </c>
      <c r="F12962" s="13" t="s">
        <v>70</v>
      </c>
      <c r="G12962" s="14">
        <v>44770</v>
      </c>
      <c r="H12962" s="13" t="s">
        <v>163</v>
      </c>
    </row>
    <row r="12963" spans="1:8" ht="14.4" x14ac:dyDescent="0.3">
      <c r="A12963" s="8">
        <v>2056000</v>
      </c>
      <c r="B12963" s="11">
        <v>44767</v>
      </c>
      <c r="C12963" s="13" t="s">
        <v>16512</v>
      </c>
      <c r="D12963" s="13" t="s">
        <v>16513</v>
      </c>
      <c r="E12963" s="8">
        <v>6000</v>
      </c>
      <c r="F12963" s="13" t="s">
        <v>70</v>
      </c>
      <c r="G12963" s="14">
        <v>44769</v>
      </c>
      <c r="H12963" s="13" t="s">
        <v>163</v>
      </c>
    </row>
    <row r="12964" spans="1:8" ht="14.4" x14ac:dyDescent="0.3">
      <c r="A12964" s="8">
        <v>2056001</v>
      </c>
      <c r="B12964" s="11">
        <v>44767</v>
      </c>
      <c r="C12964" s="13" t="s">
        <v>14652</v>
      </c>
      <c r="D12964" s="13" t="s">
        <v>16514</v>
      </c>
      <c r="E12964" s="8">
        <v>2000</v>
      </c>
      <c r="F12964" s="13" t="s">
        <v>70</v>
      </c>
      <c r="G12964" s="14">
        <v>44771</v>
      </c>
      <c r="H12964" s="13" t="s">
        <v>163</v>
      </c>
    </row>
    <row r="12965" spans="1:8" ht="14.4" x14ac:dyDescent="0.3">
      <c r="A12965" s="8">
        <v>2056003</v>
      </c>
      <c r="B12965" s="11">
        <v>44767</v>
      </c>
      <c r="C12965" s="13" t="s">
        <v>6310</v>
      </c>
      <c r="D12965" s="13" t="s">
        <v>16515</v>
      </c>
      <c r="E12965" s="8">
        <v>794536.7</v>
      </c>
      <c r="F12965" s="13" t="s">
        <v>70</v>
      </c>
      <c r="G12965" s="14">
        <v>44768</v>
      </c>
      <c r="H12965" s="13" t="s">
        <v>163</v>
      </c>
    </row>
    <row r="12966" spans="1:8" ht="14.4" x14ac:dyDescent="0.3">
      <c r="A12966" s="8">
        <v>2056004</v>
      </c>
      <c r="B12966" s="11">
        <v>44767</v>
      </c>
      <c r="C12966" s="13" t="s">
        <v>16516</v>
      </c>
      <c r="D12966" s="13" t="s">
        <v>16517</v>
      </c>
      <c r="E12966" s="8">
        <v>2000</v>
      </c>
      <c r="F12966" s="13" t="s">
        <v>70</v>
      </c>
      <c r="G12966" s="14">
        <v>44770</v>
      </c>
      <c r="H12966" s="13" t="s">
        <v>163</v>
      </c>
    </row>
    <row r="12967" spans="1:8" ht="14.4" x14ac:dyDescent="0.3">
      <c r="A12967" s="8">
        <v>2056005</v>
      </c>
      <c r="B12967" s="11">
        <v>44767</v>
      </c>
      <c r="C12967" s="13" t="s">
        <v>14134</v>
      </c>
      <c r="D12967" s="13" t="s">
        <v>16518</v>
      </c>
      <c r="E12967" s="8">
        <v>323931.53999999998</v>
      </c>
      <c r="F12967" s="13" t="s">
        <v>70</v>
      </c>
      <c r="G12967" s="14">
        <v>44768</v>
      </c>
      <c r="H12967" s="13" t="s">
        <v>163</v>
      </c>
    </row>
    <row r="12968" spans="1:8" ht="14.4" x14ac:dyDescent="0.3">
      <c r="A12968" s="8">
        <v>2056006</v>
      </c>
      <c r="B12968" s="11">
        <v>44768</v>
      </c>
      <c r="C12968" s="13" t="s">
        <v>4252</v>
      </c>
      <c r="D12968" s="13" t="s">
        <v>16519</v>
      </c>
      <c r="E12968" s="8">
        <v>8000</v>
      </c>
      <c r="F12968" s="13" t="s">
        <v>70</v>
      </c>
      <c r="G12968" s="14">
        <v>44771</v>
      </c>
      <c r="H12968" s="13" t="s">
        <v>163</v>
      </c>
    </row>
    <row r="12969" spans="1:8" ht="14.4" x14ac:dyDescent="0.3">
      <c r="A12969" s="8">
        <v>2056007</v>
      </c>
      <c r="B12969" s="11">
        <v>44768</v>
      </c>
      <c r="C12969" s="13" t="s">
        <v>14825</v>
      </c>
      <c r="D12969" s="13" t="s">
        <v>16520</v>
      </c>
      <c r="E12969" s="8">
        <v>6000</v>
      </c>
      <c r="F12969" s="13" t="s">
        <v>70</v>
      </c>
      <c r="G12969" s="14">
        <v>44769</v>
      </c>
      <c r="H12969" s="13" t="s">
        <v>163</v>
      </c>
    </row>
    <row r="12970" spans="1:8" ht="14.4" x14ac:dyDescent="0.3">
      <c r="A12970" s="8">
        <v>2056008</v>
      </c>
      <c r="B12970" s="11">
        <v>44768</v>
      </c>
      <c r="C12970" s="13" t="s">
        <v>11127</v>
      </c>
      <c r="D12970" s="13" t="s">
        <v>16521</v>
      </c>
      <c r="E12970" s="8">
        <v>20000</v>
      </c>
      <c r="F12970" s="13" t="s">
        <v>70</v>
      </c>
      <c r="G12970" s="14">
        <v>44770</v>
      </c>
      <c r="H12970" s="13" t="s">
        <v>163</v>
      </c>
    </row>
    <row r="12971" spans="1:8" ht="14.4" x14ac:dyDescent="0.3">
      <c r="A12971" s="8">
        <v>2056009</v>
      </c>
      <c r="B12971" s="11">
        <v>44768</v>
      </c>
      <c r="C12971" s="13" t="s">
        <v>16522</v>
      </c>
      <c r="D12971" s="13" t="s">
        <v>16523</v>
      </c>
      <c r="E12971" s="8">
        <v>12000</v>
      </c>
      <c r="F12971" s="13" t="s">
        <v>70</v>
      </c>
      <c r="G12971" s="14">
        <v>44770</v>
      </c>
      <c r="H12971" s="13" t="s">
        <v>163</v>
      </c>
    </row>
    <row r="12972" spans="1:8" ht="14.4" x14ac:dyDescent="0.3">
      <c r="A12972" s="8">
        <v>2056010</v>
      </c>
      <c r="B12972" s="11">
        <v>44768</v>
      </c>
      <c r="C12972" s="13" t="s">
        <v>16524</v>
      </c>
      <c r="D12972" s="13" t="s">
        <v>16525</v>
      </c>
      <c r="E12972" s="8">
        <v>10000</v>
      </c>
      <c r="F12972" s="13" t="s">
        <v>70</v>
      </c>
      <c r="G12972" s="14">
        <v>44774</v>
      </c>
      <c r="H12972" s="13" t="s">
        <v>163</v>
      </c>
    </row>
    <row r="12973" spans="1:8" ht="14.4" x14ac:dyDescent="0.3">
      <c r="A12973" s="8">
        <v>2056011</v>
      </c>
      <c r="B12973" s="11">
        <v>44768</v>
      </c>
      <c r="C12973" s="13" t="s">
        <v>4292</v>
      </c>
      <c r="D12973" s="13" t="s">
        <v>16526</v>
      </c>
      <c r="E12973" s="8">
        <v>20000</v>
      </c>
      <c r="F12973" s="13" t="s">
        <v>70</v>
      </c>
      <c r="G12973" s="14">
        <v>44770</v>
      </c>
      <c r="H12973" s="13" t="s">
        <v>163</v>
      </c>
    </row>
    <row r="12974" spans="1:8" ht="14.4" x14ac:dyDescent="0.3">
      <c r="A12974" s="8">
        <v>2056012</v>
      </c>
      <c r="B12974" s="11">
        <v>44768</v>
      </c>
      <c r="C12974" s="13" t="s">
        <v>16527</v>
      </c>
      <c r="D12974" s="13" t="s">
        <v>16528</v>
      </c>
      <c r="E12974" s="8">
        <v>4000</v>
      </c>
      <c r="F12974" s="13" t="s">
        <v>70</v>
      </c>
      <c r="G12974" s="14">
        <v>44770</v>
      </c>
      <c r="H12974" s="13" t="s">
        <v>163</v>
      </c>
    </row>
    <row r="12975" spans="1:8" ht="14.4" x14ac:dyDescent="0.3">
      <c r="A12975" s="8">
        <v>2056013</v>
      </c>
      <c r="B12975" s="11">
        <v>44768</v>
      </c>
      <c r="C12975" s="13" t="s">
        <v>16529</v>
      </c>
      <c r="D12975" s="13" t="s">
        <v>16530</v>
      </c>
      <c r="E12975" s="8">
        <v>4000</v>
      </c>
      <c r="F12975" s="13" t="s">
        <v>70</v>
      </c>
      <c r="G12975" s="14">
        <v>44770</v>
      </c>
      <c r="H12975" s="13" t="s">
        <v>163</v>
      </c>
    </row>
    <row r="12976" spans="1:8" ht="14.4" x14ac:dyDescent="0.3">
      <c r="A12976" s="8">
        <v>2056014</v>
      </c>
      <c r="B12976" s="11">
        <v>44768</v>
      </c>
      <c r="C12976" s="13" t="s">
        <v>16531</v>
      </c>
      <c r="D12976" s="13" t="s">
        <v>16532</v>
      </c>
      <c r="E12976" s="8">
        <v>4000</v>
      </c>
      <c r="F12976" s="13" t="s">
        <v>70</v>
      </c>
      <c r="G12976" s="14">
        <v>44770</v>
      </c>
      <c r="H12976" s="13" t="s">
        <v>163</v>
      </c>
    </row>
    <row r="12977" spans="1:8" ht="14.4" x14ac:dyDescent="0.3">
      <c r="A12977" s="8">
        <v>2056015</v>
      </c>
      <c r="B12977" s="11">
        <v>44768</v>
      </c>
      <c r="C12977" s="13" t="s">
        <v>16533</v>
      </c>
      <c r="D12977" s="13" t="s">
        <v>16534</v>
      </c>
      <c r="E12977" s="8">
        <v>4000</v>
      </c>
      <c r="F12977" s="13" t="s">
        <v>70</v>
      </c>
      <c r="G12977" s="14">
        <v>44771</v>
      </c>
      <c r="H12977" s="13" t="s">
        <v>163</v>
      </c>
    </row>
    <row r="12978" spans="1:8" ht="14.4" x14ac:dyDescent="0.3">
      <c r="A12978" s="8">
        <v>2056016</v>
      </c>
      <c r="B12978" s="11">
        <v>44768</v>
      </c>
      <c r="C12978" s="13" t="s">
        <v>16535</v>
      </c>
      <c r="D12978" s="13" t="s">
        <v>16536</v>
      </c>
      <c r="E12978" s="8">
        <v>2000</v>
      </c>
      <c r="F12978" s="13" t="s">
        <v>70</v>
      </c>
      <c r="G12978" s="14">
        <v>44770</v>
      </c>
      <c r="H12978" s="13" t="s">
        <v>163</v>
      </c>
    </row>
    <row r="12979" spans="1:8" ht="14.4" x14ac:dyDescent="0.3">
      <c r="A12979" s="8">
        <v>2056017</v>
      </c>
      <c r="B12979" s="11">
        <v>44768</v>
      </c>
      <c r="C12979" s="13" t="s">
        <v>16537</v>
      </c>
      <c r="D12979" s="13" t="s">
        <v>16538</v>
      </c>
      <c r="E12979" s="8">
        <v>4000</v>
      </c>
      <c r="F12979" s="13" t="s">
        <v>70</v>
      </c>
      <c r="G12979" s="14">
        <v>44771</v>
      </c>
      <c r="H12979" s="13" t="s">
        <v>163</v>
      </c>
    </row>
    <row r="12980" spans="1:8" ht="14.4" x14ac:dyDescent="0.3">
      <c r="A12980" s="8">
        <v>2056018</v>
      </c>
      <c r="B12980" s="11">
        <v>44768</v>
      </c>
      <c r="C12980" s="13" t="s">
        <v>16539</v>
      </c>
      <c r="D12980" s="13" t="s">
        <v>16540</v>
      </c>
      <c r="E12980" s="8">
        <v>2000</v>
      </c>
      <c r="F12980" s="13" t="s">
        <v>70</v>
      </c>
      <c r="G12980" s="14">
        <v>44778</v>
      </c>
      <c r="H12980" s="13" t="s">
        <v>163</v>
      </c>
    </row>
    <row r="12981" spans="1:8" ht="14.4" x14ac:dyDescent="0.3">
      <c r="A12981" s="8">
        <v>2056019</v>
      </c>
      <c r="B12981" s="11">
        <v>44768</v>
      </c>
      <c r="C12981" s="13" t="s">
        <v>16541</v>
      </c>
      <c r="D12981" s="13" t="s">
        <v>16542</v>
      </c>
      <c r="E12981" s="8">
        <v>4000</v>
      </c>
      <c r="F12981" s="13" t="s">
        <v>70</v>
      </c>
      <c r="G12981" s="14">
        <v>44770</v>
      </c>
      <c r="H12981" s="13" t="s">
        <v>163</v>
      </c>
    </row>
    <row r="12982" spans="1:8" ht="14.4" x14ac:dyDescent="0.3">
      <c r="A12982" s="8">
        <v>2056021</v>
      </c>
      <c r="B12982" s="11">
        <v>44768</v>
      </c>
      <c r="C12982" s="13" t="s">
        <v>16543</v>
      </c>
      <c r="D12982" s="13" t="s">
        <v>16544</v>
      </c>
      <c r="E12982" s="8">
        <v>4000</v>
      </c>
      <c r="F12982" s="13" t="s">
        <v>70</v>
      </c>
      <c r="G12982" s="14">
        <v>44770</v>
      </c>
      <c r="H12982" s="13" t="s">
        <v>163</v>
      </c>
    </row>
    <row r="12983" spans="1:8" ht="14.4" x14ac:dyDescent="0.3">
      <c r="A12983" s="8">
        <v>2056022</v>
      </c>
      <c r="B12983" s="11">
        <v>44768</v>
      </c>
      <c r="C12983" s="13" t="s">
        <v>6414</v>
      </c>
      <c r="D12983" s="13" t="s">
        <v>16545</v>
      </c>
      <c r="E12983" s="8">
        <v>556500</v>
      </c>
      <c r="F12983" s="13" t="s">
        <v>70</v>
      </c>
      <c r="G12983" s="14">
        <v>44791</v>
      </c>
      <c r="H12983" s="13" t="s">
        <v>163</v>
      </c>
    </row>
    <row r="12984" spans="1:8" ht="14.4" x14ac:dyDescent="0.3">
      <c r="A12984" s="8">
        <v>2056023</v>
      </c>
      <c r="B12984" s="11">
        <v>44769</v>
      </c>
      <c r="C12984" s="13" t="s">
        <v>255</v>
      </c>
      <c r="D12984" s="13" t="s">
        <v>16546</v>
      </c>
      <c r="E12984" s="8">
        <v>842111.48</v>
      </c>
      <c r="F12984" s="13" t="s">
        <v>70</v>
      </c>
      <c r="G12984" s="14">
        <v>44770</v>
      </c>
      <c r="H12984" s="13" t="s">
        <v>163</v>
      </c>
    </row>
    <row r="12985" spans="1:8" ht="14.4" x14ac:dyDescent="0.3">
      <c r="A12985" s="8">
        <v>2056024</v>
      </c>
      <c r="B12985" s="11">
        <v>44769</v>
      </c>
      <c r="C12985" s="13" t="s">
        <v>16547</v>
      </c>
      <c r="D12985" s="13" t="s">
        <v>16548</v>
      </c>
      <c r="E12985" s="8">
        <v>20000</v>
      </c>
      <c r="F12985" s="13" t="s">
        <v>70</v>
      </c>
      <c r="G12985" s="14">
        <v>44774</v>
      </c>
      <c r="H12985" s="13" t="s">
        <v>163</v>
      </c>
    </row>
    <row r="12986" spans="1:8" ht="14.4" x14ac:dyDescent="0.3">
      <c r="A12986" s="8">
        <v>2056025</v>
      </c>
      <c r="B12986" s="11">
        <v>44769</v>
      </c>
      <c r="C12986" s="13" t="s">
        <v>4241</v>
      </c>
      <c r="D12986" s="13" t="s">
        <v>16549</v>
      </c>
      <c r="E12986" s="8">
        <v>6000</v>
      </c>
      <c r="F12986" s="13" t="s">
        <v>70</v>
      </c>
      <c r="G12986" s="14">
        <v>44771</v>
      </c>
      <c r="H12986" s="13" t="s">
        <v>163</v>
      </c>
    </row>
    <row r="12987" spans="1:8" ht="14.4" x14ac:dyDescent="0.3">
      <c r="A12987" s="8">
        <v>2056026</v>
      </c>
      <c r="B12987" s="11">
        <v>44769</v>
      </c>
      <c r="C12987" s="13" t="s">
        <v>16550</v>
      </c>
      <c r="D12987" s="13" t="s">
        <v>16551</v>
      </c>
      <c r="E12987" s="8">
        <v>6000</v>
      </c>
      <c r="F12987" s="13" t="s">
        <v>70</v>
      </c>
      <c r="G12987" s="14">
        <v>44771</v>
      </c>
      <c r="H12987" s="13" t="s">
        <v>163</v>
      </c>
    </row>
    <row r="12988" spans="1:8" ht="14.4" x14ac:dyDescent="0.3">
      <c r="A12988" s="8">
        <v>2056027</v>
      </c>
      <c r="B12988" s="11">
        <v>44769</v>
      </c>
      <c r="C12988" s="13" t="s">
        <v>4387</v>
      </c>
      <c r="D12988" s="13" t="s">
        <v>16552</v>
      </c>
      <c r="E12988" s="8">
        <v>16000</v>
      </c>
      <c r="F12988" s="13" t="s">
        <v>70</v>
      </c>
      <c r="G12988" s="14">
        <v>44770</v>
      </c>
      <c r="H12988" s="13" t="s">
        <v>163</v>
      </c>
    </row>
    <row r="12989" spans="1:8" ht="14.4" x14ac:dyDescent="0.3">
      <c r="A12989" s="8">
        <v>2056028</v>
      </c>
      <c r="B12989" s="11">
        <v>44769</v>
      </c>
      <c r="C12989" s="13" t="s">
        <v>16553</v>
      </c>
      <c r="D12989" s="13" t="s">
        <v>16554</v>
      </c>
      <c r="E12989" s="8">
        <v>50000</v>
      </c>
      <c r="F12989" s="13" t="s">
        <v>70</v>
      </c>
      <c r="G12989" s="14">
        <v>44771</v>
      </c>
      <c r="H12989" s="13" t="s">
        <v>163</v>
      </c>
    </row>
    <row r="12990" spans="1:8" ht="14.4" x14ac:dyDescent="0.3">
      <c r="A12990" s="8">
        <v>2056029</v>
      </c>
      <c r="B12990" s="11">
        <v>44769</v>
      </c>
      <c r="C12990" s="13" t="s">
        <v>16555</v>
      </c>
      <c r="D12990" s="13" t="s">
        <v>16556</v>
      </c>
      <c r="E12990" s="8">
        <v>4000</v>
      </c>
      <c r="F12990" s="13" t="s">
        <v>70</v>
      </c>
      <c r="G12990" s="14">
        <v>44771</v>
      </c>
      <c r="H12990" s="13" t="s">
        <v>163</v>
      </c>
    </row>
    <row r="12991" spans="1:8" ht="14.4" x14ac:dyDescent="0.3">
      <c r="A12991" s="8">
        <v>2056030</v>
      </c>
      <c r="B12991" s="11">
        <v>44769</v>
      </c>
      <c r="C12991" s="13" t="s">
        <v>4701</v>
      </c>
      <c r="D12991" s="13" t="s">
        <v>16557</v>
      </c>
      <c r="E12991" s="8">
        <v>2000</v>
      </c>
      <c r="F12991" s="13" t="s">
        <v>70</v>
      </c>
      <c r="G12991" s="14">
        <v>44771</v>
      </c>
      <c r="H12991" s="13" t="s">
        <v>163</v>
      </c>
    </row>
    <row r="12992" spans="1:8" ht="14.4" x14ac:dyDescent="0.3">
      <c r="A12992" s="8">
        <v>2056031</v>
      </c>
      <c r="B12992" s="11">
        <v>44769</v>
      </c>
      <c r="C12992" s="13" t="s">
        <v>16558</v>
      </c>
      <c r="D12992" s="13" t="s">
        <v>16559</v>
      </c>
      <c r="E12992" s="8">
        <v>4000</v>
      </c>
      <c r="F12992" s="13" t="s">
        <v>70</v>
      </c>
      <c r="G12992" s="14">
        <v>44775</v>
      </c>
      <c r="H12992" s="13" t="s">
        <v>163</v>
      </c>
    </row>
    <row r="12993" spans="1:8" ht="14.4" x14ac:dyDescent="0.3">
      <c r="A12993" s="8">
        <v>2056032</v>
      </c>
      <c r="B12993" s="11">
        <v>44769</v>
      </c>
      <c r="C12993" s="13" t="s">
        <v>16560</v>
      </c>
      <c r="D12993" s="13" t="s">
        <v>16561</v>
      </c>
      <c r="E12993" s="8">
        <v>2000</v>
      </c>
      <c r="F12993" s="13" t="s">
        <v>70</v>
      </c>
      <c r="G12993" s="14">
        <v>44774</v>
      </c>
      <c r="H12993" s="13" t="s">
        <v>163</v>
      </c>
    </row>
    <row r="12994" spans="1:8" ht="14.4" x14ac:dyDescent="0.3">
      <c r="A12994" s="8">
        <v>2056033</v>
      </c>
      <c r="B12994" s="11">
        <v>44769</v>
      </c>
      <c r="C12994" s="13" t="s">
        <v>16562</v>
      </c>
      <c r="D12994" s="13" t="s">
        <v>16563</v>
      </c>
      <c r="E12994" s="8">
        <v>2000</v>
      </c>
      <c r="F12994" s="13" t="s">
        <v>70</v>
      </c>
      <c r="G12994" s="14">
        <v>44771</v>
      </c>
      <c r="H12994" s="13" t="s">
        <v>163</v>
      </c>
    </row>
    <row r="12995" spans="1:8" ht="14.4" x14ac:dyDescent="0.3">
      <c r="A12995" s="8">
        <v>2056034</v>
      </c>
      <c r="B12995" s="11">
        <v>44769</v>
      </c>
      <c r="C12995" s="13" t="s">
        <v>16564</v>
      </c>
      <c r="D12995" s="13" t="s">
        <v>16565</v>
      </c>
      <c r="E12995" s="8">
        <v>4000</v>
      </c>
      <c r="F12995" s="13" t="s">
        <v>70</v>
      </c>
      <c r="G12995" s="14">
        <v>44771</v>
      </c>
      <c r="H12995" s="13" t="s">
        <v>163</v>
      </c>
    </row>
    <row r="12996" spans="1:8" ht="14.4" x14ac:dyDescent="0.3">
      <c r="A12996" s="8">
        <v>2056035</v>
      </c>
      <c r="B12996" s="11">
        <v>44769</v>
      </c>
      <c r="C12996" s="13" t="s">
        <v>16566</v>
      </c>
      <c r="D12996" s="13" t="s">
        <v>16567</v>
      </c>
      <c r="E12996" s="8">
        <v>10000</v>
      </c>
      <c r="F12996" s="13" t="s">
        <v>70</v>
      </c>
      <c r="G12996" s="14">
        <v>44771</v>
      </c>
      <c r="H12996" s="13" t="s">
        <v>163</v>
      </c>
    </row>
    <row r="12997" spans="1:8" ht="14.4" x14ac:dyDescent="0.3">
      <c r="A12997" s="8">
        <v>2056036</v>
      </c>
      <c r="B12997" s="11">
        <v>44769</v>
      </c>
      <c r="C12997" s="13" t="s">
        <v>16568</v>
      </c>
      <c r="D12997" s="13" t="s">
        <v>16569</v>
      </c>
      <c r="E12997" s="8">
        <v>6000</v>
      </c>
      <c r="F12997" s="13" t="s">
        <v>70</v>
      </c>
      <c r="G12997" s="14">
        <v>44775</v>
      </c>
      <c r="H12997" s="13" t="s">
        <v>163</v>
      </c>
    </row>
    <row r="12998" spans="1:8" ht="14.4" x14ac:dyDescent="0.3">
      <c r="A12998" s="8">
        <v>2056037</v>
      </c>
      <c r="B12998" s="11">
        <v>44769</v>
      </c>
      <c r="C12998" s="13" t="s">
        <v>4269</v>
      </c>
      <c r="D12998" s="13" t="s">
        <v>16570</v>
      </c>
      <c r="E12998" s="8">
        <v>26000</v>
      </c>
      <c r="F12998" s="13" t="s">
        <v>70</v>
      </c>
      <c r="G12998" s="14">
        <v>44771</v>
      </c>
      <c r="H12998" s="13" t="s">
        <v>163</v>
      </c>
    </row>
    <row r="12999" spans="1:8" ht="14.4" x14ac:dyDescent="0.3">
      <c r="A12999" s="8">
        <v>2056038</v>
      </c>
      <c r="B12999" s="11">
        <v>44769</v>
      </c>
      <c r="C12999" s="13" t="s">
        <v>3319</v>
      </c>
      <c r="D12999" s="13" t="s">
        <v>16571</v>
      </c>
      <c r="E12999" s="8">
        <v>20000</v>
      </c>
      <c r="F12999" s="13" t="s">
        <v>70</v>
      </c>
      <c r="G12999" s="14">
        <v>44770</v>
      </c>
      <c r="H12999" s="13" t="s">
        <v>163</v>
      </c>
    </row>
    <row r="13000" spans="1:8" ht="14.4" x14ac:dyDescent="0.3">
      <c r="A13000" s="8">
        <v>2056039</v>
      </c>
      <c r="B13000" s="11">
        <v>44769</v>
      </c>
      <c r="C13000" s="13" t="s">
        <v>16572</v>
      </c>
      <c r="D13000" s="13" t="s">
        <v>16573</v>
      </c>
      <c r="E13000" s="8">
        <v>6000</v>
      </c>
      <c r="F13000" s="13" t="s">
        <v>70</v>
      </c>
      <c r="G13000" s="14">
        <v>44774</v>
      </c>
      <c r="H13000" s="13" t="s">
        <v>163</v>
      </c>
    </row>
    <row r="13001" spans="1:8" ht="14.4" x14ac:dyDescent="0.3">
      <c r="A13001" s="8">
        <v>2056040</v>
      </c>
      <c r="B13001" s="11">
        <v>44769</v>
      </c>
      <c r="C13001" s="13" t="s">
        <v>16574</v>
      </c>
      <c r="D13001" s="13" t="s">
        <v>16575</v>
      </c>
      <c r="E13001" s="8">
        <v>10000</v>
      </c>
      <c r="F13001" s="13" t="s">
        <v>70</v>
      </c>
      <c r="G13001" s="14">
        <v>44771</v>
      </c>
      <c r="H13001" s="13" t="s">
        <v>163</v>
      </c>
    </row>
    <row r="13002" spans="1:8" ht="14.4" x14ac:dyDescent="0.3">
      <c r="A13002" s="8">
        <v>2056041</v>
      </c>
      <c r="B13002" s="11">
        <v>44769</v>
      </c>
      <c r="C13002" s="13" t="s">
        <v>16576</v>
      </c>
      <c r="D13002" s="13" t="s">
        <v>16577</v>
      </c>
      <c r="E13002" s="8">
        <v>8000</v>
      </c>
      <c r="F13002" s="13" t="s">
        <v>70</v>
      </c>
      <c r="G13002" s="14">
        <v>44773</v>
      </c>
      <c r="H13002" s="13" t="s">
        <v>163</v>
      </c>
    </row>
    <row r="13003" spans="1:8" ht="14.4" x14ac:dyDescent="0.3">
      <c r="A13003" s="8">
        <v>2056042</v>
      </c>
      <c r="B13003" s="11">
        <v>44769</v>
      </c>
      <c r="C13003" s="13" t="s">
        <v>16578</v>
      </c>
      <c r="D13003" s="13" t="s">
        <v>16579</v>
      </c>
      <c r="E13003" s="8">
        <v>10000</v>
      </c>
      <c r="F13003" s="13" t="s">
        <v>70</v>
      </c>
      <c r="G13003" s="14">
        <v>44774</v>
      </c>
      <c r="H13003" s="13" t="s">
        <v>163</v>
      </c>
    </row>
    <row r="13004" spans="1:8" ht="14.4" x14ac:dyDescent="0.3">
      <c r="A13004" s="8">
        <v>2056043</v>
      </c>
      <c r="B13004" s="11">
        <v>44769</v>
      </c>
      <c r="C13004" s="13" t="s">
        <v>16580</v>
      </c>
      <c r="D13004" s="13" t="s">
        <v>16581</v>
      </c>
      <c r="E13004" s="8">
        <v>8000</v>
      </c>
      <c r="F13004" s="13" t="s">
        <v>70</v>
      </c>
      <c r="G13004" s="14">
        <v>44771</v>
      </c>
      <c r="H13004" s="13" t="s">
        <v>163</v>
      </c>
    </row>
    <row r="13005" spans="1:8" ht="14.4" x14ac:dyDescent="0.3">
      <c r="A13005" s="8">
        <v>2056044</v>
      </c>
      <c r="B13005" s="11">
        <v>44769</v>
      </c>
      <c r="C13005" s="13" t="s">
        <v>16582</v>
      </c>
      <c r="D13005" s="13" t="s">
        <v>16583</v>
      </c>
      <c r="E13005" s="8">
        <v>30000</v>
      </c>
      <c r="F13005" s="13" t="s">
        <v>70</v>
      </c>
      <c r="G13005" s="14">
        <v>44771</v>
      </c>
      <c r="H13005" s="13" t="s">
        <v>163</v>
      </c>
    </row>
    <row r="13006" spans="1:8" ht="14.4" x14ac:dyDescent="0.3">
      <c r="A13006" s="8">
        <v>2056045</v>
      </c>
      <c r="B13006" s="11">
        <v>44769</v>
      </c>
      <c r="C13006" s="13" t="s">
        <v>16584</v>
      </c>
      <c r="D13006" s="13" t="s">
        <v>16585</v>
      </c>
      <c r="E13006" s="8">
        <v>6000</v>
      </c>
      <c r="F13006" s="13" t="s">
        <v>70</v>
      </c>
      <c r="G13006" s="14">
        <v>44771</v>
      </c>
      <c r="H13006" s="13" t="s">
        <v>163</v>
      </c>
    </row>
    <row r="13007" spans="1:8" ht="14.4" x14ac:dyDescent="0.3">
      <c r="A13007" s="8">
        <v>2056046</v>
      </c>
      <c r="B13007" s="11">
        <v>44769</v>
      </c>
      <c r="C13007" s="13" t="s">
        <v>16586</v>
      </c>
      <c r="D13007" s="13" t="s">
        <v>16587</v>
      </c>
      <c r="E13007" s="8">
        <v>174800</v>
      </c>
      <c r="F13007" s="13" t="s">
        <v>70</v>
      </c>
      <c r="G13007" s="14">
        <v>44770</v>
      </c>
      <c r="H13007" s="13" t="s">
        <v>163</v>
      </c>
    </row>
    <row r="13008" spans="1:8" ht="14.4" x14ac:dyDescent="0.3">
      <c r="A13008" s="8">
        <v>2056047</v>
      </c>
      <c r="B13008" s="11">
        <v>44771</v>
      </c>
      <c r="C13008" s="13" t="s">
        <v>16588</v>
      </c>
      <c r="D13008" s="13" t="s">
        <v>16589</v>
      </c>
      <c r="E13008" s="8">
        <v>1373740.72</v>
      </c>
      <c r="F13008" s="13" t="s">
        <v>70</v>
      </c>
      <c r="G13008" s="14">
        <v>44778</v>
      </c>
      <c r="H13008" s="13" t="s">
        <v>163</v>
      </c>
    </row>
    <row r="13009" spans="1:8" ht="14.4" x14ac:dyDescent="0.3">
      <c r="A13009" s="8">
        <v>2056048</v>
      </c>
      <c r="B13009" s="11">
        <v>44771</v>
      </c>
      <c r="C13009" s="13" t="s">
        <v>16590</v>
      </c>
      <c r="D13009" s="13" t="s">
        <v>16591</v>
      </c>
      <c r="E13009" s="8">
        <v>6000</v>
      </c>
      <c r="F13009" s="13" t="s">
        <v>70</v>
      </c>
      <c r="G13009" s="14">
        <v>44775</v>
      </c>
      <c r="H13009" s="13" t="s">
        <v>163</v>
      </c>
    </row>
    <row r="13010" spans="1:8" ht="14.4" x14ac:dyDescent="0.3">
      <c r="A13010" s="8">
        <v>2056049</v>
      </c>
      <c r="B13010" s="11">
        <v>44771</v>
      </c>
      <c r="C13010" s="13" t="s">
        <v>2743</v>
      </c>
      <c r="D13010" s="13" t="s">
        <v>16592</v>
      </c>
      <c r="E13010" s="8">
        <v>6000</v>
      </c>
      <c r="F13010" s="13" t="s">
        <v>70</v>
      </c>
      <c r="G13010" s="14">
        <v>44775</v>
      </c>
      <c r="H13010" s="13" t="s">
        <v>163</v>
      </c>
    </row>
    <row r="13011" spans="1:8" ht="14.4" x14ac:dyDescent="0.3">
      <c r="A13011" s="8">
        <v>2056050</v>
      </c>
      <c r="B13011" s="11">
        <v>44771</v>
      </c>
      <c r="C13011" s="13" t="s">
        <v>16593</v>
      </c>
      <c r="D13011" s="13" t="s">
        <v>16594</v>
      </c>
      <c r="E13011" s="8">
        <v>6000</v>
      </c>
      <c r="F13011" s="13" t="s">
        <v>70</v>
      </c>
      <c r="G13011" s="14">
        <v>44775</v>
      </c>
      <c r="H13011" s="13" t="s">
        <v>163</v>
      </c>
    </row>
    <row r="13012" spans="1:8" ht="14.4" x14ac:dyDescent="0.3">
      <c r="A13012" s="8">
        <v>2056051</v>
      </c>
      <c r="B13012" s="11">
        <v>44771</v>
      </c>
      <c r="C13012" s="13" t="s">
        <v>4418</v>
      </c>
      <c r="D13012" s="13" t="s">
        <v>16595</v>
      </c>
      <c r="E13012" s="8">
        <v>20000</v>
      </c>
      <c r="F13012" s="13" t="s">
        <v>70</v>
      </c>
      <c r="G13012" s="14">
        <v>44775</v>
      </c>
      <c r="H13012" s="13" t="s">
        <v>163</v>
      </c>
    </row>
    <row r="13013" spans="1:8" ht="14.4" x14ac:dyDescent="0.3">
      <c r="A13013" s="8">
        <v>2056052</v>
      </c>
      <c r="B13013" s="11">
        <v>44771</v>
      </c>
      <c r="C13013" s="13" t="s">
        <v>16596</v>
      </c>
      <c r="D13013" s="13" t="s">
        <v>16597</v>
      </c>
      <c r="E13013" s="8">
        <v>2000</v>
      </c>
      <c r="F13013" s="13" t="s">
        <v>70</v>
      </c>
      <c r="G13013" s="14">
        <v>44776</v>
      </c>
      <c r="H13013" s="13" t="s">
        <v>163</v>
      </c>
    </row>
    <row r="13014" spans="1:8" ht="14.4" x14ac:dyDescent="0.3">
      <c r="A13014" s="8">
        <v>2056053</v>
      </c>
      <c r="B13014" s="11">
        <v>44771</v>
      </c>
      <c r="C13014" s="13" t="s">
        <v>16598</v>
      </c>
      <c r="D13014" s="13" t="s">
        <v>16599</v>
      </c>
      <c r="E13014" s="8">
        <v>2000</v>
      </c>
      <c r="F13014" s="13" t="s">
        <v>70</v>
      </c>
      <c r="G13014" s="14">
        <v>44778</v>
      </c>
      <c r="H13014" s="13" t="s">
        <v>163</v>
      </c>
    </row>
    <row r="13015" spans="1:8" ht="14.4" x14ac:dyDescent="0.3">
      <c r="A13015" s="8">
        <v>2056054</v>
      </c>
      <c r="B13015" s="11">
        <v>44771</v>
      </c>
      <c r="C13015" s="13" t="s">
        <v>16600</v>
      </c>
      <c r="D13015" s="13" t="s">
        <v>16601</v>
      </c>
      <c r="E13015" s="8">
        <v>2000</v>
      </c>
      <c r="F13015" s="13" t="s">
        <v>70</v>
      </c>
      <c r="G13015" s="14">
        <v>44776</v>
      </c>
      <c r="H13015" s="13" t="s">
        <v>163</v>
      </c>
    </row>
    <row r="13016" spans="1:8" ht="14.4" x14ac:dyDescent="0.3">
      <c r="A13016" s="8">
        <v>2056055</v>
      </c>
      <c r="B13016" s="11">
        <v>44771</v>
      </c>
      <c r="C13016" s="13" t="s">
        <v>16602</v>
      </c>
      <c r="D13016" s="13" t="s">
        <v>16603</v>
      </c>
      <c r="E13016" s="8">
        <v>2000</v>
      </c>
      <c r="F13016" s="13" t="s">
        <v>70</v>
      </c>
      <c r="G13016" s="14">
        <v>44775</v>
      </c>
      <c r="H13016" s="13" t="s">
        <v>163</v>
      </c>
    </row>
    <row r="13017" spans="1:8" ht="14.4" x14ac:dyDescent="0.3">
      <c r="A13017" s="8">
        <v>2056056</v>
      </c>
      <c r="B13017" s="11">
        <v>44771</v>
      </c>
      <c r="C13017" s="13" t="s">
        <v>13788</v>
      </c>
      <c r="D13017" s="13" t="s">
        <v>16604</v>
      </c>
      <c r="E13017" s="8">
        <v>2000</v>
      </c>
      <c r="F13017" s="13" t="s">
        <v>70</v>
      </c>
      <c r="G13017" s="14">
        <v>44775</v>
      </c>
      <c r="H13017" s="13" t="s">
        <v>163</v>
      </c>
    </row>
    <row r="13018" spans="1:8" ht="14.4" x14ac:dyDescent="0.3">
      <c r="A13018" s="8">
        <v>2056057</v>
      </c>
      <c r="B13018" s="11">
        <v>44771</v>
      </c>
      <c r="C13018" s="13" t="s">
        <v>16605</v>
      </c>
      <c r="D13018" s="13" t="s">
        <v>16606</v>
      </c>
      <c r="E13018" s="8">
        <v>1000</v>
      </c>
      <c r="F13018" s="13" t="s">
        <v>70</v>
      </c>
      <c r="G13018" s="14">
        <v>44776</v>
      </c>
      <c r="H13018" s="13" t="s">
        <v>163</v>
      </c>
    </row>
    <row r="13019" spans="1:8" ht="14.4" x14ac:dyDescent="0.3">
      <c r="A13019" s="8">
        <v>2056058</v>
      </c>
      <c r="B13019" s="11">
        <v>44771</v>
      </c>
      <c r="C13019" s="13" t="s">
        <v>4454</v>
      </c>
      <c r="D13019" s="13" t="s">
        <v>16607</v>
      </c>
      <c r="E13019" s="8">
        <v>30000</v>
      </c>
      <c r="F13019" s="13" t="s">
        <v>70</v>
      </c>
      <c r="G13019" s="14">
        <v>44775</v>
      </c>
      <c r="H13019" s="13" t="s">
        <v>163</v>
      </c>
    </row>
    <row r="13020" spans="1:8" ht="14.4" x14ac:dyDescent="0.3">
      <c r="A13020" s="8">
        <v>2056059</v>
      </c>
      <c r="B13020" s="11">
        <v>44771</v>
      </c>
      <c r="C13020" s="13" t="s">
        <v>3969</v>
      </c>
      <c r="D13020" s="13" t="s">
        <v>16608</v>
      </c>
      <c r="E13020" s="8">
        <v>10000</v>
      </c>
      <c r="F13020" s="13" t="s">
        <v>70</v>
      </c>
      <c r="G13020" s="14">
        <v>44775</v>
      </c>
      <c r="H13020" s="13" t="s">
        <v>163</v>
      </c>
    </row>
    <row r="13021" spans="1:8" ht="14.4" x14ac:dyDescent="0.3">
      <c r="A13021" s="8">
        <v>2056060</v>
      </c>
      <c r="B13021" s="11">
        <v>44771</v>
      </c>
      <c r="C13021" s="13" t="s">
        <v>16609</v>
      </c>
      <c r="D13021" s="13" t="s">
        <v>16610</v>
      </c>
      <c r="E13021" s="8">
        <v>8000</v>
      </c>
      <c r="F13021" s="13" t="s">
        <v>70</v>
      </c>
      <c r="G13021" s="14">
        <v>44775</v>
      </c>
      <c r="H13021" s="13" t="s">
        <v>163</v>
      </c>
    </row>
    <row r="13022" spans="1:8" ht="14.4" x14ac:dyDescent="0.3">
      <c r="A13022" s="8">
        <v>2056061</v>
      </c>
      <c r="B13022" s="11">
        <v>44771</v>
      </c>
      <c r="C13022" s="13" t="s">
        <v>16611</v>
      </c>
      <c r="D13022" s="13" t="s">
        <v>16612</v>
      </c>
      <c r="E13022" s="8">
        <v>4000</v>
      </c>
      <c r="F13022" s="13" t="s">
        <v>70</v>
      </c>
      <c r="G13022" s="14">
        <v>44775</v>
      </c>
      <c r="H13022" s="13" t="s">
        <v>163</v>
      </c>
    </row>
    <row r="13023" spans="1:8" ht="14.4" x14ac:dyDescent="0.3">
      <c r="A13023" s="8">
        <v>2056062</v>
      </c>
      <c r="B13023" s="11">
        <v>44771</v>
      </c>
      <c r="C13023" s="13" t="s">
        <v>14441</v>
      </c>
      <c r="D13023" s="13" t="s">
        <v>16613</v>
      </c>
      <c r="E13023" s="8">
        <v>2000</v>
      </c>
      <c r="F13023" s="13" t="s">
        <v>70</v>
      </c>
      <c r="G13023" s="14">
        <v>44775</v>
      </c>
      <c r="H13023" s="13" t="s">
        <v>163</v>
      </c>
    </row>
    <row r="13024" spans="1:8" ht="14.4" x14ac:dyDescent="0.3">
      <c r="A13024" s="8">
        <v>2056063</v>
      </c>
      <c r="B13024" s="11">
        <v>44771</v>
      </c>
      <c r="C13024" s="13" t="s">
        <v>16614</v>
      </c>
      <c r="D13024" s="13" t="s">
        <v>16615</v>
      </c>
      <c r="E13024" s="8">
        <v>2000</v>
      </c>
      <c r="F13024" s="13" t="s">
        <v>70</v>
      </c>
      <c r="G13024" s="14">
        <v>44775</v>
      </c>
      <c r="H13024" s="13" t="s">
        <v>163</v>
      </c>
    </row>
    <row r="13025" spans="1:8" ht="14.4" x14ac:dyDescent="0.3">
      <c r="A13025" s="8">
        <v>2056064</v>
      </c>
      <c r="B13025" s="11">
        <v>44771</v>
      </c>
      <c r="C13025" s="13" t="s">
        <v>16616</v>
      </c>
      <c r="D13025" s="13" t="s">
        <v>16617</v>
      </c>
      <c r="E13025" s="8">
        <v>2000</v>
      </c>
      <c r="F13025" s="13" t="s">
        <v>70</v>
      </c>
      <c r="G13025" s="14">
        <v>44775</v>
      </c>
      <c r="H13025" s="13" t="s">
        <v>163</v>
      </c>
    </row>
    <row r="13026" spans="1:8" ht="14.4" x14ac:dyDescent="0.3">
      <c r="A13026" s="8">
        <v>2056065</v>
      </c>
      <c r="B13026" s="11">
        <v>44771</v>
      </c>
      <c r="C13026" s="13" t="s">
        <v>16618</v>
      </c>
      <c r="D13026" s="13" t="s">
        <v>16619</v>
      </c>
      <c r="E13026" s="8">
        <v>2000</v>
      </c>
      <c r="F13026" s="13" t="s">
        <v>70</v>
      </c>
      <c r="G13026" s="14">
        <v>44778</v>
      </c>
      <c r="H13026" s="13" t="s">
        <v>163</v>
      </c>
    </row>
    <row r="13027" spans="1:8" ht="14.4" x14ac:dyDescent="0.3">
      <c r="A13027" s="8">
        <v>2056066</v>
      </c>
      <c r="B13027" s="11">
        <v>44771</v>
      </c>
      <c r="C13027" s="13" t="s">
        <v>16620</v>
      </c>
      <c r="D13027" s="13" t="s">
        <v>16621</v>
      </c>
      <c r="E13027" s="8">
        <v>2000</v>
      </c>
      <c r="F13027" s="13" t="s">
        <v>70</v>
      </c>
      <c r="G13027" s="14">
        <v>44775</v>
      </c>
      <c r="H13027" s="13" t="s">
        <v>163</v>
      </c>
    </row>
    <row r="13028" spans="1:8" ht="14.4" x14ac:dyDescent="0.3">
      <c r="A13028" s="8">
        <v>2056067</v>
      </c>
      <c r="B13028" s="11">
        <v>44771</v>
      </c>
      <c r="C13028" s="13" t="s">
        <v>16622</v>
      </c>
      <c r="D13028" s="13" t="s">
        <v>16623</v>
      </c>
      <c r="E13028" s="8">
        <v>2000</v>
      </c>
      <c r="F13028" s="13" t="s">
        <v>70</v>
      </c>
      <c r="G13028" s="14">
        <v>44776</v>
      </c>
      <c r="H13028" s="13" t="s">
        <v>163</v>
      </c>
    </row>
    <row r="13029" spans="1:8" ht="14.4" x14ac:dyDescent="0.3">
      <c r="A13029" s="8">
        <v>2056068</v>
      </c>
      <c r="B13029" s="11">
        <v>44771</v>
      </c>
      <c r="C13029" s="13" t="s">
        <v>16624</v>
      </c>
      <c r="D13029" s="13" t="s">
        <v>16625</v>
      </c>
      <c r="E13029" s="8">
        <v>2000</v>
      </c>
      <c r="F13029" s="13" t="s">
        <v>70</v>
      </c>
      <c r="G13029" s="14">
        <v>44778</v>
      </c>
      <c r="H13029" s="13" t="s">
        <v>163</v>
      </c>
    </row>
    <row r="13030" spans="1:8" ht="14.4" x14ac:dyDescent="0.3">
      <c r="A13030" s="8">
        <v>2056069</v>
      </c>
      <c r="B13030" s="11">
        <v>44771</v>
      </c>
      <c r="C13030" s="13" t="s">
        <v>16626</v>
      </c>
      <c r="D13030" s="13" t="s">
        <v>16627</v>
      </c>
      <c r="E13030" s="8">
        <v>2000</v>
      </c>
      <c r="F13030" s="13" t="s">
        <v>70</v>
      </c>
      <c r="G13030" s="14">
        <v>44776</v>
      </c>
      <c r="H13030" s="13" t="s">
        <v>163</v>
      </c>
    </row>
    <row r="13031" spans="1:8" ht="14.4" x14ac:dyDescent="0.3">
      <c r="A13031" s="8">
        <v>2056070</v>
      </c>
      <c r="B13031" s="11">
        <v>44771</v>
      </c>
      <c r="C13031" s="13" t="s">
        <v>16628</v>
      </c>
      <c r="D13031" s="13" t="s">
        <v>16629</v>
      </c>
      <c r="E13031" s="8">
        <v>2000</v>
      </c>
      <c r="F13031" s="13" t="s">
        <v>70</v>
      </c>
      <c r="G13031" s="14">
        <v>44776</v>
      </c>
      <c r="H13031" s="13" t="s">
        <v>163</v>
      </c>
    </row>
    <row r="13032" spans="1:8" ht="14.4" x14ac:dyDescent="0.3">
      <c r="A13032" s="8">
        <v>2056071</v>
      </c>
      <c r="B13032" s="11">
        <v>44771</v>
      </c>
      <c r="C13032" s="13" t="s">
        <v>10702</v>
      </c>
      <c r="D13032" s="13" t="s">
        <v>16630</v>
      </c>
      <c r="E13032" s="8">
        <v>20000</v>
      </c>
      <c r="F13032" s="13" t="s">
        <v>70</v>
      </c>
      <c r="G13032" s="14">
        <v>44775</v>
      </c>
      <c r="H13032" s="13" t="s">
        <v>163</v>
      </c>
    </row>
    <row r="13033" spans="1:8" ht="14.4" x14ac:dyDescent="0.3">
      <c r="A13033" s="8">
        <v>2056073</v>
      </c>
      <c r="B13033" s="11">
        <v>44774</v>
      </c>
      <c r="C13033" s="13" t="s">
        <v>2624</v>
      </c>
      <c r="D13033" s="13" t="s">
        <v>16631</v>
      </c>
      <c r="E13033" s="8">
        <v>685485.26</v>
      </c>
      <c r="F13033" s="13" t="s">
        <v>70</v>
      </c>
      <c r="G13033" s="14">
        <v>44775</v>
      </c>
      <c r="H13033" s="13" t="s">
        <v>163</v>
      </c>
    </row>
    <row r="13034" spans="1:8" ht="14.4" x14ac:dyDescent="0.3">
      <c r="A13034" s="8">
        <v>2056074</v>
      </c>
      <c r="B13034" s="11">
        <v>44774</v>
      </c>
      <c r="C13034" s="13" t="s">
        <v>16632</v>
      </c>
      <c r="D13034" s="13" t="s">
        <v>16633</v>
      </c>
      <c r="E13034" s="8">
        <v>5000</v>
      </c>
      <c r="F13034" s="13" t="s">
        <v>70</v>
      </c>
      <c r="G13034" s="14">
        <v>44826</v>
      </c>
      <c r="H13034" s="13" t="s">
        <v>163</v>
      </c>
    </row>
    <row r="13035" spans="1:8" ht="14.4" x14ac:dyDescent="0.3">
      <c r="A13035" s="8">
        <v>2056075</v>
      </c>
      <c r="B13035" s="11">
        <v>44774</v>
      </c>
      <c r="C13035" s="13" t="s">
        <v>3543</v>
      </c>
      <c r="D13035" s="13" t="s">
        <v>16634</v>
      </c>
      <c r="E13035" s="8">
        <v>8000</v>
      </c>
      <c r="F13035" s="13" t="s">
        <v>70</v>
      </c>
      <c r="G13035" s="14">
        <v>44778</v>
      </c>
      <c r="H13035" s="13" t="s">
        <v>163</v>
      </c>
    </row>
    <row r="13036" spans="1:8" ht="14.4" x14ac:dyDescent="0.3">
      <c r="A13036" s="8">
        <v>2056076</v>
      </c>
      <c r="B13036" s="11">
        <v>44774</v>
      </c>
      <c r="C13036" s="13" t="s">
        <v>16635</v>
      </c>
      <c r="D13036" s="13" t="s">
        <v>16636</v>
      </c>
      <c r="E13036" s="8">
        <v>4000</v>
      </c>
      <c r="F13036" s="13" t="s">
        <v>70</v>
      </c>
      <c r="G13036" s="14">
        <v>44781</v>
      </c>
      <c r="H13036" s="13" t="s">
        <v>163</v>
      </c>
    </row>
    <row r="13037" spans="1:8" ht="14.4" x14ac:dyDescent="0.3">
      <c r="A13037" s="8">
        <v>2056077</v>
      </c>
      <c r="B13037" s="11">
        <v>44774</v>
      </c>
      <c r="C13037" s="13" t="s">
        <v>14002</v>
      </c>
      <c r="D13037" s="13" t="s">
        <v>16637</v>
      </c>
      <c r="E13037" s="8">
        <v>2000</v>
      </c>
      <c r="F13037" s="13" t="s">
        <v>70</v>
      </c>
      <c r="G13037" s="14">
        <v>44778</v>
      </c>
      <c r="H13037" s="13" t="s">
        <v>163</v>
      </c>
    </row>
    <row r="13038" spans="1:8" ht="14.4" x14ac:dyDescent="0.3">
      <c r="A13038" s="8">
        <v>2056078</v>
      </c>
      <c r="B13038" s="11">
        <v>44774</v>
      </c>
      <c r="C13038" s="13" t="s">
        <v>7145</v>
      </c>
      <c r="D13038" s="13" t="s">
        <v>16638</v>
      </c>
      <c r="E13038" s="8">
        <v>2000</v>
      </c>
      <c r="F13038" s="13" t="s">
        <v>70</v>
      </c>
      <c r="G13038" s="14">
        <v>44792</v>
      </c>
      <c r="H13038" s="13" t="s">
        <v>163</v>
      </c>
    </row>
    <row r="13039" spans="1:8" ht="14.4" x14ac:dyDescent="0.3">
      <c r="A13039" s="8">
        <v>2056079</v>
      </c>
      <c r="B13039" s="11">
        <v>44774</v>
      </c>
      <c r="C13039" s="13" t="s">
        <v>14485</v>
      </c>
      <c r="D13039" s="13" t="s">
        <v>16639</v>
      </c>
      <c r="E13039" s="8">
        <v>2000</v>
      </c>
      <c r="F13039" s="13" t="s">
        <v>70</v>
      </c>
      <c r="G13039" s="14">
        <v>44785</v>
      </c>
      <c r="H13039" s="13" t="s">
        <v>163</v>
      </c>
    </row>
    <row r="13040" spans="1:8" ht="14.4" x14ac:dyDescent="0.3">
      <c r="A13040" s="8">
        <v>2056080</v>
      </c>
      <c r="B13040" s="11">
        <v>44774</v>
      </c>
      <c r="C13040" s="13" t="s">
        <v>6890</v>
      </c>
      <c r="D13040" s="13" t="s">
        <v>16640</v>
      </c>
      <c r="E13040" s="8">
        <v>2000</v>
      </c>
      <c r="F13040" s="13" t="s">
        <v>70</v>
      </c>
      <c r="G13040" s="14">
        <v>44778</v>
      </c>
      <c r="H13040" s="13" t="s">
        <v>163</v>
      </c>
    </row>
    <row r="13041" spans="1:8" ht="14.4" x14ac:dyDescent="0.3">
      <c r="A13041" s="8">
        <v>2056081</v>
      </c>
      <c r="B13041" s="11">
        <v>44774</v>
      </c>
      <c r="C13041" s="13" t="s">
        <v>16641</v>
      </c>
      <c r="D13041" s="13" t="s">
        <v>16642</v>
      </c>
      <c r="E13041" s="8">
        <v>2000</v>
      </c>
      <c r="F13041" s="13" t="s">
        <v>70</v>
      </c>
      <c r="G13041" s="14">
        <v>44778</v>
      </c>
      <c r="H13041" s="13" t="s">
        <v>163</v>
      </c>
    </row>
    <row r="13042" spans="1:8" ht="14.4" x14ac:dyDescent="0.3">
      <c r="A13042" s="8">
        <v>2056082</v>
      </c>
      <c r="B13042" s="10">
        <v>44774</v>
      </c>
      <c r="C13042" s="13" t="s">
        <v>6896</v>
      </c>
      <c r="D13042" s="13" t="s">
        <v>16643</v>
      </c>
      <c r="E13042" s="8">
        <v>2000</v>
      </c>
      <c r="F13042" s="13" t="s">
        <v>70</v>
      </c>
      <c r="G13042" s="14">
        <v>44778</v>
      </c>
      <c r="H13042" s="13" t="s">
        <v>163</v>
      </c>
    </row>
    <row r="13043" spans="1:8" ht="14.4" x14ac:dyDescent="0.3">
      <c r="A13043" s="8">
        <v>2056083</v>
      </c>
      <c r="B13043" s="11">
        <v>44774</v>
      </c>
      <c r="C13043" s="13" t="s">
        <v>16644</v>
      </c>
      <c r="D13043" s="13" t="s">
        <v>16645</v>
      </c>
      <c r="E13043" s="8">
        <v>2000</v>
      </c>
      <c r="F13043" s="13" t="s">
        <v>70</v>
      </c>
      <c r="G13043" s="14">
        <v>44778</v>
      </c>
      <c r="H13043" s="13" t="s">
        <v>163</v>
      </c>
    </row>
    <row r="13044" spans="1:8" ht="14.4" x14ac:dyDescent="0.3">
      <c r="A13044" s="8">
        <v>2056084</v>
      </c>
      <c r="B13044" s="11">
        <v>44774</v>
      </c>
      <c r="C13044" s="13" t="s">
        <v>7188</v>
      </c>
      <c r="D13044" s="13" t="s">
        <v>16646</v>
      </c>
      <c r="E13044" s="8">
        <v>2000</v>
      </c>
      <c r="F13044" s="13" t="s">
        <v>70</v>
      </c>
      <c r="G13044" s="14">
        <v>44777</v>
      </c>
      <c r="H13044" s="13" t="s">
        <v>163</v>
      </c>
    </row>
    <row r="13045" spans="1:8" ht="14.4" x14ac:dyDescent="0.3">
      <c r="A13045" s="8">
        <v>2056085</v>
      </c>
      <c r="B13045" s="11">
        <v>44774</v>
      </c>
      <c r="C13045" s="13" t="s">
        <v>16647</v>
      </c>
      <c r="D13045" s="13" t="s">
        <v>16648</v>
      </c>
      <c r="E13045" s="8">
        <v>2000</v>
      </c>
      <c r="F13045" s="13" t="s">
        <v>70</v>
      </c>
      <c r="G13045" s="14">
        <v>44777</v>
      </c>
      <c r="H13045" s="13" t="s">
        <v>163</v>
      </c>
    </row>
    <row r="13046" spans="1:8" ht="14.4" x14ac:dyDescent="0.3">
      <c r="A13046" s="8">
        <v>2056086</v>
      </c>
      <c r="B13046" s="11">
        <v>44774</v>
      </c>
      <c r="C13046" s="13" t="s">
        <v>16649</v>
      </c>
      <c r="D13046" s="13" t="s">
        <v>16650</v>
      </c>
      <c r="E13046" s="8">
        <v>10000</v>
      </c>
      <c r="F13046" s="13" t="s">
        <v>70</v>
      </c>
      <c r="G13046" s="14">
        <v>44778</v>
      </c>
      <c r="H13046" s="13" t="s">
        <v>163</v>
      </c>
    </row>
    <row r="13047" spans="1:8" ht="14.4" x14ac:dyDescent="0.3">
      <c r="A13047" s="8">
        <v>2056087</v>
      </c>
      <c r="B13047" s="11">
        <v>44774</v>
      </c>
      <c r="C13047" s="13" t="s">
        <v>16651</v>
      </c>
      <c r="D13047" s="13" t="s">
        <v>16652</v>
      </c>
      <c r="E13047" s="8">
        <v>2000</v>
      </c>
      <c r="F13047" s="13" t="s">
        <v>70</v>
      </c>
      <c r="G13047" s="14">
        <v>44778</v>
      </c>
      <c r="H13047" s="13" t="s">
        <v>163</v>
      </c>
    </row>
    <row r="13048" spans="1:8" ht="14.4" x14ac:dyDescent="0.3">
      <c r="A13048" s="8">
        <v>2056088</v>
      </c>
      <c r="B13048" s="11">
        <v>44774</v>
      </c>
      <c r="C13048" s="13" t="s">
        <v>16653</v>
      </c>
      <c r="D13048" s="13" t="s">
        <v>16654</v>
      </c>
      <c r="E13048" s="8">
        <v>4000</v>
      </c>
      <c r="F13048" s="13" t="s">
        <v>70</v>
      </c>
      <c r="G13048" s="14">
        <v>44781</v>
      </c>
      <c r="H13048" s="13" t="s">
        <v>163</v>
      </c>
    </row>
    <row r="13049" spans="1:8" ht="14.4" x14ac:dyDescent="0.3">
      <c r="A13049" s="8">
        <v>2056089</v>
      </c>
      <c r="B13049" s="11">
        <v>44774</v>
      </c>
      <c r="C13049" s="13" t="s">
        <v>16655</v>
      </c>
      <c r="D13049" s="13" t="s">
        <v>16656</v>
      </c>
      <c r="E13049" s="8">
        <v>4000</v>
      </c>
      <c r="F13049" s="13" t="s">
        <v>70</v>
      </c>
      <c r="G13049" s="14">
        <v>44778</v>
      </c>
      <c r="H13049" s="13" t="s">
        <v>163</v>
      </c>
    </row>
    <row r="13050" spans="1:8" ht="14.4" x14ac:dyDescent="0.3">
      <c r="A13050" s="8">
        <v>2056090</v>
      </c>
      <c r="B13050" s="11">
        <v>44774</v>
      </c>
      <c r="C13050" s="13" t="s">
        <v>16657</v>
      </c>
      <c r="D13050" s="13" t="s">
        <v>16658</v>
      </c>
      <c r="E13050" s="8">
        <v>2000</v>
      </c>
      <c r="F13050" s="13" t="s">
        <v>70</v>
      </c>
      <c r="G13050" s="14">
        <v>44778</v>
      </c>
      <c r="H13050" s="13" t="s">
        <v>163</v>
      </c>
    </row>
    <row r="13051" spans="1:8" ht="14.4" x14ac:dyDescent="0.3">
      <c r="A13051" s="8">
        <v>2056091</v>
      </c>
      <c r="B13051" s="11">
        <v>44774</v>
      </c>
      <c r="C13051" s="13" t="s">
        <v>4262</v>
      </c>
      <c r="D13051" s="13" t="s">
        <v>16659</v>
      </c>
      <c r="E13051" s="8">
        <v>16000</v>
      </c>
      <c r="F13051" s="13" t="s">
        <v>70</v>
      </c>
      <c r="G13051" s="14">
        <v>44777</v>
      </c>
      <c r="H13051" s="13" t="s">
        <v>163</v>
      </c>
    </row>
    <row r="13052" spans="1:8" ht="14.4" x14ac:dyDescent="0.3">
      <c r="A13052" s="8">
        <v>2056092</v>
      </c>
      <c r="B13052" s="11">
        <v>44774</v>
      </c>
      <c r="C13052" s="13" t="s">
        <v>16660</v>
      </c>
      <c r="D13052" s="13" t="s">
        <v>16661</v>
      </c>
      <c r="E13052" s="8">
        <v>2000</v>
      </c>
      <c r="F13052" s="13" t="s">
        <v>70</v>
      </c>
      <c r="G13052" s="14">
        <v>44801</v>
      </c>
      <c r="H13052" s="13" t="s">
        <v>163</v>
      </c>
    </row>
    <row r="13053" spans="1:8" ht="14.4" x14ac:dyDescent="0.3">
      <c r="A13053" s="8">
        <v>2056093</v>
      </c>
      <c r="B13053" s="11">
        <v>44774</v>
      </c>
      <c r="C13053" s="13" t="s">
        <v>16662</v>
      </c>
      <c r="D13053" s="13" t="s">
        <v>16663</v>
      </c>
      <c r="E13053" s="8">
        <v>2000</v>
      </c>
      <c r="F13053" s="13" t="s">
        <v>70</v>
      </c>
      <c r="G13053" s="14">
        <v>44781</v>
      </c>
      <c r="H13053" s="13" t="s">
        <v>163</v>
      </c>
    </row>
    <row r="13054" spans="1:8" ht="14.4" x14ac:dyDescent="0.3">
      <c r="A13054" s="8">
        <v>2056072</v>
      </c>
      <c r="B13054" s="11">
        <v>44775</v>
      </c>
      <c r="C13054" s="13" t="s">
        <v>16664</v>
      </c>
      <c r="D13054" s="13" t="s">
        <v>16665</v>
      </c>
      <c r="E13054" s="8">
        <v>2000</v>
      </c>
      <c r="F13054" s="13" t="s">
        <v>70</v>
      </c>
      <c r="G13054" s="14">
        <v>44776</v>
      </c>
      <c r="H13054" s="13" t="s">
        <v>163</v>
      </c>
    </row>
    <row r="13055" spans="1:8" ht="14.4" x14ac:dyDescent="0.3">
      <c r="A13055" s="8">
        <v>2056094</v>
      </c>
      <c r="B13055" s="11">
        <v>44775</v>
      </c>
      <c r="C13055" s="13" t="s">
        <v>16666</v>
      </c>
      <c r="D13055" s="13" t="s">
        <v>16667</v>
      </c>
      <c r="E13055" s="8">
        <v>10000</v>
      </c>
      <c r="F13055" s="13" t="s">
        <v>70</v>
      </c>
      <c r="G13055" s="14">
        <v>44781</v>
      </c>
      <c r="H13055" s="13" t="s">
        <v>163</v>
      </c>
    </row>
    <row r="13056" spans="1:8" ht="14.4" x14ac:dyDescent="0.3">
      <c r="A13056" s="8">
        <v>2056095</v>
      </c>
      <c r="B13056" s="11">
        <v>44775</v>
      </c>
      <c r="C13056" s="13" t="s">
        <v>16668</v>
      </c>
      <c r="D13056" s="13" t="s">
        <v>16669</v>
      </c>
      <c r="E13056" s="8">
        <v>6000</v>
      </c>
      <c r="F13056" s="13" t="s">
        <v>70</v>
      </c>
      <c r="G13056" s="14">
        <v>44777</v>
      </c>
      <c r="H13056" s="13" t="s">
        <v>163</v>
      </c>
    </row>
    <row r="13057" spans="1:8" ht="14.4" x14ac:dyDescent="0.3">
      <c r="A13057" s="8">
        <v>2056096</v>
      </c>
      <c r="B13057" s="11">
        <v>44775</v>
      </c>
      <c r="C13057" s="13" t="s">
        <v>16670</v>
      </c>
      <c r="D13057" s="13" t="s">
        <v>16671</v>
      </c>
      <c r="E13057" s="8">
        <v>6000</v>
      </c>
      <c r="F13057" s="13" t="s">
        <v>70</v>
      </c>
      <c r="G13057" s="14">
        <v>44778</v>
      </c>
      <c r="H13057" s="13" t="s">
        <v>163</v>
      </c>
    </row>
    <row r="13058" spans="1:8" ht="14.4" x14ac:dyDescent="0.3">
      <c r="A13058" s="8">
        <v>2056097</v>
      </c>
      <c r="B13058" s="11">
        <v>44775</v>
      </c>
      <c r="C13058" s="13" t="s">
        <v>4256</v>
      </c>
      <c r="D13058" s="13" t="s">
        <v>16672</v>
      </c>
      <c r="E13058" s="8">
        <v>6000</v>
      </c>
      <c r="F13058" s="13" t="s">
        <v>70</v>
      </c>
      <c r="G13058" s="14">
        <v>44781</v>
      </c>
      <c r="H13058" s="13" t="s">
        <v>163</v>
      </c>
    </row>
    <row r="13059" spans="1:8" ht="14.4" x14ac:dyDescent="0.3">
      <c r="A13059" s="8">
        <v>2056098</v>
      </c>
      <c r="B13059" s="11">
        <v>44775</v>
      </c>
      <c r="C13059" s="13" t="s">
        <v>16673</v>
      </c>
      <c r="D13059" s="13" t="s">
        <v>16674</v>
      </c>
      <c r="E13059" s="8">
        <v>4000</v>
      </c>
      <c r="F13059" s="13" t="s">
        <v>70</v>
      </c>
      <c r="G13059" s="14">
        <v>44778</v>
      </c>
      <c r="H13059" s="13" t="s">
        <v>163</v>
      </c>
    </row>
    <row r="13060" spans="1:8" ht="14.4" x14ac:dyDescent="0.3">
      <c r="A13060" s="8">
        <v>2056099</v>
      </c>
      <c r="B13060" s="11">
        <v>44775</v>
      </c>
      <c r="C13060" s="13" t="s">
        <v>16675</v>
      </c>
      <c r="D13060" s="13" t="s">
        <v>16676</v>
      </c>
      <c r="E13060" s="8">
        <v>4000</v>
      </c>
      <c r="F13060" s="13" t="s">
        <v>70</v>
      </c>
      <c r="G13060" s="14">
        <v>44781</v>
      </c>
      <c r="H13060" s="13" t="s">
        <v>163</v>
      </c>
    </row>
    <row r="13061" spans="1:8" ht="14.4" x14ac:dyDescent="0.3">
      <c r="A13061" s="8">
        <v>2056100</v>
      </c>
      <c r="B13061" s="11">
        <v>44775</v>
      </c>
      <c r="C13061" s="13" t="s">
        <v>16677</v>
      </c>
      <c r="D13061" s="13" t="s">
        <v>16678</v>
      </c>
      <c r="E13061" s="8">
        <v>2000</v>
      </c>
      <c r="F13061" s="13" t="s">
        <v>70</v>
      </c>
      <c r="G13061" s="14">
        <v>44781</v>
      </c>
      <c r="H13061" s="13" t="s">
        <v>163</v>
      </c>
    </row>
    <row r="13062" spans="1:8" ht="14.4" x14ac:dyDescent="0.3">
      <c r="A13062" s="8">
        <v>2070801</v>
      </c>
      <c r="B13062" s="11">
        <v>44775</v>
      </c>
      <c r="C13062" s="13" t="s">
        <v>16679</v>
      </c>
      <c r="D13062" s="13" t="s">
        <v>16680</v>
      </c>
      <c r="E13062" s="8">
        <v>16000</v>
      </c>
      <c r="F13062" s="13" t="s">
        <v>70</v>
      </c>
      <c r="G13062" s="14">
        <v>44783</v>
      </c>
      <c r="H13062" s="13" t="s">
        <v>163</v>
      </c>
    </row>
    <row r="13063" spans="1:8" ht="14.4" x14ac:dyDescent="0.3">
      <c r="A13063" s="8">
        <v>2070803</v>
      </c>
      <c r="B13063" s="11">
        <v>44775</v>
      </c>
      <c r="C13063" s="13" t="s">
        <v>14479</v>
      </c>
      <c r="D13063" s="13" t="s">
        <v>16681</v>
      </c>
      <c r="E13063" s="8">
        <v>2000</v>
      </c>
      <c r="F13063" s="13" t="s">
        <v>70</v>
      </c>
      <c r="G13063" s="14">
        <v>44778</v>
      </c>
      <c r="H13063" s="13" t="s">
        <v>163</v>
      </c>
    </row>
    <row r="13064" spans="1:8" ht="14.4" x14ac:dyDescent="0.3">
      <c r="A13064" s="8">
        <v>2070804</v>
      </c>
      <c r="B13064" s="11">
        <v>44775</v>
      </c>
      <c r="C13064" s="13" t="s">
        <v>14512</v>
      </c>
      <c r="D13064" s="13" t="s">
        <v>16682</v>
      </c>
      <c r="E13064" s="8">
        <v>2000</v>
      </c>
      <c r="F13064" s="13" t="s">
        <v>70</v>
      </c>
      <c r="G13064" s="14">
        <v>44778</v>
      </c>
      <c r="H13064" s="13" t="s">
        <v>163</v>
      </c>
    </row>
    <row r="13065" spans="1:8" ht="14.4" x14ac:dyDescent="0.3">
      <c r="A13065" s="8">
        <v>2070805</v>
      </c>
      <c r="B13065" s="11">
        <v>44775</v>
      </c>
      <c r="C13065" s="13" t="s">
        <v>14452</v>
      </c>
      <c r="D13065" s="13" t="s">
        <v>16683</v>
      </c>
      <c r="E13065" s="8">
        <v>2000</v>
      </c>
      <c r="F13065" s="13" t="s">
        <v>70</v>
      </c>
      <c r="G13065" s="14">
        <v>44778</v>
      </c>
      <c r="H13065" s="13" t="s">
        <v>163</v>
      </c>
    </row>
    <row r="13066" spans="1:8" ht="14.4" x14ac:dyDescent="0.3">
      <c r="A13066" s="8">
        <v>2070806</v>
      </c>
      <c r="B13066" s="11">
        <v>44775</v>
      </c>
      <c r="C13066" s="13" t="s">
        <v>14269</v>
      </c>
      <c r="D13066" s="13" t="s">
        <v>16684</v>
      </c>
      <c r="E13066" s="8">
        <v>2000</v>
      </c>
      <c r="F13066" s="13" t="s">
        <v>70</v>
      </c>
      <c r="G13066" s="14">
        <v>44778</v>
      </c>
      <c r="H13066" s="13" t="s">
        <v>163</v>
      </c>
    </row>
    <row r="13067" spans="1:8" ht="14.4" x14ac:dyDescent="0.3">
      <c r="A13067" s="8">
        <v>2070807</v>
      </c>
      <c r="B13067" s="11">
        <v>44775</v>
      </c>
      <c r="C13067" s="13" t="s">
        <v>12094</v>
      </c>
      <c r="D13067" s="13" t="s">
        <v>16685</v>
      </c>
      <c r="E13067" s="8">
        <v>2000</v>
      </c>
      <c r="F13067" s="13" t="s">
        <v>70</v>
      </c>
      <c r="G13067" s="14">
        <v>44778</v>
      </c>
      <c r="H13067" s="13" t="s">
        <v>163</v>
      </c>
    </row>
    <row r="13068" spans="1:8" ht="14.4" x14ac:dyDescent="0.3">
      <c r="A13068" s="8">
        <v>2070808</v>
      </c>
      <c r="B13068" s="11">
        <v>44775</v>
      </c>
      <c r="C13068" s="13" t="s">
        <v>16686</v>
      </c>
      <c r="D13068" s="13" t="s">
        <v>16687</v>
      </c>
      <c r="E13068" s="8">
        <v>2000</v>
      </c>
      <c r="F13068" s="13" t="s">
        <v>70</v>
      </c>
      <c r="G13068" s="14">
        <v>44781</v>
      </c>
      <c r="H13068" s="13" t="s">
        <v>163</v>
      </c>
    </row>
    <row r="13069" spans="1:8" ht="14.4" x14ac:dyDescent="0.3">
      <c r="A13069" s="8">
        <v>2070809</v>
      </c>
      <c r="B13069" s="11">
        <v>44775</v>
      </c>
      <c r="C13069" s="13" t="s">
        <v>16688</v>
      </c>
      <c r="D13069" s="13" t="s">
        <v>16689</v>
      </c>
      <c r="E13069" s="8">
        <v>8000</v>
      </c>
      <c r="F13069" s="13" t="s">
        <v>70</v>
      </c>
      <c r="G13069" s="14">
        <v>44778</v>
      </c>
      <c r="H13069" s="13" t="s">
        <v>163</v>
      </c>
    </row>
    <row r="13070" spans="1:8" ht="14.4" x14ac:dyDescent="0.3">
      <c r="A13070" s="8">
        <v>2070810</v>
      </c>
      <c r="B13070" s="11">
        <v>44775</v>
      </c>
      <c r="C13070" s="13" t="s">
        <v>14086</v>
      </c>
      <c r="D13070" s="13" t="s">
        <v>16690</v>
      </c>
      <c r="E13070" s="8">
        <v>2000</v>
      </c>
      <c r="F13070" s="13" t="s">
        <v>70</v>
      </c>
      <c r="G13070" s="14">
        <v>44781</v>
      </c>
      <c r="H13070" s="13" t="s">
        <v>163</v>
      </c>
    </row>
    <row r="13071" spans="1:8" ht="14.4" x14ac:dyDescent="0.3">
      <c r="A13071" s="8">
        <v>2070811</v>
      </c>
      <c r="B13071" s="11">
        <v>44775</v>
      </c>
      <c r="C13071" s="13" t="s">
        <v>16691</v>
      </c>
      <c r="D13071" s="13" t="s">
        <v>16692</v>
      </c>
      <c r="E13071" s="8">
        <v>2000</v>
      </c>
      <c r="F13071" s="13" t="s">
        <v>70</v>
      </c>
      <c r="G13071" s="14">
        <v>44778</v>
      </c>
      <c r="H13071" s="13" t="s">
        <v>163</v>
      </c>
    </row>
    <row r="13072" spans="1:8" ht="14.4" x14ac:dyDescent="0.3">
      <c r="A13072" s="8">
        <v>2070812</v>
      </c>
      <c r="B13072" s="11">
        <v>44775</v>
      </c>
      <c r="C13072" s="13" t="s">
        <v>16693</v>
      </c>
      <c r="D13072" s="13" t="s">
        <v>16694</v>
      </c>
      <c r="E13072" s="8">
        <v>2000</v>
      </c>
      <c r="F13072" s="13" t="s">
        <v>70</v>
      </c>
      <c r="G13072" s="14">
        <v>44778</v>
      </c>
      <c r="H13072" s="13" t="s">
        <v>163</v>
      </c>
    </row>
    <row r="13073" spans="1:8" ht="14.4" x14ac:dyDescent="0.3">
      <c r="A13073" s="8">
        <v>2070813</v>
      </c>
      <c r="B13073" s="11">
        <v>44775</v>
      </c>
      <c r="C13073" s="13" t="s">
        <v>14305</v>
      </c>
      <c r="D13073" s="13" t="s">
        <v>16695</v>
      </c>
      <c r="E13073" s="8">
        <v>2000</v>
      </c>
      <c r="F13073" s="13" t="s">
        <v>70</v>
      </c>
      <c r="G13073" s="14">
        <v>44782</v>
      </c>
      <c r="H13073" s="13" t="s">
        <v>163</v>
      </c>
    </row>
    <row r="13074" spans="1:8" ht="14.4" x14ac:dyDescent="0.3">
      <c r="A13074" s="8">
        <v>2070814</v>
      </c>
      <c r="B13074" s="11">
        <v>44775</v>
      </c>
      <c r="C13074" s="13" t="s">
        <v>1692</v>
      </c>
      <c r="D13074" s="13" t="s">
        <v>16696</v>
      </c>
      <c r="E13074" s="8">
        <v>8000</v>
      </c>
      <c r="F13074" s="13" t="s">
        <v>70</v>
      </c>
      <c r="G13074" s="14">
        <v>44776</v>
      </c>
      <c r="H13074" s="13" t="s">
        <v>163</v>
      </c>
    </row>
    <row r="13075" spans="1:8" ht="14.4" x14ac:dyDescent="0.3">
      <c r="A13075" s="8">
        <v>2070815</v>
      </c>
      <c r="B13075" s="11">
        <v>44775</v>
      </c>
      <c r="C13075" s="13" t="s">
        <v>16697</v>
      </c>
      <c r="D13075" s="13" t="s">
        <v>16698</v>
      </c>
      <c r="E13075" s="8">
        <v>6000</v>
      </c>
      <c r="F13075" s="13" t="s">
        <v>70</v>
      </c>
      <c r="G13075" s="14">
        <v>44778</v>
      </c>
      <c r="H13075" s="13" t="s">
        <v>163</v>
      </c>
    </row>
    <row r="13076" spans="1:8" ht="14.4" x14ac:dyDescent="0.3">
      <c r="A13076" s="8">
        <v>2070816</v>
      </c>
      <c r="B13076" s="11">
        <v>44775</v>
      </c>
      <c r="C13076" s="13" t="s">
        <v>16699</v>
      </c>
      <c r="D13076" s="13" t="s">
        <v>16700</v>
      </c>
      <c r="E13076" s="8">
        <v>8000</v>
      </c>
      <c r="F13076" s="13" t="s">
        <v>70</v>
      </c>
      <c r="G13076" s="14">
        <v>44778</v>
      </c>
      <c r="H13076" s="13" t="s">
        <v>163</v>
      </c>
    </row>
    <row r="13077" spans="1:8" ht="14.4" x14ac:dyDescent="0.3">
      <c r="A13077" s="8">
        <v>2070817</v>
      </c>
      <c r="B13077" s="11">
        <v>44775</v>
      </c>
      <c r="C13077" s="13" t="s">
        <v>16701</v>
      </c>
      <c r="D13077" s="13" t="s">
        <v>16702</v>
      </c>
      <c r="E13077" s="8">
        <v>6000</v>
      </c>
      <c r="F13077" s="13" t="s">
        <v>70</v>
      </c>
      <c r="G13077" s="14">
        <v>44778</v>
      </c>
      <c r="H13077" s="13" t="s">
        <v>163</v>
      </c>
    </row>
    <row r="13078" spans="1:8" ht="14.4" x14ac:dyDescent="0.3">
      <c r="A13078" s="8">
        <v>2070818</v>
      </c>
      <c r="B13078" s="11">
        <v>44775</v>
      </c>
      <c r="C13078" s="13" t="s">
        <v>12097</v>
      </c>
      <c r="D13078" s="13" t="s">
        <v>16703</v>
      </c>
      <c r="E13078" s="8">
        <v>2000</v>
      </c>
      <c r="F13078" s="13" t="s">
        <v>70</v>
      </c>
      <c r="G13078" s="14">
        <v>44777</v>
      </c>
      <c r="H13078" s="13" t="s">
        <v>163</v>
      </c>
    </row>
    <row r="13079" spans="1:8" ht="14.4" x14ac:dyDescent="0.3">
      <c r="A13079" s="8">
        <v>2070819</v>
      </c>
      <c r="B13079" s="11">
        <v>44775</v>
      </c>
      <c r="C13079" s="13" t="s">
        <v>10704</v>
      </c>
      <c r="D13079" s="13" t="s">
        <v>16704</v>
      </c>
      <c r="E13079" s="8">
        <v>8000</v>
      </c>
      <c r="F13079" s="13" t="s">
        <v>70</v>
      </c>
      <c r="G13079" s="14">
        <v>44777</v>
      </c>
      <c r="H13079" s="13" t="s">
        <v>163</v>
      </c>
    </row>
    <row r="13080" spans="1:8" ht="14.4" x14ac:dyDescent="0.3">
      <c r="A13080" s="8">
        <v>2070820</v>
      </c>
      <c r="B13080" s="11">
        <v>44775</v>
      </c>
      <c r="C13080" s="13" t="s">
        <v>16705</v>
      </c>
      <c r="D13080" s="13" t="s">
        <v>16706</v>
      </c>
      <c r="E13080" s="8">
        <v>4000</v>
      </c>
      <c r="F13080" s="13" t="s">
        <v>70</v>
      </c>
      <c r="G13080" s="14">
        <v>44777</v>
      </c>
      <c r="H13080" s="13" t="s">
        <v>163</v>
      </c>
    </row>
    <row r="13081" spans="1:8" ht="14.4" x14ac:dyDescent="0.3">
      <c r="A13081" s="8">
        <v>2070821</v>
      </c>
      <c r="B13081" s="11">
        <v>44775</v>
      </c>
      <c r="C13081" s="13" t="s">
        <v>16707</v>
      </c>
      <c r="D13081" s="13" t="s">
        <v>16708</v>
      </c>
      <c r="E13081" s="8">
        <v>10000</v>
      </c>
      <c r="F13081" s="13" t="s">
        <v>70</v>
      </c>
      <c r="G13081" s="14">
        <v>44778</v>
      </c>
      <c r="H13081" s="13" t="s">
        <v>163</v>
      </c>
    </row>
    <row r="13082" spans="1:8" ht="14.4" x14ac:dyDescent="0.3">
      <c r="A13082" s="8">
        <v>2070822</v>
      </c>
      <c r="B13082" s="11">
        <v>44775</v>
      </c>
      <c r="C13082" s="13" t="s">
        <v>16709</v>
      </c>
      <c r="D13082" s="13" t="s">
        <v>16710</v>
      </c>
      <c r="E13082" s="8">
        <v>6000</v>
      </c>
      <c r="F13082" s="13" t="s">
        <v>70</v>
      </c>
      <c r="G13082" s="14">
        <v>44778</v>
      </c>
      <c r="H13082" s="13" t="s">
        <v>163</v>
      </c>
    </row>
    <row r="13083" spans="1:8" ht="14.4" x14ac:dyDescent="0.3">
      <c r="A13083" s="8">
        <v>2070823</v>
      </c>
      <c r="B13083" s="11">
        <v>44775</v>
      </c>
      <c r="C13083" s="13" t="s">
        <v>16711</v>
      </c>
      <c r="D13083" s="13" t="s">
        <v>16712</v>
      </c>
      <c r="E13083" s="8">
        <v>6000</v>
      </c>
      <c r="F13083" s="13" t="s">
        <v>70</v>
      </c>
      <c r="G13083" s="14">
        <v>44777</v>
      </c>
      <c r="H13083" s="13" t="s">
        <v>163</v>
      </c>
    </row>
    <row r="13084" spans="1:8" ht="14.4" x14ac:dyDescent="0.3">
      <c r="A13084" s="8">
        <v>2070824</v>
      </c>
      <c r="B13084" s="11">
        <v>44775</v>
      </c>
      <c r="C13084" s="13" t="s">
        <v>16713</v>
      </c>
      <c r="D13084" s="13" t="s">
        <v>16714</v>
      </c>
      <c r="E13084" s="8">
        <v>2000</v>
      </c>
      <c r="F13084" s="13" t="s">
        <v>70</v>
      </c>
      <c r="G13084" s="14">
        <v>44778</v>
      </c>
      <c r="H13084" s="13" t="s">
        <v>163</v>
      </c>
    </row>
    <row r="13085" spans="1:8" ht="14.4" x14ac:dyDescent="0.3">
      <c r="A13085" s="8">
        <v>2070825</v>
      </c>
      <c r="B13085" s="11">
        <v>44775</v>
      </c>
      <c r="C13085" s="13" t="s">
        <v>16715</v>
      </c>
      <c r="D13085" s="13" t="s">
        <v>16716</v>
      </c>
      <c r="E13085" s="8">
        <v>2000</v>
      </c>
      <c r="F13085" s="13" t="s">
        <v>70</v>
      </c>
      <c r="G13085" s="14">
        <v>44778</v>
      </c>
      <c r="H13085" s="13" t="s">
        <v>163</v>
      </c>
    </row>
    <row r="13086" spans="1:8" ht="14.4" x14ac:dyDescent="0.3">
      <c r="A13086" s="8">
        <v>2070826</v>
      </c>
      <c r="B13086" s="11">
        <v>44775</v>
      </c>
      <c r="C13086" s="13" t="s">
        <v>7131</v>
      </c>
      <c r="D13086" s="13" t="s">
        <v>16717</v>
      </c>
      <c r="E13086" s="8">
        <v>2000</v>
      </c>
      <c r="F13086" s="13" t="s">
        <v>70</v>
      </c>
      <c r="G13086" s="14">
        <v>44781</v>
      </c>
      <c r="H13086" s="13" t="s">
        <v>163</v>
      </c>
    </row>
    <row r="13087" spans="1:8" ht="14.4" x14ac:dyDescent="0.3">
      <c r="A13087" s="8">
        <v>2070827</v>
      </c>
      <c r="B13087" s="11">
        <v>44775</v>
      </c>
      <c r="C13087" s="13" t="s">
        <v>12096</v>
      </c>
      <c r="D13087" s="13" t="s">
        <v>16718</v>
      </c>
      <c r="E13087" s="8">
        <v>2000</v>
      </c>
      <c r="F13087" s="13" t="s">
        <v>70</v>
      </c>
      <c r="G13087" s="14">
        <v>44777</v>
      </c>
      <c r="H13087" s="13" t="s">
        <v>163</v>
      </c>
    </row>
    <row r="13088" spans="1:8" ht="14.4" x14ac:dyDescent="0.3">
      <c r="A13088" s="8">
        <v>2070828</v>
      </c>
      <c r="B13088" s="11">
        <v>44775</v>
      </c>
      <c r="C13088" s="13" t="s">
        <v>16719</v>
      </c>
      <c r="D13088" s="13" t="s">
        <v>16720</v>
      </c>
      <c r="E13088" s="8">
        <v>2000</v>
      </c>
      <c r="F13088" s="13" t="s">
        <v>70</v>
      </c>
      <c r="G13088" s="14">
        <v>44778</v>
      </c>
      <c r="H13088" s="13" t="s">
        <v>163</v>
      </c>
    </row>
    <row r="13089" spans="1:8" ht="14.4" x14ac:dyDescent="0.3">
      <c r="A13089" s="8">
        <v>2070829</v>
      </c>
      <c r="B13089" s="11">
        <v>44775</v>
      </c>
      <c r="C13089" s="13" t="s">
        <v>16721</v>
      </c>
      <c r="D13089" s="13" t="s">
        <v>16722</v>
      </c>
      <c r="E13089" s="8">
        <v>4000</v>
      </c>
      <c r="F13089" s="13" t="s">
        <v>70</v>
      </c>
      <c r="G13089" s="14">
        <v>44777</v>
      </c>
      <c r="H13089" s="13" t="s">
        <v>163</v>
      </c>
    </row>
    <row r="13090" spans="1:8" ht="14.4" x14ac:dyDescent="0.3">
      <c r="A13090" s="8">
        <v>2070830</v>
      </c>
      <c r="B13090" s="11">
        <v>44775</v>
      </c>
      <c r="C13090" s="13" t="s">
        <v>16723</v>
      </c>
      <c r="D13090" s="13" t="s">
        <v>16724</v>
      </c>
      <c r="E13090" s="8">
        <v>6000</v>
      </c>
      <c r="F13090" s="13" t="s">
        <v>70</v>
      </c>
      <c r="G13090" s="14">
        <v>44777</v>
      </c>
      <c r="H13090" s="13" t="s">
        <v>163</v>
      </c>
    </row>
    <row r="13091" spans="1:8" ht="14.4" x14ac:dyDescent="0.3">
      <c r="A13091" s="8">
        <v>2070831</v>
      </c>
      <c r="B13091" s="11">
        <v>44775</v>
      </c>
      <c r="C13091" s="13" t="s">
        <v>16723</v>
      </c>
      <c r="D13091" s="13" t="s">
        <v>16725</v>
      </c>
      <c r="E13091" s="8">
        <v>4000</v>
      </c>
      <c r="F13091" s="13" t="s">
        <v>70</v>
      </c>
      <c r="G13091" s="14">
        <v>44777</v>
      </c>
      <c r="H13091" s="13" t="s">
        <v>163</v>
      </c>
    </row>
    <row r="13092" spans="1:8" ht="14.4" x14ac:dyDescent="0.3">
      <c r="A13092" s="8">
        <v>2070832</v>
      </c>
      <c r="B13092" s="11">
        <v>44775</v>
      </c>
      <c r="C13092" s="13" t="s">
        <v>16726</v>
      </c>
      <c r="D13092" s="13" t="s">
        <v>16727</v>
      </c>
      <c r="E13092" s="8">
        <v>2000</v>
      </c>
      <c r="F13092" s="13" t="s">
        <v>70</v>
      </c>
      <c r="G13092" s="14">
        <v>44778</v>
      </c>
      <c r="H13092" s="13" t="s">
        <v>163</v>
      </c>
    </row>
    <row r="13093" spans="1:8" ht="14.4" x14ac:dyDescent="0.3">
      <c r="A13093" s="8">
        <v>2070833</v>
      </c>
      <c r="B13093" s="11">
        <v>44775</v>
      </c>
      <c r="C13093" s="13" t="s">
        <v>16728</v>
      </c>
      <c r="D13093" s="13" t="s">
        <v>16729</v>
      </c>
      <c r="E13093" s="8">
        <v>2000</v>
      </c>
      <c r="F13093" s="13" t="s">
        <v>70</v>
      </c>
      <c r="G13093" s="14">
        <v>44777</v>
      </c>
      <c r="H13093" s="13" t="s">
        <v>163</v>
      </c>
    </row>
    <row r="13094" spans="1:8" ht="14.4" x14ac:dyDescent="0.3">
      <c r="A13094" s="8">
        <v>2070834</v>
      </c>
      <c r="B13094" s="11">
        <v>44775</v>
      </c>
      <c r="C13094" s="13" t="s">
        <v>16730</v>
      </c>
      <c r="D13094" s="13" t="s">
        <v>16731</v>
      </c>
      <c r="E13094" s="8">
        <v>8000</v>
      </c>
      <c r="F13094" s="13" t="s">
        <v>70</v>
      </c>
      <c r="G13094" s="14">
        <v>44778</v>
      </c>
      <c r="H13094" s="13" t="s">
        <v>163</v>
      </c>
    </row>
    <row r="13095" spans="1:8" ht="14.4" x14ac:dyDescent="0.3">
      <c r="A13095" s="8">
        <v>2070835</v>
      </c>
      <c r="B13095" s="11">
        <v>44775</v>
      </c>
      <c r="C13095" s="13" t="s">
        <v>16732</v>
      </c>
      <c r="D13095" s="13" t="s">
        <v>16733</v>
      </c>
      <c r="E13095" s="8">
        <v>2000</v>
      </c>
      <c r="F13095" s="13" t="s">
        <v>70</v>
      </c>
      <c r="G13095" s="14">
        <v>44777</v>
      </c>
      <c r="H13095" s="13" t="s">
        <v>163</v>
      </c>
    </row>
    <row r="13096" spans="1:8" ht="14.4" x14ac:dyDescent="0.3">
      <c r="A13096" s="8">
        <v>2070836</v>
      </c>
      <c r="B13096" s="11">
        <v>44775</v>
      </c>
      <c r="C13096" s="13" t="s">
        <v>16734</v>
      </c>
      <c r="D13096" s="13" t="s">
        <v>16735</v>
      </c>
      <c r="E13096" s="8">
        <v>4000</v>
      </c>
      <c r="F13096" s="13" t="s">
        <v>70</v>
      </c>
      <c r="G13096" s="14">
        <v>44777</v>
      </c>
      <c r="H13096" s="13" t="s">
        <v>163</v>
      </c>
    </row>
    <row r="13097" spans="1:8" ht="14.4" x14ac:dyDescent="0.3">
      <c r="A13097" s="8">
        <v>2070837</v>
      </c>
      <c r="B13097" s="11">
        <v>44775</v>
      </c>
      <c r="C13097" s="13" t="s">
        <v>16736</v>
      </c>
      <c r="D13097" s="13" t="s">
        <v>16737</v>
      </c>
      <c r="E13097" s="8">
        <v>4000</v>
      </c>
      <c r="F13097" s="13" t="s">
        <v>70</v>
      </c>
      <c r="G13097" s="14">
        <v>44778</v>
      </c>
      <c r="H13097" s="13" t="s">
        <v>163</v>
      </c>
    </row>
    <row r="13098" spans="1:8" ht="14.4" x14ac:dyDescent="0.3">
      <c r="A13098" s="8">
        <v>2070838</v>
      </c>
      <c r="B13098" s="11">
        <v>44776</v>
      </c>
      <c r="C13098" s="13" t="s">
        <v>16738</v>
      </c>
      <c r="D13098" s="13" t="s">
        <v>16739</v>
      </c>
      <c r="E13098" s="8">
        <v>2000</v>
      </c>
      <c r="F13098" s="13" t="s">
        <v>70</v>
      </c>
      <c r="G13098" s="14">
        <v>44777</v>
      </c>
      <c r="H13098" s="13" t="s">
        <v>163</v>
      </c>
    </row>
    <row r="13099" spans="1:8" ht="14.4" x14ac:dyDescent="0.3">
      <c r="A13099" s="8">
        <v>2070839</v>
      </c>
      <c r="B13099" s="11">
        <v>44776</v>
      </c>
      <c r="C13099" s="13" t="s">
        <v>14674</v>
      </c>
      <c r="D13099" s="13" t="s">
        <v>16740</v>
      </c>
      <c r="E13099" s="8">
        <v>2000</v>
      </c>
      <c r="F13099" s="13" t="s">
        <v>70</v>
      </c>
      <c r="G13099" s="14">
        <v>44777</v>
      </c>
      <c r="H13099" s="13" t="s">
        <v>163</v>
      </c>
    </row>
    <row r="13100" spans="1:8" ht="14.4" x14ac:dyDescent="0.3">
      <c r="A13100" s="8">
        <v>2070840</v>
      </c>
      <c r="B13100" s="11">
        <v>44776</v>
      </c>
      <c r="C13100" s="13" t="s">
        <v>16741</v>
      </c>
      <c r="D13100" s="13" t="s">
        <v>16742</v>
      </c>
      <c r="E13100" s="8">
        <v>2000</v>
      </c>
      <c r="F13100" s="13" t="s">
        <v>70</v>
      </c>
      <c r="G13100" s="14">
        <v>44777</v>
      </c>
      <c r="H13100" s="13" t="s">
        <v>163</v>
      </c>
    </row>
    <row r="13101" spans="1:8" ht="14.4" x14ac:dyDescent="0.3">
      <c r="A13101" s="8">
        <v>2070841</v>
      </c>
      <c r="B13101" s="11">
        <v>44776</v>
      </c>
      <c r="C13101" s="13" t="s">
        <v>16743</v>
      </c>
      <c r="D13101" s="13" t="s">
        <v>16744</v>
      </c>
      <c r="E13101" s="8">
        <v>2000</v>
      </c>
      <c r="F13101" s="13" t="s">
        <v>70</v>
      </c>
      <c r="G13101" s="14">
        <v>44777</v>
      </c>
      <c r="H13101" s="13" t="s">
        <v>163</v>
      </c>
    </row>
    <row r="13102" spans="1:8" ht="14.4" x14ac:dyDescent="0.3">
      <c r="A13102" s="8">
        <v>2070842</v>
      </c>
      <c r="B13102" s="11">
        <v>44776</v>
      </c>
      <c r="C13102" s="13" t="s">
        <v>16745</v>
      </c>
      <c r="D13102" s="13" t="s">
        <v>16746</v>
      </c>
      <c r="E13102" s="8">
        <v>10000</v>
      </c>
      <c r="F13102" s="13" t="s">
        <v>70</v>
      </c>
      <c r="G13102" s="14">
        <v>44785</v>
      </c>
      <c r="H13102" s="13" t="s">
        <v>163</v>
      </c>
    </row>
    <row r="13103" spans="1:8" ht="14.4" x14ac:dyDescent="0.3">
      <c r="A13103" s="8">
        <v>2070843</v>
      </c>
      <c r="B13103" s="11">
        <v>44776</v>
      </c>
      <c r="C13103" s="13" t="s">
        <v>16747</v>
      </c>
      <c r="D13103" s="13" t="s">
        <v>16748</v>
      </c>
      <c r="E13103" s="8">
        <v>2000</v>
      </c>
      <c r="F13103" s="13" t="s">
        <v>70</v>
      </c>
      <c r="G13103" s="14">
        <v>44777</v>
      </c>
      <c r="H13103" s="13" t="s">
        <v>163</v>
      </c>
    </row>
    <row r="13104" spans="1:8" ht="14.4" x14ac:dyDescent="0.3">
      <c r="A13104" s="8">
        <v>2070844</v>
      </c>
      <c r="B13104" s="11">
        <v>44776</v>
      </c>
      <c r="C13104" s="13" t="s">
        <v>16749</v>
      </c>
      <c r="D13104" s="13" t="s">
        <v>16750</v>
      </c>
      <c r="E13104" s="8">
        <v>8000</v>
      </c>
      <c r="F13104" s="13" t="s">
        <v>70</v>
      </c>
      <c r="G13104" s="14">
        <v>44778</v>
      </c>
      <c r="H13104" s="13" t="s">
        <v>163</v>
      </c>
    </row>
    <row r="13105" spans="1:8" ht="14.4" x14ac:dyDescent="0.3">
      <c r="A13105" s="8">
        <v>2070845</v>
      </c>
      <c r="B13105" s="10">
        <v>44776</v>
      </c>
      <c r="C13105" s="13" t="s">
        <v>16751</v>
      </c>
      <c r="D13105" s="13" t="s">
        <v>16752</v>
      </c>
      <c r="E13105" s="8">
        <v>1000</v>
      </c>
      <c r="F13105" s="13" t="s">
        <v>70</v>
      </c>
      <c r="G13105" s="14">
        <v>44777</v>
      </c>
      <c r="H13105" s="13" t="s">
        <v>163</v>
      </c>
    </row>
    <row r="13106" spans="1:8" ht="14.4" x14ac:dyDescent="0.3">
      <c r="A13106" s="8">
        <v>2070846</v>
      </c>
      <c r="B13106" s="11">
        <v>44776</v>
      </c>
      <c r="C13106" s="13" t="s">
        <v>16753</v>
      </c>
      <c r="D13106" s="13" t="s">
        <v>16754</v>
      </c>
      <c r="E13106" s="8">
        <v>2000</v>
      </c>
      <c r="F13106" s="13" t="s">
        <v>70</v>
      </c>
      <c r="G13106" s="14">
        <v>44777</v>
      </c>
      <c r="H13106" s="13" t="s">
        <v>163</v>
      </c>
    </row>
    <row r="13107" spans="1:8" ht="14.4" x14ac:dyDescent="0.3">
      <c r="A13107" s="8">
        <v>2070847</v>
      </c>
      <c r="B13107" s="11">
        <v>44776</v>
      </c>
      <c r="C13107" s="13" t="s">
        <v>16755</v>
      </c>
      <c r="D13107" s="13" t="s">
        <v>16756</v>
      </c>
      <c r="E13107" s="8">
        <v>6000</v>
      </c>
      <c r="F13107" s="13" t="s">
        <v>70</v>
      </c>
      <c r="G13107" s="14">
        <v>44778</v>
      </c>
      <c r="H13107" s="13" t="s">
        <v>163</v>
      </c>
    </row>
    <row r="13108" spans="1:8" ht="14.4" x14ac:dyDescent="0.3">
      <c r="A13108" s="8">
        <v>2070848</v>
      </c>
      <c r="B13108" s="11">
        <v>44776</v>
      </c>
      <c r="C13108" s="13" t="s">
        <v>16757</v>
      </c>
      <c r="D13108" s="13" t="s">
        <v>16758</v>
      </c>
      <c r="E13108" s="8">
        <v>4000</v>
      </c>
      <c r="F13108" s="13" t="s">
        <v>70</v>
      </c>
      <c r="G13108" s="14">
        <v>44782</v>
      </c>
      <c r="H13108" s="13" t="s">
        <v>163</v>
      </c>
    </row>
    <row r="13109" spans="1:8" ht="14.4" x14ac:dyDescent="0.3">
      <c r="A13109" s="8">
        <v>2070849</v>
      </c>
      <c r="B13109" s="11">
        <v>44776</v>
      </c>
      <c r="C13109" s="13" t="s">
        <v>16759</v>
      </c>
      <c r="D13109" s="13" t="s">
        <v>16760</v>
      </c>
      <c r="E13109" s="8">
        <v>4000</v>
      </c>
      <c r="F13109" s="13" t="s">
        <v>70</v>
      </c>
      <c r="G13109" s="14">
        <v>44777</v>
      </c>
      <c r="H13109" s="13" t="s">
        <v>163</v>
      </c>
    </row>
    <row r="13110" spans="1:8" ht="14.4" x14ac:dyDescent="0.3">
      <c r="A13110" s="8">
        <v>2070850</v>
      </c>
      <c r="B13110" s="11">
        <v>44776</v>
      </c>
      <c r="C13110" s="13" t="s">
        <v>2170</v>
      </c>
      <c r="D13110" s="13" t="s">
        <v>16761</v>
      </c>
      <c r="E13110" s="8">
        <v>10000</v>
      </c>
      <c r="F13110" s="13" t="s">
        <v>70</v>
      </c>
      <c r="G13110" s="14">
        <v>44777</v>
      </c>
      <c r="H13110" s="13" t="s">
        <v>163</v>
      </c>
    </row>
    <row r="13111" spans="1:8" ht="14.4" x14ac:dyDescent="0.3">
      <c r="A13111" s="8">
        <v>2070851</v>
      </c>
      <c r="B13111" s="11">
        <v>44776</v>
      </c>
      <c r="C13111" s="13" t="s">
        <v>4596</v>
      </c>
      <c r="D13111" s="13" t="s">
        <v>16762</v>
      </c>
      <c r="E13111" s="8">
        <v>4000</v>
      </c>
      <c r="F13111" s="13" t="s">
        <v>70</v>
      </c>
      <c r="G13111" s="14">
        <v>44778</v>
      </c>
      <c r="H13111" s="13" t="s">
        <v>163</v>
      </c>
    </row>
    <row r="13112" spans="1:8" ht="14.4" x14ac:dyDescent="0.3">
      <c r="A13112" s="8">
        <v>2070852</v>
      </c>
      <c r="B13112" s="11">
        <v>44776</v>
      </c>
      <c r="C13112" s="13" t="s">
        <v>3570</v>
      </c>
      <c r="D13112" s="13" t="s">
        <v>16763</v>
      </c>
      <c r="E13112" s="8">
        <v>6000</v>
      </c>
      <c r="F13112" s="13" t="s">
        <v>70</v>
      </c>
      <c r="G13112" s="14">
        <v>44778</v>
      </c>
      <c r="H13112" s="13" t="s">
        <v>163</v>
      </c>
    </row>
    <row r="13113" spans="1:8" ht="14.4" x14ac:dyDescent="0.3">
      <c r="A13113" s="8">
        <v>2070853</v>
      </c>
      <c r="B13113" s="11">
        <v>44776</v>
      </c>
      <c r="C13113" s="13" t="s">
        <v>4537</v>
      </c>
      <c r="D13113" s="13" t="s">
        <v>16764</v>
      </c>
      <c r="E13113" s="8">
        <v>6000</v>
      </c>
      <c r="F13113" s="13" t="s">
        <v>70</v>
      </c>
      <c r="G13113" s="14">
        <v>44777</v>
      </c>
      <c r="H13113" s="13" t="s">
        <v>163</v>
      </c>
    </row>
    <row r="13114" spans="1:8" ht="14.4" x14ac:dyDescent="0.3">
      <c r="A13114" s="8">
        <v>2070854</v>
      </c>
      <c r="B13114" s="11">
        <v>44776</v>
      </c>
      <c r="C13114" s="13" t="s">
        <v>4541</v>
      </c>
      <c r="D13114" s="13" t="s">
        <v>16765</v>
      </c>
      <c r="E13114" s="8">
        <v>8000</v>
      </c>
      <c r="F13114" s="13" t="s">
        <v>70</v>
      </c>
      <c r="G13114" s="14">
        <v>44777</v>
      </c>
      <c r="H13114" s="13" t="s">
        <v>163</v>
      </c>
    </row>
    <row r="13115" spans="1:8" ht="14.4" x14ac:dyDescent="0.3">
      <c r="A13115" s="8">
        <v>2070855</v>
      </c>
      <c r="B13115" s="11">
        <v>44776</v>
      </c>
      <c r="C13115" s="13" t="s">
        <v>16766</v>
      </c>
      <c r="D13115" s="13" t="s">
        <v>16767</v>
      </c>
      <c r="E13115" s="8">
        <v>4000</v>
      </c>
      <c r="F13115" s="13" t="s">
        <v>70</v>
      </c>
      <c r="G13115" s="14">
        <v>44777</v>
      </c>
      <c r="H13115" s="13" t="s">
        <v>163</v>
      </c>
    </row>
    <row r="13116" spans="1:8" ht="14.4" x14ac:dyDescent="0.3">
      <c r="A13116" s="8">
        <v>2070856</v>
      </c>
      <c r="B13116" s="11">
        <v>44776</v>
      </c>
      <c r="C13116" s="13" t="s">
        <v>16768</v>
      </c>
      <c r="D13116" s="13" t="s">
        <v>16769</v>
      </c>
      <c r="E13116" s="8">
        <v>8000</v>
      </c>
      <c r="F13116" s="13" t="s">
        <v>70</v>
      </c>
      <c r="G13116" s="14">
        <v>44777</v>
      </c>
      <c r="H13116" s="13" t="s">
        <v>163</v>
      </c>
    </row>
    <row r="13117" spans="1:8" ht="14.4" x14ac:dyDescent="0.3">
      <c r="A13117" s="8">
        <v>2070857</v>
      </c>
      <c r="B13117" s="11">
        <v>44776</v>
      </c>
      <c r="C13117" s="13" t="s">
        <v>16770</v>
      </c>
      <c r="D13117" s="13" t="s">
        <v>16771</v>
      </c>
      <c r="E13117" s="8">
        <v>4000</v>
      </c>
      <c r="F13117" s="13" t="s">
        <v>70</v>
      </c>
      <c r="G13117" s="14">
        <v>44777</v>
      </c>
      <c r="H13117" s="13" t="s">
        <v>163</v>
      </c>
    </row>
    <row r="13118" spans="1:8" ht="14.4" x14ac:dyDescent="0.3">
      <c r="A13118" s="8">
        <v>2070858</v>
      </c>
      <c r="B13118" s="11">
        <v>44776</v>
      </c>
      <c r="C13118" s="13" t="s">
        <v>16772</v>
      </c>
      <c r="D13118" s="13" t="s">
        <v>16773</v>
      </c>
      <c r="E13118" s="8">
        <v>4000</v>
      </c>
      <c r="F13118" s="13" t="s">
        <v>70</v>
      </c>
      <c r="G13118" s="14">
        <v>44777</v>
      </c>
      <c r="H13118" s="13" t="s">
        <v>163</v>
      </c>
    </row>
    <row r="13119" spans="1:8" ht="14.4" x14ac:dyDescent="0.3">
      <c r="A13119" s="8">
        <v>2070859</v>
      </c>
      <c r="B13119" s="11">
        <v>44776</v>
      </c>
      <c r="C13119" s="13" t="s">
        <v>1898</v>
      </c>
      <c r="D13119" s="13" t="s">
        <v>16774</v>
      </c>
      <c r="E13119" s="8">
        <v>2000</v>
      </c>
      <c r="F13119" s="13" t="s">
        <v>70</v>
      </c>
      <c r="G13119" s="14">
        <v>44778</v>
      </c>
      <c r="H13119" s="13" t="s">
        <v>163</v>
      </c>
    </row>
    <row r="13120" spans="1:8" ht="14.4" x14ac:dyDescent="0.3">
      <c r="A13120" s="8">
        <v>2070860</v>
      </c>
      <c r="B13120" s="11">
        <v>44776</v>
      </c>
      <c r="C13120" s="13" t="s">
        <v>16775</v>
      </c>
      <c r="D13120" s="13" t="s">
        <v>16776</v>
      </c>
      <c r="E13120" s="8">
        <v>6000</v>
      </c>
      <c r="F13120" s="13" t="s">
        <v>70</v>
      </c>
      <c r="G13120" s="14">
        <v>44778</v>
      </c>
      <c r="H13120" s="13" t="s">
        <v>163</v>
      </c>
    </row>
    <row r="13121" spans="1:8" ht="14.4" x14ac:dyDescent="0.3">
      <c r="A13121" s="8">
        <v>2070861</v>
      </c>
      <c r="B13121" s="11">
        <v>44776</v>
      </c>
      <c r="C13121" s="13" t="s">
        <v>16777</v>
      </c>
      <c r="D13121" s="13" t="s">
        <v>16778</v>
      </c>
      <c r="E13121" s="8">
        <v>2000</v>
      </c>
      <c r="F13121" s="13" t="s">
        <v>70</v>
      </c>
      <c r="G13121" s="14">
        <v>44778</v>
      </c>
      <c r="H13121" s="13" t="s">
        <v>163</v>
      </c>
    </row>
    <row r="13122" spans="1:8" ht="14.4" x14ac:dyDescent="0.3">
      <c r="A13122" s="8">
        <v>2070862</v>
      </c>
      <c r="B13122" s="11">
        <v>44776</v>
      </c>
      <c r="C13122" s="13" t="s">
        <v>16779</v>
      </c>
      <c r="D13122" s="13" t="s">
        <v>16780</v>
      </c>
      <c r="E13122" s="8">
        <v>10000</v>
      </c>
      <c r="F13122" s="13" t="s">
        <v>70</v>
      </c>
      <c r="G13122" s="14">
        <v>44777</v>
      </c>
      <c r="H13122" s="13" t="s">
        <v>163</v>
      </c>
    </row>
    <row r="13123" spans="1:8" ht="14.4" x14ac:dyDescent="0.3">
      <c r="A13123" s="8">
        <v>2070863</v>
      </c>
      <c r="B13123" s="11">
        <v>44776</v>
      </c>
      <c r="C13123" s="13" t="s">
        <v>16781</v>
      </c>
      <c r="D13123" s="13" t="s">
        <v>16782</v>
      </c>
      <c r="E13123" s="8">
        <v>4000</v>
      </c>
      <c r="F13123" s="13" t="s">
        <v>70</v>
      </c>
      <c r="G13123" s="14">
        <v>44777</v>
      </c>
      <c r="H13123" s="13" t="s">
        <v>163</v>
      </c>
    </row>
    <row r="13124" spans="1:8" ht="14.4" x14ac:dyDescent="0.3">
      <c r="A13124" s="8">
        <v>2070864</v>
      </c>
      <c r="B13124" s="11">
        <v>44776</v>
      </c>
      <c r="C13124" s="13" t="s">
        <v>16783</v>
      </c>
      <c r="D13124" s="13" t="s">
        <v>16784</v>
      </c>
      <c r="E13124" s="8">
        <v>4000</v>
      </c>
      <c r="F13124" s="13" t="s">
        <v>70</v>
      </c>
      <c r="G13124" s="14">
        <v>44777</v>
      </c>
      <c r="H13124" s="13" t="s">
        <v>163</v>
      </c>
    </row>
    <row r="13125" spans="1:8" ht="14.4" x14ac:dyDescent="0.3">
      <c r="A13125" s="8">
        <v>2070865</v>
      </c>
      <c r="B13125" s="11">
        <v>44776</v>
      </c>
      <c r="C13125" s="13" t="s">
        <v>16785</v>
      </c>
      <c r="D13125" s="13" t="s">
        <v>16786</v>
      </c>
      <c r="E13125" s="8">
        <v>18000</v>
      </c>
      <c r="F13125" s="13" t="s">
        <v>70</v>
      </c>
      <c r="G13125" s="14">
        <v>44777</v>
      </c>
      <c r="H13125" s="13" t="s">
        <v>163</v>
      </c>
    </row>
    <row r="13126" spans="1:8" ht="14.4" x14ac:dyDescent="0.3">
      <c r="A13126" s="8">
        <v>2070866</v>
      </c>
      <c r="B13126" s="11">
        <v>44776</v>
      </c>
      <c r="C13126" s="13" t="s">
        <v>16787</v>
      </c>
      <c r="D13126" s="13" t="s">
        <v>16788</v>
      </c>
      <c r="E13126" s="8">
        <v>4000</v>
      </c>
      <c r="F13126" s="13" t="s">
        <v>70</v>
      </c>
      <c r="G13126" s="14">
        <v>44777</v>
      </c>
      <c r="H13126" s="13" t="s">
        <v>163</v>
      </c>
    </row>
    <row r="13127" spans="1:8" ht="14.4" x14ac:dyDescent="0.3">
      <c r="A13127" s="8">
        <v>2070867</v>
      </c>
      <c r="B13127" s="11">
        <v>44776</v>
      </c>
      <c r="C13127" s="13" t="s">
        <v>16789</v>
      </c>
      <c r="D13127" s="13" t="s">
        <v>16790</v>
      </c>
      <c r="E13127" s="8">
        <v>4000</v>
      </c>
      <c r="F13127" s="13" t="s">
        <v>70</v>
      </c>
      <c r="G13127" s="14">
        <v>44777</v>
      </c>
      <c r="H13127" s="13" t="s">
        <v>163</v>
      </c>
    </row>
    <row r="13128" spans="1:8" ht="14.4" x14ac:dyDescent="0.3">
      <c r="A13128" s="8">
        <v>2070868</v>
      </c>
      <c r="B13128" s="11">
        <v>44776</v>
      </c>
      <c r="C13128" s="13" t="s">
        <v>16791</v>
      </c>
      <c r="D13128" s="13" t="s">
        <v>16792</v>
      </c>
      <c r="E13128" s="8">
        <v>4000</v>
      </c>
      <c r="F13128" s="13" t="s">
        <v>70</v>
      </c>
      <c r="G13128" s="14">
        <v>44777</v>
      </c>
      <c r="H13128" s="13" t="s">
        <v>163</v>
      </c>
    </row>
    <row r="13129" spans="1:8" ht="14.4" x14ac:dyDescent="0.3">
      <c r="A13129" s="8">
        <v>2070869</v>
      </c>
      <c r="B13129" s="11">
        <v>44776</v>
      </c>
      <c r="C13129" s="13" t="s">
        <v>16793</v>
      </c>
      <c r="D13129" s="13" t="s">
        <v>16794</v>
      </c>
      <c r="E13129" s="8">
        <v>6000</v>
      </c>
      <c r="F13129" s="13" t="s">
        <v>70</v>
      </c>
      <c r="G13129" s="14">
        <v>44777</v>
      </c>
      <c r="H13129" s="13" t="s">
        <v>163</v>
      </c>
    </row>
    <row r="13130" spans="1:8" ht="14.4" x14ac:dyDescent="0.3">
      <c r="A13130" s="8">
        <v>2070870</v>
      </c>
      <c r="B13130" s="10">
        <v>44776</v>
      </c>
      <c r="C13130" s="13" t="s">
        <v>16795</v>
      </c>
      <c r="D13130" s="13" t="s">
        <v>16796</v>
      </c>
      <c r="E13130" s="8">
        <v>2000</v>
      </c>
      <c r="F13130" s="13" t="s">
        <v>70</v>
      </c>
      <c r="G13130" s="14">
        <v>44778</v>
      </c>
      <c r="H13130" s="13" t="s">
        <v>163</v>
      </c>
    </row>
    <row r="13131" spans="1:8" ht="14.4" x14ac:dyDescent="0.3">
      <c r="A13131" s="8">
        <v>2070871</v>
      </c>
      <c r="B13131" s="11">
        <v>44776</v>
      </c>
      <c r="C13131" s="13" t="s">
        <v>14334</v>
      </c>
      <c r="D13131" s="13" t="s">
        <v>16797</v>
      </c>
      <c r="E13131" s="8">
        <v>2000</v>
      </c>
      <c r="F13131" s="13" t="s">
        <v>70</v>
      </c>
      <c r="G13131" s="14">
        <v>44777</v>
      </c>
      <c r="H13131" s="13" t="s">
        <v>163</v>
      </c>
    </row>
    <row r="13132" spans="1:8" ht="14.4" x14ac:dyDescent="0.3">
      <c r="A13132" s="8">
        <v>2070872</v>
      </c>
      <c r="B13132" s="11">
        <v>44776</v>
      </c>
      <c r="C13132" s="13" t="s">
        <v>14343</v>
      </c>
      <c r="D13132" s="13" t="s">
        <v>16798</v>
      </c>
      <c r="E13132" s="8">
        <v>2000</v>
      </c>
      <c r="F13132" s="13" t="s">
        <v>70</v>
      </c>
      <c r="G13132" s="14">
        <v>44778</v>
      </c>
      <c r="H13132" s="13" t="s">
        <v>163</v>
      </c>
    </row>
    <row r="13133" spans="1:8" ht="14.4" x14ac:dyDescent="0.3">
      <c r="A13133" s="8">
        <v>2070873</v>
      </c>
      <c r="B13133" s="11">
        <v>44776</v>
      </c>
      <c r="C13133" s="13" t="s">
        <v>16799</v>
      </c>
      <c r="D13133" s="13" t="s">
        <v>16800</v>
      </c>
      <c r="E13133" s="8">
        <v>4000</v>
      </c>
      <c r="F13133" s="13" t="s">
        <v>70</v>
      </c>
      <c r="G13133" s="14">
        <v>44777</v>
      </c>
      <c r="H13133" s="13" t="s">
        <v>163</v>
      </c>
    </row>
    <row r="13134" spans="1:8" ht="14.4" x14ac:dyDescent="0.3">
      <c r="A13134" s="8">
        <v>2070874</v>
      </c>
      <c r="B13134" s="11">
        <v>44776</v>
      </c>
      <c r="C13134" s="13" t="s">
        <v>16801</v>
      </c>
      <c r="D13134" s="13" t="s">
        <v>16802</v>
      </c>
      <c r="E13134" s="8">
        <v>10000</v>
      </c>
      <c r="F13134" s="13" t="s">
        <v>70</v>
      </c>
      <c r="G13134" s="14">
        <v>44778</v>
      </c>
      <c r="H13134" s="13" t="s">
        <v>163</v>
      </c>
    </row>
    <row r="13135" spans="1:8" ht="14.4" x14ac:dyDescent="0.3">
      <c r="A13135" s="8">
        <v>2070875</v>
      </c>
      <c r="B13135" s="11">
        <v>44776</v>
      </c>
      <c r="C13135" s="13" t="s">
        <v>1033</v>
      </c>
      <c r="D13135" s="13" t="s">
        <v>16803</v>
      </c>
      <c r="E13135" s="8">
        <v>8000</v>
      </c>
      <c r="F13135" s="13" t="s">
        <v>70</v>
      </c>
      <c r="G13135" s="14">
        <v>44781</v>
      </c>
      <c r="H13135" s="13" t="s">
        <v>163</v>
      </c>
    </row>
    <row r="13136" spans="1:8" ht="14.4" x14ac:dyDescent="0.3">
      <c r="A13136" s="8">
        <v>2070876</v>
      </c>
      <c r="B13136" s="11">
        <v>44776</v>
      </c>
      <c r="C13136" s="13" t="s">
        <v>16804</v>
      </c>
      <c r="D13136" s="13" t="s">
        <v>16805</v>
      </c>
      <c r="E13136" s="8">
        <v>8000</v>
      </c>
      <c r="F13136" s="13" t="s">
        <v>70</v>
      </c>
      <c r="G13136" s="14">
        <v>44777</v>
      </c>
      <c r="H13136" s="13" t="s">
        <v>163</v>
      </c>
    </row>
    <row r="13137" spans="1:8" ht="14.4" x14ac:dyDescent="0.3">
      <c r="A13137" s="8">
        <v>2070877</v>
      </c>
      <c r="B13137" s="11">
        <v>44776</v>
      </c>
      <c r="C13137" s="13" t="s">
        <v>16806</v>
      </c>
      <c r="D13137" s="13" t="s">
        <v>16807</v>
      </c>
      <c r="E13137" s="8">
        <v>6000</v>
      </c>
      <c r="F13137" s="13" t="s">
        <v>70</v>
      </c>
      <c r="G13137" s="14">
        <v>44777</v>
      </c>
      <c r="H13137" s="13" t="s">
        <v>163</v>
      </c>
    </row>
    <row r="13138" spans="1:8" ht="14.4" x14ac:dyDescent="0.3">
      <c r="A13138" s="8">
        <v>2070878</v>
      </c>
      <c r="B13138" s="11">
        <v>44776</v>
      </c>
      <c r="C13138" s="13" t="s">
        <v>4531</v>
      </c>
      <c r="D13138" s="13" t="s">
        <v>16808</v>
      </c>
      <c r="E13138" s="8">
        <v>6000</v>
      </c>
      <c r="F13138" s="13" t="s">
        <v>70</v>
      </c>
      <c r="G13138" s="14">
        <v>44777</v>
      </c>
      <c r="H13138" s="13" t="s">
        <v>163</v>
      </c>
    </row>
    <row r="13139" spans="1:8" ht="14.4" x14ac:dyDescent="0.3">
      <c r="A13139" s="8">
        <v>2070879</v>
      </c>
      <c r="B13139" s="11">
        <v>44776</v>
      </c>
      <c r="C13139" s="13" t="s">
        <v>16809</v>
      </c>
      <c r="D13139" s="13" t="s">
        <v>16810</v>
      </c>
      <c r="E13139" s="8">
        <v>20000</v>
      </c>
      <c r="F13139" s="13" t="s">
        <v>70</v>
      </c>
      <c r="G13139" s="14">
        <v>44777</v>
      </c>
      <c r="H13139" s="13" t="s">
        <v>163</v>
      </c>
    </row>
    <row r="13140" spans="1:8" ht="14.4" x14ac:dyDescent="0.3">
      <c r="A13140" s="8">
        <v>2070880</v>
      </c>
      <c r="B13140" s="11">
        <v>44776</v>
      </c>
      <c r="C13140" s="13" t="s">
        <v>4744</v>
      </c>
      <c r="D13140" s="13" t="s">
        <v>16811</v>
      </c>
      <c r="E13140" s="8">
        <v>6000</v>
      </c>
      <c r="F13140" s="13" t="s">
        <v>70</v>
      </c>
      <c r="G13140" s="14">
        <v>44781</v>
      </c>
      <c r="H13140" s="13" t="s">
        <v>163</v>
      </c>
    </row>
    <row r="13141" spans="1:8" ht="14.4" x14ac:dyDescent="0.3">
      <c r="A13141" s="8">
        <v>2070881</v>
      </c>
      <c r="B13141" s="11">
        <v>44776</v>
      </c>
      <c r="C13141" s="13" t="s">
        <v>16812</v>
      </c>
      <c r="D13141" s="13" t="s">
        <v>16813</v>
      </c>
      <c r="E13141" s="8">
        <v>4000</v>
      </c>
      <c r="F13141" s="13" t="s">
        <v>70</v>
      </c>
      <c r="G13141" s="14">
        <v>44781</v>
      </c>
      <c r="H13141" s="13" t="s">
        <v>163</v>
      </c>
    </row>
    <row r="13142" spans="1:8" ht="14.4" x14ac:dyDescent="0.3">
      <c r="A13142" s="8">
        <v>2070882</v>
      </c>
      <c r="B13142" s="11">
        <v>44776</v>
      </c>
      <c r="C13142" s="13" t="s">
        <v>16814</v>
      </c>
      <c r="D13142" s="13" t="s">
        <v>16815</v>
      </c>
      <c r="E13142" s="8">
        <v>6000</v>
      </c>
      <c r="F13142" s="13" t="s">
        <v>70</v>
      </c>
      <c r="G13142" s="14">
        <v>44781</v>
      </c>
      <c r="H13142" s="13" t="s">
        <v>163</v>
      </c>
    </row>
    <row r="13143" spans="1:8" ht="14.4" x14ac:dyDescent="0.3">
      <c r="A13143" s="8">
        <v>2070883</v>
      </c>
      <c r="B13143" s="11">
        <v>44776</v>
      </c>
      <c r="C13143" s="13" t="s">
        <v>16816</v>
      </c>
      <c r="D13143" s="13" t="s">
        <v>16817</v>
      </c>
      <c r="E13143" s="8">
        <v>8000</v>
      </c>
      <c r="F13143" s="13" t="s">
        <v>70</v>
      </c>
      <c r="G13143" s="14">
        <v>44791</v>
      </c>
      <c r="H13143" s="13" t="s">
        <v>163</v>
      </c>
    </row>
    <row r="13144" spans="1:8" ht="14.4" x14ac:dyDescent="0.3">
      <c r="A13144" s="8">
        <v>2070884</v>
      </c>
      <c r="B13144" s="11">
        <v>44776</v>
      </c>
      <c r="C13144" s="13" t="s">
        <v>16818</v>
      </c>
      <c r="D13144" s="13" t="s">
        <v>16819</v>
      </c>
      <c r="E13144" s="8">
        <v>5000</v>
      </c>
      <c r="F13144" s="13" t="s">
        <v>70</v>
      </c>
      <c r="G13144" s="14">
        <v>44785</v>
      </c>
      <c r="H13144" s="13" t="s">
        <v>163</v>
      </c>
    </row>
    <row r="13145" spans="1:8" ht="14.4" x14ac:dyDescent="0.3">
      <c r="A13145" s="8">
        <v>2070885</v>
      </c>
      <c r="B13145" s="11">
        <v>44776</v>
      </c>
      <c r="C13145" s="13" t="s">
        <v>16820</v>
      </c>
      <c r="D13145" s="13" t="s">
        <v>16821</v>
      </c>
      <c r="E13145" s="8">
        <v>8000</v>
      </c>
      <c r="F13145" s="13" t="s">
        <v>70</v>
      </c>
      <c r="G13145" s="14">
        <v>44781</v>
      </c>
      <c r="H13145" s="13" t="s">
        <v>163</v>
      </c>
    </row>
    <row r="13146" spans="1:8" ht="14.4" x14ac:dyDescent="0.3">
      <c r="A13146" s="8">
        <v>2070886</v>
      </c>
      <c r="B13146" s="11">
        <v>44776</v>
      </c>
      <c r="C13146" s="13" t="s">
        <v>16822</v>
      </c>
      <c r="D13146" s="13" t="s">
        <v>16823</v>
      </c>
      <c r="E13146" s="8">
        <v>10000</v>
      </c>
      <c r="F13146" s="13" t="s">
        <v>70</v>
      </c>
      <c r="G13146" s="14">
        <v>44782</v>
      </c>
      <c r="H13146" s="13" t="s">
        <v>163</v>
      </c>
    </row>
    <row r="13147" spans="1:8" ht="14.4" x14ac:dyDescent="0.3">
      <c r="A13147" s="8">
        <v>2070887</v>
      </c>
      <c r="B13147" s="11">
        <v>44776</v>
      </c>
      <c r="C13147" s="13" t="s">
        <v>16824</v>
      </c>
      <c r="D13147" s="13" t="s">
        <v>16825</v>
      </c>
      <c r="E13147" s="8">
        <v>6000</v>
      </c>
      <c r="F13147" s="13" t="s">
        <v>70</v>
      </c>
      <c r="G13147" s="14">
        <v>44781</v>
      </c>
      <c r="H13147" s="13" t="s">
        <v>163</v>
      </c>
    </row>
    <row r="13148" spans="1:8" ht="14.4" x14ac:dyDescent="0.3">
      <c r="A13148" s="8">
        <v>2070888</v>
      </c>
      <c r="B13148" s="11">
        <v>44776</v>
      </c>
      <c r="C13148" s="13" t="s">
        <v>13848</v>
      </c>
      <c r="D13148" s="13" t="s">
        <v>16826</v>
      </c>
      <c r="E13148" s="8">
        <v>2000</v>
      </c>
      <c r="F13148" s="13" t="s">
        <v>70</v>
      </c>
      <c r="G13148" s="14">
        <v>44782</v>
      </c>
      <c r="H13148" s="13" t="s">
        <v>163</v>
      </c>
    </row>
    <row r="13149" spans="1:8" ht="14.4" x14ac:dyDescent="0.3">
      <c r="A13149" s="8">
        <v>2070889</v>
      </c>
      <c r="B13149" s="11">
        <v>44776</v>
      </c>
      <c r="C13149" s="13" t="s">
        <v>16827</v>
      </c>
      <c r="D13149" s="13" t="s">
        <v>16828</v>
      </c>
      <c r="E13149" s="8">
        <v>2000</v>
      </c>
      <c r="F13149" s="13" t="s">
        <v>70</v>
      </c>
      <c r="G13149" s="14">
        <v>44782</v>
      </c>
      <c r="H13149" s="13" t="s">
        <v>163</v>
      </c>
    </row>
    <row r="13150" spans="1:8" ht="14.4" x14ac:dyDescent="0.3">
      <c r="A13150" s="8">
        <v>2070890</v>
      </c>
      <c r="B13150" s="11">
        <v>44776</v>
      </c>
      <c r="C13150" s="13" t="s">
        <v>16829</v>
      </c>
      <c r="D13150" s="13" t="s">
        <v>16830</v>
      </c>
      <c r="E13150" s="8">
        <v>2000</v>
      </c>
      <c r="F13150" s="13" t="s">
        <v>70</v>
      </c>
      <c r="G13150" s="14">
        <v>44781</v>
      </c>
      <c r="H13150" s="13" t="s">
        <v>163</v>
      </c>
    </row>
    <row r="13151" spans="1:8" ht="14.4" x14ac:dyDescent="0.3">
      <c r="A13151" s="8">
        <v>2070891</v>
      </c>
      <c r="B13151" s="11">
        <v>44776</v>
      </c>
      <c r="C13151" s="13" t="s">
        <v>16831</v>
      </c>
      <c r="D13151" s="13" t="s">
        <v>16832</v>
      </c>
      <c r="E13151" s="8">
        <v>2000</v>
      </c>
      <c r="F13151" s="13" t="s">
        <v>70</v>
      </c>
      <c r="G13151" s="14">
        <v>44781</v>
      </c>
      <c r="H13151" s="13" t="s">
        <v>163</v>
      </c>
    </row>
    <row r="13152" spans="1:8" ht="14.4" x14ac:dyDescent="0.3">
      <c r="A13152" s="8">
        <v>2070892</v>
      </c>
      <c r="B13152" s="11">
        <v>44776</v>
      </c>
      <c r="C13152" s="13" t="s">
        <v>16833</v>
      </c>
      <c r="D13152" s="13" t="s">
        <v>16834</v>
      </c>
      <c r="E13152" s="8">
        <v>4000</v>
      </c>
      <c r="F13152" s="13" t="s">
        <v>70</v>
      </c>
      <c r="G13152" s="14">
        <v>44781</v>
      </c>
      <c r="H13152" s="13" t="s">
        <v>163</v>
      </c>
    </row>
    <row r="13153" spans="1:8" ht="14.4" x14ac:dyDescent="0.3">
      <c r="A13153" s="8">
        <v>2070893</v>
      </c>
      <c r="B13153" s="11">
        <v>44776</v>
      </c>
      <c r="C13153" s="13" t="s">
        <v>16835</v>
      </c>
      <c r="D13153" s="13" t="s">
        <v>16836</v>
      </c>
      <c r="E13153" s="8">
        <v>4000</v>
      </c>
      <c r="F13153" s="13" t="s">
        <v>70</v>
      </c>
      <c r="G13153" s="14">
        <v>44781</v>
      </c>
      <c r="H13153" s="13" t="s">
        <v>163</v>
      </c>
    </row>
    <row r="13154" spans="1:8" ht="14.4" x14ac:dyDescent="0.3">
      <c r="A13154" s="8">
        <v>2070894</v>
      </c>
      <c r="B13154" s="11">
        <v>44776</v>
      </c>
      <c r="C13154" s="13" t="s">
        <v>16837</v>
      </c>
      <c r="D13154" s="13" t="s">
        <v>16838</v>
      </c>
      <c r="E13154" s="8">
        <v>4000</v>
      </c>
      <c r="F13154" s="13" t="s">
        <v>70</v>
      </c>
      <c r="G13154" s="14">
        <v>44782</v>
      </c>
      <c r="H13154" s="13" t="s">
        <v>163</v>
      </c>
    </row>
    <row r="13155" spans="1:8" ht="14.4" x14ac:dyDescent="0.3">
      <c r="A13155" s="8">
        <v>2070895</v>
      </c>
      <c r="B13155" s="11">
        <v>44776</v>
      </c>
      <c r="C13155" s="13" t="s">
        <v>16839</v>
      </c>
      <c r="D13155" s="13" t="s">
        <v>16840</v>
      </c>
      <c r="E13155" s="8">
        <v>2000</v>
      </c>
      <c r="F13155" s="13" t="s">
        <v>70</v>
      </c>
      <c r="G13155" s="14">
        <v>44781</v>
      </c>
      <c r="H13155" s="13" t="s">
        <v>163</v>
      </c>
    </row>
    <row r="13156" spans="1:8" ht="14.4" x14ac:dyDescent="0.3">
      <c r="A13156" s="8">
        <v>2070896</v>
      </c>
      <c r="B13156" s="11">
        <v>44776</v>
      </c>
      <c r="C13156" s="13" t="s">
        <v>16841</v>
      </c>
      <c r="D13156" s="13" t="s">
        <v>16842</v>
      </c>
      <c r="E13156" s="8">
        <v>2000</v>
      </c>
      <c r="F13156" s="13" t="s">
        <v>70</v>
      </c>
      <c r="G13156" s="14">
        <v>44781</v>
      </c>
      <c r="H13156" s="13" t="s">
        <v>163</v>
      </c>
    </row>
    <row r="13157" spans="1:8" ht="14.4" x14ac:dyDescent="0.3">
      <c r="A13157" s="8">
        <v>2070897</v>
      </c>
      <c r="B13157" s="11">
        <v>44776</v>
      </c>
      <c r="C13157" s="13" t="s">
        <v>16843</v>
      </c>
      <c r="D13157" s="13" t="s">
        <v>16844</v>
      </c>
      <c r="E13157" s="8">
        <v>2000</v>
      </c>
      <c r="F13157" s="13" t="s">
        <v>70</v>
      </c>
      <c r="G13157" s="14">
        <v>44778</v>
      </c>
      <c r="H13157" s="13" t="s">
        <v>163</v>
      </c>
    </row>
    <row r="13158" spans="1:8" ht="14.4" x14ac:dyDescent="0.3">
      <c r="A13158" s="8">
        <v>2070898</v>
      </c>
      <c r="B13158" s="11">
        <v>44776</v>
      </c>
      <c r="C13158" s="13" t="s">
        <v>16845</v>
      </c>
      <c r="D13158" s="13" t="s">
        <v>16846</v>
      </c>
      <c r="E13158" s="8">
        <v>8000</v>
      </c>
      <c r="F13158" s="13" t="s">
        <v>70</v>
      </c>
      <c r="G13158" s="14">
        <v>44782</v>
      </c>
      <c r="H13158" s="13" t="s">
        <v>163</v>
      </c>
    </row>
    <row r="13159" spans="1:8" ht="14.4" x14ac:dyDescent="0.3">
      <c r="A13159" s="8">
        <v>2070899</v>
      </c>
      <c r="B13159" s="11">
        <v>44776</v>
      </c>
      <c r="C13159" s="13" t="s">
        <v>10886</v>
      </c>
      <c r="D13159" s="13" t="s">
        <v>16847</v>
      </c>
      <c r="E13159" s="8">
        <v>6000</v>
      </c>
      <c r="F13159" s="13" t="s">
        <v>70</v>
      </c>
      <c r="G13159" s="14">
        <v>44781</v>
      </c>
      <c r="H13159" s="13" t="s">
        <v>163</v>
      </c>
    </row>
    <row r="13160" spans="1:8" ht="14.4" x14ac:dyDescent="0.3">
      <c r="A13160" s="8">
        <v>2070900</v>
      </c>
      <c r="B13160" s="11">
        <v>44776</v>
      </c>
      <c r="C13160" s="13" t="s">
        <v>8215</v>
      </c>
      <c r="D13160" s="13" t="s">
        <v>16848</v>
      </c>
      <c r="E13160" s="8">
        <v>4000</v>
      </c>
      <c r="F13160" s="13" t="s">
        <v>70</v>
      </c>
      <c r="G13160" s="14">
        <v>44781</v>
      </c>
      <c r="H13160" s="13" t="s">
        <v>163</v>
      </c>
    </row>
    <row r="13161" spans="1:8" ht="14.4" x14ac:dyDescent="0.3">
      <c r="A13161" s="8">
        <v>2070901</v>
      </c>
      <c r="B13161" s="11">
        <v>44776</v>
      </c>
      <c r="C13161" s="13" t="s">
        <v>16849</v>
      </c>
      <c r="D13161" s="13" t="s">
        <v>16850</v>
      </c>
      <c r="E13161" s="8">
        <v>2000</v>
      </c>
      <c r="F13161" s="13" t="s">
        <v>70</v>
      </c>
      <c r="G13161" s="14">
        <v>44781</v>
      </c>
      <c r="H13161" s="13" t="s">
        <v>163</v>
      </c>
    </row>
    <row r="13162" spans="1:8" ht="14.4" x14ac:dyDescent="0.3">
      <c r="A13162" s="8">
        <v>2070902</v>
      </c>
      <c r="B13162" s="11">
        <v>44776</v>
      </c>
      <c r="C13162" s="13" t="s">
        <v>16851</v>
      </c>
      <c r="D13162" s="13" t="s">
        <v>16852</v>
      </c>
      <c r="E13162" s="8">
        <v>2000</v>
      </c>
      <c r="F13162" s="13" t="s">
        <v>70</v>
      </c>
      <c r="G13162" s="14">
        <v>44792</v>
      </c>
      <c r="H13162" s="13" t="s">
        <v>163</v>
      </c>
    </row>
    <row r="13163" spans="1:8" ht="14.4" x14ac:dyDescent="0.3">
      <c r="A13163" s="8">
        <v>2070903</v>
      </c>
      <c r="B13163" s="11">
        <v>44776</v>
      </c>
      <c r="C13163" s="13" t="s">
        <v>13809</v>
      </c>
      <c r="D13163" s="13" t="s">
        <v>16853</v>
      </c>
      <c r="E13163" s="8">
        <v>2000</v>
      </c>
      <c r="F13163" s="13" t="s">
        <v>70</v>
      </c>
      <c r="G13163" s="14">
        <v>44781</v>
      </c>
      <c r="H13163" s="13" t="s">
        <v>163</v>
      </c>
    </row>
    <row r="13164" spans="1:8" ht="14.4" x14ac:dyDescent="0.3">
      <c r="A13164" s="8">
        <v>2070904</v>
      </c>
      <c r="B13164" s="11">
        <v>44776</v>
      </c>
      <c r="C13164" s="13" t="s">
        <v>16854</v>
      </c>
      <c r="D13164" s="13" t="s">
        <v>16855</v>
      </c>
      <c r="E13164" s="8">
        <v>2000</v>
      </c>
      <c r="F13164" s="13" t="s">
        <v>70</v>
      </c>
      <c r="G13164" s="14">
        <v>44781</v>
      </c>
      <c r="H13164" s="13" t="s">
        <v>163</v>
      </c>
    </row>
    <row r="13165" spans="1:8" ht="14.4" x14ac:dyDescent="0.3">
      <c r="A13165" s="8">
        <v>2070905</v>
      </c>
      <c r="B13165" s="11">
        <v>44776</v>
      </c>
      <c r="C13165" s="13" t="s">
        <v>8221</v>
      </c>
      <c r="D13165" s="13" t="s">
        <v>16856</v>
      </c>
      <c r="E13165" s="8">
        <v>2000</v>
      </c>
      <c r="F13165" s="13" t="s">
        <v>70</v>
      </c>
      <c r="G13165" s="14">
        <v>44781</v>
      </c>
      <c r="H13165" s="13" t="s">
        <v>163</v>
      </c>
    </row>
    <row r="13166" spans="1:8" ht="14.4" x14ac:dyDescent="0.3">
      <c r="A13166" s="8">
        <v>2070906</v>
      </c>
      <c r="B13166" s="11">
        <v>44776</v>
      </c>
      <c r="C13166" s="13" t="s">
        <v>16857</v>
      </c>
      <c r="D13166" s="13" t="s">
        <v>16858</v>
      </c>
      <c r="E13166" s="8">
        <v>2000</v>
      </c>
      <c r="F13166" s="13" t="s">
        <v>70</v>
      </c>
      <c r="G13166" s="14">
        <v>44781</v>
      </c>
      <c r="H13166" s="13" t="s">
        <v>163</v>
      </c>
    </row>
    <row r="13167" spans="1:8" ht="14.4" x14ac:dyDescent="0.3">
      <c r="A13167" s="8">
        <v>2070907</v>
      </c>
      <c r="B13167" s="11">
        <v>44776</v>
      </c>
      <c r="C13167" s="13" t="s">
        <v>16859</v>
      </c>
      <c r="D13167" s="13" t="s">
        <v>16860</v>
      </c>
      <c r="E13167" s="8">
        <v>2000</v>
      </c>
      <c r="F13167" s="13" t="s">
        <v>70</v>
      </c>
      <c r="G13167" s="14">
        <v>44782</v>
      </c>
      <c r="H13167" s="13" t="s">
        <v>163</v>
      </c>
    </row>
    <row r="13168" spans="1:8" ht="14.4" x14ac:dyDescent="0.3">
      <c r="A13168" s="8">
        <v>2070908</v>
      </c>
      <c r="B13168" s="11">
        <v>44776</v>
      </c>
      <c r="C13168" s="13" t="s">
        <v>16861</v>
      </c>
      <c r="D13168" s="13" t="s">
        <v>16862</v>
      </c>
      <c r="E13168" s="8">
        <v>2000</v>
      </c>
      <c r="F13168" s="13" t="s">
        <v>70</v>
      </c>
      <c r="G13168" s="14">
        <v>44781</v>
      </c>
      <c r="H13168" s="13" t="s">
        <v>163</v>
      </c>
    </row>
    <row r="13169" spans="1:8" ht="14.4" x14ac:dyDescent="0.3">
      <c r="A13169" s="8">
        <v>2070909</v>
      </c>
      <c r="B13169" s="11">
        <v>44781</v>
      </c>
      <c r="C13169" s="13" t="s">
        <v>16863</v>
      </c>
      <c r="D13169" s="13" t="s">
        <v>16864</v>
      </c>
      <c r="E13169" s="8">
        <v>4000</v>
      </c>
      <c r="F13169" s="13" t="s">
        <v>70</v>
      </c>
      <c r="G13169" s="14">
        <v>44785</v>
      </c>
      <c r="H13169" s="13" t="s">
        <v>163</v>
      </c>
    </row>
    <row r="13170" spans="1:8" ht="14.4" x14ac:dyDescent="0.3">
      <c r="A13170" s="8">
        <v>2070910</v>
      </c>
      <c r="B13170" s="11">
        <v>44781</v>
      </c>
      <c r="C13170" s="13" t="s">
        <v>16865</v>
      </c>
      <c r="D13170" s="13" t="s">
        <v>16866</v>
      </c>
      <c r="E13170" s="8">
        <v>4000</v>
      </c>
      <c r="F13170" s="13" t="s">
        <v>70</v>
      </c>
      <c r="G13170" s="14">
        <v>44784</v>
      </c>
      <c r="H13170" s="13" t="s">
        <v>163</v>
      </c>
    </row>
    <row r="13171" spans="1:8" ht="14.4" x14ac:dyDescent="0.3">
      <c r="A13171" s="8">
        <v>2070911</v>
      </c>
      <c r="B13171" s="11">
        <v>44781</v>
      </c>
      <c r="C13171" s="13" t="s">
        <v>16867</v>
      </c>
      <c r="D13171" s="13" t="s">
        <v>16868</v>
      </c>
      <c r="E13171" s="8">
        <v>2000</v>
      </c>
      <c r="F13171" s="13" t="s">
        <v>70</v>
      </c>
      <c r="G13171" s="14">
        <v>44783</v>
      </c>
      <c r="H13171" s="13" t="s">
        <v>163</v>
      </c>
    </row>
    <row r="13172" spans="1:8" ht="14.4" x14ac:dyDescent="0.3">
      <c r="A13172" s="8">
        <v>2070912</v>
      </c>
      <c r="B13172" s="11">
        <v>44781</v>
      </c>
      <c r="C13172" s="13" t="s">
        <v>16869</v>
      </c>
      <c r="D13172" s="13" t="s">
        <v>16870</v>
      </c>
      <c r="E13172" s="8">
        <v>4000</v>
      </c>
      <c r="F13172" s="13" t="s">
        <v>70</v>
      </c>
      <c r="G13172" s="14">
        <v>44784</v>
      </c>
      <c r="H13172" s="13" t="s">
        <v>163</v>
      </c>
    </row>
    <row r="13173" spans="1:8" ht="14.4" x14ac:dyDescent="0.3">
      <c r="A13173" s="8">
        <v>2070913</v>
      </c>
      <c r="B13173" s="11">
        <v>44781</v>
      </c>
      <c r="C13173" s="13" t="s">
        <v>16871</v>
      </c>
      <c r="D13173" s="13" t="s">
        <v>16872</v>
      </c>
      <c r="E13173" s="8">
        <v>2000</v>
      </c>
      <c r="F13173" s="13" t="s">
        <v>70</v>
      </c>
      <c r="G13173" s="14">
        <v>44785</v>
      </c>
      <c r="H13173" s="13" t="s">
        <v>163</v>
      </c>
    </row>
    <row r="13174" spans="1:8" ht="14.4" x14ac:dyDescent="0.3">
      <c r="A13174" s="8">
        <v>2070914</v>
      </c>
      <c r="B13174" s="11">
        <v>44782</v>
      </c>
      <c r="C13174" s="13" t="s">
        <v>16873</v>
      </c>
      <c r="D13174" s="13" t="s">
        <v>16874</v>
      </c>
      <c r="E13174" s="8">
        <v>4000</v>
      </c>
      <c r="F13174" s="13" t="s">
        <v>70</v>
      </c>
      <c r="G13174" s="14">
        <v>44785</v>
      </c>
      <c r="H13174" s="13" t="s">
        <v>163</v>
      </c>
    </row>
    <row r="13175" spans="1:8" ht="14.4" x14ac:dyDescent="0.3">
      <c r="A13175" s="8">
        <v>2070915</v>
      </c>
      <c r="B13175" s="11">
        <v>44782</v>
      </c>
      <c r="C13175" s="13" t="s">
        <v>4461</v>
      </c>
      <c r="D13175" s="13" t="s">
        <v>16875</v>
      </c>
      <c r="E13175" s="8">
        <v>8000</v>
      </c>
      <c r="F13175" s="13" t="s">
        <v>70</v>
      </c>
      <c r="G13175" s="14">
        <v>44788</v>
      </c>
      <c r="H13175" s="13" t="s">
        <v>163</v>
      </c>
    </row>
    <row r="13176" spans="1:8" ht="14.4" x14ac:dyDescent="0.3">
      <c r="A13176" s="8">
        <v>2070916</v>
      </c>
      <c r="B13176" s="11">
        <v>44782</v>
      </c>
      <c r="C13176" s="13" t="s">
        <v>10787</v>
      </c>
      <c r="D13176" s="13" t="s">
        <v>16876</v>
      </c>
      <c r="E13176" s="8">
        <v>6000</v>
      </c>
      <c r="F13176" s="13" t="s">
        <v>70</v>
      </c>
      <c r="G13176" s="14">
        <v>44784</v>
      </c>
      <c r="H13176" s="13" t="s">
        <v>163</v>
      </c>
    </row>
    <row r="13177" spans="1:8" ht="14.4" x14ac:dyDescent="0.3">
      <c r="A13177" s="8">
        <v>2070917</v>
      </c>
      <c r="B13177" s="11">
        <v>44782</v>
      </c>
      <c r="C13177" s="13" t="s">
        <v>16877</v>
      </c>
      <c r="D13177" s="13" t="s">
        <v>16878</v>
      </c>
      <c r="E13177" s="8">
        <v>4000</v>
      </c>
      <c r="F13177" s="13" t="s">
        <v>70</v>
      </c>
      <c r="G13177" s="14">
        <v>44785</v>
      </c>
      <c r="H13177" s="13" t="s">
        <v>163</v>
      </c>
    </row>
    <row r="13178" spans="1:8" ht="14.4" x14ac:dyDescent="0.3">
      <c r="A13178" s="8">
        <v>2070918</v>
      </c>
      <c r="B13178" s="11">
        <v>44782</v>
      </c>
      <c r="C13178" s="13" t="s">
        <v>16879</v>
      </c>
      <c r="D13178" s="13" t="s">
        <v>16880</v>
      </c>
      <c r="E13178" s="8">
        <v>6000</v>
      </c>
      <c r="F13178" s="13" t="s">
        <v>70</v>
      </c>
      <c r="G13178" s="14">
        <v>44785</v>
      </c>
      <c r="H13178" s="13" t="s">
        <v>163</v>
      </c>
    </row>
    <row r="13179" spans="1:8" ht="14.4" x14ac:dyDescent="0.3">
      <c r="A13179" s="8">
        <v>2070919</v>
      </c>
      <c r="B13179" s="11">
        <v>44782</v>
      </c>
      <c r="C13179" s="13" t="s">
        <v>12668</v>
      </c>
      <c r="D13179" s="13" t="s">
        <v>16881</v>
      </c>
      <c r="E13179" s="8">
        <v>4000</v>
      </c>
      <c r="F13179" s="13" t="s">
        <v>70</v>
      </c>
      <c r="G13179" s="14">
        <v>44784</v>
      </c>
      <c r="H13179" s="13" t="s">
        <v>163</v>
      </c>
    </row>
    <row r="13180" spans="1:8" ht="14.4" x14ac:dyDescent="0.3">
      <c r="A13180" s="8">
        <v>2070920</v>
      </c>
      <c r="B13180" s="11">
        <v>44782</v>
      </c>
      <c r="C13180" s="13" t="s">
        <v>16882</v>
      </c>
      <c r="D13180" s="13" t="s">
        <v>16883</v>
      </c>
      <c r="E13180" s="8">
        <v>4000</v>
      </c>
      <c r="F13180" s="13" t="s">
        <v>70</v>
      </c>
      <c r="G13180" s="14">
        <v>44784</v>
      </c>
      <c r="H13180" s="13" t="s">
        <v>163</v>
      </c>
    </row>
    <row r="13181" spans="1:8" ht="14.4" x14ac:dyDescent="0.3">
      <c r="A13181" s="8">
        <v>2070921</v>
      </c>
      <c r="B13181" s="11">
        <v>44782</v>
      </c>
      <c r="C13181" s="13" t="s">
        <v>14599</v>
      </c>
      <c r="D13181" s="13" t="s">
        <v>16884</v>
      </c>
      <c r="E13181" s="8">
        <v>2000</v>
      </c>
      <c r="F13181" s="13" t="s">
        <v>70</v>
      </c>
      <c r="G13181" s="14">
        <v>44801</v>
      </c>
      <c r="H13181" s="13" t="s">
        <v>163</v>
      </c>
    </row>
    <row r="13182" spans="1:8" ht="14.4" x14ac:dyDescent="0.3">
      <c r="A13182" s="8">
        <v>2070922</v>
      </c>
      <c r="B13182" s="11">
        <v>44782</v>
      </c>
      <c r="C13182" s="13" t="s">
        <v>16885</v>
      </c>
      <c r="D13182" s="13" t="s">
        <v>16886</v>
      </c>
      <c r="E13182" s="8">
        <v>6000</v>
      </c>
      <c r="F13182" s="13" t="s">
        <v>70</v>
      </c>
      <c r="G13182" s="14">
        <v>44789</v>
      </c>
      <c r="H13182" s="13" t="s">
        <v>163</v>
      </c>
    </row>
    <row r="13183" spans="1:8" ht="14.4" x14ac:dyDescent="0.3">
      <c r="A13183" s="8">
        <v>2070923</v>
      </c>
      <c r="B13183" s="11">
        <v>44783</v>
      </c>
      <c r="C13183" s="13" t="s">
        <v>10576</v>
      </c>
      <c r="D13183" s="13" t="s">
        <v>16887</v>
      </c>
      <c r="E13183" s="8">
        <v>14000</v>
      </c>
      <c r="F13183" s="13" t="s">
        <v>70</v>
      </c>
      <c r="G13183" s="14">
        <v>44784</v>
      </c>
      <c r="H13183" s="13" t="s">
        <v>163</v>
      </c>
    </row>
    <row r="13184" spans="1:8" ht="14.4" x14ac:dyDescent="0.3">
      <c r="A13184" s="8">
        <v>2070924</v>
      </c>
      <c r="B13184" s="11">
        <v>44783</v>
      </c>
      <c r="C13184" s="13" t="s">
        <v>16888</v>
      </c>
      <c r="D13184" s="13" t="s">
        <v>16889</v>
      </c>
      <c r="E13184" s="8">
        <v>8000</v>
      </c>
      <c r="F13184" s="13" t="s">
        <v>70</v>
      </c>
      <c r="G13184" s="14">
        <v>44784</v>
      </c>
      <c r="H13184" s="13" t="s">
        <v>163</v>
      </c>
    </row>
    <row r="13185" spans="1:8" ht="14.4" x14ac:dyDescent="0.3">
      <c r="A13185" s="8">
        <v>2070925</v>
      </c>
      <c r="B13185" s="11">
        <v>44783</v>
      </c>
      <c r="C13185" s="13" t="s">
        <v>16890</v>
      </c>
      <c r="D13185" s="13" t="s">
        <v>16891</v>
      </c>
      <c r="E13185" s="8">
        <v>4000</v>
      </c>
      <c r="F13185" s="13" t="s">
        <v>70</v>
      </c>
      <c r="G13185" s="14">
        <v>44785</v>
      </c>
      <c r="H13185" s="13" t="s">
        <v>163</v>
      </c>
    </row>
    <row r="13186" spans="1:8" ht="14.4" x14ac:dyDescent="0.3">
      <c r="A13186" s="8">
        <v>2070926</v>
      </c>
      <c r="B13186" s="11">
        <v>44783</v>
      </c>
      <c r="C13186" s="13" t="s">
        <v>16892</v>
      </c>
      <c r="D13186" s="13" t="s">
        <v>16893</v>
      </c>
      <c r="E13186" s="8">
        <v>4000</v>
      </c>
      <c r="F13186" s="13" t="s">
        <v>70</v>
      </c>
      <c r="G13186" s="14">
        <v>44784</v>
      </c>
      <c r="H13186" s="13" t="s">
        <v>163</v>
      </c>
    </row>
    <row r="13187" spans="1:8" ht="14.4" x14ac:dyDescent="0.3">
      <c r="A13187" s="8">
        <v>2070927</v>
      </c>
      <c r="B13187" s="11">
        <v>44783</v>
      </c>
      <c r="C13187" s="13" t="s">
        <v>10500</v>
      </c>
      <c r="D13187" s="13" t="s">
        <v>16894</v>
      </c>
      <c r="E13187" s="8">
        <v>8000</v>
      </c>
      <c r="F13187" s="13" t="s">
        <v>70</v>
      </c>
      <c r="G13187" s="14">
        <v>44784</v>
      </c>
      <c r="H13187" s="13" t="s">
        <v>163</v>
      </c>
    </row>
    <row r="13188" spans="1:8" ht="14.4" x14ac:dyDescent="0.3">
      <c r="A13188" s="8">
        <v>2070928</v>
      </c>
      <c r="B13188" s="11">
        <v>44783</v>
      </c>
      <c r="C13188" s="13" t="s">
        <v>16895</v>
      </c>
      <c r="D13188" s="13" t="s">
        <v>16896</v>
      </c>
      <c r="E13188" s="8">
        <v>4000</v>
      </c>
      <c r="F13188" s="13" t="s">
        <v>70</v>
      </c>
      <c r="G13188" s="14">
        <v>44784</v>
      </c>
      <c r="H13188" s="13" t="s">
        <v>163</v>
      </c>
    </row>
    <row r="13189" spans="1:8" ht="14.4" x14ac:dyDescent="0.3">
      <c r="A13189" s="8">
        <v>2070929</v>
      </c>
      <c r="B13189" s="11">
        <v>44783</v>
      </c>
      <c r="C13189" s="13" t="s">
        <v>16897</v>
      </c>
      <c r="D13189" s="13" t="s">
        <v>16898</v>
      </c>
      <c r="E13189" s="8">
        <v>4000</v>
      </c>
      <c r="F13189" s="13" t="s">
        <v>70</v>
      </c>
      <c r="G13189" s="14">
        <v>44784</v>
      </c>
      <c r="H13189" s="13" t="s">
        <v>163</v>
      </c>
    </row>
    <row r="13190" spans="1:8" ht="14.4" x14ac:dyDescent="0.3">
      <c r="A13190" s="8">
        <v>2070930</v>
      </c>
      <c r="B13190" s="11">
        <v>44783</v>
      </c>
      <c r="C13190" s="13" t="s">
        <v>14774</v>
      </c>
      <c r="D13190" s="13" t="s">
        <v>16899</v>
      </c>
      <c r="E13190" s="8">
        <v>2000</v>
      </c>
      <c r="F13190" s="13" t="s">
        <v>70</v>
      </c>
      <c r="G13190" s="14">
        <v>44784</v>
      </c>
      <c r="H13190" s="13" t="s">
        <v>163</v>
      </c>
    </row>
    <row r="13191" spans="1:8" ht="14.4" x14ac:dyDescent="0.3">
      <c r="A13191" s="8">
        <v>2070931</v>
      </c>
      <c r="B13191" s="11">
        <v>44783</v>
      </c>
      <c r="C13191" s="13" t="s">
        <v>16900</v>
      </c>
      <c r="D13191" s="13" t="s">
        <v>16901</v>
      </c>
      <c r="E13191" s="8">
        <v>4000</v>
      </c>
      <c r="F13191" s="13" t="s">
        <v>70</v>
      </c>
      <c r="G13191" s="14">
        <v>44784</v>
      </c>
      <c r="H13191" s="13" t="s">
        <v>163</v>
      </c>
    </row>
    <row r="13192" spans="1:8" ht="14.4" x14ac:dyDescent="0.3">
      <c r="A13192" s="8">
        <v>2070932</v>
      </c>
      <c r="B13192" s="11">
        <v>44783</v>
      </c>
      <c r="C13192" s="13" t="s">
        <v>16902</v>
      </c>
      <c r="D13192" s="13" t="s">
        <v>16903</v>
      </c>
      <c r="E13192" s="8">
        <v>2000</v>
      </c>
      <c r="F13192" s="13" t="s">
        <v>70</v>
      </c>
      <c r="G13192" s="14">
        <v>44785</v>
      </c>
      <c r="H13192" s="13" t="s">
        <v>163</v>
      </c>
    </row>
    <row r="13193" spans="1:8" ht="14.4" x14ac:dyDescent="0.3">
      <c r="A13193" s="8">
        <v>2070933</v>
      </c>
      <c r="B13193" s="11">
        <v>44783</v>
      </c>
      <c r="C13193" s="13" t="s">
        <v>16904</v>
      </c>
      <c r="D13193" s="13" t="s">
        <v>16905</v>
      </c>
      <c r="E13193" s="8">
        <v>2000</v>
      </c>
      <c r="F13193" s="13" t="s">
        <v>70</v>
      </c>
      <c r="G13193" s="14">
        <v>44788</v>
      </c>
      <c r="H13193" s="13" t="s">
        <v>163</v>
      </c>
    </row>
    <row r="13194" spans="1:8" ht="14.4" x14ac:dyDescent="0.3">
      <c r="A13194" s="8">
        <v>2070934</v>
      </c>
      <c r="B13194" s="11">
        <v>44783</v>
      </c>
      <c r="C13194" s="13" t="s">
        <v>16906</v>
      </c>
      <c r="D13194" s="13" t="s">
        <v>16907</v>
      </c>
      <c r="E13194" s="8">
        <v>4000</v>
      </c>
      <c r="F13194" s="13" t="s">
        <v>70</v>
      </c>
      <c r="G13194" s="14">
        <v>44785</v>
      </c>
      <c r="H13194" s="13" t="s">
        <v>163</v>
      </c>
    </row>
    <row r="13195" spans="1:8" ht="14.4" x14ac:dyDescent="0.3">
      <c r="A13195" s="8">
        <v>2070935</v>
      </c>
      <c r="B13195" s="11">
        <v>44783</v>
      </c>
      <c r="C13195" s="13" t="s">
        <v>16908</v>
      </c>
      <c r="D13195" s="13" t="s">
        <v>16909</v>
      </c>
      <c r="E13195" s="8">
        <v>6000</v>
      </c>
      <c r="F13195" s="13" t="s">
        <v>70</v>
      </c>
      <c r="G13195" s="14">
        <v>44785</v>
      </c>
      <c r="H13195" s="13" t="s">
        <v>163</v>
      </c>
    </row>
    <row r="13196" spans="1:8" ht="14.4" x14ac:dyDescent="0.3">
      <c r="A13196" s="8">
        <v>2070936</v>
      </c>
      <c r="B13196" s="11">
        <v>44783</v>
      </c>
      <c r="C13196" s="13" t="s">
        <v>16910</v>
      </c>
      <c r="D13196" s="13" t="s">
        <v>16911</v>
      </c>
      <c r="E13196" s="8">
        <v>6000</v>
      </c>
      <c r="F13196" s="13" t="s">
        <v>70</v>
      </c>
      <c r="G13196" s="14">
        <v>44785</v>
      </c>
      <c r="H13196" s="13" t="s">
        <v>163</v>
      </c>
    </row>
    <row r="13197" spans="1:8" ht="14.4" x14ac:dyDescent="0.3">
      <c r="A13197" s="8">
        <v>2070937</v>
      </c>
      <c r="B13197" s="11">
        <v>44783</v>
      </c>
      <c r="C13197" s="13" t="s">
        <v>16912</v>
      </c>
      <c r="D13197" s="13" t="s">
        <v>16913</v>
      </c>
      <c r="E13197" s="8">
        <v>10000</v>
      </c>
      <c r="F13197" s="13" t="s">
        <v>70</v>
      </c>
      <c r="G13197" s="14">
        <v>44788</v>
      </c>
      <c r="H13197" s="13" t="s">
        <v>163</v>
      </c>
    </row>
    <row r="13198" spans="1:8" ht="14.4" x14ac:dyDescent="0.3">
      <c r="A13198" s="8">
        <v>2070938</v>
      </c>
      <c r="B13198" s="11">
        <v>44783</v>
      </c>
      <c r="C13198" s="13" t="s">
        <v>511</v>
      </c>
      <c r="D13198" s="13" t="s">
        <v>16914</v>
      </c>
      <c r="E13198" s="8">
        <v>10000</v>
      </c>
      <c r="F13198" s="13" t="s">
        <v>70</v>
      </c>
      <c r="G13198" s="14">
        <v>44789</v>
      </c>
      <c r="H13198" s="13" t="s">
        <v>163</v>
      </c>
    </row>
    <row r="13199" spans="1:8" ht="14.4" x14ac:dyDescent="0.3">
      <c r="A13199" s="8">
        <v>2070939</v>
      </c>
      <c r="B13199" s="11">
        <v>44783</v>
      </c>
      <c r="C13199" s="13" t="s">
        <v>16915</v>
      </c>
      <c r="D13199" s="13" t="s">
        <v>16916</v>
      </c>
      <c r="E13199" s="8">
        <v>4000</v>
      </c>
      <c r="F13199" s="13" t="s">
        <v>70</v>
      </c>
      <c r="G13199" s="14">
        <v>44789</v>
      </c>
      <c r="H13199" s="13" t="s">
        <v>163</v>
      </c>
    </row>
    <row r="13200" spans="1:8" ht="14.4" x14ac:dyDescent="0.3">
      <c r="A13200" s="8">
        <v>2070940</v>
      </c>
      <c r="B13200" s="11">
        <v>44783</v>
      </c>
      <c r="C13200" s="13" t="s">
        <v>10492</v>
      </c>
      <c r="D13200" s="13" t="s">
        <v>16917</v>
      </c>
      <c r="E13200" s="8">
        <v>8000</v>
      </c>
      <c r="F13200" s="13" t="s">
        <v>70</v>
      </c>
      <c r="G13200" s="14">
        <v>44785</v>
      </c>
      <c r="H13200" s="13" t="s">
        <v>163</v>
      </c>
    </row>
    <row r="13201" spans="1:8" ht="14.4" x14ac:dyDescent="0.3">
      <c r="A13201" s="8">
        <v>2070941</v>
      </c>
      <c r="B13201" s="11">
        <v>44783</v>
      </c>
      <c r="C13201" s="13" t="s">
        <v>16918</v>
      </c>
      <c r="D13201" s="13" t="s">
        <v>16919</v>
      </c>
      <c r="E13201" s="8">
        <v>8000</v>
      </c>
      <c r="F13201" s="13" t="s">
        <v>70</v>
      </c>
      <c r="G13201" s="14">
        <v>44788</v>
      </c>
      <c r="H13201" s="13" t="s">
        <v>163</v>
      </c>
    </row>
    <row r="13202" spans="1:8" ht="14.4" x14ac:dyDescent="0.3">
      <c r="A13202" s="8">
        <v>2070942</v>
      </c>
      <c r="B13202" s="11">
        <v>44783</v>
      </c>
      <c r="C13202" s="13" t="s">
        <v>16920</v>
      </c>
      <c r="D13202" s="13" t="s">
        <v>16921</v>
      </c>
      <c r="E13202" s="8">
        <v>6000</v>
      </c>
      <c r="F13202" s="13" t="s">
        <v>70</v>
      </c>
      <c r="G13202" s="14">
        <v>44788</v>
      </c>
      <c r="H13202" s="13" t="s">
        <v>163</v>
      </c>
    </row>
    <row r="13203" spans="1:8" ht="14.4" x14ac:dyDescent="0.3">
      <c r="A13203" s="8">
        <v>2070943</v>
      </c>
      <c r="B13203" s="11">
        <v>44783</v>
      </c>
      <c r="C13203" s="13" t="s">
        <v>16922</v>
      </c>
      <c r="D13203" s="13" t="s">
        <v>16923</v>
      </c>
      <c r="E13203" s="8">
        <v>4000</v>
      </c>
      <c r="F13203" s="13" t="s">
        <v>70</v>
      </c>
      <c r="G13203" s="14">
        <v>44789</v>
      </c>
      <c r="H13203" s="13" t="s">
        <v>163</v>
      </c>
    </row>
    <row r="13204" spans="1:8" ht="14.4" x14ac:dyDescent="0.3">
      <c r="A13204" s="8">
        <v>2070944</v>
      </c>
      <c r="B13204" s="11">
        <v>44783</v>
      </c>
      <c r="C13204" s="13" t="s">
        <v>16924</v>
      </c>
      <c r="D13204" s="13" t="s">
        <v>16925</v>
      </c>
      <c r="E13204" s="8">
        <v>4000</v>
      </c>
      <c r="F13204" s="13" t="s">
        <v>70</v>
      </c>
      <c r="G13204" s="14">
        <v>44788</v>
      </c>
      <c r="H13204" s="13" t="s">
        <v>163</v>
      </c>
    </row>
    <row r="13205" spans="1:8" ht="14.4" x14ac:dyDescent="0.3">
      <c r="A13205" s="8">
        <v>2070945</v>
      </c>
      <c r="B13205" s="11">
        <v>44783</v>
      </c>
      <c r="C13205" s="13" t="s">
        <v>585</v>
      </c>
      <c r="D13205" s="13" t="s">
        <v>16926</v>
      </c>
      <c r="E13205" s="8">
        <v>2000</v>
      </c>
      <c r="F13205" s="13" t="s">
        <v>70</v>
      </c>
      <c r="G13205" s="14">
        <v>44785</v>
      </c>
      <c r="H13205" s="13" t="s">
        <v>163</v>
      </c>
    </row>
    <row r="13206" spans="1:8" ht="14.4" x14ac:dyDescent="0.3">
      <c r="A13206" s="8">
        <v>2070946</v>
      </c>
      <c r="B13206" s="11">
        <v>44783</v>
      </c>
      <c r="C13206" s="13" t="s">
        <v>16927</v>
      </c>
      <c r="D13206" s="13" t="s">
        <v>16928</v>
      </c>
      <c r="E13206" s="8">
        <v>2000</v>
      </c>
      <c r="F13206" s="13" t="s">
        <v>70</v>
      </c>
      <c r="G13206" s="14">
        <v>44785</v>
      </c>
      <c r="H13206" s="13" t="s">
        <v>163</v>
      </c>
    </row>
    <row r="13207" spans="1:8" ht="14.4" x14ac:dyDescent="0.3">
      <c r="A13207" s="8">
        <v>2070947</v>
      </c>
      <c r="B13207" s="11">
        <v>44783</v>
      </c>
      <c r="C13207" s="13" t="s">
        <v>16927</v>
      </c>
      <c r="D13207" s="13" t="s">
        <v>16929</v>
      </c>
      <c r="E13207" s="8">
        <v>2000</v>
      </c>
      <c r="F13207" s="13" t="s">
        <v>70</v>
      </c>
      <c r="G13207" s="14">
        <v>44785</v>
      </c>
      <c r="H13207" s="13" t="s">
        <v>163</v>
      </c>
    </row>
    <row r="13208" spans="1:8" ht="14.4" x14ac:dyDescent="0.3">
      <c r="A13208" s="8">
        <v>2070948</v>
      </c>
      <c r="B13208" s="11">
        <v>44783</v>
      </c>
      <c r="C13208" s="13" t="s">
        <v>16930</v>
      </c>
      <c r="D13208" s="13" t="s">
        <v>16931</v>
      </c>
      <c r="E13208" s="8">
        <v>4000</v>
      </c>
      <c r="F13208" s="13" t="s">
        <v>70</v>
      </c>
      <c r="G13208" s="14">
        <v>44789</v>
      </c>
      <c r="H13208" s="13" t="s">
        <v>163</v>
      </c>
    </row>
    <row r="13209" spans="1:8" ht="14.4" x14ac:dyDescent="0.3">
      <c r="A13209" s="8">
        <v>2070949</v>
      </c>
      <c r="B13209" s="11">
        <v>44783</v>
      </c>
      <c r="C13209" s="13" t="s">
        <v>2247</v>
      </c>
      <c r="D13209" s="13" t="s">
        <v>16932</v>
      </c>
      <c r="E13209" s="8">
        <v>6000</v>
      </c>
      <c r="F13209" s="13" t="s">
        <v>70</v>
      </c>
      <c r="G13209" s="14">
        <v>44785</v>
      </c>
      <c r="H13209" s="13" t="s">
        <v>163</v>
      </c>
    </row>
    <row r="13210" spans="1:8" ht="14.4" x14ac:dyDescent="0.3">
      <c r="A13210" s="8">
        <v>2070950</v>
      </c>
      <c r="B13210" s="11">
        <v>44783</v>
      </c>
      <c r="C13210" s="13" t="s">
        <v>16933</v>
      </c>
      <c r="D13210" s="13" t="s">
        <v>16934</v>
      </c>
      <c r="E13210" s="8">
        <v>6000</v>
      </c>
      <c r="F13210" s="13" t="s">
        <v>70</v>
      </c>
      <c r="G13210" s="14">
        <v>44785</v>
      </c>
      <c r="H13210" s="13" t="s">
        <v>163</v>
      </c>
    </row>
    <row r="13211" spans="1:8" ht="14.4" x14ac:dyDescent="0.3">
      <c r="A13211" s="8">
        <v>2070951</v>
      </c>
      <c r="B13211" s="11">
        <v>44783</v>
      </c>
      <c r="C13211" s="13" t="s">
        <v>16935</v>
      </c>
      <c r="D13211" s="13" t="s">
        <v>16936</v>
      </c>
      <c r="E13211" s="8">
        <v>6000</v>
      </c>
      <c r="F13211" s="13" t="s">
        <v>70</v>
      </c>
      <c r="G13211" s="14">
        <v>44785</v>
      </c>
      <c r="H13211" s="13" t="s">
        <v>163</v>
      </c>
    </row>
    <row r="13212" spans="1:8" ht="14.4" x14ac:dyDescent="0.3">
      <c r="A13212" s="8">
        <v>2070952</v>
      </c>
      <c r="B13212" s="11">
        <v>44783</v>
      </c>
      <c r="C13212" s="13" t="s">
        <v>16937</v>
      </c>
      <c r="D13212" s="13" t="s">
        <v>16938</v>
      </c>
      <c r="E13212" s="8">
        <v>5000</v>
      </c>
      <c r="F13212" s="13" t="s">
        <v>70</v>
      </c>
      <c r="G13212" s="14">
        <v>44803</v>
      </c>
      <c r="H13212" s="13" t="s">
        <v>163</v>
      </c>
    </row>
    <row r="13213" spans="1:8" ht="14.4" x14ac:dyDescent="0.3">
      <c r="A13213" s="8">
        <v>2070953</v>
      </c>
      <c r="B13213" s="11">
        <v>44783</v>
      </c>
      <c r="C13213" s="13" t="s">
        <v>16939</v>
      </c>
      <c r="D13213" s="13" t="s">
        <v>16940</v>
      </c>
      <c r="E13213" s="8">
        <v>10000</v>
      </c>
      <c r="F13213" s="13" t="s">
        <v>70</v>
      </c>
      <c r="G13213" s="14">
        <v>44785</v>
      </c>
      <c r="H13213" s="13" t="s">
        <v>163</v>
      </c>
    </row>
    <row r="13214" spans="1:8" ht="14.4" x14ac:dyDescent="0.3">
      <c r="A13214" s="8">
        <v>2070954</v>
      </c>
      <c r="B13214" s="11">
        <v>44783</v>
      </c>
      <c r="C13214" s="13" t="s">
        <v>16941</v>
      </c>
      <c r="D13214" s="13" t="s">
        <v>16942</v>
      </c>
      <c r="E13214" s="8">
        <v>8000</v>
      </c>
      <c r="F13214" s="13" t="s">
        <v>70</v>
      </c>
      <c r="G13214" s="14">
        <v>44785</v>
      </c>
      <c r="H13214" s="13" t="s">
        <v>163</v>
      </c>
    </row>
    <row r="13215" spans="1:8" ht="14.4" x14ac:dyDescent="0.3">
      <c r="A13215" s="8">
        <v>2070955</v>
      </c>
      <c r="B13215" s="11">
        <v>44783</v>
      </c>
      <c r="C13215" s="13" t="s">
        <v>16943</v>
      </c>
      <c r="D13215" s="13" t="s">
        <v>16944</v>
      </c>
      <c r="E13215" s="8">
        <v>4000</v>
      </c>
      <c r="F13215" s="13" t="s">
        <v>70</v>
      </c>
      <c r="G13215" s="14">
        <v>44785</v>
      </c>
      <c r="H13215" s="13" t="s">
        <v>163</v>
      </c>
    </row>
    <row r="13216" spans="1:8" ht="14.4" x14ac:dyDescent="0.3">
      <c r="A13216" s="8">
        <v>2070956</v>
      </c>
      <c r="B13216" s="11">
        <v>44783</v>
      </c>
      <c r="C13216" s="13" t="s">
        <v>16945</v>
      </c>
      <c r="D13216" s="13" t="s">
        <v>16946</v>
      </c>
      <c r="E13216" s="8">
        <v>6000</v>
      </c>
      <c r="F13216" s="13" t="s">
        <v>70</v>
      </c>
      <c r="G13216" s="14">
        <v>44788</v>
      </c>
      <c r="H13216" s="13" t="s">
        <v>163</v>
      </c>
    </row>
    <row r="13217" spans="1:8" ht="14.4" x14ac:dyDescent="0.3">
      <c r="A13217" s="8">
        <v>2070957</v>
      </c>
      <c r="B13217" s="11">
        <v>44783</v>
      </c>
      <c r="C13217" s="13" t="s">
        <v>16947</v>
      </c>
      <c r="D13217" s="13" t="s">
        <v>16948</v>
      </c>
      <c r="E13217" s="8">
        <v>6000</v>
      </c>
      <c r="F13217" s="13" t="s">
        <v>70</v>
      </c>
      <c r="G13217" s="14">
        <v>44788</v>
      </c>
      <c r="H13217" s="13" t="s">
        <v>163</v>
      </c>
    </row>
    <row r="13218" spans="1:8" ht="14.4" x14ac:dyDescent="0.3">
      <c r="A13218" s="8">
        <v>2070958</v>
      </c>
      <c r="B13218" s="11">
        <v>44783</v>
      </c>
      <c r="C13218" s="13" t="s">
        <v>16949</v>
      </c>
      <c r="D13218" s="13" t="s">
        <v>16950</v>
      </c>
      <c r="E13218" s="8">
        <v>6000</v>
      </c>
      <c r="F13218" s="13" t="s">
        <v>70</v>
      </c>
      <c r="G13218" s="14">
        <v>44785</v>
      </c>
      <c r="H13218" s="13" t="s">
        <v>163</v>
      </c>
    </row>
    <row r="13219" spans="1:8" ht="14.4" x14ac:dyDescent="0.3">
      <c r="A13219" s="8">
        <v>2070959</v>
      </c>
      <c r="B13219" s="11">
        <v>44783</v>
      </c>
      <c r="C13219" s="13" t="s">
        <v>16951</v>
      </c>
      <c r="D13219" s="13" t="s">
        <v>16952</v>
      </c>
      <c r="E13219" s="8">
        <v>10000</v>
      </c>
      <c r="F13219" s="13" t="s">
        <v>70</v>
      </c>
      <c r="G13219" s="14">
        <v>44785</v>
      </c>
      <c r="H13219" s="13" t="s">
        <v>163</v>
      </c>
    </row>
    <row r="13220" spans="1:8" ht="14.4" x14ac:dyDescent="0.3">
      <c r="A13220" s="8">
        <v>2070960</v>
      </c>
      <c r="B13220" s="11">
        <v>44783</v>
      </c>
      <c r="C13220" s="13" t="s">
        <v>16953</v>
      </c>
      <c r="D13220" s="13" t="s">
        <v>16954</v>
      </c>
      <c r="E13220" s="8">
        <v>4000</v>
      </c>
      <c r="F13220" s="13" t="s">
        <v>70</v>
      </c>
      <c r="G13220" s="14">
        <v>44785</v>
      </c>
      <c r="H13220" s="13" t="s">
        <v>163</v>
      </c>
    </row>
    <row r="13221" spans="1:8" ht="14.4" x14ac:dyDescent="0.3">
      <c r="A13221" s="8">
        <v>2070961</v>
      </c>
      <c r="B13221" s="11">
        <v>44783</v>
      </c>
      <c r="C13221" s="13" t="s">
        <v>16955</v>
      </c>
      <c r="D13221" s="13" t="s">
        <v>16956</v>
      </c>
      <c r="E13221" s="8">
        <v>6000</v>
      </c>
      <c r="F13221" s="13" t="s">
        <v>70</v>
      </c>
      <c r="G13221" s="14">
        <v>44788</v>
      </c>
      <c r="H13221" s="13" t="s">
        <v>163</v>
      </c>
    </row>
    <row r="13222" spans="1:8" ht="14.4" x14ac:dyDescent="0.3">
      <c r="A13222" s="8">
        <v>2070962</v>
      </c>
      <c r="B13222" s="11">
        <v>44783</v>
      </c>
      <c r="C13222" s="13" t="s">
        <v>10468</v>
      </c>
      <c r="D13222" s="13" t="s">
        <v>16957</v>
      </c>
      <c r="E13222" s="8">
        <v>4000</v>
      </c>
      <c r="F13222" s="13" t="s">
        <v>70</v>
      </c>
      <c r="G13222" s="14">
        <v>44785</v>
      </c>
      <c r="H13222" s="13" t="s">
        <v>163</v>
      </c>
    </row>
    <row r="13223" spans="1:8" ht="14.4" x14ac:dyDescent="0.3">
      <c r="A13223" s="8">
        <v>2070963</v>
      </c>
      <c r="B13223" s="11">
        <v>44783</v>
      </c>
      <c r="C13223" s="13" t="s">
        <v>6815</v>
      </c>
      <c r="D13223" s="13" t="s">
        <v>16958</v>
      </c>
      <c r="E13223" s="8">
        <v>2000</v>
      </c>
      <c r="F13223" s="13" t="s">
        <v>70</v>
      </c>
      <c r="G13223" s="14">
        <v>44785</v>
      </c>
      <c r="H13223" s="13" t="s">
        <v>163</v>
      </c>
    </row>
    <row r="13224" spans="1:8" ht="14.4" x14ac:dyDescent="0.3">
      <c r="A13224" s="8">
        <v>2070964</v>
      </c>
      <c r="B13224" s="11">
        <v>44783</v>
      </c>
      <c r="C13224" s="13" t="s">
        <v>16959</v>
      </c>
      <c r="D13224" s="13" t="s">
        <v>16960</v>
      </c>
      <c r="E13224" s="8">
        <v>6000</v>
      </c>
      <c r="F13224" s="13" t="s">
        <v>70</v>
      </c>
      <c r="G13224" s="14">
        <v>44785</v>
      </c>
      <c r="H13224" s="13" t="s">
        <v>163</v>
      </c>
    </row>
    <row r="13225" spans="1:8" ht="14.4" x14ac:dyDescent="0.3">
      <c r="A13225" s="8">
        <v>2070965</v>
      </c>
      <c r="B13225" s="11">
        <v>44783</v>
      </c>
      <c r="C13225" s="13" t="s">
        <v>16961</v>
      </c>
      <c r="D13225" s="13" t="s">
        <v>16962</v>
      </c>
      <c r="E13225" s="8">
        <v>6000</v>
      </c>
      <c r="F13225" s="13" t="s">
        <v>70</v>
      </c>
      <c r="G13225" s="14">
        <v>44785</v>
      </c>
      <c r="H13225" s="13" t="s">
        <v>163</v>
      </c>
    </row>
    <row r="13226" spans="1:8" ht="14.4" x14ac:dyDescent="0.3">
      <c r="A13226" s="8">
        <v>2070966</v>
      </c>
      <c r="B13226" s="11">
        <v>44783</v>
      </c>
      <c r="C13226" s="13" t="s">
        <v>16963</v>
      </c>
      <c r="D13226" s="13" t="s">
        <v>16964</v>
      </c>
      <c r="E13226" s="8">
        <v>2000</v>
      </c>
      <c r="F13226" s="13" t="s">
        <v>70</v>
      </c>
      <c r="G13226" s="14">
        <v>44785</v>
      </c>
      <c r="H13226" s="13" t="s">
        <v>163</v>
      </c>
    </row>
    <row r="13227" spans="1:8" ht="14.4" x14ac:dyDescent="0.3">
      <c r="A13227" s="8">
        <v>2070968</v>
      </c>
      <c r="B13227" s="11">
        <v>44783</v>
      </c>
      <c r="C13227" s="13" t="s">
        <v>16965</v>
      </c>
      <c r="D13227" s="13" t="s">
        <v>16966</v>
      </c>
      <c r="E13227" s="8">
        <v>4000</v>
      </c>
      <c r="F13227" s="13" t="s">
        <v>70</v>
      </c>
      <c r="G13227" s="14">
        <v>44833</v>
      </c>
      <c r="H13227" s="13" t="s">
        <v>163</v>
      </c>
    </row>
    <row r="13228" spans="1:8" ht="14.4" x14ac:dyDescent="0.3">
      <c r="A13228" s="8">
        <v>2070969</v>
      </c>
      <c r="B13228" s="11">
        <v>44783</v>
      </c>
      <c r="C13228" s="13" t="s">
        <v>16967</v>
      </c>
      <c r="D13228" s="13" t="s">
        <v>16968</v>
      </c>
      <c r="E13228" s="8">
        <v>6000</v>
      </c>
      <c r="F13228" s="13" t="s">
        <v>70</v>
      </c>
      <c r="G13228" s="14">
        <v>44785</v>
      </c>
      <c r="H13228" s="13" t="s">
        <v>163</v>
      </c>
    </row>
    <row r="13229" spans="1:8" ht="14.4" x14ac:dyDescent="0.3">
      <c r="A13229" s="8">
        <v>2070970</v>
      </c>
      <c r="B13229" s="11">
        <v>44783</v>
      </c>
      <c r="C13229" s="13" t="s">
        <v>11797</v>
      </c>
      <c r="D13229" s="13" t="s">
        <v>16969</v>
      </c>
      <c r="E13229" s="8">
        <v>6000</v>
      </c>
      <c r="F13229" s="13" t="s">
        <v>70</v>
      </c>
      <c r="G13229" s="14">
        <v>44784</v>
      </c>
      <c r="H13229" s="13" t="s">
        <v>163</v>
      </c>
    </row>
    <row r="13230" spans="1:8" ht="14.4" x14ac:dyDescent="0.3">
      <c r="A13230" s="8">
        <v>2070971</v>
      </c>
      <c r="B13230" s="11">
        <v>44783</v>
      </c>
      <c r="C13230" s="13" t="s">
        <v>16970</v>
      </c>
      <c r="D13230" s="13" t="s">
        <v>16971</v>
      </c>
      <c r="E13230" s="8">
        <v>8000</v>
      </c>
      <c r="F13230" s="13" t="s">
        <v>70</v>
      </c>
      <c r="G13230" s="14">
        <v>44785</v>
      </c>
      <c r="H13230" s="13" t="s">
        <v>163</v>
      </c>
    </row>
    <row r="13231" spans="1:8" ht="14.4" x14ac:dyDescent="0.3">
      <c r="A13231" s="8">
        <v>2070972</v>
      </c>
      <c r="B13231" s="11">
        <v>44783</v>
      </c>
      <c r="C13231" s="13" t="s">
        <v>16972</v>
      </c>
      <c r="D13231" s="13" t="s">
        <v>16973</v>
      </c>
      <c r="E13231" s="8">
        <v>2000</v>
      </c>
      <c r="F13231" s="13" t="s">
        <v>70</v>
      </c>
      <c r="G13231" s="14">
        <v>44785</v>
      </c>
      <c r="H13231" s="13" t="s">
        <v>163</v>
      </c>
    </row>
    <row r="13232" spans="1:8" ht="14.4" x14ac:dyDescent="0.3">
      <c r="A13232" s="8">
        <v>2070973</v>
      </c>
      <c r="B13232" s="11">
        <v>44783</v>
      </c>
      <c r="C13232" s="13" t="s">
        <v>16974</v>
      </c>
      <c r="D13232" s="13" t="s">
        <v>16975</v>
      </c>
      <c r="E13232" s="8">
        <v>4000</v>
      </c>
      <c r="F13232" s="13" t="s">
        <v>70</v>
      </c>
      <c r="G13232" s="14">
        <v>44785</v>
      </c>
      <c r="H13232" s="13" t="s">
        <v>163</v>
      </c>
    </row>
    <row r="13233" spans="1:8" ht="14.4" x14ac:dyDescent="0.3">
      <c r="A13233" s="8">
        <v>2070974</v>
      </c>
      <c r="B13233" s="11">
        <v>44783</v>
      </c>
      <c r="C13233" s="13" t="s">
        <v>16976</v>
      </c>
      <c r="D13233" s="13" t="s">
        <v>16977</v>
      </c>
      <c r="E13233" s="8">
        <v>2000</v>
      </c>
      <c r="F13233" s="13" t="s">
        <v>70</v>
      </c>
      <c r="G13233" s="14">
        <v>44785</v>
      </c>
      <c r="H13233" s="13" t="s">
        <v>163</v>
      </c>
    </row>
    <row r="13234" spans="1:8" ht="14.4" x14ac:dyDescent="0.3">
      <c r="A13234" s="8">
        <v>2070975</v>
      </c>
      <c r="B13234" s="11">
        <v>44783</v>
      </c>
      <c r="C13234" s="13" t="s">
        <v>16978</v>
      </c>
      <c r="D13234" s="13" t="s">
        <v>16979</v>
      </c>
      <c r="E13234" s="8">
        <v>4000</v>
      </c>
      <c r="F13234" s="13" t="s">
        <v>70</v>
      </c>
      <c r="G13234" s="14">
        <v>44788</v>
      </c>
      <c r="H13234" s="13" t="s">
        <v>163</v>
      </c>
    </row>
    <row r="13235" spans="1:8" ht="14.4" x14ac:dyDescent="0.3">
      <c r="A13235" s="8">
        <v>2070976</v>
      </c>
      <c r="B13235" s="11">
        <v>44783</v>
      </c>
      <c r="C13235" s="13" t="s">
        <v>11797</v>
      </c>
      <c r="D13235" s="13" t="s">
        <v>16980</v>
      </c>
      <c r="E13235" s="8">
        <v>10000</v>
      </c>
      <c r="F13235" s="13" t="s">
        <v>70</v>
      </c>
      <c r="G13235" s="14">
        <v>44784</v>
      </c>
      <c r="H13235" s="13" t="s">
        <v>163</v>
      </c>
    </row>
    <row r="13236" spans="1:8" ht="14.4" x14ac:dyDescent="0.3">
      <c r="A13236" s="8">
        <v>2070977</v>
      </c>
      <c r="B13236" s="11">
        <v>44783</v>
      </c>
      <c r="C13236" s="13" t="s">
        <v>16981</v>
      </c>
      <c r="D13236" s="13" t="s">
        <v>16982</v>
      </c>
      <c r="E13236" s="8">
        <v>2000</v>
      </c>
      <c r="F13236" s="13" t="s">
        <v>70</v>
      </c>
      <c r="G13236" s="14">
        <v>44791</v>
      </c>
      <c r="H13236" s="13" t="s">
        <v>163</v>
      </c>
    </row>
    <row r="13237" spans="1:8" ht="14.4" x14ac:dyDescent="0.3">
      <c r="A13237" s="8">
        <v>2070978</v>
      </c>
      <c r="B13237" s="11">
        <v>44783</v>
      </c>
      <c r="C13237" s="13" t="s">
        <v>16983</v>
      </c>
      <c r="D13237" s="13" t="s">
        <v>16984</v>
      </c>
      <c r="E13237" s="8">
        <v>2000</v>
      </c>
      <c r="F13237" s="13" t="s">
        <v>70</v>
      </c>
      <c r="G13237" s="14">
        <v>44785</v>
      </c>
      <c r="H13237" s="13" t="s">
        <v>163</v>
      </c>
    </row>
    <row r="13238" spans="1:8" ht="14.4" x14ac:dyDescent="0.3">
      <c r="A13238" s="8">
        <v>2070979</v>
      </c>
      <c r="B13238" s="11">
        <v>44783</v>
      </c>
      <c r="C13238" s="13" t="s">
        <v>16985</v>
      </c>
      <c r="D13238" s="13" t="s">
        <v>16986</v>
      </c>
      <c r="E13238" s="8">
        <v>8000</v>
      </c>
      <c r="F13238" s="13" t="s">
        <v>70</v>
      </c>
      <c r="G13238" s="14">
        <v>44785</v>
      </c>
      <c r="H13238" s="13" t="s">
        <v>163</v>
      </c>
    </row>
    <row r="13239" spans="1:8" ht="14.4" x14ac:dyDescent="0.3">
      <c r="A13239" s="8">
        <v>2070980</v>
      </c>
      <c r="B13239" s="11">
        <v>44783</v>
      </c>
      <c r="C13239" s="13" t="s">
        <v>14332</v>
      </c>
      <c r="D13239" s="13" t="s">
        <v>16987</v>
      </c>
      <c r="E13239" s="8">
        <v>2000</v>
      </c>
      <c r="F13239" s="13" t="s">
        <v>70</v>
      </c>
      <c r="G13239" s="14">
        <v>44785</v>
      </c>
      <c r="H13239" s="13" t="s">
        <v>163</v>
      </c>
    </row>
    <row r="13240" spans="1:8" ht="14.4" x14ac:dyDescent="0.3">
      <c r="A13240" s="8">
        <v>2070981</v>
      </c>
      <c r="B13240" s="11">
        <v>44783</v>
      </c>
      <c r="C13240" s="13" t="s">
        <v>16988</v>
      </c>
      <c r="D13240" s="13" t="s">
        <v>16989</v>
      </c>
      <c r="E13240" s="8">
        <v>6000</v>
      </c>
      <c r="F13240" s="13" t="s">
        <v>70</v>
      </c>
      <c r="G13240" s="14">
        <v>44788</v>
      </c>
      <c r="H13240" s="13" t="s">
        <v>163</v>
      </c>
    </row>
    <row r="13241" spans="1:8" ht="14.4" x14ac:dyDescent="0.3">
      <c r="A13241" s="8">
        <v>2070982</v>
      </c>
      <c r="B13241" s="11">
        <v>44783</v>
      </c>
      <c r="C13241" s="13" t="s">
        <v>10779</v>
      </c>
      <c r="D13241" s="13" t="s">
        <v>16990</v>
      </c>
      <c r="E13241" s="8">
        <v>26000</v>
      </c>
      <c r="F13241" s="13" t="s">
        <v>70</v>
      </c>
      <c r="G13241" s="14">
        <v>44785</v>
      </c>
      <c r="H13241" s="13" t="s">
        <v>163</v>
      </c>
    </row>
    <row r="13242" spans="1:8" ht="14.4" x14ac:dyDescent="0.3">
      <c r="A13242" s="8">
        <v>2070983</v>
      </c>
      <c r="B13242" s="11">
        <v>44783</v>
      </c>
      <c r="C13242" s="13" t="s">
        <v>16991</v>
      </c>
      <c r="D13242" s="13" t="s">
        <v>16992</v>
      </c>
      <c r="E13242" s="8">
        <v>6000</v>
      </c>
      <c r="F13242" s="13" t="s">
        <v>70</v>
      </c>
      <c r="G13242" s="14">
        <v>44785</v>
      </c>
      <c r="H13242" s="13" t="s">
        <v>163</v>
      </c>
    </row>
    <row r="13243" spans="1:8" ht="14.4" x14ac:dyDescent="0.3">
      <c r="A13243" s="8">
        <v>2070984</v>
      </c>
      <c r="B13243" s="11">
        <v>44783</v>
      </c>
      <c r="C13243" s="13" t="s">
        <v>14844</v>
      </c>
      <c r="D13243" s="13" t="s">
        <v>16993</v>
      </c>
      <c r="E13243" s="8">
        <v>2000</v>
      </c>
      <c r="F13243" s="13" t="s">
        <v>70</v>
      </c>
      <c r="G13243" s="14">
        <v>44785</v>
      </c>
      <c r="H13243" s="13" t="s">
        <v>163</v>
      </c>
    </row>
    <row r="13244" spans="1:8" ht="14.4" x14ac:dyDescent="0.3">
      <c r="A13244" s="8">
        <v>2070985</v>
      </c>
      <c r="B13244" s="11">
        <v>44783</v>
      </c>
      <c r="C13244" s="13" t="s">
        <v>16994</v>
      </c>
      <c r="D13244" s="13" t="s">
        <v>16995</v>
      </c>
      <c r="E13244" s="8">
        <v>4000</v>
      </c>
      <c r="F13244" s="13" t="s">
        <v>70</v>
      </c>
      <c r="G13244" s="14">
        <v>44785</v>
      </c>
      <c r="H13244" s="13" t="s">
        <v>163</v>
      </c>
    </row>
    <row r="13245" spans="1:8" ht="14.4" x14ac:dyDescent="0.3">
      <c r="A13245" s="8">
        <v>2070986</v>
      </c>
      <c r="B13245" s="11">
        <v>44783</v>
      </c>
      <c r="C13245" s="13" t="s">
        <v>16996</v>
      </c>
      <c r="D13245" s="13" t="s">
        <v>16997</v>
      </c>
      <c r="E13245" s="8">
        <v>8000</v>
      </c>
      <c r="F13245" s="13" t="s">
        <v>70</v>
      </c>
      <c r="G13245" s="14">
        <v>44788</v>
      </c>
      <c r="H13245" s="13" t="s">
        <v>163</v>
      </c>
    </row>
    <row r="13246" spans="1:8" ht="14.4" x14ac:dyDescent="0.3">
      <c r="A13246" s="8">
        <v>2070987</v>
      </c>
      <c r="B13246" s="11">
        <v>44783</v>
      </c>
      <c r="C13246" s="13" t="s">
        <v>16998</v>
      </c>
      <c r="D13246" s="13" t="s">
        <v>16999</v>
      </c>
      <c r="E13246" s="8">
        <v>6000</v>
      </c>
      <c r="F13246" s="13" t="s">
        <v>70</v>
      </c>
      <c r="G13246" s="14">
        <v>44785</v>
      </c>
      <c r="H13246" s="13" t="s">
        <v>163</v>
      </c>
    </row>
    <row r="13247" spans="1:8" ht="14.4" x14ac:dyDescent="0.3">
      <c r="A13247" s="8">
        <v>2070988</v>
      </c>
      <c r="B13247" s="11">
        <v>44783</v>
      </c>
      <c r="C13247" s="13" t="s">
        <v>17000</v>
      </c>
      <c r="D13247" s="13" t="s">
        <v>17001</v>
      </c>
      <c r="E13247" s="8">
        <v>20000</v>
      </c>
      <c r="F13247" s="13" t="s">
        <v>70</v>
      </c>
      <c r="G13247" s="14">
        <v>44785</v>
      </c>
      <c r="H13247" s="13" t="s">
        <v>163</v>
      </c>
    </row>
    <row r="13248" spans="1:8" ht="14.4" x14ac:dyDescent="0.3">
      <c r="A13248" s="8">
        <v>2070989</v>
      </c>
      <c r="B13248" s="11">
        <v>44783</v>
      </c>
      <c r="C13248" s="13" t="s">
        <v>17002</v>
      </c>
      <c r="D13248" s="13" t="s">
        <v>17003</v>
      </c>
      <c r="E13248" s="8">
        <v>30000</v>
      </c>
      <c r="F13248" s="13" t="s">
        <v>70</v>
      </c>
      <c r="G13248" s="14">
        <v>44788</v>
      </c>
      <c r="H13248" s="13" t="s">
        <v>163</v>
      </c>
    </row>
    <row r="13249" spans="1:8" ht="14.4" x14ac:dyDescent="0.3">
      <c r="A13249" s="8">
        <v>2070990</v>
      </c>
      <c r="B13249" s="11">
        <v>44783</v>
      </c>
      <c r="C13249" s="13" t="s">
        <v>17004</v>
      </c>
      <c r="D13249" s="13" t="s">
        <v>17005</v>
      </c>
      <c r="E13249" s="8">
        <v>6000</v>
      </c>
      <c r="F13249" s="13" t="s">
        <v>70</v>
      </c>
      <c r="G13249" s="14">
        <v>44788</v>
      </c>
      <c r="H13249" s="13" t="s">
        <v>163</v>
      </c>
    </row>
    <row r="13250" spans="1:8" ht="14.4" x14ac:dyDescent="0.3">
      <c r="A13250" s="8">
        <v>2070991</v>
      </c>
      <c r="B13250" s="11">
        <v>44783</v>
      </c>
      <c r="C13250" s="13" t="s">
        <v>17006</v>
      </c>
      <c r="D13250" s="13" t="s">
        <v>17007</v>
      </c>
      <c r="E13250" s="8">
        <v>10000</v>
      </c>
      <c r="F13250" s="13" t="s">
        <v>70</v>
      </c>
      <c r="G13250" s="14">
        <v>44785</v>
      </c>
      <c r="H13250" s="13" t="s">
        <v>163</v>
      </c>
    </row>
    <row r="13251" spans="1:8" ht="14.4" x14ac:dyDescent="0.3">
      <c r="A13251" s="8">
        <v>2070992</v>
      </c>
      <c r="B13251" s="11">
        <v>44783</v>
      </c>
      <c r="C13251" s="13" t="s">
        <v>17008</v>
      </c>
      <c r="D13251" s="13" t="s">
        <v>17009</v>
      </c>
      <c r="E13251" s="8">
        <v>50000</v>
      </c>
      <c r="F13251" s="13" t="s">
        <v>70</v>
      </c>
      <c r="G13251" s="14">
        <v>44788</v>
      </c>
      <c r="H13251" s="13" t="s">
        <v>163</v>
      </c>
    </row>
    <row r="13252" spans="1:8" ht="14.4" x14ac:dyDescent="0.3">
      <c r="A13252" s="8">
        <v>2070993</v>
      </c>
      <c r="B13252" s="10">
        <v>44783</v>
      </c>
      <c r="C13252" s="13" t="s">
        <v>13521</v>
      </c>
      <c r="D13252" s="13" t="s">
        <v>17010</v>
      </c>
      <c r="E13252" s="8">
        <v>2000</v>
      </c>
      <c r="F13252" s="13" t="s">
        <v>70</v>
      </c>
      <c r="G13252" s="14">
        <v>44785</v>
      </c>
      <c r="H13252" s="13" t="s">
        <v>163</v>
      </c>
    </row>
    <row r="13253" spans="1:8" ht="14.4" x14ac:dyDescent="0.3">
      <c r="A13253" s="8">
        <v>2070994</v>
      </c>
      <c r="B13253" s="11">
        <v>44783</v>
      </c>
      <c r="C13253" s="13" t="s">
        <v>17011</v>
      </c>
      <c r="D13253" s="13" t="s">
        <v>17012</v>
      </c>
      <c r="E13253" s="8">
        <v>40000</v>
      </c>
      <c r="F13253" s="13" t="s">
        <v>70</v>
      </c>
      <c r="G13253" s="14">
        <v>44785</v>
      </c>
      <c r="H13253" s="13" t="s">
        <v>163</v>
      </c>
    </row>
    <row r="13254" spans="1:8" ht="14.4" x14ac:dyDescent="0.3">
      <c r="A13254" s="8">
        <v>2070995</v>
      </c>
      <c r="B13254" s="11">
        <v>44783</v>
      </c>
      <c r="C13254" s="13" t="s">
        <v>17013</v>
      </c>
      <c r="D13254" s="13" t="s">
        <v>17014</v>
      </c>
      <c r="E13254" s="8">
        <v>2000</v>
      </c>
      <c r="F13254" s="13" t="s">
        <v>70</v>
      </c>
      <c r="G13254" s="14">
        <v>44788</v>
      </c>
      <c r="H13254" s="13" t="s">
        <v>163</v>
      </c>
    </row>
    <row r="13255" spans="1:8" ht="14.4" x14ac:dyDescent="0.3">
      <c r="A13255" s="8">
        <v>2070996</v>
      </c>
      <c r="B13255" s="11">
        <v>44783</v>
      </c>
      <c r="C13255" s="13" t="s">
        <v>17015</v>
      </c>
      <c r="D13255" s="13" t="s">
        <v>17016</v>
      </c>
      <c r="E13255" s="8">
        <v>2000</v>
      </c>
      <c r="F13255" s="13" t="s">
        <v>70</v>
      </c>
      <c r="G13255" s="14">
        <v>44785</v>
      </c>
      <c r="H13255" s="13" t="s">
        <v>163</v>
      </c>
    </row>
    <row r="13256" spans="1:8" ht="14.4" x14ac:dyDescent="0.3">
      <c r="A13256" s="8">
        <v>2070997</v>
      </c>
      <c r="B13256" s="11">
        <v>44783</v>
      </c>
      <c r="C13256" s="13" t="s">
        <v>17017</v>
      </c>
      <c r="D13256" s="13" t="s">
        <v>17018</v>
      </c>
      <c r="E13256" s="8">
        <v>2000</v>
      </c>
      <c r="F13256" s="13" t="s">
        <v>70</v>
      </c>
      <c r="G13256" s="14">
        <v>44789</v>
      </c>
      <c r="H13256" s="13" t="s">
        <v>163</v>
      </c>
    </row>
    <row r="13257" spans="1:8" ht="14.4" x14ac:dyDescent="0.3">
      <c r="A13257" s="8">
        <v>2070998</v>
      </c>
      <c r="B13257" s="11">
        <v>44783</v>
      </c>
      <c r="C13257" s="13" t="s">
        <v>10585</v>
      </c>
      <c r="D13257" s="13" t="s">
        <v>17019</v>
      </c>
      <c r="E13257" s="8">
        <v>8000</v>
      </c>
      <c r="F13257" s="13" t="s">
        <v>70</v>
      </c>
      <c r="G13257" s="14">
        <v>44785</v>
      </c>
      <c r="H13257" s="13" t="s">
        <v>163</v>
      </c>
    </row>
    <row r="13258" spans="1:8" ht="14.4" x14ac:dyDescent="0.3">
      <c r="A13258" s="8">
        <v>2070999</v>
      </c>
      <c r="B13258" s="11">
        <v>44783</v>
      </c>
      <c r="C13258" s="13" t="s">
        <v>10585</v>
      </c>
      <c r="D13258" s="13" t="s">
        <v>17020</v>
      </c>
      <c r="E13258" s="8">
        <v>8000</v>
      </c>
      <c r="F13258" s="13" t="s">
        <v>70</v>
      </c>
      <c r="G13258" s="14">
        <v>44785</v>
      </c>
      <c r="H13258" s="13" t="s">
        <v>163</v>
      </c>
    </row>
    <row r="13259" spans="1:8" ht="14.4" x14ac:dyDescent="0.3">
      <c r="A13259" s="8">
        <v>2071000</v>
      </c>
      <c r="B13259" s="11">
        <v>44783</v>
      </c>
      <c r="C13259" s="13" t="s">
        <v>17021</v>
      </c>
      <c r="D13259" s="13" t="s">
        <v>17022</v>
      </c>
      <c r="E13259" s="8">
        <v>4000</v>
      </c>
      <c r="F13259" s="13" t="s">
        <v>70</v>
      </c>
      <c r="G13259" s="14">
        <v>44785</v>
      </c>
      <c r="H13259" s="13" t="s">
        <v>163</v>
      </c>
    </row>
    <row r="13260" spans="1:8" ht="14.4" x14ac:dyDescent="0.3">
      <c r="A13260" s="8">
        <v>2071002</v>
      </c>
      <c r="B13260" s="11">
        <v>44784</v>
      </c>
      <c r="C13260" s="13" t="s">
        <v>4457</v>
      </c>
      <c r="D13260" s="13" t="s">
        <v>17023</v>
      </c>
      <c r="E13260" s="8">
        <v>20000</v>
      </c>
      <c r="F13260" s="13" t="s">
        <v>70</v>
      </c>
      <c r="G13260" s="14">
        <v>44790</v>
      </c>
      <c r="H13260" s="13" t="s">
        <v>163</v>
      </c>
    </row>
    <row r="13261" spans="1:8" ht="14.4" x14ac:dyDescent="0.3">
      <c r="A13261" s="8">
        <v>2071003</v>
      </c>
      <c r="B13261" s="11">
        <v>44784</v>
      </c>
      <c r="C13261" s="13" t="s">
        <v>4553</v>
      </c>
      <c r="D13261" s="13" t="s">
        <v>17024</v>
      </c>
      <c r="E13261" s="8">
        <v>10000</v>
      </c>
      <c r="F13261" s="13" t="s">
        <v>70</v>
      </c>
      <c r="G13261" s="14">
        <v>44792</v>
      </c>
      <c r="H13261" s="13" t="s">
        <v>163</v>
      </c>
    </row>
    <row r="13262" spans="1:8" ht="14.4" x14ac:dyDescent="0.3">
      <c r="A13262" s="8">
        <v>2071004</v>
      </c>
      <c r="B13262" s="11">
        <v>44784</v>
      </c>
      <c r="C13262" s="13" t="s">
        <v>17025</v>
      </c>
      <c r="D13262" s="13" t="s">
        <v>17026</v>
      </c>
      <c r="E13262" s="8">
        <v>6000</v>
      </c>
      <c r="F13262" s="13" t="s">
        <v>70</v>
      </c>
      <c r="G13262" s="14">
        <v>44820</v>
      </c>
      <c r="H13262" s="13" t="s">
        <v>163</v>
      </c>
    </row>
    <row r="13263" spans="1:8" ht="14.4" x14ac:dyDescent="0.3">
      <c r="A13263" s="8">
        <v>2071005</v>
      </c>
      <c r="B13263" s="11">
        <v>44784</v>
      </c>
      <c r="C13263" s="13" t="s">
        <v>4258</v>
      </c>
      <c r="D13263" s="13" t="s">
        <v>17027</v>
      </c>
      <c r="E13263" s="8">
        <v>50000</v>
      </c>
      <c r="F13263" s="13" t="s">
        <v>70</v>
      </c>
      <c r="G13263" s="14">
        <v>44789</v>
      </c>
      <c r="H13263" s="13" t="s">
        <v>163</v>
      </c>
    </row>
    <row r="13264" spans="1:8" ht="14.4" x14ac:dyDescent="0.3">
      <c r="A13264" s="8">
        <v>2071006</v>
      </c>
      <c r="B13264" s="11">
        <v>44784</v>
      </c>
      <c r="C13264" s="13" t="s">
        <v>17028</v>
      </c>
      <c r="D13264" s="13" t="s">
        <v>17029</v>
      </c>
      <c r="E13264" s="8">
        <v>8000</v>
      </c>
      <c r="F13264" s="13" t="s">
        <v>70</v>
      </c>
      <c r="G13264" s="14">
        <v>44790</v>
      </c>
      <c r="H13264" s="13" t="s">
        <v>163</v>
      </c>
    </row>
    <row r="13265" spans="1:8" ht="14.4" x14ac:dyDescent="0.3">
      <c r="A13265" s="8">
        <v>2071007</v>
      </c>
      <c r="B13265" s="11">
        <v>44784</v>
      </c>
      <c r="C13265" s="13" t="s">
        <v>17030</v>
      </c>
      <c r="D13265" s="13" t="s">
        <v>17031</v>
      </c>
      <c r="E13265" s="8">
        <v>2000</v>
      </c>
      <c r="F13265" s="13" t="s">
        <v>70</v>
      </c>
      <c r="G13265" s="14">
        <v>44790</v>
      </c>
      <c r="H13265" s="13" t="s">
        <v>163</v>
      </c>
    </row>
    <row r="13266" spans="1:8" ht="14.4" x14ac:dyDescent="0.3">
      <c r="A13266" s="8">
        <v>2071008</v>
      </c>
      <c r="B13266" s="11">
        <v>44784</v>
      </c>
      <c r="C13266" s="13" t="s">
        <v>14349</v>
      </c>
      <c r="D13266" s="13" t="s">
        <v>17032</v>
      </c>
      <c r="E13266" s="8">
        <v>2000</v>
      </c>
      <c r="F13266" s="13" t="s">
        <v>70</v>
      </c>
      <c r="G13266" s="14">
        <v>44792</v>
      </c>
      <c r="H13266" s="13" t="s">
        <v>163</v>
      </c>
    </row>
    <row r="13267" spans="1:8" ht="14.4" x14ac:dyDescent="0.3">
      <c r="A13267" s="8">
        <v>2071009</v>
      </c>
      <c r="B13267" s="11">
        <v>44784</v>
      </c>
      <c r="C13267" s="13" t="s">
        <v>17033</v>
      </c>
      <c r="D13267" s="13" t="s">
        <v>17034</v>
      </c>
      <c r="E13267" s="8">
        <v>4000</v>
      </c>
      <c r="F13267" s="13" t="s">
        <v>70</v>
      </c>
      <c r="G13267" s="14">
        <v>44792</v>
      </c>
      <c r="H13267" s="13" t="s">
        <v>163</v>
      </c>
    </row>
    <row r="13268" spans="1:8" ht="14.4" x14ac:dyDescent="0.3">
      <c r="A13268" s="8">
        <v>2071010</v>
      </c>
      <c r="B13268" s="11">
        <v>44784</v>
      </c>
      <c r="C13268" s="13" t="s">
        <v>11421</v>
      </c>
      <c r="D13268" s="13" t="s">
        <v>17035</v>
      </c>
      <c r="E13268" s="8">
        <v>2000</v>
      </c>
      <c r="F13268" s="13" t="s">
        <v>70</v>
      </c>
      <c r="G13268" s="14">
        <v>44795</v>
      </c>
      <c r="H13268" s="13" t="s">
        <v>163</v>
      </c>
    </row>
    <row r="13269" spans="1:8" ht="14.4" x14ac:dyDescent="0.3">
      <c r="A13269" s="8">
        <v>2071011</v>
      </c>
      <c r="B13269" s="11">
        <v>44784</v>
      </c>
      <c r="C13269" s="13" t="s">
        <v>427</v>
      </c>
      <c r="D13269" s="13" t="s">
        <v>17036</v>
      </c>
      <c r="E13269" s="8">
        <v>8000</v>
      </c>
      <c r="F13269" s="13" t="s">
        <v>70</v>
      </c>
      <c r="G13269" s="14">
        <v>44784</v>
      </c>
      <c r="H13269" s="13" t="s">
        <v>163</v>
      </c>
    </row>
    <row r="13270" spans="1:8" ht="14.4" x14ac:dyDescent="0.3">
      <c r="A13270" s="8">
        <v>2071012</v>
      </c>
      <c r="B13270" s="11">
        <v>44784</v>
      </c>
      <c r="C13270" s="13" t="s">
        <v>17037</v>
      </c>
      <c r="D13270" s="13" t="s">
        <v>17038</v>
      </c>
      <c r="E13270" s="8">
        <v>1000</v>
      </c>
      <c r="F13270" s="13" t="s">
        <v>70</v>
      </c>
      <c r="G13270" s="14">
        <v>44792</v>
      </c>
      <c r="H13270" s="13" t="s">
        <v>163</v>
      </c>
    </row>
    <row r="13271" spans="1:8" ht="14.4" x14ac:dyDescent="0.3">
      <c r="A13271" s="8">
        <v>2071013</v>
      </c>
      <c r="B13271" s="11">
        <v>44784</v>
      </c>
      <c r="C13271" s="13" t="s">
        <v>3420</v>
      </c>
      <c r="D13271" s="13" t="s">
        <v>17039</v>
      </c>
      <c r="E13271" s="8">
        <v>2000</v>
      </c>
      <c r="F13271" s="13" t="s">
        <v>70</v>
      </c>
      <c r="G13271" s="14">
        <v>44792</v>
      </c>
      <c r="H13271" s="13" t="s">
        <v>163</v>
      </c>
    </row>
    <row r="13272" spans="1:8" ht="14.4" x14ac:dyDescent="0.3">
      <c r="A13272" s="8">
        <v>2071014</v>
      </c>
      <c r="B13272" s="11">
        <v>44784</v>
      </c>
      <c r="C13272" s="13" t="s">
        <v>17040</v>
      </c>
      <c r="D13272" s="13" t="s">
        <v>17041</v>
      </c>
      <c r="E13272" s="8">
        <v>4000</v>
      </c>
      <c r="F13272" s="13" t="s">
        <v>70</v>
      </c>
      <c r="G13272" s="14">
        <v>44789</v>
      </c>
      <c r="H13272" s="13" t="s">
        <v>163</v>
      </c>
    </row>
    <row r="13273" spans="1:8" ht="14.4" x14ac:dyDescent="0.3">
      <c r="A13273" s="8">
        <v>2071015</v>
      </c>
      <c r="B13273" s="11">
        <v>44784</v>
      </c>
      <c r="C13273" s="13" t="s">
        <v>3568</v>
      </c>
      <c r="D13273" s="13" t="s">
        <v>17042</v>
      </c>
      <c r="E13273" s="8">
        <v>2000</v>
      </c>
      <c r="F13273" s="13" t="s">
        <v>70</v>
      </c>
      <c r="G13273" s="14">
        <v>44790</v>
      </c>
      <c r="H13273" s="13" t="s">
        <v>163</v>
      </c>
    </row>
    <row r="13274" spans="1:8" ht="14.4" x14ac:dyDescent="0.3">
      <c r="A13274" s="8">
        <v>2071016</v>
      </c>
      <c r="B13274" s="11">
        <v>44784</v>
      </c>
      <c r="C13274" s="13" t="s">
        <v>4296</v>
      </c>
      <c r="D13274" s="13" t="s">
        <v>17043</v>
      </c>
      <c r="E13274" s="8">
        <v>6000</v>
      </c>
      <c r="F13274" s="13" t="s">
        <v>70</v>
      </c>
      <c r="G13274" s="14">
        <v>44789</v>
      </c>
      <c r="H13274" s="13" t="s">
        <v>163</v>
      </c>
    </row>
    <row r="13275" spans="1:8" ht="14.4" x14ac:dyDescent="0.3">
      <c r="A13275" s="8">
        <v>2071017</v>
      </c>
      <c r="B13275" s="11">
        <v>44784</v>
      </c>
      <c r="C13275" s="13" t="s">
        <v>17044</v>
      </c>
      <c r="D13275" s="13" t="s">
        <v>17045</v>
      </c>
      <c r="E13275" s="8">
        <v>20000</v>
      </c>
      <c r="F13275" s="13" t="s">
        <v>70</v>
      </c>
      <c r="G13275" s="14">
        <v>44789</v>
      </c>
      <c r="H13275" s="13" t="s">
        <v>163</v>
      </c>
    </row>
    <row r="13276" spans="1:8" ht="14.4" x14ac:dyDescent="0.3">
      <c r="A13276" s="8">
        <v>2071018</v>
      </c>
      <c r="B13276" s="11">
        <v>44784</v>
      </c>
      <c r="C13276" s="13" t="s">
        <v>17046</v>
      </c>
      <c r="D13276" s="13" t="s">
        <v>17047</v>
      </c>
      <c r="E13276" s="8">
        <v>20000</v>
      </c>
      <c r="F13276" s="13" t="s">
        <v>70</v>
      </c>
      <c r="G13276" s="14">
        <v>44816</v>
      </c>
      <c r="H13276" s="13" t="s">
        <v>163</v>
      </c>
    </row>
    <row r="13277" spans="1:8" ht="14.4" x14ac:dyDescent="0.3">
      <c r="A13277" s="8">
        <v>2071019</v>
      </c>
      <c r="B13277" s="11">
        <v>44784</v>
      </c>
      <c r="C13277" s="13" t="s">
        <v>17048</v>
      </c>
      <c r="D13277" s="13" t="s">
        <v>17049</v>
      </c>
      <c r="E13277" s="8">
        <v>8000</v>
      </c>
      <c r="F13277" s="13" t="s">
        <v>70</v>
      </c>
      <c r="G13277" s="14">
        <v>44791</v>
      </c>
      <c r="H13277" s="13" t="s">
        <v>163</v>
      </c>
    </row>
    <row r="13278" spans="1:8" ht="14.4" x14ac:dyDescent="0.3">
      <c r="A13278" s="8">
        <v>2071020</v>
      </c>
      <c r="B13278" s="11">
        <v>44784</v>
      </c>
      <c r="C13278" s="13" t="s">
        <v>17050</v>
      </c>
      <c r="D13278" s="13" t="s">
        <v>17051</v>
      </c>
      <c r="E13278" s="8">
        <v>5000</v>
      </c>
      <c r="F13278" s="13" t="s">
        <v>70</v>
      </c>
      <c r="G13278" s="14">
        <v>44795</v>
      </c>
      <c r="H13278" s="13" t="s">
        <v>163</v>
      </c>
    </row>
    <row r="13279" spans="1:8" ht="14.4" x14ac:dyDescent="0.3">
      <c r="A13279" s="8">
        <v>2071021</v>
      </c>
      <c r="B13279" s="11">
        <v>44784</v>
      </c>
      <c r="C13279" s="13" t="s">
        <v>17052</v>
      </c>
      <c r="D13279" s="13" t="s">
        <v>17053</v>
      </c>
      <c r="E13279" s="8">
        <v>4000</v>
      </c>
      <c r="F13279" s="13" t="s">
        <v>70</v>
      </c>
      <c r="G13279" s="14">
        <v>44790</v>
      </c>
      <c r="H13279" s="13" t="s">
        <v>163</v>
      </c>
    </row>
    <row r="13280" spans="1:8" ht="14.4" x14ac:dyDescent="0.3">
      <c r="A13280" s="8">
        <v>2071022</v>
      </c>
      <c r="B13280" s="11">
        <v>44784</v>
      </c>
      <c r="C13280" s="13" t="s">
        <v>17054</v>
      </c>
      <c r="D13280" s="13" t="s">
        <v>17055</v>
      </c>
      <c r="E13280" s="8">
        <v>4000</v>
      </c>
      <c r="F13280" s="13" t="s">
        <v>70</v>
      </c>
      <c r="G13280" s="14">
        <v>44817</v>
      </c>
      <c r="H13280" s="13" t="s">
        <v>163</v>
      </c>
    </row>
    <row r="13281" spans="1:8" ht="14.4" x14ac:dyDescent="0.3">
      <c r="A13281" s="8">
        <v>2071023</v>
      </c>
      <c r="B13281" s="11">
        <v>44784</v>
      </c>
      <c r="C13281" s="13" t="s">
        <v>12391</v>
      </c>
      <c r="D13281" s="13" t="s">
        <v>17056</v>
      </c>
      <c r="E13281" s="8">
        <v>2000</v>
      </c>
      <c r="F13281" s="13" t="s">
        <v>70</v>
      </c>
      <c r="G13281" s="14">
        <v>44790</v>
      </c>
      <c r="H13281" s="13" t="s">
        <v>163</v>
      </c>
    </row>
    <row r="13282" spans="1:8" ht="14.4" x14ac:dyDescent="0.3">
      <c r="A13282" s="8">
        <v>2071024</v>
      </c>
      <c r="B13282" s="11">
        <v>44784</v>
      </c>
      <c r="C13282" s="13" t="s">
        <v>17057</v>
      </c>
      <c r="D13282" s="13" t="s">
        <v>17058</v>
      </c>
      <c r="E13282" s="8">
        <v>6000</v>
      </c>
      <c r="F13282" s="13" t="s">
        <v>70</v>
      </c>
      <c r="G13282" s="14">
        <v>44789</v>
      </c>
      <c r="H13282" s="13" t="s">
        <v>163</v>
      </c>
    </row>
    <row r="13283" spans="1:8" ht="14.4" x14ac:dyDescent="0.3">
      <c r="A13283" s="8">
        <v>2071025</v>
      </c>
      <c r="B13283" s="11">
        <v>44784</v>
      </c>
      <c r="C13283" s="13" t="s">
        <v>10494</v>
      </c>
      <c r="D13283" s="13" t="s">
        <v>17059</v>
      </c>
      <c r="E13283" s="8">
        <v>26000</v>
      </c>
      <c r="F13283" s="13" t="s">
        <v>70</v>
      </c>
      <c r="G13283" s="14">
        <v>44792</v>
      </c>
      <c r="H13283" s="13" t="s">
        <v>163</v>
      </c>
    </row>
    <row r="13284" spans="1:8" ht="14.4" x14ac:dyDescent="0.3">
      <c r="A13284" s="8">
        <v>2071026</v>
      </c>
      <c r="B13284" s="11">
        <v>44784</v>
      </c>
      <c r="C13284" s="13" t="s">
        <v>17060</v>
      </c>
      <c r="D13284" s="13" t="s">
        <v>17061</v>
      </c>
      <c r="E13284" s="8">
        <v>4000</v>
      </c>
      <c r="F13284" s="13" t="s">
        <v>70</v>
      </c>
      <c r="G13284" s="14">
        <v>44791</v>
      </c>
      <c r="H13284" s="13" t="s">
        <v>163</v>
      </c>
    </row>
    <row r="13285" spans="1:8" ht="14.4" x14ac:dyDescent="0.3">
      <c r="A13285" s="8">
        <v>2071027</v>
      </c>
      <c r="B13285" s="11">
        <v>44784</v>
      </c>
      <c r="C13285" s="13" t="s">
        <v>14803</v>
      </c>
      <c r="D13285" s="13" t="s">
        <v>17062</v>
      </c>
      <c r="E13285" s="8">
        <v>2000</v>
      </c>
      <c r="F13285" s="13" t="s">
        <v>70</v>
      </c>
      <c r="G13285" s="14">
        <v>44788</v>
      </c>
      <c r="H13285" s="13" t="s">
        <v>163</v>
      </c>
    </row>
    <row r="13286" spans="1:8" ht="14.4" x14ac:dyDescent="0.3">
      <c r="A13286" s="8">
        <v>2071028</v>
      </c>
      <c r="B13286" s="11">
        <v>44784</v>
      </c>
      <c r="C13286" s="13" t="s">
        <v>10589</v>
      </c>
      <c r="D13286" s="13" t="s">
        <v>17063</v>
      </c>
      <c r="E13286" s="8">
        <v>4000</v>
      </c>
      <c r="F13286" s="13" t="s">
        <v>70</v>
      </c>
      <c r="G13286" s="14">
        <v>44792</v>
      </c>
      <c r="H13286" s="13" t="s">
        <v>163</v>
      </c>
    </row>
    <row r="13287" spans="1:8" ht="14.4" x14ac:dyDescent="0.3">
      <c r="A13287" s="8">
        <v>2071029</v>
      </c>
      <c r="B13287" s="11">
        <v>44784</v>
      </c>
      <c r="C13287" s="13" t="s">
        <v>17064</v>
      </c>
      <c r="D13287" s="13" t="s">
        <v>17065</v>
      </c>
      <c r="E13287" s="8">
        <v>16000</v>
      </c>
      <c r="F13287" s="13" t="s">
        <v>70</v>
      </c>
      <c r="G13287" s="14">
        <v>44785</v>
      </c>
      <c r="H13287" s="13" t="s">
        <v>163</v>
      </c>
    </row>
    <row r="13288" spans="1:8" ht="14.4" x14ac:dyDescent="0.3">
      <c r="A13288" s="8">
        <v>2071030</v>
      </c>
      <c r="B13288" s="11">
        <v>44785</v>
      </c>
      <c r="C13288" s="13" t="s">
        <v>17066</v>
      </c>
      <c r="D13288" s="13" t="s">
        <v>17067</v>
      </c>
      <c r="E13288" s="8">
        <v>4000</v>
      </c>
      <c r="F13288" s="13" t="s">
        <v>70</v>
      </c>
      <c r="G13288" s="14">
        <v>44789</v>
      </c>
      <c r="H13288" s="13" t="s">
        <v>163</v>
      </c>
    </row>
    <row r="13289" spans="1:8" ht="14.4" x14ac:dyDescent="0.3">
      <c r="A13289" s="8">
        <v>2071031</v>
      </c>
      <c r="B13289" s="11">
        <v>44785</v>
      </c>
      <c r="C13289" s="13" t="s">
        <v>17068</v>
      </c>
      <c r="D13289" s="13" t="s">
        <v>17069</v>
      </c>
      <c r="E13289" s="8">
        <v>4000</v>
      </c>
      <c r="F13289" s="13" t="s">
        <v>70</v>
      </c>
      <c r="G13289" s="14">
        <v>44790</v>
      </c>
      <c r="H13289" s="13" t="s">
        <v>163</v>
      </c>
    </row>
    <row r="13290" spans="1:8" ht="14.4" x14ac:dyDescent="0.3">
      <c r="A13290" s="8">
        <v>2071032</v>
      </c>
      <c r="B13290" s="11">
        <v>44785</v>
      </c>
      <c r="C13290" s="13" t="s">
        <v>17070</v>
      </c>
      <c r="D13290" s="13" t="s">
        <v>17071</v>
      </c>
      <c r="E13290" s="8">
        <v>4000</v>
      </c>
      <c r="F13290" s="13" t="s">
        <v>70</v>
      </c>
      <c r="G13290" s="14">
        <v>44788</v>
      </c>
      <c r="H13290" s="13" t="s">
        <v>163</v>
      </c>
    </row>
    <row r="13291" spans="1:8" ht="14.4" x14ac:dyDescent="0.3">
      <c r="A13291" s="8">
        <v>2071033</v>
      </c>
      <c r="B13291" s="11">
        <v>44785</v>
      </c>
      <c r="C13291" s="13" t="s">
        <v>17072</v>
      </c>
      <c r="D13291" s="13" t="s">
        <v>17073</v>
      </c>
      <c r="E13291" s="8">
        <v>4000</v>
      </c>
      <c r="F13291" s="13" t="s">
        <v>70</v>
      </c>
      <c r="G13291" s="14">
        <v>44788</v>
      </c>
      <c r="H13291" s="13" t="s">
        <v>163</v>
      </c>
    </row>
    <row r="13292" spans="1:8" ht="14.4" x14ac:dyDescent="0.3">
      <c r="A13292" s="8">
        <v>2071034</v>
      </c>
      <c r="B13292" s="11">
        <v>44785</v>
      </c>
      <c r="C13292" s="13" t="s">
        <v>17074</v>
      </c>
      <c r="D13292" s="13" t="s">
        <v>17075</v>
      </c>
      <c r="E13292" s="8">
        <v>6000</v>
      </c>
      <c r="F13292" s="13" t="s">
        <v>70</v>
      </c>
      <c r="G13292" s="14">
        <v>44789</v>
      </c>
      <c r="H13292" s="13" t="s">
        <v>163</v>
      </c>
    </row>
    <row r="13293" spans="1:8" ht="14.4" x14ac:dyDescent="0.3">
      <c r="A13293" s="8">
        <v>2071035</v>
      </c>
      <c r="B13293" s="11">
        <v>44785</v>
      </c>
      <c r="C13293" s="13" t="s">
        <v>17076</v>
      </c>
      <c r="D13293" s="13" t="s">
        <v>17077</v>
      </c>
      <c r="E13293" s="8">
        <v>8000</v>
      </c>
      <c r="F13293" s="13" t="s">
        <v>70</v>
      </c>
      <c r="G13293" s="14">
        <v>44789</v>
      </c>
      <c r="H13293" s="13" t="s">
        <v>163</v>
      </c>
    </row>
    <row r="13294" spans="1:8" ht="14.4" x14ac:dyDescent="0.3">
      <c r="A13294" s="8">
        <v>2071036</v>
      </c>
      <c r="B13294" s="11">
        <v>44785</v>
      </c>
      <c r="C13294" s="13" t="s">
        <v>10599</v>
      </c>
      <c r="D13294" s="13" t="s">
        <v>17078</v>
      </c>
      <c r="E13294" s="8">
        <v>8000</v>
      </c>
      <c r="F13294" s="13" t="s">
        <v>70</v>
      </c>
      <c r="G13294" s="14">
        <v>44788</v>
      </c>
      <c r="H13294" s="13" t="s">
        <v>163</v>
      </c>
    </row>
    <row r="13295" spans="1:8" ht="14.4" x14ac:dyDescent="0.3">
      <c r="A13295" s="8">
        <v>2071037</v>
      </c>
      <c r="B13295" s="11">
        <v>44785</v>
      </c>
      <c r="C13295" s="13" t="s">
        <v>17079</v>
      </c>
      <c r="D13295" s="13" t="s">
        <v>17080</v>
      </c>
      <c r="E13295" s="8">
        <v>4000</v>
      </c>
      <c r="F13295" s="13" t="s">
        <v>70</v>
      </c>
      <c r="G13295" s="14">
        <v>44789</v>
      </c>
      <c r="H13295" s="13" t="s">
        <v>163</v>
      </c>
    </row>
    <row r="13296" spans="1:8" ht="14.4" x14ac:dyDescent="0.3">
      <c r="A13296" s="8">
        <v>2071038</v>
      </c>
      <c r="B13296" s="11">
        <v>44785</v>
      </c>
      <c r="C13296" s="13" t="s">
        <v>17081</v>
      </c>
      <c r="D13296" s="13" t="s">
        <v>17082</v>
      </c>
      <c r="E13296" s="8">
        <v>6000</v>
      </c>
      <c r="F13296" s="13" t="s">
        <v>70</v>
      </c>
      <c r="G13296" s="14">
        <v>44789</v>
      </c>
      <c r="H13296" s="13" t="s">
        <v>163</v>
      </c>
    </row>
    <row r="13297" spans="1:8" ht="14.4" x14ac:dyDescent="0.3">
      <c r="A13297" s="8">
        <v>2071039</v>
      </c>
      <c r="B13297" s="11">
        <v>44785</v>
      </c>
      <c r="C13297" s="13" t="s">
        <v>10865</v>
      </c>
      <c r="D13297" s="13" t="s">
        <v>17083</v>
      </c>
      <c r="E13297" s="8">
        <v>4000</v>
      </c>
      <c r="F13297" s="13" t="s">
        <v>70</v>
      </c>
      <c r="G13297" s="14">
        <v>44792</v>
      </c>
      <c r="H13297" s="13" t="s">
        <v>163</v>
      </c>
    </row>
    <row r="13298" spans="1:8" ht="14.4" x14ac:dyDescent="0.3">
      <c r="A13298" s="8">
        <v>2071040</v>
      </c>
      <c r="B13298" s="11">
        <v>44785</v>
      </c>
      <c r="C13298" s="13" t="s">
        <v>13866</v>
      </c>
      <c r="D13298" s="13" t="s">
        <v>17084</v>
      </c>
      <c r="E13298" s="8">
        <v>2000</v>
      </c>
      <c r="F13298" s="13" t="s">
        <v>70</v>
      </c>
      <c r="G13298" s="14">
        <v>44789</v>
      </c>
      <c r="H13298" s="13" t="s">
        <v>163</v>
      </c>
    </row>
    <row r="13299" spans="1:8" ht="14.4" x14ac:dyDescent="0.3">
      <c r="A13299" s="8">
        <v>2071041</v>
      </c>
      <c r="B13299" s="11">
        <v>44785</v>
      </c>
      <c r="C13299" s="13" t="s">
        <v>17085</v>
      </c>
      <c r="D13299" s="13" t="s">
        <v>17086</v>
      </c>
      <c r="E13299" s="8">
        <v>4000</v>
      </c>
      <c r="F13299" s="13" t="s">
        <v>70</v>
      </c>
      <c r="G13299" s="14">
        <v>44789</v>
      </c>
      <c r="H13299" s="13" t="s">
        <v>163</v>
      </c>
    </row>
    <row r="13300" spans="1:8" ht="14.4" x14ac:dyDescent="0.3">
      <c r="A13300" s="8">
        <v>2071042</v>
      </c>
      <c r="B13300" s="11">
        <v>44785</v>
      </c>
      <c r="C13300" s="13" t="s">
        <v>17087</v>
      </c>
      <c r="D13300" s="13" t="s">
        <v>17088</v>
      </c>
      <c r="E13300" s="8">
        <v>2000</v>
      </c>
      <c r="F13300" s="13" t="s">
        <v>70</v>
      </c>
      <c r="G13300" s="14">
        <v>44789</v>
      </c>
      <c r="H13300" s="13" t="s">
        <v>163</v>
      </c>
    </row>
    <row r="13301" spans="1:8" ht="14.4" x14ac:dyDescent="0.3">
      <c r="A13301" s="8">
        <v>2071043</v>
      </c>
      <c r="B13301" s="11">
        <v>44785</v>
      </c>
      <c r="C13301" s="13" t="s">
        <v>17089</v>
      </c>
      <c r="D13301" s="13" t="s">
        <v>17090</v>
      </c>
      <c r="E13301" s="8">
        <v>10000</v>
      </c>
      <c r="F13301" s="13" t="s">
        <v>70</v>
      </c>
      <c r="G13301" s="14">
        <v>44788</v>
      </c>
      <c r="H13301" s="13" t="s">
        <v>163</v>
      </c>
    </row>
    <row r="13302" spans="1:8" ht="14.4" x14ac:dyDescent="0.3">
      <c r="A13302" s="8">
        <v>2071044</v>
      </c>
      <c r="B13302" s="11">
        <v>44785</v>
      </c>
      <c r="C13302" s="13" t="s">
        <v>9585</v>
      </c>
      <c r="D13302" s="13" t="s">
        <v>17091</v>
      </c>
      <c r="E13302" s="8">
        <v>4000</v>
      </c>
      <c r="F13302" s="13" t="s">
        <v>70</v>
      </c>
      <c r="G13302" s="14">
        <v>44789</v>
      </c>
      <c r="H13302" s="13" t="s">
        <v>163</v>
      </c>
    </row>
    <row r="13303" spans="1:8" ht="14.4" x14ac:dyDescent="0.3">
      <c r="A13303" s="8">
        <v>2071045</v>
      </c>
      <c r="B13303" s="11">
        <v>44785</v>
      </c>
      <c r="C13303" s="13" t="s">
        <v>3964</v>
      </c>
      <c r="D13303" s="13" t="s">
        <v>17092</v>
      </c>
      <c r="E13303" s="8">
        <v>4000</v>
      </c>
      <c r="F13303" s="13" t="s">
        <v>70</v>
      </c>
      <c r="G13303" s="14">
        <v>44789</v>
      </c>
      <c r="H13303" s="13" t="s">
        <v>163</v>
      </c>
    </row>
    <row r="13304" spans="1:8" ht="14.4" x14ac:dyDescent="0.3">
      <c r="A13304" s="8">
        <v>2071046</v>
      </c>
      <c r="B13304" s="11">
        <v>44785</v>
      </c>
      <c r="C13304" s="13" t="s">
        <v>17093</v>
      </c>
      <c r="D13304" s="13" t="s">
        <v>17094</v>
      </c>
      <c r="E13304" s="8">
        <v>4000</v>
      </c>
      <c r="F13304" s="13" t="s">
        <v>70</v>
      </c>
      <c r="G13304" s="14">
        <v>44789</v>
      </c>
      <c r="H13304" s="13" t="s">
        <v>163</v>
      </c>
    </row>
    <row r="13305" spans="1:8" ht="14.4" x14ac:dyDescent="0.3">
      <c r="A13305" s="8">
        <v>2071047</v>
      </c>
      <c r="B13305" s="11">
        <v>44785</v>
      </c>
      <c r="C13305" s="13" t="s">
        <v>17095</v>
      </c>
      <c r="D13305" s="13" t="s">
        <v>17096</v>
      </c>
      <c r="E13305" s="8">
        <v>4000</v>
      </c>
      <c r="F13305" s="13" t="s">
        <v>70</v>
      </c>
      <c r="G13305" s="14">
        <v>44792</v>
      </c>
      <c r="H13305" s="13" t="s">
        <v>163</v>
      </c>
    </row>
    <row r="13306" spans="1:8" ht="14.4" x14ac:dyDescent="0.3">
      <c r="A13306" s="8">
        <v>2071048</v>
      </c>
      <c r="B13306" s="11">
        <v>44785</v>
      </c>
      <c r="C13306" s="13" t="s">
        <v>17097</v>
      </c>
      <c r="D13306" s="13" t="s">
        <v>17098</v>
      </c>
      <c r="E13306" s="8">
        <v>6000</v>
      </c>
      <c r="F13306" s="13" t="s">
        <v>70</v>
      </c>
      <c r="G13306" s="14">
        <v>44789</v>
      </c>
      <c r="H13306" s="13" t="s">
        <v>163</v>
      </c>
    </row>
    <row r="13307" spans="1:8" ht="14.4" x14ac:dyDescent="0.3">
      <c r="A13307" s="8">
        <v>2071049</v>
      </c>
      <c r="B13307" s="11">
        <v>44785</v>
      </c>
      <c r="C13307" s="13" t="s">
        <v>17099</v>
      </c>
      <c r="D13307" s="13" t="s">
        <v>17100</v>
      </c>
      <c r="E13307" s="8">
        <v>2000</v>
      </c>
      <c r="F13307" s="13" t="s">
        <v>70</v>
      </c>
      <c r="G13307" s="14">
        <v>44788</v>
      </c>
      <c r="H13307" s="13" t="s">
        <v>163</v>
      </c>
    </row>
    <row r="13308" spans="1:8" ht="14.4" x14ac:dyDescent="0.3">
      <c r="A13308" s="8">
        <v>2071050</v>
      </c>
      <c r="B13308" s="11">
        <v>44785</v>
      </c>
      <c r="C13308" s="13" t="s">
        <v>7143</v>
      </c>
      <c r="D13308" s="13" t="s">
        <v>17101</v>
      </c>
      <c r="E13308" s="8">
        <v>2000</v>
      </c>
      <c r="F13308" s="13" t="s">
        <v>70</v>
      </c>
      <c r="G13308" s="14">
        <v>44789</v>
      </c>
      <c r="H13308" s="13" t="s">
        <v>163</v>
      </c>
    </row>
    <row r="13309" spans="1:8" ht="14.4" x14ac:dyDescent="0.3">
      <c r="A13309" s="8">
        <v>2071051</v>
      </c>
      <c r="B13309" s="11">
        <v>44785</v>
      </c>
      <c r="C13309" s="13" t="s">
        <v>17102</v>
      </c>
      <c r="D13309" s="13" t="s">
        <v>17103</v>
      </c>
      <c r="E13309" s="8">
        <v>12000</v>
      </c>
      <c r="F13309" s="13" t="s">
        <v>70</v>
      </c>
      <c r="G13309" s="14">
        <v>44788</v>
      </c>
      <c r="H13309" s="13" t="s">
        <v>163</v>
      </c>
    </row>
    <row r="13310" spans="1:8" ht="14.4" x14ac:dyDescent="0.3">
      <c r="A13310" s="8">
        <v>2071052</v>
      </c>
      <c r="B13310" s="11">
        <v>44785</v>
      </c>
      <c r="C13310" s="13" t="s">
        <v>4277</v>
      </c>
      <c r="D13310" s="13" t="s">
        <v>17104</v>
      </c>
      <c r="E13310" s="8">
        <v>10000</v>
      </c>
      <c r="F13310" s="13" t="s">
        <v>70</v>
      </c>
      <c r="G13310" s="14">
        <v>44790</v>
      </c>
      <c r="H13310" s="13" t="s">
        <v>163</v>
      </c>
    </row>
    <row r="13311" spans="1:8" ht="14.4" x14ac:dyDescent="0.3">
      <c r="A13311" s="8">
        <v>2071053</v>
      </c>
      <c r="B13311" s="11">
        <v>44785</v>
      </c>
      <c r="C13311" s="13" t="s">
        <v>17105</v>
      </c>
      <c r="D13311" s="13" t="s">
        <v>17106</v>
      </c>
      <c r="E13311" s="8">
        <v>4000</v>
      </c>
      <c r="F13311" s="13" t="s">
        <v>70</v>
      </c>
      <c r="G13311" s="14">
        <v>44795</v>
      </c>
      <c r="H13311" s="13" t="s">
        <v>163</v>
      </c>
    </row>
    <row r="13312" spans="1:8" ht="14.4" x14ac:dyDescent="0.3">
      <c r="A13312" s="8">
        <v>2071054</v>
      </c>
      <c r="B13312" s="11">
        <v>44785</v>
      </c>
      <c r="C13312" s="13" t="s">
        <v>17107</v>
      </c>
      <c r="D13312" s="13" t="s">
        <v>17108</v>
      </c>
      <c r="E13312" s="8">
        <v>4000</v>
      </c>
      <c r="F13312" s="13" t="s">
        <v>70</v>
      </c>
      <c r="G13312" s="14">
        <v>44789</v>
      </c>
      <c r="H13312" s="13" t="s">
        <v>163</v>
      </c>
    </row>
    <row r="13313" spans="1:8" ht="14.4" x14ac:dyDescent="0.3">
      <c r="A13313" s="8">
        <v>2071055</v>
      </c>
      <c r="B13313" s="11">
        <v>44785</v>
      </c>
      <c r="C13313" s="13" t="s">
        <v>10675</v>
      </c>
      <c r="D13313" s="13" t="s">
        <v>17109</v>
      </c>
      <c r="E13313" s="8">
        <v>30000</v>
      </c>
      <c r="F13313" s="13" t="s">
        <v>70</v>
      </c>
      <c r="G13313" s="14">
        <v>44789</v>
      </c>
      <c r="H13313" s="13" t="s">
        <v>163</v>
      </c>
    </row>
    <row r="13314" spans="1:8" ht="14.4" x14ac:dyDescent="0.3">
      <c r="A13314" s="8">
        <v>2071056</v>
      </c>
      <c r="B13314" s="11">
        <v>44785</v>
      </c>
      <c r="C13314" s="13" t="s">
        <v>17110</v>
      </c>
      <c r="D13314" s="13" t="s">
        <v>17111</v>
      </c>
      <c r="E13314" s="8">
        <v>6000</v>
      </c>
      <c r="F13314" s="13" t="s">
        <v>70</v>
      </c>
      <c r="G13314" s="14">
        <v>44792</v>
      </c>
      <c r="H13314" s="13" t="s">
        <v>163</v>
      </c>
    </row>
    <row r="13315" spans="1:8" ht="14.4" x14ac:dyDescent="0.3">
      <c r="A13315" s="8">
        <v>2071057</v>
      </c>
      <c r="B13315" s="11">
        <v>44785</v>
      </c>
      <c r="C13315" s="13" t="s">
        <v>17112</v>
      </c>
      <c r="D13315" s="13" t="s">
        <v>17113</v>
      </c>
      <c r="E13315" s="8">
        <v>10000</v>
      </c>
      <c r="F13315" s="13" t="s">
        <v>70</v>
      </c>
      <c r="G13315" s="14">
        <v>44788</v>
      </c>
      <c r="H13315" s="13" t="s">
        <v>163</v>
      </c>
    </row>
    <row r="13316" spans="1:8" ht="14.4" x14ac:dyDescent="0.3">
      <c r="A13316" s="8">
        <v>2071058</v>
      </c>
      <c r="B13316" s="11">
        <v>44785</v>
      </c>
      <c r="C13316" s="13" t="s">
        <v>17114</v>
      </c>
      <c r="D13316" s="13" t="s">
        <v>17115</v>
      </c>
      <c r="E13316" s="8">
        <v>2000</v>
      </c>
      <c r="F13316" s="13" t="s">
        <v>70</v>
      </c>
      <c r="G13316" s="14">
        <v>44789</v>
      </c>
      <c r="H13316" s="13" t="s">
        <v>163</v>
      </c>
    </row>
    <row r="13317" spans="1:8" ht="14.4" x14ac:dyDescent="0.3">
      <c r="A13317" s="8">
        <v>2071059</v>
      </c>
      <c r="B13317" s="11">
        <v>44785</v>
      </c>
      <c r="C13317" s="13" t="s">
        <v>17116</v>
      </c>
      <c r="D13317" s="13" t="s">
        <v>17117</v>
      </c>
      <c r="E13317" s="8">
        <v>6000</v>
      </c>
      <c r="F13317" s="13" t="s">
        <v>70</v>
      </c>
      <c r="G13317" s="14">
        <v>44789</v>
      </c>
      <c r="H13317" s="13" t="s">
        <v>163</v>
      </c>
    </row>
    <row r="13318" spans="1:8" ht="14.4" x14ac:dyDescent="0.3">
      <c r="A13318" s="8">
        <v>2071060</v>
      </c>
      <c r="B13318" s="11">
        <v>44785</v>
      </c>
      <c r="C13318" s="13" t="s">
        <v>10498</v>
      </c>
      <c r="D13318" s="13" t="s">
        <v>17118</v>
      </c>
      <c r="E13318" s="8">
        <v>10000</v>
      </c>
      <c r="F13318" s="13" t="s">
        <v>70</v>
      </c>
      <c r="G13318" s="14">
        <v>44789</v>
      </c>
      <c r="H13318" s="13" t="s">
        <v>163</v>
      </c>
    </row>
    <row r="13319" spans="1:8" ht="14.4" x14ac:dyDescent="0.3">
      <c r="A13319" s="8">
        <v>2071061</v>
      </c>
      <c r="B13319" s="10">
        <v>44785</v>
      </c>
      <c r="C13319" s="13" t="s">
        <v>17119</v>
      </c>
      <c r="D13319" s="13" t="s">
        <v>17120</v>
      </c>
      <c r="E13319" s="8">
        <v>6000</v>
      </c>
      <c r="F13319" s="13" t="s">
        <v>70</v>
      </c>
      <c r="G13319" s="14">
        <v>44789</v>
      </c>
      <c r="H13319" s="13" t="s">
        <v>163</v>
      </c>
    </row>
    <row r="13320" spans="1:8" ht="14.4" x14ac:dyDescent="0.3">
      <c r="A13320" s="8">
        <v>2071062</v>
      </c>
      <c r="B13320" s="11">
        <v>44785</v>
      </c>
      <c r="C13320" s="13" t="s">
        <v>17121</v>
      </c>
      <c r="D13320" s="13" t="s">
        <v>17122</v>
      </c>
      <c r="E13320" s="8">
        <v>4000</v>
      </c>
      <c r="F13320" s="13" t="s">
        <v>70</v>
      </c>
      <c r="G13320" s="14">
        <v>44789</v>
      </c>
      <c r="H13320" s="13" t="s">
        <v>163</v>
      </c>
    </row>
    <row r="13321" spans="1:8" ht="14.4" x14ac:dyDescent="0.3">
      <c r="A13321" s="8">
        <v>2071063</v>
      </c>
      <c r="B13321" s="11">
        <v>44785</v>
      </c>
      <c r="C13321" s="13" t="s">
        <v>17123</v>
      </c>
      <c r="D13321" s="13" t="s">
        <v>17124</v>
      </c>
      <c r="E13321" s="8">
        <v>8000</v>
      </c>
      <c r="F13321" s="13" t="s">
        <v>70</v>
      </c>
      <c r="G13321" s="14">
        <v>44792</v>
      </c>
      <c r="H13321" s="13" t="s">
        <v>163</v>
      </c>
    </row>
    <row r="13322" spans="1:8" ht="14.4" x14ac:dyDescent="0.3">
      <c r="A13322" s="8">
        <v>2071064</v>
      </c>
      <c r="B13322" s="11">
        <v>44785</v>
      </c>
      <c r="C13322" s="13" t="s">
        <v>13735</v>
      </c>
      <c r="D13322" s="13" t="s">
        <v>13736</v>
      </c>
      <c r="E13322" s="8">
        <v>4949802</v>
      </c>
      <c r="F13322" s="13" t="s">
        <v>70</v>
      </c>
      <c r="G13322" s="14">
        <v>44788</v>
      </c>
      <c r="H13322" s="13" t="s">
        <v>163</v>
      </c>
    </row>
    <row r="13323" spans="1:8" ht="14.4" x14ac:dyDescent="0.3">
      <c r="A13323" s="8">
        <v>2071065</v>
      </c>
      <c r="B13323" s="11">
        <v>44785</v>
      </c>
      <c r="C13323" s="13" t="s">
        <v>10812</v>
      </c>
      <c r="D13323" s="13" t="s">
        <v>17125</v>
      </c>
      <c r="E13323" s="8">
        <v>6000</v>
      </c>
      <c r="F13323" s="13" t="s">
        <v>70</v>
      </c>
      <c r="G13323" s="14">
        <v>44789</v>
      </c>
      <c r="H13323" s="13" t="s">
        <v>163</v>
      </c>
    </row>
    <row r="13324" spans="1:8" ht="14.4" x14ac:dyDescent="0.3">
      <c r="A13324" s="8">
        <v>2071066</v>
      </c>
      <c r="B13324" s="11">
        <v>44785</v>
      </c>
      <c r="C13324" s="13" t="s">
        <v>17126</v>
      </c>
      <c r="D13324" s="13" t="s">
        <v>17127</v>
      </c>
      <c r="E13324" s="8">
        <v>16000</v>
      </c>
      <c r="F13324" s="13" t="s">
        <v>70</v>
      </c>
      <c r="G13324" s="14">
        <v>44789</v>
      </c>
      <c r="H13324" s="13" t="s">
        <v>163</v>
      </c>
    </row>
    <row r="13325" spans="1:8" ht="14.4" x14ac:dyDescent="0.3">
      <c r="A13325" s="8">
        <v>2071067</v>
      </c>
      <c r="B13325" s="11">
        <v>44785</v>
      </c>
      <c r="C13325" s="13" t="s">
        <v>17128</v>
      </c>
      <c r="D13325" s="13" t="s">
        <v>17129</v>
      </c>
      <c r="E13325" s="8">
        <v>6000</v>
      </c>
      <c r="F13325" s="13" t="s">
        <v>70</v>
      </c>
      <c r="G13325" s="14">
        <v>44848</v>
      </c>
      <c r="H13325" s="13" t="s">
        <v>163</v>
      </c>
    </row>
    <row r="13326" spans="1:8" ht="14.4" x14ac:dyDescent="0.3">
      <c r="A13326" s="8">
        <v>2071068</v>
      </c>
      <c r="B13326" s="11">
        <v>44785</v>
      </c>
      <c r="C13326" s="13" t="s">
        <v>17130</v>
      </c>
      <c r="D13326" s="13" t="s">
        <v>17131</v>
      </c>
      <c r="E13326" s="8">
        <v>6000</v>
      </c>
      <c r="F13326" s="13" t="s">
        <v>70</v>
      </c>
      <c r="G13326" s="14">
        <v>44789</v>
      </c>
      <c r="H13326" s="13" t="s">
        <v>163</v>
      </c>
    </row>
    <row r="13327" spans="1:8" ht="14.4" x14ac:dyDescent="0.3">
      <c r="A13327" s="8">
        <v>2071069</v>
      </c>
      <c r="B13327" s="11">
        <v>44785</v>
      </c>
      <c r="C13327" s="13" t="s">
        <v>17132</v>
      </c>
      <c r="D13327" s="13" t="s">
        <v>17133</v>
      </c>
      <c r="E13327" s="8">
        <v>2000</v>
      </c>
      <c r="F13327" s="13" t="s">
        <v>70</v>
      </c>
      <c r="G13327" s="14">
        <v>44789</v>
      </c>
      <c r="H13327" s="13" t="s">
        <v>163</v>
      </c>
    </row>
    <row r="13328" spans="1:8" ht="14.4" x14ac:dyDescent="0.3">
      <c r="A13328" s="8">
        <v>2071070</v>
      </c>
      <c r="B13328" s="11">
        <v>44785</v>
      </c>
      <c r="C13328" s="13" t="s">
        <v>17134</v>
      </c>
      <c r="D13328" s="13" t="s">
        <v>17135</v>
      </c>
      <c r="E13328" s="8">
        <v>4000</v>
      </c>
      <c r="F13328" s="13" t="s">
        <v>70</v>
      </c>
      <c r="G13328" s="14">
        <v>44789</v>
      </c>
      <c r="H13328" s="13" t="s">
        <v>163</v>
      </c>
    </row>
    <row r="13329" spans="1:8" ht="14.4" x14ac:dyDescent="0.3">
      <c r="A13329" s="8">
        <v>2071071</v>
      </c>
      <c r="B13329" s="11">
        <v>44785</v>
      </c>
      <c r="C13329" s="13" t="s">
        <v>17136</v>
      </c>
      <c r="D13329" s="13" t="s">
        <v>17137</v>
      </c>
      <c r="E13329" s="8">
        <v>4000</v>
      </c>
      <c r="F13329" s="13" t="s">
        <v>70</v>
      </c>
      <c r="G13329" s="14">
        <v>44789</v>
      </c>
      <c r="H13329" s="13" t="s">
        <v>163</v>
      </c>
    </row>
    <row r="13330" spans="1:8" ht="14.4" x14ac:dyDescent="0.3">
      <c r="A13330" s="8">
        <v>2071072</v>
      </c>
      <c r="B13330" s="11">
        <v>44785</v>
      </c>
      <c r="C13330" s="13" t="s">
        <v>17138</v>
      </c>
      <c r="D13330" s="13" t="s">
        <v>17139</v>
      </c>
      <c r="E13330" s="8">
        <v>8000</v>
      </c>
      <c r="F13330" s="13" t="s">
        <v>70</v>
      </c>
      <c r="G13330" s="14">
        <v>44789</v>
      </c>
      <c r="H13330" s="13" t="s">
        <v>163</v>
      </c>
    </row>
    <row r="13331" spans="1:8" ht="14.4" x14ac:dyDescent="0.3">
      <c r="A13331" s="8">
        <v>2071073</v>
      </c>
      <c r="B13331" s="11">
        <v>44785</v>
      </c>
      <c r="C13331" s="13" t="s">
        <v>17140</v>
      </c>
      <c r="D13331" s="13" t="s">
        <v>17141</v>
      </c>
      <c r="E13331" s="8">
        <v>6000</v>
      </c>
      <c r="F13331" s="13" t="s">
        <v>70</v>
      </c>
      <c r="G13331" s="14">
        <v>44789</v>
      </c>
      <c r="H13331" s="13" t="s">
        <v>163</v>
      </c>
    </row>
    <row r="13332" spans="1:8" ht="14.4" x14ac:dyDescent="0.3">
      <c r="A13332" s="8">
        <v>2071074</v>
      </c>
      <c r="B13332" s="11">
        <v>44785</v>
      </c>
      <c r="C13332" s="13" t="s">
        <v>17142</v>
      </c>
      <c r="D13332" s="13" t="s">
        <v>17143</v>
      </c>
      <c r="E13332" s="8">
        <v>10000</v>
      </c>
      <c r="F13332" s="13" t="s">
        <v>70</v>
      </c>
      <c r="G13332" s="14">
        <v>44788</v>
      </c>
      <c r="H13332" s="13" t="s">
        <v>163</v>
      </c>
    </row>
    <row r="13333" spans="1:8" ht="14.4" x14ac:dyDescent="0.3">
      <c r="A13333" s="8">
        <v>2071075</v>
      </c>
      <c r="B13333" s="11">
        <v>44785</v>
      </c>
      <c r="C13333" s="13" t="s">
        <v>17144</v>
      </c>
      <c r="D13333" s="13" t="s">
        <v>17145</v>
      </c>
      <c r="E13333" s="8">
        <v>6000</v>
      </c>
      <c r="F13333" s="13" t="s">
        <v>70</v>
      </c>
      <c r="G13333" s="14">
        <v>44790</v>
      </c>
      <c r="H13333" s="13" t="s">
        <v>163</v>
      </c>
    </row>
    <row r="13334" spans="1:8" ht="14.4" x14ac:dyDescent="0.3">
      <c r="A13334" s="8">
        <v>2071076</v>
      </c>
      <c r="B13334" s="11">
        <v>44785</v>
      </c>
      <c r="C13334" s="13" t="s">
        <v>4422</v>
      </c>
      <c r="D13334" s="13" t="s">
        <v>17146</v>
      </c>
      <c r="E13334" s="8">
        <v>8000</v>
      </c>
      <c r="F13334" s="13" t="s">
        <v>70</v>
      </c>
      <c r="G13334" s="14">
        <v>44789</v>
      </c>
      <c r="H13334" s="13" t="s">
        <v>163</v>
      </c>
    </row>
    <row r="13335" spans="1:8" ht="14.4" x14ac:dyDescent="0.3">
      <c r="A13335" s="8">
        <v>2071077</v>
      </c>
      <c r="B13335" s="11">
        <v>44788</v>
      </c>
      <c r="C13335" s="13" t="s">
        <v>13735</v>
      </c>
      <c r="D13335" s="13" t="s">
        <v>17147</v>
      </c>
      <c r="E13335" s="8">
        <v>7096700</v>
      </c>
      <c r="F13335" s="13" t="s">
        <v>70</v>
      </c>
      <c r="G13335" s="14">
        <v>44788</v>
      </c>
      <c r="H13335" s="13" t="s">
        <v>163</v>
      </c>
    </row>
    <row r="13336" spans="1:8" ht="14.4" x14ac:dyDescent="0.3">
      <c r="A13336" s="8">
        <v>2071078</v>
      </c>
      <c r="B13336" s="11">
        <v>44788</v>
      </c>
      <c r="C13336" s="13" t="s">
        <v>17148</v>
      </c>
      <c r="D13336" s="13" t="s">
        <v>17149</v>
      </c>
      <c r="E13336" s="8">
        <v>4000</v>
      </c>
      <c r="F13336" s="13" t="s">
        <v>70</v>
      </c>
      <c r="G13336" s="14">
        <v>44788</v>
      </c>
      <c r="H13336" s="13" t="s">
        <v>163</v>
      </c>
    </row>
    <row r="13337" spans="1:8" ht="14.4" x14ac:dyDescent="0.3">
      <c r="A13337" s="8">
        <v>2071079</v>
      </c>
      <c r="B13337" s="11">
        <v>44788</v>
      </c>
      <c r="C13337" s="13" t="s">
        <v>17150</v>
      </c>
      <c r="D13337" s="13" t="s">
        <v>17151</v>
      </c>
      <c r="E13337" s="8">
        <v>16000</v>
      </c>
      <c r="F13337" s="13" t="s">
        <v>70</v>
      </c>
      <c r="G13337" s="14">
        <v>44795</v>
      </c>
      <c r="H13337" s="13" t="s">
        <v>163</v>
      </c>
    </row>
    <row r="13338" spans="1:8" ht="14.4" x14ac:dyDescent="0.3">
      <c r="A13338" s="8">
        <v>2071080</v>
      </c>
      <c r="B13338" s="11">
        <v>44788</v>
      </c>
      <c r="C13338" s="13" t="s">
        <v>17152</v>
      </c>
      <c r="D13338" s="13" t="s">
        <v>17153</v>
      </c>
      <c r="E13338" s="8">
        <v>6000</v>
      </c>
      <c r="F13338" s="13" t="s">
        <v>70</v>
      </c>
      <c r="G13338" s="14">
        <v>44796</v>
      </c>
      <c r="H13338" s="13" t="s">
        <v>163</v>
      </c>
    </row>
    <row r="13339" spans="1:8" ht="14.4" x14ac:dyDescent="0.3">
      <c r="A13339" s="8">
        <v>2071081</v>
      </c>
      <c r="B13339" s="11">
        <v>44788</v>
      </c>
      <c r="C13339" s="13" t="s">
        <v>3203</v>
      </c>
      <c r="D13339" s="13" t="s">
        <v>17154</v>
      </c>
      <c r="E13339" s="8">
        <v>2200</v>
      </c>
      <c r="F13339" s="13" t="s">
        <v>70</v>
      </c>
      <c r="G13339" s="14">
        <v>44796</v>
      </c>
      <c r="H13339" s="13" t="s">
        <v>163</v>
      </c>
    </row>
    <row r="13340" spans="1:8" ht="14.4" x14ac:dyDescent="0.3">
      <c r="A13340" s="8">
        <v>2071083</v>
      </c>
      <c r="B13340" s="11">
        <v>44788</v>
      </c>
      <c r="C13340" s="13" t="s">
        <v>17155</v>
      </c>
      <c r="D13340" s="13" t="s">
        <v>17156</v>
      </c>
      <c r="E13340" s="8">
        <v>906266.15</v>
      </c>
      <c r="F13340" s="13" t="s">
        <v>70</v>
      </c>
      <c r="G13340" s="14">
        <v>44789</v>
      </c>
      <c r="H13340" s="13" t="s">
        <v>163</v>
      </c>
    </row>
    <row r="13341" spans="1:8" ht="14.4" x14ac:dyDescent="0.3">
      <c r="A13341" s="8">
        <v>2071084</v>
      </c>
      <c r="B13341" s="11">
        <v>44789</v>
      </c>
      <c r="C13341" s="13" t="s">
        <v>17157</v>
      </c>
      <c r="D13341" s="13" t="s">
        <v>17158</v>
      </c>
      <c r="E13341" s="8">
        <v>8000</v>
      </c>
      <c r="F13341" s="13" t="s">
        <v>70</v>
      </c>
      <c r="G13341" s="14">
        <v>44792</v>
      </c>
      <c r="H13341" s="13" t="s">
        <v>163</v>
      </c>
    </row>
    <row r="13342" spans="1:8" ht="14.4" x14ac:dyDescent="0.3">
      <c r="A13342" s="8">
        <v>2071085</v>
      </c>
      <c r="B13342" s="11">
        <v>44789</v>
      </c>
      <c r="C13342" s="13" t="s">
        <v>17159</v>
      </c>
      <c r="D13342" s="13" t="s">
        <v>17160</v>
      </c>
      <c r="E13342" s="8">
        <v>6000</v>
      </c>
      <c r="F13342" s="13" t="s">
        <v>70</v>
      </c>
      <c r="G13342" s="14">
        <v>44796</v>
      </c>
      <c r="H13342" s="13" t="s">
        <v>163</v>
      </c>
    </row>
    <row r="13343" spans="1:8" ht="14.4" x14ac:dyDescent="0.3">
      <c r="A13343" s="8">
        <v>2071086</v>
      </c>
      <c r="B13343" s="11">
        <v>44789</v>
      </c>
      <c r="C13343" s="13" t="s">
        <v>17161</v>
      </c>
      <c r="D13343" s="13" t="s">
        <v>17162</v>
      </c>
      <c r="E13343" s="8">
        <v>2000</v>
      </c>
      <c r="F13343" s="13" t="s">
        <v>70</v>
      </c>
      <c r="G13343" s="14">
        <v>44792</v>
      </c>
      <c r="H13343" s="13" t="s">
        <v>163</v>
      </c>
    </row>
    <row r="13344" spans="1:8" ht="14.4" x14ac:dyDescent="0.3">
      <c r="A13344" s="8">
        <v>2071087</v>
      </c>
      <c r="B13344" s="11">
        <v>44789</v>
      </c>
      <c r="C13344" s="13" t="s">
        <v>17163</v>
      </c>
      <c r="D13344" s="13" t="s">
        <v>17164</v>
      </c>
      <c r="E13344" s="8">
        <v>2000</v>
      </c>
      <c r="F13344" s="13" t="s">
        <v>70</v>
      </c>
      <c r="G13344" s="14">
        <v>44792</v>
      </c>
      <c r="H13344" s="13" t="s">
        <v>163</v>
      </c>
    </row>
    <row r="13345" spans="1:8" ht="14.4" x14ac:dyDescent="0.3">
      <c r="A13345" s="8">
        <v>2071088</v>
      </c>
      <c r="B13345" s="11">
        <v>44789</v>
      </c>
      <c r="C13345" s="13" t="s">
        <v>17165</v>
      </c>
      <c r="D13345" s="13" t="s">
        <v>17166</v>
      </c>
      <c r="E13345" s="8">
        <v>8000</v>
      </c>
      <c r="F13345" s="13" t="s">
        <v>70</v>
      </c>
      <c r="G13345" s="14">
        <v>44792</v>
      </c>
      <c r="H13345" s="13" t="s">
        <v>163</v>
      </c>
    </row>
    <row r="13346" spans="1:8" ht="14.4" x14ac:dyDescent="0.3">
      <c r="A13346" s="8">
        <v>2071089</v>
      </c>
      <c r="B13346" s="11">
        <v>44789</v>
      </c>
      <c r="C13346" s="13" t="s">
        <v>17167</v>
      </c>
      <c r="D13346" s="13" t="s">
        <v>17168</v>
      </c>
      <c r="E13346" s="8">
        <v>4000</v>
      </c>
      <c r="F13346" s="13" t="s">
        <v>70</v>
      </c>
      <c r="G13346" s="14">
        <v>44790</v>
      </c>
      <c r="H13346" s="13" t="s">
        <v>163</v>
      </c>
    </row>
    <row r="13347" spans="1:8" ht="14.4" x14ac:dyDescent="0.3">
      <c r="A13347" s="8">
        <v>2071090</v>
      </c>
      <c r="B13347" s="11">
        <v>44789</v>
      </c>
      <c r="C13347" s="13" t="s">
        <v>17169</v>
      </c>
      <c r="D13347" s="13" t="s">
        <v>17170</v>
      </c>
      <c r="E13347" s="8">
        <v>2000</v>
      </c>
      <c r="F13347" s="13" t="s">
        <v>70</v>
      </c>
      <c r="G13347" s="14">
        <v>44792</v>
      </c>
      <c r="H13347" s="13" t="s">
        <v>163</v>
      </c>
    </row>
    <row r="13348" spans="1:8" ht="14.4" x14ac:dyDescent="0.3">
      <c r="A13348" s="8">
        <v>2071091</v>
      </c>
      <c r="B13348" s="11">
        <v>44789</v>
      </c>
      <c r="C13348" s="13" t="s">
        <v>17171</v>
      </c>
      <c r="D13348" s="13" t="s">
        <v>17172</v>
      </c>
      <c r="E13348" s="8">
        <v>2000</v>
      </c>
      <c r="F13348" s="13" t="s">
        <v>70</v>
      </c>
      <c r="G13348" s="14">
        <v>44792</v>
      </c>
      <c r="H13348" s="13" t="s">
        <v>163</v>
      </c>
    </row>
    <row r="13349" spans="1:8" ht="14.4" x14ac:dyDescent="0.3">
      <c r="A13349" s="8">
        <v>2071092</v>
      </c>
      <c r="B13349" s="11">
        <v>44789</v>
      </c>
      <c r="C13349" s="13" t="s">
        <v>4528</v>
      </c>
      <c r="D13349" s="13" t="s">
        <v>17173</v>
      </c>
      <c r="E13349" s="8">
        <v>6000</v>
      </c>
      <c r="F13349" s="13" t="s">
        <v>70</v>
      </c>
      <c r="G13349" s="14">
        <v>44795</v>
      </c>
      <c r="H13349" s="13" t="s">
        <v>163</v>
      </c>
    </row>
    <row r="13350" spans="1:8" ht="14.4" x14ac:dyDescent="0.3">
      <c r="A13350" s="8">
        <v>2071093</v>
      </c>
      <c r="B13350" s="11">
        <v>44789</v>
      </c>
      <c r="C13350" s="13" t="s">
        <v>17174</v>
      </c>
      <c r="D13350" s="13" t="s">
        <v>17175</v>
      </c>
      <c r="E13350" s="8">
        <v>8000</v>
      </c>
      <c r="F13350" s="13" t="s">
        <v>70</v>
      </c>
      <c r="G13350" s="14">
        <v>44790</v>
      </c>
      <c r="H13350" s="13" t="s">
        <v>163</v>
      </c>
    </row>
    <row r="13351" spans="1:8" ht="14.4" x14ac:dyDescent="0.3">
      <c r="A13351" s="8">
        <v>2071094</v>
      </c>
      <c r="B13351" s="11">
        <v>44789</v>
      </c>
      <c r="C13351" s="13" t="s">
        <v>17176</v>
      </c>
      <c r="D13351" s="13" t="s">
        <v>17177</v>
      </c>
      <c r="E13351" s="8">
        <v>6000</v>
      </c>
      <c r="F13351" s="13" t="s">
        <v>70</v>
      </c>
      <c r="G13351" s="14">
        <v>44792</v>
      </c>
      <c r="H13351" s="13" t="s">
        <v>163</v>
      </c>
    </row>
    <row r="13352" spans="1:8" ht="14.4" x14ac:dyDescent="0.3">
      <c r="A13352" s="8">
        <v>2071095</v>
      </c>
      <c r="B13352" s="11">
        <v>44789</v>
      </c>
      <c r="C13352" s="13" t="s">
        <v>17178</v>
      </c>
      <c r="D13352" s="13" t="s">
        <v>17179</v>
      </c>
      <c r="E13352" s="8">
        <v>6000</v>
      </c>
      <c r="F13352" s="13" t="s">
        <v>70</v>
      </c>
      <c r="G13352" s="14">
        <v>44792</v>
      </c>
      <c r="H13352" s="13" t="s">
        <v>163</v>
      </c>
    </row>
    <row r="13353" spans="1:8" ht="14.4" x14ac:dyDescent="0.3">
      <c r="A13353" s="8">
        <v>2071096</v>
      </c>
      <c r="B13353" s="11">
        <v>44789</v>
      </c>
      <c r="C13353" s="13" t="s">
        <v>17180</v>
      </c>
      <c r="D13353" s="13" t="s">
        <v>17181</v>
      </c>
      <c r="E13353" s="8">
        <v>8000</v>
      </c>
      <c r="F13353" s="13" t="s">
        <v>70</v>
      </c>
      <c r="G13353" s="14">
        <v>44792</v>
      </c>
      <c r="H13353" s="13" t="s">
        <v>163</v>
      </c>
    </row>
    <row r="13354" spans="1:8" ht="14.4" x14ac:dyDescent="0.3">
      <c r="A13354" s="8">
        <v>2071097</v>
      </c>
      <c r="B13354" s="11">
        <v>44789</v>
      </c>
      <c r="C13354" s="13" t="s">
        <v>14549</v>
      </c>
      <c r="D13354" s="13" t="s">
        <v>17182</v>
      </c>
      <c r="E13354" s="8">
        <v>2000</v>
      </c>
      <c r="F13354" s="13" t="s">
        <v>70</v>
      </c>
      <c r="G13354" s="14">
        <v>44792</v>
      </c>
      <c r="H13354" s="13" t="s">
        <v>163</v>
      </c>
    </row>
    <row r="13355" spans="1:8" ht="14.4" x14ac:dyDescent="0.3">
      <c r="A13355" s="8">
        <v>2071098</v>
      </c>
      <c r="B13355" s="11">
        <v>44789</v>
      </c>
      <c r="C13355" s="13" t="s">
        <v>17183</v>
      </c>
      <c r="D13355" s="13" t="s">
        <v>17184</v>
      </c>
      <c r="E13355" s="8">
        <v>2000</v>
      </c>
      <c r="F13355" s="13" t="s">
        <v>70</v>
      </c>
      <c r="G13355" s="14">
        <v>44792</v>
      </c>
      <c r="H13355" s="13" t="s">
        <v>163</v>
      </c>
    </row>
    <row r="13356" spans="1:8" ht="14.4" x14ac:dyDescent="0.3">
      <c r="A13356" s="8">
        <v>2071099</v>
      </c>
      <c r="B13356" s="11">
        <v>44789</v>
      </c>
      <c r="C13356" s="13" t="s">
        <v>12521</v>
      </c>
      <c r="D13356" s="13" t="s">
        <v>17185</v>
      </c>
      <c r="E13356" s="8">
        <v>2000</v>
      </c>
      <c r="F13356" s="13" t="s">
        <v>70</v>
      </c>
      <c r="G13356" s="14">
        <v>44798</v>
      </c>
      <c r="H13356" s="13" t="s">
        <v>163</v>
      </c>
    </row>
    <row r="13357" spans="1:8" ht="14.4" x14ac:dyDescent="0.3">
      <c r="A13357" s="8">
        <v>2071100</v>
      </c>
      <c r="B13357" s="11">
        <v>44789</v>
      </c>
      <c r="C13357" s="13" t="s">
        <v>17186</v>
      </c>
      <c r="D13357" s="13" t="s">
        <v>17187</v>
      </c>
      <c r="E13357" s="8">
        <v>2000</v>
      </c>
      <c r="F13357" s="13" t="s">
        <v>70</v>
      </c>
      <c r="G13357" s="14">
        <v>44792</v>
      </c>
      <c r="H13357" s="13" t="s">
        <v>163</v>
      </c>
    </row>
    <row r="13358" spans="1:8" ht="14.4" x14ac:dyDescent="0.3">
      <c r="A13358" s="8">
        <v>2071101</v>
      </c>
      <c r="B13358" s="11">
        <v>44789</v>
      </c>
      <c r="C13358" s="13" t="s">
        <v>1832</v>
      </c>
      <c r="D13358" s="13" t="s">
        <v>17188</v>
      </c>
      <c r="E13358" s="8">
        <v>8000</v>
      </c>
      <c r="F13358" s="13" t="s">
        <v>70</v>
      </c>
      <c r="G13358" s="14">
        <v>44795</v>
      </c>
      <c r="H13358" s="13" t="s">
        <v>163</v>
      </c>
    </row>
    <row r="13359" spans="1:8" ht="14.4" x14ac:dyDescent="0.3">
      <c r="A13359" s="8">
        <v>2071102</v>
      </c>
      <c r="B13359" s="11">
        <v>44789</v>
      </c>
      <c r="C13359" s="13" t="s">
        <v>14557</v>
      </c>
      <c r="D13359" s="13" t="s">
        <v>17189</v>
      </c>
      <c r="E13359" s="8">
        <v>2000</v>
      </c>
      <c r="F13359" s="13" t="s">
        <v>70</v>
      </c>
      <c r="G13359" s="14">
        <v>44792</v>
      </c>
      <c r="H13359" s="13" t="s">
        <v>163</v>
      </c>
    </row>
    <row r="13360" spans="1:8" ht="14.4" x14ac:dyDescent="0.3">
      <c r="A13360" s="8">
        <v>2071103</v>
      </c>
      <c r="B13360" s="11">
        <v>44789</v>
      </c>
      <c r="C13360" s="13" t="s">
        <v>14610</v>
      </c>
      <c r="D13360" s="13" t="s">
        <v>17190</v>
      </c>
      <c r="E13360" s="8">
        <v>2000</v>
      </c>
      <c r="F13360" s="13" t="s">
        <v>70</v>
      </c>
      <c r="G13360" s="14">
        <v>44792</v>
      </c>
      <c r="H13360" s="13" t="s">
        <v>163</v>
      </c>
    </row>
    <row r="13361" spans="1:8" ht="14.4" x14ac:dyDescent="0.3">
      <c r="A13361" s="8">
        <v>2071104</v>
      </c>
      <c r="B13361" s="11">
        <v>44789</v>
      </c>
      <c r="C13361" s="13" t="s">
        <v>17191</v>
      </c>
      <c r="D13361" s="13" t="s">
        <v>17192</v>
      </c>
      <c r="E13361" s="8">
        <v>4000</v>
      </c>
      <c r="F13361" s="13" t="s">
        <v>70</v>
      </c>
      <c r="G13361" s="14">
        <v>44792</v>
      </c>
      <c r="H13361" s="13" t="s">
        <v>163</v>
      </c>
    </row>
    <row r="13362" spans="1:8" ht="14.4" x14ac:dyDescent="0.3">
      <c r="A13362" s="8">
        <v>2071105</v>
      </c>
      <c r="B13362" s="11">
        <v>44789</v>
      </c>
      <c r="C13362" s="13" t="s">
        <v>17193</v>
      </c>
      <c r="D13362" s="13" t="s">
        <v>17194</v>
      </c>
      <c r="E13362" s="8">
        <v>2000</v>
      </c>
      <c r="F13362" s="13" t="s">
        <v>70</v>
      </c>
      <c r="G13362" s="14">
        <v>44792</v>
      </c>
      <c r="H13362" s="13" t="s">
        <v>163</v>
      </c>
    </row>
    <row r="13363" spans="1:8" ht="14.4" x14ac:dyDescent="0.3">
      <c r="A13363" s="8">
        <v>2071106</v>
      </c>
      <c r="B13363" s="11">
        <v>44789</v>
      </c>
      <c r="C13363" s="13" t="s">
        <v>17195</v>
      </c>
      <c r="D13363" s="13" t="s">
        <v>17196</v>
      </c>
      <c r="E13363" s="8">
        <v>4000</v>
      </c>
      <c r="F13363" s="13" t="s">
        <v>70</v>
      </c>
      <c r="G13363" s="14">
        <v>44792</v>
      </c>
      <c r="H13363" s="13" t="s">
        <v>163</v>
      </c>
    </row>
    <row r="13364" spans="1:8" ht="14.4" x14ac:dyDescent="0.3">
      <c r="A13364" s="8">
        <v>2071107</v>
      </c>
      <c r="B13364" s="11">
        <v>44789</v>
      </c>
      <c r="C13364" s="13" t="s">
        <v>11635</v>
      </c>
      <c r="D13364" s="13" t="s">
        <v>17197</v>
      </c>
      <c r="E13364" s="8">
        <v>2000</v>
      </c>
      <c r="F13364" s="13" t="s">
        <v>70</v>
      </c>
      <c r="G13364" s="14">
        <v>44795</v>
      </c>
      <c r="H13364" s="13" t="s">
        <v>163</v>
      </c>
    </row>
    <row r="13365" spans="1:8" ht="14.4" x14ac:dyDescent="0.3">
      <c r="A13365" s="8">
        <v>2071108</v>
      </c>
      <c r="B13365" s="11">
        <v>44789</v>
      </c>
      <c r="C13365" s="13" t="s">
        <v>14580</v>
      </c>
      <c r="D13365" s="13" t="s">
        <v>17198</v>
      </c>
      <c r="E13365" s="8">
        <v>2000</v>
      </c>
      <c r="F13365" s="13" t="s">
        <v>70</v>
      </c>
      <c r="G13365" s="14">
        <v>44792</v>
      </c>
      <c r="H13365" s="13" t="s">
        <v>163</v>
      </c>
    </row>
    <row r="13366" spans="1:8" ht="14.4" x14ac:dyDescent="0.3">
      <c r="A13366" s="8">
        <v>2071109</v>
      </c>
      <c r="B13366" s="11">
        <v>44789</v>
      </c>
      <c r="C13366" s="13" t="s">
        <v>17199</v>
      </c>
      <c r="D13366" s="13" t="s">
        <v>17200</v>
      </c>
      <c r="E13366" s="8">
        <v>6000</v>
      </c>
      <c r="F13366" s="13" t="s">
        <v>70</v>
      </c>
      <c r="G13366" s="14">
        <v>44790</v>
      </c>
      <c r="H13366" s="13" t="s">
        <v>163</v>
      </c>
    </row>
    <row r="13367" spans="1:8" ht="14.4" x14ac:dyDescent="0.3">
      <c r="A13367" s="8">
        <v>2071110</v>
      </c>
      <c r="B13367" s="11">
        <v>44789</v>
      </c>
      <c r="C13367" s="13" t="s">
        <v>12044</v>
      </c>
      <c r="D13367" s="13" t="s">
        <v>17201</v>
      </c>
      <c r="E13367" s="8">
        <v>6000</v>
      </c>
      <c r="F13367" s="13" t="s">
        <v>70</v>
      </c>
      <c r="G13367" s="14">
        <v>44798</v>
      </c>
      <c r="H13367" s="13" t="s">
        <v>163</v>
      </c>
    </row>
    <row r="13368" spans="1:8" ht="14.4" x14ac:dyDescent="0.3">
      <c r="A13368" s="8">
        <v>2071111</v>
      </c>
      <c r="B13368" s="11">
        <v>44789</v>
      </c>
      <c r="C13368" s="13" t="s">
        <v>13664</v>
      </c>
      <c r="D13368" s="13" t="s">
        <v>17202</v>
      </c>
      <c r="E13368" s="8">
        <v>6000</v>
      </c>
      <c r="F13368" s="13" t="s">
        <v>70</v>
      </c>
      <c r="G13368" s="14">
        <v>44791</v>
      </c>
      <c r="H13368" s="13" t="s">
        <v>163</v>
      </c>
    </row>
    <row r="13369" spans="1:8" ht="14.4" x14ac:dyDescent="0.3">
      <c r="A13369" s="8">
        <v>2071112</v>
      </c>
      <c r="B13369" s="11">
        <v>44789</v>
      </c>
      <c r="C13369" s="13" t="s">
        <v>17203</v>
      </c>
      <c r="D13369" s="13" t="s">
        <v>17204</v>
      </c>
      <c r="E13369" s="8">
        <v>10000</v>
      </c>
      <c r="F13369" s="13" t="s">
        <v>70</v>
      </c>
      <c r="G13369" s="14">
        <v>44792</v>
      </c>
      <c r="H13369" s="13" t="s">
        <v>163</v>
      </c>
    </row>
    <row r="13370" spans="1:8" ht="14.4" x14ac:dyDescent="0.3">
      <c r="A13370" s="8">
        <v>2071113</v>
      </c>
      <c r="B13370" s="11">
        <v>44789</v>
      </c>
      <c r="C13370" s="13" t="s">
        <v>17205</v>
      </c>
      <c r="D13370" s="13" t="s">
        <v>17206</v>
      </c>
      <c r="E13370" s="8">
        <v>4000</v>
      </c>
      <c r="F13370" s="13" t="s">
        <v>70</v>
      </c>
      <c r="G13370" s="14">
        <v>44792</v>
      </c>
      <c r="H13370" s="13" t="s">
        <v>163</v>
      </c>
    </row>
    <row r="13371" spans="1:8" ht="14.4" x14ac:dyDescent="0.3">
      <c r="A13371" s="8">
        <v>2071114</v>
      </c>
      <c r="B13371" s="11">
        <v>44789</v>
      </c>
      <c r="C13371" s="13" t="s">
        <v>7162</v>
      </c>
      <c r="D13371" s="13" t="s">
        <v>17207</v>
      </c>
      <c r="E13371" s="8">
        <v>2000</v>
      </c>
      <c r="F13371" s="13" t="s">
        <v>70</v>
      </c>
      <c r="G13371" s="14">
        <v>44791</v>
      </c>
      <c r="H13371" s="13" t="s">
        <v>163</v>
      </c>
    </row>
    <row r="13372" spans="1:8" ht="14.4" x14ac:dyDescent="0.3">
      <c r="A13372" s="8">
        <v>2071115</v>
      </c>
      <c r="B13372" s="11">
        <v>44789</v>
      </c>
      <c r="C13372" s="13" t="s">
        <v>17208</v>
      </c>
      <c r="D13372" s="13" t="s">
        <v>17209</v>
      </c>
      <c r="E13372" s="8">
        <v>2000</v>
      </c>
      <c r="F13372" s="13" t="s">
        <v>70</v>
      </c>
      <c r="G13372" s="14">
        <v>44791</v>
      </c>
      <c r="H13372" s="13" t="s">
        <v>163</v>
      </c>
    </row>
    <row r="13373" spans="1:8" ht="14.4" x14ac:dyDescent="0.3">
      <c r="A13373" s="8">
        <v>2071116</v>
      </c>
      <c r="B13373" s="11">
        <v>44789</v>
      </c>
      <c r="C13373" s="13" t="s">
        <v>17210</v>
      </c>
      <c r="D13373" s="13" t="s">
        <v>17211</v>
      </c>
      <c r="E13373" s="8">
        <v>6000</v>
      </c>
      <c r="F13373" s="13" t="s">
        <v>70</v>
      </c>
      <c r="G13373" s="14">
        <v>44795</v>
      </c>
      <c r="H13373" s="13" t="s">
        <v>163</v>
      </c>
    </row>
    <row r="13374" spans="1:8" ht="14.4" x14ac:dyDescent="0.3">
      <c r="A13374" s="8">
        <v>2071117</v>
      </c>
      <c r="B13374" s="11">
        <v>44789</v>
      </c>
      <c r="C13374" s="13" t="s">
        <v>17212</v>
      </c>
      <c r="D13374" s="13" t="s">
        <v>17213</v>
      </c>
      <c r="E13374" s="8">
        <v>2000</v>
      </c>
      <c r="F13374" s="13" t="s">
        <v>70</v>
      </c>
      <c r="G13374" s="14">
        <v>44792</v>
      </c>
      <c r="H13374" s="13" t="s">
        <v>163</v>
      </c>
    </row>
    <row r="13375" spans="1:8" ht="14.4" x14ac:dyDescent="0.3">
      <c r="A13375" s="8">
        <v>2071118</v>
      </c>
      <c r="B13375" s="11">
        <v>44789</v>
      </c>
      <c r="C13375" s="13" t="s">
        <v>17214</v>
      </c>
      <c r="D13375" s="13" t="s">
        <v>17215</v>
      </c>
      <c r="E13375" s="8">
        <v>6000</v>
      </c>
      <c r="F13375" s="13" t="s">
        <v>70</v>
      </c>
      <c r="G13375" s="14">
        <v>44792</v>
      </c>
      <c r="H13375" s="13" t="s">
        <v>163</v>
      </c>
    </row>
    <row r="13376" spans="1:8" ht="14.4" x14ac:dyDescent="0.3">
      <c r="A13376" s="8">
        <v>2071119</v>
      </c>
      <c r="B13376" s="11">
        <v>44789</v>
      </c>
      <c r="C13376" s="13" t="s">
        <v>17216</v>
      </c>
      <c r="D13376" s="13" t="s">
        <v>17217</v>
      </c>
      <c r="E13376" s="8">
        <v>6000</v>
      </c>
      <c r="F13376" s="13" t="s">
        <v>70</v>
      </c>
      <c r="G13376" s="14">
        <v>44792</v>
      </c>
      <c r="H13376" s="13" t="s">
        <v>163</v>
      </c>
    </row>
    <row r="13377" spans="1:8" ht="14.4" x14ac:dyDescent="0.3">
      <c r="A13377" s="8">
        <v>2071120</v>
      </c>
      <c r="B13377" s="11">
        <v>44789</v>
      </c>
      <c r="C13377" s="13" t="s">
        <v>10785</v>
      </c>
      <c r="D13377" s="13" t="s">
        <v>17218</v>
      </c>
      <c r="E13377" s="8">
        <v>8000</v>
      </c>
      <c r="F13377" s="13" t="s">
        <v>70</v>
      </c>
      <c r="G13377" s="14">
        <v>44792</v>
      </c>
      <c r="H13377" s="13" t="s">
        <v>163</v>
      </c>
    </row>
    <row r="13378" spans="1:8" ht="14.4" x14ac:dyDescent="0.3">
      <c r="A13378" s="8">
        <v>2071121</v>
      </c>
      <c r="B13378" s="11">
        <v>44789</v>
      </c>
      <c r="C13378" s="13" t="s">
        <v>10781</v>
      </c>
      <c r="D13378" s="13" t="s">
        <v>17219</v>
      </c>
      <c r="E13378" s="8">
        <v>8000</v>
      </c>
      <c r="F13378" s="13" t="s">
        <v>70</v>
      </c>
      <c r="G13378" s="14">
        <v>44792</v>
      </c>
      <c r="H13378" s="13" t="s">
        <v>163</v>
      </c>
    </row>
    <row r="13379" spans="1:8" ht="14.4" x14ac:dyDescent="0.3">
      <c r="A13379" s="8">
        <v>2071122</v>
      </c>
      <c r="B13379" s="11">
        <v>44789</v>
      </c>
      <c r="C13379" s="13" t="s">
        <v>17220</v>
      </c>
      <c r="D13379" s="13" t="s">
        <v>17221</v>
      </c>
      <c r="E13379" s="8">
        <v>4000</v>
      </c>
      <c r="F13379" s="13" t="s">
        <v>70</v>
      </c>
      <c r="G13379" s="14">
        <v>44792</v>
      </c>
      <c r="H13379" s="13" t="s">
        <v>163</v>
      </c>
    </row>
    <row r="13380" spans="1:8" ht="14.4" x14ac:dyDescent="0.3">
      <c r="A13380" s="8">
        <v>2071123</v>
      </c>
      <c r="B13380" s="11">
        <v>44789</v>
      </c>
      <c r="C13380" s="13" t="s">
        <v>10940</v>
      </c>
      <c r="D13380" s="13" t="s">
        <v>17222</v>
      </c>
      <c r="E13380" s="8">
        <v>14000</v>
      </c>
      <c r="F13380" s="13" t="s">
        <v>70</v>
      </c>
      <c r="G13380" s="14">
        <v>44792</v>
      </c>
      <c r="H13380" s="13" t="s">
        <v>163</v>
      </c>
    </row>
    <row r="13381" spans="1:8" ht="14.4" x14ac:dyDescent="0.3">
      <c r="A13381" s="8">
        <v>2071124</v>
      </c>
      <c r="B13381" s="11">
        <v>44789</v>
      </c>
      <c r="C13381" s="13" t="s">
        <v>4744</v>
      </c>
      <c r="D13381" s="13" t="s">
        <v>17223</v>
      </c>
      <c r="E13381" s="8">
        <v>4000</v>
      </c>
      <c r="F13381" s="13" t="s">
        <v>70</v>
      </c>
      <c r="G13381" s="14">
        <v>44791</v>
      </c>
      <c r="H13381" s="13" t="s">
        <v>163</v>
      </c>
    </row>
    <row r="13382" spans="1:8" ht="14.4" x14ac:dyDescent="0.3">
      <c r="A13382" s="8">
        <v>2071125</v>
      </c>
      <c r="B13382" s="11">
        <v>44789</v>
      </c>
      <c r="C13382" s="13" t="s">
        <v>17224</v>
      </c>
      <c r="D13382" s="13" t="s">
        <v>17225</v>
      </c>
      <c r="E13382" s="8">
        <v>6000</v>
      </c>
      <c r="F13382" s="13" t="s">
        <v>70</v>
      </c>
      <c r="G13382" s="14">
        <v>44798</v>
      </c>
      <c r="H13382" s="13" t="s">
        <v>163</v>
      </c>
    </row>
    <row r="13383" spans="1:8" ht="14.4" x14ac:dyDescent="0.3">
      <c r="A13383" s="8">
        <v>2071126</v>
      </c>
      <c r="B13383" s="11">
        <v>44789</v>
      </c>
      <c r="C13383" s="13" t="s">
        <v>17226</v>
      </c>
      <c r="D13383" s="13" t="s">
        <v>17227</v>
      </c>
      <c r="E13383" s="8">
        <v>8000</v>
      </c>
      <c r="F13383" s="13" t="s">
        <v>70</v>
      </c>
      <c r="G13383" s="14">
        <v>44792</v>
      </c>
      <c r="H13383" s="13" t="s">
        <v>163</v>
      </c>
    </row>
    <row r="13384" spans="1:8" ht="14.4" x14ac:dyDescent="0.3">
      <c r="A13384" s="8">
        <v>2071127</v>
      </c>
      <c r="B13384" s="11">
        <v>44789</v>
      </c>
      <c r="C13384" s="13" t="s">
        <v>17228</v>
      </c>
      <c r="D13384" s="13" t="s">
        <v>17229</v>
      </c>
      <c r="E13384" s="8">
        <v>2000</v>
      </c>
      <c r="F13384" s="13" t="s">
        <v>70</v>
      </c>
      <c r="G13384" s="14">
        <v>44792</v>
      </c>
      <c r="H13384" s="13" t="s">
        <v>163</v>
      </c>
    </row>
    <row r="13385" spans="1:8" ht="14.4" x14ac:dyDescent="0.3">
      <c r="A13385" s="8">
        <v>2071128</v>
      </c>
      <c r="B13385" s="11">
        <v>44789</v>
      </c>
      <c r="C13385" s="13" t="s">
        <v>17230</v>
      </c>
      <c r="D13385" s="13" t="s">
        <v>17231</v>
      </c>
      <c r="E13385" s="8">
        <v>2000</v>
      </c>
      <c r="F13385" s="13" t="s">
        <v>70</v>
      </c>
      <c r="G13385" s="14">
        <v>44792</v>
      </c>
      <c r="H13385" s="13" t="s">
        <v>163</v>
      </c>
    </row>
    <row r="13386" spans="1:8" ht="14.4" x14ac:dyDescent="0.3">
      <c r="A13386" s="8">
        <v>2071129</v>
      </c>
      <c r="B13386" s="11">
        <v>44789</v>
      </c>
      <c r="C13386" s="13" t="s">
        <v>17232</v>
      </c>
      <c r="D13386" s="13" t="s">
        <v>17233</v>
      </c>
      <c r="E13386" s="8">
        <v>6000</v>
      </c>
      <c r="F13386" s="13" t="s">
        <v>70</v>
      </c>
      <c r="G13386" s="14">
        <v>44810</v>
      </c>
      <c r="H13386" s="13" t="s">
        <v>163</v>
      </c>
    </row>
    <row r="13387" spans="1:8" ht="14.4" x14ac:dyDescent="0.3">
      <c r="A13387" s="8">
        <v>2071130</v>
      </c>
      <c r="B13387" s="11">
        <v>44789</v>
      </c>
      <c r="C13387" s="13" t="s">
        <v>10698</v>
      </c>
      <c r="D13387" s="13" t="s">
        <v>17234</v>
      </c>
      <c r="E13387" s="8">
        <v>8000</v>
      </c>
      <c r="F13387" s="13" t="s">
        <v>70</v>
      </c>
      <c r="G13387" s="14">
        <v>44791</v>
      </c>
      <c r="H13387" s="13" t="s">
        <v>163</v>
      </c>
    </row>
    <row r="13388" spans="1:8" ht="14.4" x14ac:dyDescent="0.3">
      <c r="A13388" s="8">
        <v>2071131</v>
      </c>
      <c r="B13388" s="11">
        <v>44789</v>
      </c>
      <c r="C13388" s="13" t="s">
        <v>10645</v>
      </c>
      <c r="D13388" s="13" t="s">
        <v>17235</v>
      </c>
      <c r="E13388" s="8">
        <v>8000</v>
      </c>
      <c r="F13388" s="13" t="s">
        <v>70</v>
      </c>
      <c r="G13388" s="14">
        <v>44791</v>
      </c>
      <c r="H13388" s="13" t="s">
        <v>163</v>
      </c>
    </row>
    <row r="13389" spans="1:8" ht="14.4" x14ac:dyDescent="0.3">
      <c r="A13389" s="8">
        <v>2071132</v>
      </c>
      <c r="B13389" s="11">
        <v>44789</v>
      </c>
      <c r="C13389" s="13" t="s">
        <v>17236</v>
      </c>
      <c r="D13389" s="13" t="s">
        <v>17237</v>
      </c>
      <c r="E13389" s="8">
        <v>14000</v>
      </c>
      <c r="F13389" s="13" t="s">
        <v>70</v>
      </c>
      <c r="G13389" s="14">
        <v>44796</v>
      </c>
      <c r="H13389" s="13" t="s">
        <v>163</v>
      </c>
    </row>
    <row r="13390" spans="1:8" ht="14.4" x14ac:dyDescent="0.3">
      <c r="A13390" s="8">
        <v>2071133</v>
      </c>
      <c r="B13390" s="11">
        <v>44789</v>
      </c>
      <c r="C13390" s="13" t="s">
        <v>10898</v>
      </c>
      <c r="D13390" s="13" t="s">
        <v>17238</v>
      </c>
      <c r="E13390" s="8">
        <v>8000</v>
      </c>
      <c r="F13390" s="13" t="s">
        <v>70</v>
      </c>
      <c r="G13390" s="14">
        <v>44791</v>
      </c>
      <c r="H13390" s="13" t="s">
        <v>163</v>
      </c>
    </row>
    <row r="13391" spans="1:8" ht="14.4" x14ac:dyDescent="0.3">
      <c r="A13391" s="8">
        <v>2071134</v>
      </c>
      <c r="B13391" s="11">
        <v>44789</v>
      </c>
      <c r="C13391" s="13" t="s">
        <v>10855</v>
      </c>
      <c r="D13391" s="13" t="s">
        <v>17239</v>
      </c>
      <c r="E13391" s="8">
        <v>6000</v>
      </c>
      <c r="F13391" s="13" t="s">
        <v>70</v>
      </c>
      <c r="G13391" s="14">
        <v>44792</v>
      </c>
      <c r="H13391" s="13" t="s">
        <v>163</v>
      </c>
    </row>
    <row r="13392" spans="1:8" ht="14.4" x14ac:dyDescent="0.3">
      <c r="A13392" s="8">
        <v>2071135</v>
      </c>
      <c r="B13392" s="11">
        <v>44789</v>
      </c>
      <c r="C13392" s="13" t="s">
        <v>13458</v>
      </c>
      <c r="D13392" s="13" t="s">
        <v>17240</v>
      </c>
      <c r="E13392" s="8">
        <v>105849.35</v>
      </c>
      <c r="F13392" s="13" t="s">
        <v>70</v>
      </c>
      <c r="G13392" s="14">
        <v>44789</v>
      </c>
      <c r="H13392" s="13" t="s">
        <v>163</v>
      </c>
    </row>
    <row r="13393" spans="1:8" ht="14.4" x14ac:dyDescent="0.3">
      <c r="A13393" s="8">
        <v>2071136</v>
      </c>
      <c r="B13393" s="11">
        <v>44789</v>
      </c>
      <c r="C13393" s="13" t="s">
        <v>17241</v>
      </c>
      <c r="D13393" s="13" t="s">
        <v>17242</v>
      </c>
      <c r="E13393" s="8">
        <v>20108270.100000001</v>
      </c>
      <c r="F13393" s="13" t="s">
        <v>70</v>
      </c>
      <c r="G13393" s="14">
        <v>44792</v>
      </c>
      <c r="H13393" s="13" t="s">
        <v>163</v>
      </c>
    </row>
    <row r="13394" spans="1:8" ht="14.4" x14ac:dyDescent="0.3">
      <c r="A13394" s="8">
        <v>2071137</v>
      </c>
      <c r="B13394" s="11">
        <v>44789</v>
      </c>
      <c r="C13394" s="13" t="s">
        <v>2571</v>
      </c>
      <c r="D13394" s="13" t="s">
        <v>34</v>
      </c>
      <c r="E13394" s="8">
        <v>7120.39</v>
      </c>
      <c r="F13394" s="13" t="s">
        <v>70</v>
      </c>
      <c r="G13394" s="14">
        <v>44791</v>
      </c>
      <c r="H13394" s="13" t="s">
        <v>163</v>
      </c>
    </row>
    <row r="13395" spans="1:8" ht="14.4" x14ac:dyDescent="0.3">
      <c r="A13395" s="8">
        <v>2071138</v>
      </c>
      <c r="B13395" s="11">
        <v>44790</v>
      </c>
      <c r="C13395" s="13" t="s">
        <v>3725</v>
      </c>
      <c r="D13395" s="13" t="s">
        <v>17243</v>
      </c>
      <c r="E13395" s="8">
        <v>8000</v>
      </c>
      <c r="F13395" s="13" t="s">
        <v>70</v>
      </c>
      <c r="G13395" s="14">
        <v>44804</v>
      </c>
      <c r="H13395" s="13" t="s">
        <v>163</v>
      </c>
    </row>
    <row r="13396" spans="1:8" ht="14.4" x14ac:dyDescent="0.3">
      <c r="A13396" s="8">
        <v>2071139</v>
      </c>
      <c r="B13396" s="11">
        <v>44790</v>
      </c>
      <c r="C13396" s="13" t="s">
        <v>13253</v>
      </c>
      <c r="D13396" s="13" t="s">
        <v>17244</v>
      </c>
      <c r="E13396" s="8">
        <v>8000</v>
      </c>
      <c r="F13396" s="13" t="s">
        <v>70</v>
      </c>
      <c r="G13396" s="14">
        <v>44792</v>
      </c>
      <c r="H13396" s="13" t="s">
        <v>163</v>
      </c>
    </row>
    <row r="13397" spans="1:8" ht="14.4" x14ac:dyDescent="0.3">
      <c r="A13397" s="8">
        <v>2071140</v>
      </c>
      <c r="B13397" s="11">
        <v>44790</v>
      </c>
      <c r="C13397" s="13" t="s">
        <v>17245</v>
      </c>
      <c r="D13397" s="13" t="s">
        <v>17246</v>
      </c>
      <c r="E13397" s="8">
        <v>4000</v>
      </c>
      <c r="F13397" s="13" t="s">
        <v>70</v>
      </c>
      <c r="G13397" s="14">
        <v>44805</v>
      </c>
      <c r="H13397" s="13" t="s">
        <v>163</v>
      </c>
    </row>
    <row r="13398" spans="1:8" ht="14.4" x14ac:dyDescent="0.3">
      <c r="A13398" s="8">
        <v>2071141</v>
      </c>
      <c r="B13398" s="11">
        <v>44790</v>
      </c>
      <c r="C13398" s="13" t="s">
        <v>17247</v>
      </c>
      <c r="D13398" s="13" t="s">
        <v>17248</v>
      </c>
      <c r="E13398" s="8">
        <v>8000</v>
      </c>
      <c r="F13398" s="13" t="s">
        <v>70</v>
      </c>
      <c r="G13398" s="14">
        <v>44792</v>
      </c>
      <c r="H13398" s="13" t="s">
        <v>163</v>
      </c>
    </row>
    <row r="13399" spans="1:8" ht="14.4" x14ac:dyDescent="0.3">
      <c r="A13399" s="8">
        <v>2071142</v>
      </c>
      <c r="B13399" s="11">
        <v>44790</v>
      </c>
      <c r="C13399" s="13" t="s">
        <v>17249</v>
      </c>
      <c r="D13399" s="13" t="s">
        <v>17250</v>
      </c>
      <c r="E13399" s="8">
        <v>1000</v>
      </c>
      <c r="F13399" s="13" t="s">
        <v>70</v>
      </c>
      <c r="G13399" s="14">
        <v>44792</v>
      </c>
      <c r="H13399" s="13" t="s">
        <v>163</v>
      </c>
    </row>
    <row r="13400" spans="1:8" ht="14.4" x14ac:dyDescent="0.3">
      <c r="A13400" s="8">
        <v>2071143</v>
      </c>
      <c r="B13400" s="11">
        <v>44790</v>
      </c>
      <c r="C13400" s="13" t="s">
        <v>17251</v>
      </c>
      <c r="D13400" s="13" t="s">
        <v>17252</v>
      </c>
      <c r="E13400" s="8">
        <v>8000</v>
      </c>
      <c r="F13400" s="13" t="s">
        <v>70</v>
      </c>
      <c r="G13400" s="14">
        <v>44792</v>
      </c>
      <c r="H13400" s="13" t="s">
        <v>163</v>
      </c>
    </row>
    <row r="13401" spans="1:8" ht="14.4" x14ac:dyDescent="0.3">
      <c r="A13401" s="8">
        <v>2071144</v>
      </c>
      <c r="B13401" s="11">
        <v>44790</v>
      </c>
      <c r="C13401" s="13" t="s">
        <v>17253</v>
      </c>
      <c r="D13401" s="13" t="s">
        <v>17254</v>
      </c>
      <c r="E13401" s="8">
        <v>8000</v>
      </c>
      <c r="F13401" s="13" t="s">
        <v>70</v>
      </c>
      <c r="G13401" s="14">
        <v>44792</v>
      </c>
      <c r="H13401" s="13" t="s">
        <v>163</v>
      </c>
    </row>
    <row r="13402" spans="1:8" ht="14.4" x14ac:dyDescent="0.3">
      <c r="A13402" s="8">
        <v>2071145</v>
      </c>
      <c r="B13402" s="11">
        <v>44790</v>
      </c>
      <c r="C13402" s="13" t="s">
        <v>4397</v>
      </c>
      <c r="D13402" s="13" t="s">
        <v>17255</v>
      </c>
      <c r="E13402" s="8">
        <v>10000</v>
      </c>
      <c r="F13402" s="13" t="s">
        <v>70</v>
      </c>
      <c r="G13402" s="14">
        <v>44795</v>
      </c>
      <c r="H13402" s="13" t="s">
        <v>163</v>
      </c>
    </row>
    <row r="13403" spans="1:8" ht="14.4" x14ac:dyDescent="0.3">
      <c r="A13403" s="8">
        <v>2071146</v>
      </c>
      <c r="B13403" s="11">
        <v>44790</v>
      </c>
      <c r="C13403" s="13" t="s">
        <v>10896</v>
      </c>
      <c r="D13403" s="13" t="s">
        <v>17256</v>
      </c>
      <c r="E13403" s="8">
        <v>8000</v>
      </c>
      <c r="F13403" s="13" t="s">
        <v>70</v>
      </c>
      <c r="G13403" s="14">
        <v>44792</v>
      </c>
      <c r="H13403" s="13" t="s">
        <v>163</v>
      </c>
    </row>
    <row r="13404" spans="1:8" ht="14.4" x14ac:dyDescent="0.3">
      <c r="A13404" s="8">
        <v>2071147</v>
      </c>
      <c r="B13404" s="11">
        <v>44790</v>
      </c>
      <c r="C13404" s="13" t="s">
        <v>17257</v>
      </c>
      <c r="D13404" s="13" t="s">
        <v>17258</v>
      </c>
      <c r="E13404" s="8">
        <v>20000</v>
      </c>
      <c r="F13404" s="13" t="s">
        <v>70</v>
      </c>
      <c r="G13404" s="14">
        <v>44792</v>
      </c>
      <c r="H13404" s="13" t="s">
        <v>163</v>
      </c>
    </row>
    <row r="13405" spans="1:8" ht="14.4" x14ac:dyDescent="0.3">
      <c r="A13405" s="8">
        <v>2071148</v>
      </c>
      <c r="B13405" s="11">
        <v>44790</v>
      </c>
      <c r="C13405" s="13" t="s">
        <v>17259</v>
      </c>
      <c r="D13405" s="13" t="s">
        <v>17260</v>
      </c>
      <c r="E13405" s="8">
        <v>4000</v>
      </c>
      <c r="F13405" s="13" t="s">
        <v>70</v>
      </c>
      <c r="G13405" s="14">
        <v>44792</v>
      </c>
      <c r="H13405" s="13" t="s">
        <v>163</v>
      </c>
    </row>
    <row r="13406" spans="1:8" ht="14.4" x14ac:dyDescent="0.3">
      <c r="A13406" s="8">
        <v>2071149</v>
      </c>
      <c r="B13406" s="11">
        <v>44790</v>
      </c>
      <c r="C13406" s="13" t="s">
        <v>17261</v>
      </c>
      <c r="D13406" s="13" t="s">
        <v>17262</v>
      </c>
      <c r="E13406" s="8">
        <v>2000</v>
      </c>
      <c r="F13406" s="13" t="s">
        <v>70</v>
      </c>
      <c r="G13406" s="14">
        <v>44792</v>
      </c>
      <c r="H13406" s="13" t="s">
        <v>163</v>
      </c>
    </row>
    <row r="13407" spans="1:8" ht="14.4" x14ac:dyDescent="0.3">
      <c r="A13407" s="8">
        <v>2071150</v>
      </c>
      <c r="B13407" s="11">
        <v>44790</v>
      </c>
      <c r="C13407" s="13" t="s">
        <v>17263</v>
      </c>
      <c r="D13407" s="13" t="s">
        <v>17264</v>
      </c>
      <c r="E13407" s="8">
        <v>4000</v>
      </c>
      <c r="F13407" s="13" t="s">
        <v>70</v>
      </c>
      <c r="G13407" s="14">
        <v>44792</v>
      </c>
      <c r="H13407" s="13" t="s">
        <v>163</v>
      </c>
    </row>
    <row r="13408" spans="1:8" ht="14.4" x14ac:dyDescent="0.3">
      <c r="A13408" s="8">
        <v>2071151</v>
      </c>
      <c r="B13408" s="11">
        <v>44790</v>
      </c>
      <c r="C13408" s="13" t="s">
        <v>17265</v>
      </c>
      <c r="D13408" s="13" t="s">
        <v>17266</v>
      </c>
      <c r="E13408" s="8">
        <v>6000</v>
      </c>
      <c r="F13408" s="13" t="s">
        <v>70</v>
      </c>
      <c r="G13408" s="14">
        <v>44795</v>
      </c>
      <c r="H13408" s="13" t="s">
        <v>163</v>
      </c>
    </row>
    <row r="13409" spans="1:8" ht="14.4" x14ac:dyDescent="0.3">
      <c r="A13409" s="8">
        <v>2071152</v>
      </c>
      <c r="B13409" s="11">
        <v>44790</v>
      </c>
      <c r="C13409" s="13" t="s">
        <v>17267</v>
      </c>
      <c r="D13409" s="13" t="s">
        <v>17268</v>
      </c>
      <c r="E13409" s="8">
        <v>6000</v>
      </c>
      <c r="F13409" s="13" t="s">
        <v>70</v>
      </c>
      <c r="G13409" s="14">
        <v>44792</v>
      </c>
      <c r="H13409" s="13" t="s">
        <v>163</v>
      </c>
    </row>
    <row r="13410" spans="1:8" ht="14.4" x14ac:dyDescent="0.3">
      <c r="A13410" s="8">
        <v>2071153</v>
      </c>
      <c r="B13410" s="11">
        <v>44790</v>
      </c>
      <c r="C13410" s="13" t="s">
        <v>17269</v>
      </c>
      <c r="D13410" s="13" t="s">
        <v>17270</v>
      </c>
      <c r="E13410" s="8">
        <v>2000</v>
      </c>
      <c r="F13410" s="13" t="s">
        <v>70</v>
      </c>
      <c r="G13410" s="14">
        <v>44792</v>
      </c>
      <c r="H13410" s="13" t="s">
        <v>163</v>
      </c>
    </row>
    <row r="13411" spans="1:8" ht="14.4" x14ac:dyDescent="0.3">
      <c r="A13411" s="8">
        <v>2071154</v>
      </c>
      <c r="B13411" s="11">
        <v>44790</v>
      </c>
      <c r="C13411" s="13" t="s">
        <v>17271</v>
      </c>
      <c r="D13411" s="13" t="s">
        <v>17272</v>
      </c>
      <c r="E13411" s="8">
        <v>4000</v>
      </c>
      <c r="F13411" s="13" t="s">
        <v>70</v>
      </c>
      <c r="G13411" s="14">
        <v>44792</v>
      </c>
      <c r="H13411" s="13" t="s">
        <v>163</v>
      </c>
    </row>
    <row r="13412" spans="1:8" ht="14.4" x14ac:dyDescent="0.3">
      <c r="A13412" s="8">
        <v>2071155</v>
      </c>
      <c r="B13412" s="11">
        <v>44790</v>
      </c>
      <c r="C13412" s="13" t="s">
        <v>17273</v>
      </c>
      <c r="D13412" s="13" t="s">
        <v>17274</v>
      </c>
      <c r="E13412" s="8">
        <v>4000</v>
      </c>
      <c r="F13412" s="13" t="s">
        <v>70</v>
      </c>
      <c r="G13412" s="14">
        <v>44799</v>
      </c>
      <c r="H13412" s="13" t="s">
        <v>163</v>
      </c>
    </row>
    <row r="13413" spans="1:8" ht="14.4" x14ac:dyDescent="0.3">
      <c r="A13413" s="8">
        <v>2071156</v>
      </c>
      <c r="B13413" s="11">
        <v>44790</v>
      </c>
      <c r="C13413" s="13" t="s">
        <v>17275</v>
      </c>
      <c r="D13413" s="13" t="s">
        <v>17276</v>
      </c>
      <c r="E13413" s="8">
        <v>6000</v>
      </c>
      <c r="F13413" s="13" t="s">
        <v>70</v>
      </c>
      <c r="G13413" s="14">
        <v>44792</v>
      </c>
      <c r="H13413" s="13" t="s">
        <v>163</v>
      </c>
    </row>
    <row r="13414" spans="1:8" ht="14.4" x14ac:dyDescent="0.3">
      <c r="A13414" s="8">
        <v>2071157</v>
      </c>
      <c r="B13414" s="11">
        <v>44790</v>
      </c>
      <c r="C13414" s="13" t="s">
        <v>17277</v>
      </c>
      <c r="D13414" s="13" t="s">
        <v>17278</v>
      </c>
      <c r="E13414" s="8">
        <v>2000</v>
      </c>
      <c r="F13414" s="13" t="s">
        <v>70</v>
      </c>
      <c r="G13414" s="14">
        <v>44816</v>
      </c>
      <c r="H13414" s="13" t="s">
        <v>163</v>
      </c>
    </row>
    <row r="13415" spans="1:8" ht="14.4" x14ac:dyDescent="0.3">
      <c r="A13415" s="8">
        <v>2071158</v>
      </c>
      <c r="B13415" s="11">
        <v>44790</v>
      </c>
      <c r="C13415" s="13" t="s">
        <v>14880</v>
      </c>
      <c r="D13415" s="13" t="s">
        <v>17279</v>
      </c>
      <c r="E13415" s="8">
        <v>2000</v>
      </c>
      <c r="F13415" s="13" t="s">
        <v>70</v>
      </c>
      <c r="G13415" s="14">
        <v>44792</v>
      </c>
      <c r="H13415" s="13" t="s">
        <v>163</v>
      </c>
    </row>
    <row r="13416" spans="1:8" ht="14.4" x14ac:dyDescent="0.3">
      <c r="A13416" s="8">
        <v>2071159</v>
      </c>
      <c r="B13416" s="11">
        <v>44790</v>
      </c>
      <c r="C13416" s="13" t="s">
        <v>17280</v>
      </c>
      <c r="D13416" s="13" t="s">
        <v>17281</v>
      </c>
      <c r="E13416" s="8">
        <v>2000</v>
      </c>
      <c r="F13416" s="13" t="s">
        <v>70</v>
      </c>
      <c r="G13416" s="14">
        <v>44792</v>
      </c>
      <c r="H13416" s="13" t="s">
        <v>163</v>
      </c>
    </row>
    <row r="13417" spans="1:8" ht="14.4" x14ac:dyDescent="0.3">
      <c r="A13417" s="8">
        <v>2071160</v>
      </c>
      <c r="B13417" s="11">
        <v>44790</v>
      </c>
      <c r="C13417" s="13" t="s">
        <v>17282</v>
      </c>
      <c r="D13417" s="13" t="s">
        <v>17283</v>
      </c>
      <c r="E13417" s="8">
        <v>2000</v>
      </c>
      <c r="F13417" s="13" t="s">
        <v>70</v>
      </c>
      <c r="G13417" s="14">
        <v>44792</v>
      </c>
      <c r="H13417" s="13" t="s">
        <v>163</v>
      </c>
    </row>
    <row r="13418" spans="1:8" ht="14.4" x14ac:dyDescent="0.3">
      <c r="A13418" s="8">
        <v>2071161</v>
      </c>
      <c r="B13418" s="11">
        <v>44790</v>
      </c>
      <c r="C13418" s="13" t="s">
        <v>10861</v>
      </c>
      <c r="D13418" s="13" t="s">
        <v>17284</v>
      </c>
      <c r="E13418" s="8">
        <v>6000</v>
      </c>
      <c r="F13418" s="13" t="s">
        <v>70</v>
      </c>
      <c r="G13418" s="14">
        <v>44792</v>
      </c>
      <c r="H13418" s="13" t="s">
        <v>163</v>
      </c>
    </row>
    <row r="13419" spans="1:8" ht="14.4" x14ac:dyDescent="0.3">
      <c r="A13419" s="8">
        <v>2071162</v>
      </c>
      <c r="B13419" s="11">
        <v>44790</v>
      </c>
      <c r="C13419" s="13" t="s">
        <v>17285</v>
      </c>
      <c r="D13419" s="13" t="s">
        <v>17286</v>
      </c>
      <c r="E13419" s="8">
        <v>6000</v>
      </c>
      <c r="F13419" s="13" t="s">
        <v>70</v>
      </c>
      <c r="G13419" s="14">
        <v>44795</v>
      </c>
      <c r="H13419" s="13" t="s">
        <v>163</v>
      </c>
    </row>
    <row r="13420" spans="1:8" ht="14.4" x14ac:dyDescent="0.3">
      <c r="A13420" s="8">
        <v>2071163</v>
      </c>
      <c r="B13420" s="11">
        <v>44790</v>
      </c>
      <c r="C13420" s="13" t="s">
        <v>17287</v>
      </c>
      <c r="D13420" s="13" t="s">
        <v>17288</v>
      </c>
      <c r="E13420" s="8">
        <v>6000</v>
      </c>
      <c r="F13420" s="13" t="s">
        <v>70</v>
      </c>
      <c r="G13420" s="14">
        <v>44792</v>
      </c>
      <c r="H13420" s="13" t="s">
        <v>163</v>
      </c>
    </row>
    <row r="13421" spans="1:8" ht="14.4" x14ac:dyDescent="0.3">
      <c r="A13421" s="8">
        <v>2071164</v>
      </c>
      <c r="B13421" s="11">
        <v>44790</v>
      </c>
      <c r="C13421" s="13" t="s">
        <v>17289</v>
      </c>
      <c r="D13421" s="13" t="s">
        <v>17290</v>
      </c>
      <c r="E13421" s="8">
        <v>6000</v>
      </c>
      <c r="F13421" s="13" t="s">
        <v>70</v>
      </c>
      <c r="G13421" s="14">
        <v>44803</v>
      </c>
      <c r="H13421" s="13" t="s">
        <v>163</v>
      </c>
    </row>
    <row r="13422" spans="1:8" ht="14.4" x14ac:dyDescent="0.3">
      <c r="A13422" s="8">
        <v>2071165</v>
      </c>
      <c r="B13422" s="11">
        <v>44790</v>
      </c>
      <c r="C13422" s="13" t="s">
        <v>17291</v>
      </c>
      <c r="D13422" s="13" t="s">
        <v>17292</v>
      </c>
      <c r="E13422" s="8">
        <v>6000</v>
      </c>
      <c r="F13422" s="13" t="s">
        <v>70</v>
      </c>
      <c r="G13422" s="14">
        <v>44792</v>
      </c>
      <c r="H13422" s="13" t="s">
        <v>163</v>
      </c>
    </row>
    <row r="13423" spans="1:8" ht="14.4" x14ac:dyDescent="0.3">
      <c r="A13423" s="8">
        <v>2071166</v>
      </c>
      <c r="B13423" s="11">
        <v>44790</v>
      </c>
      <c r="C13423" s="13" t="s">
        <v>17293</v>
      </c>
      <c r="D13423" s="13" t="s">
        <v>17294</v>
      </c>
      <c r="E13423" s="8">
        <v>2000</v>
      </c>
      <c r="F13423" s="13" t="s">
        <v>70</v>
      </c>
      <c r="G13423" s="14">
        <v>44792</v>
      </c>
      <c r="H13423" s="13" t="s">
        <v>163</v>
      </c>
    </row>
    <row r="13424" spans="1:8" ht="14.4" x14ac:dyDescent="0.3">
      <c r="A13424" s="8">
        <v>2071167</v>
      </c>
      <c r="B13424" s="11">
        <v>44790</v>
      </c>
      <c r="C13424" s="13" t="s">
        <v>17295</v>
      </c>
      <c r="D13424" s="13" t="s">
        <v>17296</v>
      </c>
      <c r="E13424" s="8">
        <v>4000</v>
      </c>
      <c r="F13424" s="13" t="s">
        <v>70</v>
      </c>
      <c r="G13424" s="14">
        <v>44792</v>
      </c>
      <c r="H13424" s="13" t="s">
        <v>163</v>
      </c>
    </row>
    <row r="13425" spans="1:8" ht="14.4" x14ac:dyDescent="0.3">
      <c r="A13425" s="8">
        <v>2071168</v>
      </c>
      <c r="B13425" s="11">
        <v>44790</v>
      </c>
      <c r="C13425" s="13" t="s">
        <v>17297</v>
      </c>
      <c r="D13425" s="13" t="s">
        <v>17298</v>
      </c>
      <c r="E13425" s="8">
        <v>4000</v>
      </c>
      <c r="F13425" s="13" t="s">
        <v>70</v>
      </c>
      <c r="G13425" s="14">
        <v>44792</v>
      </c>
      <c r="H13425" s="13" t="s">
        <v>163</v>
      </c>
    </row>
    <row r="13426" spans="1:8" ht="14.4" x14ac:dyDescent="0.3">
      <c r="A13426" s="8">
        <v>2071169</v>
      </c>
      <c r="B13426" s="11">
        <v>44790</v>
      </c>
      <c r="C13426" s="13" t="s">
        <v>17299</v>
      </c>
      <c r="D13426" s="13" t="s">
        <v>17300</v>
      </c>
      <c r="E13426" s="8">
        <v>1000</v>
      </c>
      <c r="F13426" s="13" t="s">
        <v>70</v>
      </c>
      <c r="G13426" s="14">
        <v>44791</v>
      </c>
      <c r="H13426" s="13" t="s">
        <v>163</v>
      </c>
    </row>
    <row r="13427" spans="1:8" ht="14.4" x14ac:dyDescent="0.3">
      <c r="A13427" s="8">
        <v>2071170</v>
      </c>
      <c r="B13427" s="11">
        <v>44790</v>
      </c>
      <c r="C13427" s="13" t="s">
        <v>17301</v>
      </c>
      <c r="D13427" s="13" t="s">
        <v>17302</v>
      </c>
      <c r="E13427" s="8">
        <v>4000</v>
      </c>
      <c r="F13427" s="13" t="s">
        <v>70</v>
      </c>
      <c r="G13427" s="14">
        <v>44791</v>
      </c>
      <c r="H13427" s="13" t="s">
        <v>163</v>
      </c>
    </row>
    <row r="13428" spans="1:8" ht="14.4" x14ac:dyDescent="0.3">
      <c r="A13428" s="8">
        <v>2071171</v>
      </c>
      <c r="B13428" s="11">
        <v>44790</v>
      </c>
      <c r="C13428" s="13" t="s">
        <v>10884</v>
      </c>
      <c r="D13428" s="13" t="s">
        <v>17303</v>
      </c>
      <c r="E13428" s="8">
        <v>6000</v>
      </c>
      <c r="F13428" s="13" t="s">
        <v>70</v>
      </c>
      <c r="G13428" s="14">
        <v>44792</v>
      </c>
      <c r="H13428" s="13" t="s">
        <v>163</v>
      </c>
    </row>
    <row r="13429" spans="1:8" ht="14.4" x14ac:dyDescent="0.3">
      <c r="A13429" s="8">
        <v>2071172</v>
      </c>
      <c r="B13429" s="11">
        <v>44790</v>
      </c>
      <c r="C13429" s="13" t="s">
        <v>9763</v>
      </c>
      <c r="D13429" s="13" t="s">
        <v>17304</v>
      </c>
      <c r="E13429" s="8">
        <v>6000</v>
      </c>
      <c r="F13429" s="13" t="s">
        <v>70</v>
      </c>
      <c r="G13429" s="14">
        <v>44792</v>
      </c>
      <c r="H13429" s="13" t="s">
        <v>163</v>
      </c>
    </row>
    <row r="13430" spans="1:8" ht="14.4" x14ac:dyDescent="0.3">
      <c r="A13430" s="8">
        <v>2071173</v>
      </c>
      <c r="B13430" s="11">
        <v>44790</v>
      </c>
      <c r="C13430" s="13" t="s">
        <v>17305</v>
      </c>
      <c r="D13430" s="13" t="s">
        <v>17306</v>
      </c>
      <c r="E13430" s="8">
        <v>4000</v>
      </c>
      <c r="F13430" s="13" t="s">
        <v>70</v>
      </c>
      <c r="G13430" s="14">
        <v>44792</v>
      </c>
      <c r="H13430" s="13" t="s">
        <v>163</v>
      </c>
    </row>
    <row r="13431" spans="1:8" ht="14.4" x14ac:dyDescent="0.3">
      <c r="A13431" s="8">
        <v>2071174</v>
      </c>
      <c r="B13431" s="11">
        <v>44790</v>
      </c>
      <c r="C13431" s="13" t="s">
        <v>17307</v>
      </c>
      <c r="D13431" s="13" t="s">
        <v>17308</v>
      </c>
      <c r="E13431" s="8">
        <v>4000</v>
      </c>
      <c r="F13431" s="13" t="s">
        <v>70</v>
      </c>
      <c r="G13431" s="14">
        <v>44792</v>
      </c>
      <c r="H13431" s="13" t="s">
        <v>163</v>
      </c>
    </row>
    <row r="13432" spans="1:8" ht="14.4" x14ac:dyDescent="0.3">
      <c r="A13432" s="8">
        <v>2071175</v>
      </c>
      <c r="B13432" s="11">
        <v>44790</v>
      </c>
      <c r="C13432" s="13" t="s">
        <v>17309</v>
      </c>
      <c r="D13432" s="13" t="s">
        <v>17310</v>
      </c>
      <c r="E13432" s="8">
        <v>4000</v>
      </c>
      <c r="F13432" s="13" t="s">
        <v>70</v>
      </c>
      <c r="G13432" s="14">
        <v>44792</v>
      </c>
      <c r="H13432" s="13" t="s">
        <v>163</v>
      </c>
    </row>
    <row r="13433" spans="1:8" ht="14.4" x14ac:dyDescent="0.3">
      <c r="A13433" s="8">
        <v>2071176</v>
      </c>
      <c r="B13433" s="11">
        <v>44790</v>
      </c>
      <c r="C13433" s="13" t="s">
        <v>941</v>
      </c>
      <c r="D13433" s="13" t="s">
        <v>17311</v>
      </c>
      <c r="E13433" s="8">
        <v>8000</v>
      </c>
      <c r="F13433" s="13" t="s">
        <v>70</v>
      </c>
      <c r="G13433" s="14">
        <v>44848</v>
      </c>
      <c r="H13433" s="13" t="s">
        <v>163</v>
      </c>
    </row>
    <row r="13434" spans="1:8" ht="14.4" x14ac:dyDescent="0.3">
      <c r="A13434" s="8">
        <v>2071177</v>
      </c>
      <c r="B13434" s="11">
        <v>44790</v>
      </c>
      <c r="C13434" s="13" t="s">
        <v>17312</v>
      </c>
      <c r="D13434" s="13" t="s">
        <v>17313</v>
      </c>
      <c r="E13434" s="8">
        <v>8000</v>
      </c>
      <c r="F13434" s="13" t="s">
        <v>70</v>
      </c>
      <c r="G13434" s="14">
        <v>44792</v>
      </c>
      <c r="H13434" s="13" t="s">
        <v>163</v>
      </c>
    </row>
    <row r="13435" spans="1:8" ht="14.4" x14ac:dyDescent="0.3">
      <c r="A13435" s="8">
        <v>2071178</v>
      </c>
      <c r="B13435" s="11">
        <v>44790</v>
      </c>
      <c r="C13435" s="13" t="s">
        <v>17314</v>
      </c>
      <c r="D13435" s="13" t="s">
        <v>17315</v>
      </c>
      <c r="E13435" s="8">
        <v>2000</v>
      </c>
      <c r="F13435" s="13" t="s">
        <v>70</v>
      </c>
      <c r="G13435" s="14">
        <v>44795</v>
      </c>
      <c r="H13435" s="13" t="s">
        <v>163</v>
      </c>
    </row>
    <row r="13436" spans="1:8" ht="14.4" x14ac:dyDescent="0.3">
      <c r="A13436" s="8">
        <v>2071179</v>
      </c>
      <c r="B13436" s="11">
        <v>44790</v>
      </c>
      <c r="C13436" s="13" t="s">
        <v>10953</v>
      </c>
      <c r="D13436" s="13" t="s">
        <v>17316</v>
      </c>
      <c r="E13436" s="8">
        <v>10000</v>
      </c>
      <c r="F13436" s="13" t="s">
        <v>70</v>
      </c>
      <c r="G13436" s="14">
        <v>44792</v>
      </c>
      <c r="H13436" s="13" t="s">
        <v>163</v>
      </c>
    </row>
    <row r="13437" spans="1:8" ht="14.4" x14ac:dyDescent="0.3">
      <c r="A13437" s="8">
        <v>2071180</v>
      </c>
      <c r="B13437" s="11">
        <v>44790</v>
      </c>
      <c r="C13437" s="13" t="s">
        <v>17317</v>
      </c>
      <c r="D13437" s="13" t="s">
        <v>17318</v>
      </c>
      <c r="E13437" s="8">
        <v>8000</v>
      </c>
      <c r="F13437" s="13" t="s">
        <v>70</v>
      </c>
      <c r="G13437" s="14">
        <v>44792</v>
      </c>
      <c r="H13437" s="13" t="s">
        <v>163</v>
      </c>
    </row>
    <row r="13438" spans="1:8" ht="14.4" x14ac:dyDescent="0.3">
      <c r="A13438" s="8">
        <v>2071181</v>
      </c>
      <c r="B13438" s="11">
        <v>44790</v>
      </c>
      <c r="C13438" s="13" t="s">
        <v>17319</v>
      </c>
      <c r="D13438" s="13" t="s">
        <v>17320</v>
      </c>
      <c r="E13438" s="8">
        <v>2000</v>
      </c>
      <c r="F13438" s="13" t="s">
        <v>70</v>
      </c>
      <c r="G13438" s="14">
        <v>44796</v>
      </c>
      <c r="H13438" s="13" t="s">
        <v>163</v>
      </c>
    </row>
    <row r="13439" spans="1:8" ht="14.4" x14ac:dyDescent="0.3">
      <c r="A13439" s="8">
        <v>2071182</v>
      </c>
      <c r="B13439" s="11">
        <v>44790</v>
      </c>
      <c r="C13439" s="13" t="s">
        <v>17321</v>
      </c>
      <c r="D13439" s="13" t="s">
        <v>17322</v>
      </c>
      <c r="E13439" s="8">
        <v>2000</v>
      </c>
      <c r="F13439" s="13" t="s">
        <v>70</v>
      </c>
      <c r="G13439" s="14">
        <v>44792</v>
      </c>
      <c r="H13439" s="13" t="s">
        <v>163</v>
      </c>
    </row>
    <row r="13440" spans="1:8" ht="14.4" x14ac:dyDescent="0.3">
      <c r="A13440" s="8">
        <v>2071183</v>
      </c>
      <c r="B13440" s="11">
        <v>44790</v>
      </c>
      <c r="C13440" s="13" t="s">
        <v>17323</v>
      </c>
      <c r="D13440" s="13" t="s">
        <v>17324</v>
      </c>
      <c r="E13440" s="8">
        <v>2000</v>
      </c>
      <c r="F13440" s="13" t="s">
        <v>70</v>
      </c>
      <c r="G13440" s="14">
        <v>44795</v>
      </c>
      <c r="H13440" s="13" t="s">
        <v>163</v>
      </c>
    </row>
    <row r="13441" spans="1:8" ht="14.4" x14ac:dyDescent="0.3">
      <c r="A13441" s="8">
        <v>2071184</v>
      </c>
      <c r="B13441" s="11">
        <v>44790</v>
      </c>
      <c r="C13441" s="13" t="s">
        <v>14789</v>
      </c>
      <c r="D13441" s="13" t="s">
        <v>17325</v>
      </c>
      <c r="E13441" s="8">
        <v>2000</v>
      </c>
      <c r="F13441" s="13" t="s">
        <v>70</v>
      </c>
      <c r="G13441" s="14">
        <v>44792</v>
      </c>
      <c r="H13441" s="13" t="s">
        <v>163</v>
      </c>
    </row>
    <row r="13442" spans="1:8" ht="14.4" x14ac:dyDescent="0.3">
      <c r="A13442" s="8">
        <v>2071185</v>
      </c>
      <c r="B13442" s="11">
        <v>44790</v>
      </c>
      <c r="C13442" s="13" t="s">
        <v>17326</v>
      </c>
      <c r="D13442" s="13" t="s">
        <v>17327</v>
      </c>
      <c r="E13442" s="8">
        <v>4000</v>
      </c>
      <c r="F13442" s="13" t="s">
        <v>70</v>
      </c>
      <c r="G13442" s="14">
        <v>44792</v>
      </c>
      <c r="H13442" s="13" t="s">
        <v>163</v>
      </c>
    </row>
    <row r="13443" spans="1:8" ht="14.4" x14ac:dyDescent="0.3">
      <c r="A13443" s="8">
        <v>2071186</v>
      </c>
      <c r="B13443" s="11">
        <v>44790</v>
      </c>
      <c r="C13443" s="13" t="s">
        <v>17328</v>
      </c>
      <c r="D13443" s="13" t="s">
        <v>17329</v>
      </c>
      <c r="E13443" s="8">
        <v>2000</v>
      </c>
      <c r="F13443" s="13" t="s">
        <v>70</v>
      </c>
      <c r="G13443" s="14">
        <v>44795</v>
      </c>
      <c r="H13443" s="13" t="s">
        <v>163</v>
      </c>
    </row>
    <row r="13444" spans="1:8" ht="14.4" x14ac:dyDescent="0.3">
      <c r="A13444" s="8">
        <v>2071187</v>
      </c>
      <c r="B13444" s="11">
        <v>44790</v>
      </c>
      <c r="C13444" s="13" t="s">
        <v>17330</v>
      </c>
      <c r="D13444" s="13" t="s">
        <v>17331</v>
      </c>
      <c r="E13444" s="8">
        <v>2000</v>
      </c>
      <c r="F13444" s="13" t="s">
        <v>70</v>
      </c>
      <c r="G13444" s="14">
        <v>44795</v>
      </c>
      <c r="H13444" s="13" t="s">
        <v>163</v>
      </c>
    </row>
    <row r="13445" spans="1:8" ht="14.4" x14ac:dyDescent="0.3">
      <c r="A13445" s="8">
        <v>2071188</v>
      </c>
      <c r="B13445" s="11">
        <v>44790</v>
      </c>
      <c r="C13445" s="13" t="s">
        <v>17332</v>
      </c>
      <c r="D13445" s="13" t="s">
        <v>17333</v>
      </c>
      <c r="E13445" s="8">
        <v>4000</v>
      </c>
      <c r="F13445" s="13" t="s">
        <v>70</v>
      </c>
      <c r="G13445" s="14">
        <v>44791</v>
      </c>
      <c r="H13445" s="13" t="s">
        <v>163</v>
      </c>
    </row>
    <row r="13446" spans="1:8" ht="14.4" x14ac:dyDescent="0.3">
      <c r="A13446" s="8">
        <v>2071189</v>
      </c>
      <c r="B13446" s="11">
        <v>44790</v>
      </c>
      <c r="C13446" s="13" t="s">
        <v>17334</v>
      </c>
      <c r="D13446" s="13" t="s">
        <v>17335</v>
      </c>
      <c r="E13446" s="8">
        <v>10000</v>
      </c>
      <c r="F13446" s="13" t="s">
        <v>70</v>
      </c>
      <c r="G13446" s="14">
        <v>44792</v>
      </c>
      <c r="H13446" s="13" t="s">
        <v>163</v>
      </c>
    </row>
    <row r="13447" spans="1:8" ht="14.4" x14ac:dyDescent="0.3">
      <c r="A13447" s="8">
        <v>2071190</v>
      </c>
      <c r="B13447" s="11">
        <v>44790</v>
      </c>
      <c r="C13447" s="13" t="s">
        <v>17336</v>
      </c>
      <c r="D13447" s="13" t="s">
        <v>17337</v>
      </c>
      <c r="E13447" s="8">
        <v>40000</v>
      </c>
      <c r="F13447" s="13" t="s">
        <v>70</v>
      </c>
      <c r="G13447" s="14">
        <v>44792</v>
      </c>
      <c r="H13447" s="13" t="s">
        <v>163</v>
      </c>
    </row>
    <row r="13448" spans="1:8" ht="14.4" x14ac:dyDescent="0.3">
      <c r="A13448" s="8">
        <v>2071191</v>
      </c>
      <c r="B13448" s="11">
        <v>44790</v>
      </c>
      <c r="C13448" s="13" t="s">
        <v>17338</v>
      </c>
      <c r="D13448" s="13" t="s">
        <v>17339</v>
      </c>
      <c r="E13448" s="8">
        <v>4000</v>
      </c>
      <c r="F13448" s="13" t="s">
        <v>70</v>
      </c>
      <c r="G13448" s="14">
        <v>44792</v>
      </c>
      <c r="H13448" s="13" t="s">
        <v>163</v>
      </c>
    </row>
    <row r="13449" spans="1:8" ht="14.4" x14ac:dyDescent="0.3">
      <c r="A13449" s="8">
        <v>2071192</v>
      </c>
      <c r="B13449" s="11">
        <v>44790</v>
      </c>
      <c r="C13449" s="13" t="s">
        <v>17340</v>
      </c>
      <c r="D13449" s="13" t="s">
        <v>17341</v>
      </c>
      <c r="E13449" s="8">
        <v>2000</v>
      </c>
      <c r="F13449" s="13" t="s">
        <v>70</v>
      </c>
      <c r="G13449" s="14">
        <v>44792</v>
      </c>
      <c r="H13449" s="13" t="s">
        <v>163</v>
      </c>
    </row>
    <row r="13450" spans="1:8" ht="14.4" x14ac:dyDescent="0.3">
      <c r="A13450" s="8">
        <v>2071193</v>
      </c>
      <c r="B13450" s="11">
        <v>44790</v>
      </c>
      <c r="C13450" s="13" t="s">
        <v>17342</v>
      </c>
      <c r="D13450" s="13" t="s">
        <v>17343</v>
      </c>
      <c r="E13450" s="8">
        <v>10000</v>
      </c>
      <c r="F13450" s="13" t="s">
        <v>70</v>
      </c>
      <c r="G13450" s="14">
        <v>44795</v>
      </c>
      <c r="H13450" s="13" t="s">
        <v>163</v>
      </c>
    </row>
    <row r="13451" spans="1:8" ht="14.4" x14ac:dyDescent="0.3">
      <c r="A13451" s="8">
        <v>2071194</v>
      </c>
      <c r="B13451" s="11">
        <v>44790</v>
      </c>
      <c r="C13451" s="13" t="s">
        <v>11229</v>
      </c>
      <c r="D13451" s="13" t="s">
        <v>17344</v>
      </c>
      <c r="E13451" s="8">
        <v>2000</v>
      </c>
      <c r="F13451" s="13" t="s">
        <v>70</v>
      </c>
      <c r="G13451" s="14">
        <v>44792</v>
      </c>
      <c r="H13451" s="13" t="s">
        <v>163</v>
      </c>
    </row>
    <row r="13452" spans="1:8" ht="14.4" x14ac:dyDescent="0.3">
      <c r="A13452" s="8">
        <v>2071195</v>
      </c>
      <c r="B13452" s="11">
        <v>44790</v>
      </c>
      <c r="C13452" s="13" t="s">
        <v>17345</v>
      </c>
      <c r="D13452" s="13" t="s">
        <v>17346</v>
      </c>
      <c r="E13452" s="8">
        <v>2000</v>
      </c>
      <c r="F13452" s="13" t="s">
        <v>70</v>
      </c>
      <c r="G13452" s="14">
        <v>44792</v>
      </c>
      <c r="H13452" s="13" t="s">
        <v>163</v>
      </c>
    </row>
    <row r="13453" spans="1:8" ht="14.4" x14ac:dyDescent="0.3">
      <c r="A13453" s="8">
        <v>2071196</v>
      </c>
      <c r="B13453" s="11">
        <v>44790</v>
      </c>
      <c r="C13453" s="13" t="s">
        <v>4622</v>
      </c>
      <c r="D13453" s="13" t="s">
        <v>17347</v>
      </c>
      <c r="E13453" s="8">
        <v>8000</v>
      </c>
      <c r="F13453" s="13" t="s">
        <v>70</v>
      </c>
      <c r="G13453" s="14">
        <v>44792</v>
      </c>
      <c r="H13453" s="13" t="s">
        <v>163</v>
      </c>
    </row>
    <row r="13454" spans="1:8" ht="14.4" x14ac:dyDescent="0.3">
      <c r="A13454" s="8">
        <v>2071197</v>
      </c>
      <c r="B13454" s="11">
        <v>44790</v>
      </c>
      <c r="C13454" s="13" t="s">
        <v>7186</v>
      </c>
      <c r="D13454" s="13" t="s">
        <v>17348</v>
      </c>
      <c r="E13454" s="8">
        <v>4000</v>
      </c>
      <c r="F13454" s="13" t="s">
        <v>70</v>
      </c>
      <c r="G13454" s="14">
        <v>44817</v>
      </c>
      <c r="H13454" s="13" t="s">
        <v>163</v>
      </c>
    </row>
    <row r="13455" spans="1:8" ht="14.4" x14ac:dyDescent="0.3">
      <c r="A13455" s="8">
        <v>2071198</v>
      </c>
      <c r="B13455" s="11">
        <v>44790</v>
      </c>
      <c r="C13455" s="13" t="s">
        <v>17349</v>
      </c>
      <c r="D13455" s="13" t="s">
        <v>17350</v>
      </c>
      <c r="E13455" s="8">
        <v>2000</v>
      </c>
      <c r="F13455" s="13" t="s">
        <v>70</v>
      </c>
      <c r="G13455" s="14">
        <v>44792</v>
      </c>
      <c r="H13455" s="13" t="s">
        <v>163</v>
      </c>
    </row>
    <row r="13456" spans="1:8" ht="14.4" x14ac:dyDescent="0.3">
      <c r="A13456" s="8">
        <v>2071199</v>
      </c>
      <c r="B13456" s="11">
        <v>44790</v>
      </c>
      <c r="C13456" s="13" t="s">
        <v>17351</v>
      </c>
      <c r="D13456" s="13" t="s">
        <v>17352</v>
      </c>
      <c r="E13456" s="8">
        <v>2000</v>
      </c>
      <c r="F13456" s="13" t="s">
        <v>70</v>
      </c>
      <c r="G13456" s="14">
        <v>44792</v>
      </c>
      <c r="H13456" s="13" t="s">
        <v>163</v>
      </c>
    </row>
    <row r="13457" spans="1:8" ht="14.4" x14ac:dyDescent="0.3">
      <c r="A13457" s="8">
        <v>2071200</v>
      </c>
      <c r="B13457" s="11">
        <v>44790</v>
      </c>
      <c r="C13457" s="13" t="s">
        <v>17353</v>
      </c>
      <c r="D13457" s="13" t="s">
        <v>17354</v>
      </c>
      <c r="E13457" s="8">
        <v>6000</v>
      </c>
      <c r="F13457" s="13" t="s">
        <v>70</v>
      </c>
      <c r="G13457" s="14">
        <v>44792</v>
      </c>
      <c r="H13457" s="13" t="s">
        <v>163</v>
      </c>
    </row>
    <row r="13458" spans="1:8" ht="14.4" x14ac:dyDescent="0.3">
      <c r="A13458" s="8">
        <v>2071201</v>
      </c>
      <c r="B13458" s="11">
        <v>44790</v>
      </c>
      <c r="C13458" s="13" t="s">
        <v>17355</v>
      </c>
      <c r="D13458" s="13" t="s">
        <v>17356</v>
      </c>
      <c r="E13458" s="8">
        <v>8000</v>
      </c>
      <c r="F13458" s="13" t="s">
        <v>70</v>
      </c>
      <c r="G13458" s="14">
        <v>44792</v>
      </c>
      <c r="H13458" s="13" t="s">
        <v>163</v>
      </c>
    </row>
    <row r="13459" spans="1:8" ht="14.4" x14ac:dyDescent="0.3">
      <c r="A13459" s="8">
        <v>2071202</v>
      </c>
      <c r="B13459" s="11">
        <v>44790</v>
      </c>
      <c r="C13459" s="13" t="s">
        <v>17357</v>
      </c>
      <c r="D13459" s="13" t="s">
        <v>17358</v>
      </c>
      <c r="E13459" s="8">
        <v>8000</v>
      </c>
      <c r="F13459" s="13" t="s">
        <v>70</v>
      </c>
      <c r="G13459" s="14">
        <v>44792</v>
      </c>
      <c r="H13459" s="13" t="s">
        <v>163</v>
      </c>
    </row>
    <row r="13460" spans="1:8" ht="14.4" x14ac:dyDescent="0.3">
      <c r="A13460" s="8">
        <v>2071203</v>
      </c>
      <c r="B13460" s="11">
        <v>44790</v>
      </c>
      <c r="C13460" s="13" t="s">
        <v>10640</v>
      </c>
      <c r="D13460" s="13" t="s">
        <v>17359</v>
      </c>
      <c r="E13460" s="8">
        <v>30000</v>
      </c>
      <c r="F13460" s="13" t="s">
        <v>70</v>
      </c>
      <c r="G13460" s="14">
        <v>44792</v>
      </c>
      <c r="H13460" s="13" t="s">
        <v>163</v>
      </c>
    </row>
    <row r="13461" spans="1:8" ht="14.4" x14ac:dyDescent="0.3">
      <c r="A13461" s="8">
        <v>2071204</v>
      </c>
      <c r="B13461" s="11">
        <v>44790</v>
      </c>
      <c r="C13461" s="13" t="s">
        <v>7316</v>
      </c>
      <c r="D13461" s="13" t="s">
        <v>17360</v>
      </c>
      <c r="E13461" s="8">
        <v>10000</v>
      </c>
      <c r="F13461" s="13" t="s">
        <v>70</v>
      </c>
      <c r="G13461" s="14">
        <v>44792</v>
      </c>
      <c r="H13461" s="13" t="s">
        <v>163</v>
      </c>
    </row>
    <row r="13462" spans="1:8" ht="14.4" x14ac:dyDescent="0.3">
      <c r="A13462" s="8">
        <v>2071205</v>
      </c>
      <c r="B13462" s="11">
        <v>44790</v>
      </c>
      <c r="C13462" s="13" t="s">
        <v>17361</v>
      </c>
      <c r="D13462" s="13" t="s">
        <v>17362</v>
      </c>
      <c r="E13462" s="8">
        <v>2000</v>
      </c>
      <c r="F13462" s="13" t="s">
        <v>70</v>
      </c>
      <c r="G13462" s="14">
        <v>44792</v>
      </c>
      <c r="H13462" s="13" t="s">
        <v>163</v>
      </c>
    </row>
    <row r="13463" spans="1:8" ht="14.4" x14ac:dyDescent="0.3">
      <c r="A13463" s="8">
        <v>2071206</v>
      </c>
      <c r="B13463" s="11">
        <v>44790</v>
      </c>
      <c r="C13463" s="13" t="s">
        <v>17363</v>
      </c>
      <c r="D13463" s="13" t="s">
        <v>17364</v>
      </c>
      <c r="E13463" s="8">
        <v>4000</v>
      </c>
      <c r="F13463" s="13" t="s">
        <v>70</v>
      </c>
      <c r="G13463" s="14">
        <v>44792</v>
      </c>
      <c r="H13463" s="13" t="s">
        <v>163</v>
      </c>
    </row>
    <row r="13464" spans="1:8" ht="14.4" x14ac:dyDescent="0.3">
      <c r="A13464" s="8">
        <v>2071207</v>
      </c>
      <c r="B13464" s="11">
        <v>44790</v>
      </c>
      <c r="C13464" s="13" t="s">
        <v>823</v>
      </c>
      <c r="D13464" s="13" t="s">
        <v>17365</v>
      </c>
      <c r="E13464" s="8">
        <v>10000</v>
      </c>
      <c r="F13464" s="13" t="s">
        <v>70</v>
      </c>
      <c r="G13464" s="14">
        <v>44792</v>
      </c>
      <c r="H13464" s="13" t="s">
        <v>163</v>
      </c>
    </row>
    <row r="13465" spans="1:8" ht="14.4" x14ac:dyDescent="0.3">
      <c r="A13465" s="8">
        <v>2071208</v>
      </c>
      <c r="B13465" s="11">
        <v>44790</v>
      </c>
      <c r="C13465" s="13" t="s">
        <v>11092</v>
      </c>
      <c r="D13465" s="13" t="s">
        <v>17366</v>
      </c>
      <c r="E13465" s="8">
        <v>40000</v>
      </c>
      <c r="F13465" s="13" t="s">
        <v>70</v>
      </c>
      <c r="G13465" s="14">
        <v>44792</v>
      </c>
      <c r="H13465" s="13" t="s">
        <v>163</v>
      </c>
    </row>
    <row r="13466" spans="1:8" ht="14.4" x14ac:dyDescent="0.3">
      <c r="A13466" s="8">
        <v>2071209</v>
      </c>
      <c r="B13466" s="11">
        <v>44790</v>
      </c>
      <c r="C13466" s="13" t="s">
        <v>17367</v>
      </c>
      <c r="D13466" s="13" t="s">
        <v>17368</v>
      </c>
      <c r="E13466" s="8">
        <v>6000</v>
      </c>
      <c r="F13466" s="13" t="s">
        <v>70</v>
      </c>
      <c r="G13466" s="14">
        <v>44792</v>
      </c>
      <c r="H13466" s="13" t="s">
        <v>163</v>
      </c>
    </row>
    <row r="13467" spans="1:8" ht="14.4" x14ac:dyDescent="0.3">
      <c r="A13467" s="8">
        <v>2071210</v>
      </c>
      <c r="B13467" s="11">
        <v>44790</v>
      </c>
      <c r="C13467" s="13" t="s">
        <v>17369</v>
      </c>
      <c r="D13467" s="13" t="s">
        <v>17370</v>
      </c>
      <c r="E13467" s="8">
        <v>4000</v>
      </c>
      <c r="F13467" s="13" t="s">
        <v>70</v>
      </c>
      <c r="G13467" s="14">
        <v>44792</v>
      </c>
      <c r="H13467" s="13" t="s">
        <v>163</v>
      </c>
    </row>
    <row r="13468" spans="1:8" ht="14.4" x14ac:dyDescent="0.3">
      <c r="A13468" s="8">
        <v>2071211</v>
      </c>
      <c r="B13468" s="11">
        <v>44790</v>
      </c>
      <c r="C13468" s="13" t="s">
        <v>4463</v>
      </c>
      <c r="D13468" s="13" t="s">
        <v>17371</v>
      </c>
      <c r="E13468" s="8">
        <v>18000</v>
      </c>
      <c r="F13468" s="13" t="s">
        <v>70</v>
      </c>
      <c r="G13468" s="14">
        <v>44795</v>
      </c>
      <c r="H13468" s="13" t="s">
        <v>163</v>
      </c>
    </row>
    <row r="13469" spans="1:8" ht="14.4" x14ac:dyDescent="0.3">
      <c r="A13469" s="8">
        <v>2071212</v>
      </c>
      <c r="B13469" s="11">
        <v>44790</v>
      </c>
      <c r="C13469" s="13" t="s">
        <v>16732</v>
      </c>
      <c r="D13469" s="13" t="s">
        <v>17372</v>
      </c>
      <c r="E13469" s="8">
        <v>6000</v>
      </c>
      <c r="F13469" s="13" t="s">
        <v>70</v>
      </c>
      <c r="G13469" s="14">
        <v>44792</v>
      </c>
      <c r="H13469" s="13" t="s">
        <v>163</v>
      </c>
    </row>
    <row r="13470" spans="1:8" ht="14.4" x14ac:dyDescent="0.3">
      <c r="A13470" s="8">
        <v>2071213</v>
      </c>
      <c r="B13470" s="11">
        <v>44790</v>
      </c>
      <c r="C13470" s="13" t="s">
        <v>17373</v>
      </c>
      <c r="D13470" s="13" t="s">
        <v>17374</v>
      </c>
      <c r="E13470" s="8">
        <v>4000</v>
      </c>
      <c r="F13470" s="13" t="s">
        <v>70</v>
      </c>
      <c r="G13470" s="14">
        <v>44795</v>
      </c>
      <c r="H13470" s="13" t="s">
        <v>163</v>
      </c>
    </row>
    <row r="13471" spans="1:8" ht="14.4" x14ac:dyDescent="0.3">
      <c r="A13471" s="8">
        <v>2071214</v>
      </c>
      <c r="B13471" s="11">
        <v>44790</v>
      </c>
      <c r="C13471" s="13" t="s">
        <v>17375</v>
      </c>
      <c r="D13471" s="13" t="s">
        <v>17376</v>
      </c>
      <c r="E13471" s="8">
        <v>2000</v>
      </c>
      <c r="F13471" s="13" t="s">
        <v>70</v>
      </c>
      <c r="G13471" s="14">
        <v>44792</v>
      </c>
      <c r="H13471" s="13" t="s">
        <v>163</v>
      </c>
    </row>
    <row r="13472" spans="1:8" ht="14.4" x14ac:dyDescent="0.3">
      <c r="A13472" s="8">
        <v>2071215</v>
      </c>
      <c r="B13472" s="11">
        <v>44791</v>
      </c>
      <c r="C13472" s="13" t="s">
        <v>17377</v>
      </c>
      <c r="D13472" s="13" t="s">
        <v>17378</v>
      </c>
      <c r="E13472" s="8">
        <v>2000</v>
      </c>
      <c r="F13472" s="13" t="s">
        <v>70</v>
      </c>
      <c r="G13472" s="14">
        <v>44795</v>
      </c>
      <c r="H13472" s="13" t="s">
        <v>163</v>
      </c>
    </row>
    <row r="13473" spans="1:8" ht="14.4" x14ac:dyDescent="0.3">
      <c r="A13473" s="8">
        <v>2071216</v>
      </c>
      <c r="B13473" s="11">
        <v>44791</v>
      </c>
      <c r="C13473" s="13" t="s">
        <v>17379</v>
      </c>
      <c r="D13473" s="13" t="s">
        <v>17380</v>
      </c>
      <c r="E13473" s="8">
        <v>6000</v>
      </c>
      <c r="F13473" s="13" t="s">
        <v>70</v>
      </c>
      <c r="G13473" s="14">
        <v>44795</v>
      </c>
      <c r="H13473" s="13" t="s">
        <v>163</v>
      </c>
    </row>
    <row r="13474" spans="1:8" ht="14.4" x14ac:dyDescent="0.3">
      <c r="A13474" s="8">
        <v>2071217</v>
      </c>
      <c r="B13474" s="11">
        <v>44791</v>
      </c>
      <c r="C13474" s="13" t="s">
        <v>17381</v>
      </c>
      <c r="D13474" s="13" t="s">
        <v>17382</v>
      </c>
      <c r="E13474" s="8">
        <v>6000</v>
      </c>
      <c r="F13474" s="13" t="s">
        <v>70</v>
      </c>
      <c r="G13474" s="14">
        <v>44795</v>
      </c>
      <c r="H13474" s="13" t="s">
        <v>163</v>
      </c>
    </row>
    <row r="13475" spans="1:8" ht="14.4" x14ac:dyDescent="0.3">
      <c r="A13475" s="8">
        <v>2071218</v>
      </c>
      <c r="B13475" s="11">
        <v>44791</v>
      </c>
      <c r="C13475" s="13" t="s">
        <v>10583</v>
      </c>
      <c r="D13475" s="13" t="s">
        <v>17383</v>
      </c>
      <c r="E13475" s="8">
        <v>20000</v>
      </c>
      <c r="F13475" s="13" t="s">
        <v>70</v>
      </c>
      <c r="G13475" s="14">
        <v>44795</v>
      </c>
      <c r="H13475" s="13" t="s">
        <v>163</v>
      </c>
    </row>
    <row r="13476" spans="1:8" ht="14.4" x14ac:dyDescent="0.3">
      <c r="A13476" s="8">
        <v>2071219</v>
      </c>
      <c r="B13476" s="11">
        <v>44791</v>
      </c>
      <c r="C13476" s="13" t="s">
        <v>17384</v>
      </c>
      <c r="D13476" s="13" t="s">
        <v>17385</v>
      </c>
      <c r="E13476" s="8">
        <v>6000</v>
      </c>
      <c r="F13476" s="13" t="s">
        <v>70</v>
      </c>
      <c r="G13476" s="14">
        <v>44798</v>
      </c>
      <c r="H13476" s="13" t="s">
        <v>163</v>
      </c>
    </row>
    <row r="13477" spans="1:8" ht="14.4" x14ac:dyDescent="0.3">
      <c r="A13477" s="8">
        <v>2071220</v>
      </c>
      <c r="B13477" s="11">
        <v>44791</v>
      </c>
      <c r="C13477" s="13" t="s">
        <v>17386</v>
      </c>
      <c r="D13477" s="13" t="s">
        <v>17387</v>
      </c>
      <c r="E13477" s="8">
        <v>6000</v>
      </c>
      <c r="F13477" s="13" t="s">
        <v>70</v>
      </c>
      <c r="G13477" s="14">
        <v>44795</v>
      </c>
      <c r="H13477" s="13" t="s">
        <v>163</v>
      </c>
    </row>
    <row r="13478" spans="1:8" ht="14.4" x14ac:dyDescent="0.3">
      <c r="A13478" s="8">
        <v>2071221</v>
      </c>
      <c r="B13478" s="11">
        <v>44791</v>
      </c>
      <c r="C13478" s="13" t="s">
        <v>10857</v>
      </c>
      <c r="D13478" s="13" t="s">
        <v>17388</v>
      </c>
      <c r="E13478" s="8">
        <v>50000</v>
      </c>
      <c r="F13478" s="13" t="s">
        <v>70</v>
      </c>
      <c r="G13478" s="14">
        <v>44795</v>
      </c>
      <c r="H13478" s="13" t="s">
        <v>163</v>
      </c>
    </row>
    <row r="13479" spans="1:8" ht="14.4" x14ac:dyDescent="0.3">
      <c r="A13479" s="8">
        <v>2071222</v>
      </c>
      <c r="B13479" s="11">
        <v>44791</v>
      </c>
      <c r="C13479" s="13" t="s">
        <v>10863</v>
      </c>
      <c r="D13479" s="13" t="s">
        <v>17389</v>
      </c>
      <c r="E13479" s="8">
        <v>8000</v>
      </c>
      <c r="F13479" s="13" t="s">
        <v>70</v>
      </c>
      <c r="G13479" s="14">
        <v>44795</v>
      </c>
      <c r="H13479" s="13" t="s">
        <v>163</v>
      </c>
    </row>
    <row r="13480" spans="1:8" ht="14.4" x14ac:dyDescent="0.3">
      <c r="A13480" s="8">
        <v>2071223</v>
      </c>
      <c r="B13480" s="11">
        <v>44791</v>
      </c>
      <c r="C13480" s="13" t="s">
        <v>7830</v>
      </c>
      <c r="D13480" s="13" t="s">
        <v>17390</v>
      </c>
      <c r="E13480" s="8">
        <v>8000</v>
      </c>
      <c r="F13480" s="13" t="s">
        <v>70</v>
      </c>
      <c r="G13480" s="14">
        <v>44795</v>
      </c>
      <c r="H13480" s="13" t="s">
        <v>163</v>
      </c>
    </row>
    <row r="13481" spans="1:8" ht="14.4" x14ac:dyDescent="0.3">
      <c r="A13481" s="8">
        <v>2071224</v>
      </c>
      <c r="B13481" s="11">
        <v>44791</v>
      </c>
      <c r="C13481" s="13" t="s">
        <v>17391</v>
      </c>
      <c r="D13481" s="13" t="s">
        <v>17392</v>
      </c>
      <c r="E13481" s="8">
        <v>4000</v>
      </c>
      <c r="F13481" s="13" t="s">
        <v>70</v>
      </c>
      <c r="G13481" s="14">
        <v>44795</v>
      </c>
      <c r="H13481" s="13" t="s">
        <v>163</v>
      </c>
    </row>
    <row r="13482" spans="1:8" ht="14.4" x14ac:dyDescent="0.3">
      <c r="A13482" s="8">
        <v>2071225</v>
      </c>
      <c r="B13482" s="11">
        <v>44791</v>
      </c>
      <c r="C13482" s="13" t="s">
        <v>17393</v>
      </c>
      <c r="D13482" s="13" t="s">
        <v>17394</v>
      </c>
      <c r="E13482" s="8">
        <v>4000</v>
      </c>
      <c r="F13482" s="13" t="s">
        <v>70</v>
      </c>
      <c r="G13482" s="14">
        <v>44795</v>
      </c>
      <c r="H13482" s="13" t="s">
        <v>163</v>
      </c>
    </row>
    <row r="13483" spans="1:8" ht="14.4" x14ac:dyDescent="0.3">
      <c r="A13483" s="8">
        <v>2071226</v>
      </c>
      <c r="B13483" s="11">
        <v>44791</v>
      </c>
      <c r="C13483" s="13" t="s">
        <v>17395</v>
      </c>
      <c r="D13483" s="13" t="s">
        <v>17396</v>
      </c>
      <c r="E13483" s="8">
        <v>2000</v>
      </c>
      <c r="F13483" s="13" t="s">
        <v>70</v>
      </c>
      <c r="G13483" s="14">
        <v>44795</v>
      </c>
      <c r="H13483" s="13" t="s">
        <v>163</v>
      </c>
    </row>
    <row r="13484" spans="1:8" ht="14.4" x14ac:dyDescent="0.3">
      <c r="A13484" s="8">
        <v>2071227</v>
      </c>
      <c r="B13484" s="11">
        <v>44791</v>
      </c>
      <c r="C13484" s="13" t="s">
        <v>16705</v>
      </c>
      <c r="D13484" s="13" t="s">
        <v>17397</v>
      </c>
      <c r="E13484" s="8">
        <v>2000</v>
      </c>
      <c r="F13484" s="13" t="s">
        <v>70</v>
      </c>
      <c r="G13484" s="14">
        <v>44796</v>
      </c>
      <c r="H13484" s="13" t="s">
        <v>163</v>
      </c>
    </row>
    <row r="13485" spans="1:8" ht="14.4" x14ac:dyDescent="0.3">
      <c r="A13485" s="8">
        <v>2071228</v>
      </c>
      <c r="B13485" s="11">
        <v>44791</v>
      </c>
      <c r="C13485" s="13" t="s">
        <v>17393</v>
      </c>
      <c r="D13485" s="13" t="s">
        <v>17398</v>
      </c>
      <c r="E13485" s="8">
        <v>4000</v>
      </c>
      <c r="F13485" s="13" t="s">
        <v>70</v>
      </c>
      <c r="G13485" s="14">
        <v>44795</v>
      </c>
      <c r="H13485" s="13" t="s">
        <v>163</v>
      </c>
    </row>
    <row r="13486" spans="1:8" ht="14.4" x14ac:dyDescent="0.3">
      <c r="A13486" s="8">
        <v>2071229</v>
      </c>
      <c r="B13486" s="11">
        <v>44791</v>
      </c>
      <c r="C13486" s="13" t="s">
        <v>17399</v>
      </c>
      <c r="D13486" s="13" t="s">
        <v>17400</v>
      </c>
      <c r="E13486" s="8">
        <v>4000</v>
      </c>
      <c r="F13486" s="13" t="s">
        <v>70</v>
      </c>
      <c r="G13486" s="14">
        <v>44795</v>
      </c>
      <c r="H13486" s="13" t="s">
        <v>163</v>
      </c>
    </row>
    <row r="13487" spans="1:8" ht="14.4" x14ac:dyDescent="0.3">
      <c r="A13487" s="8">
        <v>2071230</v>
      </c>
      <c r="B13487" s="11">
        <v>44791</v>
      </c>
      <c r="C13487" s="13" t="s">
        <v>17401</v>
      </c>
      <c r="D13487" s="13" t="s">
        <v>17402</v>
      </c>
      <c r="E13487" s="8">
        <v>4000</v>
      </c>
      <c r="F13487" s="13" t="s">
        <v>70</v>
      </c>
      <c r="G13487" s="14">
        <v>44806</v>
      </c>
      <c r="H13487" s="13" t="s">
        <v>163</v>
      </c>
    </row>
    <row r="13488" spans="1:8" ht="14.4" x14ac:dyDescent="0.3">
      <c r="A13488" s="8">
        <v>2071231</v>
      </c>
      <c r="B13488" s="11">
        <v>44791</v>
      </c>
      <c r="C13488" s="13" t="s">
        <v>13290</v>
      </c>
      <c r="D13488" s="13" t="s">
        <v>17403</v>
      </c>
      <c r="E13488" s="8">
        <v>4000</v>
      </c>
      <c r="F13488" s="13" t="s">
        <v>70</v>
      </c>
      <c r="G13488" s="14">
        <v>44792</v>
      </c>
      <c r="H13488" s="13" t="s">
        <v>163</v>
      </c>
    </row>
    <row r="13489" spans="1:8" ht="14.4" x14ac:dyDescent="0.3">
      <c r="A13489" s="8">
        <v>2071232</v>
      </c>
      <c r="B13489" s="11">
        <v>44791</v>
      </c>
      <c r="C13489" s="13" t="s">
        <v>17404</v>
      </c>
      <c r="D13489" s="13" t="s">
        <v>17405</v>
      </c>
      <c r="E13489" s="8">
        <v>4000</v>
      </c>
      <c r="F13489" s="13" t="s">
        <v>70</v>
      </c>
      <c r="G13489" s="14">
        <v>44795</v>
      </c>
      <c r="H13489" s="13" t="s">
        <v>163</v>
      </c>
    </row>
    <row r="13490" spans="1:8" ht="14.4" x14ac:dyDescent="0.3">
      <c r="A13490" s="8">
        <v>2071233</v>
      </c>
      <c r="B13490" s="11">
        <v>44791</v>
      </c>
      <c r="C13490" s="13" t="s">
        <v>17406</v>
      </c>
      <c r="D13490" s="13" t="s">
        <v>17407</v>
      </c>
      <c r="E13490" s="8">
        <v>7000</v>
      </c>
      <c r="F13490" s="13" t="s">
        <v>70</v>
      </c>
      <c r="G13490" s="14">
        <v>44795</v>
      </c>
      <c r="H13490" s="13" t="s">
        <v>163</v>
      </c>
    </row>
    <row r="13491" spans="1:8" ht="14.4" x14ac:dyDescent="0.3">
      <c r="A13491" s="8">
        <v>2071234</v>
      </c>
      <c r="B13491" s="11">
        <v>44791</v>
      </c>
      <c r="C13491" s="13" t="s">
        <v>17408</v>
      </c>
      <c r="D13491" s="13" t="s">
        <v>17409</v>
      </c>
      <c r="E13491" s="8">
        <v>8000</v>
      </c>
      <c r="F13491" s="13" t="s">
        <v>70</v>
      </c>
      <c r="G13491" s="14">
        <v>44795</v>
      </c>
      <c r="H13491" s="13" t="s">
        <v>163</v>
      </c>
    </row>
    <row r="13492" spans="1:8" ht="14.4" x14ac:dyDescent="0.3">
      <c r="A13492" s="8">
        <v>2071235</v>
      </c>
      <c r="B13492" s="11">
        <v>44792</v>
      </c>
      <c r="C13492" s="13" t="s">
        <v>17410</v>
      </c>
      <c r="D13492" s="13" t="s">
        <v>17411</v>
      </c>
      <c r="E13492" s="8">
        <v>18000</v>
      </c>
      <c r="F13492" s="13" t="s">
        <v>70</v>
      </c>
      <c r="G13492" s="14">
        <v>44795</v>
      </c>
      <c r="H13492" s="13" t="s">
        <v>163</v>
      </c>
    </row>
    <row r="13493" spans="1:8" ht="14.4" x14ac:dyDescent="0.3">
      <c r="A13493" s="8">
        <v>2071236</v>
      </c>
      <c r="B13493" s="11">
        <v>44792</v>
      </c>
      <c r="C13493" s="13" t="s">
        <v>17412</v>
      </c>
      <c r="D13493" s="13" t="s">
        <v>17413</v>
      </c>
      <c r="E13493" s="8">
        <v>6000</v>
      </c>
      <c r="F13493" s="13" t="s">
        <v>70</v>
      </c>
      <c r="G13493" s="14">
        <v>44795</v>
      </c>
      <c r="H13493" s="13" t="s">
        <v>163</v>
      </c>
    </row>
    <row r="13494" spans="1:8" ht="14.4" x14ac:dyDescent="0.3">
      <c r="A13494" s="8">
        <v>2071237</v>
      </c>
      <c r="B13494" s="11">
        <v>44792</v>
      </c>
      <c r="C13494" s="13" t="s">
        <v>17414</v>
      </c>
      <c r="D13494" s="13" t="s">
        <v>17415</v>
      </c>
      <c r="E13494" s="8">
        <v>10000</v>
      </c>
      <c r="F13494" s="13" t="s">
        <v>70</v>
      </c>
      <c r="G13494" s="14">
        <v>44795</v>
      </c>
      <c r="H13494" s="13" t="s">
        <v>163</v>
      </c>
    </row>
    <row r="13495" spans="1:8" ht="14.4" x14ac:dyDescent="0.3">
      <c r="A13495" s="8">
        <v>2071238</v>
      </c>
      <c r="B13495" s="11">
        <v>44792</v>
      </c>
      <c r="C13495" s="13" t="s">
        <v>10710</v>
      </c>
      <c r="D13495" s="13" t="s">
        <v>17416</v>
      </c>
      <c r="E13495" s="8">
        <v>10000</v>
      </c>
      <c r="F13495" s="13" t="s">
        <v>70</v>
      </c>
      <c r="G13495" s="14">
        <v>44795</v>
      </c>
      <c r="H13495" s="13" t="s">
        <v>163</v>
      </c>
    </row>
    <row r="13496" spans="1:8" ht="14.4" x14ac:dyDescent="0.3">
      <c r="A13496" s="8">
        <v>2071239</v>
      </c>
      <c r="B13496" s="11">
        <v>44792</v>
      </c>
      <c r="C13496" s="13" t="s">
        <v>17417</v>
      </c>
      <c r="D13496" s="13" t="s">
        <v>17418</v>
      </c>
      <c r="E13496" s="8">
        <v>40000</v>
      </c>
      <c r="F13496" s="13" t="s">
        <v>70</v>
      </c>
      <c r="G13496" s="14">
        <v>44795</v>
      </c>
      <c r="H13496" s="13" t="s">
        <v>163</v>
      </c>
    </row>
    <row r="13497" spans="1:8" ht="14.4" x14ac:dyDescent="0.3">
      <c r="A13497" s="8">
        <v>2071240</v>
      </c>
      <c r="B13497" s="11">
        <v>44792</v>
      </c>
      <c r="C13497" s="13" t="s">
        <v>17419</v>
      </c>
      <c r="D13497" s="13" t="s">
        <v>17420</v>
      </c>
      <c r="E13497" s="8">
        <v>2000</v>
      </c>
      <c r="F13497" s="13" t="s">
        <v>70</v>
      </c>
      <c r="G13497" s="14">
        <v>44796</v>
      </c>
      <c r="H13497" s="13" t="s">
        <v>163</v>
      </c>
    </row>
    <row r="13498" spans="1:8" ht="14.4" x14ac:dyDescent="0.3">
      <c r="A13498" s="8">
        <v>2071241</v>
      </c>
      <c r="B13498" s="11">
        <v>44792</v>
      </c>
      <c r="C13498" s="13" t="s">
        <v>14274</v>
      </c>
      <c r="D13498" s="13" t="s">
        <v>17421</v>
      </c>
      <c r="E13498" s="8">
        <v>2000</v>
      </c>
      <c r="F13498" s="13" t="s">
        <v>70</v>
      </c>
      <c r="G13498" s="14">
        <v>44795</v>
      </c>
      <c r="H13498" s="13" t="s">
        <v>163</v>
      </c>
    </row>
    <row r="13499" spans="1:8" ht="14.4" x14ac:dyDescent="0.3">
      <c r="A13499" s="8">
        <v>2071242</v>
      </c>
      <c r="B13499" s="11">
        <v>44792</v>
      </c>
      <c r="C13499" s="13" t="s">
        <v>14819</v>
      </c>
      <c r="D13499" s="13" t="s">
        <v>17422</v>
      </c>
      <c r="E13499" s="8">
        <v>2000</v>
      </c>
      <c r="F13499" s="13" t="s">
        <v>70</v>
      </c>
      <c r="G13499" s="14">
        <v>44795</v>
      </c>
      <c r="H13499" s="13" t="s">
        <v>163</v>
      </c>
    </row>
    <row r="13500" spans="1:8" ht="14.4" x14ac:dyDescent="0.3">
      <c r="A13500" s="8">
        <v>2071243</v>
      </c>
      <c r="B13500" s="11">
        <v>44792</v>
      </c>
      <c r="C13500" s="13" t="s">
        <v>17423</v>
      </c>
      <c r="D13500" s="13" t="s">
        <v>17424</v>
      </c>
      <c r="E13500" s="8">
        <v>8000</v>
      </c>
      <c r="F13500" s="13" t="s">
        <v>70</v>
      </c>
      <c r="G13500" s="14">
        <v>44795</v>
      </c>
      <c r="H13500" s="13" t="s">
        <v>163</v>
      </c>
    </row>
    <row r="13501" spans="1:8" ht="14.4" x14ac:dyDescent="0.3">
      <c r="A13501" s="8">
        <v>2071244</v>
      </c>
      <c r="B13501" s="11">
        <v>44792</v>
      </c>
      <c r="C13501" s="13" t="s">
        <v>14088</v>
      </c>
      <c r="D13501" s="13" t="s">
        <v>17425</v>
      </c>
      <c r="E13501" s="8">
        <v>2000</v>
      </c>
      <c r="F13501" s="13" t="s">
        <v>70</v>
      </c>
      <c r="G13501" s="14">
        <v>44795</v>
      </c>
      <c r="H13501" s="13" t="s">
        <v>163</v>
      </c>
    </row>
    <row r="13502" spans="1:8" ht="14.4" x14ac:dyDescent="0.3">
      <c r="A13502" s="8">
        <v>2071245</v>
      </c>
      <c r="B13502" s="11">
        <v>44792</v>
      </c>
      <c r="C13502" s="13" t="s">
        <v>17426</v>
      </c>
      <c r="D13502" s="13" t="s">
        <v>17427</v>
      </c>
      <c r="E13502" s="8">
        <v>4000</v>
      </c>
      <c r="F13502" s="13" t="s">
        <v>70</v>
      </c>
      <c r="G13502" s="14">
        <v>44803</v>
      </c>
      <c r="H13502" s="13" t="s">
        <v>163</v>
      </c>
    </row>
    <row r="13503" spans="1:8" ht="14.4" x14ac:dyDescent="0.3">
      <c r="A13503" s="8">
        <v>2071246</v>
      </c>
      <c r="B13503" s="11">
        <v>44792</v>
      </c>
      <c r="C13503" s="13" t="s">
        <v>17428</v>
      </c>
      <c r="D13503" s="13" t="s">
        <v>17429</v>
      </c>
      <c r="E13503" s="8">
        <v>8000</v>
      </c>
      <c r="F13503" s="13" t="s">
        <v>70</v>
      </c>
      <c r="G13503" s="14">
        <v>44795</v>
      </c>
      <c r="H13503" s="13" t="s">
        <v>163</v>
      </c>
    </row>
    <row r="13504" spans="1:8" ht="14.4" x14ac:dyDescent="0.3">
      <c r="A13504" s="8">
        <v>2071247</v>
      </c>
      <c r="B13504" s="11">
        <v>44792</v>
      </c>
      <c r="C13504" s="13" t="s">
        <v>17430</v>
      </c>
      <c r="D13504" s="13" t="s">
        <v>17431</v>
      </c>
      <c r="E13504" s="8">
        <v>2000</v>
      </c>
      <c r="F13504" s="13" t="s">
        <v>70</v>
      </c>
      <c r="G13504" s="14">
        <v>44795</v>
      </c>
      <c r="H13504" s="13" t="s">
        <v>163</v>
      </c>
    </row>
    <row r="13505" spans="1:8" ht="14.4" x14ac:dyDescent="0.3">
      <c r="A13505" s="8">
        <v>2071248</v>
      </c>
      <c r="B13505" s="11">
        <v>44792</v>
      </c>
      <c r="C13505" s="13" t="s">
        <v>17432</v>
      </c>
      <c r="D13505" s="13" t="s">
        <v>17433</v>
      </c>
      <c r="E13505" s="8">
        <v>2000</v>
      </c>
      <c r="F13505" s="13" t="s">
        <v>70</v>
      </c>
      <c r="G13505" s="14">
        <v>44795</v>
      </c>
      <c r="H13505" s="13" t="s">
        <v>163</v>
      </c>
    </row>
    <row r="13506" spans="1:8" ht="14.4" x14ac:dyDescent="0.3">
      <c r="A13506" s="8">
        <v>2071249</v>
      </c>
      <c r="B13506" s="11">
        <v>44792</v>
      </c>
      <c r="C13506" s="13" t="s">
        <v>11371</v>
      </c>
      <c r="D13506" s="13" t="s">
        <v>17434</v>
      </c>
      <c r="E13506" s="8">
        <v>2000</v>
      </c>
      <c r="F13506" s="13" t="s">
        <v>70</v>
      </c>
      <c r="G13506" s="14">
        <v>44795</v>
      </c>
      <c r="H13506" s="13" t="s">
        <v>163</v>
      </c>
    </row>
    <row r="13507" spans="1:8" ht="14.4" x14ac:dyDescent="0.3">
      <c r="A13507" s="8">
        <v>2071250</v>
      </c>
      <c r="B13507" s="11">
        <v>44792</v>
      </c>
      <c r="C13507" s="13" t="s">
        <v>11231</v>
      </c>
      <c r="D13507" s="13" t="s">
        <v>17435</v>
      </c>
      <c r="E13507" s="8">
        <v>2000</v>
      </c>
      <c r="F13507" s="13" t="s">
        <v>70</v>
      </c>
      <c r="G13507" s="14">
        <v>44792</v>
      </c>
      <c r="H13507" s="13" t="s">
        <v>163</v>
      </c>
    </row>
    <row r="13508" spans="1:8" ht="14.4" x14ac:dyDescent="0.3">
      <c r="A13508" s="8">
        <v>2071251</v>
      </c>
      <c r="B13508" s="11">
        <v>44792</v>
      </c>
      <c r="C13508" s="13" t="s">
        <v>17436</v>
      </c>
      <c r="D13508" s="13" t="s">
        <v>17437</v>
      </c>
      <c r="E13508" s="8">
        <v>4000</v>
      </c>
      <c r="F13508" s="13" t="s">
        <v>70</v>
      </c>
      <c r="G13508" s="14">
        <v>44795</v>
      </c>
      <c r="H13508" s="13" t="s">
        <v>163</v>
      </c>
    </row>
    <row r="13509" spans="1:8" ht="14.4" x14ac:dyDescent="0.3">
      <c r="A13509" s="8">
        <v>2071252</v>
      </c>
      <c r="B13509" s="11">
        <v>44792</v>
      </c>
      <c r="C13509" s="13" t="s">
        <v>15104</v>
      </c>
      <c r="D13509" s="13" t="s">
        <v>17438</v>
      </c>
      <c r="E13509" s="8">
        <v>2000</v>
      </c>
      <c r="F13509" s="13" t="s">
        <v>70</v>
      </c>
      <c r="G13509" s="14">
        <v>44795</v>
      </c>
      <c r="H13509" s="13" t="s">
        <v>163</v>
      </c>
    </row>
    <row r="13510" spans="1:8" ht="14.4" x14ac:dyDescent="0.3">
      <c r="A13510" s="8">
        <v>2071253</v>
      </c>
      <c r="B13510" s="11">
        <v>44792</v>
      </c>
      <c r="C13510" s="13" t="s">
        <v>17439</v>
      </c>
      <c r="D13510" s="13" t="s">
        <v>17440</v>
      </c>
      <c r="E13510" s="8">
        <v>4000</v>
      </c>
      <c r="F13510" s="13" t="s">
        <v>70</v>
      </c>
      <c r="G13510" s="14">
        <v>44795</v>
      </c>
      <c r="H13510" s="13" t="s">
        <v>163</v>
      </c>
    </row>
    <row r="13511" spans="1:8" ht="14.4" x14ac:dyDescent="0.3">
      <c r="A13511" s="8">
        <v>2071254</v>
      </c>
      <c r="B13511" s="11">
        <v>44792</v>
      </c>
      <c r="C13511" s="13" t="s">
        <v>6853</v>
      </c>
      <c r="D13511" s="13" t="s">
        <v>17441</v>
      </c>
      <c r="E13511" s="8">
        <v>4000</v>
      </c>
      <c r="F13511" s="13" t="s">
        <v>70</v>
      </c>
      <c r="G13511" s="14">
        <v>44795</v>
      </c>
      <c r="H13511" s="13" t="s">
        <v>163</v>
      </c>
    </row>
    <row r="13512" spans="1:8" ht="14.4" x14ac:dyDescent="0.3">
      <c r="A13512" s="8">
        <v>2071255</v>
      </c>
      <c r="B13512" s="11">
        <v>44792</v>
      </c>
      <c r="C13512" s="13" t="s">
        <v>17442</v>
      </c>
      <c r="D13512" s="13" t="s">
        <v>17443</v>
      </c>
      <c r="E13512" s="8">
        <v>4000</v>
      </c>
      <c r="F13512" s="13" t="s">
        <v>70</v>
      </c>
      <c r="G13512" s="14">
        <v>44795</v>
      </c>
      <c r="H13512" s="13" t="s">
        <v>163</v>
      </c>
    </row>
    <row r="13513" spans="1:8" ht="14.4" x14ac:dyDescent="0.3">
      <c r="A13513" s="8">
        <v>2071256</v>
      </c>
      <c r="B13513" s="11">
        <v>44792</v>
      </c>
      <c r="C13513" s="13" t="s">
        <v>8136</v>
      </c>
      <c r="D13513" s="13" t="s">
        <v>17444</v>
      </c>
      <c r="E13513" s="8">
        <v>4000</v>
      </c>
      <c r="F13513" s="13" t="s">
        <v>70</v>
      </c>
      <c r="G13513" s="14">
        <v>44795</v>
      </c>
      <c r="H13513" s="13" t="s">
        <v>163</v>
      </c>
    </row>
    <row r="13514" spans="1:8" ht="14.4" x14ac:dyDescent="0.3">
      <c r="A13514" s="8">
        <v>2071257</v>
      </c>
      <c r="B13514" s="11">
        <v>44792</v>
      </c>
      <c r="C13514" s="13" t="s">
        <v>7997</v>
      </c>
      <c r="D13514" s="13" t="s">
        <v>17445</v>
      </c>
      <c r="E13514" s="8">
        <v>6000</v>
      </c>
      <c r="F13514" s="13" t="s">
        <v>70</v>
      </c>
      <c r="G13514" s="14">
        <v>44795</v>
      </c>
      <c r="H13514" s="13" t="s">
        <v>163</v>
      </c>
    </row>
    <row r="13515" spans="1:8" ht="14.4" x14ac:dyDescent="0.3">
      <c r="A13515" s="8">
        <v>2071258</v>
      </c>
      <c r="B13515" s="11">
        <v>44792</v>
      </c>
      <c r="C13515" s="13" t="s">
        <v>17446</v>
      </c>
      <c r="D13515" s="13" t="s">
        <v>17447</v>
      </c>
      <c r="E13515" s="8">
        <v>2000</v>
      </c>
      <c r="F13515" s="13" t="s">
        <v>70</v>
      </c>
      <c r="G13515" s="14">
        <v>44795</v>
      </c>
      <c r="H13515" s="13" t="s">
        <v>163</v>
      </c>
    </row>
    <row r="13516" spans="1:8" ht="14.4" x14ac:dyDescent="0.3">
      <c r="A13516" s="8">
        <v>2071259</v>
      </c>
      <c r="B13516" s="11">
        <v>44792</v>
      </c>
      <c r="C13516" s="13" t="s">
        <v>11558</v>
      </c>
      <c r="D13516" s="13" t="s">
        <v>17448</v>
      </c>
      <c r="E13516" s="8">
        <v>10000</v>
      </c>
      <c r="F13516" s="13" t="s">
        <v>70</v>
      </c>
      <c r="G13516" s="14">
        <v>44795</v>
      </c>
      <c r="H13516" s="13" t="s">
        <v>163</v>
      </c>
    </row>
    <row r="13517" spans="1:8" ht="14.4" x14ac:dyDescent="0.3">
      <c r="A13517" s="8">
        <v>2071260</v>
      </c>
      <c r="B13517" s="11">
        <v>44792</v>
      </c>
      <c r="C13517" s="13" t="s">
        <v>14036</v>
      </c>
      <c r="D13517" s="13" t="s">
        <v>17449</v>
      </c>
      <c r="E13517" s="8">
        <v>4000</v>
      </c>
      <c r="F13517" s="13" t="s">
        <v>70</v>
      </c>
      <c r="G13517" s="14">
        <v>44795</v>
      </c>
      <c r="H13517" s="13" t="s">
        <v>163</v>
      </c>
    </row>
    <row r="13518" spans="1:8" ht="14.4" x14ac:dyDescent="0.3">
      <c r="A13518" s="8">
        <v>2071261</v>
      </c>
      <c r="B13518" s="11">
        <v>44792</v>
      </c>
      <c r="C13518" s="13" t="s">
        <v>14712</v>
      </c>
      <c r="D13518" s="13" t="s">
        <v>17450</v>
      </c>
      <c r="E13518" s="8">
        <v>2000</v>
      </c>
      <c r="F13518" s="13" t="s">
        <v>70</v>
      </c>
      <c r="G13518" s="14">
        <v>44795</v>
      </c>
      <c r="H13518" s="13" t="s">
        <v>163</v>
      </c>
    </row>
    <row r="13519" spans="1:8" ht="14.4" x14ac:dyDescent="0.3">
      <c r="A13519" s="8">
        <v>2071262</v>
      </c>
      <c r="B13519" s="11">
        <v>44792</v>
      </c>
      <c r="C13519" s="13" t="s">
        <v>14614</v>
      </c>
      <c r="D13519" s="13" t="s">
        <v>17451</v>
      </c>
      <c r="E13519" s="8">
        <v>2000</v>
      </c>
      <c r="F13519" s="13" t="s">
        <v>70</v>
      </c>
      <c r="G13519" s="14">
        <v>44798</v>
      </c>
      <c r="H13519" s="13" t="s">
        <v>163</v>
      </c>
    </row>
    <row r="13520" spans="1:8" ht="14.4" x14ac:dyDescent="0.3">
      <c r="A13520" s="8">
        <v>2071263</v>
      </c>
      <c r="B13520" s="11">
        <v>44792</v>
      </c>
      <c r="C13520" s="13" t="s">
        <v>17452</v>
      </c>
      <c r="D13520" s="13" t="s">
        <v>17453</v>
      </c>
      <c r="E13520" s="8">
        <v>8000</v>
      </c>
      <c r="F13520" s="13" t="s">
        <v>70</v>
      </c>
      <c r="G13520" s="14">
        <v>44795</v>
      </c>
      <c r="H13520" s="13" t="s">
        <v>163</v>
      </c>
    </row>
    <row r="13521" spans="1:8" ht="14.4" x14ac:dyDescent="0.3">
      <c r="A13521" s="8">
        <v>2071264</v>
      </c>
      <c r="B13521" s="11">
        <v>44792</v>
      </c>
      <c r="C13521" s="13" t="s">
        <v>3768</v>
      </c>
      <c r="D13521" s="13" t="s">
        <v>17454</v>
      </c>
      <c r="E13521" s="8">
        <v>2000</v>
      </c>
      <c r="F13521" s="13" t="s">
        <v>70</v>
      </c>
      <c r="G13521" s="14">
        <v>44795</v>
      </c>
      <c r="H13521" s="13" t="s">
        <v>163</v>
      </c>
    </row>
    <row r="13522" spans="1:8" ht="14.4" x14ac:dyDescent="0.3">
      <c r="A13522" s="8">
        <v>2071265</v>
      </c>
      <c r="B13522" s="11">
        <v>44792</v>
      </c>
      <c r="C13522" s="13" t="s">
        <v>14997</v>
      </c>
      <c r="D13522" s="13" t="s">
        <v>17455</v>
      </c>
      <c r="E13522" s="8">
        <v>2000</v>
      </c>
      <c r="F13522" s="13" t="s">
        <v>70</v>
      </c>
      <c r="G13522" s="14">
        <v>44798</v>
      </c>
      <c r="H13522" s="13" t="s">
        <v>163</v>
      </c>
    </row>
    <row r="13523" spans="1:8" ht="14.4" x14ac:dyDescent="0.3">
      <c r="A13523" s="8">
        <v>2071266</v>
      </c>
      <c r="B13523" s="11">
        <v>44792</v>
      </c>
      <c r="C13523" s="13" t="s">
        <v>17456</v>
      </c>
      <c r="D13523" s="13" t="s">
        <v>17457</v>
      </c>
      <c r="E13523" s="8">
        <v>4000</v>
      </c>
      <c r="F13523" s="13" t="s">
        <v>70</v>
      </c>
      <c r="G13523" s="14">
        <v>44796</v>
      </c>
      <c r="H13523" s="13" t="s">
        <v>163</v>
      </c>
    </row>
    <row r="13524" spans="1:8" ht="14.4" x14ac:dyDescent="0.3">
      <c r="A13524" s="8">
        <v>2071267</v>
      </c>
      <c r="B13524" s="11">
        <v>44792</v>
      </c>
      <c r="C13524" s="13" t="s">
        <v>13673</v>
      </c>
      <c r="D13524" s="13" t="s">
        <v>17458</v>
      </c>
      <c r="E13524" s="8">
        <v>2000</v>
      </c>
      <c r="F13524" s="13" t="s">
        <v>70</v>
      </c>
      <c r="G13524" s="14">
        <v>44804</v>
      </c>
      <c r="H13524" s="13" t="s">
        <v>163</v>
      </c>
    </row>
    <row r="13525" spans="1:8" ht="14.4" x14ac:dyDescent="0.3">
      <c r="A13525" s="8">
        <v>2071268</v>
      </c>
      <c r="B13525" s="11">
        <v>44792</v>
      </c>
      <c r="C13525" s="13" t="s">
        <v>17459</v>
      </c>
      <c r="D13525" s="13" t="s">
        <v>17460</v>
      </c>
      <c r="E13525" s="8">
        <v>8000</v>
      </c>
      <c r="F13525" s="13" t="s">
        <v>70</v>
      </c>
      <c r="G13525" s="14">
        <v>44795</v>
      </c>
      <c r="H13525" s="13" t="s">
        <v>163</v>
      </c>
    </row>
    <row r="13526" spans="1:8" ht="14.4" x14ac:dyDescent="0.3">
      <c r="A13526" s="8">
        <v>2071269</v>
      </c>
      <c r="B13526" s="11">
        <v>44792</v>
      </c>
      <c r="C13526" s="13" t="s">
        <v>14078</v>
      </c>
      <c r="D13526" s="13" t="s">
        <v>17461</v>
      </c>
      <c r="E13526" s="8">
        <v>2000</v>
      </c>
      <c r="F13526" s="13" t="s">
        <v>70</v>
      </c>
      <c r="G13526" s="14">
        <v>44795</v>
      </c>
      <c r="H13526" s="13" t="s">
        <v>163</v>
      </c>
    </row>
    <row r="13527" spans="1:8" ht="14.4" x14ac:dyDescent="0.3">
      <c r="A13527" s="8">
        <v>2071270</v>
      </c>
      <c r="B13527" s="11">
        <v>44792</v>
      </c>
      <c r="C13527" s="13" t="s">
        <v>13905</v>
      </c>
      <c r="D13527" s="13" t="s">
        <v>17462</v>
      </c>
      <c r="E13527" s="8">
        <v>2000</v>
      </c>
      <c r="F13527" s="13" t="s">
        <v>70</v>
      </c>
      <c r="G13527" s="14">
        <v>44795</v>
      </c>
      <c r="H13527" s="13" t="s">
        <v>163</v>
      </c>
    </row>
    <row r="13528" spans="1:8" ht="14.4" x14ac:dyDescent="0.3">
      <c r="A13528" s="8">
        <v>2071271</v>
      </c>
      <c r="B13528" s="11">
        <v>44792</v>
      </c>
      <c r="C13528" s="13" t="s">
        <v>13660</v>
      </c>
      <c r="D13528" s="13" t="s">
        <v>17463</v>
      </c>
      <c r="E13528" s="8">
        <v>2000</v>
      </c>
      <c r="F13528" s="13" t="s">
        <v>70</v>
      </c>
      <c r="G13528" s="14">
        <v>44795</v>
      </c>
      <c r="H13528" s="13" t="s">
        <v>163</v>
      </c>
    </row>
    <row r="13529" spans="1:8" ht="14.4" x14ac:dyDescent="0.3">
      <c r="A13529" s="8">
        <v>2071272</v>
      </c>
      <c r="B13529" s="11">
        <v>44792</v>
      </c>
      <c r="C13529" s="13" t="s">
        <v>17464</v>
      </c>
      <c r="D13529" s="13" t="s">
        <v>17465</v>
      </c>
      <c r="E13529" s="8">
        <v>1000</v>
      </c>
      <c r="F13529" s="13" t="s">
        <v>70</v>
      </c>
      <c r="G13529" s="14">
        <v>44798</v>
      </c>
      <c r="H13529" s="13" t="s">
        <v>163</v>
      </c>
    </row>
    <row r="13530" spans="1:8" ht="14.4" x14ac:dyDescent="0.3">
      <c r="A13530" s="8">
        <v>2071273</v>
      </c>
      <c r="B13530" s="11">
        <v>44795</v>
      </c>
      <c r="C13530" s="13" t="s">
        <v>17466</v>
      </c>
      <c r="D13530" s="13" t="s">
        <v>17467</v>
      </c>
      <c r="E13530" s="8">
        <v>2000</v>
      </c>
      <c r="F13530" s="13" t="s">
        <v>70</v>
      </c>
      <c r="G13530" s="14">
        <v>44798</v>
      </c>
      <c r="H13530" s="13" t="s">
        <v>163</v>
      </c>
    </row>
    <row r="13531" spans="1:8" ht="14.4" x14ac:dyDescent="0.3">
      <c r="A13531" s="8">
        <v>2071274</v>
      </c>
      <c r="B13531" s="11">
        <v>44795</v>
      </c>
      <c r="C13531" s="13" t="s">
        <v>17468</v>
      </c>
      <c r="D13531" s="13" t="s">
        <v>17469</v>
      </c>
      <c r="E13531" s="8">
        <v>2000</v>
      </c>
      <c r="F13531" s="13" t="s">
        <v>70</v>
      </c>
      <c r="G13531" s="14">
        <v>44798</v>
      </c>
      <c r="H13531" s="13" t="s">
        <v>163</v>
      </c>
    </row>
    <row r="13532" spans="1:8" ht="14.4" x14ac:dyDescent="0.3">
      <c r="A13532" s="8">
        <v>2071275</v>
      </c>
      <c r="B13532" s="11">
        <v>44795</v>
      </c>
      <c r="C13532" s="13" t="s">
        <v>11184</v>
      </c>
      <c r="D13532" s="13" t="s">
        <v>17470</v>
      </c>
      <c r="E13532" s="8">
        <v>10000</v>
      </c>
      <c r="F13532" s="13" t="s">
        <v>70</v>
      </c>
      <c r="G13532" s="14">
        <v>44798</v>
      </c>
      <c r="H13532" s="13" t="s">
        <v>163</v>
      </c>
    </row>
    <row r="13533" spans="1:8" ht="14.4" x14ac:dyDescent="0.3">
      <c r="A13533" s="8">
        <v>2071276</v>
      </c>
      <c r="B13533" s="11">
        <v>44795</v>
      </c>
      <c r="C13533" s="13" t="s">
        <v>17471</v>
      </c>
      <c r="D13533" s="13" t="s">
        <v>17472</v>
      </c>
      <c r="E13533" s="8">
        <v>16000</v>
      </c>
      <c r="F13533" s="13" t="s">
        <v>70</v>
      </c>
      <c r="G13533" s="14">
        <v>44798</v>
      </c>
      <c r="H13533" s="13" t="s">
        <v>163</v>
      </c>
    </row>
    <row r="13534" spans="1:8" ht="14.4" x14ac:dyDescent="0.3">
      <c r="A13534" s="8">
        <v>2071277</v>
      </c>
      <c r="B13534" s="11">
        <v>44795</v>
      </c>
      <c r="C13534" s="13" t="s">
        <v>17473</v>
      </c>
      <c r="D13534" s="13" t="s">
        <v>17474</v>
      </c>
      <c r="E13534" s="8">
        <v>8000</v>
      </c>
      <c r="F13534" s="13" t="s">
        <v>70</v>
      </c>
      <c r="G13534" s="14">
        <v>44796</v>
      </c>
      <c r="H13534" s="13" t="s">
        <v>163</v>
      </c>
    </row>
    <row r="13535" spans="1:8" ht="14.4" x14ac:dyDescent="0.3">
      <c r="A13535" s="8">
        <v>2071278</v>
      </c>
      <c r="B13535" s="11">
        <v>44795</v>
      </c>
      <c r="C13535" s="13" t="s">
        <v>17475</v>
      </c>
      <c r="D13535" s="13" t="s">
        <v>17476</v>
      </c>
      <c r="E13535" s="8">
        <v>4000</v>
      </c>
      <c r="F13535" s="13" t="s">
        <v>70</v>
      </c>
      <c r="G13535" s="14">
        <v>44798</v>
      </c>
      <c r="H13535" s="13" t="s">
        <v>163</v>
      </c>
    </row>
    <row r="13536" spans="1:8" ht="14.4" x14ac:dyDescent="0.3">
      <c r="A13536" s="8">
        <v>2071279</v>
      </c>
      <c r="B13536" s="11">
        <v>44795</v>
      </c>
      <c r="C13536" s="13" t="s">
        <v>11086</v>
      </c>
      <c r="D13536" s="13" t="s">
        <v>17477</v>
      </c>
      <c r="E13536" s="8">
        <v>8000</v>
      </c>
      <c r="F13536" s="13" t="s">
        <v>70</v>
      </c>
      <c r="G13536" s="14">
        <v>44798</v>
      </c>
      <c r="H13536" s="13" t="s">
        <v>163</v>
      </c>
    </row>
    <row r="13537" spans="1:8" ht="14.4" x14ac:dyDescent="0.3">
      <c r="A13537" s="8">
        <v>2071280</v>
      </c>
      <c r="B13537" s="11">
        <v>44795</v>
      </c>
      <c r="C13537" s="13" t="s">
        <v>17478</v>
      </c>
      <c r="D13537" s="13" t="s">
        <v>17479</v>
      </c>
      <c r="E13537" s="8">
        <v>6000</v>
      </c>
      <c r="F13537" s="13" t="s">
        <v>70</v>
      </c>
      <c r="G13537" s="14">
        <v>44798</v>
      </c>
      <c r="H13537" s="13" t="s">
        <v>163</v>
      </c>
    </row>
    <row r="13538" spans="1:8" ht="14.4" x14ac:dyDescent="0.3">
      <c r="A13538" s="8">
        <v>2071281</v>
      </c>
      <c r="B13538" s="11">
        <v>44795</v>
      </c>
      <c r="C13538" s="13" t="s">
        <v>14309</v>
      </c>
      <c r="D13538" s="13" t="s">
        <v>17480</v>
      </c>
      <c r="E13538" s="8">
        <v>4000</v>
      </c>
      <c r="F13538" s="13" t="s">
        <v>70</v>
      </c>
      <c r="G13538" s="14">
        <v>44798</v>
      </c>
      <c r="H13538" s="13" t="s">
        <v>163</v>
      </c>
    </row>
    <row r="13539" spans="1:8" ht="14.4" x14ac:dyDescent="0.3">
      <c r="A13539" s="8">
        <v>2071282</v>
      </c>
      <c r="B13539" s="11">
        <v>44795</v>
      </c>
      <c r="C13539" s="13" t="s">
        <v>17481</v>
      </c>
      <c r="D13539" s="13" t="s">
        <v>17482</v>
      </c>
      <c r="E13539" s="8">
        <v>8000</v>
      </c>
      <c r="F13539" s="13" t="s">
        <v>70</v>
      </c>
      <c r="G13539" s="14">
        <v>44796</v>
      </c>
      <c r="H13539" s="13" t="s">
        <v>163</v>
      </c>
    </row>
    <row r="13540" spans="1:8" ht="14.4" x14ac:dyDescent="0.3">
      <c r="A13540" s="8">
        <v>2071283</v>
      </c>
      <c r="B13540" s="11">
        <v>44795</v>
      </c>
      <c r="C13540" s="13" t="s">
        <v>17483</v>
      </c>
      <c r="D13540" s="13" t="s">
        <v>17484</v>
      </c>
      <c r="E13540" s="8">
        <v>8000</v>
      </c>
      <c r="F13540" s="13" t="s">
        <v>70</v>
      </c>
      <c r="G13540" s="14">
        <v>44798</v>
      </c>
      <c r="H13540" s="13" t="s">
        <v>163</v>
      </c>
    </row>
    <row r="13541" spans="1:8" ht="14.4" x14ac:dyDescent="0.3">
      <c r="A13541" s="8">
        <v>2071284</v>
      </c>
      <c r="B13541" s="11">
        <v>44795</v>
      </c>
      <c r="C13541" s="13" t="s">
        <v>11090</v>
      </c>
      <c r="D13541" s="13" t="s">
        <v>17485</v>
      </c>
      <c r="E13541" s="8">
        <v>8000</v>
      </c>
      <c r="F13541" s="13" t="s">
        <v>70</v>
      </c>
      <c r="G13541" s="14">
        <v>44799</v>
      </c>
      <c r="H13541" s="13" t="s">
        <v>163</v>
      </c>
    </row>
    <row r="13542" spans="1:8" ht="14.4" x14ac:dyDescent="0.3">
      <c r="A13542" s="8">
        <v>2071285</v>
      </c>
      <c r="B13542" s="11">
        <v>44795</v>
      </c>
      <c r="C13542" s="13" t="s">
        <v>17486</v>
      </c>
      <c r="D13542" s="13" t="s">
        <v>17487</v>
      </c>
      <c r="E13542" s="8">
        <v>6000</v>
      </c>
      <c r="F13542" s="13" t="s">
        <v>70</v>
      </c>
      <c r="G13542" s="14">
        <v>44796</v>
      </c>
      <c r="H13542" s="13" t="s">
        <v>163</v>
      </c>
    </row>
    <row r="13543" spans="1:8" ht="14.4" x14ac:dyDescent="0.3">
      <c r="A13543" s="8">
        <v>2071286</v>
      </c>
      <c r="B13543" s="11">
        <v>44795</v>
      </c>
      <c r="C13543" s="13" t="s">
        <v>17488</v>
      </c>
      <c r="D13543" s="13" t="s">
        <v>17489</v>
      </c>
      <c r="E13543" s="8">
        <v>10000</v>
      </c>
      <c r="F13543" s="13" t="s">
        <v>70</v>
      </c>
      <c r="G13543" s="14">
        <v>44796</v>
      </c>
      <c r="H13543" s="13" t="s">
        <v>163</v>
      </c>
    </row>
    <row r="13544" spans="1:8" ht="14.4" x14ac:dyDescent="0.3">
      <c r="A13544" s="8">
        <v>2071287</v>
      </c>
      <c r="B13544" s="11">
        <v>44795</v>
      </c>
      <c r="C13544" s="13" t="s">
        <v>17490</v>
      </c>
      <c r="D13544" s="13" t="s">
        <v>17491</v>
      </c>
      <c r="E13544" s="8">
        <v>2000</v>
      </c>
      <c r="F13544" s="13" t="s">
        <v>70</v>
      </c>
      <c r="G13544" s="14">
        <v>44798</v>
      </c>
      <c r="H13544" s="13" t="s">
        <v>163</v>
      </c>
    </row>
    <row r="13545" spans="1:8" ht="14.4" x14ac:dyDescent="0.3">
      <c r="A13545" s="8">
        <v>2071288</v>
      </c>
      <c r="B13545" s="11">
        <v>44795</v>
      </c>
      <c r="C13545" s="13" t="s">
        <v>17492</v>
      </c>
      <c r="D13545" s="13" t="s">
        <v>17493</v>
      </c>
      <c r="E13545" s="8">
        <v>2000</v>
      </c>
      <c r="F13545" s="13" t="s">
        <v>70</v>
      </c>
      <c r="G13545" s="14">
        <v>44796</v>
      </c>
      <c r="H13545" s="13" t="s">
        <v>163</v>
      </c>
    </row>
    <row r="13546" spans="1:8" ht="14.4" x14ac:dyDescent="0.3">
      <c r="A13546" s="8">
        <v>2071289</v>
      </c>
      <c r="B13546" s="11">
        <v>44795</v>
      </c>
      <c r="C13546" s="13" t="s">
        <v>17494</v>
      </c>
      <c r="D13546" s="13" t="s">
        <v>17495</v>
      </c>
      <c r="E13546" s="8">
        <v>4000</v>
      </c>
      <c r="F13546" s="13" t="s">
        <v>70</v>
      </c>
      <c r="G13546" s="14">
        <v>44798</v>
      </c>
      <c r="H13546" s="13" t="s">
        <v>163</v>
      </c>
    </row>
    <row r="13547" spans="1:8" ht="14.4" x14ac:dyDescent="0.3">
      <c r="A13547" s="8">
        <v>2071290</v>
      </c>
      <c r="B13547" s="11">
        <v>44795</v>
      </c>
      <c r="C13547" s="13" t="s">
        <v>17496</v>
      </c>
      <c r="D13547" s="13" t="s">
        <v>17497</v>
      </c>
      <c r="E13547" s="8">
        <v>10000</v>
      </c>
      <c r="F13547" s="13" t="s">
        <v>70</v>
      </c>
      <c r="G13547" s="14">
        <v>44796</v>
      </c>
      <c r="H13547" s="13" t="s">
        <v>163</v>
      </c>
    </row>
    <row r="13548" spans="1:8" ht="14.4" x14ac:dyDescent="0.3">
      <c r="A13548" s="8">
        <v>2071291</v>
      </c>
      <c r="B13548" s="11">
        <v>44795</v>
      </c>
      <c r="C13548" s="13" t="s">
        <v>17498</v>
      </c>
      <c r="D13548" s="13" t="s">
        <v>17499</v>
      </c>
      <c r="E13548" s="8">
        <v>4000</v>
      </c>
      <c r="F13548" s="13" t="s">
        <v>70</v>
      </c>
      <c r="G13548" s="14">
        <v>44798</v>
      </c>
      <c r="H13548" s="13" t="s">
        <v>163</v>
      </c>
    </row>
    <row r="13549" spans="1:8" ht="14.4" x14ac:dyDescent="0.3">
      <c r="A13549" s="8">
        <v>2071292</v>
      </c>
      <c r="B13549" s="11">
        <v>44795</v>
      </c>
      <c r="C13549" s="13" t="s">
        <v>14036</v>
      </c>
      <c r="D13549" s="13" t="s">
        <v>17500</v>
      </c>
      <c r="E13549" s="8">
        <v>4000</v>
      </c>
      <c r="F13549" s="13" t="s">
        <v>70</v>
      </c>
      <c r="G13549" s="14">
        <v>44798</v>
      </c>
      <c r="H13549" s="13" t="s">
        <v>163</v>
      </c>
    </row>
    <row r="13550" spans="1:8" ht="14.4" x14ac:dyDescent="0.3">
      <c r="A13550" s="8">
        <v>2071293</v>
      </c>
      <c r="B13550" s="11">
        <v>44795</v>
      </c>
      <c r="C13550" s="13" t="s">
        <v>17501</v>
      </c>
      <c r="D13550" s="13" t="s">
        <v>17502</v>
      </c>
      <c r="E13550" s="8">
        <v>2000</v>
      </c>
      <c r="F13550" s="13" t="s">
        <v>70</v>
      </c>
      <c r="G13550" s="14">
        <v>44798</v>
      </c>
      <c r="H13550" s="13" t="s">
        <v>163</v>
      </c>
    </row>
    <row r="13551" spans="1:8" ht="14.4" x14ac:dyDescent="0.3">
      <c r="A13551" s="8">
        <v>2071294</v>
      </c>
      <c r="B13551" s="11">
        <v>44795</v>
      </c>
      <c r="C13551" s="13" t="s">
        <v>17503</v>
      </c>
      <c r="D13551" s="13" t="s">
        <v>17504</v>
      </c>
      <c r="E13551" s="8">
        <v>6000</v>
      </c>
      <c r="F13551" s="13" t="s">
        <v>70</v>
      </c>
      <c r="G13551" s="14">
        <v>44796</v>
      </c>
      <c r="H13551" s="13" t="s">
        <v>163</v>
      </c>
    </row>
    <row r="13552" spans="1:8" ht="14.4" x14ac:dyDescent="0.3">
      <c r="A13552" s="8">
        <v>2071295</v>
      </c>
      <c r="B13552" s="11">
        <v>44795</v>
      </c>
      <c r="C13552" s="13" t="s">
        <v>17505</v>
      </c>
      <c r="D13552" s="13" t="s">
        <v>17506</v>
      </c>
      <c r="E13552" s="8">
        <v>20000</v>
      </c>
      <c r="F13552" s="13" t="s">
        <v>70</v>
      </c>
      <c r="G13552" s="14">
        <v>44798</v>
      </c>
      <c r="H13552" s="13" t="s">
        <v>163</v>
      </c>
    </row>
    <row r="13553" spans="1:8" ht="14.4" x14ac:dyDescent="0.3">
      <c r="A13553" s="8">
        <v>2071296</v>
      </c>
      <c r="B13553" s="11">
        <v>44795</v>
      </c>
      <c r="C13553" s="13" t="s">
        <v>1854</v>
      </c>
      <c r="D13553" s="13" t="s">
        <v>17507</v>
      </c>
      <c r="E13553" s="8">
        <v>4000</v>
      </c>
      <c r="F13553" s="13" t="s">
        <v>70</v>
      </c>
      <c r="G13553" s="14">
        <v>44796</v>
      </c>
      <c r="H13553" s="13" t="s">
        <v>163</v>
      </c>
    </row>
    <row r="13554" spans="1:8" ht="14.4" x14ac:dyDescent="0.3">
      <c r="A13554" s="8">
        <v>2071297</v>
      </c>
      <c r="B13554" s="11">
        <v>44795</v>
      </c>
      <c r="C13554" s="13" t="s">
        <v>17508</v>
      </c>
      <c r="D13554" s="13" t="s">
        <v>17509</v>
      </c>
      <c r="E13554" s="8">
        <v>6000</v>
      </c>
      <c r="F13554" s="13" t="s">
        <v>70</v>
      </c>
      <c r="G13554" s="14">
        <v>44798</v>
      </c>
      <c r="H13554" s="13" t="s">
        <v>163</v>
      </c>
    </row>
    <row r="13555" spans="1:8" ht="14.4" x14ac:dyDescent="0.3">
      <c r="A13555" s="8">
        <v>2071298</v>
      </c>
      <c r="B13555" s="11">
        <v>44795</v>
      </c>
      <c r="C13555" s="13" t="s">
        <v>10867</v>
      </c>
      <c r="D13555" s="13" t="s">
        <v>17510</v>
      </c>
      <c r="E13555" s="8">
        <v>20000</v>
      </c>
      <c r="F13555" s="13" t="s">
        <v>70</v>
      </c>
      <c r="G13555" s="14">
        <v>44798</v>
      </c>
      <c r="H13555" s="13" t="s">
        <v>163</v>
      </c>
    </row>
    <row r="13556" spans="1:8" ht="14.4" x14ac:dyDescent="0.3">
      <c r="A13556" s="8">
        <v>2071299</v>
      </c>
      <c r="B13556" s="11">
        <v>44795</v>
      </c>
      <c r="C13556" s="13" t="s">
        <v>17511</v>
      </c>
      <c r="D13556" s="13" t="s">
        <v>17512</v>
      </c>
      <c r="E13556" s="8">
        <v>8000</v>
      </c>
      <c r="F13556" s="13" t="s">
        <v>70</v>
      </c>
      <c r="G13556" s="14">
        <v>44798</v>
      </c>
      <c r="H13556" s="13" t="s">
        <v>163</v>
      </c>
    </row>
    <row r="13557" spans="1:8" ht="14.4" x14ac:dyDescent="0.3">
      <c r="A13557" s="8">
        <v>2071300</v>
      </c>
      <c r="B13557" s="11">
        <v>44795</v>
      </c>
      <c r="C13557" s="13" t="s">
        <v>4612</v>
      </c>
      <c r="D13557" s="13" t="s">
        <v>17513</v>
      </c>
      <c r="E13557" s="8">
        <v>50000</v>
      </c>
      <c r="F13557" s="13" t="s">
        <v>70</v>
      </c>
      <c r="G13557" s="14">
        <v>44798</v>
      </c>
      <c r="H13557" s="13" t="s">
        <v>163</v>
      </c>
    </row>
    <row r="13558" spans="1:8" ht="14.4" x14ac:dyDescent="0.3">
      <c r="A13558" s="8">
        <v>2071301</v>
      </c>
      <c r="B13558" s="11">
        <v>44795</v>
      </c>
      <c r="C13558" s="13" t="s">
        <v>17514</v>
      </c>
      <c r="D13558" s="13" t="s">
        <v>17515</v>
      </c>
      <c r="E13558" s="8">
        <v>50000</v>
      </c>
      <c r="F13558" s="13" t="s">
        <v>70</v>
      </c>
      <c r="G13558" s="14">
        <v>44798</v>
      </c>
      <c r="H13558" s="13" t="s">
        <v>163</v>
      </c>
    </row>
    <row r="13559" spans="1:8" ht="14.4" x14ac:dyDescent="0.3">
      <c r="A13559" s="8">
        <v>2071302</v>
      </c>
      <c r="B13559" s="11">
        <v>44795</v>
      </c>
      <c r="C13559" s="13" t="s">
        <v>17516</v>
      </c>
      <c r="D13559" s="13" t="s">
        <v>17517</v>
      </c>
      <c r="E13559" s="8">
        <v>4000</v>
      </c>
      <c r="F13559" s="13" t="s">
        <v>70</v>
      </c>
      <c r="G13559" s="14">
        <v>44796</v>
      </c>
      <c r="H13559" s="13" t="s">
        <v>163</v>
      </c>
    </row>
    <row r="13560" spans="1:8" ht="14.4" x14ac:dyDescent="0.3">
      <c r="A13560" s="8">
        <v>2071303</v>
      </c>
      <c r="B13560" s="11">
        <v>44795</v>
      </c>
      <c r="C13560" s="13" t="s">
        <v>4616</v>
      </c>
      <c r="D13560" s="13" t="s">
        <v>17518</v>
      </c>
      <c r="E13560" s="8">
        <v>6000</v>
      </c>
      <c r="F13560" s="13" t="s">
        <v>70</v>
      </c>
      <c r="G13560" s="14">
        <v>44796</v>
      </c>
      <c r="H13560" s="13" t="s">
        <v>163</v>
      </c>
    </row>
    <row r="13561" spans="1:8" ht="14.4" x14ac:dyDescent="0.3">
      <c r="A13561" s="8">
        <v>2071304</v>
      </c>
      <c r="B13561" s="11">
        <v>44795</v>
      </c>
      <c r="C13561" s="13" t="s">
        <v>17519</v>
      </c>
      <c r="D13561" s="13" t="s">
        <v>17520</v>
      </c>
      <c r="E13561" s="8">
        <v>10000</v>
      </c>
      <c r="F13561" s="13" t="s">
        <v>70</v>
      </c>
      <c r="G13561" s="14">
        <v>44798</v>
      </c>
      <c r="H13561" s="13" t="s">
        <v>163</v>
      </c>
    </row>
    <row r="13562" spans="1:8" ht="14.4" x14ac:dyDescent="0.3">
      <c r="A13562" s="8">
        <v>2071305</v>
      </c>
      <c r="B13562" s="11">
        <v>44795</v>
      </c>
      <c r="C13562" s="13" t="s">
        <v>17521</v>
      </c>
      <c r="D13562" s="13" t="s">
        <v>17522</v>
      </c>
      <c r="E13562" s="8">
        <v>6000</v>
      </c>
      <c r="F13562" s="13" t="s">
        <v>70</v>
      </c>
      <c r="G13562" s="14">
        <v>44798</v>
      </c>
      <c r="H13562" s="13" t="s">
        <v>163</v>
      </c>
    </row>
    <row r="13563" spans="1:8" ht="14.4" x14ac:dyDescent="0.3">
      <c r="A13563" s="8">
        <v>2071306</v>
      </c>
      <c r="B13563" s="11">
        <v>44795</v>
      </c>
      <c r="C13563" s="13" t="s">
        <v>17523</v>
      </c>
      <c r="D13563" s="13" t="s">
        <v>17524</v>
      </c>
      <c r="E13563" s="8">
        <v>4000</v>
      </c>
      <c r="F13563" s="13" t="s">
        <v>70</v>
      </c>
      <c r="G13563" s="14">
        <v>44796</v>
      </c>
      <c r="H13563" s="13" t="s">
        <v>163</v>
      </c>
    </row>
    <row r="13564" spans="1:8" ht="14.4" x14ac:dyDescent="0.3">
      <c r="A13564" s="8">
        <v>2071307</v>
      </c>
      <c r="B13564" s="11">
        <v>44795</v>
      </c>
      <c r="C13564" s="13" t="s">
        <v>14174</v>
      </c>
      <c r="D13564" s="13" t="s">
        <v>17525</v>
      </c>
      <c r="E13564" s="8">
        <v>4000</v>
      </c>
      <c r="F13564" s="13" t="s">
        <v>70</v>
      </c>
      <c r="G13564" s="14">
        <v>44798</v>
      </c>
      <c r="H13564" s="13" t="s">
        <v>163</v>
      </c>
    </row>
    <row r="13565" spans="1:8" ht="14.4" x14ac:dyDescent="0.3">
      <c r="A13565" s="8">
        <v>2071308</v>
      </c>
      <c r="B13565" s="11">
        <v>44795</v>
      </c>
      <c r="C13565" s="13" t="s">
        <v>14760</v>
      </c>
      <c r="D13565" s="13" t="s">
        <v>17526</v>
      </c>
      <c r="E13565" s="8">
        <v>2000</v>
      </c>
      <c r="F13565" s="13" t="s">
        <v>70</v>
      </c>
      <c r="G13565" s="14">
        <v>44798</v>
      </c>
      <c r="H13565" s="13" t="s">
        <v>163</v>
      </c>
    </row>
    <row r="13566" spans="1:8" ht="14.4" x14ac:dyDescent="0.3">
      <c r="A13566" s="8">
        <v>2071309</v>
      </c>
      <c r="B13566" s="11">
        <v>44795</v>
      </c>
      <c r="C13566" s="13" t="s">
        <v>14605</v>
      </c>
      <c r="D13566" s="13" t="s">
        <v>17527</v>
      </c>
      <c r="E13566" s="8">
        <v>2000</v>
      </c>
      <c r="F13566" s="13" t="s">
        <v>70</v>
      </c>
      <c r="G13566" s="14">
        <v>44799</v>
      </c>
      <c r="H13566" s="13" t="s">
        <v>163</v>
      </c>
    </row>
    <row r="13567" spans="1:8" ht="14.4" x14ac:dyDescent="0.3">
      <c r="A13567" s="8">
        <v>2071310</v>
      </c>
      <c r="B13567" s="11">
        <v>44795</v>
      </c>
      <c r="C13567" s="13" t="s">
        <v>17528</v>
      </c>
      <c r="D13567" s="13" t="s">
        <v>17529</v>
      </c>
      <c r="E13567" s="8">
        <v>2000</v>
      </c>
      <c r="F13567" s="13" t="s">
        <v>70</v>
      </c>
      <c r="G13567" s="14">
        <v>44798</v>
      </c>
      <c r="H13567" s="13" t="s">
        <v>163</v>
      </c>
    </row>
    <row r="13568" spans="1:8" ht="14.4" x14ac:dyDescent="0.3">
      <c r="A13568" s="8">
        <v>2071312</v>
      </c>
      <c r="B13568" s="11">
        <v>44795</v>
      </c>
      <c r="C13568" s="13" t="s">
        <v>17530</v>
      </c>
      <c r="D13568" s="13" t="s">
        <v>17531</v>
      </c>
      <c r="E13568" s="8">
        <v>2000</v>
      </c>
      <c r="F13568" s="13" t="s">
        <v>70</v>
      </c>
      <c r="G13568" s="14">
        <v>44798</v>
      </c>
      <c r="H13568" s="13" t="s">
        <v>163</v>
      </c>
    </row>
    <row r="13569" spans="1:8" ht="14.4" x14ac:dyDescent="0.3">
      <c r="A13569" s="8">
        <v>2071313</v>
      </c>
      <c r="B13569" s="11">
        <v>44795</v>
      </c>
      <c r="C13569" s="13" t="s">
        <v>17532</v>
      </c>
      <c r="D13569" s="13" t="s">
        <v>17533</v>
      </c>
      <c r="E13569" s="8">
        <v>2000</v>
      </c>
      <c r="F13569" s="13" t="s">
        <v>70</v>
      </c>
      <c r="G13569" s="14">
        <v>44798</v>
      </c>
      <c r="H13569" s="13" t="s">
        <v>163</v>
      </c>
    </row>
    <row r="13570" spans="1:8" ht="14.4" x14ac:dyDescent="0.3">
      <c r="A13570" s="8">
        <v>2071314</v>
      </c>
      <c r="B13570" s="11">
        <v>44795</v>
      </c>
      <c r="C13570" s="13" t="s">
        <v>13903</v>
      </c>
      <c r="D13570" s="13" t="s">
        <v>17534</v>
      </c>
      <c r="E13570" s="8">
        <v>2000</v>
      </c>
      <c r="F13570" s="13" t="s">
        <v>70</v>
      </c>
      <c r="G13570" s="14">
        <v>44798</v>
      </c>
      <c r="H13570" s="13" t="s">
        <v>163</v>
      </c>
    </row>
    <row r="13571" spans="1:8" ht="14.4" x14ac:dyDescent="0.3">
      <c r="A13571" s="8">
        <v>2071316</v>
      </c>
      <c r="B13571" s="11">
        <v>44798</v>
      </c>
      <c r="C13571" s="13" t="s">
        <v>17535</v>
      </c>
      <c r="D13571" s="13" t="s">
        <v>17536</v>
      </c>
      <c r="E13571" s="8">
        <v>762614</v>
      </c>
      <c r="F13571" s="13" t="s">
        <v>70</v>
      </c>
      <c r="G13571" s="14">
        <v>44799</v>
      </c>
      <c r="H13571" s="13" t="s">
        <v>163</v>
      </c>
    </row>
    <row r="13572" spans="1:8" ht="14.4" x14ac:dyDescent="0.3">
      <c r="A13572" s="8">
        <v>2071317</v>
      </c>
      <c r="B13572" s="11">
        <v>44798</v>
      </c>
      <c r="C13572" s="13" t="s">
        <v>127</v>
      </c>
      <c r="D13572" s="13" t="s">
        <v>17537</v>
      </c>
      <c r="E13572" s="8">
        <v>7382.15</v>
      </c>
      <c r="F13572" s="13" t="s">
        <v>70</v>
      </c>
      <c r="G13572" s="14">
        <v>44798</v>
      </c>
      <c r="H13572" s="13" t="s">
        <v>163</v>
      </c>
    </row>
    <row r="13573" spans="1:8" ht="14.4" x14ac:dyDescent="0.3">
      <c r="A13573" s="8">
        <v>2071319</v>
      </c>
      <c r="B13573" s="11">
        <v>44799</v>
      </c>
      <c r="C13573" s="13" t="s">
        <v>2624</v>
      </c>
      <c r="D13573" s="13" t="s">
        <v>17538</v>
      </c>
      <c r="E13573" s="8">
        <v>126228.94</v>
      </c>
      <c r="F13573" s="13" t="s">
        <v>70</v>
      </c>
      <c r="G13573" s="14">
        <v>44803</v>
      </c>
      <c r="H13573" s="13" t="s">
        <v>163</v>
      </c>
    </row>
    <row r="13574" spans="1:8" ht="14.4" x14ac:dyDescent="0.3">
      <c r="A13574" s="8">
        <v>2071320</v>
      </c>
      <c r="B13574" s="11">
        <v>44799</v>
      </c>
      <c r="C13574" s="13" t="s">
        <v>17539</v>
      </c>
      <c r="D13574" s="13" t="s">
        <v>17540</v>
      </c>
      <c r="E13574" s="8">
        <v>6000</v>
      </c>
      <c r="F13574" s="13" t="s">
        <v>70</v>
      </c>
      <c r="G13574" s="14">
        <v>44804</v>
      </c>
      <c r="H13574" s="13" t="s">
        <v>163</v>
      </c>
    </row>
    <row r="13575" spans="1:8" ht="14.4" x14ac:dyDescent="0.3">
      <c r="A13575" s="8">
        <v>2071321</v>
      </c>
      <c r="B13575" s="11">
        <v>44799</v>
      </c>
      <c r="C13575" s="13" t="s">
        <v>17541</v>
      </c>
      <c r="D13575" s="13" t="s">
        <v>17542</v>
      </c>
      <c r="E13575" s="8">
        <v>8000</v>
      </c>
      <c r="F13575" s="13" t="s">
        <v>70</v>
      </c>
      <c r="G13575" s="14">
        <v>44809</v>
      </c>
      <c r="H13575" s="13" t="s">
        <v>163</v>
      </c>
    </row>
    <row r="13576" spans="1:8" ht="14.4" x14ac:dyDescent="0.3">
      <c r="A13576" s="8">
        <v>2071322</v>
      </c>
      <c r="B13576" s="11">
        <v>44799</v>
      </c>
      <c r="C13576" s="13" t="s">
        <v>17543</v>
      </c>
      <c r="D13576" s="13" t="s">
        <v>17544</v>
      </c>
      <c r="E13576" s="8">
        <v>8000</v>
      </c>
      <c r="F13576" s="13" t="s">
        <v>70</v>
      </c>
      <c r="G13576" s="14">
        <v>44804</v>
      </c>
      <c r="H13576" s="13" t="s">
        <v>163</v>
      </c>
    </row>
    <row r="13577" spans="1:8" ht="14.4" x14ac:dyDescent="0.3">
      <c r="A13577" s="8">
        <v>2071323</v>
      </c>
      <c r="B13577" s="11">
        <v>44799</v>
      </c>
      <c r="C13577" s="13" t="s">
        <v>17545</v>
      </c>
      <c r="D13577" s="13" t="s">
        <v>164</v>
      </c>
      <c r="E13577" s="8">
        <v>4000</v>
      </c>
      <c r="F13577" s="13" t="s">
        <v>70</v>
      </c>
      <c r="G13577" s="14">
        <v>44803</v>
      </c>
      <c r="H13577" s="13" t="s">
        <v>163</v>
      </c>
    </row>
    <row r="13578" spans="1:8" ht="14.4" x14ac:dyDescent="0.3">
      <c r="A13578" s="8">
        <v>2071324</v>
      </c>
      <c r="B13578" s="11">
        <v>44799</v>
      </c>
      <c r="C13578" s="13" t="s">
        <v>17546</v>
      </c>
      <c r="D13578" s="13" t="s">
        <v>14318</v>
      </c>
      <c r="E13578" s="8">
        <v>4000</v>
      </c>
      <c r="F13578" s="13" t="s">
        <v>70</v>
      </c>
      <c r="G13578" s="14">
        <v>44804</v>
      </c>
      <c r="H13578" s="13" t="s">
        <v>163</v>
      </c>
    </row>
    <row r="13579" spans="1:8" ht="14.4" x14ac:dyDescent="0.3">
      <c r="A13579" s="8">
        <v>2071325</v>
      </c>
      <c r="B13579" s="11">
        <v>44799</v>
      </c>
      <c r="C13579" s="13" t="s">
        <v>17547</v>
      </c>
      <c r="D13579" s="13" t="s">
        <v>14318</v>
      </c>
      <c r="E13579" s="8">
        <v>6000</v>
      </c>
      <c r="F13579" s="13" t="s">
        <v>70</v>
      </c>
      <c r="G13579" s="14">
        <v>44804</v>
      </c>
      <c r="H13579" s="13" t="s">
        <v>163</v>
      </c>
    </row>
    <row r="13580" spans="1:8" ht="14.4" x14ac:dyDescent="0.3">
      <c r="A13580" s="8">
        <v>2071326</v>
      </c>
      <c r="B13580" s="11">
        <v>44799</v>
      </c>
      <c r="C13580" s="13" t="s">
        <v>17548</v>
      </c>
      <c r="D13580" s="13" t="s">
        <v>17549</v>
      </c>
      <c r="E13580" s="8">
        <v>2000</v>
      </c>
      <c r="F13580" s="13" t="s">
        <v>70</v>
      </c>
      <c r="G13580" s="14">
        <v>44819</v>
      </c>
      <c r="H13580" s="13" t="s">
        <v>163</v>
      </c>
    </row>
    <row r="13581" spans="1:8" ht="14.4" x14ac:dyDescent="0.3">
      <c r="A13581" s="8">
        <v>2071327</v>
      </c>
      <c r="B13581" s="11">
        <v>44799</v>
      </c>
      <c r="C13581" s="13" t="s">
        <v>17550</v>
      </c>
      <c r="D13581" s="13" t="s">
        <v>17551</v>
      </c>
      <c r="E13581" s="8">
        <v>2000</v>
      </c>
      <c r="F13581" s="13" t="s">
        <v>70</v>
      </c>
      <c r="G13581" s="14">
        <v>44804</v>
      </c>
      <c r="H13581" s="13" t="s">
        <v>163</v>
      </c>
    </row>
    <row r="13582" spans="1:8" ht="14.4" x14ac:dyDescent="0.3">
      <c r="A13582" s="8">
        <v>2071330</v>
      </c>
      <c r="B13582" s="11">
        <v>44804</v>
      </c>
      <c r="C13582" s="13" t="s">
        <v>1596</v>
      </c>
      <c r="D13582" s="13" t="s">
        <v>17552</v>
      </c>
      <c r="E13582" s="8">
        <v>588</v>
      </c>
      <c r="F13582" s="13" t="s">
        <v>70</v>
      </c>
      <c r="G13582" s="14">
        <v>44820</v>
      </c>
      <c r="H13582" s="13" t="s">
        <v>163</v>
      </c>
    </row>
    <row r="13583" spans="1:8" ht="14.4" x14ac:dyDescent="0.3">
      <c r="A13583" s="8">
        <v>2071331</v>
      </c>
      <c r="B13583" s="11">
        <v>44804</v>
      </c>
      <c r="C13583" s="13" t="s">
        <v>17553</v>
      </c>
      <c r="D13583" s="13" t="s">
        <v>17554</v>
      </c>
      <c r="E13583" s="8">
        <v>5000</v>
      </c>
      <c r="F13583" s="13" t="s">
        <v>70</v>
      </c>
      <c r="G13583" s="14">
        <v>44809</v>
      </c>
      <c r="H13583" s="13" t="s">
        <v>163</v>
      </c>
    </row>
    <row r="13584" spans="1:8" ht="14.4" x14ac:dyDescent="0.3">
      <c r="A13584" s="8">
        <v>2071332</v>
      </c>
      <c r="B13584" s="11">
        <v>44804</v>
      </c>
      <c r="C13584" s="13" t="s">
        <v>17555</v>
      </c>
      <c r="D13584" s="13" t="s">
        <v>17556</v>
      </c>
      <c r="E13584" s="8">
        <v>2000</v>
      </c>
      <c r="F13584" s="13" t="s">
        <v>70</v>
      </c>
      <c r="G13584" s="14">
        <v>44805</v>
      </c>
      <c r="H13584" s="13" t="s">
        <v>163</v>
      </c>
    </row>
    <row r="13585" spans="1:8" ht="14.4" x14ac:dyDescent="0.3">
      <c r="A13585" s="8">
        <v>2071333</v>
      </c>
      <c r="B13585" s="11">
        <v>44804</v>
      </c>
      <c r="C13585" s="13" t="s">
        <v>17557</v>
      </c>
      <c r="D13585" s="13" t="s">
        <v>17558</v>
      </c>
      <c r="E13585" s="8">
        <v>6000</v>
      </c>
      <c r="F13585" s="13" t="s">
        <v>70</v>
      </c>
      <c r="G13585" s="14">
        <v>44805</v>
      </c>
      <c r="H13585" s="13" t="s">
        <v>163</v>
      </c>
    </row>
    <row r="13586" spans="1:8" ht="14.4" x14ac:dyDescent="0.3">
      <c r="A13586" s="8">
        <v>2071334</v>
      </c>
      <c r="B13586" s="11">
        <v>44804</v>
      </c>
      <c r="C13586" s="13" t="s">
        <v>17559</v>
      </c>
      <c r="D13586" s="13" t="s">
        <v>17560</v>
      </c>
      <c r="E13586" s="8">
        <v>20000</v>
      </c>
      <c r="F13586" s="13" t="s">
        <v>70</v>
      </c>
      <c r="G13586" s="14">
        <v>44806</v>
      </c>
      <c r="H13586" s="13" t="s">
        <v>163</v>
      </c>
    </row>
    <row r="13587" spans="1:8" ht="14.4" x14ac:dyDescent="0.3">
      <c r="A13587" s="8">
        <v>2071335</v>
      </c>
      <c r="B13587" s="11">
        <v>44804</v>
      </c>
      <c r="C13587" s="13" t="s">
        <v>17561</v>
      </c>
      <c r="D13587" s="13" t="s">
        <v>17562</v>
      </c>
      <c r="E13587" s="8">
        <v>20000</v>
      </c>
      <c r="F13587" s="13" t="s">
        <v>70</v>
      </c>
      <c r="G13587" s="14">
        <v>44806</v>
      </c>
      <c r="H13587" s="13" t="s">
        <v>163</v>
      </c>
    </row>
    <row r="13588" spans="1:8" ht="14.4" x14ac:dyDescent="0.3">
      <c r="A13588" s="8">
        <v>2071336</v>
      </c>
      <c r="B13588" s="11">
        <v>44804</v>
      </c>
      <c r="C13588" s="13" t="s">
        <v>2766</v>
      </c>
      <c r="D13588" s="13" t="s">
        <v>17563</v>
      </c>
      <c r="E13588" s="8">
        <v>8000</v>
      </c>
      <c r="F13588" s="13" t="s">
        <v>70</v>
      </c>
      <c r="G13588" s="14">
        <v>44805</v>
      </c>
      <c r="H13588" s="13" t="s">
        <v>163</v>
      </c>
    </row>
    <row r="13589" spans="1:8" ht="14.4" x14ac:dyDescent="0.3">
      <c r="A13589" s="8">
        <v>2071337</v>
      </c>
      <c r="B13589" s="11">
        <v>44804</v>
      </c>
      <c r="C13589" s="13" t="s">
        <v>11074</v>
      </c>
      <c r="D13589" s="13" t="s">
        <v>17564</v>
      </c>
      <c r="E13589" s="8">
        <v>30000</v>
      </c>
      <c r="F13589" s="13" t="s">
        <v>70</v>
      </c>
      <c r="G13589" s="14">
        <v>44805</v>
      </c>
      <c r="H13589" s="13" t="s">
        <v>163</v>
      </c>
    </row>
    <row r="13590" spans="1:8" ht="14.4" x14ac:dyDescent="0.3">
      <c r="A13590" s="8">
        <v>2071338</v>
      </c>
      <c r="B13590" s="11">
        <v>44804</v>
      </c>
      <c r="C13590" s="13" t="s">
        <v>17565</v>
      </c>
      <c r="D13590" s="13" t="s">
        <v>17566</v>
      </c>
      <c r="E13590" s="8">
        <v>20000</v>
      </c>
      <c r="F13590" s="13" t="s">
        <v>70</v>
      </c>
      <c r="G13590" s="14">
        <v>44805</v>
      </c>
      <c r="H13590" s="13" t="s">
        <v>163</v>
      </c>
    </row>
    <row r="13591" spans="1:8" ht="14.4" x14ac:dyDescent="0.3">
      <c r="A13591" s="8">
        <v>2071339</v>
      </c>
      <c r="B13591" s="11">
        <v>44804</v>
      </c>
      <c r="C13591" s="13" t="s">
        <v>17567</v>
      </c>
      <c r="D13591" s="13" t="s">
        <v>17568</v>
      </c>
      <c r="E13591" s="8">
        <v>6000</v>
      </c>
      <c r="F13591" s="13" t="s">
        <v>70</v>
      </c>
      <c r="G13591" s="14">
        <v>44806</v>
      </c>
      <c r="H13591" s="13" t="s">
        <v>163</v>
      </c>
    </row>
    <row r="13592" spans="1:8" ht="14.4" x14ac:dyDescent="0.3">
      <c r="A13592" s="8">
        <v>2071340</v>
      </c>
      <c r="B13592" s="11">
        <v>44804</v>
      </c>
      <c r="C13592" s="13" t="s">
        <v>17569</v>
      </c>
      <c r="D13592" s="13" t="s">
        <v>17570</v>
      </c>
      <c r="E13592" s="8">
        <v>4000</v>
      </c>
      <c r="F13592" s="13" t="s">
        <v>70</v>
      </c>
      <c r="G13592" s="14">
        <v>44805</v>
      </c>
      <c r="H13592" s="13" t="s">
        <v>163</v>
      </c>
    </row>
    <row r="13593" spans="1:8" ht="14.4" x14ac:dyDescent="0.3">
      <c r="A13593" s="8">
        <v>2071341</v>
      </c>
      <c r="B13593" s="11">
        <v>44804</v>
      </c>
      <c r="C13593" s="13" t="s">
        <v>16736</v>
      </c>
      <c r="D13593" s="13" t="s">
        <v>17571</v>
      </c>
      <c r="E13593" s="8">
        <v>8000</v>
      </c>
      <c r="F13593" s="13" t="s">
        <v>70</v>
      </c>
      <c r="G13593" s="14">
        <v>44806</v>
      </c>
      <c r="H13593" s="13" t="s">
        <v>163</v>
      </c>
    </row>
    <row r="13594" spans="1:8" ht="14.4" x14ac:dyDescent="0.3">
      <c r="A13594" s="8">
        <v>2071342</v>
      </c>
      <c r="B13594" s="11">
        <v>44804</v>
      </c>
      <c r="C13594" s="13" t="s">
        <v>11182</v>
      </c>
      <c r="D13594" s="13" t="s">
        <v>17572</v>
      </c>
      <c r="E13594" s="8">
        <v>8000</v>
      </c>
      <c r="F13594" s="13" t="s">
        <v>70</v>
      </c>
      <c r="G13594" s="14">
        <v>44806</v>
      </c>
      <c r="H13594" s="13" t="s">
        <v>163</v>
      </c>
    </row>
    <row r="13595" spans="1:8" ht="14.4" x14ac:dyDescent="0.3">
      <c r="A13595" s="8">
        <v>2071343</v>
      </c>
      <c r="B13595" s="11">
        <v>44804</v>
      </c>
      <c r="C13595" s="13" t="s">
        <v>17573</v>
      </c>
      <c r="D13595" s="13" t="s">
        <v>17574</v>
      </c>
      <c r="E13595" s="8">
        <v>2000</v>
      </c>
      <c r="F13595" s="13" t="s">
        <v>70</v>
      </c>
      <c r="G13595" s="14">
        <v>44820</v>
      </c>
      <c r="H13595" s="13" t="s">
        <v>163</v>
      </c>
    </row>
    <row r="13596" spans="1:8" ht="14.4" x14ac:dyDescent="0.3">
      <c r="A13596" s="8">
        <v>2071344</v>
      </c>
      <c r="B13596" s="11">
        <v>44804</v>
      </c>
      <c r="C13596" s="13" t="s">
        <v>17575</v>
      </c>
      <c r="D13596" s="13" t="s">
        <v>17576</v>
      </c>
      <c r="E13596" s="8">
        <v>6000</v>
      </c>
      <c r="F13596" s="13" t="s">
        <v>70</v>
      </c>
      <c r="G13596" s="14">
        <v>44818</v>
      </c>
      <c r="H13596" s="13" t="s">
        <v>163</v>
      </c>
    </row>
    <row r="13597" spans="1:8" ht="14.4" x14ac:dyDescent="0.3">
      <c r="A13597" s="8">
        <v>2071345</v>
      </c>
      <c r="B13597" s="11">
        <v>44804</v>
      </c>
      <c r="C13597" s="13" t="s">
        <v>17577</v>
      </c>
      <c r="D13597" s="13" t="s">
        <v>17578</v>
      </c>
      <c r="E13597" s="8">
        <v>8000</v>
      </c>
      <c r="F13597" s="13" t="s">
        <v>70</v>
      </c>
      <c r="G13597" s="14">
        <v>44809</v>
      </c>
      <c r="H13597" s="13" t="s">
        <v>163</v>
      </c>
    </row>
    <row r="13598" spans="1:8" ht="14.4" x14ac:dyDescent="0.3">
      <c r="A13598" s="8">
        <v>2071346</v>
      </c>
      <c r="B13598" s="11">
        <v>44804</v>
      </c>
      <c r="C13598" s="13" t="s">
        <v>17579</v>
      </c>
      <c r="D13598" s="13" t="s">
        <v>17580</v>
      </c>
      <c r="E13598" s="8">
        <v>10000</v>
      </c>
      <c r="F13598" s="13" t="s">
        <v>70</v>
      </c>
      <c r="G13598" s="14">
        <v>44805</v>
      </c>
      <c r="H13598" s="13" t="s">
        <v>163</v>
      </c>
    </row>
    <row r="13599" spans="1:8" ht="14.4" x14ac:dyDescent="0.3">
      <c r="A13599" s="8">
        <v>2071347</v>
      </c>
      <c r="B13599" s="11">
        <v>44804</v>
      </c>
      <c r="C13599" s="13" t="s">
        <v>17581</v>
      </c>
      <c r="D13599" s="13" t="s">
        <v>17582</v>
      </c>
      <c r="E13599" s="8">
        <v>2000</v>
      </c>
      <c r="F13599" s="13" t="s">
        <v>70</v>
      </c>
      <c r="G13599" s="14">
        <v>44805</v>
      </c>
      <c r="H13599" s="13" t="s">
        <v>163</v>
      </c>
    </row>
    <row r="13600" spans="1:8" ht="14.4" x14ac:dyDescent="0.3">
      <c r="A13600" s="8">
        <v>2071348</v>
      </c>
      <c r="B13600" s="11">
        <v>44804</v>
      </c>
      <c r="C13600" s="13" t="s">
        <v>17583</v>
      </c>
      <c r="D13600" s="13" t="s">
        <v>17584</v>
      </c>
      <c r="E13600" s="8">
        <v>4000</v>
      </c>
      <c r="F13600" s="13" t="s">
        <v>70</v>
      </c>
      <c r="G13600" s="14">
        <v>44805</v>
      </c>
      <c r="H13600" s="13" t="s">
        <v>163</v>
      </c>
    </row>
    <row r="13601" spans="1:8" ht="14.4" x14ac:dyDescent="0.3">
      <c r="A13601" s="8">
        <v>2071349</v>
      </c>
      <c r="B13601" s="11">
        <v>44804</v>
      </c>
      <c r="C13601" s="13" t="s">
        <v>4608</v>
      </c>
      <c r="D13601" s="13" t="s">
        <v>17585</v>
      </c>
      <c r="E13601" s="8">
        <v>20000</v>
      </c>
      <c r="F13601" s="13" t="s">
        <v>70</v>
      </c>
      <c r="G13601" s="14">
        <v>44809</v>
      </c>
      <c r="H13601" s="13" t="s">
        <v>163</v>
      </c>
    </row>
    <row r="13602" spans="1:8" ht="14.4" x14ac:dyDescent="0.3">
      <c r="A13602" s="8">
        <v>2071350</v>
      </c>
      <c r="B13602" s="11">
        <v>44804</v>
      </c>
      <c r="C13602" s="13" t="s">
        <v>17586</v>
      </c>
      <c r="D13602" s="13" t="s">
        <v>17587</v>
      </c>
      <c r="E13602" s="8">
        <v>8000</v>
      </c>
      <c r="F13602" s="13" t="s">
        <v>70</v>
      </c>
      <c r="G13602" s="14">
        <v>44805</v>
      </c>
      <c r="H13602" s="13" t="s">
        <v>163</v>
      </c>
    </row>
    <row r="13603" spans="1:8" ht="14.4" x14ac:dyDescent="0.3">
      <c r="A13603" s="8">
        <v>2071351</v>
      </c>
      <c r="B13603" s="11">
        <v>44804</v>
      </c>
      <c r="C13603" s="13" t="s">
        <v>14103</v>
      </c>
      <c r="D13603" s="13" t="s">
        <v>17588</v>
      </c>
      <c r="E13603" s="8">
        <v>2000</v>
      </c>
      <c r="F13603" s="13" t="s">
        <v>70</v>
      </c>
      <c r="G13603" s="14">
        <v>44806</v>
      </c>
      <c r="H13603" s="13" t="s">
        <v>163</v>
      </c>
    </row>
    <row r="13604" spans="1:8" ht="14.4" x14ac:dyDescent="0.3">
      <c r="A13604" s="8">
        <v>2071354</v>
      </c>
      <c r="B13604" s="11">
        <v>44804</v>
      </c>
      <c r="C13604" s="13" t="s">
        <v>17589</v>
      </c>
      <c r="D13604" s="13" t="s">
        <v>17590</v>
      </c>
      <c r="E13604" s="8">
        <v>2000</v>
      </c>
      <c r="F13604" s="13" t="s">
        <v>70</v>
      </c>
      <c r="G13604" s="14">
        <v>44805</v>
      </c>
      <c r="H13604" s="13" t="s">
        <v>163</v>
      </c>
    </row>
    <row r="13605" spans="1:8" ht="14.4" x14ac:dyDescent="0.3">
      <c r="A13605" s="8">
        <v>2071355</v>
      </c>
      <c r="B13605" s="11">
        <v>44804</v>
      </c>
      <c r="C13605" s="13" t="s">
        <v>17591</v>
      </c>
      <c r="D13605" s="13" t="s">
        <v>17592</v>
      </c>
      <c r="E13605" s="8">
        <v>8000</v>
      </c>
      <c r="F13605" s="13" t="s">
        <v>70</v>
      </c>
      <c r="G13605" s="14">
        <v>44805</v>
      </c>
      <c r="H13605" s="13" t="s">
        <v>163</v>
      </c>
    </row>
    <row r="13606" spans="1:8" ht="14.4" x14ac:dyDescent="0.3">
      <c r="A13606" s="8">
        <v>2071356</v>
      </c>
      <c r="B13606" s="11">
        <v>44804</v>
      </c>
      <c r="C13606" s="13" t="s">
        <v>4689</v>
      </c>
      <c r="D13606" s="13" t="s">
        <v>17593</v>
      </c>
      <c r="E13606" s="8">
        <v>6000</v>
      </c>
      <c r="F13606" s="13" t="s">
        <v>70</v>
      </c>
      <c r="G13606" s="14">
        <v>44805</v>
      </c>
      <c r="H13606" s="13" t="s">
        <v>163</v>
      </c>
    </row>
    <row r="13607" spans="1:8" ht="14.4" x14ac:dyDescent="0.3">
      <c r="A13607" s="8">
        <v>2071357</v>
      </c>
      <c r="B13607" s="11">
        <v>44804</v>
      </c>
      <c r="C13607" s="13" t="s">
        <v>17594</v>
      </c>
      <c r="D13607" s="13" t="s">
        <v>17595</v>
      </c>
      <c r="E13607" s="8">
        <v>8000</v>
      </c>
      <c r="F13607" s="13" t="s">
        <v>70</v>
      </c>
      <c r="G13607" s="14">
        <v>44806</v>
      </c>
      <c r="H13607" s="13" t="s">
        <v>163</v>
      </c>
    </row>
    <row r="13608" spans="1:8" ht="14.4" x14ac:dyDescent="0.3">
      <c r="A13608" s="8">
        <v>2071358</v>
      </c>
      <c r="B13608" s="11">
        <v>44804</v>
      </c>
      <c r="C13608" s="13" t="s">
        <v>17596</v>
      </c>
      <c r="D13608" s="13" t="s">
        <v>17597</v>
      </c>
      <c r="E13608" s="8">
        <v>8000</v>
      </c>
      <c r="F13608" s="13" t="s">
        <v>70</v>
      </c>
      <c r="G13608" s="14">
        <v>44805</v>
      </c>
      <c r="H13608" s="13" t="s">
        <v>163</v>
      </c>
    </row>
    <row r="13609" spans="1:8" ht="14.4" x14ac:dyDescent="0.3">
      <c r="A13609" s="8">
        <v>2071360</v>
      </c>
      <c r="B13609" s="11">
        <v>44804</v>
      </c>
      <c r="C13609" s="13" t="s">
        <v>17598</v>
      </c>
      <c r="D13609" s="13" t="s">
        <v>17599</v>
      </c>
      <c r="E13609" s="8">
        <v>5000</v>
      </c>
      <c r="F13609" s="13" t="s">
        <v>70</v>
      </c>
      <c r="G13609" s="14">
        <v>44805</v>
      </c>
      <c r="H13609" s="13" t="s">
        <v>163</v>
      </c>
    </row>
    <row r="13610" spans="1:8" ht="14.4" x14ac:dyDescent="0.3">
      <c r="A13610" s="8">
        <v>2071361</v>
      </c>
      <c r="B13610" s="11">
        <v>44804</v>
      </c>
      <c r="C13610" s="13" t="s">
        <v>9568</v>
      </c>
      <c r="D13610" s="13" t="s">
        <v>17600</v>
      </c>
      <c r="E13610" s="8">
        <v>10000</v>
      </c>
      <c r="F13610" s="13" t="s">
        <v>70</v>
      </c>
      <c r="G13610" s="14">
        <v>44805</v>
      </c>
      <c r="H13610" s="13" t="s">
        <v>163</v>
      </c>
    </row>
    <row r="13611" spans="1:8" ht="14.4" x14ac:dyDescent="0.3">
      <c r="A13611" s="8">
        <v>2071362</v>
      </c>
      <c r="B13611" s="11">
        <v>44804</v>
      </c>
      <c r="C13611" s="13" t="s">
        <v>17601</v>
      </c>
      <c r="D13611" s="13" t="s">
        <v>17602</v>
      </c>
      <c r="E13611" s="8">
        <v>50000</v>
      </c>
      <c r="F13611" s="13" t="s">
        <v>70</v>
      </c>
      <c r="G13611" s="14">
        <v>44806</v>
      </c>
      <c r="H13611" s="13" t="s">
        <v>163</v>
      </c>
    </row>
    <row r="13612" spans="1:8" ht="14.4" x14ac:dyDescent="0.3">
      <c r="A13612" s="8">
        <v>2071364</v>
      </c>
      <c r="B13612" s="11">
        <v>44804</v>
      </c>
      <c r="C13612" s="13" t="s">
        <v>17603</v>
      </c>
      <c r="D13612" s="13" t="s">
        <v>17604</v>
      </c>
      <c r="E13612" s="8">
        <v>4000</v>
      </c>
      <c r="F13612" s="13" t="s">
        <v>70</v>
      </c>
      <c r="G13612" s="14">
        <v>44805</v>
      </c>
      <c r="H13612" s="13" t="s">
        <v>163</v>
      </c>
    </row>
    <row r="13613" spans="1:8" ht="14.4" x14ac:dyDescent="0.3">
      <c r="A13613" s="8">
        <v>2071366</v>
      </c>
      <c r="B13613" s="11">
        <v>44805</v>
      </c>
      <c r="C13613" s="13" t="s">
        <v>11080</v>
      </c>
      <c r="D13613" s="13" t="s">
        <v>17605</v>
      </c>
      <c r="E13613" s="8">
        <v>12000</v>
      </c>
      <c r="F13613" s="13" t="s">
        <v>70</v>
      </c>
      <c r="G13613" s="14">
        <v>44809</v>
      </c>
      <c r="H13613" s="13" t="s">
        <v>163</v>
      </c>
    </row>
    <row r="13614" spans="1:8" ht="14.4" x14ac:dyDescent="0.3">
      <c r="A13614" s="8">
        <v>2071367</v>
      </c>
      <c r="B13614" s="11">
        <v>44805</v>
      </c>
      <c r="C13614" s="13" t="s">
        <v>17606</v>
      </c>
      <c r="D13614" s="13" t="s">
        <v>17607</v>
      </c>
      <c r="E13614" s="8">
        <v>14000</v>
      </c>
      <c r="F13614" s="13" t="s">
        <v>70</v>
      </c>
      <c r="G13614" s="14">
        <v>44806</v>
      </c>
      <c r="H13614" s="13" t="s">
        <v>163</v>
      </c>
    </row>
    <row r="13615" spans="1:8" ht="14.4" x14ac:dyDescent="0.3">
      <c r="A13615" s="8">
        <v>2071368</v>
      </c>
      <c r="B13615" s="11">
        <v>44805</v>
      </c>
      <c r="C13615" s="13" t="s">
        <v>17608</v>
      </c>
      <c r="D13615" s="13" t="s">
        <v>17609</v>
      </c>
      <c r="E13615" s="8">
        <v>4000</v>
      </c>
      <c r="F13615" s="13" t="s">
        <v>70</v>
      </c>
      <c r="G13615" s="14">
        <v>44809</v>
      </c>
      <c r="H13615" s="13" t="s">
        <v>163</v>
      </c>
    </row>
    <row r="13616" spans="1:8" ht="14.4" x14ac:dyDescent="0.3">
      <c r="A13616" s="8">
        <v>2071369</v>
      </c>
      <c r="B13616" s="11">
        <v>44805</v>
      </c>
      <c r="C13616" s="13" t="s">
        <v>17610</v>
      </c>
      <c r="D13616" s="13" t="s">
        <v>17611</v>
      </c>
      <c r="E13616" s="8">
        <v>14000</v>
      </c>
      <c r="F13616" s="13" t="s">
        <v>70</v>
      </c>
      <c r="G13616" s="14">
        <v>44806</v>
      </c>
      <c r="H13616" s="13" t="s">
        <v>163</v>
      </c>
    </row>
    <row r="13617" spans="1:8" ht="14.4" x14ac:dyDescent="0.3">
      <c r="A13617" s="8">
        <v>2071370</v>
      </c>
      <c r="B13617" s="11">
        <v>44805</v>
      </c>
      <c r="C13617" s="13" t="s">
        <v>17612</v>
      </c>
      <c r="D13617" s="13" t="s">
        <v>17613</v>
      </c>
      <c r="E13617" s="8">
        <v>2000</v>
      </c>
      <c r="F13617" s="13" t="s">
        <v>70</v>
      </c>
      <c r="G13617" s="14">
        <v>44806</v>
      </c>
      <c r="H13617" s="13" t="s">
        <v>163</v>
      </c>
    </row>
    <row r="13618" spans="1:8" ht="14.4" x14ac:dyDescent="0.3">
      <c r="A13618" s="8">
        <v>2071372</v>
      </c>
      <c r="B13618" s="11">
        <v>44805</v>
      </c>
      <c r="C13618" s="13" t="s">
        <v>4610</v>
      </c>
      <c r="D13618" s="13" t="s">
        <v>17614</v>
      </c>
      <c r="E13618" s="8">
        <v>20000</v>
      </c>
      <c r="F13618" s="13" t="s">
        <v>70</v>
      </c>
      <c r="G13618" s="14">
        <v>44806</v>
      </c>
      <c r="H13618" s="13" t="s">
        <v>163</v>
      </c>
    </row>
    <row r="13619" spans="1:8" ht="14.4" x14ac:dyDescent="0.3">
      <c r="A13619" s="8">
        <v>2071373</v>
      </c>
      <c r="B13619" s="11">
        <v>44805</v>
      </c>
      <c r="C13619" s="13" t="s">
        <v>17615</v>
      </c>
      <c r="D13619" s="13" t="s">
        <v>17616</v>
      </c>
      <c r="E13619" s="8">
        <v>8000</v>
      </c>
      <c r="F13619" s="13" t="s">
        <v>70</v>
      </c>
      <c r="G13619" s="14">
        <v>44806</v>
      </c>
      <c r="H13619" s="13" t="s">
        <v>163</v>
      </c>
    </row>
    <row r="13620" spans="1:8" ht="14.4" x14ac:dyDescent="0.3">
      <c r="A13620" s="8">
        <v>2071374</v>
      </c>
      <c r="B13620" s="11">
        <v>44805</v>
      </c>
      <c r="C13620" s="13" t="s">
        <v>17617</v>
      </c>
      <c r="D13620" s="13" t="s">
        <v>17618</v>
      </c>
      <c r="E13620" s="8">
        <v>1277000</v>
      </c>
      <c r="F13620" s="13" t="s">
        <v>70</v>
      </c>
      <c r="G13620" s="14">
        <v>44805</v>
      </c>
      <c r="H13620" s="13" t="s">
        <v>163</v>
      </c>
    </row>
    <row r="13621" spans="1:8" ht="14.4" x14ac:dyDescent="0.3">
      <c r="A13621" s="8">
        <v>2071375</v>
      </c>
      <c r="B13621" s="11">
        <v>44805</v>
      </c>
      <c r="C13621" s="13" t="s">
        <v>17619</v>
      </c>
      <c r="D13621" s="13" t="s">
        <v>17620</v>
      </c>
      <c r="E13621" s="8">
        <v>2000</v>
      </c>
      <c r="F13621" s="13" t="s">
        <v>70</v>
      </c>
      <c r="G13621" s="14">
        <v>44812</v>
      </c>
      <c r="H13621" s="13" t="s">
        <v>163</v>
      </c>
    </row>
    <row r="13622" spans="1:8" ht="14.4" x14ac:dyDescent="0.3">
      <c r="A13622" s="8">
        <v>2071376</v>
      </c>
      <c r="B13622" s="11">
        <v>44805</v>
      </c>
      <c r="C13622" s="13" t="s">
        <v>17621</v>
      </c>
      <c r="D13622" s="13" t="s">
        <v>17622</v>
      </c>
      <c r="E13622" s="8">
        <v>2000</v>
      </c>
      <c r="F13622" s="13" t="s">
        <v>70</v>
      </c>
      <c r="G13622" s="14">
        <v>44806</v>
      </c>
      <c r="H13622" s="13" t="s">
        <v>163</v>
      </c>
    </row>
    <row r="13623" spans="1:8" ht="14.4" x14ac:dyDescent="0.3">
      <c r="A13623" s="8">
        <v>2071377</v>
      </c>
      <c r="B13623" s="11">
        <v>44805</v>
      </c>
      <c r="C13623" s="13" t="s">
        <v>17623</v>
      </c>
      <c r="D13623" s="13" t="s">
        <v>17624</v>
      </c>
      <c r="E13623" s="8">
        <v>6000</v>
      </c>
      <c r="F13623" s="13" t="s">
        <v>70</v>
      </c>
      <c r="G13623" s="14">
        <v>44806</v>
      </c>
      <c r="H13623" s="13" t="s">
        <v>163</v>
      </c>
    </row>
    <row r="13624" spans="1:8" ht="14.4" x14ac:dyDescent="0.3">
      <c r="A13624" s="8">
        <v>2071378</v>
      </c>
      <c r="B13624" s="11">
        <v>44805</v>
      </c>
      <c r="C13624" s="13" t="s">
        <v>2687</v>
      </c>
      <c r="D13624" s="13" t="s">
        <v>17625</v>
      </c>
      <c r="E13624" s="8">
        <v>10000</v>
      </c>
      <c r="F13624" s="13" t="s">
        <v>70</v>
      </c>
      <c r="G13624" s="14">
        <v>44806</v>
      </c>
      <c r="H13624" s="13" t="s">
        <v>163</v>
      </c>
    </row>
    <row r="13625" spans="1:8" ht="14.4" x14ac:dyDescent="0.3">
      <c r="A13625" s="8">
        <v>2071379</v>
      </c>
      <c r="B13625" s="11">
        <v>44805</v>
      </c>
      <c r="C13625" s="13" t="s">
        <v>17626</v>
      </c>
      <c r="D13625" s="13" t="s">
        <v>17627</v>
      </c>
      <c r="E13625" s="8">
        <v>4000</v>
      </c>
      <c r="F13625" s="13" t="s">
        <v>70</v>
      </c>
      <c r="G13625" s="14">
        <v>44806</v>
      </c>
      <c r="H13625" s="13" t="s">
        <v>163</v>
      </c>
    </row>
    <row r="13626" spans="1:8" ht="14.4" x14ac:dyDescent="0.3">
      <c r="A13626" s="8">
        <v>2071380</v>
      </c>
      <c r="B13626" s="11">
        <v>44805</v>
      </c>
      <c r="C13626" s="13" t="s">
        <v>14710</v>
      </c>
      <c r="D13626" s="13" t="s">
        <v>17628</v>
      </c>
      <c r="E13626" s="8">
        <v>2000</v>
      </c>
      <c r="F13626" s="13" t="s">
        <v>70</v>
      </c>
      <c r="G13626" s="14">
        <v>44806</v>
      </c>
      <c r="H13626" s="13" t="s">
        <v>163</v>
      </c>
    </row>
    <row r="13627" spans="1:8" ht="14.4" x14ac:dyDescent="0.3">
      <c r="A13627" s="8">
        <v>2071381</v>
      </c>
      <c r="B13627" s="11">
        <v>44805</v>
      </c>
      <c r="C13627" s="13" t="s">
        <v>17629</v>
      </c>
      <c r="D13627" s="13" t="s">
        <v>17630</v>
      </c>
      <c r="E13627" s="8">
        <v>2000</v>
      </c>
      <c r="F13627" s="13" t="s">
        <v>70</v>
      </c>
      <c r="G13627" s="14">
        <v>44806</v>
      </c>
      <c r="H13627" s="13" t="s">
        <v>163</v>
      </c>
    </row>
    <row r="13628" spans="1:8" ht="14.4" x14ac:dyDescent="0.3">
      <c r="A13628" s="8">
        <v>2071383</v>
      </c>
      <c r="B13628" s="11">
        <v>44805</v>
      </c>
      <c r="C13628" s="13" t="s">
        <v>17631</v>
      </c>
      <c r="D13628" s="13" t="s">
        <v>17632</v>
      </c>
      <c r="E13628" s="8">
        <v>8000</v>
      </c>
      <c r="F13628" s="13" t="s">
        <v>70</v>
      </c>
      <c r="G13628" s="14">
        <v>44806</v>
      </c>
      <c r="H13628" s="13" t="s">
        <v>163</v>
      </c>
    </row>
    <row r="13629" spans="1:8" ht="14.4" x14ac:dyDescent="0.3">
      <c r="A13629" s="8">
        <v>2071384</v>
      </c>
      <c r="B13629" s="11">
        <v>44805</v>
      </c>
      <c r="C13629" s="13" t="s">
        <v>17633</v>
      </c>
      <c r="D13629" s="13" t="s">
        <v>17634</v>
      </c>
      <c r="E13629" s="8">
        <v>2000</v>
      </c>
      <c r="F13629" s="13" t="s">
        <v>70</v>
      </c>
      <c r="G13629" s="14">
        <v>44817</v>
      </c>
      <c r="H13629" s="13" t="s">
        <v>163</v>
      </c>
    </row>
    <row r="13630" spans="1:8" ht="14.4" x14ac:dyDescent="0.3">
      <c r="A13630" s="8">
        <v>2071385</v>
      </c>
      <c r="B13630" s="11">
        <v>44805</v>
      </c>
      <c r="C13630" s="13" t="s">
        <v>17635</v>
      </c>
      <c r="D13630" s="13" t="s">
        <v>17636</v>
      </c>
      <c r="E13630" s="8">
        <v>2000</v>
      </c>
      <c r="F13630" s="13" t="s">
        <v>70</v>
      </c>
      <c r="G13630" s="14">
        <v>44806</v>
      </c>
      <c r="H13630" s="13" t="s">
        <v>163</v>
      </c>
    </row>
    <row r="13631" spans="1:8" ht="14.4" x14ac:dyDescent="0.3">
      <c r="A13631" s="8">
        <v>2071386</v>
      </c>
      <c r="B13631" s="11">
        <v>44805</v>
      </c>
      <c r="C13631" s="13" t="s">
        <v>17637</v>
      </c>
      <c r="D13631" s="13" t="s">
        <v>17638</v>
      </c>
      <c r="E13631" s="8">
        <v>6000</v>
      </c>
      <c r="F13631" s="13" t="s">
        <v>70</v>
      </c>
      <c r="G13631" s="14">
        <v>44806</v>
      </c>
      <c r="H13631" s="13" t="s">
        <v>163</v>
      </c>
    </row>
    <row r="13632" spans="1:8" ht="14.4" x14ac:dyDescent="0.3">
      <c r="A13632" s="8">
        <v>2071387</v>
      </c>
      <c r="B13632" s="11">
        <v>44805</v>
      </c>
      <c r="C13632" s="13" t="s">
        <v>17639</v>
      </c>
      <c r="D13632" s="13" t="s">
        <v>17640</v>
      </c>
      <c r="E13632" s="8">
        <v>4000</v>
      </c>
      <c r="F13632" s="13" t="s">
        <v>70</v>
      </c>
      <c r="G13632" s="14">
        <v>44806</v>
      </c>
      <c r="H13632" s="13" t="s">
        <v>163</v>
      </c>
    </row>
    <row r="13633" spans="1:8" ht="14.4" x14ac:dyDescent="0.3">
      <c r="A13633" s="8">
        <v>2071388</v>
      </c>
      <c r="B13633" s="11">
        <v>44805</v>
      </c>
      <c r="C13633" s="13" t="s">
        <v>4717</v>
      </c>
      <c r="D13633" s="13" t="s">
        <v>17641</v>
      </c>
      <c r="E13633" s="8">
        <v>10000</v>
      </c>
      <c r="F13633" s="13" t="s">
        <v>70</v>
      </c>
      <c r="G13633" s="14">
        <v>44806</v>
      </c>
      <c r="H13633" s="13" t="s">
        <v>163</v>
      </c>
    </row>
    <row r="13634" spans="1:8" ht="14.4" x14ac:dyDescent="0.3">
      <c r="A13634" s="8">
        <v>2071389</v>
      </c>
      <c r="B13634" s="11">
        <v>44805</v>
      </c>
      <c r="C13634" s="13" t="s">
        <v>10684</v>
      </c>
      <c r="D13634" s="13" t="s">
        <v>17642</v>
      </c>
      <c r="E13634" s="8">
        <v>8000</v>
      </c>
      <c r="F13634" s="13" t="s">
        <v>70</v>
      </c>
      <c r="G13634" s="14">
        <v>44806</v>
      </c>
      <c r="H13634" s="13" t="s">
        <v>163</v>
      </c>
    </row>
    <row r="13635" spans="1:8" ht="14.4" x14ac:dyDescent="0.3">
      <c r="A13635" s="8">
        <v>2071390</v>
      </c>
      <c r="B13635" s="11">
        <v>44805</v>
      </c>
      <c r="C13635" s="13" t="s">
        <v>17643</v>
      </c>
      <c r="D13635" s="13" t="s">
        <v>17644</v>
      </c>
      <c r="E13635" s="8">
        <v>8000</v>
      </c>
      <c r="F13635" s="13" t="s">
        <v>70</v>
      </c>
      <c r="G13635" s="14">
        <v>44806</v>
      </c>
      <c r="H13635" s="13" t="s">
        <v>163</v>
      </c>
    </row>
    <row r="13636" spans="1:8" ht="14.4" x14ac:dyDescent="0.3">
      <c r="A13636" s="8">
        <v>2071391</v>
      </c>
      <c r="B13636" s="11">
        <v>44805</v>
      </c>
      <c r="C13636" s="13" t="s">
        <v>17645</v>
      </c>
      <c r="D13636" s="13" t="s">
        <v>17646</v>
      </c>
      <c r="E13636" s="8">
        <v>6000</v>
      </c>
      <c r="F13636" s="13" t="s">
        <v>70</v>
      </c>
      <c r="G13636" s="14">
        <v>44806</v>
      </c>
      <c r="H13636" s="13" t="s">
        <v>163</v>
      </c>
    </row>
    <row r="13637" spans="1:8" ht="14.4" x14ac:dyDescent="0.3">
      <c r="A13637" s="8">
        <v>2071392</v>
      </c>
      <c r="B13637" s="11">
        <v>44805</v>
      </c>
      <c r="C13637" s="13" t="s">
        <v>17647</v>
      </c>
      <c r="D13637" s="13" t="s">
        <v>17648</v>
      </c>
      <c r="E13637" s="8">
        <v>2000</v>
      </c>
      <c r="F13637" s="13" t="s">
        <v>70</v>
      </c>
      <c r="G13637" s="14">
        <v>44806</v>
      </c>
      <c r="H13637" s="13" t="s">
        <v>163</v>
      </c>
    </row>
    <row r="13638" spans="1:8" ht="14.4" x14ac:dyDescent="0.3">
      <c r="A13638" s="8">
        <v>2071393</v>
      </c>
      <c r="B13638" s="11">
        <v>44805</v>
      </c>
      <c r="C13638" s="13" t="s">
        <v>11691</v>
      </c>
      <c r="D13638" s="13" t="s">
        <v>17649</v>
      </c>
      <c r="E13638" s="8">
        <v>2000</v>
      </c>
      <c r="F13638" s="13" t="s">
        <v>70</v>
      </c>
      <c r="G13638" s="14">
        <v>44806</v>
      </c>
      <c r="H13638" s="13" t="s">
        <v>163</v>
      </c>
    </row>
    <row r="13639" spans="1:8" ht="14.4" x14ac:dyDescent="0.3">
      <c r="A13639" s="8">
        <v>2071394</v>
      </c>
      <c r="B13639" s="11">
        <v>44805</v>
      </c>
      <c r="C13639" s="13" t="s">
        <v>13189</v>
      </c>
      <c r="D13639" s="13" t="s">
        <v>17650</v>
      </c>
      <c r="E13639" s="8">
        <v>2000</v>
      </c>
      <c r="F13639" s="13" t="s">
        <v>70</v>
      </c>
      <c r="G13639" s="14">
        <v>44816</v>
      </c>
      <c r="H13639" s="13" t="s">
        <v>163</v>
      </c>
    </row>
    <row r="13640" spans="1:8" ht="14.4" x14ac:dyDescent="0.3">
      <c r="A13640" s="8">
        <v>2071395</v>
      </c>
      <c r="B13640" s="11">
        <v>44805</v>
      </c>
      <c r="C13640" s="13" t="s">
        <v>17651</v>
      </c>
      <c r="D13640" s="13" t="s">
        <v>17652</v>
      </c>
      <c r="E13640" s="8">
        <v>4000</v>
      </c>
      <c r="F13640" s="13" t="s">
        <v>70</v>
      </c>
      <c r="G13640" s="14">
        <v>44806</v>
      </c>
      <c r="H13640" s="13" t="s">
        <v>163</v>
      </c>
    </row>
    <row r="13641" spans="1:8" ht="14.4" x14ac:dyDescent="0.3">
      <c r="A13641" s="8">
        <v>2071396</v>
      </c>
      <c r="B13641" s="11">
        <v>44805</v>
      </c>
      <c r="C13641" s="13" t="s">
        <v>7153</v>
      </c>
      <c r="D13641" s="13" t="s">
        <v>17653</v>
      </c>
      <c r="E13641" s="8">
        <v>2000</v>
      </c>
      <c r="F13641" s="13" t="s">
        <v>70</v>
      </c>
      <c r="G13641" s="14">
        <v>44806</v>
      </c>
      <c r="H13641" s="13" t="s">
        <v>163</v>
      </c>
    </row>
    <row r="13642" spans="1:8" ht="14.4" x14ac:dyDescent="0.3">
      <c r="A13642" s="8">
        <v>2071397</v>
      </c>
      <c r="B13642" s="11">
        <v>44805</v>
      </c>
      <c r="C13642" s="13" t="s">
        <v>8206</v>
      </c>
      <c r="D13642" s="13" t="s">
        <v>17654</v>
      </c>
      <c r="E13642" s="8">
        <v>2000</v>
      </c>
      <c r="F13642" s="13" t="s">
        <v>70</v>
      </c>
      <c r="G13642" s="14">
        <v>44806</v>
      </c>
      <c r="H13642" s="13" t="s">
        <v>163</v>
      </c>
    </row>
    <row r="13643" spans="1:8" ht="14.4" x14ac:dyDescent="0.3">
      <c r="A13643" s="8">
        <v>2071398</v>
      </c>
      <c r="B13643" s="11">
        <v>44805</v>
      </c>
      <c r="C13643" s="13" t="s">
        <v>17655</v>
      </c>
      <c r="D13643" s="13" t="s">
        <v>17656</v>
      </c>
      <c r="E13643" s="8">
        <v>4000</v>
      </c>
      <c r="F13643" s="13" t="s">
        <v>70</v>
      </c>
      <c r="G13643" s="14">
        <v>44809</v>
      </c>
      <c r="H13643" s="13" t="s">
        <v>163</v>
      </c>
    </row>
    <row r="13644" spans="1:8" ht="14.4" x14ac:dyDescent="0.3">
      <c r="A13644" s="8">
        <v>2071399</v>
      </c>
      <c r="B13644" s="11">
        <v>44805</v>
      </c>
      <c r="C13644" s="13" t="s">
        <v>17657</v>
      </c>
      <c r="D13644" s="13" t="s">
        <v>17658</v>
      </c>
      <c r="E13644" s="8">
        <v>6000</v>
      </c>
      <c r="F13644" s="13" t="s">
        <v>70</v>
      </c>
      <c r="G13644" s="14">
        <v>44806</v>
      </c>
      <c r="H13644" s="13" t="s">
        <v>163</v>
      </c>
    </row>
    <row r="13645" spans="1:8" ht="14.4" x14ac:dyDescent="0.3">
      <c r="A13645" s="8">
        <v>2071401</v>
      </c>
      <c r="B13645" s="11">
        <v>44805</v>
      </c>
      <c r="C13645" s="13" t="s">
        <v>17659</v>
      </c>
      <c r="D13645" s="13" t="s">
        <v>14318</v>
      </c>
      <c r="E13645" s="8">
        <v>4000</v>
      </c>
      <c r="F13645" s="13" t="s">
        <v>70</v>
      </c>
      <c r="G13645" s="14">
        <v>44806</v>
      </c>
      <c r="H13645" s="13" t="s">
        <v>163</v>
      </c>
    </row>
    <row r="13646" spans="1:8" ht="14.4" x14ac:dyDescent="0.3">
      <c r="A13646" s="8">
        <v>2071402</v>
      </c>
      <c r="B13646" s="11">
        <v>44805</v>
      </c>
      <c r="C13646" s="13" t="s">
        <v>17660</v>
      </c>
      <c r="D13646" s="13" t="s">
        <v>17661</v>
      </c>
      <c r="E13646" s="8">
        <v>2000</v>
      </c>
      <c r="F13646" s="13" t="s">
        <v>70</v>
      </c>
      <c r="G13646" s="14">
        <v>44806</v>
      </c>
      <c r="H13646" s="13" t="s">
        <v>163</v>
      </c>
    </row>
    <row r="13647" spans="1:8" ht="14.4" x14ac:dyDescent="0.3">
      <c r="A13647" s="8">
        <v>2071403</v>
      </c>
      <c r="B13647" s="11">
        <v>44805</v>
      </c>
      <c r="C13647" s="13" t="s">
        <v>13223</v>
      </c>
      <c r="D13647" s="13" t="s">
        <v>14062</v>
      </c>
      <c r="E13647" s="8">
        <v>4000</v>
      </c>
      <c r="F13647" s="13" t="s">
        <v>70</v>
      </c>
      <c r="G13647" s="14">
        <v>44806</v>
      </c>
      <c r="H13647" s="13" t="s">
        <v>163</v>
      </c>
    </row>
    <row r="13648" spans="1:8" ht="14.4" x14ac:dyDescent="0.3">
      <c r="A13648" s="8">
        <v>2071404</v>
      </c>
      <c r="B13648" s="11">
        <v>44805</v>
      </c>
      <c r="C13648" s="13" t="s">
        <v>17662</v>
      </c>
      <c r="D13648" s="13" t="s">
        <v>17663</v>
      </c>
      <c r="E13648" s="8">
        <v>6000</v>
      </c>
      <c r="F13648" s="13" t="s">
        <v>70</v>
      </c>
      <c r="G13648" s="14">
        <v>44806</v>
      </c>
      <c r="H13648" s="13" t="s">
        <v>163</v>
      </c>
    </row>
    <row r="13649" spans="1:8" ht="14.4" x14ac:dyDescent="0.3">
      <c r="A13649" s="8">
        <v>2071405</v>
      </c>
      <c r="B13649" s="11">
        <v>44805</v>
      </c>
      <c r="C13649" s="13" t="s">
        <v>17664</v>
      </c>
      <c r="D13649" s="13" t="s">
        <v>17665</v>
      </c>
      <c r="E13649" s="8">
        <v>1000</v>
      </c>
      <c r="F13649" s="13" t="s">
        <v>70</v>
      </c>
      <c r="G13649" s="14">
        <v>44806</v>
      </c>
      <c r="H13649" s="13" t="s">
        <v>163</v>
      </c>
    </row>
    <row r="13650" spans="1:8" ht="14.4" x14ac:dyDescent="0.3">
      <c r="A13650" s="8">
        <v>2071406</v>
      </c>
      <c r="B13650" s="11">
        <v>44805</v>
      </c>
      <c r="C13650" s="13" t="s">
        <v>17666</v>
      </c>
      <c r="D13650" s="13" t="s">
        <v>17667</v>
      </c>
      <c r="E13650" s="8">
        <v>2000</v>
      </c>
      <c r="F13650" s="13" t="s">
        <v>70</v>
      </c>
      <c r="G13650" s="14">
        <v>44806</v>
      </c>
      <c r="H13650" s="13" t="s">
        <v>163</v>
      </c>
    </row>
    <row r="13651" spans="1:8" ht="14.4" x14ac:dyDescent="0.3">
      <c r="A13651" s="8">
        <v>2071407</v>
      </c>
      <c r="B13651" s="11">
        <v>44805</v>
      </c>
      <c r="C13651" s="13" t="s">
        <v>14110</v>
      </c>
      <c r="D13651" s="13" t="s">
        <v>17668</v>
      </c>
      <c r="E13651" s="8">
        <v>2000</v>
      </c>
      <c r="F13651" s="13" t="s">
        <v>70</v>
      </c>
      <c r="G13651" s="14">
        <v>44806</v>
      </c>
      <c r="H13651" s="13" t="s">
        <v>163</v>
      </c>
    </row>
    <row r="13652" spans="1:8" ht="14.4" x14ac:dyDescent="0.3">
      <c r="A13652" s="8">
        <v>2071408</v>
      </c>
      <c r="B13652" s="11">
        <v>44805</v>
      </c>
      <c r="C13652" s="13" t="s">
        <v>17669</v>
      </c>
      <c r="D13652" s="13" t="s">
        <v>17670</v>
      </c>
      <c r="E13652" s="8">
        <v>2000</v>
      </c>
      <c r="F13652" s="13" t="s">
        <v>70</v>
      </c>
      <c r="G13652" s="14">
        <v>44806</v>
      </c>
      <c r="H13652" s="13" t="s">
        <v>163</v>
      </c>
    </row>
    <row r="13653" spans="1:8" ht="14.4" x14ac:dyDescent="0.3">
      <c r="A13653" s="8">
        <v>2071409</v>
      </c>
      <c r="B13653" s="11">
        <v>44805</v>
      </c>
      <c r="C13653" s="13" t="s">
        <v>17671</v>
      </c>
      <c r="D13653" s="13" t="s">
        <v>17672</v>
      </c>
      <c r="E13653" s="8">
        <v>6000</v>
      </c>
      <c r="F13653" s="13" t="s">
        <v>70</v>
      </c>
      <c r="G13653" s="14">
        <v>44806</v>
      </c>
      <c r="H13653" s="13" t="s">
        <v>163</v>
      </c>
    </row>
    <row r="13654" spans="1:8" ht="14.4" x14ac:dyDescent="0.3">
      <c r="A13654" s="8">
        <v>2071410</v>
      </c>
      <c r="B13654" s="11">
        <v>44805</v>
      </c>
      <c r="C13654" s="13" t="s">
        <v>17673</v>
      </c>
      <c r="D13654" s="13" t="s">
        <v>17674</v>
      </c>
      <c r="E13654" s="8">
        <v>20000</v>
      </c>
      <c r="F13654" s="13" t="s">
        <v>70</v>
      </c>
      <c r="G13654" s="14">
        <v>44806</v>
      </c>
      <c r="H13654" s="13" t="s">
        <v>163</v>
      </c>
    </row>
    <row r="13655" spans="1:8" ht="14.4" x14ac:dyDescent="0.3">
      <c r="A13655" s="8">
        <v>2071411</v>
      </c>
      <c r="B13655" s="11">
        <v>44805</v>
      </c>
      <c r="C13655" s="13" t="s">
        <v>4693</v>
      </c>
      <c r="D13655" s="13" t="s">
        <v>17675</v>
      </c>
      <c r="E13655" s="8">
        <v>30000</v>
      </c>
      <c r="F13655" s="13" t="s">
        <v>70</v>
      </c>
      <c r="G13655" s="14">
        <v>44806</v>
      </c>
      <c r="H13655" s="13" t="s">
        <v>163</v>
      </c>
    </row>
    <row r="13656" spans="1:8" ht="14.4" x14ac:dyDescent="0.3">
      <c r="A13656" s="8">
        <v>2071412</v>
      </c>
      <c r="B13656" s="11">
        <v>44805</v>
      </c>
      <c r="C13656" s="13" t="s">
        <v>17676</v>
      </c>
      <c r="D13656" s="13" t="s">
        <v>17677</v>
      </c>
      <c r="E13656" s="8">
        <v>6000</v>
      </c>
      <c r="F13656" s="13" t="s">
        <v>70</v>
      </c>
      <c r="G13656" s="14">
        <v>44806</v>
      </c>
      <c r="H13656" s="13" t="s">
        <v>163</v>
      </c>
    </row>
    <row r="13657" spans="1:8" ht="14.4" x14ac:dyDescent="0.3">
      <c r="A13657" s="8">
        <v>2071413</v>
      </c>
      <c r="B13657" s="11">
        <v>44805</v>
      </c>
      <c r="C13657" s="13" t="s">
        <v>17678</v>
      </c>
      <c r="D13657" s="13" t="s">
        <v>17679</v>
      </c>
      <c r="E13657" s="8">
        <v>4000</v>
      </c>
      <c r="F13657" s="13" t="s">
        <v>70</v>
      </c>
      <c r="G13657" s="14">
        <v>44806</v>
      </c>
      <c r="H13657" s="13" t="s">
        <v>163</v>
      </c>
    </row>
    <row r="13658" spans="1:8" ht="14.4" x14ac:dyDescent="0.3">
      <c r="A13658" s="8">
        <v>2071414</v>
      </c>
      <c r="B13658" s="11">
        <v>44805</v>
      </c>
      <c r="C13658" s="13" t="s">
        <v>17680</v>
      </c>
      <c r="D13658" s="13" t="s">
        <v>17681</v>
      </c>
      <c r="E13658" s="8">
        <v>4000</v>
      </c>
      <c r="F13658" s="13" t="s">
        <v>70</v>
      </c>
      <c r="G13658" s="14">
        <v>44806</v>
      </c>
      <c r="H13658" s="13" t="s">
        <v>163</v>
      </c>
    </row>
    <row r="13659" spans="1:8" ht="14.4" x14ac:dyDescent="0.3">
      <c r="A13659" s="8">
        <v>2071415</v>
      </c>
      <c r="B13659" s="11">
        <v>44805</v>
      </c>
      <c r="C13659" s="13" t="s">
        <v>17682</v>
      </c>
      <c r="D13659" s="13" t="s">
        <v>17683</v>
      </c>
      <c r="E13659" s="8">
        <v>6000</v>
      </c>
      <c r="F13659" s="13" t="s">
        <v>70</v>
      </c>
      <c r="G13659" s="14">
        <v>44806</v>
      </c>
      <c r="H13659" s="13" t="s">
        <v>163</v>
      </c>
    </row>
    <row r="13660" spans="1:8" ht="14.4" x14ac:dyDescent="0.3">
      <c r="A13660" s="8">
        <v>2071416</v>
      </c>
      <c r="B13660" s="11">
        <v>44805</v>
      </c>
      <c r="C13660" s="13" t="s">
        <v>17684</v>
      </c>
      <c r="D13660" s="13" t="s">
        <v>17685</v>
      </c>
      <c r="E13660" s="8">
        <v>8000</v>
      </c>
      <c r="F13660" s="13" t="s">
        <v>70</v>
      </c>
      <c r="G13660" s="14">
        <v>44806</v>
      </c>
      <c r="H13660" s="13" t="s">
        <v>163</v>
      </c>
    </row>
    <row r="13661" spans="1:8" ht="14.4" x14ac:dyDescent="0.3">
      <c r="A13661" s="8">
        <v>2071417</v>
      </c>
      <c r="B13661" s="11">
        <v>44805</v>
      </c>
      <c r="C13661" s="13" t="s">
        <v>17686</v>
      </c>
      <c r="D13661" s="13" t="s">
        <v>17687</v>
      </c>
      <c r="E13661" s="8">
        <v>4000</v>
      </c>
      <c r="F13661" s="13" t="s">
        <v>70</v>
      </c>
      <c r="G13661" s="14">
        <v>44806</v>
      </c>
      <c r="H13661" s="13" t="s">
        <v>163</v>
      </c>
    </row>
    <row r="13662" spans="1:8" ht="14.4" x14ac:dyDescent="0.3">
      <c r="A13662" s="8">
        <v>2071418</v>
      </c>
      <c r="B13662" s="11">
        <v>44805</v>
      </c>
      <c r="C13662" s="13" t="s">
        <v>17688</v>
      </c>
      <c r="D13662" s="13" t="s">
        <v>17689</v>
      </c>
      <c r="E13662" s="8">
        <v>4000</v>
      </c>
      <c r="F13662" s="13" t="s">
        <v>70</v>
      </c>
      <c r="G13662" s="14">
        <v>44809</v>
      </c>
      <c r="H13662" s="13" t="s">
        <v>163</v>
      </c>
    </row>
    <row r="13663" spans="1:8" ht="14.4" x14ac:dyDescent="0.3">
      <c r="A13663" s="8">
        <v>2071419</v>
      </c>
      <c r="B13663" s="11">
        <v>44805</v>
      </c>
      <c r="C13663" s="13" t="s">
        <v>17690</v>
      </c>
      <c r="D13663" s="13" t="s">
        <v>17691</v>
      </c>
      <c r="E13663" s="8">
        <v>2000</v>
      </c>
      <c r="F13663" s="13" t="s">
        <v>70</v>
      </c>
      <c r="G13663" s="14">
        <v>44806</v>
      </c>
      <c r="H13663" s="13" t="s">
        <v>163</v>
      </c>
    </row>
    <row r="13664" spans="1:8" ht="14.4" x14ac:dyDescent="0.3">
      <c r="A13664" s="8">
        <v>2071420</v>
      </c>
      <c r="B13664" s="11">
        <v>44805</v>
      </c>
      <c r="C13664" s="13" t="s">
        <v>17692</v>
      </c>
      <c r="D13664" s="13" t="s">
        <v>17693</v>
      </c>
      <c r="E13664" s="8">
        <v>8000</v>
      </c>
      <c r="F13664" s="13" t="s">
        <v>70</v>
      </c>
      <c r="G13664" s="14">
        <v>44806</v>
      </c>
      <c r="H13664" s="13" t="s">
        <v>163</v>
      </c>
    </row>
    <row r="13665" spans="1:8" ht="14.4" x14ac:dyDescent="0.3">
      <c r="A13665" s="8">
        <v>2071421</v>
      </c>
      <c r="B13665" s="11">
        <v>44805</v>
      </c>
      <c r="C13665" s="13" t="s">
        <v>17694</v>
      </c>
      <c r="D13665" s="13" t="s">
        <v>17695</v>
      </c>
      <c r="E13665" s="8">
        <v>8000</v>
      </c>
      <c r="F13665" s="13" t="s">
        <v>70</v>
      </c>
      <c r="G13665" s="14">
        <v>44806</v>
      </c>
      <c r="H13665" s="13" t="s">
        <v>163</v>
      </c>
    </row>
    <row r="13666" spans="1:8" ht="14.4" x14ac:dyDescent="0.3">
      <c r="A13666" s="8">
        <v>2071422</v>
      </c>
      <c r="B13666" s="11">
        <v>44805</v>
      </c>
      <c r="C13666" s="13" t="s">
        <v>17696</v>
      </c>
      <c r="D13666" s="13" t="s">
        <v>17697</v>
      </c>
      <c r="E13666" s="8">
        <v>8000</v>
      </c>
      <c r="F13666" s="13" t="s">
        <v>70</v>
      </c>
      <c r="G13666" s="14">
        <v>44806</v>
      </c>
      <c r="H13666" s="13" t="s">
        <v>163</v>
      </c>
    </row>
    <row r="13667" spans="1:8" ht="14.4" x14ac:dyDescent="0.3">
      <c r="A13667" s="8">
        <v>2071423</v>
      </c>
      <c r="B13667" s="11">
        <v>44805</v>
      </c>
      <c r="C13667" s="13" t="s">
        <v>17698</v>
      </c>
      <c r="D13667" s="13" t="s">
        <v>17699</v>
      </c>
      <c r="E13667" s="8">
        <v>8000</v>
      </c>
      <c r="F13667" s="13" t="s">
        <v>70</v>
      </c>
      <c r="G13667" s="14">
        <v>44806</v>
      </c>
      <c r="H13667" s="13" t="s">
        <v>163</v>
      </c>
    </row>
    <row r="13668" spans="1:8" ht="14.4" x14ac:dyDescent="0.3">
      <c r="A13668" s="8">
        <v>2071424</v>
      </c>
      <c r="B13668" s="11">
        <v>44805</v>
      </c>
      <c r="C13668" s="13" t="s">
        <v>17700</v>
      </c>
      <c r="D13668" s="13" t="s">
        <v>17701</v>
      </c>
      <c r="E13668" s="8">
        <v>8000</v>
      </c>
      <c r="F13668" s="13" t="s">
        <v>70</v>
      </c>
      <c r="G13668" s="14">
        <v>44806</v>
      </c>
      <c r="H13668" s="13" t="s">
        <v>163</v>
      </c>
    </row>
    <row r="13669" spans="1:8" ht="14.4" x14ac:dyDescent="0.3">
      <c r="A13669" s="8">
        <v>2071425</v>
      </c>
      <c r="B13669" s="11">
        <v>44805</v>
      </c>
      <c r="C13669" s="13" t="s">
        <v>17702</v>
      </c>
      <c r="D13669" s="13" t="s">
        <v>17703</v>
      </c>
      <c r="E13669" s="8">
        <v>8000</v>
      </c>
      <c r="F13669" s="13" t="s">
        <v>70</v>
      </c>
      <c r="G13669" s="14">
        <v>44806</v>
      </c>
      <c r="H13669" s="13" t="s">
        <v>163</v>
      </c>
    </row>
    <row r="13670" spans="1:8" ht="14.4" x14ac:dyDescent="0.3">
      <c r="A13670" s="8">
        <v>2071426</v>
      </c>
      <c r="B13670" s="11">
        <v>44805</v>
      </c>
      <c r="C13670" s="13" t="s">
        <v>17704</v>
      </c>
      <c r="D13670" s="13" t="s">
        <v>17705</v>
      </c>
      <c r="E13670" s="8">
        <v>6000</v>
      </c>
      <c r="F13670" s="13" t="s">
        <v>70</v>
      </c>
      <c r="G13670" s="14">
        <v>44806</v>
      </c>
      <c r="H13670" s="13" t="s">
        <v>163</v>
      </c>
    </row>
    <row r="13671" spans="1:8" ht="14.4" x14ac:dyDescent="0.3">
      <c r="A13671" s="8">
        <v>2071427</v>
      </c>
      <c r="B13671" s="11">
        <v>44805</v>
      </c>
      <c r="C13671" s="13" t="s">
        <v>17706</v>
      </c>
      <c r="D13671" s="13" t="s">
        <v>17707</v>
      </c>
      <c r="E13671" s="8">
        <v>4000</v>
      </c>
      <c r="F13671" s="13" t="s">
        <v>70</v>
      </c>
      <c r="G13671" s="14">
        <v>44806</v>
      </c>
      <c r="H13671" s="13" t="s">
        <v>163</v>
      </c>
    </row>
    <row r="13672" spans="1:8" ht="14.4" x14ac:dyDescent="0.3">
      <c r="A13672" s="8">
        <v>2071428</v>
      </c>
      <c r="B13672" s="11">
        <v>44805</v>
      </c>
      <c r="C13672" s="13" t="s">
        <v>4254</v>
      </c>
      <c r="D13672" s="13" t="s">
        <v>17708</v>
      </c>
      <c r="E13672" s="8">
        <v>6000</v>
      </c>
      <c r="F13672" s="13" t="s">
        <v>70</v>
      </c>
      <c r="G13672" s="14">
        <v>44806</v>
      </c>
      <c r="H13672" s="13" t="s">
        <v>163</v>
      </c>
    </row>
    <row r="13673" spans="1:8" ht="14.4" x14ac:dyDescent="0.3">
      <c r="A13673" s="8">
        <v>2071429</v>
      </c>
      <c r="B13673" s="11">
        <v>44805</v>
      </c>
      <c r="C13673" s="13" t="s">
        <v>14716</v>
      </c>
      <c r="D13673" s="13" t="s">
        <v>17709</v>
      </c>
      <c r="E13673" s="8">
        <v>2000</v>
      </c>
      <c r="F13673" s="13" t="s">
        <v>70</v>
      </c>
      <c r="G13673" s="14">
        <v>44831</v>
      </c>
      <c r="H13673" s="13" t="s">
        <v>163</v>
      </c>
    </row>
    <row r="13674" spans="1:8" ht="14.4" x14ac:dyDescent="0.3">
      <c r="A13674" s="8">
        <v>2071430</v>
      </c>
      <c r="B13674" s="11">
        <v>44805</v>
      </c>
      <c r="C13674" s="13" t="s">
        <v>17710</v>
      </c>
      <c r="D13674" s="13" t="s">
        <v>17711</v>
      </c>
      <c r="E13674" s="8">
        <v>6000</v>
      </c>
      <c r="F13674" s="13" t="s">
        <v>70</v>
      </c>
      <c r="G13674" s="14">
        <v>44806</v>
      </c>
      <c r="H13674" s="13" t="s">
        <v>163</v>
      </c>
    </row>
    <row r="13675" spans="1:8" ht="14.4" x14ac:dyDescent="0.3">
      <c r="A13675" s="8">
        <v>2071431</v>
      </c>
      <c r="B13675" s="11">
        <v>44805</v>
      </c>
      <c r="C13675" s="13" t="s">
        <v>4732</v>
      </c>
      <c r="D13675" s="13" t="s">
        <v>17712</v>
      </c>
      <c r="E13675" s="8">
        <v>4000</v>
      </c>
      <c r="F13675" s="13" t="s">
        <v>70</v>
      </c>
      <c r="G13675" s="14">
        <v>44810</v>
      </c>
      <c r="H13675" s="13" t="s">
        <v>163</v>
      </c>
    </row>
    <row r="13676" spans="1:8" ht="14.4" x14ac:dyDescent="0.3">
      <c r="A13676" s="8">
        <v>2071432</v>
      </c>
      <c r="B13676" s="11">
        <v>44805</v>
      </c>
      <c r="C13676" s="13" t="s">
        <v>4149</v>
      </c>
      <c r="D13676" s="13" t="s">
        <v>17713</v>
      </c>
      <c r="E13676" s="8">
        <v>6000</v>
      </c>
      <c r="F13676" s="13" t="s">
        <v>70</v>
      </c>
      <c r="G13676" s="14">
        <v>44806</v>
      </c>
      <c r="H13676" s="13" t="s">
        <v>163</v>
      </c>
    </row>
    <row r="13677" spans="1:8" ht="14.4" x14ac:dyDescent="0.3">
      <c r="A13677" s="8">
        <v>2071433</v>
      </c>
      <c r="B13677" s="11">
        <v>44805</v>
      </c>
      <c r="C13677" s="13" t="s">
        <v>14551</v>
      </c>
      <c r="D13677" s="13" t="s">
        <v>17714</v>
      </c>
      <c r="E13677" s="8">
        <v>2000</v>
      </c>
      <c r="F13677" s="13" t="s">
        <v>70</v>
      </c>
      <c r="G13677" s="14">
        <v>44806</v>
      </c>
      <c r="H13677" s="13" t="s">
        <v>163</v>
      </c>
    </row>
    <row r="13678" spans="1:8" ht="14.4" x14ac:dyDescent="0.3">
      <c r="A13678" s="8">
        <v>2071435</v>
      </c>
      <c r="B13678" s="11">
        <v>44805</v>
      </c>
      <c r="C13678" s="13" t="s">
        <v>17715</v>
      </c>
      <c r="D13678" s="13" t="s">
        <v>164</v>
      </c>
      <c r="E13678" s="8">
        <v>2000</v>
      </c>
      <c r="F13678" s="13" t="s">
        <v>70</v>
      </c>
      <c r="G13678" s="14">
        <v>44806</v>
      </c>
      <c r="H13678" s="13" t="s">
        <v>163</v>
      </c>
    </row>
    <row r="13679" spans="1:8" ht="14.4" x14ac:dyDescent="0.3">
      <c r="A13679" s="8">
        <v>2071436</v>
      </c>
      <c r="B13679" s="11">
        <v>44805</v>
      </c>
      <c r="C13679" s="13" t="s">
        <v>17716</v>
      </c>
      <c r="D13679" s="13" t="s">
        <v>17717</v>
      </c>
      <c r="E13679" s="8">
        <v>6000</v>
      </c>
      <c r="F13679" s="13" t="s">
        <v>70</v>
      </c>
      <c r="G13679" s="14">
        <v>44806</v>
      </c>
      <c r="H13679" s="13" t="s">
        <v>163</v>
      </c>
    </row>
    <row r="13680" spans="1:8" ht="14.4" x14ac:dyDescent="0.3">
      <c r="A13680" s="8">
        <v>2071437</v>
      </c>
      <c r="B13680" s="11">
        <v>44805</v>
      </c>
      <c r="C13680" s="13" t="s">
        <v>14752</v>
      </c>
      <c r="D13680" s="13" t="s">
        <v>17718</v>
      </c>
      <c r="E13680" s="8">
        <v>6000</v>
      </c>
      <c r="F13680" s="13" t="s">
        <v>70</v>
      </c>
      <c r="G13680" s="14">
        <v>44806</v>
      </c>
      <c r="H13680" s="13" t="s">
        <v>163</v>
      </c>
    </row>
    <row r="13681" spans="1:8" ht="14.4" x14ac:dyDescent="0.3">
      <c r="A13681" s="8">
        <v>2071438</v>
      </c>
      <c r="B13681" s="11">
        <v>44805</v>
      </c>
      <c r="C13681" s="13" t="s">
        <v>17719</v>
      </c>
      <c r="D13681" s="13" t="s">
        <v>17720</v>
      </c>
      <c r="E13681" s="8">
        <v>8000</v>
      </c>
      <c r="F13681" s="13" t="s">
        <v>70</v>
      </c>
      <c r="G13681" s="14">
        <v>44806</v>
      </c>
      <c r="H13681" s="13" t="s">
        <v>163</v>
      </c>
    </row>
    <row r="13682" spans="1:8" ht="14.4" x14ac:dyDescent="0.3">
      <c r="A13682" s="8">
        <v>2071439</v>
      </c>
      <c r="B13682" s="11">
        <v>44805</v>
      </c>
      <c r="C13682" s="13" t="s">
        <v>17721</v>
      </c>
      <c r="D13682" s="13" t="s">
        <v>17722</v>
      </c>
      <c r="E13682" s="8">
        <v>4000</v>
      </c>
      <c r="F13682" s="13" t="s">
        <v>70</v>
      </c>
      <c r="G13682" s="14">
        <v>44820</v>
      </c>
      <c r="H13682" s="13" t="s">
        <v>163</v>
      </c>
    </row>
    <row r="13683" spans="1:8" ht="14.4" x14ac:dyDescent="0.3">
      <c r="A13683" s="8">
        <v>2071440</v>
      </c>
      <c r="B13683" s="11">
        <v>44805</v>
      </c>
      <c r="C13683" s="13" t="s">
        <v>17723</v>
      </c>
      <c r="D13683" s="13" t="s">
        <v>17724</v>
      </c>
      <c r="E13683" s="8">
        <v>2000</v>
      </c>
      <c r="F13683" s="13" t="s">
        <v>70</v>
      </c>
      <c r="G13683" s="14">
        <v>44806</v>
      </c>
      <c r="H13683" s="13" t="s">
        <v>163</v>
      </c>
    </row>
    <row r="13684" spans="1:8" ht="14.4" x14ac:dyDescent="0.3">
      <c r="A13684" s="8">
        <v>2071441</v>
      </c>
      <c r="B13684" s="11">
        <v>44805</v>
      </c>
      <c r="C13684" s="13" t="s">
        <v>2432</v>
      </c>
      <c r="D13684" s="13" t="s">
        <v>17725</v>
      </c>
      <c r="E13684" s="8">
        <v>6000</v>
      </c>
      <c r="F13684" s="13" t="s">
        <v>70</v>
      </c>
      <c r="G13684" s="14">
        <v>44805</v>
      </c>
      <c r="H13684" s="13" t="s">
        <v>163</v>
      </c>
    </row>
    <row r="13685" spans="1:8" ht="14.4" x14ac:dyDescent="0.3">
      <c r="A13685" s="8">
        <v>2071442</v>
      </c>
      <c r="B13685" s="11">
        <v>44805</v>
      </c>
      <c r="C13685" s="13" t="s">
        <v>17726</v>
      </c>
      <c r="D13685" s="13" t="s">
        <v>14318</v>
      </c>
      <c r="E13685" s="8">
        <v>2000</v>
      </c>
      <c r="F13685" s="13" t="s">
        <v>70</v>
      </c>
      <c r="G13685" s="14">
        <v>44806</v>
      </c>
      <c r="H13685" s="13" t="s">
        <v>163</v>
      </c>
    </row>
    <row r="13686" spans="1:8" ht="14.4" x14ac:dyDescent="0.3">
      <c r="A13686" s="8">
        <v>2071443</v>
      </c>
      <c r="B13686" s="11">
        <v>44805</v>
      </c>
      <c r="C13686" s="13" t="s">
        <v>17727</v>
      </c>
      <c r="D13686" s="13" t="s">
        <v>17728</v>
      </c>
      <c r="E13686" s="8">
        <v>30000</v>
      </c>
      <c r="F13686" s="13" t="s">
        <v>70</v>
      </c>
      <c r="G13686" s="14">
        <v>44806</v>
      </c>
      <c r="H13686" s="13" t="s">
        <v>163</v>
      </c>
    </row>
    <row r="13687" spans="1:8" ht="14.4" x14ac:dyDescent="0.3">
      <c r="A13687" s="8">
        <v>2071444</v>
      </c>
      <c r="B13687" s="11">
        <v>44806</v>
      </c>
      <c r="C13687" s="13" t="s">
        <v>127</v>
      </c>
      <c r="D13687" s="13" t="s">
        <v>17729</v>
      </c>
      <c r="E13687" s="8">
        <v>2035.76</v>
      </c>
      <c r="F13687" s="13" t="s">
        <v>70</v>
      </c>
      <c r="G13687" s="14">
        <v>44832</v>
      </c>
      <c r="H13687" s="13" t="s">
        <v>163</v>
      </c>
    </row>
    <row r="13688" spans="1:8" ht="14.4" x14ac:dyDescent="0.3">
      <c r="A13688" s="8">
        <v>2071445</v>
      </c>
      <c r="B13688" s="11">
        <v>44806</v>
      </c>
      <c r="C13688" s="13" t="s">
        <v>2624</v>
      </c>
      <c r="D13688" s="13" t="s">
        <v>6170</v>
      </c>
      <c r="E13688" s="8">
        <v>2369255.2599999998</v>
      </c>
      <c r="F13688" s="13" t="s">
        <v>70</v>
      </c>
      <c r="G13688" s="14">
        <v>44809</v>
      </c>
      <c r="H13688" s="13" t="s">
        <v>163</v>
      </c>
    </row>
    <row r="13689" spans="1:8" ht="14.4" x14ac:dyDescent="0.3">
      <c r="A13689" s="8">
        <v>2071446</v>
      </c>
      <c r="B13689" s="11">
        <v>44806</v>
      </c>
      <c r="C13689" s="13" t="s">
        <v>17730</v>
      </c>
      <c r="D13689" s="13" t="s">
        <v>17731</v>
      </c>
      <c r="E13689" s="8">
        <v>54344</v>
      </c>
      <c r="F13689" s="13" t="s">
        <v>70</v>
      </c>
      <c r="G13689" s="14">
        <v>44809</v>
      </c>
      <c r="H13689" s="13" t="s">
        <v>163</v>
      </c>
    </row>
    <row r="13690" spans="1:8" ht="14.4" x14ac:dyDescent="0.3">
      <c r="A13690" s="8">
        <v>2071447</v>
      </c>
      <c r="B13690" s="11">
        <v>44809</v>
      </c>
      <c r="C13690" s="13" t="s">
        <v>7526</v>
      </c>
      <c r="D13690" s="13" t="s">
        <v>17732</v>
      </c>
      <c r="E13690" s="8">
        <v>2000</v>
      </c>
      <c r="F13690" s="13" t="s">
        <v>70</v>
      </c>
      <c r="G13690" s="14">
        <v>44810</v>
      </c>
      <c r="H13690" s="13" t="s">
        <v>163</v>
      </c>
    </row>
    <row r="13691" spans="1:8" ht="14.4" x14ac:dyDescent="0.3">
      <c r="A13691" s="8">
        <v>2071449</v>
      </c>
      <c r="B13691" s="11">
        <v>44809</v>
      </c>
      <c r="C13691" s="13" t="s">
        <v>16431</v>
      </c>
      <c r="D13691" s="13" t="s">
        <v>17733</v>
      </c>
      <c r="E13691" s="8">
        <v>30000</v>
      </c>
      <c r="F13691" s="13" t="s">
        <v>70</v>
      </c>
      <c r="G13691" s="14">
        <v>44810</v>
      </c>
      <c r="H13691" s="13" t="s">
        <v>163</v>
      </c>
    </row>
    <row r="13692" spans="1:8" ht="14.4" x14ac:dyDescent="0.3">
      <c r="A13692" s="8">
        <v>2071450</v>
      </c>
      <c r="B13692" s="11">
        <v>44809</v>
      </c>
      <c r="C13692" s="13" t="s">
        <v>17734</v>
      </c>
      <c r="D13692" s="13" t="s">
        <v>17735</v>
      </c>
      <c r="E13692" s="8">
        <v>6000</v>
      </c>
      <c r="F13692" s="13" t="s">
        <v>70</v>
      </c>
      <c r="G13692" s="14">
        <v>44811</v>
      </c>
      <c r="H13692" s="13" t="s">
        <v>163</v>
      </c>
    </row>
    <row r="13693" spans="1:8" ht="14.4" x14ac:dyDescent="0.3">
      <c r="A13693" s="8">
        <v>2071451</v>
      </c>
      <c r="B13693" s="11">
        <v>44809</v>
      </c>
      <c r="C13693" s="13" t="s">
        <v>17736</v>
      </c>
      <c r="D13693" s="13" t="s">
        <v>17737</v>
      </c>
      <c r="E13693" s="8">
        <v>4000</v>
      </c>
      <c r="F13693" s="13" t="s">
        <v>70</v>
      </c>
      <c r="G13693" s="14">
        <v>44811</v>
      </c>
      <c r="H13693" s="13" t="s">
        <v>163</v>
      </c>
    </row>
    <row r="13694" spans="1:8" ht="14.4" x14ac:dyDescent="0.3">
      <c r="A13694" s="8">
        <v>2071452</v>
      </c>
      <c r="B13694" s="11">
        <v>44809</v>
      </c>
      <c r="C13694" s="13" t="s">
        <v>4728</v>
      </c>
      <c r="D13694" s="13" t="s">
        <v>17738</v>
      </c>
      <c r="E13694" s="8">
        <v>30000</v>
      </c>
      <c r="F13694" s="13" t="s">
        <v>70</v>
      </c>
      <c r="G13694" s="14">
        <v>44810</v>
      </c>
      <c r="H13694" s="13" t="s">
        <v>163</v>
      </c>
    </row>
    <row r="13695" spans="1:8" ht="14.4" x14ac:dyDescent="0.3">
      <c r="A13695" s="8">
        <v>2071453</v>
      </c>
      <c r="B13695" s="11">
        <v>44809</v>
      </c>
      <c r="C13695" s="13" t="s">
        <v>17739</v>
      </c>
      <c r="D13695" s="13" t="s">
        <v>17740</v>
      </c>
      <c r="E13695" s="8">
        <v>8000</v>
      </c>
      <c r="F13695" s="13" t="s">
        <v>70</v>
      </c>
      <c r="G13695" s="14">
        <v>44810</v>
      </c>
      <c r="H13695" s="13" t="s">
        <v>163</v>
      </c>
    </row>
    <row r="13696" spans="1:8" ht="14.4" x14ac:dyDescent="0.3">
      <c r="A13696" s="8">
        <v>2071455</v>
      </c>
      <c r="B13696" s="11">
        <v>44809</v>
      </c>
      <c r="C13696" s="13" t="s">
        <v>17741</v>
      </c>
      <c r="D13696" s="13" t="s">
        <v>17742</v>
      </c>
      <c r="E13696" s="8">
        <v>2000</v>
      </c>
      <c r="F13696" s="13" t="s">
        <v>70</v>
      </c>
      <c r="G13696" s="14">
        <v>44810</v>
      </c>
      <c r="H13696" s="13" t="s">
        <v>163</v>
      </c>
    </row>
    <row r="13697" spans="1:8" ht="14.4" x14ac:dyDescent="0.3">
      <c r="A13697" s="8">
        <v>2071456</v>
      </c>
      <c r="B13697" s="11">
        <v>44809</v>
      </c>
      <c r="C13697" s="13" t="s">
        <v>11372</v>
      </c>
      <c r="D13697" s="13" t="s">
        <v>13615</v>
      </c>
      <c r="E13697" s="8">
        <v>2000</v>
      </c>
      <c r="F13697" s="13" t="s">
        <v>70</v>
      </c>
      <c r="G13697" s="14">
        <v>44816</v>
      </c>
      <c r="H13697" s="13" t="s">
        <v>163</v>
      </c>
    </row>
    <row r="13698" spans="1:8" ht="14.4" x14ac:dyDescent="0.3">
      <c r="A13698" s="8">
        <v>2071457</v>
      </c>
      <c r="B13698" s="11">
        <v>44809</v>
      </c>
      <c r="C13698" s="13" t="s">
        <v>17743</v>
      </c>
      <c r="D13698" s="13" t="s">
        <v>17744</v>
      </c>
      <c r="E13698" s="8">
        <v>4000</v>
      </c>
      <c r="F13698" s="13" t="s">
        <v>70</v>
      </c>
      <c r="G13698" s="14">
        <v>44810</v>
      </c>
      <c r="H13698" s="13" t="s">
        <v>163</v>
      </c>
    </row>
    <row r="13699" spans="1:8" ht="14.4" x14ac:dyDescent="0.3">
      <c r="A13699" s="8">
        <v>2071458</v>
      </c>
      <c r="B13699" s="11">
        <v>44809</v>
      </c>
      <c r="C13699" s="13" t="s">
        <v>17745</v>
      </c>
      <c r="D13699" s="13" t="s">
        <v>16335</v>
      </c>
      <c r="E13699" s="8">
        <v>4000</v>
      </c>
      <c r="F13699" s="13" t="s">
        <v>70</v>
      </c>
      <c r="G13699" s="14">
        <v>44817</v>
      </c>
      <c r="H13699" s="13" t="s">
        <v>163</v>
      </c>
    </row>
    <row r="13700" spans="1:8" ht="14.4" x14ac:dyDescent="0.3">
      <c r="A13700" s="8">
        <v>2071459</v>
      </c>
      <c r="B13700" s="11">
        <v>44809</v>
      </c>
      <c r="C13700" s="13" t="s">
        <v>17746</v>
      </c>
      <c r="D13700" s="13" t="s">
        <v>17747</v>
      </c>
      <c r="E13700" s="8">
        <v>4000</v>
      </c>
      <c r="F13700" s="13" t="s">
        <v>70</v>
      </c>
      <c r="G13700" s="14">
        <v>44811</v>
      </c>
      <c r="H13700" s="13" t="s">
        <v>163</v>
      </c>
    </row>
    <row r="13701" spans="1:8" ht="14.4" x14ac:dyDescent="0.3">
      <c r="A13701" s="8">
        <v>2071460</v>
      </c>
      <c r="B13701" s="11">
        <v>44809</v>
      </c>
      <c r="C13701" s="13" t="s">
        <v>7174</v>
      </c>
      <c r="D13701" s="13" t="s">
        <v>16335</v>
      </c>
      <c r="E13701" s="8">
        <v>2000</v>
      </c>
      <c r="F13701" s="13" t="s">
        <v>70</v>
      </c>
      <c r="G13701" s="14">
        <v>44810</v>
      </c>
      <c r="H13701" s="13" t="s">
        <v>163</v>
      </c>
    </row>
    <row r="13702" spans="1:8" ht="14.4" x14ac:dyDescent="0.3">
      <c r="A13702" s="8">
        <v>2071461</v>
      </c>
      <c r="B13702" s="11">
        <v>44809</v>
      </c>
      <c r="C13702" s="13" t="s">
        <v>17748</v>
      </c>
      <c r="D13702" s="13" t="s">
        <v>17749</v>
      </c>
      <c r="E13702" s="8">
        <v>2000</v>
      </c>
      <c r="F13702" s="13" t="s">
        <v>70</v>
      </c>
      <c r="G13702" s="14">
        <v>44812</v>
      </c>
      <c r="H13702" s="13" t="s">
        <v>163</v>
      </c>
    </row>
    <row r="13703" spans="1:8" ht="14.4" x14ac:dyDescent="0.3">
      <c r="A13703" s="8">
        <v>2071462</v>
      </c>
      <c r="B13703" s="11">
        <v>44809</v>
      </c>
      <c r="C13703" s="13" t="s">
        <v>17750</v>
      </c>
      <c r="D13703" s="13" t="s">
        <v>164</v>
      </c>
      <c r="E13703" s="8">
        <v>2000</v>
      </c>
      <c r="F13703" s="13" t="s">
        <v>70</v>
      </c>
      <c r="G13703" s="14">
        <v>44811</v>
      </c>
      <c r="H13703" s="13" t="s">
        <v>163</v>
      </c>
    </row>
    <row r="13704" spans="1:8" ht="14.4" x14ac:dyDescent="0.3">
      <c r="A13704" s="8">
        <v>2071464</v>
      </c>
      <c r="B13704" s="11">
        <v>44809</v>
      </c>
      <c r="C13704" s="13" t="s">
        <v>17751</v>
      </c>
      <c r="D13704" s="13" t="s">
        <v>17752</v>
      </c>
      <c r="E13704" s="8">
        <v>3000</v>
      </c>
      <c r="F13704" s="13" t="s">
        <v>70</v>
      </c>
      <c r="G13704" s="14">
        <v>44811</v>
      </c>
      <c r="H13704" s="13" t="s">
        <v>163</v>
      </c>
    </row>
    <row r="13705" spans="1:8" ht="14.4" x14ac:dyDescent="0.3">
      <c r="A13705" s="8">
        <v>2071465</v>
      </c>
      <c r="B13705" s="11">
        <v>44809</v>
      </c>
      <c r="C13705" s="13" t="s">
        <v>14213</v>
      </c>
      <c r="D13705" s="13" t="s">
        <v>166</v>
      </c>
      <c r="E13705" s="8">
        <v>4000</v>
      </c>
      <c r="F13705" s="13" t="s">
        <v>70</v>
      </c>
      <c r="G13705" s="14">
        <v>44811</v>
      </c>
      <c r="H13705" s="13" t="s">
        <v>163</v>
      </c>
    </row>
    <row r="13706" spans="1:8" ht="14.4" x14ac:dyDescent="0.3">
      <c r="A13706" s="8">
        <v>2071466</v>
      </c>
      <c r="B13706" s="11">
        <v>44809</v>
      </c>
      <c r="C13706" s="13" t="s">
        <v>17753</v>
      </c>
      <c r="D13706" s="13" t="s">
        <v>17754</v>
      </c>
      <c r="E13706" s="8">
        <v>40000</v>
      </c>
      <c r="F13706" s="13" t="s">
        <v>70</v>
      </c>
      <c r="G13706" s="14">
        <v>44810</v>
      </c>
      <c r="H13706" s="13" t="s">
        <v>163</v>
      </c>
    </row>
    <row r="13707" spans="1:8" ht="14.4" x14ac:dyDescent="0.3">
      <c r="A13707" s="8">
        <v>2071467</v>
      </c>
      <c r="B13707" s="11">
        <v>44809</v>
      </c>
      <c r="C13707" s="13" t="s">
        <v>17755</v>
      </c>
      <c r="D13707" s="13" t="s">
        <v>17756</v>
      </c>
      <c r="E13707" s="8">
        <v>6000</v>
      </c>
      <c r="F13707" s="13" t="s">
        <v>70</v>
      </c>
      <c r="G13707" s="14">
        <v>44810</v>
      </c>
      <c r="H13707" s="13" t="s">
        <v>163</v>
      </c>
    </row>
    <row r="13708" spans="1:8" ht="14.4" x14ac:dyDescent="0.3">
      <c r="A13708" s="8">
        <v>2071468</v>
      </c>
      <c r="B13708" s="11">
        <v>44809</v>
      </c>
      <c r="C13708" s="13" t="s">
        <v>11355</v>
      </c>
      <c r="D13708" s="13" t="s">
        <v>17757</v>
      </c>
      <c r="E13708" s="8">
        <v>6000</v>
      </c>
      <c r="F13708" s="13" t="s">
        <v>70</v>
      </c>
      <c r="G13708" s="14">
        <v>44811</v>
      </c>
      <c r="H13708" s="13" t="s">
        <v>163</v>
      </c>
    </row>
    <row r="13709" spans="1:8" ht="14.4" x14ac:dyDescent="0.3">
      <c r="A13709" s="8">
        <v>2071469</v>
      </c>
      <c r="B13709" s="11">
        <v>44809</v>
      </c>
      <c r="C13709" s="13" t="s">
        <v>17758</v>
      </c>
      <c r="D13709" s="13" t="s">
        <v>17759</v>
      </c>
      <c r="E13709" s="8">
        <v>6000</v>
      </c>
      <c r="F13709" s="13" t="s">
        <v>70</v>
      </c>
      <c r="G13709" s="14">
        <v>44810</v>
      </c>
      <c r="H13709" s="13" t="s">
        <v>163</v>
      </c>
    </row>
    <row r="13710" spans="1:8" ht="14.4" x14ac:dyDescent="0.3">
      <c r="A13710" s="8">
        <v>2071470</v>
      </c>
      <c r="B13710" s="11">
        <v>44809</v>
      </c>
      <c r="C13710" s="13" t="s">
        <v>17760</v>
      </c>
      <c r="D13710" s="13" t="s">
        <v>17761</v>
      </c>
      <c r="E13710" s="8">
        <v>8000</v>
      </c>
      <c r="F13710" s="13" t="s">
        <v>70</v>
      </c>
      <c r="G13710" s="14">
        <v>44810</v>
      </c>
      <c r="H13710" s="13" t="s">
        <v>163</v>
      </c>
    </row>
    <row r="13711" spans="1:8" ht="14.4" x14ac:dyDescent="0.3">
      <c r="A13711" s="8">
        <v>2071471</v>
      </c>
      <c r="B13711" s="11">
        <v>44809</v>
      </c>
      <c r="C13711" s="13" t="s">
        <v>17762</v>
      </c>
      <c r="D13711" s="13" t="s">
        <v>17763</v>
      </c>
      <c r="E13711" s="8">
        <v>6000</v>
      </c>
      <c r="F13711" s="13" t="s">
        <v>70</v>
      </c>
      <c r="G13711" s="14">
        <v>44810</v>
      </c>
      <c r="H13711" s="13" t="s">
        <v>163</v>
      </c>
    </row>
    <row r="13712" spans="1:8" ht="14.4" x14ac:dyDescent="0.3">
      <c r="A13712" s="8">
        <v>2071472</v>
      </c>
      <c r="B13712" s="11">
        <v>44809</v>
      </c>
      <c r="C13712" s="13" t="s">
        <v>17764</v>
      </c>
      <c r="D13712" s="13" t="s">
        <v>17765</v>
      </c>
      <c r="E13712" s="8">
        <v>6000</v>
      </c>
      <c r="F13712" s="13" t="s">
        <v>70</v>
      </c>
      <c r="G13712" s="14">
        <v>44810</v>
      </c>
      <c r="H13712" s="13" t="s">
        <v>163</v>
      </c>
    </row>
    <row r="13713" spans="1:8" ht="14.4" x14ac:dyDescent="0.3">
      <c r="A13713" s="8">
        <v>2071473</v>
      </c>
      <c r="B13713" s="11">
        <v>44809</v>
      </c>
      <c r="C13713" s="13" t="s">
        <v>17766</v>
      </c>
      <c r="D13713" s="13" t="s">
        <v>17767</v>
      </c>
      <c r="E13713" s="8">
        <v>4000</v>
      </c>
      <c r="F13713" s="13" t="s">
        <v>70</v>
      </c>
      <c r="G13713" s="14">
        <v>44810</v>
      </c>
      <c r="H13713" s="13" t="s">
        <v>163</v>
      </c>
    </row>
    <row r="13714" spans="1:8" ht="14.4" x14ac:dyDescent="0.3">
      <c r="A13714" s="8">
        <v>2071474</v>
      </c>
      <c r="B13714" s="11">
        <v>44809</v>
      </c>
      <c r="C13714" s="13" t="s">
        <v>14493</v>
      </c>
      <c r="D13714" s="13" t="s">
        <v>16335</v>
      </c>
      <c r="E13714" s="8">
        <v>1000</v>
      </c>
      <c r="F13714" s="13" t="s">
        <v>70</v>
      </c>
      <c r="G13714" s="14">
        <v>44810</v>
      </c>
      <c r="H13714" s="13" t="s">
        <v>163</v>
      </c>
    </row>
    <row r="13715" spans="1:8" ht="14.4" x14ac:dyDescent="0.3">
      <c r="A13715" s="8">
        <v>2071475</v>
      </c>
      <c r="B13715" s="11">
        <v>44809</v>
      </c>
      <c r="C13715" s="13" t="s">
        <v>17768</v>
      </c>
      <c r="D13715" s="13" t="s">
        <v>17769</v>
      </c>
      <c r="E13715" s="8">
        <v>4000</v>
      </c>
      <c r="F13715" s="13" t="s">
        <v>70</v>
      </c>
      <c r="G13715" s="14">
        <v>44810</v>
      </c>
      <c r="H13715" s="13" t="s">
        <v>163</v>
      </c>
    </row>
    <row r="13716" spans="1:8" ht="14.4" x14ac:dyDescent="0.3">
      <c r="A13716" s="8">
        <v>2071476</v>
      </c>
      <c r="B13716" s="11">
        <v>44809</v>
      </c>
      <c r="C13716" s="13" t="s">
        <v>17770</v>
      </c>
      <c r="D13716" s="13" t="s">
        <v>17771</v>
      </c>
      <c r="E13716" s="8">
        <v>4000</v>
      </c>
      <c r="F13716" s="13" t="s">
        <v>70</v>
      </c>
      <c r="G13716" s="14">
        <v>44810</v>
      </c>
      <c r="H13716" s="13" t="s">
        <v>163</v>
      </c>
    </row>
    <row r="13717" spans="1:8" ht="14.4" x14ac:dyDescent="0.3">
      <c r="A13717" s="8">
        <v>2071477</v>
      </c>
      <c r="B13717" s="11">
        <v>44809</v>
      </c>
      <c r="C13717" s="13" t="s">
        <v>17772</v>
      </c>
      <c r="D13717" s="13" t="s">
        <v>164</v>
      </c>
      <c r="E13717" s="8">
        <v>2000</v>
      </c>
      <c r="F13717" s="13" t="s">
        <v>70</v>
      </c>
      <c r="G13717" s="14">
        <v>44810</v>
      </c>
      <c r="H13717" s="13" t="s">
        <v>163</v>
      </c>
    </row>
    <row r="13718" spans="1:8" ht="14.4" x14ac:dyDescent="0.3">
      <c r="A13718" s="8">
        <v>2071478</v>
      </c>
      <c r="B13718" s="11">
        <v>44809</v>
      </c>
      <c r="C13718" s="13" t="s">
        <v>16906</v>
      </c>
      <c r="D13718" s="13" t="s">
        <v>17773</v>
      </c>
      <c r="E13718" s="8">
        <v>4000</v>
      </c>
      <c r="F13718" s="13" t="s">
        <v>70</v>
      </c>
      <c r="G13718" s="14">
        <v>44810</v>
      </c>
      <c r="H13718" s="13" t="s">
        <v>163</v>
      </c>
    </row>
    <row r="13719" spans="1:8" ht="14.4" x14ac:dyDescent="0.3">
      <c r="A13719" s="8">
        <v>2071479</v>
      </c>
      <c r="B13719" s="11">
        <v>44809</v>
      </c>
      <c r="C13719" s="13" t="s">
        <v>13852</v>
      </c>
      <c r="D13719" s="13" t="s">
        <v>17774</v>
      </c>
      <c r="E13719" s="8">
        <v>28000</v>
      </c>
      <c r="F13719" s="13" t="s">
        <v>70</v>
      </c>
      <c r="G13719" s="14">
        <v>44811</v>
      </c>
      <c r="H13719" s="13" t="s">
        <v>163</v>
      </c>
    </row>
    <row r="13720" spans="1:8" ht="14.4" x14ac:dyDescent="0.3">
      <c r="A13720" s="8">
        <v>2071480</v>
      </c>
      <c r="B13720" s="11">
        <v>44809</v>
      </c>
      <c r="C13720" s="13" t="s">
        <v>17775</v>
      </c>
      <c r="D13720" s="13" t="s">
        <v>164</v>
      </c>
      <c r="E13720" s="8">
        <v>2000</v>
      </c>
      <c r="F13720" s="13" t="s">
        <v>70</v>
      </c>
      <c r="G13720" s="14">
        <v>44810</v>
      </c>
      <c r="H13720" s="13" t="s">
        <v>163</v>
      </c>
    </row>
    <row r="13721" spans="1:8" ht="14.4" x14ac:dyDescent="0.3">
      <c r="A13721" s="8">
        <v>2071481</v>
      </c>
      <c r="B13721" s="11">
        <v>44809</v>
      </c>
      <c r="C13721" s="13" t="s">
        <v>17776</v>
      </c>
      <c r="D13721" s="13" t="s">
        <v>17777</v>
      </c>
      <c r="E13721" s="8">
        <v>4000</v>
      </c>
      <c r="F13721" s="13" t="s">
        <v>70</v>
      </c>
      <c r="G13721" s="14">
        <v>44810</v>
      </c>
      <c r="H13721" s="13" t="s">
        <v>163</v>
      </c>
    </row>
    <row r="13722" spans="1:8" ht="14.4" x14ac:dyDescent="0.3">
      <c r="A13722" s="8">
        <v>2071482</v>
      </c>
      <c r="B13722" s="11">
        <v>44809</v>
      </c>
      <c r="C13722" s="13" t="s">
        <v>17778</v>
      </c>
      <c r="D13722" s="13" t="s">
        <v>17779</v>
      </c>
      <c r="E13722" s="8">
        <v>6000</v>
      </c>
      <c r="F13722" s="13" t="s">
        <v>70</v>
      </c>
      <c r="G13722" s="14">
        <v>44810</v>
      </c>
      <c r="H13722" s="13" t="s">
        <v>163</v>
      </c>
    </row>
    <row r="13723" spans="1:8" ht="14.4" x14ac:dyDescent="0.3">
      <c r="A13723" s="8">
        <v>2071483</v>
      </c>
      <c r="B13723" s="11">
        <v>44810</v>
      </c>
      <c r="C13723" s="13" t="s">
        <v>201</v>
      </c>
      <c r="D13723" s="13" t="s">
        <v>17780</v>
      </c>
      <c r="E13723" s="8">
        <v>3417.51</v>
      </c>
      <c r="F13723" s="13" t="s">
        <v>70</v>
      </c>
      <c r="G13723" s="14">
        <v>44824</v>
      </c>
      <c r="H13723" s="13" t="s">
        <v>163</v>
      </c>
    </row>
    <row r="13724" spans="1:8" ht="14.4" x14ac:dyDescent="0.3">
      <c r="A13724" s="8">
        <v>2071484</v>
      </c>
      <c r="B13724" s="11">
        <v>44810</v>
      </c>
      <c r="C13724" s="13" t="s">
        <v>4211</v>
      </c>
      <c r="D13724" s="13" t="s">
        <v>17781</v>
      </c>
      <c r="E13724" s="8">
        <v>17437.5</v>
      </c>
      <c r="F13724" s="13" t="s">
        <v>70</v>
      </c>
      <c r="G13724" s="14">
        <v>44832</v>
      </c>
      <c r="H13724" s="13" t="s">
        <v>163</v>
      </c>
    </row>
    <row r="13725" spans="1:8" ht="14.4" x14ac:dyDescent="0.3">
      <c r="A13725" s="8">
        <v>2071485</v>
      </c>
      <c r="B13725" s="11">
        <v>44810</v>
      </c>
      <c r="C13725" s="13" t="s">
        <v>17782</v>
      </c>
      <c r="D13725" s="13" t="s">
        <v>17783</v>
      </c>
      <c r="E13725" s="8">
        <v>6000</v>
      </c>
      <c r="F13725" s="13" t="s">
        <v>70</v>
      </c>
      <c r="G13725" s="14">
        <v>44812</v>
      </c>
      <c r="H13725" s="13" t="s">
        <v>163</v>
      </c>
    </row>
    <row r="13726" spans="1:8" ht="14.4" x14ac:dyDescent="0.3">
      <c r="A13726" s="8">
        <v>2071486</v>
      </c>
      <c r="B13726" s="11">
        <v>44810</v>
      </c>
      <c r="C13726" s="13" t="s">
        <v>17784</v>
      </c>
      <c r="D13726" s="13" t="s">
        <v>17785</v>
      </c>
      <c r="E13726" s="8">
        <v>40000</v>
      </c>
      <c r="F13726" s="13" t="s">
        <v>70</v>
      </c>
      <c r="G13726" s="14">
        <v>44812</v>
      </c>
      <c r="H13726" s="13" t="s">
        <v>163</v>
      </c>
    </row>
    <row r="13727" spans="1:8" ht="14.4" x14ac:dyDescent="0.3">
      <c r="A13727" s="8">
        <v>2071487</v>
      </c>
      <c r="B13727" s="11">
        <v>44810</v>
      </c>
      <c r="C13727" s="13" t="s">
        <v>17786</v>
      </c>
      <c r="D13727" s="13" t="s">
        <v>17787</v>
      </c>
      <c r="E13727" s="8">
        <v>30000</v>
      </c>
      <c r="F13727" s="13" t="s">
        <v>70</v>
      </c>
      <c r="G13727" s="14">
        <v>44812</v>
      </c>
      <c r="H13727" s="13" t="s">
        <v>163</v>
      </c>
    </row>
    <row r="13728" spans="1:8" ht="14.4" x14ac:dyDescent="0.3">
      <c r="A13728" s="8">
        <v>2071488</v>
      </c>
      <c r="B13728" s="11">
        <v>44810</v>
      </c>
      <c r="C13728" s="13" t="s">
        <v>17788</v>
      </c>
      <c r="D13728" s="13" t="s">
        <v>17789</v>
      </c>
      <c r="E13728" s="8">
        <v>6000</v>
      </c>
      <c r="F13728" s="13" t="s">
        <v>70</v>
      </c>
      <c r="G13728" s="14">
        <v>44812</v>
      </c>
      <c r="H13728" s="13" t="s">
        <v>163</v>
      </c>
    </row>
    <row r="13729" spans="1:8" ht="14.4" x14ac:dyDescent="0.3">
      <c r="A13729" s="8">
        <v>2071489</v>
      </c>
      <c r="B13729" s="11">
        <v>44810</v>
      </c>
      <c r="C13729" s="13" t="s">
        <v>17790</v>
      </c>
      <c r="D13729" s="13" t="s">
        <v>17791</v>
      </c>
      <c r="E13729" s="8">
        <v>8000</v>
      </c>
      <c r="F13729" s="13" t="s">
        <v>70</v>
      </c>
      <c r="G13729" s="14">
        <v>44811</v>
      </c>
      <c r="H13729" s="13" t="s">
        <v>163</v>
      </c>
    </row>
    <row r="13730" spans="1:8" ht="14.4" x14ac:dyDescent="0.3">
      <c r="A13730" s="8">
        <v>2071490</v>
      </c>
      <c r="B13730" s="11">
        <v>44810</v>
      </c>
      <c r="C13730" s="13" t="s">
        <v>17792</v>
      </c>
      <c r="D13730" s="13" t="s">
        <v>17793</v>
      </c>
      <c r="E13730" s="8">
        <v>2000</v>
      </c>
      <c r="F13730" s="13" t="s">
        <v>70</v>
      </c>
      <c r="G13730" s="14">
        <v>44812</v>
      </c>
      <c r="H13730" s="13" t="s">
        <v>163</v>
      </c>
    </row>
    <row r="13731" spans="1:8" ht="14.4" x14ac:dyDescent="0.3">
      <c r="A13731" s="8">
        <v>2071491</v>
      </c>
      <c r="B13731" s="11">
        <v>44810</v>
      </c>
      <c r="C13731" s="13" t="s">
        <v>17794</v>
      </c>
      <c r="D13731" s="13" t="s">
        <v>17795</v>
      </c>
      <c r="E13731" s="8">
        <v>4000</v>
      </c>
      <c r="F13731" s="13" t="s">
        <v>70</v>
      </c>
      <c r="G13731" s="14">
        <v>44811</v>
      </c>
      <c r="H13731" s="13" t="s">
        <v>163</v>
      </c>
    </row>
    <row r="13732" spans="1:8" ht="14.4" x14ac:dyDescent="0.3">
      <c r="A13732" s="8">
        <v>2071492</v>
      </c>
      <c r="B13732" s="11">
        <v>44810</v>
      </c>
      <c r="C13732" s="13" t="s">
        <v>11345</v>
      </c>
      <c r="D13732" s="13" t="s">
        <v>17796</v>
      </c>
      <c r="E13732" s="8">
        <v>12000</v>
      </c>
      <c r="F13732" s="13" t="s">
        <v>70</v>
      </c>
      <c r="G13732" s="14">
        <v>44812</v>
      </c>
      <c r="H13732" s="13" t="s">
        <v>163</v>
      </c>
    </row>
    <row r="13733" spans="1:8" ht="14.4" x14ac:dyDescent="0.3">
      <c r="A13733" s="8">
        <v>2071493</v>
      </c>
      <c r="B13733" s="11">
        <v>44810</v>
      </c>
      <c r="C13733" s="13" t="s">
        <v>17797</v>
      </c>
      <c r="D13733" s="13" t="s">
        <v>17798</v>
      </c>
      <c r="E13733" s="8">
        <v>4000</v>
      </c>
      <c r="F13733" s="13" t="s">
        <v>70</v>
      </c>
      <c r="G13733" s="14">
        <v>44812</v>
      </c>
      <c r="H13733" s="13" t="s">
        <v>163</v>
      </c>
    </row>
    <row r="13734" spans="1:8" ht="14.4" x14ac:dyDescent="0.3">
      <c r="A13734" s="8">
        <v>2071494</v>
      </c>
      <c r="B13734" s="11">
        <v>44810</v>
      </c>
      <c r="C13734" s="13" t="s">
        <v>17799</v>
      </c>
      <c r="D13734" s="13" t="s">
        <v>166</v>
      </c>
      <c r="E13734" s="8">
        <v>30000</v>
      </c>
      <c r="F13734" s="13" t="s">
        <v>70</v>
      </c>
      <c r="G13734" s="14">
        <v>44812</v>
      </c>
      <c r="H13734" s="13" t="s">
        <v>163</v>
      </c>
    </row>
    <row r="13735" spans="1:8" ht="14.4" x14ac:dyDescent="0.3">
      <c r="A13735" s="8">
        <v>2071496</v>
      </c>
      <c r="B13735" s="11">
        <v>44810</v>
      </c>
      <c r="C13735" s="13" t="s">
        <v>17800</v>
      </c>
      <c r="D13735" s="13" t="s">
        <v>17801</v>
      </c>
      <c r="E13735" s="8">
        <v>2000</v>
      </c>
      <c r="F13735" s="13" t="s">
        <v>70</v>
      </c>
      <c r="G13735" s="14">
        <v>44811</v>
      </c>
      <c r="H13735" s="13" t="s">
        <v>163</v>
      </c>
    </row>
    <row r="13736" spans="1:8" ht="14.4" x14ac:dyDescent="0.3">
      <c r="A13736" s="8">
        <v>2071497</v>
      </c>
      <c r="B13736" s="11">
        <v>44810</v>
      </c>
      <c r="C13736" s="13" t="s">
        <v>17802</v>
      </c>
      <c r="D13736" s="13" t="s">
        <v>17803</v>
      </c>
      <c r="E13736" s="8">
        <v>2000</v>
      </c>
      <c r="F13736" s="13" t="s">
        <v>70</v>
      </c>
      <c r="G13736" s="14">
        <v>44812</v>
      </c>
      <c r="H13736" s="13" t="s">
        <v>163</v>
      </c>
    </row>
    <row r="13737" spans="1:8" ht="14.4" x14ac:dyDescent="0.3">
      <c r="A13737" s="8">
        <v>2071498</v>
      </c>
      <c r="B13737" s="11">
        <v>44810</v>
      </c>
      <c r="C13737" s="13" t="s">
        <v>17804</v>
      </c>
      <c r="D13737" s="13" t="s">
        <v>17805</v>
      </c>
      <c r="E13737" s="8">
        <v>1000</v>
      </c>
      <c r="F13737" s="13" t="s">
        <v>70</v>
      </c>
      <c r="G13737" s="14">
        <v>44812</v>
      </c>
      <c r="H13737" s="13" t="s">
        <v>163</v>
      </c>
    </row>
    <row r="13738" spans="1:8" ht="14.4" x14ac:dyDescent="0.3">
      <c r="A13738" s="8">
        <v>2071499</v>
      </c>
      <c r="B13738" s="11">
        <v>44810</v>
      </c>
      <c r="C13738" s="13" t="s">
        <v>10882</v>
      </c>
      <c r="D13738" s="13" t="s">
        <v>17806</v>
      </c>
      <c r="E13738" s="8">
        <v>25000</v>
      </c>
      <c r="F13738" s="13" t="s">
        <v>70</v>
      </c>
      <c r="G13738" s="14">
        <v>44811</v>
      </c>
      <c r="H13738" s="13" t="s">
        <v>163</v>
      </c>
    </row>
    <row r="13739" spans="1:8" ht="14.4" x14ac:dyDescent="0.3">
      <c r="A13739" s="8">
        <v>2071500</v>
      </c>
      <c r="B13739" s="11">
        <v>44810</v>
      </c>
      <c r="C13739" s="13" t="s">
        <v>15153</v>
      </c>
      <c r="D13739" s="13" t="s">
        <v>17807</v>
      </c>
      <c r="E13739" s="8">
        <v>20000</v>
      </c>
      <c r="F13739" s="13" t="s">
        <v>70</v>
      </c>
      <c r="G13739" s="14">
        <v>44811</v>
      </c>
      <c r="H13739" s="13" t="s">
        <v>163</v>
      </c>
    </row>
    <row r="13740" spans="1:8" ht="14.4" x14ac:dyDescent="0.3">
      <c r="A13740" s="8">
        <v>2071501</v>
      </c>
      <c r="B13740" s="11">
        <v>44810</v>
      </c>
      <c r="C13740" s="13" t="s">
        <v>17808</v>
      </c>
      <c r="D13740" s="13" t="s">
        <v>17809</v>
      </c>
      <c r="E13740" s="8">
        <v>2000</v>
      </c>
      <c r="F13740" s="13" t="s">
        <v>70</v>
      </c>
      <c r="G13740" s="14">
        <v>44811</v>
      </c>
      <c r="H13740" s="13" t="s">
        <v>163</v>
      </c>
    </row>
    <row r="13741" spans="1:8" ht="14.4" x14ac:dyDescent="0.3">
      <c r="A13741" s="8">
        <v>2071502</v>
      </c>
      <c r="B13741" s="11">
        <v>44810</v>
      </c>
      <c r="C13741" s="13" t="s">
        <v>17810</v>
      </c>
      <c r="D13741" s="13" t="s">
        <v>14062</v>
      </c>
      <c r="E13741" s="8">
        <v>4000</v>
      </c>
      <c r="F13741" s="13" t="s">
        <v>70</v>
      </c>
      <c r="G13741" s="14">
        <v>44812</v>
      </c>
      <c r="H13741" s="13" t="s">
        <v>163</v>
      </c>
    </row>
    <row r="13742" spans="1:8" ht="14.4" x14ac:dyDescent="0.3">
      <c r="A13742" s="8">
        <v>2071503</v>
      </c>
      <c r="B13742" s="11">
        <v>44810</v>
      </c>
      <c r="C13742" s="13" t="s">
        <v>17811</v>
      </c>
      <c r="D13742" s="13" t="s">
        <v>14062</v>
      </c>
      <c r="E13742" s="8">
        <v>2000</v>
      </c>
      <c r="F13742" s="13" t="s">
        <v>70</v>
      </c>
      <c r="G13742" s="14">
        <v>44812</v>
      </c>
      <c r="H13742" s="13" t="s">
        <v>163</v>
      </c>
    </row>
    <row r="13743" spans="1:8" ht="14.4" x14ac:dyDescent="0.3">
      <c r="A13743" s="8">
        <v>2071504</v>
      </c>
      <c r="B13743" s="11">
        <v>44810</v>
      </c>
      <c r="C13743" s="13" t="s">
        <v>17812</v>
      </c>
      <c r="D13743" s="13" t="s">
        <v>17813</v>
      </c>
      <c r="E13743" s="8">
        <v>6000</v>
      </c>
      <c r="F13743" s="13" t="s">
        <v>70</v>
      </c>
      <c r="G13743" s="14">
        <v>44811</v>
      </c>
      <c r="H13743" s="13" t="s">
        <v>163</v>
      </c>
    </row>
    <row r="13744" spans="1:8" ht="14.4" x14ac:dyDescent="0.3">
      <c r="A13744" s="8">
        <v>2071505</v>
      </c>
      <c r="B13744" s="11">
        <v>44810</v>
      </c>
      <c r="C13744" s="13" t="s">
        <v>17814</v>
      </c>
      <c r="D13744" s="13" t="s">
        <v>17815</v>
      </c>
      <c r="E13744" s="8">
        <v>6000</v>
      </c>
      <c r="F13744" s="13" t="s">
        <v>70</v>
      </c>
      <c r="G13744" s="14">
        <v>44812</v>
      </c>
      <c r="H13744" s="13" t="s">
        <v>163</v>
      </c>
    </row>
    <row r="13745" spans="1:8" ht="14.4" x14ac:dyDescent="0.3">
      <c r="A13745" s="8">
        <v>2071506</v>
      </c>
      <c r="B13745" s="11">
        <v>44810</v>
      </c>
      <c r="C13745" s="13" t="s">
        <v>17816</v>
      </c>
      <c r="D13745" s="13" t="s">
        <v>17817</v>
      </c>
      <c r="E13745" s="8">
        <v>6000</v>
      </c>
      <c r="F13745" s="13" t="s">
        <v>70</v>
      </c>
      <c r="G13745" s="14">
        <v>44812</v>
      </c>
      <c r="H13745" s="13" t="s">
        <v>163</v>
      </c>
    </row>
    <row r="13746" spans="1:8" ht="14.4" x14ac:dyDescent="0.3">
      <c r="A13746" s="8">
        <v>2071507</v>
      </c>
      <c r="B13746" s="11">
        <v>44810</v>
      </c>
      <c r="C13746" s="13" t="s">
        <v>17818</v>
      </c>
      <c r="D13746" s="13" t="s">
        <v>17819</v>
      </c>
      <c r="E13746" s="8">
        <v>6000</v>
      </c>
      <c r="F13746" s="13" t="s">
        <v>70</v>
      </c>
      <c r="G13746" s="14">
        <v>44812</v>
      </c>
      <c r="H13746" s="13" t="s">
        <v>163</v>
      </c>
    </row>
    <row r="13747" spans="1:8" ht="14.4" x14ac:dyDescent="0.3">
      <c r="A13747" s="8">
        <v>2071508</v>
      </c>
      <c r="B13747" s="11">
        <v>44810</v>
      </c>
      <c r="C13747" s="13" t="s">
        <v>10496</v>
      </c>
      <c r="D13747" s="13" t="s">
        <v>17820</v>
      </c>
      <c r="E13747" s="8">
        <v>20000</v>
      </c>
      <c r="F13747" s="13" t="s">
        <v>70</v>
      </c>
      <c r="G13747" s="14">
        <v>44811</v>
      </c>
      <c r="H13747" s="13" t="s">
        <v>163</v>
      </c>
    </row>
    <row r="13748" spans="1:8" ht="14.4" x14ac:dyDescent="0.3">
      <c r="A13748" s="8">
        <v>2071509</v>
      </c>
      <c r="B13748" s="11">
        <v>44810</v>
      </c>
      <c r="C13748" s="13" t="s">
        <v>17821</v>
      </c>
      <c r="D13748" s="13" t="s">
        <v>17822</v>
      </c>
      <c r="E13748" s="8">
        <v>6000</v>
      </c>
      <c r="F13748" s="13" t="s">
        <v>70</v>
      </c>
      <c r="G13748" s="14">
        <v>44811</v>
      </c>
      <c r="H13748" s="13" t="s">
        <v>163</v>
      </c>
    </row>
    <row r="13749" spans="1:8" ht="14.4" x14ac:dyDescent="0.3">
      <c r="A13749" s="8">
        <v>2071510</v>
      </c>
      <c r="B13749" s="11">
        <v>44810</v>
      </c>
      <c r="C13749" s="13" t="s">
        <v>17823</v>
      </c>
      <c r="D13749" s="13" t="s">
        <v>17824</v>
      </c>
      <c r="E13749" s="8">
        <v>14000</v>
      </c>
      <c r="F13749" s="13" t="s">
        <v>70</v>
      </c>
      <c r="G13749" s="14">
        <v>44812</v>
      </c>
      <c r="H13749" s="13" t="s">
        <v>163</v>
      </c>
    </row>
    <row r="13750" spans="1:8" ht="14.4" x14ac:dyDescent="0.3">
      <c r="A13750" s="8">
        <v>2071511</v>
      </c>
      <c r="B13750" s="11">
        <v>44810</v>
      </c>
      <c r="C13750" s="13" t="s">
        <v>17825</v>
      </c>
      <c r="D13750" s="13" t="s">
        <v>17826</v>
      </c>
      <c r="E13750" s="8">
        <v>6000</v>
      </c>
      <c r="F13750" s="13" t="s">
        <v>70</v>
      </c>
      <c r="G13750" s="14">
        <v>44811</v>
      </c>
      <c r="H13750" s="13" t="s">
        <v>163</v>
      </c>
    </row>
    <row r="13751" spans="1:8" ht="14.4" x14ac:dyDescent="0.3">
      <c r="A13751" s="8">
        <v>2071512</v>
      </c>
      <c r="B13751" s="11">
        <v>44810</v>
      </c>
      <c r="C13751" s="13" t="s">
        <v>17827</v>
      </c>
      <c r="D13751" s="13" t="s">
        <v>17828</v>
      </c>
      <c r="E13751" s="8">
        <v>16000</v>
      </c>
      <c r="F13751" s="13" t="s">
        <v>70</v>
      </c>
      <c r="G13751" s="14">
        <v>44811</v>
      </c>
      <c r="H13751" s="13" t="s">
        <v>163</v>
      </c>
    </row>
    <row r="13752" spans="1:8" ht="14.4" x14ac:dyDescent="0.3">
      <c r="A13752" s="8">
        <v>2071513</v>
      </c>
      <c r="B13752" s="11">
        <v>44810</v>
      </c>
      <c r="C13752" s="13" t="s">
        <v>17829</v>
      </c>
      <c r="D13752" s="13" t="s">
        <v>17830</v>
      </c>
      <c r="E13752" s="8">
        <v>6000</v>
      </c>
      <c r="F13752" s="13" t="s">
        <v>70</v>
      </c>
      <c r="G13752" s="14">
        <v>44812</v>
      </c>
      <c r="H13752" s="13" t="s">
        <v>163</v>
      </c>
    </row>
    <row r="13753" spans="1:8" ht="14.4" x14ac:dyDescent="0.3">
      <c r="A13753" s="8">
        <v>2071514</v>
      </c>
      <c r="B13753" s="11">
        <v>44810</v>
      </c>
      <c r="C13753" s="13" t="s">
        <v>17831</v>
      </c>
      <c r="D13753" s="13" t="s">
        <v>17832</v>
      </c>
      <c r="E13753" s="8">
        <v>2000</v>
      </c>
      <c r="F13753" s="13" t="s">
        <v>70</v>
      </c>
      <c r="G13753" s="14">
        <v>44811</v>
      </c>
      <c r="H13753" s="13" t="s">
        <v>163</v>
      </c>
    </row>
    <row r="13754" spans="1:8" ht="14.4" x14ac:dyDescent="0.3">
      <c r="A13754" s="8">
        <v>2071515</v>
      </c>
      <c r="B13754" s="11">
        <v>44810</v>
      </c>
      <c r="C13754" s="13" t="s">
        <v>7141</v>
      </c>
      <c r="D13754" s="13" t="s">
        <v>17833</v>
      </c>
      <c r="E13754" s="8">
        <v>2000</v>
      </c>
      <c r="F13754" s="13" t="s">
        <v>70</v>
      </c>
      <c r="G13754" s="14">
        <v>44813</v>
      </c>
      <c r="H13754" s="13" t="s">
        <v>163</v>
      </c>
    </row>
    <row r="13755" spans="1:8" ht="14.4" x14ac:dyDescent="0.3">
      <c r="A13755" s="8">
        <v>2071516</v>
      </c>
      <c r="B13755" s="11">
        <v>44810</v>
      </c>
      <c r="C13755" s="13" t="s">
        <v>14805</v>
      </c>
      <c r="D13755" s="13" t="s">
        <v>13603</v>
      </c>
      <c r="E13755" s="8">
        <v>2000</v>
      </c>
      <c r="F13755" s="13" t="s">
        <v>70</v>
      </c>
      <c r="G13755" s="14">
        <v>44811</v>
      </c>
      <c r="H13755" s="13" t="s">
        <v>163</v>
      </c>
    </row>
    <row r="13756" spans="1:8" ht="14.4" x14ac:dyDescent="0.3">
      <c r="A13756" s="8">
        <v>2071517</v>
      </c>
      <c r="B13756" s="11">
        <v>44810</v>
      </c>
      <c r="C13756" s="13" t="s">
        <v>17834</v>
      </c>
      <c r="D13756" s="13" t="s">
        <v>17835</v>
      </c>
      <c r="E13756" s="8">
        <v>2000</v>
      </c>
      <c r="F13756" s="13" t="s">
        <v>70</v>
      </c>
      <c r="G13756" s="14">
        <v>44812</v>
      </c>
      <c r="H13756" s="13" t="s">
        <v>163</v>
      </c>
    </row>
    <row r="13757" spans="1:8" ht="14.4" x14ac:dyDescent="0.3">
      <c r="A13757" s="8">
        <v>2071518</v>
      </c>
      <c r="B13757" s="11">
        <v>44810</v>
      </c>
      <c r="C13757" s="13" t="s">
        <v>17836</v>
      </c>
      <c r="D13757" s="13" t="s">
        <v>17837</v>
      </c>
      <c r="E13757" s="8">
        <v>6000</v>
      </c>
      <c r="F13757" s="13" t="s">
        <v>70</v>
      </c>
      <c r="G13757" s="14">
        <v>44812</v>
      </c>
      <c r="H13757" s="13" t="s">
        <v>163</v>
      </c>
    </row>
    <row r="13758" spans="1:8" ht="14.4" x14ac:dyDescent="0.3">
      <c r="A13758" s="8">
        <v>2071519</v>
      </c>
      <c r="B13758" s="11">
        <v>44810</v>
      </c>
      <c r="C13758" s="13" t="s">
        <v>17838</v>
      </c>
      <c r="D13758" s="13" t="s">
        <v>17839</v>
      </c>
      <c r="E13758" s="8">
        <v>8000</v>
      </c>
      <c r="F13758" s="13" t="s">
        <v>70</v>
      </c>
      <c r="G13758" s="14">
        <v>44834</v>
      </c>
      <c r="H13758" s="13" t="s">
        <v>163</v>
      </c>
    </row>
    <row r="13759" spans="1:8" ht="14.4" x14ac:dyDescent="0.3">
      <c r="A13759" s="8">
        <v>2071520</v>
      </c>
      <c r="B13759" s="11">
        <v>44810</v>
      </c>
      <c r="C13759" s="13" t="s">
        <v>17840</v>
      </c>
      <c r="D13759" s="13" t="s">
        <v>17841</v>
      </c>
      <c r="E13759" s="8">
        <v>8000</v>
      </c>
      <c r="F13759" s="13" t="s">
        <v>70</v>
      </c>
      <c r="G13759" s="14">
        <v>44812</v>
      </c>
      <c r="H13759" s="13" t="s">
        <v>163</v>
      </c>
    </row>
    <row r="13760" spans="1:8" ht="14.4" x14ac:dyDescent="0.3">
      <c r="A13760" s="8">
        <v>2071521</v>
      </c>
      <c r="B13760" s="11">
        <v>44810</v>
      </c>
      <c r="C13760" s="13" t="s">
        <v>10791</v>
      </c>
      <c r="D13760" s="13" t="s">
        <v>17842</v>
      </c>
      <c r="E13760" s="8">
        <v>10000</v>
      </c>
      <c r="F13760" s="13" t="s">
        <v>70</v>
      </c>
      <c r="G13760" s="14">
        <v>44812</v>
      </c>
      <c r="H13760" s="13" t="s">
        <v>163</v>
      </c>
    </row>
    <row r="13761" spans="1:8" ht="14.4" x14ac:dyDescent="0.3">
      <c r="A13761" s="8">
        <v>2071522</v>
      </c>
      <c r="B13761" s="11">
        <v>44810</v>
      </c>
      <c r="C13761" s="13" t="s">
        <v>17843</v>
      </c>
      <c r="D13761" s="13" t="s">
        <v>164</v>
      </c>
      <c r="E13761" s="8">
        <v>1000</v>
      </c>
      <c r="F13761" s="13" t="s">
        <v>70</v>
      </c>
      <c r="G13761" s="14">
        <v>44812</v>
      </c>
      <c r="H13761" s="13" t="s">
        <v>163</v>
      </c>
    </row>
    <row r="13762" spans="1:8" ht="14.4" x14ac:dyDescent="0.3">
      <c r="A13762" s="8">
        <v>2071523</v>
      </c>
      <c r="B13762" s="11">
        <v>44810</v>
      </c>
      <c r="C13762" s="13" t="s">
        <v>17844</v>
      </c>
      <c r="D13762" s="13" t="s">
        <v>164</v>
      </c>
      <c r="E13762" s="8">
        <v>2000</v>
      </c>
      <c r="F13762" s="13" t="s">
        <v>70</v>
      </c>
      <c r="G13762" s="14">
        <v>44812</v>
      </c>
      <c r="H13762" s="13" t="s">
        <v>163</v>
      </c>
    </row>
    <row r="13763" spans="1:8" ht="14.4" x14ac:dyDescent="0.3">
      <c r="A13763" s="8">
        <v>2071524</v>
      </c>
      <c r="B13763" s="11">
        <v>44810</v>
      </c>
      <c r="C13763" s="13" t="s">
        <v>17845</v>
      </c>
      <c r="D13763" s="13" t="s">
        <v>17846</v>
      </c>
      <c r="E13763" s="8">
        <v>4000</v>
      </c>
      <c r="F13763" s="13" t="s">
        <v>70</v>
      </c>
      <c r="G13763" s="14">
        <v>44812</v>
      </c>
      <c r="H13763" s="13" t="s">
        <v>163</v>
      </c>
    </row>
    <row r="13764" spans="1:8" ht="14.4" x14ac:dyDescent="0.3">
      <c r="A13764" s="8">
        <v>2071525</v>
      </c>
      <c r="B13764" s="11">
        <v>44810</v>
      </c>
      <c r="C13764" s="13" t="s">
        <v>17847</v>
      </c>
      <c r="D13764" s="13" t="s">
        <v>14062</v>
      </c>
      <c r="E13764" s="8">
        <v>4000</v>
      </c>
      <c r="F13764" s="13" t="s">
        <v>70</v>
      </c>
      <c r="G13764" s="14">
        <v>44812</v>
      </c>
      <c r="H13764" s="13" t="s">
        <v>163</v>
      </c>
    </row>
    <row r="13765" spans="1:8" ht="14.4" x14ac:dyDescent="0.3">
      <c r="A13765" s="8">
        <v>2071526</v>
      </c>
      <c r="B13765" s="11">
        <v>44810</v>
      </c>
      <c r="C13765" s="13" t="s">
        <v>7666</v>
      </c>
      <c r="D13765" s="13" t="s">
        <v>17848</v>
      </c>
      <c r="E13765" s="8">
        <v>2000</v>
      </c>
      <c r="F13765" s="13" t="s">
        <v>70</v>
      </c>
      <c r="G13765" s="14">
        <v>44812</v>
      </c>
      <c r="H13765" s="13" t="s">
        <v>163</v>
      </c>
    </row>
    <row r="13766" spans="1:8" ht="14.4" x14ac:dyDescent="0.3">
      <c r="A13766" s="8">
        <v>2071527</v>
      </c>
      <c r="B13766" s="11">
        <v>44810</v>
      </c>
      <c r="C13766" s="13" t="s">
        <v>17849</v>
      </c>
      <c r="D13766" s="13" t="s">
        <v>17850</v>
      </c>
      <c r="E13766" s="8">
        <v>20000</v>
      </c>
      <c r="F13766" s="13" t="s">
        <v>70</v>
      </c>
      <c r="G13766" s="14">
        <v>44811</v>
      </c>
      <c r="H13766" s="13" t="s">
        <v>163</v>
      </c>
    </row>
    <row r="13767" spans="1:8" ht="14.4" x14ac:dyDescent="0.3">
      <c r="A13767" s="8">
        <v>2071528</v>
      </c>
      <c r="B13767" s="11">
        <v>44810</v>
      </c>
      <c r="C13767" s="13" t="s">
        <v>17851</v>
      </c>
      <c r="D13767" s="13" t="s">
        <v>164</v>
      </c>
      <c r="E13767" s="8">
        <v>1000</v>
      </c>
      <c r="F13767" s="13" t="s">
        <v>70</v>
      </c>
      <c r="G13767" s="14">
        <v>44812</v>
      </c>
      <c r="H13767" s="13" t="s">
        <v>163</v>
      </c>
    </row>
    <row r="13768" spans="1:8" ht="14.4" x14ac:dyDescent="0.3">
      <c r="A13768" s="8">
        <v>2071529</v>
      </c>
      <c r="B13768" s="11">
        <v>44810</v>
      </c>
      <c r="C13768" s="13" t="s">
        <v>17852</v>
      </c>
      <c r="D13768" s="13" t="s">
        <v>14062</v>
      </c>
      <c r="E13768" s="8">
        <v>2000</v>
      </c>
      <c r="F13768" s="13" t="s">
        <v>70</v>
      </c>
      <c r="G13768" s="14">
        <v>44812</v>
      </c>
      <c r="H13768" s="13" t="s">
        <v>163</v>
      </c>
    </row>
    <row r="13769" spans="1:8" ht="14.4" x14ac:dyDescent="0.3">
      <c r="A13769" s="8">
        <v>2071530</v>
      </c>
      <c r="B13769" s="11">
        <v>44810</v>
      </c>
      <c r="C13769" s="13" t="s">
        <v>17853</v>
      </c>
      <c r="D13769" s="13" t="s">
        <v>17854</v>
      </c>
      <c r="E13769" s="8">
        <v>6000</v>
      </c>
      <c r="F13769" s="13" t="s">
        <v>70</v>
      </c>
      <c r="G13769" s="14">
        <v>44811</v>
      </c>
      <c r="H13769" s="13" t="s">
        <v>163</v>
      </c>
    </row>
    <row r="13770" spans="1:8" ht="14.4" x14ac:dyDescent="0.3">
      <c r="A13770" s="8">
        <v>2071531</v>
      </c>
      <c r="B13770" s="11">
        <v>44810</v>
      </c>
      <c r="C13770" s="13" t="s">
        <v>17855</v>
      </c>
      <c r="D13770" s="13" t="s">
        <v>17856</v>
      </c>
      <c r="E13770" s="8">
        <v>1000</v>
      </c>
      <c r="F13770" s="13" t="s">
        <v>70</v>
      </c>
      <c r="G13770" s="14">
        <v>44812</v>
      </c>
      <c r="H13770" s="13" t="s">
        <v>163</v>
      </c>
    </row>
    <row r="13771" spans="1:8" ht="14.4" x14ac:dyDescent="0.3">
      <c r="A13771" s="8">
        <v>2071532</v>
      </c>
      <c r="B13771" s="11">
        <v>44810</v>
      </c>
      <c r="C13771" s="13" t="s">
        <v>14495</v>
      </c>
      <c r="D13771" s="13" t="s">
        <v>164</v>
      </c>
      <c r="E13771" s="8">
        <v>2000</v>
      </c>
      <c r="F13771" s="13" t="s">
        <v>70</v>
      </c>
      <c r="G13771" s="14">
        <v>44812</v>
      </c>
      <c r="H13771" s="13" t="s">
        <v>163</v>
      </c>
    </row>
    <row r="13772" spans="1:8" ht="14.4" x14ac:dyDescent="0.3">
      <c r="A13772" s="8">
        <v>2071533</v>
      </c>
      <c r="B13772" s="11">
        <v>44810</v>
      </c>
      <c r="C13772" s="13" t="s">
        <v>10595</v>
      </c>
      <c r="D13772" s="13" t="s">
        <v>17857</v>
      </c>
      <c r="E13772" s="8">
        <v>8000</v>
      </c>
      <c r="F13772" s="13" t="s">
        <v>70</v>
      </c>
      <c r="G13772" s="14">
        <v>44813</v>
      </c>
      <c r="H13772" s="13" t="s">
        <v>163</v>
      </c>
    </row>
    <row r="13773" spans="1:8" ht="14.4" x14ac:dyDescent="0.3">
      <c r="A13773" s="8">
        <v>2071534</v>
      </c>
      <c r="B13773" s="11">
        <v>44810</v>
      </c>
      <c r="C13773" s="13" t="s">
        <v>17858</v>
      </c>
      <c r="D13773" s="13" t="s">
        <v>17859</v>
      </c>
      <c r="E13773" s="8">
        <v>10000</v>
      </c>
      <c r="F13773" s="13" t="s">
        <v>70</v>
      </c>
      <c r="G13773" s="14">
        <v>44812</v>
      </c>
      <c r="H13773" s="13" t="s">
        <v>163</v>
      </c>
    </row>
    <row r="13774" spans="1:8" ht="14.4" x14ac:dyDescent="0.3">
      <c r="A13774" s="8">
        <v>2071535</v>
      </c>
      <c r="B13774" s="11">
        <v>44810</v>
      </c>
      <c r="C13774" s="13" t="s">
        <v>17860</v>
      </c>
      <c r="D13774" s="13" t="s">
        <v>164</v>
      </c>
      <c r="E13774" s="8">
        <v>4000</v>
      </c>
      <c r="F13774" s="13" t="s">
        <v>70</v>
      </c>
      <c r="G13774" s="14">
        <v>44812</v>
      </c>
      <c r="H13774" s="13" t="s">
        <v>163</v>
      </c>
    </row>
    <row r="13775" spans="1:8" ht="14.4" x14ac:dyDescent="0.3">
      <c r="A13775" s="8">
        <v>2071536</v>
      </c>
      <c r="B13775" s="11">
        <v>44810</v>
      </c>
      <c r="C13775" s="13" t="s">
        <v>17855</v>
      </c>
      <c r="D13775" s="13" t="s">
        <v>17861</v>
      </c>
      <c r="E13775" s="8">
        <v>1000</v>
      </c>
      <c r="F13775" s="13" t="s">
        <v>70</v>
      </c>
      <c r="G13775" s="14">
        <v>44812</v>
      </c>
      <c r="H13775" s="13" t="s">
        <v>163</v>
      </c>
    </row>
    <row r="13776" spans="1:8" ht="14.4" x14ac:dyDescent="0.3">
      <c r="A13776" s="8">
        <v>2071537</v>
      </c>
      <c r="B13776" s="11">
        <v>44810</v>
      </c>
      <c r="C13776" s="13" t="s">
        <v>17862</v>
      </c>
      <c r="D13776" s="13" t="s">
        <v>14062</v>
      </c>
      <c r="E13776" s="8">
        <v>3000</v>
      </c>
      <c r="F13776" s="13" t="s">
        <v>70</v>
      </c>
      <c r="G13776" s="14">
        <v>44812</v>
      </c>
      <c r="H13776" s="13" t="s">
        <v>163</v>
      </c>
    </row>
    <row r="13777" spans="1:8" ht="14.4" x14ac:dyDescent="0.3">
      <c r="A13777" s="8">
        <v>2071538</v>
      </c>
      <c r="B13777" s="11">
        <v>44810</v>
      </c>
      <c r="C13777" s="13" t="s">
        <v>2924</v>
      </c>
      <c r="D13777" s="13" t="s">
        <v>17863</v>
      </c>
      <c r="E13777" s="8">
        <v>2000</v>
      </c>
      <c r="F13777" s="13" t="s">
        <v>70</v>
      </c>
      <c r="G13777" s="14">
        <v>44812</v>
      </c>
      <c r="H13777" s="13" t="s">
        <v>163</v>
      </c>
    </row>
    <row r="13778" spans="1:8" ht="14.4" x14ac:dyDescent="0.3">
      <c r="A13778" s="8">
        <v>2071539</v>
      </c>
      <c r="B13778" s="11">
        <v>44810</v>
      </c>
      <c r="C13778" s="13" t="s">
        <v>17864</v>
      </c>
      <c r="D13778" s="13" t="s">
        <v>17865</v>
      </c>
      <c r="E13778" s="8">
        <v>2000</v>
      </c>
      <c r="F13778" s="13" t="s">
        <v>70</v>
      </c>
      <c r="G13778" s="14">
        <v>44811</v>
      </c>
      <c r="H13778" s="13" t="s">
        <v>163</v>
      </c>
    </row>
    <row r="13779" spans="1:8" ht="14.4" x14ac:dyDescent="0.3">
      <c r="A13779" s="8">
        <v>2071540</v>
      </c>
      <c r="B13779" s="11">
        <v>44810</v>
      </c>
      <c r="C13779" s="13" t="s">
        <v>17866</v>
      </c>
      <c r="D13779" s="13" t="s">
        <v>17867</v>
      </c>
      <c r="E13779" s="8">
        <v>8000</v>
      </c>
      <c r="F13779" s="13" t="s">
        <v>70</v>
      </c>
      <c r="G13779" s="14">
        <v>44812</v>
      </c>
      <c r="H13779" s="13" t="s">
        <v>163</v>
      </c>
    </row>
    <row r="13780" spans="1:8" ht="14.4" x14ac:dyDescent="0.3">
      <c r="A13780" s="8">
        <v>2071541</v>
      </c>
      <c r="B13780" s="11">
        <v>44810</v>
      </c>
      <c r="C13780" s="13" t="s">
        <v>17868</v>
      </c>
      <c r="D13780" s="13" t="s">
        <v>17869</v>
      </c>
      <c r="E13780" s="8">
        <v>2000</v>
      </c>
      <c r="F13780" s="13" t="s">
        <v>70</v>
      </c>
      <c r="G13780" s="14">
        <v>44812</v>
      </c>
      <c r="H13780" s="13" t="s">
        <v>163</v>
      </c>
    </row>
    <row r="13781" spans="1:8" ht="14.4" x14ac:dyDescent="0.3">
      <c r="A13781" s="8">
        <v>2071542</v>
      </c>
      <c r="B13781" s="11">
        <v>44810</v>
      </c>
      <c r="C13781" s="13" t="s">
        <v>17870</v>
      </c>
      <c r="D13781" s="13" t="s">
        <v>17871</v>
      </c>
      <c r="E13781" s="8">
        <v>6000</v>
      </c>
      <c r="F13781" s="13" t="s">
        <v>70</v>
      </c>
      <c r="G13781" s="14">
        <v>44812</v>
      </c>
      <c r="H13781" s="13" t="s">
        <v>163</v>
      </c>
    </row>
    <row r="13782" spans="1:8" ht="14.4" x14ac:dyDescent="0.3">
      <c r="A13782" s="8">
        <v>2071543</v>
      </c>
      <c r="B13782" s="11">
        <v>44810</v>
      </c>
      <c r="C13782" s="13" t="s">
        <v>17872</v>
      </c>
      <c r="D13782" s="13" t="s">
        <v>17873</v>
      </c>
      <c r="E13782" s="8">
        <v>4000</v>
      </c>
      <c r="F13782" s="13" t="s">
        <v>70</v>
      </c>
      <c r="G13782" s="14">
        <v>44812</v>
      </c>
      <c r="H13782" s="13" t="s">
        <v>163</v>
      </c>
    </row>
    <row r="13783" spans="1:8" ht="14.4" x14ac:dyDescent="0.3">
      <c r="A13783" s="8">
        <v>2071544</v>
      </c>
      <c r="B13783" s="11">
        <v>44810</v>
      </c>
      <c r="C13783" s="13" t="s">
        <v>17874</v>
      </c>
      <c r="D13783" s="13" t="s">
        <v>17875</v>
      </c>
      <c r="E13783" s="8">
        <v>2000</v>
      </c>
      <c r="F13783" s="13" t="s">
        <v>70</v>
      </c>
      <c r="G13783" s="14">
        <v>44811</v>
      </c>
      <c r="H13783" s="13" t="s">
        <v>163</v>
      </c>
    </row>
    <row r="13784" spans="1:8" ht="14.4" x14ac:dyDescent="0.3">
      <c r="A13784" s="8">
        <v>2071546</v>
      </c>
      <c r="B13784" s="11">
        <v>44810</v>
      </c>
      <c r="C13784" s="13" t="s">
        <v>17876</v>
      </c>
      <c r="D13784" s="13" t="s">
        <v>17877</v>
      </c>
      <c r="E13784" s="8">
        <v>4000</v>
      </c>
      <c r="F13784" s="13" t="s">
        <v>70</v>
      </c>
      <c r="G13784" s="14">
        <v>44812</v>
      </c>
      <c r="H13784" s="13" t="s">
        <v>163</v>
      </c>
    </row>
    <row r="13785" spans="1:8" ht="14.4" x14ac:dyDescent="0.3">
      <c r="A13785" s="8">
        <v>2071547</v>
      </c>
      <c r="B13785" s="11">
        <v>44810</v>
      </c>
      <c r="C13785" s="13" t="s">
        <v>17878</v>
      </c>
      <c r="D13785" s="13" t="s">
        <v>17879</v>
      </c>
      <c r="E13785" s="8">
        <v>1000</v>
      </c>
      <c r="F13785" s="13" t="s">
        <v>70</v>
      </c>
      <c r="G13785" s="14">
        <v>44812</v>
      </c>
      <c r="H13785" s="13" t="s">
        <v>163</v>
      </c>
    </row>
    <row r="13786" spans="1:8" ht="14.4" x14ac:dyDescent="0.3">
      <c r="A13786" s="8">
        <v>2071548</v>
      </c>
      <c r="B13786" s="11">
        <v>44810</v>
      </c>
      <c r="C13786" s="13" t="s">
        <v>17880</v>
      </c>
      <c r="D13786" s="13" t="s">
        <v>17881</v>
      </c>
      <c r="E13786" s="8">
        <v>2000</v>
      </c>
      <c r="F13786" s="13" t="s">
        <v>70</v>
      </c>
      <c r="G13786" s="14">
        <v>44811</v>
      </c>
      <c r="H13786" s="13" t="s">
        <v>163</v>
      </c>
    </row>
    <row r="13787" spans="1:8" ht="14.4" x14ac:dyDescent="0.3">
      <c r="A13787" s="8">
        <v>2071549</v>
      </c>
      <c r="B13787" s="11">
        <v>44810</v>
      </c>
      <c r="C13787" s="13" t="s">
        <v>4703</v>
      </c>
      <c r="D13787" s="13" t="s">
        <v>17882</v>
      </c>
      <c r="E13787" s="8">
        <v>2000</v>
      </c>
      <c r="F13787" s="13" t="s">
        <v>70</v>
      </c>
      <c r="G13787" s="14">
        <v>44812</v>
      </c>
      <c r="H13787" s="13" t="s">
        <v>163</v>
      </c>
    </row>
    <row r="13788" spans="1:8" ht="14.4" x14ac:dyDescent="0.3">
      <c r="A13788" s="8">
        <v>2071550</v>
      </c>
      <c r="B13788" s="11">
        <v>44810</v>
      </c>
      <c r="C13788" s="13" t="s">
        <v>14656</v>
      </c>
      <c r="D13788" s="13" t="s">
        <v>17883</v>
      </c>
      <c r="E13788" s="8">
        <v>4000</v>
      </c>
      <c r="F13788" s="13" t="s">
        <v>70</v>
      </c>
      <c r="G13788" s="14">
        <v>44818</v>
      </c>
      <c r="H13788" s="13" t="s">
        <v>163</v>
      </c>
    </row>
    <row r="13789" spans="1:8" ht="14.4" x14ac:dyDescent="0.3">
      <c r="A13789" s="8">
        <v>2071551</v>
      </c>
      <c r="B13789" s="11">
        <v>44810</v>
      </c>
      <c r="C13789" s="13" t="s">
        <v>17884</v>
      </c>
      <c r="D13789" s="13" t="s">
        <v>17885</v>
      </c>
      <c r="E13789" s="8">
        <v>4000</v>
      </c>
      <c r="F13789" s="13" t="s">
        <v>70</v>
      </c>
      <c r="G13789" s="14">
        <v>44812</v>
      </c>
      <c r="H13789" s="13" t="s">
        <v>163</v>
      </c>
    </row>
    <row r="13790" spans="1:8" ht="14.4" x14ac:dyDescent="0.3">
      <c r="A13790" s="8">
        <v>2071552</v>
      </c>
      <c r="B13790" s="11">
        <v>44810</v>
      </c>
      <c r="C13790" s="13" t="s">
        <v>17886</v>
      </c>
      <c r="D13790" s="13" t="s">
        <v>164</v>
      </c>
      <c r="E13790" s="8">
        <v>3000</v>
      </c>
      <c r="F13790" s="13" t="s">
        <v>70</v>
      </c>
      <c r="G13790" s="14">
        <v>44812</v>
      </c>
      <c r="H13790" s="13" t="s">
        <v>163</v>
      </c>
    </row>
    <row r="13791" spans="1:8" ht="14.4" x14ac:dyDescent="0.3">
      <c r="A13791" s="8">
        <v>2071553</v>
      </c>
      <c r="B13791" s="11">
        <v>44810</v>
      </c>
      <c r="C13791" s="13" t="s">
        <v>17887</v>
      </c>
      <c r="D13791" s="13" t="s">
        <v>17888</v>
      </c>
      <c r="E13791" s="8">
        <v>4000</v>
      </c>
      <c r="F13791" s="13" t="s">
        <v>70</v>
      </c>
      <c r="G13791" s="14">
        <v>44812</v>
      </c>
      <c r="H13791" s="13" t="s">
        <v>163</v>
      </c>
    </row>
    <row r="13792" spans="1:8" ht="14.4" x14ac:dyDescent="0.3">
      <c r="A13792" s="8">
        <v>2071554</v>
      </c>
      <c r="B13792" s="11">
        <v>44810</v>
      </c>
      <c r="C13792" s="13" t="s">
        <v>17889</v>
      </c>
      <c r="D13792" s="13" t="s">
        <v>164</v>
      </c>
      <c r="E13792" s="8">
        <v>1000</v>
      </c>
      <c r="F13792" s="13" t="s">
        <v>70</v>
      </c>
      <c r="G13792" s="14">
        <v>44812</v>
      </c>
      <c r="H13792" s="13" t="s">
        <v>163</v>
      </c>
    </row>
    <row r="13793" spans="1:8" ht="14.4" x14ac:dyDescent="0.3">
      <c r="A13793" s="8">
        <v>2071555</v>
      </c>
      <c r="B13793" s="11">
        <v>44810</v>
      </c>
      <c r="C13793" s="13" t="s">
        <v>11217</v>
      </c>
      <c r="D13793" s="13" t="s">
        <v>17890</v>
      </c>
      <c r="E13793" s="8">
        <v>8000</v>
      </c>
      <c r="F13793" s="13" t="s">
        <v>70</v>
      </c>
      <c r="G13793" s="14">
        <v>44812</v>
      </c>
      <c r="H13793" s="13" t="s">
        <v>163</v>
      </c>
    </row>
    <row r="13794" spans="1:8" ht="14.4" x14ac:dyDescent="0.3">
      <c r="A13794" s="8">
        <v>2071556</v>
      </c>
      <c r="B13794" s="11">
        <v>44810</v>
      </c>
      <c r="C13794" s="13" t="s">
        <v>17891</v>
      </c>
      <c r="D13794" s="13" t="s">
        <v>17892</v>
      </c>
      <c r="E13794" s="8">
        <v>4000</v>
      </c>
      <c r="F13794" s="13" t="s">
        <v>70</v>
      </c>
      <c r="G13794" s="14">
        <v>44812</v>
      </c>
      <c r="H13794" s="13" t="s">
        <v>163</v>
      </c>
    </row>
    <row r="13795" spans="1:8" ht="14.4" x14ac:dyDescent="0.3">
      <c r="A13795" s="8">
        <v>2071557</v>
      </c>
      <c r="B13795" s="11">
        <v>44810</v>
      </c>
      <c r="C13795" s="13" t="s">
        <v>17893</v>
      </c>
      <c r="D13795" s="13" t="s">
        <v>17894</v>
      </c>
      <c r="E13795" s="8">
        <v>2000</v>
      </c>
      <c r="F13795" s="13" t="s">
        <v>70</v>
      </c>
      <c r="G13795" s="14">
        <v>44812</v>
      </c>
      <c r="H13795" s="13" t="s">
        <v>163</v>
      </c>
    </row>
    <row r="13796" spans="1:8" ht="14.4" x14ac:dyDescent="0.3">
      <c r="A13796" s="8">
        <v>2071558</v>
      </c>
      <c r="B13796" s="11">
        <v>44810</v>
      </c>
      <c r="C13796" s="13" t="s">
        <v>17895</v>
      </c>
      <c r="D13796" s="13" t="s">
        <v>14318</v>
      </c>
      <c r="E13796" s="8">
        <v>2000</v>
      </c>
      <c r="F13796" s="13" t="s">
        <v>70</v>
      </c>
      <c r="G13796" s="14">
        <v>44812</v>
      </c>
      <c r="H13796" s="13" t="s">
        <v>163</v>
      </c>
    </row>
    <row r="13797" spans="1:8" ht="14.4" x14ac:dyDescent="0.3">
      <c r="A13797" s="8">
        <v>2071559</v>
      </c>
      <c r="B13797" s="11">
        <v>44810</v>
      </c>
      <c r="C13797" s="13" t="s">
        <v>17896</v>
      </c>
      <c r="D13797" s="13" t="s">
        <v>17897</v>
      </c>
      <c r="E13797" s="8">
        <v>12000</v>
      </c>
      <c r="F13797" s="13" t="s">
        <v>70</v>
      </c>
      <c r="G13797" s="14">
        <v>44812</v>
      </c>
      <c r="H13797" s="13" t="s">
        <v>163</v>
      </c>
    </row>
    <row r="13798" spans="1:8" ht="14.4" x14ac:dyDescent="0.3">
      <c r="A13798" s="8">
        <v>2071560</v>
      </c>
      <c r="B13798" s="11">
        <v>44810</v>
      </c>
      <c r="C13798" s="13" t="s">
        <v>17898</v>
      </c>
      <c r="D13798" s="13" t="s">
        <v>17899</v>
      </c>
      <c r="E13798" s="8">
        <v>8000</v>
      </c>
      <c r="F13798" s="13" t="s">
        <v>70</v>
      </c>
      <c r="G13798" s="14">
        <v>44812</v>
      </c>
      <c r="H13798" s="13" t="s">
        <v>163</v>
      </c>
    </row>
    <row r="13799" spans="1:8" ht="14.4" x14ac:dyDescent="0.3">
      <c r="A13799" s="8">
        <v>2071561</v>
      </c>
      <c r="B13799" s="11">
        <v>44810</v>
      </c>
      <c r="C13799" s="13" t="s">
        <v>17900</v>
      </c>
      <c r="D13799" s="13" t="s">
        <v>167</v>
      </c>
      <c r="E13799" s="8">
        <v>4000</v>
      </c>
      <c r="F13799" s="13" t="s">
        <v>70</v>
      </c>
      <c r="G13799" s="14">
        <v>44812</v>
      </c>
      <c r="H13799" s="13" t="s">
        <v>163</v>
      </c>
    </row>
    <row r="13800" spans="1:8" ht="14.4" x14ac:dyDescent="0.3">
      <c r="A13800" s="8">
        <v>2071562</v>
      </c>
      <c r="B13800" s="11">
        <v>44810</v>
      </c>
      <c r="C13800" s="13" t="s">
        <v>12051</v>
      </c>
      <c r="D13800" s="13" t="s">
        <v>17901</v>
      </c>
      <c r="E13800" s="8">
        <v>4000</v>
      </c>
      <c r="F13800" s="13" t="s">
        <v>70</v>
      </c>
      <c r="G13800" s="14">
        <v>44812</v>
      </c>
      <c r="H13800" s="13" t="s">
        <v>163</v>
      </c>
    </row>
    <row r="13801" spans="1:8" ht="14.4" x14ac:dyDescent="0.3">
      <c r="A13801" s="8">
        <v>2071563</v>
      </c>
      <c r="B13801" s="11">
        <v>44810</v>
      </c>
      <c r="C13801" s="13" t="s">
        <v>17902</v>
      </c>
      <c r="D13801" s="13" t="s">
        <v>17903</v>
      </c>
      <c r="E13801" s="8">
        <v>4000</v>
      </c>
      <c r="F13801" s="13" t="s">
        <v>70</v>
      </c>
      <c r="G13801" s="14">
        <v>44811</v>
      </c>
      <c r="H13801" s="13" t="s">
        <v>163</v>
      </c>
    </row>
    <row r="13802" spans="1:8" ht="14.4" x14ac:dyDescent="0.3">
      <c r="A13802" s="8">
        <v>2071564</v>
      </c>
      <c r="B13802" s="11">
        <v>44810</v>
      </c>
      <c r="C13802" s="13" t="s">
        <v>2699</v>
      </c>
      <c r="D13802" s="13" t="s">
        <v>166</v>
      </c>
      <c r="E13802" s="8">
        <v>2000</v>
      </c>
      <c r="F13802" s="13" t="s">
        <v>70</v>
      </c>
      <c r="G13802" s="14">
        <v>44811</v>
      </c>
      <c r="H13802" s="13" t="s">
        <v>163</v>
      </c>
    </row>
    <row r="13803" spans="1:8" ht="14.4" x14ac:dyDescent="0.3">
      <c r="A13803" s="8">
        <v>2071565</v>
      </c>
      <c r="B13803" s="11">
        <v>44810</v>
      </c>
      <c r="C13803" s="13" t="s">
        <v>17904</v>
      </c>
      <c r="D13803" s="13" t="s">
        <v>17905</v>
      </c>
      <c r="E13803" s="8">
        <v>1000</v>
      </c>
      <c r="F13803" s="13" t="s">
        <v>70</v>
      </c>
      <c r="G13803" s="14">
        <v>44852</v>
      </c>
      <c r="H13803" s="13" t="s">
        <v>163</v>
      </c>
    </row>
    <row r="13804" spans="1:8" ht="14.4" x14ac:dyDescent="0.3">
      <c r="A13804" s="8">
        <v>2071566</v>
      </c>
      <c r="B13804" s="11">
        <v>44810</v>
      </c>
      <c r="C13804" s="13" t="s">
        <v>4758</v>
      </c>
      <c r="D13804" s="13" t="s">
        <v>17906</v>
      </c>
      <c r="E13804" s="8">
        <v>20000</v>
      </c>
      <c r="F13804" s="13" t="s">
        <v>70</v>
      </c>
      <c r="G13804" s="14">
        <v>44812</v>
      </c>
      <c r="H13804" s="13" t="s">
        <v>163</v>
      </c>
    </row>
    <row r="13805" spans="1:8" ht="14.4" x14ac:dyDescent="0.3">
      <c r="A13805" s="8">
        <v>2071567</v>
      </c>
      <c r="B13805" s="11">
        <v>44810</v>
      </c>
      <c r="C13805" s="13" t="s">
        <v>14563</v>
      </c>
      <c r="D13805" s="13" t="s">
        <v>17907</v>
      </c>
      <c r="E13805" s="8">
        <v>1000</v>
      </c>
      <c r="F13805" s="13" t="s">
        <v>70</v>
      </c>
      <c r="G13805" s="14">
        <v>44812</v>
      </c>
      <c r="H13805" s="13" t="s">
        <v>163</v>
      </c>
    </row>
    <row r="13806" spans="1:8" ht="14.4" x14ac:dyDescent="0.3">
      <c r="A13806" s="8">
        <v>2071568</v>
      </c>
      <c r="B13806" s="11">
        <v>44810</v>
      </c>
      <c r="C13806" s="13" t="s">
        <v>17908</v>
      </c>
      <c r="D13806" s="13" t="s">
        <v>17909</v>
      </c>
      <c r="E13806" s="8">
        <v>10000</v>
      </c>
      <c r="F13806" s="13" t="s">
        <v>70</v>
      </c>
      <c r="G13806" s="14">
        <v>44813</v>
      </c>
      <c r="H13806" s="13" t="s">
        <v>163</v>
      </c>
    </row>
    <row r="13807" spans="1:8" ht="14.4" x14ac:dyDescent="0.3">
      <c r="A13807" s="8">
        <v>2071569</v>
      </c>
      <c r="B13807" s="11">
        <v>44810</v>
      </c>
      <c r="C13807" s="13" t="s">
        <v>17910</v>
      </c>
      <c r="D13807" s="13" t="s">
        <v>17911</v>
      </c>
      <c r="E13807" s="8">
        <v>4000</v>
      </c>
      <c r="F13807" s="13" t="s">
        <v>70</v>
      </c>
      <c r="G13807" s="14">
        <v>44811</v>
      </c>
      <c r="H13807" s="13" t="s">
        <v>163</v>
      </c>
    </row>
    <row r="13808" spans="1:8" ht="14.4" x14ac:dyDescent="0.3">
      <c r="A13808" s="8">
        <v>2071570</v>
      </c>
      <c r="B13808" s="11">
        <v>44810</v>
      </c>
      <c r="C13808" s="13" t="s">
        <v>17912</v>
      </c>
      <c r="D13808" s="13" t="s">
        <v>17913</v>
      </c>
      <c r="E13808" s="8">
        <v>4000</v>
      </c>
      <c r="F13808" s="13" t="s">
        <v>70</v>
      </c>
      <c r="G13808" s="14">
        <v>44812</v>
      </c>
      <c r="H13808" s="13" t="s">
        <v>163</v>
      </c>
    </row>
    <row r="13809" spans="1:8" ht="14.4" x14ac:dyDescent="0.3">
      <c r="A13809" s="8">
        <v>2071571</v>
      </c>
      <c r="B13809" s="11">
        <v>44811</v>
      </c>
      <c r="C13809" s="13" t="s">
        <v>10643</v>
      </c>
      <c r="D13809" s="13" t="s">
        <v>17914</v>
      </c>
      <c r="E13809" s="8">
        <v>16000</v>
      </c>
      <c r="F13809" s="13" t="s">
        <v>70</v>
      </c>
      <c r="G13809" s="14">
        <v>44812</v>
      </c>
      <c r="H13809" s="13" t="s">
        <v>163</v>
      </c>
    </row>
    <row r="13810" spans="1:8" ht="14.4" x14ac:dyDescent="0.3">
      <c r="A13810" s="8">
        <v>2071572</v>
      </c>
      <c r="B13810" s="11">
        <v>44811</v>
      </c>
      <c r="C13810" s="13" t="s">
        <v>1743</v>
      </c>
      <c r="D13810" s="13" t="s">
        <v>17915</v>
      </c>
      <c r="E13810" s="8">
        <v>30576</v>
      </c>
      <c r="F13810" s="13" t="s">
        <v>70</v>
      </c>
      <c r="G13810" s="14">
        <v>44816</v>
      </c>
      <c r="H13810" s="13" t="s">
        <v>163</v>
      </c>
    </row>
    <row r="13811" spans="1:8" ht="14.4" x14ac:dyDescent="0.3">
      <c r="A13811" s="8">
        <v>2071573</v>
      </c>
      <c r="B13811" s="11">
        <v>44812</v>
      </c>
      <c r="C13811" s="13" t="s">
        <v>11712</v>
      </c>
      <c r="D13811" s="13" t="s">
        <v>17916</v>
      </c>
      <c r="E13811" s="8">
        <v>8000</v>
      </c>
      <c r="F13811" s="13" t="s">
        <v>70</v>
      </c>
      <c r="G13811" s="14">
        <v>44812</v>
      </c>
      <c r="H13811" s="13" t="s">
        <v>163</v>
      </c>
    </row>
    <row r="13812" spans="1:8" ht="14.4" x14ac:dyDescent="0.3">
      <c r="A13812" s="8">
        <v>2071574</v>
      </c>
      <c r="B13812" s="11">
        <v>44812</v>
      </c>
      <c r="C13812" s="13" t="s">
        <v>17917</v>
      </c>
      <c r="D13812" s="13" t="s">
        <v>17918</v>
      </c>
      <c r="E13812" s="8">
        <v>2000</v>
      </c>
      <c r="F13812" s="13" t="s">
        <v>70</v>
      </c>
      <c r="G13812" s="14">
        <v>44816</v>
      </c>
      <c r="H13812" s="13" t="s">
        <v>163</v>
      </c>
    </row>
    <row r="13813" spans="1:8" ht="14.4" x14ac:dyDescent="0.3">
      <c r="A13813" s="8">
        <v>2071575</v>
      </c>
      <c r="B13813" s="11">
        <v>44812</v>
      </c>
      <c r="C13813" s="13" t="s">
        <v>17919</v>
      </c>
      <c r="D13813" s="13" t="s">
        <v>17920</v>
      </c>
      <c r="E13813" s="8">
        <v>4000</v>
      </c>
      <c r="F13813" s="13" t="s">
        <v>70</v>
      </c>
      <c r="G13813" s="14">
        <v>44816</v>
      </c>
      <c r="H13813" s="13" t="s">
        <v>163</v>
      </c>
    </row>
    <row r="13814" spans="1:8" ht="14.4" x14ac:dyDescent="0.3">
      <c r="A13814" s="8">
        <v>2071576</v>
      </c>
      <c r="B13814" s="11">
        <v>44816</v>
      </c>
      <c r="C13814" s="13" t="s">
        <v>14668</v>
      </c>
      <c r="D13814" s="13" t="s">
        <v>17921</v>
      </c>
      <c r="E13814" s="8">
        <v>157700</v>
      </c>
      <c r="F13814" s="13" t="s">
        <v>70</v>
      </c>
      <c r="G13814" s="14">
        <v>44817</v>
      </c>
      <c r="H13814" s="13" t="s">
        <v>163</v>
      </c>
    </row>
    <row r="13815" spans="1:8" ht="14.4" x14ac:dyDescent="0.3">
      <c r="A13815" s="8">
        <v>2071578</v>
      </c>
      <c r="B13815" s="11">
        <v>44817</v>
      </c>
      <c r="C13815" s="13" t="s">
        <v>17922</v>
      </c>
      <c r="D13815" s="13" t="s">
        <v>17923</v>
      </c>
      <c r="E13815" s="8">
        <v>6000</v>
      </c>
      <c r="F13815" s="13" t="s">
        <v>70</v>
      </c>
      <c r="G13815" s="14">
        <v>44819</v>
      </c>
      <c r="H13815" s="13" t="s">
        <v>163</v>
      </c>
    </row>
    <row r="13816" spans="1:8" ht="14.4" x14ac:dyDescent="0.3">
      <c r="A13816" s="8">
        <v>2071579</v>
      </c>
      <c r="B13816" s="11">
        <v>44817</v>
      </c>
      <c r="C13816" s="13" t="s">
        <v>11555</v>
      </c>
      <c r="D13816" s="13" t="s">
        <v>167</v>
      </c>
      <c r="E13816" s="8">
        <v>8000</v>
      </c>
      <c r="F13816" s="13" t="s">
        <v>70</v>
      </c>
      <c r="G13816" s="14">
        <v>44819</v>
      </c>
      <c r="H13816" s="13" t="s">
        <v>163</v>
      </c>
    </row>
    <row r="13817" spans="1:8" ht="14.4" x14ac:dyDescent="0.3">
      <c r="A13817" s="8">
        <v>2071580</v>
      </c>
      <c r="B13817" s="11">
        <v>44817</v>
      </c>
      <c r="C13817" s="13" t="s">
        <v>3476</v>
      </c>
      <c r="D13817" s="13" t="s">
        <v>17924</v>
      </c>
      <c r="E13817" s="8">
        <v>2000</v>
      </c>
      <c r="F13817" s="13" t="s">
        <v>70</v>
      </c>
      <c r="G13817" s="14">
        <v>44819</v>
      </c>
      <c r="H13817" s="13" t="s">
        <v>163</v>
      </c>
    </row>
    <row r="13818" spans="1:8" ht="14.4" x14ac:dyDescent="0.3">
      <c r="A13818" s="8">
        <v>2071581</v>
      </c>
      <c r="B13818" s="11">
        <v>44817</v>
      </c>
      <c r="C13818" s="13" t="s">
        <v>17925</v>
      </c>
      <c r="D13818" s="13" t="s">
        <v>14062</v>
      </c>
      <c r="E13818" s="8">
        <v>2000</v>
      </c>
      <c r="F13818" s="13" t="s">
        <v>70</v>
      </c>
      <c r="G13818" s="14">
        <v>44827</v>
      </c>
      <c r="H13818" s="13" t="s">
        <v>163</v>
      </c>
    </row>
    <row r="13819" spans="1:8" ht="14.4" x14ac:dyDescent="0.3">
      <c r="A13819" s="8">
        <v>2071582</v>
      </c>
      <c r="B13819" s="11">
        <v>44817</v>
      </c>
      <c r="C13819" s="13" t="s">
        <v>5034</v>
      </c>
      <c r="D13819" s="13" t="s">
        <v>166</v>
      </c>
      <c r="E13819" s="8">
        <v>30000</v>
      </c>
      <c r="F13819" s="13" t="s">
        <v>70</v>
      </c>
      <c r="G13819" s="14">
        <v>44819</v>
      </c>
      <c r="H13819" s="13" t="s">
        <v>163</v>
      </c>
    </row>
    <row r="13820" spans="1:8" ht="14.4" x14ac:dyDescent="0.3">
      <c r="A13820" s="8">
        <v>2071583</v>
      </c>
      <c r="B13820" s="11">
        <v>44817</v>
      </c>
      <c r="C13820" s="13" t="s">
        <v>17926</v>
      </c>
      <c r="D13820" s="13" t="s">
        <v>17927</v>
      </c>
      <c r="E13820" s="8">
        <v>2000</v>
      </c>
      <c r="F13820" s="13" t="s">
        <v>70</v>
      </c>
      <c r="G13820" s="14">
        <v>44819</v>
      </c>
      <c r="H13820" s="13" t="s">
        <v>163</v>
      </c>
    </row>
    <row r="13821" spans="1:8" ht="14.4" x14ac:dyDescent="0.3">
      <c r="A13821" s="8">
        <v>2071584</v>
      </c>
      <c r="B13821" s="11">
        <v>44817</v>
      </c>
      <c r="C13821" s="13" t="s">
        <v>17928</v>
      </c>
      <c r="D13821" s="13" t="s">
        <v>166</v>
      </c>
      <c r="E13821" s="8">
        <v>2000</v>
      </c>
      <c r="F13821" s="13" t="s">
        <v>70</v>
      </c>
      <c r="G13821" s="14">
        <v>44819</v>
      </c>
      <c r="H13821" s="13" t="s">
        <v>163</v>
      </c>
    </row>
    <row r="13822" spans="1:8" ht="14.4" x14ac:dyDescent="0.3">
      <c r="A13822" s="8">
        <v>2071585</v>
      </c>
      <c r="B13822" s="11">
        <v>44817</v>
      </c>
      <c r="C13822" s="13" t="s">
        <v>17929</v>
      </c>
      <c r="D13822" s="13" t="s">
        <v>14062</v>
      </c>
      <c r="E13822" s="8">
        <v>4000</v>
      </c>
      <c r="F13822" s="13" t="s">
        <v>70</v>
      </c>
      <c r="G13822" s="14">
        <v>44819</v>
      </c>
      <c r="H13822" s="13" t="s">
        <v>163</v>
      </c>
    </row>
    <row r="13823" spans="1:8" ht="14.4" x14ac:dyDescent="0.3">
      <c r="A13823" s="8">
        <v>2071586</v>
      </c>
      <c r="B13823" s="11">
        <v>44817</v>
      </c>
      <c r="C13823" s="13" t="s">
        <v>17930</v>
      </c>
      <c r="D13823" s="13" t="s">
        <v>14062</v>
      </c>
      <c r="E13823" s="8">
        <v>14000</v>
      </c>
      <c r="F13823" s="13" t="s">
        <v>70</v>
      </c>
      <c r="G13823" s="14">
        <v>44819</v>
      </c>
      <c r="H13823" s="13" t="s">
        <v>163</v>
      </c>
    </row>
    <row r="13824" spans="1:8" ht="14.4" x14ac:dyDescent="0.3">
      <c r="A13824" s="8">
        <v>2071587</v>
      </c>
      <c r="B13824" s="11">
        <v>44817</v>
      </c>
      <c r="C13824" s="13" t="s">
        <v>17931</v>
      </c>
      <c r="D13824" s="13" t="s">
        <v>166</v>
      </c>
      <c r="E13824" s="8">
        <v>6000</v>
      </c>
      <c r="F13824" s="13" t="s">
        <v>70</v>
      </c>
      <c r="G13824" s="14">
        <v>44819</v>
      </c>
      <c r="H13824" s="13" t="s">
        <v>163</v>
      </c>
    </row>
    <row r="13825" spans="1:8" ht="14.4" x14ac:dyDescent="0.3">
      <c r="A13825" s="8">
        <v>2071588</v>
      </c>
      <c r="B13825" s="11">
        <v>44817</v>
      </c>
      <c r="C13825" s="13" t="s">
        <v>17932</v>
      </c>
      <c r="D13825" s="13" t="s">
        <v>166</v>
      </c>
      <c r="E13825" s="8">
        <v>2000</v>
      </c>
      <c r="F13825" s="13" t="s">
        <v>70</v>
      </c>
      <c r="G13825" s="14">
        <v>44867</v>
      </c>
      <c r="H13825" s="13" t="s">
        <v>163</v>
      </c>
    </row>
    <row r="13826" spans="1:8" ht="14.4" x14ac:dyDescent="0.3">
      <c r="A13826" s="8">
        <v>2071589</v>
      </c>
      <c r="B13826" s="11">
        <v>44817</v>
      </c>
      <c r="C13826" s="13" t="s">
        <v>13336</v>
      </c>
      <c r="D13826" s="13" t="s">
        <v>166</v>
      </c>
      <c r="E13826" s="8">
        <v>2000</v>
      </c>
      <c r="F13826" s="13" t="s">
        <v>70</v>
      </c>
      <c r="G13826" s="14">
        <v>44819</v>
      </c>
      <c r="H13826" s="13" t="s">
        <v>163</v>
      </c>
    </row>
    <row r="13827" spans="1:8" ht="14.4" x14ac:dyDescent="0.3">
      <c r="A13827" s="8">
        <v>2071590</v>
      </c>
      <c r="B13827" s="11">
        <v>44817</v>
      </c>
      <c r="C13827" s="13" t="s">
        <v>13668</v>
      </c>
      <c r="D13827" s="13" t="s">
        <v>166</v>
      </c>
      <c r="E13827" s="8">
        <v>4000</v>
      </c>
      <c r="F13827" s="13" t="s">
        <v>70</v>
      </c>
      <c r="G13827" s="14">
        <v>44819</v>
      </c>
      <c r="H13827" s="13" t="s">
        <v>163</v>
      </c>
    </row>
    <row r="13828" spans="1:8" ht="14.4" x14ac:dyDescent="0.3">
      <c r="A13828" s="8">
        <v>2071591</v>
      </c>
      <c r="B13828" s="11">
        <v>44817</v>
      </c>
      <c r="C13828" s="13" t="s">
        <v>17933</v>
      </c>
      <c r="D13828" s="13" t="s">
        <v>14062</v>
      </c>
      <c r="E13828" s="8">
        <v>2000</v>
      </c>
      <c r="F13828" s="13" t="s">
        <v>70</v>
      </c>
      <c r="G13828" s="14">
        <v>44819</v>
      </c>
      <c r="H13828" s="13" t="s">
        <v>163</v>
      </c>
    </row>
    <row r="13829" spans="1:8" ht="14.4" x14ac:dyDescent="0.3">
      <c r="A13829" s="8">
        <v>2071592</v>
      </c>
      <c r="B13829" s="11">
        <v>44817</v>
      </c>
      <c r="C13829" s="13" t="s">
        <v>17934</v>
      </c>
      <c r="D13829" s="13" t="s">
        <v>14318</v>
      </c>
      <c r="E13829" s="8">
        <v>2000</v>
      </c>
      <c r="F13829" s="13" t="s">
        <v>70</v>
      </c>
      <c r="G13829" s="14">
        <v>44819</v>
      </c>
      <c r="H13829" s="13" t="s">
        <v>163</v>
      </c>
    </row>
    <row r="13830" spans="1:8" ht="14.4" x14ac:dyDescent="0.3">
      <c r="A13830" s="8">
        <v>2071593</v>
      </c>
      <c r="B13830" s="11">
        <v>44817</v>
      </c>
      <c r="C13830" s="13" t="s">
        <v>17935</v>
      </c>
      <c r="D13830" s="13" t="s">
        <v>17936</v>
      </c>
      <c r="E13830" s="8">
        <v>4000</v>
      </c>
      <c r="F13830" s="13" t="s">
        <v>70</v>
      </c>
      <c r="G13830" s="14">
        <v>44819</v>
      </c>
      <c r="H13830" s="13" t="s">
        <v>163</v>
      </c>
    </row>
    <row r="13831" spans="1:8" ht="14.4" x14ac:dyDescent="0.3">
      <c r="A13831" s="8">
        <v>2071594</v>
      </c>
      <c r="B13831" s="11">
        <v>44817</v>
      </c>
      <c r="C13831" s="13" t="s">
        <v>17937</v>
      </c>
      <c r="D13831" s="13" t="s">
        <v>17938</v>
      </c>
      <c r="E13831" s="8">
        <v>2000</v>
      </c>
      <c r="F13831" s="13" t="s">
        <v>70</v>
      </c>
      <c r="G13831" s="14">
        <v>44819</v>
      </c>
      <c r="H13831" s="13" t="s">
        <v>163</v>
      </c>
    </row>
    <row r="13832" spans="1:8" ht="14.4" x14ac:dyDescent="0.3">
      <c r="A13832" s="8">
        <v>2071595</v>
      </c>
      <c r="B13832" s="11">
        <v>44817</v>
      </c>
      <c r="C13832" s="13" t="s">
        <v>3610</v>
      </c>
      <c r="D13832" s="13" t="s">
        <v>17939</v>
      </c>
      <c r="E13832" s="8">
        <v>2000</v>
      </c>
      <c r="F13832" s="13" t="s">
        <v>70</v>
      </c>
      <c r="G13832" s="14">
        <v>44819</v>
      </c>
      <c r="H13832" s="13" t="s">
        <v>163</v>
      </c>
    </row>
    <row r="13833" spans="1:8" ht="14.4" x14ac:dyDescent="0.3">
      <c r="A13833" s="8">
        <v>2071596</v>
      </c>
      <c r="B13833" s="11">
        <v>44817</v>
      </c>
      <c r="C13833" s="13" t="s">
        <v>17940</v>
      </c>
      <c r="D13833" s="13" t="s">
        <v>17941</v>
      </c>
      <c r="E13833" s="8">
        <v>6000</v>
      </c>
      <c r="F13833" s="13" t="s">
        <v>70</v>
      </c>
      <c r="G13833" s="14">
        <v>44819</v>
      </c>
      <c r="H13833" s="13" t="s">
        <v>163</v>
      </c>
    </row>
    <row r="13834" spans="1:8" ht="14.4" x14ac:dyDescent="0.3">
      <c r="A13834" s="8">
        <v>2071597</v>
      </c>
      <c r="B13834" s="11">
        <v>44817</v>
      </c>
      <c r="C13834" s="13" t="s">
        <v>17942</v>
      </c>
      <c r="D13834" s="13" t="s">
        <v>17943</v>
      </c>
      <c r="E13834" s="8">
        <v>5000</v>
      </c>
      <c r="F13834" s="13" t="s">
        <v>70</v>
      </c>
      <c r="G13834" s="14">
        <v>44819</v>
      </c>
      <c r="H13834" s="13" t="s">
        <v>163</v>
      </c>
    </row>
    <row r="13835" spans="1:8" ht="14.4" x14ac:dyDescent="0.3">
      <c r="A13835" s="8">
        <v>2071598</v>
      </c>
      <c r="B13835" s="11">
        <v>44817</v>
      </c>
      <c r="C13835" s="13" t="s">
        <v>17944</v>
      </c>
      <c r="D13835" s="13" t="s">
        <v>17945</v>
      </c>
      <c r="E13835" s="8">
        <v>6000</v>
      </c>
      <c r="F13835" s="13" t="s">
        <v>70</v>
      </c>
      <c r="G13835" s="14">
        <v>44819</v>
      </c>
      <c r="H13835" s="13" t="s">
        <v>163</v>
      </c>
    </row>
    <row r="13836" spans="1:8" ht="14.4" x14ac:dyDescent="0.3">
      <c r="A13836" s="8">
        <v>2071599</v>
      </c>
      <c r="B13836" s="11">
        <v>44817</v>
      </c>
      <c r="C13836" s="13" t="s">
        <v>17946</v>
      </c>
      <c r="D13836" s="13" t="s">
        <v>17947</v>
      </c>
      <c r="E13836" s="8">
        <v>12000</v>
      </c>
      <c r="F13836" s="13" t="s">
        <v>70</v>
      </c>
      <c r="G13836" s="14">
        <v>44819</v>
      </c>
      <c r="H13836" s="13" t="s">
        <v>163</v>
      </c>
    </row>
    <row r="13837" spans="1:8" ht="14.4" x14ac:dyDescent="0.3">
      <c r="A13837" s="8">
        <v>2071600</v>
      </c>
      <c r="B13837" s="11">
        <v>44817</v>
      </c>
      <c r="C13837" s="13" t="s">
        <v>17948</v>
      </c>
      <c r="D13837" s="13" t="s">
        <v>17949</v>
      </c>
      <c r="E13837" s="8">
        <v>762614</v>
      </c>
      <c r="F13837" s="13" t="s">
        <v>70</v>
      </c>
      <c r="G13837" s="14">
        <v>44819</v>
      </c>
      <c r="H13837" s="13" t="s">
        <v>163</v>
      </c>
    </row>
    <row r="13838" spans="1:8" ht="14.4" x14ac:dyDescent="0.3">
      <c r="A13838" s="8">
        <v>2071601</v>
      </c>
      <c r="B13838" s="11">
        <v>44818</v>
      </c>
      <c r="C13838" s="13" t="s">
        <v>17950</v>
      </c>
      <c r="D13838" s="13" t="s">
        <v>17951</v>
      </c>
      <c r="E13838" s="8">
        <v>4000</v>
      </c>
      <c r="F13838" s="13" t="s">
        <v>70</v>
      </c>
      <c r="G13838" s="14">
        <v>44819</v>
      </c>
      <c r="H13838" s="13" t="s">
        <v>163</v>
      </c>
    </row>
    <row r="13839" spans="1:8" ht="14.4" x14ac:dyDescent="0.3">
      <c r="A13839" s="8">
        <v>2071602</v>
      </c>
      <c r="B13839" s="11">
        <v>44818</v>
      </c>
      <c r="C13839" s="13" t="s">
        <v>17952</v>
      </c>
      <c r="D13839" s="13" t="s">
        <v>17953</v>
      </c>
      <c r="E13839" s="8">
        <v>250000</v>
      </c>
      <c r="F13839" s="13" t="s">
        <v>70</v>
      </c>
      <c r="G13839" s="14">
        <v>44823</v>
      </c>
      <c r="H13839" s="13" t="s">
        <v>163</v>
      </c>
    </row>
    <row r="13840" spans="1:8" ht="14.4" x14ac:dyDescent="0.3">
      <c r="A13840" s="8">
        <v>2071603</v>
      </c>
      <c r="B13840" s="11">
        <v>44818</v>
      </c>
      <c r="C13840" s="13" t="s">
        <v>17954</v>
      </c>
      <c r="D13840" s="13" t="s">
        <v>17955</v>
      </c>
      <c r="E13840" s="8">
        <v>20000</v>
      </c>
      <c r="F13840" s="13" t="s">
        <v>70</v>
      </c>
      <c r="G13840" s="14">
        <v>44819</v>
      </c>
      <c r="H13840" s="13" t="s">
        <v>163</v>
      </c>
    </row>
    <row r="13841" spans="1:8" ht="14.4" x14ac:dyDescent="0.3">
      <c r="A13841" s="8">
        <v>2071604</v>
      </c>
      <c r="B13841" s="11">
        <v>44818</v>
      </c>
      <c r="C13841" s="13" t="s">
        <v>11541</v>
      </c>
      <c r="D13841" s="13" t="s">
        <v>17956</v>
      </c>
      <c r="E13841" s="8">
        <v>20000</v>
      </c>
      <c r="F13841" s="13" t="s">
        <v>70</v>
      </c>
      <c r="G13841" s="14">
        <v>44819</v>
      </c>
      <c r="H13841" s="13" t="s">
        <v>163</v>
      </c>
    </row>
    <row r="13842" spans="1:8" ht="14.4" x14ac:dyDescent="0.3">
      <c r="A13842" s="8">
        <v>2071605</v>
      </c>
      <c r="B13842" s="11">
        <v>44818</v>
      </c>
      <c r="C13842" s="13" t="s">
        <v>17957</v>
      </c>
      <c r="D13842" s="13" t="s">
        <v>17958</v>
      </c>
      <c r="E13842" s="8">
        <v>10000</v>
      </c>
      <c r="F13842" s="13" t="s">
        <v>70</v>
      </c>
      <c r="G13842" s="14">
        <v>44820</v>
      </c>
      <c r="H13842" s="13" t="s">
        <v>163</v>
      </c>
    </row>
    <row r="13843" spans="1:8" ht="14.4" x14ac:dyDescent="0.3">
      <c r="A13843" s="8">
        <v>2071606</v>
      </c>
      <c r="B13843" s="11">
        <v>44818</v>
      </c>
      <c r="C13843" s="13" t="s">
        <v>17959</v>
      </c>
      <c r="D13843" s="13" t="s">
        <v>17960</v>
      </c>
      <c r="E13843" s="8">
        <v>2000</v>
      </c>
      <c r="F13843" s="13" t="s">
        <v>70</v>
      </c>
      <c r="G13843" s="14">
        <v>44820</v>
      </c>
      <c r="H13843" s="13" t="s">
        <v>163</v>
      </c>
    </row>
    <row r="13844" spans="1:8" ht="14.4" x14ac:dyDescent="0.3">
      <c r="A13844" s="8">
        <v>2071607</v>
      </c>
      <c r="B13844" s="11">
        <v>44818</v>
      </c>
      <c r="C13844" s="13" t="s">
        <v>17961</v>
      </c>
      <c r="D13844" s="13" t="s">
        <v>17962</v>
      </c>
      <c r="E13844" s="8">
        <v>50000</v>
      </c>
      <c r="F13844" s="13" t="s">
        <v>70</v>
      </c>
      <c r="G13844" s="14">
        <v>44819</v>
      </c>
      <c r="H13844" s="13" t="s">
        <v>163</v>
      </c>
    </row>
    <row r="13845" spans="1:8" ht="14.4" x14ac:dyDescent="0.3">
      <c r="A13845" s="8">
        <v>2071608</v>
      </c>
      <c r="B13845" s="11">
        <v>44818</v>
      </c>
      <c r="C13845" s="13" t="s">
        <v>17963</v>
      </c>
      <c r="D13845" s="13" t="s">
        <v>17964</v>
      </c>
      <c r="E13845" s="8">
        <v>6000</v>
      </c>
      <c r="F13845" s="13" t="s">
        <v>70</v>
      </c>
      <c r="G13845" s="14">
        <v>44820</v>
      </c>
      <c r="H13845" s="13" t="s">
        <v>163</v>
      </c>
    </row>
    <row r="13846" spans="1:8" ht="14.4" x14ac:dyDescent="0.3">
      <c r="A13846" s="8">
        <v>2071609</v>
      </c>
      <c r="B13846" s="11">
        <v>44818</v>
      </c>
      <c r="C13846" s="13" t="s">
        <v>11539</v>
      </c>
      <c r="D13846" s="13" t="s">
        <v>17965</v>
      </c>
      <c r="E13846" s="8">
        <v>20000</v>
      </c>
      <c r="F13846" s="13" t="s">
        <v>70</v>
      </c>
      <c r="G13846" s="14">
        <v>44820</v>
      </c>
      <c r="H13846" s="13" t="s">
        <v>163</v>
      </c>
    </row>
    <row r="13847" spans="1:8" ht="14.4" x14ac:dyDescent="0.3">
      <c r="A13847" s="8">
        <v>2071610</v>
      </c>
      <c r="B13847" s="11">
        <v>44818</v>
      </c>
      <c r="C13847" s="13" t="s">
        <v>17966</v>
      </c>
      <c r="D13847" s="13" t="s">
        <v>17967</v>
      </c>
      <c r="E13847" s="8">
        <v>4000</v>
      </c>
      <c r="F13847" s="13" t="s">
        <v>70</v>
      </c>
      <c r="G13847" s="14">
        <v>44819</v>
      </c>
      <c r="H13847" s="13" t="s">
        <v>163</v>
      </c>
    </row>
    <row r="13848" spans="1:8" ht="14.4" x14ac:dyDescent="0.3">
      <c r="A13848" s="8">
        <v>2071611</v>
      </c>
      <c r="B13848" s="11">
        <v>44818</v>
      </c>
      <c r="C13848" s="13" t="s">
        <v>17968</v>
      </c>
      <c r="D13848" s="13" t="s">
        <v>17969</v>
      </c>
      <c r="E13848" s="8">
        <v>2000</v>
      </c>
      <c r="F13848" s="13" t="s">
        <v>70</v>
      </c>
      <c r="G13848" s="14">
        <v>44826</v>
      </c>
      <c r="H13848" s="13" t="s">
        <v>163</v>
      </c>
    </row>
    <row r="13849" spans="1:8" ht="14.4" x14ac:dyDescent="0.3">
      <c r="A13849" s="8">
        <v>2071612</v>
      </c>
      <c r="B13849" s="11">
        <v>44818</v>
      </c>
      <c r="C13849" s="13" t="s">
        <v>17970</v>
      </c>
      <c r="D13849" s="13" t="s">
        <v>17971</v>
      </c>
      <c r="E13849" s="8">
        <v>6000</v>
      </c>
      <c r="F13849" s="13" t="s">
        <v>70</v>
      </c>
      <c r="G13849" s="14">
        <v>44820</v>
      </c>
      <c r="H13849" s="13" t="s">
        <v>163</v>
      </c>
    </row>
    <row r="13850" spans="1:8" ht="14.4" x14ac:dyDescent="0.3">
      <c r="A13850" s="8">
        <v>2071613</v>
      </c>
      <c r="B13850" s="11">
        <v>44818</v>
      </c>
      <c r="C13850" s="13" t="s">
        <v>1699</v>
      </c>
      <c r="D13850" s="13" t="s">
        <v>17972</v>
      </c>
      <c r="E13850" s="8">
        <v>6000</v>
      </c>
      <c r="F13850" s="13" t="s">
        <v>70</v>
      </c>
      <c r="G13850" s="14">
        <v>44823</v>
      </c>
      <c r="H13850" s="13" t="s">
        <v>163</v>
      </c>
    </row>
    <row r="13851" spans="1:8" ht="14.4" x14ac:dyDescent="0.3">
      <c r="A13851" s="8">
        <v>2071614</v>
      </c>
      <c r="B13851" s="11">
        <v>44818</v>
      </c>
      <c r="C13851" s="13" t="s">
        <v>17973</v>
      </c>
      <c r="D13851" s="13" t="s">
        <v>17974</v>
      </c>
      <c r="E13851" s="8">
        <v>6000</v>
      </c>
      <c r="F13851" s="13" t="s">
        <v>70</v>
      </c>
      <c r="G13851" s="14">
        <v>44820</v>
      </c>
      <c r="H13851" s="13" t="s">
        <v>163</v>
      </c>
    </row>
    <row r="13852" spans="1:8" ht="14.4" x14ac:dyDescent="0.3">
      <c r="A13852" s="8">
        <v>2071615</v>
      </c>
      <c r="B13852" s="11">
        <v>44818</v>
      </c>
      <c r="C13852" s="13" t="s">
        <v>17975</v>
      </c>
      <c r="D13852" s="13" t="s">
        <v>17976</v>
      </c>
      <c r="E13852" s="8">
        <v>4000</v>
      </c>
      <c r="F13852" s="13" t="s">
        <v>70</v>
      </c>
      <c r="G13852" s="14">
        <v>44819</v>
      </c>
      <c r="H13852" s="13" t="s">
        <v>163</v>
      </c>
    </row>
    <row r="13853" spans="1:8" ht="14.4" x14ac:dyDescent="0.3">
      <c r="A13853" s="8">
        <v>2071616</v>
      </c>
      <c r="B13853" s="11">
        <v>44818</v>
      </c>
      <c r="C13853" s="13" t="s">
        <v>17977</v>
      </c>
      <c r="D13853" s="13" t="s">
        <v>16335</v>
      </c>
      <c r="E13853" s="8">
        <v>6000</v>
      </c>
      <c r="F13853" s="13" t="s">
        <v>70</v>
      </c>
      <c r="G13853" s="14">
        <v>44820</v>
      </c>
      <c r="H13853" s="13" t="s">
        <v>163</v>
      </c>
    </row>
    <row r="13854" spans="1:8" ht="14.4" x14ac:dyDescent="0.3">
      <c r="A13854" s="8">
        <v>2071617</v>
      </c>
      <c r="B13854" s="11">
        <v>44818</v>
      </c>
      <c r="C13854" s="13" t="s">
        <v>17978</v>
      </c>
      <c r="D13854" s="13" t="s">
        <v>17979</v>
      </c>
      <c r="E13854" s="8">
        <v>6000</v>
      </c>
      <c r="F13854" s="13" t="s">
        <v>70</v>
      </c>
      <c r="G13854" s="14">
        <v>44820</v>
      </c>
      <c r="H13854" s="13" t="s">
        <v>163</v>
      </c>
    </row>
    <row r="13855" spans="1:8" ht="14.4" x14ac:dyDescent="0.3">
      <c r="A13855" s="8">
        <v>2071618</v>
      </c>
      <c r="B13855" s="11">
        <v>44818</v>
      </c>
      <c r="C13855" s="13" t="s">
        <v>11535</v>
      </c>
      <c r="D13855" s="13" t="s">
        <v>17980</v>
      </c>
      <c r="E13855" s="8">
        <v>6000</v>
      </c>
      <c r="F13855" s="13" t="s">
        <v>70</v>
      </c>
      <c r="G13855" s="14">
        <v>44819</v>
      </c>
      <c r="H13855" s="13" t="s">
        <v>163</v>
      </c>
    </row>
    <row r="13856" spans="1:8" ht="14.4" x14ac:dyDescent="0.3">
      <c r="A13856" s="8">
        <v>2071619</v>
      </c>
      <c r="B13856" s="11">
        <v>44818</v>
      </c>
      <c r="C13856" s="13" t="s">
        <v>13189</v>
      </c>
      <c r="D13856" s="13" t="s">
        <v>17981</v>
      </c>
      <c r="E13856" s="8">
        <v>6000</v>
      </c>
      <c r="F13856" s="13" t="s">
        <v>70</v>
      </c>
      <c r="G13856" s="14">
        <v>44819</v>
      </c>
      <c r="H13856" s="13" t="s">
        <v>163</v>
      </c>
    </row>
    <row r="13857" spans="1:8" ht="14.4" x14ac:dyDescent="0.3">
      <c r="A13857" s="8">
        <v>2071620</v>
      </c>
      <c r="B13857" s="11">
        <v>44818</v>
      </c>
      <c r="C13857" s="13" t="s">
        <v>17982</v>
      </c>
      <c r="D13857" s="13" t="s">
        <v>17983</v>
      </c>
      <c r="E13857" s="8">
        <v>16000</v>
      </c>
      <c r="F13857" s="13" t="s">
        <v>70</v>
      </c>
      <c r="G13857" s="14">
        <v>44820</v>
      </c>
      <c r="H13857" s="13" t="s">
        <v>163</v>
      </c>
    </row>
    <row r="13858" spans="1:8" ht="14.4" x14ac:dyDescent="0.3">
      <c r="A13858" s="8">
        <v>2071621</v>
      </c>
      <c r="B13858" s="11">
        <v>44818</v>
      </c>
      <c r="C13858" s="13" t="s">
        <v>17984</v>
      </c>
      <c r="D13858" s="13" t="s">
        <v>17985</v>
      </c>
      <c r="E13858" s="8">
        <v>4000</v>
      </c>
      <c r="F13858" s="13" t="s">
        <v>70</v>
      </c>
      <c r="G13858" s="14">
        <v>44823</v>
      </c>
      <c r="H13858" s="13" t="s">
        <v>163</v>
      </c>
    </row>
    <row r="13859" spans="1:8" ht="14.4" x14ac:dyDescent="0.3">
      <c r="A13859" s="8">
        <v>2071622</v>
      </c>
      <c r="B13859" s="11">
        <v>44818</v>
      </c>
      <c r="C13859" s="13" t="s">
        <v>17986</v>
      </c>
      <c r="D13859" s="13" t="s">
        <v>17987</v>
      </c>
      <c r="E13859" s="8">
        <v>6000</v>
      </c>
      <c r="F13859" s="13" t="s">
        <v>70</v>
      </c>
      <c r="G13859" s="14">
        <v>44819</v>
      </c>
      <c r="H13859" s="13" t="s">
        <v>163</v>
      </c>
    </row>
    <row r="13860" spans="1:8" ht="14.4" x14ac:dyDescent="0.3">
      <c r="A13860" s="8">
        <v>2071623</v>
      </c>
      <c r="B13860" s="11">
        <v>44818</v>
      </c>
      <c r="C13860" s="13" t="s">
        <v>17988</v>
      </c>
      <c r="D13860" s="13" t="s">
        <v>17989</v>
      </c>
      <c r="E13860" s="8">
        <v>6000</v>
      </c>
      <c r="F13860" s="13" t="s">
        <v>70</v>
      </c>
      <c r="G13860" s="14">
        <v>44819</v>
      </c>
      <c r="H13860" s="13" t="s">
        <v>163</v>
      </c>
    </row>
    <row r="13861" spans="1:8" ht="14.4" x14ac:dyDescent="0.3">
      <c r="A13861" s="8">
        <v>2071624</v>
      </c>
      <c r="B13861" s="11">
        <v>44818</v>
      </c>
      <c r="C13861" s="13" t="s">
        <v>17990</v>
      </c>
      <c r="D13861" s="13" t="s">
        <v>14062</v>
      </c>
      <c r="E13861" s="8">
        <v>1000</v>
      </c>
      <c r="F13861" s="13" t="s">
        <v>70</v>
      </c>
      <c r="G13861" s="14">
        <v>44820</v>
      </c>
      <c r="H13861" s="13" t="s">
        <v>163</v>
      </c>
    </row>
    <row r="13862" spans="1:8" ht="14.4" x14ac:dyDescent="0.3">
      <c r="A13862" s="8">
        <v>2071625</v>
      </c>
      <c r="B13862" s="11">
        <v>44818</v>
      </c>
      <c r="C13862" s="13" t="s">
        <v>17991</v>
      </c>
      <c r="D13862" s="13" t="s">
        <v>17992</v>
      </c>
      <c r="E13862" s="8">
        <v>2000</v>
      </c>
      <c r="F13862" s="13" t="s">
        <v>70</v>
      </c>
      <c r="G13862" s="14">
        <v>44819</v>
      </c>
      <c r="H13862" s="13" t="s">
        <v>163</v>
      </c>
    </row>
    <row r="13863" spans="1:8" ht="14.4" x14ac:dyDescent="0.3">
      <c r="A13863" s="8">
        <v>2071626</v>
      </c>
      <c r="B13863" s="11">
        <v>44818</v>
      </c>
      <c r="C13863" s="13" t="s">
        <v>17993</v>
      </c>
      <c r="D13863" s="13" t="s">
        <v>17994</v>
      </c>
      <c r="E13863" s="8">
        <v>4000</v>
      </c>
      <c r="F13863" s="13" t="s">
        <v>70</v>
      </c>
      <c r="G13863" s="14">
        <v>44819</v>
      </c>
      <c r="H13863" s="13" t="s">
        <v>163</v>
      </c>
    </row>
    <row r="13864" spans="1:8" ht="14.4" x14ac:dyDescent="0.3">
      <c r="A13864" s="8">
        <v>2071627</v>
      </c>
      <c r="B13864" s="11">
        <v>44818</v>
      </c>
      <c r="C13864" s="13" t="s">
        <v>13248</v>
      </c>
      <c r="D13864" s="13" t="s">
        <v>17995</v>
      </c>
      <c r="E13864" s="8">
        <v>2000</v>
      </c>
      <c r="F13864" s="13" t="s">
        <v>70</v>
      </c>
      <c r="G13864" s="14">
        <v>44827</v>
      </c>
      <c r="H13864" s="13" t="s">
        <v>163</v>
      </c>
    </row>
    <row r="13865" spans="1:8" ht="14.4" x14ac:dyDescent="0.3">
      <c r="A13865" s="8">
        <v>2071628</v>
      </c>
      <c r="B13865" s="11">
        <v>44818</v>
      </c>
      <c r="C13865" s="13" t="s">
        <v>14345</v>
      </c>
      <c r="D13865" s="13" t="s">
        <v>17996</v>
      </c>
      <c r="E13865" s="8">
        <v>4000</v>
      </c>
      <c r="F13865" s="13" t="s">
        <v>70</v>
      </c>
      <c r="G13865" s="14">
        <v>44820</v>
      </c>
      <c r="H13865" s="13" t="s">
        <v>163</v>
      </c>
    </row>
    <row r="13866" spans="1:8" ht="14.4" x14ac:dyDescent="0.3">
      <c r="A13866" s="8">
        <v>2071629</v>
      </c>
      <c r="B13866" s="11">
        <v>44818</v>
      </c>
      <c r="C13866" s="13" t="s">
        <v>180</v>
      </c>
      <c r="D13866" s="13" t="s">
        <v>33</v>
      </c>
      <c r="E13866" s="8">
        <v>650000</v>
      </c>
      <c r="F13866" s="13" t="s">
        <v>70</v>
      </c>
      <c r="G13866" s="14">
        <v>44818</v>
      </c>
      <c r="H13866" s="13" t="s">
        <v>163</v>
      </c>
    </row>
    <row r="13867" spans="1:8" ht="14.4" x14ac:dyDescent="0.3">
      <c r="A13867" s="8">
        <v>2071630</v>
      </c>
      <c r="B13867" s="11">
        <v>44818</v>
      </c>
      <c r="C13867" s="13" t="s">
        <v>7995</v>
      </c>
      <c r="D13867" s="13" t="s">
        <v>164</v>
      </c>
      <c r="E13867" s="8">
        <v>8000</v>
      </c>
      <c r="F13867" s="13" t="s">
        <v>70</v>
      </c>
      <c r="G13867" s="14">
        <v>44820</v>
      </c>
      <c r="H13867" s="13" t="s">
        <v>163</v>
      </c>
    </row>
    <row r="13868" spans="1:8" ht="14.4" x14ac:dyDescent="0.3">
      <c r="A13868" s="8">
        <v>2071631</v>
      </c>
      <c r="B13868" s="11">
        <v>44818</v>
      </c>
      <c r="C13868" s="13" t="s">
        <v>17997</v>
      </c>
      <c r="D13868" s="13" t="s">
        <v>17998</v>
      </c>
      <c r="E13868" s="8">
        <v>1000</v>
      </c>
      <c r="F13868" s="13" t="s">
        <v>70</v>
      </c>
      <c r="G13868" s="14">
        <v>44820</v>
      </c>
      <c r="H13868" s="13" t="s">
        <v>163</v>
      </c>
    </row>
    <row r="13869" spans="1:8" ht="14.4" x14ac:dyDescent="0.3">
      <c r="A13869" s="8">
        <v>2071632</v>
      </c>
      <c r="B13869" s="11">
        <v>44818</v>
      </c>
      <c r="C13869" s="13" t="s">
        <v>11370</v>
      </c>
      <c r="D13869" s="13" t="s">
        <v>14318</v>
      </c>
      <c r="E13869" s="8">
        <v>20000</v>
      </c>
      <c r="F13869" s="13" t="s">
        <v>70</v>
      </c>
      <c r="G13869" s="14">
        <v>44819</v>
      </c>
      <c r="H13869" s="13" t="s">
        <v>163</v>
      </c>
    </row>
    <row r="13870" spans="1:8" ht="14.4" x14ac:dyDescent="0.3">
      <c r="A13870" s="8">
        <v>2071633</v>
      </c>
      <c r="B13870" s="11">
        <v>44818</v>
      </c>
      <c r="C13870" s="13" t="s">
        <v>17999</v>
      </c>
      <c r="D13870" s="13" t="s">
        <v>18000</v>
      </c>
      <c r="E13870" s="8">
        <v>20000</v>
      </c>
      <c r="F13870" s="13" t="s">
        <v>70</v>
      </c>
      <c r="G13870" s="14">
        <v>44819</v>
      </c>
      <c r="H13870" s="13" t="s">
        <v>163</v>
      </c>
    </row>
    <row r="13871" spans="1:8" ht="14.4" x14ac:dyDescent="0.3">
      <c r="A13871" s="8">
        <v>2071634</v>
      </c>
      <c r="B13871" s="11">
        <v>44818</v>
      </c>
      <c r="C13871" s="13" t="s">
        <v>18001</v>
      </c>
      <c r="D13871" s="13" t="s">
        <v>17685</v>
      </c>
      <c r="E13871" s="8">
        <v>6000</v>
      </c>
      <c r="F13871" s="13" t="s">
        <v>70</v>
      </c>
      <c r="G13871" s="14">
        <v>44820</v>
      </c>
      <c r="H13871" s="13" t="s">
        <v>163</v>
      </c>
    </row>
    <row r="13872" spans="1:8" ht="14.4" x14ac:dyDescent="0.3">
      <c r="A13872" s="8">
        <v>2071635</v>
      </c>
      <c r="B13872" s="11">
        <v>44818</v>
      </c>
      <c r="C13872" s="13" t="s">
        <v>18002</v>
      </c>
      <c r="D13872" s="13" t="s">
        <v>18003</v>
      </c>
      <c r="E13872" s="8">
        <v>10000</v>
      </c>
      <c r="F13872" s="13" t="s">
        <v>70</v>
      </c>
      <c r="G13872" s="14">
        <v>44820</v>
      </c>
      <c r="H13872" s="13" t="s">
        <v>163</v>
      </c>
    </row>
    <row r="13873" spans="1:8" ht="14.4" x14ac:dyDescent="0.3">
      <c r="A13873" s="8">
        <v>2071636</v>
      </c>
      <c r="B13873" s="11">
        <v>44818</v>
      </c>
      <c r="C13873" s="13" t="s">
        <v>4614</v>
      </c>
      <c r="D13873" s="13" t="s">
        <v>18004</v>
      </c>
      <c r="E13873" s="8">
        <v>50000</v>
      </c>
      <c r="F13873" s="13" t="s">
        <v>70</v>
      </c>
      <c r="G13873" s="14">
        <v>44823</v>
      </c>
      <c r="H13873" s="13" t="s">
        <v>163</v>
      </c>
    </row>
    <row r="13874" spans="1:8" ht="14.4" x14ac:dyDescent="0.3">
      <c r="A13874" s="8">
        <v>2071637</v>
      </c>
      <c r="B13874" s="11">
        <v>44818</v>
      </c>
      <c r="C13874" s="13" t="s">
        <v>10789</v>
      </c>
      <c r="D13874" s="13" t="s">
        <v>18005</v>
      </c>
      <c r="E13874" s="8">
        <v>8000</v>
      </c>
      <c r="F13874" s="13" t="s">
        <v>70</v>
      </c>
      <c r="G13874" s="14">
        <v>44820</v>
      </c>
      <c r="H13874" s="13" t="s">
        <v>163</v>
      </c>
    </row>
    <row r="13875" spans="1:8" ht="14.4" x14ac:dyDescent="0.3">
      <c r="A13875" s="8">
        <v>2071638</v>
      </c>
      <c r="B13875" s="11">
        <v>44818</v>
      </c>
      <c r="C13875" s="13" t="s">
        <v>18006</v>
      </c>
      <c r="D13875" s="13" t="s">
        <v>18007</v>
      </c>
      <c r="E13875" s="8">
        <v>20000</v>
      </c>
      <c r="F13875" s="13" t="s">
        <v>70</v>
      </c>
      <c r="G13875" s="14">
        <v>44819</v>
      </c>
      <c r="H13875" s="13" t="s">
        <v>163</v>
      </c>
    </row>
    <row r="13876" spans="1:8" ht="14.4" x14ac:dyDescent="0.3">
      <c r="A13876" s="8">
        <v>2071639</v>
      </c>
      <c r="B13876" s="11">
        <v>44818</v>
      </c>
      <c r="C13876" s="13" t="s">
        <v>18008</v>
      </c>
      <c r="D13876" s="13" t="s">
        <v>18009</v>
      </c>
      <c r="E13876" s="8">
        <v>6000</v>
      </c>
      <c r="F13876" s="13" t="s">
        <v>70</v>
      </c>
      <c r="G13876" s="14">
        <v>44827</v>
      </c>
      <c r="H13876" s="13" t="s">
        <v>163</v>
      </c>
    </row>
    <row r="13877" spans="1:8" ht="14.4" x14ac:dyDescent="0.3">
      <c r="A13877" s="8">
        <v>2071640</v>
      </c>
      <c r="B13877" s="11">
        <v>44818</v>
      </c>
      <c r="C13877" s="13" t="s">
        <v>15217</v>
      </c>
      <c r="D13877" s="13" t="s">
        <v>18010</v>
      </c>
      <c r="E13877" s="8">
        <v>6000</v>
      </c>
      <c r="F13877" s="13" t="s">
        <v>70</v>
      </c>
      <c r="G13877" s="14">
        <v>44820</v>
      </c>
      <c r="H13877" s="13" t="s">
        <v>163</v>
      </c>
    </row>
    <row r="13878" spans="1:8" ht="14.4" x14ac:dyDescent="0.3">
      <c r="A13878" s="8">
        <v>2071641</v>
      </c>
      <c r="B13878" s="11">
        <v>44818</v>
      </c>
      <c r="C13878" s="13" t="s">
        <v>11464</v>
      </c>
      <c r="D13878" s="13" t="s">
        <v>14062</v>
      </c>
      <c r="E13878" s="8">
        <v>2000</v>
      </c>
      <c r="F13878" s="13" t="s">
        <v>70</v>
      </c>
      <c r="G13878" s="14">
        <v>44820</v>
      </c>
      <c r="H13878" s="13" t="s">
        <v>163</v>
      </c>
    </row>
    <row r="13879" spans="1:8" ht="14.4" x14ac:dyDescent="0.3">
      <c r="A13879" s="8">
        <v>2071642</v>
      </c>
      <c r="B13879" s="11">
        <v>44818</v>
      </c>
      <c r="C13879" s="13" t="s">
        <v>7728</v>
      </c>
      <c r="D13879" s="13" t="s">
        <v>18011</v>
      </c>
      <c r="E13879" s="8">
        <v>2000</v>
      </c>
      <c r="F13879" s="13" t="s">
        <v>70</v>
      </c>
      <c r="G13879" s="14">
        <v>44820</v>
      </c>
      <c r="H13879" s="13" t="s">
        <v>163</v>
      </c>
    </row>
    <row r="13880" spans="1:8" ht="14.4" x14ac:dyDescent="0.3">
      <c r="A13880" s="8">
        <v>2071643</v>
      </c>
      <c r="B13880" s="11">
        <v>44818</v>
      </c>
      <c r="C13880" s="13" t="s">
        <v>13579</v>
      </c>
      <c r="D13880" s="13" t="s">
        <v>18012</v>
      </c>
      <c r="E13880" s="8">
        <v>2000</v>
      </c>
      <c r="F13880" s="13" t="s">
        <v>70</v>
      </c>
      <c r="G13880" s="14">
        <v>44819</v>
      </c>
      <c r="H13880" s="13" t="s">
        <v>163</v>
      </c>
    </row>
    <row r="13881" spans="1:8" ht="14.4" x14ac:dyDescent="0.3">
      <c r="A13881" s="8">
        <v>2071644</v>
      </c>
      <c r="B13881" s="11">
        <v>44818</v>
      </c>
      <c r="C13881" s="13" t="s">
        <v>8861</v>
      </c>
      <c r="D13881" s="13" t="s">
        <v>18013</v>
      </c>
      <c r="E13881" s="8">
        <v>4000</v>
      </c>
      <c r="F13881" s="13" t="s">
        <v>70</v>
      </c>
      <c r="G13881" s="14">
        <v>44820</v>
      </c>
      <c r="H13881" s="13" t="s">
        <v>163</v>
      </c>
    </row>
    <row r="13882" spans="1:8" ht="14.4" x14ac:dyDescent="0.3">
      <c r="A13882" s="8">
        <v>2071645</v>
      </c>
      <c r="B13882" s="11">
        <v>44818</v>
      </c>
      <c r="C13882" s="13" t="s">
        <v>7764</v>
      </c>
      <c r="D13882" s="13" t="s">
        <v>18014</v>
      </c>
      <c r="E13882" s="8">
        <v>4000</v>
      </c>
      <c r="F13882" s="13" t="s">
        <v>70</v>
      </c>
      <c r="G13882" s="14">
        <v>44820</v>
      </c>
      <c r="H13882" s="13" t="s">
        <v>163</v>
      </c>
    </row>
    <row r="13883" spans="1:8" ht="14.4" x14ac:dyDescent="0.3">
      <c r="A13883" s="8">
        <v>2071646</v>
      </c>
      <c r="B13883" s="11">
        <v>44818</v>
      </c>
      <c r="C13883" s="13" t="s">
        <v>11720</v>
      </c>
      <c r="D13883" s="13" t="s">
        <v>18015</v>
      </c>
      <c r="E13883" s="8">
        <v>10000</v>
      </c>
      <c r="F13883" s="13" t="s">
        <v>70</v>
      </c>
      <c r="G13883" s="14">
        <v>44820</v>
      </c>
      <c r="H13883" s="13" t="s">
        <v>163</v>
      </c>
    </row>
    <row r="13884" spans="1:8" ht="14.4" x14ac:dyDescent="0.3">
      <c r="A13884" s="8">
        <v>2071647</v>
      </c>
      <c r="B13884" s="11">
        <v>44818</v>
      </c>
      <c r="C13884" s="13" t="s">
        <v>18016</v>
      </c>
      <c r="D13884" s="13" t="s">
        <v>18017</v>
      </c>
      <c r="E13884" s="8">
        <v>6000</v>
      </c>
      <c r="F13884" s="13" t="s">
        <v>70</v>
      </c>
      <c r="G13884" s="14">
        <v>44820</v>
      </c>
      <c r="H13884" s="13" t="s">
        <v>163</v>
      </c>
    </row>
    <row r="13885" spans="1:8" ht="14.4" x14ac:dyDescent="0.3">
      <c r="A13885" s="8">
        <v>2071648</v>
      </c>
      <c r="B13885" s="11">
        <v>44818</v>
      </c>
      <c r="C13885" s="13" t="s">
        <v>11718</v>
      </c>
      <c r="D13885" s="13" t="s">
        <v>18018</v>
      </c>
      <c r="E13885" s="8">
        <v>16000</v>
      </c>
      <c r="F13885" s="13" t="s">
        <v>70</v>
      </c>
      <c r="G13885" s="14">
        <v>44820</v>
      </c>
      <c r="H13885" s="13" t="s">
        <v>163</v>
      </c>
    </row>
    <row r="13886" spans="1:8" ht="14.4" x14ac:dyDescent="0.3">
      <c r="A13886" s="8">
        <v>2071649</v>
      </c>
      <c r="B13886" s="11">
        <v>44818</v>
      </c>
      <c r="C13886" s="13" t="s">
        <v>18019</v>
      </c>
      <c r="D13886" s="13" t="s">
        <v>18020</v>
      </c>
      <c r="E13886" s="8">
        <v>2000</v>
      </c>
      <c r="F13886" s="13" t="s">
        <v>70</v>
      </c>
      <c r="G13886" s="14">
        <v>44819</v>
      </c>
      <c r="H13886" s="13" t="s">
        <v>163</v>
      </c>
    </row>
    <row r="13887" spans="1:8" ht="14.4" x14ac:dyDescent="0.3">
      <c r="A13887" s="8">
        <v>2071650</v>
      </c>
      <c r="B13887" s="11">
        <v>44818</v>
      </c>
      <c r="C13887" s="13" t="s">
        <v>18021</v>
      </c>
      <c r="D13887" s="13" t="s">
        <v>18022</v>
      </c>
      <c r="E13887" s="8">
        <v>8000</v>
      </c>
      <c r="F13887" s="13" t="s">
        <v>70</v>
      </c>
      <c r="G13887" s="14">
        <v>44819</v>
      </c>
      <c r="H13887" s="13" t="s">
        <v>163</v>
      </c>
    </row>
    <row r="13888" spans="1:8" ht="14.4" x14ac:dyDescent="0.3">
      <c r="A13888" s="8">
        <v>2071651</v>
      </c>
      <c r="B13888" s="11">
        <v>44818</v>
      </c>
      <c r="C13888" s="13" t="s">
        <v>18023</v>
      </c>
      <c r="D13888" s="13" t="s">
        <v>18024</v>
      </c>
      <c r="E13888" s="8">
        <v>4000</v>
      </c>
      <c r="F13888" s="13" t="s">
        <v>70</v>
      </c>
      <c r="G13888" s="14">
        <v>44824</v>
      </c>
      <c r="H13888" s="13" t="s">
        <v>163</v>
      </c>
    </row>
    <row r="13889" spans="1:8" ht="14.4" x14ac:dyDescent="0.3">
      <c r="A13889" s="8">
        <v>2071652</v>
      </c>
      <c r="B13889" s="11">
        <v>44818</v>
      </c>
      <c r="C13889" s="13" t="s">
        <v>18025</v>
      </c>
      <c r="D13889" s="13" t="s">
        <v>18026</v>
      </c>
      <c r="E13889" s="8">
        <v>10000</v>
      </c>
      <c r="F13889" s="13" t="s">
        <v>70</v>
      </c>
      <c r="G13889" s="14">
        <v>44820</v>
      </c>
      <c r="H13889" s="13" t="s">
        <v>163</v>
      </c>
    </row>
    <row r="13890" spans="1:8" ht="14.4" x14ac:dyDescent="0.3">
      <c r="A13890" s="8">
        <v>2071653</v>
      </c>
      <c r="B13890" s="11">
        <v>44818</v>
      </c>
      <c r="C13890" s="13" t="s">
        <v>18027</v>
      </c>
      <c r="D13890" s="13" t="s">
        <v>18028</v>
      </c>
      <c r="E13890" s="8">
        <v>8000</v>
      </c>
      <c r="F13890" s="13" t="s">
        <v>70</v>
      </c>
      <c r="G13890" s="14">
        <v>44820</v>
      </c>
      <c r="H13890" s="13" t="s">
        <v>163</v>
      </c>
    </row>
    <row r="13891" spans="1:8" ht="14.4" x14ac:dyDescent="0.3">
      <c r="A13891" s="8">
        <v>2071654</v>
      </c>
      <c r="B13891" s="11">
        <v>44818</v>
      </c>
      <c r="C13891" s="13" t="s">
        <v>11629</v>
      </c>
      <c r="D13891" s="13" t="s">
        <v>18029</v>
      </c>
      <c r="E13891" s="8">
        <v>10000</v>
      </c>
      <c r="F13891" s="13" t="s">
        <v>70</v>
      </c>
      <c r="G13891" s="14">
        <v>44833</v>
      </c>
      <c r="H13891" s="13" t="s">
        <v>163</v>
      </c>
    </row>
    <row r="13892" spans="1:8" ht="14.4" x14ac:dyDescent="0.3">
      <c r="A13892" s="8">
        <v>2071655</v>
      </c>
      <c r="B13892" s="11">
        <v>44818</v>
      </c>
      <c r="C13892" s="13" t="s">
        <v>18030</v>
      </c>
      <c r="D13892" s="13" t="s">
        <v>18031</v>
      </c>
      <c r="E13892" s="8">
        <v>6000</v>
      </c>
      <c r="F13892" s="13" t="s">
        <v>70</v>
      </c>
      <c r="G13892" s="14">
        <v>44819</v>
      </c>
      <c r="H13892" s="13" t="s">
        <v>163</v>
      </c>
    </row>
    <row r="13893" spans="1:8" ht="14.4" x14ac:dyDescent="0.3">
      <c r="A13893" s="8">
        <v>2071656</v>
      </c>
      <c r="B13893" s="11">
        <v>44818</v>
      </c>
      <c r="C13893" s="13" t="s">
        <v>18032</v>
      </c>
      <c r="D13893" s="13" t="s">
        <v>18033</v>
      </c>
      <c r="E13893" s="8">
        <v>4000</v>
      </c>
      <c r="F13893" s="13" t="s">
        <v>70</v>
      </c>
      <c r="G13893" s="14">
        <v>44819</v>
      </c>
      <c r="H13893" s="13" t="s">
        <v>163</v>
      </c>
    </row>
    <row r="13894" spans="1:8" ht="14.4" x14ac:dyDescent="0.3">
      <c r="A13894" s="8">
        <v>2071657</v>
      </c>
      <c r="B13894" s="11">
        <v>44819</v>
      </c>
      <c r="C13894" s="13" t="s">
        <v>18034</v>
      </c>
      <c r="D13894" s="13" t="s">
        <v>18035</v>
      </c>
      <c r="E13894" s="8">
        <v>10000</v>
      </c>
      <c r="F13894" s="13" t="s">
        <v>70</v>
      </c>
      <c r="G13894" s="14">
        <v>44820</v>
      </c>
      <c r="H13894" s="13" t="s">
        <v>163</v>
      </c>
    </row>
    <row r="13895" spans="1:8" ht="14.4" x14ac:dyDescent="0.3">
      <c r="A13895" s="8">
        <v>2071658</v>
      </c>
      <c r="B13895" s="11">
        <v>44820</v>
      </c>
      <c r="C13895" s="13" t="s">
        <v>18036</v>
      </c>
      <c r="D13895" s="13" t="s">
        <v>14318</v>
      </c>
      <c r="E13895" s="8">
        <v>4000</v>
      </c>
      <c r="F13895" s="13" t="s">
        <v>70</v>
      </c>
      <c r="G13895" s="14">
        <v>44825</v>
      </c>
      <c r="H13895" s="13" t="s">
        <v>163</v>
      </c>
    </row>
    <row r="13896" spans="1:8" ht="14.4" x14ac:dyDescent="0.3">
      <c r="A13896" s="8">
        <v>2071659</v>
      </c>
      <c r="B13896" s="11">
        <v>44820</v>
      </c>
      <c r="C13896" s="13" t="s">
        <v>18037</v>
      </c>
      <c r="D13896" s="13" t="s">
        <v>166</v>
      </c>
      <c r="E13896" s="8">
        <v>2000</v>
      </c>
      <c r="F13896" s="13" t="s">
        <v>70</v>
      </c>
      <c r="G13896" s="14">
        <v>44824</v>
      </c>
      <c r="H13896" s="13" t="s">
        <v>163</v>
      </c>
    </row>
    <row r="13897" spans="1:8" ht="14.4" x14ac:dyDescent="0.3">
      <c r="A13897" s="8">
        <v>2071660</v>
      </c>
      <c r="B13897" s="11">
        <v>44820</v>
      </c>
      <c r="C13897" s="13" t="s">
        <v>18038</v>
      </c>
      <c r="D13897" s="13" t="s">
        <v>164</v>
      </c>
      <c r="E13897" s="8">
        <v>4000</v>
      </c>
      <c r="F13897" s="13" t="s">
        <v>70</v>
      </c>
      <c r="G13897" s="14">
        <v>44825</v>
      </c>
      <c r="H13897" s="13" t="s">
        <v>163</v>
      </c>
    </row>
    <row r="13898" spans="1:8" ht="14.4" x14ac:dyDescent="0.3">
      <c r="A13898" s="8">
        <v>2071661</v>
      </c>
      <c r="B13898" s="11">
        <v>44820</v>
      </c>
      <c r="C13898" s="13" t="s">
        <v>14989</v>
      </c>
      <c r="D13898" s="13" t="s">
        <v>14318</v>
      </c>
      <c r="E13898" s="8">
        <v>6000</v>
      </c>
      <c r="F13898" s="13" t="s">
        <v>70</v>
      </c>
      <c r="G13898" s="14">
        <v>44825</v>
      </c>
      <c r="H13898" s="13" t="s">
        <v>163</v>
      </c>
    </row>
    <row r="13899" spans="1:8" ht="14.4" x14ac:dyDescent="0.3">
      <c r="A13899" s="8">
        <v>2071662</v>
      </c>
      <c r="B13899" s="11">
        <v>44820</v>
      </c>
      <c r="C13899" s="13" t="s">
        <v>18039</v>
      </c>
      <c r="D13899" s="13" t="s">
        <v>18040</v>
      </c>
      <c r="E13899" s="8">
        <v>10000</v>
      </c>
      <c r="F13899" s="13" t="s">
        <v>70</v>
      </c>
      <c r="G13899" s="14">
        <v>44824</v>
      </c>
      <c r="H13899" s="13" t="s">
        <v>163</v>
      </c>
    </row>
    <row r="13900" spans="1:8" ht="14.4" x14ac:dyDescent="0.3">
      <c r="A13900" s="8">
        <v>2071663</v>
      </c>
      <c r="B13900" s="11">
        <v>44820</v>
      </c>
      <c r="C13900" s="13" t="s">
        <v>18041</v>
      </c>
      <c r="D13900" s="13" t="s">
        <v>18042</v>
      </c>
      <c r="E13900" s="8">
        <v>1000</v>
      </c>
      <c r="F13900" s="13" t="s">
        <v>70</v>
      </c>
      <c r="G13900" s="14">
        <v>44825</v>
      </c>
      <c r="H13900" s="13" t="s">
        <v>163</v>
      </c>
    </row>
    <row r="13901" spans="1:8" ht="14.4" x14ac:dyDescent="0.3">
      <c r="A13901" s="8">
        <v>2071664</v>
      </c>
      <c r="B13901" s="11">
        <v>44820</v>
      </c>
      <c r="C13901" s="13" t="s">
        <v>7832</v>
      </c>
      <c r="D13901" s="13" t="s">
        <v>18043</v>
      </c>
      <c r="E13901" s="8">
        <v>8000</v>
      </c>
      <c r="F13901" s="13" t="s">
        <v>70</v>
      </c>
      <c r="G13901" s="14">
        <v>44824</v>
      </c>
      <c r="H13901" s="13" t="s">
        <v>163</v>
      </c>
    </row>
    <row r="13902" spans="1:8" ht="14.4" x14ac:dyDescent="0.3">
      <c r="A13902" s="8">
        <v>2071665</v>
      </c>
      <c r="B13902" s="11">
        <v>44820</v>
      </c>
      <c r="C13902" s="13" t="s">
        <v>18044</v>
      </c>
      <c r="D13902" s="13" t="s">
        <v>18045</v>
      </c>
      <c r="E13902" s="8">
        <v>4000</v>
      </c>
      <c r="F13902" s="13" t="s">
        <v>70</v>
      </c>
      <c r="G13902" s="14">
        <v>44825</v>
      </c>
      <c r="H13902" s="13" t="s">
        <v>163</v>
      </c>
    </row>
    <row r="13903" spans="1:8" ht="14.4" x14ac:dyDescent="0.3">
      <c r="A13903" s="8">
        <v>2071666</v>
      </c>
      <c r="B13903" s="11">
        <v>44820</v>
      </c>
      <c r="C13903" s="13" t="s">
        <v>18046</v>
      </c>
      <c r="D13903" s="13" t="s">
        <v>18047</v>
      </c>
      <c r="E13903" s="8">
        <v>10000</v>
      </c>
      <c r="F13903" s="13" t="s">
        <v>70</v>
      </c>
      <c r="G13903" s="14">
        <v>44826</v>
      </c>
      <c r="H13903" s="13" t="s">
        <v>163</v>
      </c>
    </row>
    <row r="13904" spans="1:8" ht="14.4" x14ac:dyDescent="0.3">
      <c r="A13904" s="8">
        <v>2071667</v>
      </c>
      <c r="B13904" s="11">
        <v>44820</v>
      </c>
      <c r="C13904" s="13" t="s">
        <v>3055</v>
      </c>
      <c r="D13904" s="13" t="s">
        <v>18048</v>
      </c>
      <c r="E13904" s="8">
        <v>2000</v>
      </c>
      <c r="F13904" s="13" t="s">
        <v>70</v>
      </c>
      <c r="G13904" s="14">
        <v>44824</v>
      </c>
      <c r="H13904" s="13" t="s">
        <v>163</v>
      </c>
    </row>
    <row r="13905" spans="1:8" ht="14.4" x14ac:dyDescent="0.3">
      <c r="A13905" s="8">
        <v>2071668</v>
      </c>
      <c r="B13905" s="11">
        <v>44820</v>
      </c>
      <c r="C13905" s="13" t="s">
        <v>18049</v>
      </c>
      <c r="D13905" s="13" t="s">
        <v>18050</v>
      </c>
      <c r="E13905" s="8">
        <v>2000</v>
      </c>
      <c r="F13905" s="13" t="s">
        <v>70</v>
      </c>
      <c r="G13905" s="14">
        <v>44826</v>
      </c>
      <c r="H13905" s="13" t="s">
        <v>163</v>
      </c>
    </row>
    <row r="13906" spans="1:8" ht="14.4" x14ac:dyDescent="0.3">
      <c r="A13906" s="8">
        <v>2071669</v>
      </c>
      <c r="B13906" s="11">
        <v>44820</v>
      </c>
      <c r="C13906" s="13" t="s">
        <v>18051</v>
      </c>
      <c r="D13906" s="13" t="s">
        <v>18052</v>
      </c>
      <c r="E13906" s="8">
        <v>5000</v>
      </c>
      <c r="F13906" s="13" t="s">
        <v>70</v>
      </c>
      <c r="G13906" s="14">
        <v>44826</v>
      </c>
      <c r="H13906" s="13" t="s">
        <v>163</v>
      </c>
    </row>
    <row r="13907" spans="1:8" ht="14.4" x14ac:dyDescent="0.3">
      <c r="A13907" s="8">
        <v>2071670</v>
      </c>
      <c r="B13907" s="11">
        <v>44820</v>
      </c>
      <c r="C13907" s="13" t="s">
        <v>18053</v>
      </c>
      <c r="D13907" s="13" t="s">
        <v>18054</v>
      </c>
      <c r="E13907" s="8">
        <v>4000</v>
      </c>
      <c r="F13907" s="13" t="s">
        <v>70</v>
      </c>
      <c r="G13907" s="14">
        <v>44824</v>
      </c>
      <c r="H13907" s="13" t="s">
        <v>163</v>
      </c>
    </row>
    <row r="13908" spans="1:8" ht="14.4" x14ac:dyDescent="0.3">
      <c r="A13908" s="8">
        <v>2071671</v>
      </c>
      <c r="B13908" s="11">
        <v>44820</v>
      </c>
      <c r="C13908" s="13" t="s">
        <v>18055</v>
      </c>
      <c r="D13908" s="13" t="s">
        <v>18056</v>
      </c>
      <c r="E13908" s="8">
        <v>26000</v>
      </c>
      <c r="F13908" s="13" t="s">
        <v>70</v>
      </c>
      <c r="G13908" s="14">
        <v>44825</v>
      </c>
      <c r="H13908" s="13" t="s">
        <v>163</v>
      </c>
    </row>
    <row r="13909" spans="1:8" ht="14.4" x14ac:dyDescent="0.3">
      <c r="A13909" s="8">
        <v>2071672</v>
      </c>
      <c r="B13909" s="11">
        <v>44820</v>
      </c>
      <c r="C13909" s="13" t="s">
        <v>4248</v>
      </c>
      <c r="D13909" s="13" t="s">
        <v>18057</v>
      </c>
      <c r="E13909" s="8">
        <v>6000</v>
      </c>
      <c r="F13909" s="13" t="s">
        <v>70</v>
      </c>
      <c r="G13909" s="14">
        <v>44825</v>
      </c>
      <c r="H13909" s="13" t="s">
        <v>163</v>
      </c>
    </row>
    <row r="13910" spans="1:8" ht="14.4" x14ac:dyDescent="0.3">
      <c r="A13910" s="8">
        <v>2071673</v>
      </c>
      <c r="B13910" s="11">
        <v>44820</v>
      </c>
      <c r="C13910" s="13" t="s">
        <v>18058</v>
      </c>
      <c r="D13910" s="13" t="s">
        <v>18059</v>
      </c>
      <c r="E13910" s="8">
        <v>6000</v>
      </c>
      <c r="F13910" s="13" t="s">
        <v>70</v>
      </c>
      <c r="G13910" s="14">
        <v>44824</v>
      </c>
      <c r="H13910" s="13" t="s">
        <v>163</v>
      </c>
    </row>
    <row r="13911" spans="1:8" ht="14.4" x14ac:dyDescent="0.3">
      <c r="A13911" s="8">
        <v>2071674</v>
      </c>
      <c r="B13911" s="11">
        <v>44820</v>
      </c>
      <c r="C13911" s="13" t="s">
        <v>18060</v>
      </c>
      <c r="D13911" s="13" t="s">
        <v>18061</v>
      </c>
      <c r="E13911" s="8">
        <v>6000</v>
      </c>
      <c r="F13911" s="13" t="s">
        <v>70</v>
      </c>
      <c r="G13911" s="14">
        <v>44824</v>
      </c>
      <c r="H13911" s="13" t="s">
        <v>163</v>
      </c>
    </row>
    <row r="13912" spans="1:8" ht="14.4" x14ac:dyDescent="0.3">
      <c r="A13912" s="8">
        <v>2071675</v>
      </c>
      <c r="B13912" s="11">
        <v>44820</v>
      </c>
      <c r="C13912" s="13" t="s">
        <v>11533</v>
      </c>
      <c r="D13912" s="13" t="s">
        <v>18062</v>
      </c>
      <c r="E13912" s="8">
        <v>8000</v>
      </c>
      <c r="F13912" s="13" t="s">
        <v>70</v>
      </c>
      <c r="G13912" s="14">
        <v>44824</v>
      </c>
      <c r="H13912" s="13" t="s">
        <v>163</v>
      </c>
    </row>
    <row r="13913" spans="1:8" ht="14.4" x14ac:dyDescent="0.3">
      <c r="A13913" s="8">
        <v>2071676</v>
      </c>
      <c r="B13913" s="11">
        <v>44820</v>
      </c>
      <c r="C13913" s="13" t="s">
        <v>11366</v>
      </c>
      <c r="D13913" s="13" t="s">
        <v>18063</v>
      </c>
      <c r="E13913" s="8">
        <v>6000</v>
      </c>
      <c r="F13913" s="13" t="s">
        <v>70</v>
      </c>
      <c r="G13913" s="14">
        <v>44826</v>
      </c>
      <c r="H13913" s="13" t="s">
        <v>163</v>
      </c>
    </row>
    <row r="13914" spans="1:8" ht="14.4" x14ac:dyDescent="0.3">
      <c r="A13914" s="8">
        <v>2071677</v>
      </c>
      <c r="B13914" s="11">
        <v>44820</v>
      </c>
      <c r="C13914" s="13" t="s">
        <v>17827</v>
      </c>
      <c r="D13914" s="13" t="s">
        <v>18064</v>
      </c>
      <c r="E13914" s="8">
        <v>6000</v>
      </c>
      <c r="F13914" s="13" t="s">
        <v>70</v>
      </c>
      <c r="G13914" s="14">
        <v>44825</v>
      </c>
      <c r="H13914" s="13" t="s">
        <v>163</v>
      </c>
    </row>
    <row r="13915" spans="1:8" ht="14.4" x14ac:dyDescent="0.3">
      <c r="A13915" s="8">
        <v>2071678</v>
      </c>
      <c r="B13915" s="11">
        <v>44820</v>
      </c>
      <c r="C13915" s="13" t="s">
        <v>18065</v>
      </c>
      <c r="D13915" s="13" t="s">
        <v>18066</v>
      </c>
      <c r="E13915" s="8">
        <v>4000</v>
      </c>
      <c r="F13915" s="13" t="s">
        <v>70</v>
      </c>
      <c r="G13915" s="14">
        <v>44826</v>
      </c>
      <c r="H13915" s="13" t="s">
        <v>163</v>
      </c>
    </row>
    <row r="13916" spans="1:8" ht="14.4" x14ac:dyDescent="0.3">
      <c r="A13916" s="8">
        <v>2071679</v>
      </c>
      <c r="B13916" s="11">
        <v>44820</v>
      </c>
      <c r="C13916" s="13" t="s">
        <v>18067</v>
      </c>
      <c r="D13916" s="13" t="s">
        <v>18068</v>
      </c>
      <c r="E13916" s="8">
        <v>8000</v>
      </c>
      <c r="F13916" s="13" t="s">
        <v>70</v>
      </c>
      <c r="G13916" s="14">
        <v>44825</v>
      </c>
      <c r="H13916" s="13" t="s">
        <v>163</v>
      </c>
    </row>
    <row r="13917" spans="1:8" ht="14.4" x14ac:dyDescent="0.3">
      <c r="A13917" s="8">
        <v>2071680</v>
      </c>
      <c r="B13917" s="11">
        <v>44820</v>
      </c>
      <c r="C13917" s="13" t="s">
        <v>18069</v>
      </c>
      <c r="D13917" s="13" t="s">
        <v>18070</v>
      </c>
      <c r="E13917" s="8">
        <v>6000</v>
      </c>
      <c r="F13917" s="13" t="s">
        <v>70</v>
      </c>
      <c r="G13917" s="14">
        <v>44834</v>
      </c>
      <c r="H13917" s="13" t="s">
        <v>163</v>
      </c>
    </row>
    <row r="13918" spans="1:8" ht="14.4" x14ac:dyDescent="0.3">
      <c r="A13918" s="8">
        <v>2071681</v>
      </c>
      <c r="B13918" s="11">
        <v>44820</v>
      </c>
      <c r="C13918" s="13" t="s">
        <v>18071</v>
      </c>
      <c r="D13918" s="13" t="s">
        <v>18072</v>
      </c>
      <c r="E13918" s="8">
        <v>4000</v>
      </c>
      <c r="F13918" s="13" t="s">
        <v>70</v>
      </c>
      <c r="G13918" s="14">
        <v>44825</v>
      </c>
      <c r="H13918" s="13" t="s">
        <v>163</v>
      </c>
    </row>
    <row r="13919" spans="1:8" ht="14.4" x14ac:dyDescent="0.3">
      <c r="A13919" s="8">
        <v>2071682</v>
      </c>
      <c r="B13919" s="11">
        <v>44820</v>
      </c>
      <c r="C13919" s="13" t="s">
        <v>18073</v>
      </c>
      <c r="D13919" s="13" t="s">
        <v>18074</v>
      </c>
      <c r="E13919" s="8">
        <v>6000</v>
      </c>
      <c r="F13919" s="13" t="s">
        <v>70</v>
      </c>
      <c r="G13919" s="14">
        <v>44825</v>
      </c>
      <c r="H13919" s="13" t="s">
        <v>163</v>
      </c>
    </row>
    <row r="13920" spans="1:8" ht="14.4" x14ac:dyDescent="0.3">
      <c r="A13920" s="8">
        <v>2071683</v>
      </c>
      <c r="B13920" s="11">
        <v>44820</v>
      </c>
      <c r="C13920" s="13" t="s">
        <v>18075</v>
      </c>
      <c r="D13920" s="13" t="s">
        <v>18076</v>
      </c>
      <c r="E13920" s="8">
        <v>8000</v>
      </c>
      <c r="F13920" s="13" t="s">
        <v>70</v>
      </c>
      <c r="G13920" s="14">
        <v>44825</v>
      </c>
      <c r="H13920" s="13" t="s">
        <v>163</v>
      </c>
    </row>
    <row r="13921" spans="1:8" ht="14.4" x14ac:dyDescent="0.3">
      <c r="A13921" s="8">
        <v>2071684</v>
      </c>
      <c r="B13921" s="11">
        <v>44820</v>
      </c>
      <c r="C13921" s="13" t="s">
        <v>18077</v>
      </c>
      <c r="D13921" s="13" t="s">
        <v>18078</v>
      </c>
      <c r="E13921" s="8">
        <v>6000</v>
      </c>
      <c r="F13921" s="13" t="s">
        <v>70</v>
      </c>
      <c r="G13921" s="14">
        <v>44825</v>
      </c>
      <c r="H13921" s="13" t="s">
        <v>163</v>
      </c>
    </row>
    <row r="13922" spans="1:8" ht="14.4" x14ac:dyDescent="0.3">
      <c r="A13922" s="8">
        <v>2071685</v>
      </c>
      <c r="B13922" s="11">
        <v>44820</v>
      </c>
      <c r="C13922" s="13" t="s">
        <v>6860</v>
      </c>
      <c r="D13922" s="13" t="s">
        <v>18079</v>
      </c>
      <c r="E13922" s="8">
        <v>2000</v>
      </c>
      <c r="F13922" s="13" t="s">
        <v>70</v>
      </c>
      <c r="G13922" s="14">
        <v>44825</v>
      </c>
      <c r="H13922" s="13" t="s">
        <v>163</v>
      </c>
    </row>
    <row r="13923" spans="1:8" ht="14.4" x14ac:dyDescent="0.3">
      <c r="A13923" s="8">
        <v>2071686</v>
      </c>
      <c r="B13923" s="11">
        <v>44820</v>
      </c>
      <c r="C13923" s="13" t="s">
        <v>18080</v>
      </c>
      <c r="D13923" s="13" t="s">
        <v>18081</v>
      </c>
      <c r="E13923" s="8">
        <v>6000</v>
      </c>
      <c r="F13923" s="13" t="s">
        <v>70</v>
      </c>
      <c r="G13923" s="14">
        <v>44825</v>
      </c>
      <c r="H13923" s="13" t="s">
        <v>163</v>
      </c>
    </row>
    <row r="13924" spans="1:8" ht="14.4" x14ac:dyDescent="0.3">
      <c r="A13924" s="8">
        <v>2071687</v>
      </c>
      <c r="B13924" s="11">
        <v>44820</v>
      </c>
      <c r="C13924" s="13" t="s">
        <v>18082</v>
      </c>
      <c r="D13924" s="13" t="s">
        <v>18083</v>
      </c>
      <c r="E13924" s="8">
        <v>6000</v>
      </c>
      <c r="F13924" s="13" t="s">
        <v>70</v>
      </c>
      <c r="G13924" s="14">
        <v>44825</v>
      </c>
      <c r="H13924" s="13" t="s">
        <v>163</v>
      </c>
    </row>
    <row r="13925" spans="1:8" ht="14.4" x14ac:dyDescent="0.3">
      <c r="A13925" s="8">
        <v>2071688</v>
      </c>
      <c r="B13925" s="11">
        <v>44820</v>
      </c>
      <c r="C13925" s="13" t="s">
        <v>18084</v>
      </c>
      <c r="D13925" s="13" t="s">
        <v>18085</v>
      </c>
      <c r="E13925" s="8">
        <v>20000</v>
      </c>
      <c r="F13925" s="13" t="s">
        <v>70</v>
      </c>
      <c r="G13925" s="14">
        <v>44825</v>
      </c>
      <c r="H13925" s="13" t="s">
        <v>163</v>
      </c>
    </row>
    <row r="13926" spans="1:8" ht="14.4" x14ac:dyDescent="0.3">
      <c r="A13926" s="8">
        <v>2071689</v>
      </c>
      <c r="B13926" s="11">
        <v>44820</v>
      </c>
      <c r="C13926" s="13" t="s">
        <v>11537</v>
      </c>
      <c r="D13926" s="13" t="s">
        <v>18086</v>
      </c>
      <c r="E13926" s="8">
        <v>8000</v>
      </c>
      <c r="F13926" s="13" t="s">
        <v>70</v>
      </c>
      <c r="G13926" s="14">
        <v>44825</v>
      </c>
      <c r="H13926" s="13" t="s">
        <v>163</v>
      </c>
    </row>
    <row r="13927" spans="1:8" ht="14.4" x14ac:dyDescent="0.3">
      <c r="A13927" s="8">
        <v>2071690</v>
      </c>
      <c r="B13927" s="11">
        <v>44820</v>
      </c>
      <c r="C13927" s="13" t="s">
        <v>13662</v>
      </c>
      <c r="D13927" s="13" t="s">
        <v>13603</v>
      </c>
      <c r="E13927" s="8">
        <v>4000</v>
      </c>
      <c r="F13927" s="13" t="s">
        <v>70</v>
      </c>
      <c r="G13927" s="14">
        <v>44824</v>
      </c>
      <c r="H13927" s="13" t="s">
        <v>163</v>
      </c>
    </row>
    <row r="13928" spans="1:8" ht="14.4" x14ac:dyDescent="0.3">
      <c r="A13928" s="8">
        <v>2071691</v>
      </c>
      <c r="B13928" s="11">
        <v>44820</v>
      </c>
      <c r="C13928" s="13" t="s">
        <v>18087</v>
      </c>
      <c r="D13928" s="13" t="s">
        <v>18088</v>
      </c>
      <c r="E13928" s="8">
        <v>10000</v>
      </c>
      <c r="F13928" s="13" t="s">
        <v>70</v>
      </c>
      <c r="G13928" s="14">
        <v>44825</v>
      </c>
      <c r="H13928" s="13" t="s">
        <v>163</v>
      </c>
    </row>
    <row r="13929" spans="1:8" ht="14.4" x14ac:dyDescent="0.3">
      <c r="A13929" s="8">
        <v>2071692</v>
      </c>
      <c r="B13929" s="11">
        <v>44820</v>
      </c>
      <c r="C13929" s="13" t="s">
        <v>18089</v>
      </c>
      <c r="D13929" s="13" t="s">
        <v>18090</v>
      </c>
      <c r="E13929" s="8">
        <v>2000</v>
      </c>
      <c r="F13929" s="13" t="s">
        <v>70</v>
      </c>
      <c r="G13929" s="14">
        <v>44824</v>
      </c>
      <c r="H13929" s="13" t="s">
        <v>163</v>
      </c>
    </row>
    <row r="13930" spans="1:8" ht="14.4" x14ac:dyDescent="0.3">
      <c r="A13930" s="8">
        <v>2071693</v>
      </c>
      <c r="B13930" s="11">
        <v>44820</v>
      </c>
      <c r="C13930" s="13" t="s">
        <v>18091</v>
      </c>
      <c r="D13930" s="13" t="s">
        <v>18092</v>
      </c>
      <c r="E13930" s="8">
        <v>2000</v>
      </c>
      <c r="F13930" s="13" t="s">
        <v>70</v>
      </c>
      <c r="G13930" s="14">
        <v>44824</v>
      </c>
      <c r="H13930" s="13" t="s">
        <v>163</v>
      </c>
    </row>
    <row r="13931" spans="1:8" ht="14.4" x14ac:dyDescent="0.3">
      <c r="A13931" s="8">
        <v>2071694</v>
      </c>
      <c r="B13931" s="11">
        <v>44820</v>
      </c>
      <c r="C13931" s="13" t="s">
        <v>18093</v>
      </c>
      <c r="D13931" s="13" t="s">
        <v>18094</v>
      </c>
      <c r="E13931" s="8">
        <v>4000</v>
      </c>
      <c r="F13931" s="13" t="s">
        <v>70</v>
      </c>
      <c r="G13931" s="14">
        <v>44826</v>
      </c>
      <c r="H13931" s="13" t="s">
        <v>163</v>
      </c>
    </row>
    <row r="13932" spans="1:8" ht="14.4" x14ac:dyDescent="0.3">
      <c r="A13932" s="8">
        <v>2071695</v>
      </c>
      <c r="B13932" s="11">
        <v>44820</v>
      </c>
      <c r="C13932" s="13" t="s">
        <v>18095</v>
      </c>
      <c r="D13932" s="13" t="s">
        <v>18096</v>
      </c>
      <c r="E13932" s="8">
        <v>8000</v>
      </c>
      <c r="F13932" s="13" t="s">
        <v>70</v>
      </c>
      <c r="G13932" s="14">
        <v>44824</v>
      </c>
      <c r="H13932" s="13" t="s">
        <v>163</v>
      </c>
    </row>
    <row r="13933" spans="1:8" ht="14.4" x14ac:dyDescent="0.3">
      <c r="A13933" s="8">
        <v>2071696</v>
      </c>
      <c r="B13933" s="11">
        <v>44820</v>
      </c>
      <c r="C13933" s="13" t="s">
        <v>11714</v>
      </c>
      <c r="D13933" s="13" t="s">
        <v>18097</v>
      </c>
      <c r="E13933" s="8">
        <v>8000</v>
      </c>
      <c r="F13933" s="13" t="s">
        <v>70</v>
      </c>
      <c r="G13933" s="14">
        <v>44825</v>
      </c>
      <c r="H13933" s="13" t="s">
        <v>163</v>
      </c>
    </row>
    <row r="13934" spans="1:8" ht="14.4" x14ac:dyDescent="0.3">
      <c r="A13934" s="8">
        <v>2071697</v>
      </c>
      <c r="B13934" s="11">
        <v>44820</v>
      </c>
      <c r="C13934" s="13" t="s">
        <v>15013</v>
      </c>
      <c r="D13934" s="13" t="s">
        <v>18098</v>
      </c>
      <c r="E13934" s="8">
        <v>4000</v>
      </c>
      <c r="F13934" s="13" t="s">
        <v>70</v>
      </c>
      <c r="G13934" s="14">
        <v>44824</v>
      </c>
      <c r="H13934" s="13" t="s">
        <v>163</v>
      </c>
    </row>
    <row r="13935" spans="1:8" ht="14.4" x14ac:dyDescent="0.3">
      <c r="A13935" s="8">
        <v>2071698</v>
      </c>
      <c r="B13935" s="11">
        <v>44820</v>
      </c>
      <c r="C13935" s="13" t="s">
        <v>18099</v>
      </c>
      <c r="D13935" s="13" t="s">
        <v>18100</v>
      </c>
      <c r="E13935" s="8">
        <v>3000</v>
      </c>
      <c r="F13935" s="13" t="s">
        <v>70</v>
      </c>
      <c r="G13935" s="14">
        <v>44825</v>
      </c>
      <c r="H13935" s="13" t="s">
        <v>163</v>
      </c>
    </row>
    <row r="13936" spans="1:8" ht="14.4" x14ac:dyDescent="0.3">
      <c r="A13936" s="8">
        <v>2071699</v>
      </c>
      <c r="B13936" s="11">
        <v>44820</v>
      </c>
      <c r="C13936" s="13" t="s">
        <v>18101</v>
      </c>
      <c r="D13936" s="13" t="s">
        <v>166</v>
      </c>
      <c r="E13936" s="8">
        <v>2000</v>
      </c>
      <c r="F13936" s="13" t="s">
        <v>70</v>
      </c>
      <c r="G13936" s="14">
        <v>44825</v>
      </c>
      <c r="H13936" s="13" t="s">
        <v>163</v>
      </c>
    </row>
    <row r="13937" spans="1:8" ht="14.4" x14ac:dyDescent="0.3">
      <c r="A13937" s="8">
        <v>2071700</v>
      </c>
      <c r="B13937" s="11">
        <v>44820</v>
      </c>
      <c r="C13937" s="13" t="s">
        <v>18102</v>
      </c>
      <c r="D13937" s="13" t="s">
        <v>166</v>
      </c>
      <c r="E13937" s="8">
        <v>4000</v>
      </c>
      <c r="F13937" s="13" t="s">
        <v>70</v>
      </c>
      <c r="G13937" s="14">
        <v>44824</v>
      </c>
      <c r="H13937" s="13" t="s">
        <v>163</v>
      </c>
    </row>
    <row r="13938" spans="1:8" ht="14.4" x14ac:dyDescent="0.3">
      <c r="A13938" s="8">
        <v>2071701</v>
      </c>
      <c r="B13938" s="11">
        <v>44820</v>
      </c>
      <c r="C13938" s="13" t="s">
        <v>18103</v>
      </c>
      <c r="D13938" s="13" t="s">
        <v>18104</v>
      </c>
      <c r="E13938" s="8">
        <v>6000</v>
      </c>
      <c r="F13938" s="13" t="s">
        <v>70</v>
      </c>
      <c r="G13938" s="14">
        <v>44825</v>
      </c>
      <c r="H13938" s="13" t="s">
        <v>163</v>
      </c>
    </row>
    <row r="13939" spans="1:8" ht="14.4" x14ac:dyDescent="0.3">
      <c r="A13939" s="8">
        <v>2071702</v>
      </c>
      <c r="B13939" s="11">
        <v>44820</v>
      </c>
      <c r="C13939" s="13" t="s">
        <v>18105</v>
      </c>
      <c r="D13939" s="13" t="s">
        <v>18106</v>
      </c>
      <c r="E13939" s="8">
        <v>8000</v>
      </c>
      <c r="F13939" s="13" t="s">
        <v>70</v>
      </c>
      <c r="G13939" s="14">
        <v>44825</v>
      </c>
      <c r="H13939" s="13" t="s">
        <v>163</v>
      </c>
    </row>
    <row r="13940" spans="1:8" ht="14.4" x14ac:dyDescent="0.3">
      <c r="A13940" s="8">
        <v>2071703</v>
      </c>
      <c r="B13940" s="11">
        <v>44820</v>
      </c>
      <c r="C13940" s="13" t="s">
        <v>18107</v>
      </c>
      <c r="D13940" s="13" t="s">
        <v>18108</v>
      </c>
      <c r="E13940" s="8">
        <v>6000</v>
      </c>
      <c r="F13940" s="13" t="s">
        <v>70</v>
      </c>
      <c r="G13940" s="14">
        <v>44824</v>
      </c>
      <c r="H13940" s="13" t="s">
        <v>163</v>
      </c>
    </row>
    <row r="13941" spans="1:8" ht="14.4" x14ac:dyDescent="0.3">
      <c r="A13941" s="8">
        <v>2071704</v>
      </c>
      <c r="B13941" s="11">
        <v>44820</v>
      </c>
      <c r="C13941" s="13" t="s">
        <v>18109</v>
      </c>
      <c r="D13941" s="13" t="s">
        <v>18110</v>
      </c>
      <c r="E13941" s="8">
        <v>30000</v>
      </c>
      <c r="F13941" s="13" t="s">
        <v>70</v>
      </c>
      <c r="G13941" s="14">
        <v>44824</v>
      </c>
      <c r="H13941" s="13" t="s">
        <v>163</v>
      </c>
    </row>
    <row r="13942" spans="1:8" ht="14.4" x14ac:dyDescent="0.3">
      <c r="A13942" s="8">
        <v>2071705</v>
      </c>
      <c r="B13942" s="11">
        <v>44820</v>
      </c>
      <c r="C13942" s="13" t="s">
        <v>18111</v>
      </c>
      <c r="D13942" s="13" t="s">
        <v>18112</v>
      </c>
      <c r="E13942" s="8">
        <v>6000</v>
      </c>
      <c r="F13942" s="13" t="s">
        <v>70</v>
      </c>
      <c r="G13942" s="14">
        <v>44825</v>
      </c>
      <c r="H13942" s="13" t="s">
        <v>163</v>
      </c>
    </row>
    <row r="13943" spans="1:8" ht="14.4" x14ac:dyDescent="0.3">
      <c r="A13943" s="8">
        <v>2071706</v>
      </c>
      <c r="B13943" s="11">
        <v>44820</v>
      </c>
      <c r="C13943" s="13" t="s">
        <v>18113</v>
      </c>
      <c r="D13943" s="13" t="s">
        <v>18114</v>
      </c>
      <c r="E13943" s="8">
        <v>4000</v>
      </c>
      <c r="F13943" s="13" t="s">
        <v>70</v>
      </c>
      <c r="G13943" s="14">
        <v>44824</v>
      </c>
      <c r="H13943" s="13" t="s">
        <v>163</v>
      </c>
    </row>
    <row r="13944" spans="1:8" ht="14.4" x14ac:dyDescent="0.3">
      <c r="A13944" s="8">
        <v>2071707</v>
      </c>
      <c r="B13944" s="11">
        <v>44820</v>
      </c>
      <c r="C13944" s="13" t="s">
        <v>18115</v>
      </c>
      <c r="D13944" s="13" t="s">
        <v>18116</v>
      </c>
      <c r="E13944" s="8">
        <v>4000</v>
      </c>
      <c r="F13944" s="13" t="s">
        <v>70</v>
      </c>
      <c r="G13944" s="14">
        <v>44824</v>
      </c>
      <c r="H13944" s="13" t="s">
        <v>163</v>
      </c>
    </row>
    <row r="13945" spans="1:8" ht="14.4" x14ac:dyDescent="0.3">
      <c r="A13945" s="8">
        <v>2071708</v>
      </c>
      <c r="B13945" s="11">
        <v>44820</v>
      </c>
      <c r="C13945" s="13" t="s">
        <v>11454</v>
      </c>
      <c r="D13945" s="13" t="s">
        <v>18117</v>
      </c>
      <c r="E13945" s="8">
        <v>14000</v>
      </c>
      <c r="F13945" s="13" t="s">
        <v>70</v>
      </c>
      <c r="G13945" s="14">
        <v>44825</v>
      </c>
      <c r="H13945" s="13" t="s">
        <v>163</v>
      </c>
    </row>
    <row r="13946" spans="1:8" ht="14.4" x14ac:dyDescent="0.3">
      <c r="A13946" s="8">
        <v>2071709</v>
      </c>
      <c r="B13946" s="11">
        <v>44820</v>
      </c>
      <c r="C13946" s="13" t="s">
        <v>1708</v>
      </c>
      <c r="D13946" s="13" t="s">
        <v>18118</v>
      </c>
      <c r="E13946" s="8">
        <v>10000</v>
      </c>
      <c r="F13946" s="13" t="s">
        <v>70</v>
      </c>
      <c r="G13946" s="14">
        <v>44823</v>
      </c>
      <c r="H13946" s="13" t="s">
        <v>163</v>
      </c>
    </row>
    <row r="13947" spans="1:8" ht="14.4" x14ac:dyDescent="0.3">
      <c r="A13947" s="8">
        <v>2071710</v>
      </c>
      <c r="B13947" s="11">
        <v>44820</v>
      </c>
      <c r="C13947" s="13" t="s">
        <v>14345</v>
      </c>
      <c r="D13947" s="13" t="s">
        <v>164</v>
      </c>
      <c r="E13947" s="8">
        <v>2000</v>
      </c>
      <c r="F13947" s="13" t="s">
        <v>70</v>
      </c>
      <c r="G13947" s="14">
        <v>44827</v>
      </c>
      <c r="H13947" s="13" t="s">
        <v>163</v>
      </c>
    </row>
    <row r="13948" spans="1:8" ht="14.4" x14ac:dyDescent="0.3">
      <c r="A13948" s="8">
        <v>2071711</v>
      </c>
      <c r="B13948" s="11">
        <v>44820</v>
      </c>
      <c r="C13948" s="13" t="s">
        <v>14155</v>
      </c>
      <c r="D13948" s="13" t="s">
        <v>14124</v>
      </c>
      <c r="E13948" s="8">
        <v>2000</v>
      </c>
      <c r="F13948" s="13" t="s">
        <v>70</v>
      </c>
      <c r="G13948" s="14">
        <v>44826</v>
      </c>
      <c r="H13948" s="13" t="s">
        <v>163</v>
      </c>
    </row>
    <row r="13949" spans="1:8" ht="14.4" x14ac:dyDescent="0.3">
      <c r="A13949" s="8">
        <v>2071712</v>
      </c>
      <c r="B13949" s="11">
        <v>44820</v>
      </c>
      <c r="C13949" s="13" t="s">
        <v>13458</v>
      </c>
      <c r="D13949" s="13" t="s">
        <v>18119</v>
      </c>
      <c r="E13949" s="8">
        <v>85193.2</v>
      </c>
      <c r="F13949" s="13" t="s">
        <v>70</v>
      </c>
      <c r="G13949" s="14">
        <v>44824</v>
      </c>
      <c r="H13949" s="13" t="s">
        <v>163</v>
      </c>
    </row>
    <row r="13950" spans="1:8" ht="14.4" x14ac:dyDescent="0.3">
      <c r="A13950" s="8">
        <v>2071713</v>
      </c>
      <c r="B13950" s="11">
        <v>44820</v>
      </c>
      <c r="C13950" s="13" t="s">
        <v>13460</v>
      </c>
      <c r="D13950" s="13" t="s">
        <v>18120</v>
      </c>
      <c r="E13950" s="8">
        <v>702676.29</v>
      </c>
      <c r="F13950" s="13" t="s">
        <v>70</v>
      </c>
      <c r="G13950" s="14">
        <v>44824</v>
      </c>
      <c r="H13950" s="13" t="s">
        <v>163</v>
      </c>
    </row>
    <row r="13951" spans="1:8" ht="14.4" x14ac:dyDescent="0.3">
      <c r="A13951" s="8">
        <v>2071714</v>
      </c>
      <c r="B13951" s="11">
        <v>44820</v>
      </c>
      <c r="C13951" s="13" t="s">
        <v>13460</v>
      </c>
      <c r="D13951" s="13" t="s">
        <v>18121</v>
      </c>
      <c r="E13951" s="8">
        <v>460370.08</v>
      </c>
      <c r="F13951" s="13" t="s">
        <v>70</v>
      </c>
      <c r="G13951" s="14">
        <v>44824</v>
      </c>
      <c r="H13951" s="13" t="s">
        <v>163</v>
      </c>
    </row>
    <row r="13952" spans="1:8" ht="14.4" x14ac:dyDescent="0.3">
      <c r="A13952" s="8">
        <v>2071715</v>
      </c>
      <c r="B13952" s="11">
        <v>44820</v>
      </c>
      <c r="C13952" s="13" t="s">
        <v>13460</v>
      </c>
      <c r="D13952" s="13" t="s">
        <v>18122</v>
      </c>
      <c r="E13952" s="8">
        <v>1250497.1000000001</v>
      </c>
      <c r="F13952" s="13" t="s">
        <v>70</v>
      </c>
      <c r="G13952" s="14">
        <v>44824</v>
      </c>
      <c r="H13952" s="13" t="s">
        <v>163</v>
      </c>
    </row>
    <row r="13953" spans="1:8" ht="14.4" x14ac:dyDescent="0.3">
      <c r="A13953" s="8">
        <v>2071716</v>
      </c>
      <c r="B13953" s="11">
        <v>44823</v>
      </c>
      <c r="C13953" s="13" t="s">
        <v>18123</v>
      </c>
      <c r="D13953" s="13" t="s">
        <v>18124</v>
      </c>
      <c r="E13953" s="8">
        <v>4000</v>
      </c>
      <c r="F13953" s="13" t="s">
        <v>70</v>
      </c>
      <c r="G13953" s="14">
        <v>44824</v>
      </c>
      <c r="H13953" s="13" t="s">
        <v>163</v>
      </c>
    </row>
    <row r="13954" spans="1:8" ht="14.4" x14ac:dyDescent="0.3">
      <c r="A13954" s="8">
        <v>2071717</v>
      </c>
      <c r="B13954" s="11">
        <v>44823</v>
      </c>
      <c r="C13954" s="13" t="s">
        <v>18125</v>
      </c>
      <c r="D13954" s="13" t="s">
        <v>18126</v>
      </c>
      <c r="E13954" s="8">
        <v>6000</v>
      </c>
      <c r="F13954" s="13" t="s">
        <v>70</v>
      </c>
      <c r="G13954" s="14">
        <v>44824</v>
      </c>
      <c r="H13954" s="13" t="s">
        <v>163</v>
      </c>
    </row>
    <row r="13955" spans="1:8" ht="14.4" x14ac:dyDescent="0.3">
      <c r="A13955" s="8">
        <v>2071718</v>
      </c>
      <c r="B13955" s="11">
        <v>44823</v>
      </c>
      <c r="C13955" s="13" t="s">
        <v>18127</v>
      </c>
      <c r="D13955" s="13" t="s">
        <v>18128</v>
      </c>
      <c r="E13955" s="8">
        <v>14000</v>
      </c>
      <c r="F13955" s="13" t="s">
        <v>70</v>
      </c>
      <c r="G13955" s="14">
        <v>44824</v>
      </c>
      <c r="H13955" s="13" t="s">
        <v>163</v>
      </c>
    </row>
    <row r="13956" spans="1:8" ht="14.4" x14ac:dyDescent="0.3">
      <c r="A13956" s="8">
        <v>2071719</v>
      </c>
      <c r="B13956" s="11">
        <v>44823</v>
      </c>
      <c r="C13956" s="13" t="s">
        <v>12065</v>
      </c>
      <c r="D13956" s="13" t="s">
        <v>18129</v>
      </c>
      <c r="E13956" s="8">
        <v>12000</v>
      </c>
      <c r="F13956" s="13" t="s">
        <v>70</v>
      </c>
      <c r="G13956" s="14">
        <v>44824</v>
      </c>
      <c r="H13956" s="13" t="s">
        <v>163</v>
      </c>
    </row>
    <row r="13957" spans="1:8" ht="14.4" x14ac:dyDescent="0.3">
      <c r="A13957" s="8">
        <v>2071720</v>
      </c>
      <c r="B13957" s="11">
        <v>44823</v>
      </c>
      <c r="C13957" s="13" t="s">
        <v>18130</v>
      </c>
      <c r="D13957" s="13" t="s">
        <v>18131</v>
      </c>
      <c r="E13957" s="8">
        <v>6000</v>
      </c>
      <c r="F13957" s="13" t="s">
        <v>70</v>
      </c>
      <c r="G13957" s="14">
        <v>44824</v>
      </c>
      <c r="H13957" s="13" t="s">
        <v>163</v>
      </c>
    </row>
    <row r="13958" spans="1:8" ht="14.4" x14ac:dyDescent="0.3">
      <c r="A13958" s="8">
        <v>2071721</v>
      </c>
      <c r="B13958" s="11">
        <v>44823</v>
      </c>
      <c r="C13958" s="13" t="s">
        <v>18132</v>
      </c>
      <c r="D13958" s="13" t="s">
        <v>18133</v>
      </c>
      <c r="E13958" s="8">
        <v>4000</v>
      </c>
      <c r="F13958" s="13" t="s">
        <v>70</v>
      </c>
      <c r="G13958" s="14">
        <v>44824</v>
      </c>
      <c r="H13958" s="13" t="s">
        <v>163</v>
      </c>
    </row>
    <row r="13959" spans="1:8" ht="14.4" x14ac:dyDescent="0.3">
      <c r="A13959" s="8">
        <v>2071722</v>
      </c>
      <c r="B13959" s="11">
        <v>44823</v>
      </c>
      <c r="C13959" s="13" t="s">
        <v>15455</v>
      </c>
      <c r="D13959" s="13" t="s">
        <v>18134</v>
      </c>
      <c r="E13959" s="8">
        <v>2000</v>
      </c>
      <c r="F13959" s="13" t="s">
        <v>70</v>
      </c>
      <c r="G13959" s="14">
        <v>44824</v>
      </c>
      <c r="H13959" s="13" t="s">
        <v>163</v>
      </c>
    </row>
    <row r="13960" spans="1:8" ht="14.4" x14ac:dyDescent="0.3">
      <c r="A13960" s="8">
        <v>2071723</v>
      </c>
      <c r="B13960" s="11">
        <v>44823</v>
      </c>
      <c r="C13960" s="13" t="s">
        <v>18135</v>
      </c>
      <c r="D13960" s="13" t="s">
        <v>18136</v>
      </c>
      <c r="E13960" s="8">
        <v>4000</v>
      </c>
      <c r="F13960" s="13" t="s">
        <v>70</v>
      </c>
      <c r="G13960" s="14">
        <v>44824</v>
      </c>
      <c r="H13960" s="13" t="s">
        <v>163</v>
      </c>
    </row>
    <row r="13961" spans="1:8" ht="14.4" x14ac:dyDescent="0.3">
      <c r="A13961" s="8">
        <v>2071724</v>
      </c>
      <c r="B13961" s="11">
        <v>44823</v>
      </c>
      <c r="C13961" s="13" t="s">
        <v>18137</v>
      </c>
      <c r="D13961" s="13" t="s">
        <v>18138</v>
      </c>
      <c r="E13961" s="8">
        <v>8000</v>
      </c>
      <c r="F13961" s="13" t="s">
        <v>70</v>
      </c>
      <c r="G13961" s="14">
        <v>44824</v>
      </c>
      <c r="H13961" s="13" t="s">
        <v>163</v>
      </c>
    </row>
    <row r="13962" spans="1:8" ht="14.4" x14ac:dyDescent="0.3">
      <c r="A13962" s="8">
        <v>2071725</v>
      </c>
      <c r="B13962" s="11">
        <v>44823</v>
      </c>
      <c r="C13962" s="13" t="s">
        <v>18139</v>
      </c>
      <c r="D13962" s="13" t="s">
        <v>18140</v>
      </c>
      <c r="E13962" s="8">
        <v>2000</v>
      </c>
      <c r="F13962" s="13" t="s">
        <v>70</v>
      </c>
      <c r="G13962" s="14">
        <v>44826</v>
      </c>
      <c r="H13962" s="13" t="s">
        <v>163</v>
      </c>
    </row>
    <row r="13963" spans="1:8" ht="14.4" x14ac:dyDescent="0.3">
      <c r="A13963" s="8">
        <v>2071726</v>
      </c>
      <c r="B13963" s="11">
        <v>44823</v>
      </c>
      <c r="C13963" s="13" t="s">
        <v>14553</v>
      </c>
      <c r="D13963" s="13" t="s">
        <v>14062</v>
      </c>
      <c r="E13963" s="8">
        <v>5000</v>
      </c>
      <c r="F13963" s="13" t="s">
        <v>70</v>
      </c>
      <c r="G13963" s="14">
        <v>44824</v>
      </c>
      <c r="H13963" s="13" t="s">
        <v>163</v>
      </c>
    </row>
    <row r="13964" spans="1:8" ht="14.4" x14ac:dyDescent="0.3">
      <c r="A13964" s="8">
        <v>2071727</v>
      </c>
      <c r="B13964" s="11">
        <v>44823</v>
      </c>
      <c r="C13964" s="13" t="s">
        <v>18141</v>
      </c>
      <c r="D13964" s="13" t="s">
        <v>18142</v>
      </c>
      <c r="E13964" s="8">
        <v>2000</v>
      </c>
      <c r="F13964" s="13" t="s">
        <v>70</v>
      </c>
      <c r="G13964" s="14">
        <v>44824</v>
      </c>
      <c r="H13964" s="13" t="s">
        <v>163</v>
      </c>
    </row>
    <row r="13965" spans="1:8" ht="14.4" x14ac:dyDescent="0.3">
      <c r="A13965" s="8">
        <v>2071728</v>
      </c>
      <c r="B13965" s="11">
        <v>44823</v>
      </c>
      <c r="C13965" s="13" t="s">
        <v>14514</v>
      </c>
      <c r="D13965" s="13" t="s">
        <v>14062</v>
      </c>
      <c r="E13965" s="8">
        <v>2000</v>
      </c>
      <c r="F13965" s="13" t="s">
        <v>70</v>
      </c>
      <c r="G13965" s="14">
        <v>44824</v>
      </c>
      <c r="H13965" s="13" t="s">
        <v>163</v>
      </c>
    </row>
    <row r="13966" spans="1:8" ht="14.4" x14ac:dyDescent="0.3">
      <c r="A13966" s="8">
        <v>2071729</v>
      </c>
      <c r="B13966" s="11">
        <v>44823</v>
      </c>
      <c r="C13966" s="13" t="s">
        <v>18143</v>
      </c>
      <c r="D13966" s="13" t="s">
        <v>14062</v>
      </c>
      <c r="E13966" s="8">
        <v>8000</v>
      </c>
      <c r="F13966" s="13" t="s">
        <v>70</v>
      </c>
      <c r="G13966" s="14">
        <v>44824</v>
      </c>
      <c r="H13966" s="13" t="s">
        <v>163</v>
      </c>
    </row>
    <row r="13967" spans="1:8" ht="14.4" x14ac:dyDescent="0.3">
      <c r="A13967" s="8">
        <v>2071730</v>
      </c>
      <c r="B13967" s="11">
        <v>44823</v>
      </c>
      <c r="C13967" s="13" t="s">
        <v>18144</v>
      </c>
      <c r="D13967" s="13" t="s">
        <v>14062</v>
      </c>
      <c r="E13967" s="8">
        <v>1500</v>
      </c>
      <c r="F13967" s="13" t="s">
        <v>70</v>
      </c>
      <c r="G13967" s="14">
        <v>44824</v>
      </c>
      <c r="H13967" s="13" t="s">
        <v>163</v>
      </c>
    </row>
    <row r="13968" spans="1:8" ht="14.4" x14ac:dyDescent="0.3">
      <c r="A13968" s="8">
        <v>2071731</v>
      </c>
      <c r="B13968" s="11">
        <v>44823</v>
      </c>
      <c r="C13968" s="13" t="s">
        <v>18145</v>
      </c>
      <c r="D13968" s="13" t="s">
        <v>16335</v>
      </c>
      <c r="E13968" s="8">
        <v>2000</v>
      </c>
      <c r="F13968" s="13" t="s">
        <v>70</v>
      </c>
      <c r="G13968" s="14">
        <v>44824</v>
      </c>
      <c r="H13968" s="13" t="s">
        <v>163</v>
      </c>
    </row>
    <row r="13969" spans="1:8" ht="14.4" x14ac:dyDescent="0.3">
      <c r="A13969" s="8">
        <v>2071732</v>
      </c>
      <c r="B13969" s="11">
        <v>44823</v>
      </c>
      <c r="C13969" s="13" t="s">
        <v>18146</v>
      </c>
      <c r="D13969" s="13" t="s">
        <v>18147</v>
      </c>
      <c r="E13969" s="8">
        <v>2000</v>
      </c>
      <c r="F13969" s="13" t="s">
        <v>70</v>
      </c>
      <c r="G13969" s="14">
        <v>44825</v>
      </c>
      <c r="H13969" s="13" t="s">
        <v>163</v>
      </c>
    </row>
    <row r="13970" spans="1:8" ht="14.4" x14ac:dyDescent="0.3">
      <c r="A13970" s="8">
        <v>2071733</v>
      </c>
      <c r="B13970" s="11">
        <v>44823</v>
      </c>
      <c r="C13970" s="13" t="s">
        <v>18148</v>
      </c>
      <c r="D13970" s="13" t="s">
        <v>18149</v>
      </c>
      <c r="E13970" s="8">
        <v>3000</v>
      </c>
      <c r="F13970" s="13" t="s">
        <v>70</v>
      </c>
      <c r="G13970" s="14">
        <v>44825</v>
      </c>
      <c r="H13970" s="13" t="s">
        <v>163</v>
      </c>
    </row>
    <row r="13971" spans="1:8" ht="14.4" x14ac:dyDescent="0.3">
      <c r="A13971" s="8">
        <v>2071734</v>
      </c>
      <c r="B13971" s="11">
        <v>44823</v>
      </c>
      <c r="C13971" s="13" t="s">
        <v>5150</v>
      </c>
      <c r="D13971" s="13" t="s">
        <v>13603</v>
      </c>
      <c r="E13971" s="8">
        <v>30000</v>
      </c>
      <c r="F13971" s="13" t="s">
        <v>70</v>
      </c>
      <c r="G13971" s="14">
        <v>44825</v>
      </c>
      <c r="H13971" s="13" t="s">
        <v>163</v>
      </c>
    </row>
    <row r="13972" spans="1:8" ht="14.4" x14ac:dyDescent="0.3">
      <c r="A13972" s="8">
        <v>2071735</v>
      </c>
      <c r="B13972" s="11">
        <v>44823</v>
      </c>
      <c r="C13972" s="13" t="s">
        <v>18150</v>
      </c>
      <c r="D13972" s="13" t="s">
        <v>13603</v>
      </c>
      <c r="E13972" s="8">
        <v>2000</v>
      </c>
      <c r="F13972" s="13" t="s">
        <v>70</v>
      </c>
      <c r="G13972" s="14">
        <v>44825</v>
      </c>
      <c r="H13972" s="13" t="s">
        <v>163</v>
      </c>
    </row>
    <row r="13973" spans="1:8" ht="14.4" x14ac:dyDescent="0.3">
      <c r="A13973" s="8">
        <v>2071736</v>
      </c>
      <c r="B13973" s="11">
        <v>44823</v>
      </c>
      <c r="C13973" s="13" t="s">
        <v>18151</v>
      </c>
      <c r="D13973" s="13" t="s">
        <v>13603</v>
      </c>
      <c r="E13973" s="8">
        <v>4000</v>
      </c>
      <c r="F13973" s="13" t="s">
        <v>70</v>
      </c>
      <c r="G13973" s="14">
        <v>44824</v>
      </c>
      <c r="H13973" s="13" t="s">
        <v>163</v>
      </c>
    </row>
    <row r="13974" spans="1:8" ht="14.4" x14ac:dyDescent="0.3">
      <c r="A13974" s="8">
        <v>2071737</v>
      </c>
      <c r="B13974" s="11">
        <v>44823</v>
      </c>
      <c r="C13974" s="13" t="s">
        <v>18152</v>
      </c>
      <c r="D13974" s="13" t="s">
        <v>18153</v>
      </c>
      <c r="E13974" s="8">
        <v>1000</v>
      </c>
      <c r="F13974" s="13" t="s">
        <v>70</v>
      </c>
      <c r="G13974" s="14">
        <v>44825</v>
      </c>
      <c r="H13974" s="13" t="s">
        <v>163</v>
      </c>
    </row>
    <row r="13975" spans="1:8" ht="14.4" x14ac:dyDescent="0.3">
      <c r="A13975" s="8">
        <v>2071738</v>
      </c>
      <c r="B13975" s="11">
        <v>44823</v>
      </c>
      <c r="C13975" s="13" t="s">
        <v>7164</v>
      </c>
      <c r="D13975" s="13" t="s">
        <v>18154</v>
      </c>
      <c r="E13975" s="8">
        <v>2000</v>
      </c>
      <c r="F13975" s="13" t="s">
        <v>70</v>
      </c>
      <c r="G13975" s="14">
        <v>44825</v>
      </c>
      <c r="H13975" s="13" t="s">
        <v>163</v>
      </c>
    </row>
    <row r="13976" spans="1:8" ht="14.4" x14ac:dyDescent="0.3">
      <c r="A13976" s="8">
        <v>2071739</v>
      </c>
      <c r="B13976" s="11">
        <v>44823</v>
      </c>
      <c r="C13976" s="13" t="s">
        <v>18155</v>
      </c>
      <c r="D13976" s="13" t="s">
        <v>18156</v>
      </c>
      <c r="E13976" s="8">
        <v>2000</v>
      </c>
      <c r="F13976" s="13" t="s">
        <v>70</v>
      </c>
      <c r="G13976" s="14">
        <v>44824</v>
      </c>
      <c r="H13976" s="13" t="s">
        <v>163</v>
      </c>
    </row>
    <row r="13977" spans="1:8" ht="14.4" x14ac:dyDescent="0.3">
      <c r="A13977" s="8">
        <v>2071741</v>
      </c>
      <c r="B13977" s="11">
        <v>44823</v>
      </c>
      <c r="C13977" s="13" t="s">
        <v>11704</v>
      </c>
      <c r="D13977" s="13" t="s">
        <v>18157</v>
      </c>
      <c r="E13977" s="8">
        <v>16000</v>
      </c>
      <c r="F13977" s="13" t="s">
        <v>70</v>
      </c>
      <c r="G13977" s="14">
        <v>44833</v>
      </c>
      <c r="H13977" s="13" t="s">
        <v>163</v>
      </c>
    </row>
    <row r="13978" spans="1:8" ht="14.4" x14ac:dyDescent="0.3">
      <c r="A13978" s="8">
        <v>2071742</v>
      </c>
      <c r="B13978" s="11">
        <v>44823</v>
      </c>
      <c r="C13978" s="13" t="s">
        <v>11446</v>
      </c>
      <c r="D13978" s="13" t="s">
        <v>18158</v>
      </c>
      <c r="E13978" s="8">
        <v>20000</v>
      </c>
      <c r="F13978" s="13" t="s">
        <v>70</v>
      </c>
      <c r="G13978" s="14">
        <v>44825</v>
      </c>
      <c r="H13978" s="13" t="s">
        <v>163</v>
      </c>
    </row>
    <row r="13979" spans="1:8" ht="14.4" x14ac:dyDescent="0.3">
      <c r="A13979" s="8">
        <v>2071743</v>
      </c>
      <c r="B13979" s="11">
        <v>44823</v>
      </c>
      <c r="C13979" s="13" t="s">
        <v>18159</v>
      </c>
      <c r="D13979" s="13" t="s">
        <v>18160</v>
      </c>
      <c r="E13979" s="8">
        <v>8000</v>
      </c>
      <c r="F13979" s="13" t="s">
        <v>70</v>
      </c>
      <c r="G13979" s="14">
        <v>44825</v>
      </c>
      <c r="H13979" s="13" t="s">
        <v>163</v>
      </c>
    </row>
    <row r="13980" spans="1:8" ht="14.4" x14ac:dyDescent="0.3">
      <c r="A13980" s="8">
        <v>2071744</v>
      </c>
      <c r="B13980" s="11">
        <v>44823</v>
      </c>
      <c r="C13980" s="13" t="s">
        <v>18161</v>
      </c>
      <c r="D13980" s="13" t="s">
        <v>14062</v>
      </c>
      <c r="E13980" s="8">
        <v>2000</v>
      </c>
      <c r="F13980" s="13" t="s">
        <v>70</v>
      </c>
      <c r="G13980" s="14">
        <v>44824</v>
      </c>
      <c r="H13980" s="13" t="s">
        <v>163</v>
      </c>
    </row>
    <row r="13981" spans="1:8" ht="14.4" x14ac:dyDescent="0.3">
      <c r="A13981" s="8">
        <v>2071745</v>
      </c>
      <c r="B13981" s="11">
        <v>44823</v>
      </c>
      <c r="C13981" s="13" t="s">
        <v>18162</v>
      </c>
      <c r="D13981" s="13" t="s">
        <v>18163</v>
      </c>
      <c r="E13981" s="8">
        <v>8000</v>
      </c>
      <c r="F13981" s="13" t="s">
        <v>70</v>
      </c>
      <c r="G13981" s="14">
        <v>44825</v>
      </c>
      <c r="H13981" s="13" t="s">
        <v>163</v>
      </c>
    </row>
    <row r="13982" spans="1:8" ht="14.4" x14ac:dyDescent="0.3">
      <c r="A13982" s="8">
        <v>2071746</v>
      </c>
      <c r="B13982" s="11">
        <v>44823</v>
      </c>
      <c r="C13982" s="13" t="s">
        <v>18164</v>
      </c>
      <c r="D13982" s="13" t="s">
        <v>18165</v>
      </c>
      <c r="E13982" s="8">
        <v>14000</v>
      </c>
      <c r="F13982" s="13" t="s">
        <v>70</v>
      </c>
      <c r="G13982" s="14">
        <v>44824</v>
      </c>
      <c r="H13982" s="13" t="s">
        <v>163</v>
      </c>
    </row>
    <row r="13983" spans="1:8" ht="14.4" x14ac:dyDescent="0.3">
      <c r="A13983" s="8">
        <v>2071747</v>
      </c>
      <c r="B13983" s="11">
        <v>44823</v>
      </c>
      <c r="C13983" s="13" t="s">
        <v>18166</v>
      </c>
      <c r="D13983" s="13" t="s">
        <v>18167</v>
      </c>
      <c r="E13983" s="8">
        <v>12000</v>
      </c>
      <c r="F13983" s="13" t="s">
        <v>70</v>
      </c>
      <c r="G13983" s="14">
        <v>44824</v>
      </c>
      <c r="H13983" s="13" t="s">
        <v>163</v>
      </c>
    </row>
    <row r="13984" spans="1:8" ht="14.4" x14ac:dyDescent="0.3">
      <c r="A13984" s="8">
        <v>2071748</v>
      </c>
      <c r="B13984" s="11">
        <v>44823</v>
      </c>
      <c r="C13984" s="13" t="s">
        <v>18168</v>
      </c>
      <c r="D13984" s="13" t="s">
        <v>13603</v>
      </c>
      <c r="E13984" s="8">
        <v>8000</v>
      </c>
      <c r="F13984" s="13" t="s">
        <v>70</v>
      </c>
      <c r="G13984" s="14">
        <v>44825</v>
      </c>
      <c r="H13984" s="13" t="s">
        <v>163</v>
      </c>
    </row>
    <row r="13985" spans="1:8" ht="14.4" x14ac:dyDescent="0.3">
      <c r="A13985" s="8">
        <v>2071749</v>
      </c>
      <c r="B13985" s="11">
        <v>44823</v>
      </c>
      <c r="C13985" s="13" t="s">
        <v>18169</v>
      </c>
      <c r="D13985" s="13" t="s">
        <v>18170</v>
      </c>
      <c r="E13985" s="8">
        <v>18000</v>
      </c>
      <c r="F13985" s="13" t="s">
        <v>70</v>
      </c>
      <c r="G13985" s="14">
        <v>44824</v>
      </c>
      <c r="H13985" s="13" t="s">
        <v>163</v>
      </c>
    </row>
    <row r="13986" spans="1:8" ht="14.4" x14ac:dyDescent="0.3">
      <c r="A13986" s="8">
        <v>2071750</v>
      </c>
      <c r="B13986" s="11">
        <v>44823</v>
      </c>
      <c r="C13986" s="13" t="s">
        <v>18171</v>
      </c>
      <c r="D13986" s="13" t="s">
        <v>18172</v>
      </c>
      <c r="E13986" s="8">
        <v>8000</v>
      </c>
      <c r="F13986" s="13" t="s">
        <v>70</v>
      </c>
      <c r="G13986" s="14">
        <v>44824</v>
      </c>
      <c r="H13986" s="13" t="s">
        <v>163</v>
      </c>
    </row>
    <row r="13987" spans="1:8" ht="14.4" x14ac:dyDescent="0.3">
      <c r="A13987" s="8">
        <v>2071751</v>
      </c>
      <c r="B13987" s="11">
        <v>44823</v>
      </c>
      <c r="C13987" s="13" t="s">
        <v>18173</v>
      </c>
      <c r="D13987" s="13" t="s">
        <v>18174</v>
      </c>
      <c r="E13987" s="8">
        <v>25000</v>
      </c>
      <c r="F13987" s="13" t="s">
        <v>70</v>
      </c>
      <c r="G13987" s="14">
        <v>44825</v>
      </c>
      <c r="H13987" s="13" t="s">
        <v>163</v>
      </c>
    </row>
    <row r="13988" spans="1:8" ht="14.4" x14ac:dyDescent="0.3">
      <c r="A13988" s="8">
        <v>2071752</v>
      </c>
      <c r="B13988" s="11">
        <v>44823</v>
      </c>
      <c r="C13988" s="13" t="s">
        <v>18175</v>
      </c>
      <c r="D13988" s="13" t="s">
        <v>18176</v>
      </c>
      <c r="E13988" s="8">
        <v>6000</v>
      </c>
      <c r="F13988" s="13" t="s">
        <v>70</v>
      </c>
      <c r="G13988" s="14">
        <v>44824</v>
      </c>
      <c r="H13988" s="13" t="s">
        <v>163</v>
      </c>
    </row>
    <row r="13989" spans="1:8" ht="14.4" x14ac:dyDescent="0.3">
      <c r="A13989" s="8">
        <v>2071753</v>
      </c>
      <c r="B13989" s="11">
        <v>44823</v>
      </c>
      <c r="C13989" s="13" t="s">
        <v>18177</v>
      </c>
      <c r="D13989" s="13" t="s">
        <v>18178</v>
      </c>
      <c r="E13989" s="8">
        <v>6000</v>
      </c>
      <c r="F13989" s="13" t="s">
        <v>70</v>
      </c>
      <c r="G13989" s="14">
        <v>44825</v>
      </c>
      <c r="H13989" s="13" t="s">
        <v>163</v>
      </c>
    </row>
    <row r="13990" spans="1:8" ht="14.4" x14ac:dyDescent="0.3">
      <c r="A13990" s="8">
        <v>2071754</v>
      </c>
      <c r="B13990" s="11">
        <v>44823</v>
      </c>
      <c r="C13990" s="13" t="s">
        <v>11698</v>
      </c>
      <c r="D13990" s="13" t="s">
        <v>18179</v>
      </c>
      <c r="E13990" s="8">
        <v>32000</v>
      </c>
      <c r="F13990" s="13" t="s">
        <v>70</v>
      </c>
      <c r="G13990" s="14">
        <v>44824</v>
      </c>
      <c r="H13990" s="13" t="s">
        <v>163</v>
      </c>
    </row>
    <row r="13991" spans="1:8" ht="14.4" x14ac:dyDescent="0.3">
      <c r="A13991" s="8">
        <v>2071755</v>
      </c>
      <c r="B13991" s="11">
        <v>44823</v>
      </c>
      <c r="C13991" s="13" t="s">
        <v>18180</v>
      </c>
      <c r="D13991" s="13" t="s">
        <v>18181</v>
      </c>
      <c r="E13991" s="8">
        <v>40000</v>
      </c>
      <c r="F13991" s="13" t="s">
        <v>70</v>
      </c>
      <c r="G13991" s="14">
        <v>44825</v>
      </c>
      <c r="H13991" s="13" t="s">
        <v>163</v>
      </c>
    </row>
    <row r="13992" spans="1:8" ht="14.4" x14ac:dyDescent="0.3">
      <c r="A13992" s="8">
        <v>2071756</v>
      </c>
      <c r="B13992" s="11">
        <v>44823</v>
      </c>
      <c r="C13992" s="13" t="s">
        <v>1847</v>
      </c>
      <c r="D13992" s="13" t="s">
        <v>18182</v>
      </c>
      <c r="E13992" s="8">
        <v>8000</v>
      </c>
      <c r="F13992" s="13" t="s">
        <v>70</v>
      </c>
      <c r="G13992" s="14">
        <v>44825</v>
      </c>
      <c r="H13992" s="13" t="s">
        <v>163</v>
      </c>
    </row>
    <row r="13993" spans="1:8" ht="14.4" x14ac:dyDescent="0.3">
      <c r="A13993" s="8">
        <v>2071757</v>
      </c>
      <c r="B13993" s="11">
        <v>44823</v>
      </c>
      <c r="C13993" s="13" t="s">
        <v>14555</v>
      </c>
      <c r="D13993" s="13" t="s">
        <v>18183</v>
      </c>
      <c r="E13993" s="8">
        <v>2000</v>
      </c>
      <c r="F13993" s="13" t="s">
        <v>70</v>
      </c>
      <c r="G13993" s="14">
        <v>44824</v>
      </c>
      <c r="H13993" s="13" t="s">
        <v>163</v>
      </c>
    </row>
    <row r="13994" spans="1:8" ht="14.4" x14ac:dyDescent="0.3">
      <c r="A13994" s="8">
        <v>2071758</v>
      </c>
      <c r="B13994" s="11">
        <v>44823</v>
      </c>
      <c r="C13994" s="13" t="s">
        <v>11817</v>
      </c>
      <c r="D13994" s="13" t="s">
        <v>18184</v>
      </c>
      <c r="E13994" s="8">
        <v>12000</v>
      </c>
      <c r="F13994" s="13" t="s">
        <v>70</v>
      </c>
      <c r="G13994" s="14">
        <v>44825</v>
      </c>
      <c r="H13994" s="13" t="s">
        <v>163</v>
      </c>
    </row>
    <row r="13995" spans="1:8" ht="14.4" x14ac:dyDescent="0.3">
      <c r="A13995" s="8">
        <v>2071759</v>
      </c>
      <c r="B13995" s="11">
        <v>44823</v>
      </c>
      <c r="C13995" s="13" t="s">
        <v>18185</v>
      </c>
      <c r="D13995" s="13" t="s">
        <v>18186</v>
      </c>
      <c r="E13995" s="8">
        <v>2000</v>
      </c>
      <c r="F13995" s="13" t="s">
        <v>70</v>
      </c>
      <c r="G13995" s="14">
        <v>44825</v>
      </c>
      <c r="H13995" s="13" t="s">
        <v>163</v>
      </c>
    </row>
    <row r="13996" spans="1:8" ht="14.4" x14ac:dyDescent="0.3">
      <c r="A13996" s="8">
        <v>2071760</v>
      </c>
      <c r="B13996" s="11">
        <v>44823</v>
      </c>
      <c r="C13996" s="13" t="s">
        <v>18187</v>
      </c>
      <c r="D13996" s="13" t="s">
        <v>18188</v>
      </c>
      <c r="E13996" s="8">
        <v>5000</v>
      </c>
      <c r="F13996" s="13" t="s">
        <v>70</v>
      </c>
      <c r="G13996" s="14">
        <v>44825</v>
      </c>
      <c r="H13996" s="13" t="s">
        <v>163</v>
      </c>
    </row>
    <row r="13997" spans="1:8" ht="14.4" x14ac:dyDescent="0.3">
      <c r="A13997" s="8">
        <v>2071761</v>
      </c>
      <c r="B13997" s="11">
        <v>44823</v>
      </c>
      <c r="C13997" s="13" t="s">
        <v>18189</v>
      </c>
      <c r="D13997" s="13" t="s">
        <v>18190</v>
      </c>
      <c r="E13997" s="8">
        <v>4000</v>
      </c>
      <c r="F13997" s="13" t="s">
        <v>70</v>
      </c>
      <c r="G13997" s="14">
        <v>44825</v>
      </c>
      <c r="H13997" s="13" t="s">
        <v>163</v>
      </c>
    </row>
    <row r="13998" spans="1:8" ht="14.4" x14ac:dyDescent="0.3">
      <c r="A13998" s="8">
        <v>2071762</v>
      </c>
      <c r="B13998" s="11">
        <v>44823</v>
      </c>
      <c r="C13998" s="13" t="s">
        <v>18191</v>
      </c>
      <c r="D13998" s="13" t="s">
        <v>18192</v>
      </c>
      <c r="E13998" s="8">
        <v>4000</v>
      </c>
      <c r="F13998" s="13" t="s">
        <v>70</v>
      </c>
      <c r="G13998" s="14">
        <v>44827</v>
      </c>
      <c r="H13998" s="13" t="s">
        <v>163</v>
      </c>
    </row>
    <row r="13999" spans="1:8" ht="14.4" x14ac:dyDescent="0.3">
      <c r="A13999" s="8">
        <v>2071763</v>
      </c>
      <c r="B13999" s="11">
        <v>44823</v>
      </c>
      <c r="C13999" s="13" t="s">
        <v>18193</v>
      </c>
      <c r="D13999" s="13" t="s">
        <v>18194</v>
      </c>
      <c r="E13999" s="8">
        <v>2000</v>
      </c>
      <c r="F13999" s="13" t="s">
        <v>70</v>
      </c>
      <c r="G13999" s="14">
        <v>44825</v>
      </c>
      <c r="H13999" s="13" t="s">
        <v>163</v>
      </c>
    </row>
    <row r="14000" spans="1:8" ht="14.4" x14ac:dyDescent="0.3">
      <c r="A14000" s="8">
        <v>2071764</v>
      </c>
      <c r="B14000" s="11">
        <v>44823</v>
      </c>
      <c r="C14000" s="13" t="s">
        <v>18195</v>
      </c>
      <c r="D14000" s="13" t="s">
        <v>18196</v>
      </c>
      <c r="E14000" s="8">
        <v>8000</v>
      </c>
      <c r="F14000" s="13" t="s">
        <v>70</v>
      </c>
      <c r="G14000" s="14">
        <v>44825</v>
      </c>
      <c r="H14000" s="13" t="s">
        <v>163</v>
      </c>
    </row>
    <row r="14001" spans="1:8" ht="14.4" x14ac:dyDescent="0.3">
      <c r="A14001" s="8">
        <v>2071765</v>
      </c>
      <c r="B14001" s="11">
        <v>44823</v>
      </c>
      <c r="C14001" s="13" t="s">
        <v>12135</v>
      </c>
      <c r="D14001" s="13" t="s">
        <v>18197</v>
      </c>
      <c r="E14001" s="8">
        <v>6000</v>
      </c>
      <c r="F14001" s="13" t="s">
        <v>70</v>
      </c>
      <c r="G14001" s="14">
        <v>44826</v>
      </c>
      <c r="H14001" s="13" t="s">
        <v>163</v>
      </c>
    </row>
    <row r="14002" spans="1:8" ht="14.4" x14ac:dyDescent="0.3">
      <c r="A14002" s="8">
        <v>2071766</v>
      </c>
      <c r="B14002" s="11">
        <v>44823</v>
      </c>
      <c r="C14002" s="13" t="s">
        <v>18198</v>
      </c>
      <c r="D14002" s="13" t="s">
        <v>18199</v>
      </c>
      <c r="E14002" s="8">
        <v>6000</v>
      </c>
      <c r="F14002" s="13" t="s">
        <v>70</v>
      </c>
      <c r="G14002" s="14">
        <v>44825</v>
      </c>
      <c r="H14002" s="13" t="s">
        <v>163</v>
      </c>
    </row>
    <row r="14003" spans="1:8" ht="14.4" x14ac:dyDescent="0.3">
      <c r="A14003" s="8">
        <v>2071767</v>
      </c>
      <c r="B14003" s="11">
        <v>44823</v>
      </c>
      <c r="C14003" s="13" t="s">
        <v>14466</v>
      </c>
      <c r="D14003" s="13" t="s">
        <v>18081</v>
      </c>
      <c r="E14003" s="8">
        <v>30000</v>
      </c>
      <c r="F14003" s="13" t="s">
        <v>70</v>
      </c>
      <c r="G14003" s="14">
        <v>44824</v>
      </c>
      <c r="H14003" s="13" t="s">
        <v>163</v>
      </c>
    </row>
    <row r="14004" spans="1:8" ht="14.4" x14ac:dyDescent="0.3">
      <c r="A14004" s="8">
        <v>2071768</v>
      </c>
      <c r="B14004" s="11">
        <v>44823</v>
      </c>
      <c r="C14004" s="13" t="s">
        <v>18200</v>
      </c>
      <c r="D14004" s="13" t="s">
        <v>18201</v>
      </c>
      <c r="E14004" s="8">
        <v>8000</v>
      </c>
      <c r="F14004" s="13" t="s">
        <v>70</v>
      </c>
      <c r="G14004" s="14">
        <v>44826</v>
      </c>
      <c r="H14004" s="13" t="s">
        <v>163</v>
      </c>
    </row>
    <row r="14005" spans="1:8" ht="14.4" x14ac:dyDescent="0.3">
      <c r="A14005" s="8">
        <v>2071769</v>
      </c>
      <c r="B14005" s="11">
        <v>44823</v>
      </c>
      <c r="C14005" s="13" t="s">
        <v>18202</v>
      </c>
      <c r="D14005" s="13" t="s">
        <v>18203</v>
      </c>
      <c r="E14005" s="8">
        <v>40000</v>
      </c>
      <c r="F14005" s="13" t="s">
        <v>70</v>
      </c>
      <c r="G14005" s="14">
        <v>44837</v>
      </c>
      <c r="H14005" s="13" t="s">
        <v>163</v>
      </c>
    </row>
    <row r="14006" spans="1:8" ht="14.4" x14ac:dyDescent="0.3">
      <c r="A14006" s="8">
        <v>2071770</v>
      </c>
      <c r="B14006" s="11">
        <v>44823</v>
      </c>
      <c r="C14006" s="13" t="s">
        <v>11769</v>
      </c>
      <c r="D14006" s="13" t="s">
        <v>18204</v>
      </c>
      <c r="E14006" s="8">
        <v>40000</v>
      </c>
      <c r="F14006" s="13" t="s">
        <v>70</v>
      </c>
      <c r="G14006" s="14">
        <v>44826</v>
      </c>
      <c r="H14006" s="13" t="s">
        <v>163</v>
      </c>
    </row>
    <row r="14007" spans="1:8" ht="14.4" x14ac:dyDescent="0.3">
      <c r="A14007" s="8">
        <v>2071771</v>
      </c>
      <c r="B14007" s="11">
        <v>44823</v>
      </c>
      <c r="C14007" s="13" t="s">
        <v>669</v>
      </c>
      <c r="D14007" s="13" t="s">
        <v>18205</v>
      </c>
      <c r="E14007" s="8">
        <v>23782.6</v>
      </c>
      <c r="F14007" s="13" t="s">
        <v>70</v>
      </c>
      <c r="G14007" s="14">
        <v>44838</v>
      </c>
      <c r="H14007" s="13" t="s">
        <v>163</v>
      </c>
    </row>
    <row r="14008" spans="1:8" ht="14.4" x14ac:dyDescent="0.3">
      <c r="A14008" s="8">
        <v>2071772</v>
      </c>
      <c r="B14008" s="11">
        <v>44823</v>
      </c>
      <c r="C14008" s="13" t="s">
        <v>18206</v>
      </c>
      <c r="D14008" s="13" t="s">
        <v>18207</v>
      </c>
      <c r="E14008" s="8">
        <v>1000</v>
      </c>
      <c r="F14008" s="13" t="s">
        <v>70</v>
      </c>
      <c r="G14008" s="14">
        <v>44825</v>
      </c>
      <c r="H14008" s="13" t="s">
        <v>163</v>
      </c>
    </row>
    <row r="14009" spans="1:8" ht="14.4" x14ac:dyDescent="0.3">
      <c r="A14009" s="8">
        <v>2071773</v>
      </c>
      <c r="B14009" s="11">
        <v>44823</v>
      </c>
      <c r="C14009" s="13" t="s">
        <v>18208</v>
      </c>
      <c r="D14009" s="13" t="s">
        <v>18209</v>
      </c>
      <c r="E14009" s="8">
        <v>6000</v>
      </c>
      <c r="F14009" s="13" t="s">
        <v>70</v>
      </c>
      <c r="G14009" s="14">
        <v>44834</v>
      </c>
      <c r="H14009" s="13" t="s">
        <v>163</v>
      </c>
    </row>
    <row r="14010" spans="1:8" ht="14.4" x14ac:dyDescent="0.3">
      <c r="A14010" s="8">
        <v>2071774</v>
      </c>
      <c r="B14010" s="11">
        <v>44823</v>
      </c>
      <c r="C14010" s="13" t="s">
        <v>18210</v>
      </c>
      <c r="D14010" s="13" t="s">
        <v>18211</v>
      </c>
      <c r="E14010" s="8">
        <v>2000</v>
      </c>
      <c r="F14010" s="13" t="s">
        <v>70</v>
      </c>
      <c r="G14010" s="14">
        <v>44825</v>
      </c>
      <c r="H14010" s="13" t="s">
        <v>163</v>
      </c>
    </row>
    <row r="14011" spans="1:8" ht="14.4" x14ac:dyDescent="0.3">
      <c r="A14011" s="8">
        <v>2071775</v>
      </c>
      <c r="B14011" s="11">
        <v>44823</v>
      </c>
      <c r="C14011" s="13" t="s">
        <v>18212</v>
      </c>
      <c r="D14011" s="13" t="s">
        <v>18213</v>
      </c>
      <c r="E14011" s="8">
        <v>2000</v>
      </c>
      <c r="F14011" s="13" t="s">
        <v>70</v>
      </c>
      <c r="G14011" s="14">
        <v>44825</v>
      </c>
      <c r="H14011" s="13" t="s">
        <v>163</v>
      </c>
    </row>
    <row r="14012" spans="1:8" ht="14.4" x14ac:dyDescent="0.3">
      <c r="A14012" s="8">
        <v>2071776</v>
      </c>
      <c r="B14012" s="11">
        <v>44823</v>
      </c>
      <c r="C14012" s="13" t="s">
        <v>18214</v>
      </c>
      <c r="D14012" s="13"/>
      <c r="E14012" s="8">
        <v>3000</v>
      </c>
      <c r="F14012" s="13" t="s">
        <v>70</v>
      </c>
      <c r="G14012" s="14">
        <v>44839</v>
      </c>
      <c r="H14012" s="13" t="s">
        <v>163</v>
      </c>
    </row>
    <row r="14013" spans="1:8" ht="14.4" x14ac:dyDescent="0.3">
      <c r="A14013" s="8">
        <v>2071777</v>
      </c>
      <c r="B14013" s="11">
        <v>44823</v>
      </c>
      <c r="C14013" s="13" t="s">
        <v>18215</v>
      </c>
      <c r="D14013" s="13"/>
      <c r="E14013" s="8">
        <v>2000</v>
      </c>
      <c r="F14013" s="13" t="s">
        <v>70</v>
      </c>
      <c r="G14013" s="14">
        <v>44825</v>
      </c>
      <c r="H14013" s="13" t="s">
        <v>163</v>
      </c>
    </row>
    <row r="14014" spans="1:8" ht="14.4" x14ac:dyDescent="0.3">
      <c r="A14014" s="8">
        <v>2071778</v>
      </c>
      <c r="B14014" s="11">
        <v>44823</v>
      </c>
      <c r="C14014" s="13" t="s">
        <v>18216</v>
      </c>
      <c r="D14014" s="13"/>
      <c r="E14014" s="8">
        <v>2000</v>
      </c>
      <c r="F14014" s="13" t="s">
        <v>70</v>
      </c>
      <c r="G14014" s="14">
        <v>44831</v>
      </c>
      <c r="H14014" s="13" t="s">
        <v>163</v>
      </c>
    </row>
    <row r="14015" spans="1:8" ht="14.4" x14ac:dyDescent="0.3">
      <c r="A14015" s="8">
        <v>2071779</v>
      </c>
      <c r="B14015" s="11">
        <v>44823</v>
      </c>
      <c r="C14015" s="13" t="s">
        <v>18217</v>
      </c>
      <c r="D14015" s="13"/>
      <c r="E14015" s="8">
        <v>4000</v>
      </c>
      <c r="F14015" s="13" t="s">
        <v>70</v>
      </c>
      <c r="G14015" s="14">
        <v>44826</v>
      </c>
      <c r="H14015" s="13" t="s">
        <v>163</v>
      </c>
    </row>
    <row r="14016" spans="1:8" ht="14.4" x14ac:dyDescent="0.3">
      <c r="A14016" s="8">
        <v>2071780</v>
      </c>
      <c r="B14016" s="11">
        <v>44823</v>
      </c>
      <c r="C14016" s="13" t="s">
        <v>12552</v>
      </c>
      <c r="D14016" s="13" t="s">
        <v>18218</v>
      </c>
      <c r="E14016" s="8">
        <v>10000</v>
      </c>
      <c r="F14016" s="13" t="s">
        <v>70</v>
      </c>
      <c r="G14016" s="14">
        <v>44826</v>
      </c>
      <c r="H14016" s="13" t="s">
        <v>163</v>
      </c>
    </row>
    <row r="14017" spans="1:8" ht="14.4" x14ac:dyDescent="0.3">
      <c r="A14017" s="8">
        <v>2071781</v>
      </c>
      <c r="B14017" s="11">
        <v>44823</v>
      </c>
      <c r="C14017" s="13" t="s">
        <v>14635</v>
      </c>
      <c r="D14017" s="13" t="s">
        <v>18219</v>
      </c>
      <c r="E14017" s="8">
        <v>2000</v>
      </c>
      <c r="F14017" s="13" t="s">
        <v>70</v>
      </c>
      <c r="G14017" s="14">
        <v>44825</v>
      </c>
      <c r="H14017" s="13" t="s">
        <v>163</v>
      </c>
    </row>
    <row r="14018" spans="1:8" ht="14.4" x14ac:dyDescent="0.3">
      <c r="A14018" s="8">
        <v>2071782</v>
      </c>
      <c r="B14018" s="11">
        <v>44823</v>
      </c>
      <c r="C14018" s="13" t="s">
        <v>18220</v>
      </c>
      <c r="D14018" s="13" t="s">
        <v>16335</v>
      </c>
      <c r="E14018" s="8">
        <v>10000</v>
      </c>
      <c r="F14018" s="13" t="s">
        <v>70</v>
      </c>
      <c r="G14018" s="14">
        <v>44833</v>
      </c>
      <c r="H14018" s="13" t="s">
        <v>163</v>
      </c>
    </row>
    <row r="14019" spans="1:8" ht="14.4" x14ac:dyDescent="0.3">
      <c r="A14019" s="8">
        <v>2071783</v>
      </c>
      <c r="B14019" s="11">
        <v>44823</v>
      </c>
      <c r="C14019" s="13" t="s">
        <v>18221</v>
      </c>
      <c r="D14019" s="13" t="s">
        <v>18222</v>
      </c>
      <c r="E14019" s="8">
        <v>2000</v>
      </c>
      <c r="F14019" s="13" t="s">
        <v>70</v>
      </c>
      <c r="G14019" s="14">
        <v>44833</v>
      </c>
      <c r="H14019" s="13" t="s">
        <v>163</v>
      </c>
    </row>
    <row r="14020" spans="1:8" ht="14.4" x14ac:dyDescent="0.3">
      <c r="A14020" s="8">
        <v>2071784</v>
      </c>
      <c r="B14020" s="11">
        <v>44823</v>
      </c>
      <c r="C14020" s="13" t="s">
        <v>18223</v>
      </c>
      <c r="D14020" s="13" t="s">
        <v>18224</v>
      </c>
      <c r="E14020" s="8">
        <v>2000</v>
      </c>
      <c r="F14020" s="13" t="s">
        <v>70</v>
      </c>
      <c r="G14020" s="14">
        <v>44825</v>
      </c>
      <c r="H14020" s="13" t="s">
        <v>163</v>
      </c>
    </row>
    <row r="14021" spans="1:8" ht="14.4" x14ac:dyDescent="0.3">
      <c r="A14021" s="8">
        <v>2071785</v>
      </c>
      <c r="B14021" s="11">
        <v>44823</v>
      </c>
      <c r="C14021" s="13" t="s">
        <v>11628</v>
      </c>
      <c r="D14021" s="13" t="s">
        <v>18225</v>
      </c>
      <c r="E14021" s="8">
        <v>50000</v>
      </c>
      <c r="F14021" s="13" t="s">
        <v>70</v>
      </c>
      <c r="G14021" s="14">
        <v>44834</v>
      </c>
      <c r="H14021" s="13" t="s">
        <v>163</v>
      </c>
    </row>
    <row r="14022" spans="1:8" ht="14.4" x14ac:dyDescent="0.3">
      <c r="A14022" s="8">
        <v>2071786</v>
      </c>
      <c r="B14022" s="11">
        <v>44823</v>
      </c>
      <c r="C14022" s="13" t="s">
        <v>18226</v>
      </c>
      <c r="D14022" s="13"/>
      <c r="E14022" s="8">
        <v>4000</v>
      </c>
      <c r="F14022" s="13" t="s">
        <v>70</v>
      </c>
      <c r="G14022" s="14">
        <v>44825</v>
      </c>
      <c r="H14022" s="13" t="s">
        <v>163</v>
      </c>
    </row>
    <row r="14023" spans="1:8" ht="14.4" x14ac:dyDescent="0.3">
      <c r="A14023" s="8">
        <v>2071787</v>
      </c>
      <c r="B14023" s="11">
        <v>44823</v>
      </c>
      <c r="C14023" s="13" t="s">
        <v>18227</v>
      </c>
      <c r="D14023" s="13" t="s">
        <v>18228</v>
      </c>
      <c r="E14023" s="8">
        <v>8000</v>
      </c>
      <c r="F14023" s="13" t="s">
        <v>70</v>
      </c>
      <c r="G14023" s="14">
        <v>44826</v>
      </c>
      <c r="H14023" s="13" t="s">
        <v>163</v>
      </c>
    </row>
    <row r="14024" spans="1:8" ht="14.4" x14ac:dyDescent="0.3">
      <c r="A14024" s="8">
        <v>2071788</v>
      </c>
      <c r="B14024" s="11">
        <v>44823</v>
      </c>
      <c r="C14024" s="13" t="s">
        <v>18229</v>
      </c>
      <c r="D14024" s="13" t="s">
        <v>18230</v>
      </c>
      <c r="E14024" s="8">
        <v>8000</v>
      </c>
      <c r="F14024" s="13" t="s">
        <v>70</v>
      </c>
      <c r="G14024" s="14">
        <v>44825</v>
      </c>
      <c r="H14024" s="13" t="s">
        <v>163</v>
      </c>
    </row>
    <row r="14025" spans="1:8" ht="14.4" x14ac:dyDescent="0.3">
      <c r="A14025" s="8">
        <v>2071789</v>
      </c>
      <c r="B14025" s="11">
        <v>44823</v>
      </c>
      <c r="C14025" s="13" t="s">
        <v>11604</v>
      </c>
      <c r="D14025" s="13" t="s">
        <v>18231</v>
      </c>
      <c r="E14025" s="8">
        <v>16000</v>
      </c>
      <c r="F14025" s="13" t="s">
        <v>70</v>
      </c>
      <c r="G14025" s="14">
        <v>44825</v>
      </c>
      <c r="H14025" s="13" t="s">
        <v>163</v>
      </c>
    </row>
    <row r="14026" spans="1:8" ht="14.4" x14ac:dyDescent="0.3">
      <c r="A14026" s="8">
        <v>2071790</v>
      </c>
      <c r="B14026" s="11">
        <v>44823</v>
      </c>
      <c r="C14026" s="13" t="s">
        <v>18232</v>
      </c>
      <c r="D14026" s="13" t="s">
        <v>18233</v>
      </c>
      <c r="E14026" s="8">
        <v>6000</v>
      </c>
      <c r="F14026" s="13" t="s">
        <v>70</v>
      </c>
      <c r="G14026" s="14">
        <v>44839</v>
      </c>
      <c r="H14026" s="13" t="s">
        <v>163</v>
      </c>
    </row>
    <row r="14027" spans="1:8" ht="14.4" x14ac:dyDescent="0.3">
      <c r="A14027" s="8">
        <v>2071791</v>
      </c>
      <c r="B14027" s="11">
        <v>44823</v>
      </c>
      <c r="C14027" s="13" t="s">
        <v>18234</v>
      </c>
      <c r="D14027" s="13" t="s">
        <v>18235</v>
      </c>
      <c r="E14027" s="8">
        <v>2000</v>
      </c>
      <c r="F14027" s="13" t="s">
        <v>70</v>
      </c>
      <c r="G14027" s="14">
        <v>44825</v>
      </c>
      <c r="H14027" s="13" t="s">
        <v>163</v>
      </c>
    </row>
    <row r="14028" spans="1:8" ht="14.4" x14ac:dyDescent="0.3">
      <c r="A14028" s="8">
        <v>2071792</v>
      </c>
      <c r="B14028" s="11">
        <v>44823</v>
      </c>
      <c r="C14028" s="13" t="s">
        <v>14307</v>
      </c>
      <c r="D14028" s="13" t="s">
        <v>16335</v>
      </c>
      <c r="E14028" s="8">
        <v>2000</v>
      </c>
      <c r="F14028" s="13" t="s">
        <v>70</v>
      </c>
      <c r="G14028" s="14">
        <v>44827</v>
      </c>
      <c r="H14028" s="13" t="s">
        <v>163</v>
      </c>
    </row>
    <row r="14029" spans="1:8" ht="14.4" x14ac:dyDescent="0.3">
      <c r="A14029" s="8">
        <v>2071793</v>
      </c>
      <c r="B14029" s="11">
        <v>44823</v>
      </c>
      <c r="C14029" s="13" t="s">
        <v>13305</v>
      </c>
      <c r="D14029" s="13" t="s">
        <v>18236</v>
      </c>
      <c r="E14029" s="8">
        <v>10000</v>
      </c>
      <c r="F14029" s="13" t="s">
        <v>70</v>
      </c>
      <c r="G14029" s="14">
        <v>44825</v>
      </c>
      <c r="H14029" s="13" t="s">
        <v>163</v>
      </c>
    </row>
    <row r="14030" spans="1:8" ht="14.4" x14ac:dyDescent="0.3">
      <c r="A14030" s="8">
        <v>2071794</v>
      </c>
      <c r="B14030" s="11">
        <v>44823</v>
      </c>
      <c r="C14030" s="13" t="s">
        <v>18237</v>
      </c>
      <c r="D14030" s="13" t="s">
        <v>18238</v>
      </c>
      <c r="E14030" s="8">
        <v>8000</v>
      </c>
      <c r="F14030" s="13" t="s">
        <v>70</v>
      </c>
      <c r="G14030" s="14">
        <v>44825</v>
      </c>
      <c r="H14030" s="13" t="s">
        <v>163</v>
      </c>
    </row>
    <row r="14031" spans="1:8" ht="14.4" x14ac:dyDescent="0.3">
      <c r="A14031" s="8">
        <v>2071795</v>
      </c>
      <c r="B14031" s="11">
        <v>44823</v>
      </c>
      <c r="C14031" s="13" t="s">
        <v>14280</v>
      </c>
      <c r="D14031" s="13" t="s">
        <v>18239</v>
      </c>
      <c r="E14031" s="8">
        <v>2000</v>
      </c>
      <c r="F14031" s="13" t="s">
        <v>70</v>
      </c>
      <c r="G14031" s="14">
        <v>44825</v>
      </c>
      <c r="H14031" s="13" t="s">
        <v>163</v>
      </c>
    </row>
    <row r="14032" spans="1:8" ht="14.4" x14ac:dyDescent="0.3">
      <c r="A14032" s="8">
        <v>2071796</v>
      </c>
      <c r="B14032" s="11">
        <v>44823</v>
      </c>
      <c r="C14032" s="13" t="s">
        <v>18240</v>
      </c>
      <c r="D14032" s="13" t="s">
        <v>18241</v>
      </c>
      <c r="E14032" s="8">
        <v>4000</v>
      </c>
      <c r="F14032" s="13" t="s">
        <v>70</v>
      </c>
      <c r="G14032" s="14">
        <v>44826</v>
      </c>
      <c r="H14032" s="13" t="s">
        <v>163</v>
      </c>
    </row>
    <row r="14033" spans="1:8" ht="14.4" x14ac:dyDescent="0.3">
      <c r="A14033" s="8">
        <v>2071797</v>
      </c>
      <c r="B14033" s="11">
        <v>44823</v>
      </c>
      <c r="C14033" s="13" t="s">
        <v>14374</v>
      </c>
      <c r="D14033" s="13" t="s">
        <v>18242</v>
      </c>
      <c r="E14033" s="8">
        <v>2000</v>
      </c>
      <c r="F14033" s="13" t="s">
        <v>70</v>
      </c>
      <c r="G14033" s="14">
        <v>44825</v>
      </c>
      <c r="H14033" s="13" t="s">
        <v>163</v>
      </c>
    </row>
    <row r="14034" spans="1:8" ht="14.4" x14ac:dyDescent="0.3">
      <c r="A14034" s="8">
        <v>2071798</v>
      </c>
      <c r="B14034" s="11">
        <v>44823</v>
      </c>
      <c r="C14034" s="13" t="s">
        <v>12330</v>
      </c>
      <c r="D14034" s="13" t="s">
        <v>18243</v>
      </c>
      <c r="E14034" s="8">
        <v>10000</v>
      </c>
      <c r="F14034" s="13" t="s">
        <v>70</v>
      </c>
      <c r="G14034" s="14">
        <v>44825</v>
      </c>
      <c r="H14034" s="13" t="s">
        <v>163</v>
      </c>
    </row>
    <row r="14035" spans="1:8" ht="14.4" x14ac:dyDescent="0.3">
      <c r="A14035" s="8">
        <v>2071799</v>
      </c>
      <c r="B14035" s="11">
        <v>44823</v>
      </c>
      <c r="C14035" s="13" t="s">
        <v>18244</v>
      </c>
      <c r="D14035" s="13" t="s">
        <v>18245</v>
      </c>
      <c r="E14035" s="8">
        <v>6000</v>
      </c>
      <c r="F14035" s="13" t="s">
        <v>70</v>
      </c>
      <c r="G14035" s="14">
        <v>44825</v>
      </c>
      <c r="H14035" s="13" t="s">
        <v>163</v>
      </c>
    </row>
    <row r="14036" spans="1:8" ht="14.4" x14ac:dyDescent="0.3">
      <c r="A14036" s="8">
        <v>2071800</v>
      </c>
      <c r="B14036" s="11">
        <v>44823</v>
      </c>
      <c r="C14036" s="13" t="s">
        <v>18229</v>
      </c>
      <c r="D14036" s="13" t="s">
        <v>18246</v>
      </c>
      <c r="E14036" s="8">
        <v>6000</v>
      </c>
      <c r="F14036" s="13" t="s">
        <v>70</v>
      </c>
      <c r="G14036" s="14">
        <v>44825</v>
      </c>
      <c r="H14036" s="13" t="s">
        <v>163</v>
      </c>
    </row>
    <row r="14037" spans="1:8" ht="14.4" x14ac:dyDescent="0.3">
      <c r="A14037" s="8">
        <v>2071801</v>
      </c>
      <c r="B14037" s="11">
        <v>44823</v>
      </c>
      <c r="C14037" s="13" t="s">
        <v>18247</v>
      </c>
      <c r="D14037" s="13" t="s">
        <v>18248</v>
      </c>
      <c r="E14037" s="8">
        <v>6000</v>
      </c>
      <c r="F14037" s="13" t="s">
        <v>70</v>
      </c>
      <c r="G14037" s="14">
        <v>44825</v>
      </c>
      <c r="H14037" s="13" t="s">
        <v>163</v>
      </c>
    </row>
    <row r="14038" spans="1:8" ht="14.4" x14ac:dyDescent="0.3">
      <c r="A14038" s="8">
        <v>2071802</v>
      </c>
      <c r="B14038" s="11">
        <v>44823</v>
      </c>
      <c r="C14038" s="13" t="s">
        <v>581</v>
      </c>
      <c r="D14038" s="13" t="s">
        <v>18249</v>
      </c>
      <c r="E14038" s="8">
        <v>6000</v>
      </c>
      <c r="F14038" s="13" t="s">
        <v>70</v>
      </c>
      <c r="G14038" s="14">
        <v>44827</v>
      </c>
      <c r="H14038" s="13" t="s">
        <v>163</v>
      </c>
    </row>
    <row r="14039" spans="1:8" ht="14.4" x14ac:dyDescent="0.3">
      <c r="A14039" s="8">
        <v>2071803</v>
      </c>
      <c r="B14039" s="11">
        <v>44823</v>
      </c>
      <c r="C14039" s="13" t="s">
        <v>18250</v>
      </c>
      <c r="D14039" s="13" t="s">
        <v>18251</v>
      </c>
      <c r="E14039" s="8">
        <v>10000</v>
      </c>
      <c r="F14039" s="13" t="s">
        <v>70</v>
      </c>
      <c r="G14039" s="14">
        <v>44834</v>
      </c>
      <c r="H14039" s="13" t="s">
        <v>163</v>
      </c>
    </row>
    <row r="14040" spans="1:8" ht="14.4" x14ac:dyDescent="0.3">
      <c r="A14040" s="8">
        <v>2071804</v>
      </c>
      <c r="B14040" s="11">
        <v>44823</v>
      </c>
      <c r="C14040" s="13" t="s">
        <v>12135</v>
      </c>
      <c r="D14040" s="13" t="s">
        <v>18252</v>
      </c>
      <c r="E14040" s="8">
        <v>8000</v>
      </c>
      <c r="F14040" s="13" t="s">
        <v>70</v>
      </c>
      <c r="G14040" s="14">
        <v>44826</v>
      </c>
      <c r="H14040" s="13" t="s">
        <v>163</v>
      </c>
    </row>
    <row r="14041" spans="1:8" ht="14.4" x14ac:dyDescent="0.3">
      <c r="A14041" s="8">
        <v>2071805</v>
      </c>
      <c r="B14041" s="11">
        <v>44823</v>
      </c>
      <c r="C14041" s="13" t="s">
        <v>18253</v>
      </c>
      <c r="D14041" s="13" t="s">
        <v>18254</v>
      </c>
      <c r="E14041" s="8">
        <v>6000</v>
      </c>
      <c r="F14041" s="13" t="s">
        <v>70</v>
      </c>
      <c r="G14041" s="14">
        <v>44825</v>
      </c>
      <c r="H14041" s="13" t="s">
        <v>163</v>
      </c>
    </row>
    <row r="14042" spans="1:8" ht="14.4" x14ac:dyDescent="0.3">
      <c r="A14042" s="8">
        <v>2071806</v>
      </c>
      <c r="B14042" s="11">
        <v>44823</v>
      </c>
      <c r="C14042" s="13" t="s">
        <v>18255</v>
      </c>
      <c r="D14042" s="13" t="s">
        <v>18256</v>
      </c>
      <c r="E14042" s="8">
        <v>4000</v>
      </c>
      <c r="F14042" s="13" t="s">
        <v>70</v>
      </c>
      <c r="G14042" s="14">
        <v>44826</v>
      </c>
      <c r="H14042" s="13" t="s">
        <v>163</v>
      </c>
    </row>
    <row r="14043" spans="1:8" ht="14.4" x14ac:dyDescent="0.3">
      <c r="A14043" s="8">
        <v>2071807</v>
      </c>
      <c r="B14043" s="11">
        <v>44823</v>
      </c>
      <c r="C14043" s="13" t="s">
        <v>14444</v>
      </c>
      <c r="D14043" s="13" t="s">
        <v>18257</v>
      </c>
      <c r="E14043" s="8">
        <v>2000</v>
      </c>
      <c r="F14043" s="13" t="s">
        <v>70</v>
      </c>
      <c r="G14043" s="14">
        <v>44825</v>
      </c>
      <c r="H14043" s="13" t="s">
        <v>163</v>
      </c>
    </row>
    <row r="14044" spans="1:8" ht="14.4" x14ac:dyDescent="0.3">
      <c r="A14044" s="8">
        <v>2071808</v>
      </c>
      <c r="B14044" s="11">
        <v>44823</v>
      </c>
      <c r="C14044" s="13" t="s">
        <v>18258</v>
      </c>
      <c r="D14044" s="13" t="s">
        <v>18259</v>
      </c>
      <c r="E14044" s="8">
        <v>6000</v>
      </c>
      <c r="F14044" s="13" t="s">
        <v>70</v>
      </c>
      <c r="G14044" s="14">
        <v>44825</v>
      </c>
      <c r="H14044" s="13" t="s">
        <v>163</v>
      </c>
    </row>
    <row r="14045" spans="1:8" ht="14.4" x14ac:dyDescent="0.3">
      <c r="A14045" s="8">
        <v>2071809</v>
      </c>
      <c r="B14045" s="11">
        <v>44823</v>
      </c>
      <c r="C14045" s="13" t="s">
        <v>18260</v>
      </c>
      <c r="D14045" s="13" t="s">
        <v>18261</v>
      </c>
      <c r="E14045" s="8">
        <v>4000</v>
      </c>
      <c r="F14045" s="13" t="s">
        <v>70</v>
      </c>
      <c r="G14045" s="14">
        <v>44825</v>
      </c>
      <c r="H14045" s="13" t="s">
        <v>163</v>
      </c>
    </row>
    <row r="14046" spans="1:8" ht="14.4" x14ac:dyDescent="0.3">
      <c r="A14046" s="8">
        <v>2071810</v>
      </c>
      <c r="B14046" s="11">
        <v>44823</v>
      </c>
      <c r="C14046" s="13" t="s">
        <v>18262</v>
      </c>
      <c r="D14046" s="13" t="s">
        <v>18263</v>
      </c>
      <c r="E14046" s="8">
        <v>10000</v>
      </c>
      <c r="F14046" s="13" t="s">
        <v>70</v>
      </c>
      <c r="G14046" s="14">
        <v>44834</v>
      </c>
      <c r="H14046" s="13" t="s">
        <v>163</v>
      </c>
    </row>
    <row r="14047" spans="1:8" ht="14.4" x14ac:dyDescent="0.3">
      <c r="A14047" s="8">
        <v>2071811</v>
      </c>
      <c r="B14047" s="11">
        <v>44823</v>
      </c>
      <c r="C14047" s="13" t="s">
        <v>14493</v>
      </c>
      <c r="D14047" s="13" t="s">
        <v>18264</v>
      </c>
      <c r="E14047" s="8">
        <v>6000</v>
      </c>
      <c r="F14047" s="13" t="s">
        <v>70</v>
      </c>
      <c r="G14047" s="14">
        <v>44844</v>
      </c>
      <c r="H14047" s="13" t="s">
        <v>163</v>
      </c>
    </row>
    <row r="14048" spans="1:8" ht="14.4" x14ac:dyDescent="0.3">
      <c r="A14048" s="8">
        <v>2071812</v>
      </c>
      <c r="B14048" s="11">
        <v>44823</v>
      </c>
      <c r="C14048" s="13" t="s">
        <v>18265</v>
      </c>
      <c r="D14048" s="13" t="s">
        <v>18266</v>
      </c>
      <c r="E14048" s="8">
        <v>10000</v>
      </c>
      <c r="F14048" s="13" t="s">
        <v>70</v>
      </c>
      <c r="G14048" s="14">
        <v>44826</v>
      </c>
      <c r="H14048" s="13" t="s">
        <v>163</v>
      </c>
    </row>
    <row r="14049" spans="1:8" ht="14.4" x14ac:dyDescent="0.3">
      <c r="A14049" s="8">
        <v>2071813</v>
      </c>
      <c r="B14049" s="11">
        <v>44823</v>
      </c>
      <c r="C14049" s="13" t="s">
        <v>13440</v>
      </c>
      <c r="D14049" s="13" t="s">
        <v>15195</v>
      </c>
      <c r="E14049" s="8">
        <v>4000</v>
      </c>
      <c r="F14049" s="13" t="s">
        <v>70</v>
      </c>
      <c r="G14049" s="14">
        <v>44825</v>
      </c>
      <c r="H14049" s="13" t="s">
        <v>163</v>
      </c>
    </row>
    <row r="14050" spans="1:8" ht="14.4" x14ac:dyDescent="0.3">
      <c r="A14050" s="8">
        <v>2071814</v>
      </c>
      <c r="B14050" s="11">
        <v>44823</v>
      </c>
      <c r="C14050" s="13" t="s">
        <v>18267</v>
      </c>
      <c r="D14050" s="13" t="s">
        <v>18268</v>
      </c>
      <c r="E14050" s="8">
        <v>10000</v>
      </c>
      <c r="F14050" s="13" t="s">
        <v>70</v>
      </c>
      <c r="G14050" s="14">
        <v>44825</v>
      </c>
      <c r="H14050" s="13" t="s">
        <v>163</v>
      </c>
    </row>
    <row r="14051" spans="1:8" ht="14.4" x14ac:dyDescent="0.3">
      <c r="A14051" s="8">
        <v>2071815</v>
      </c>
      <c r="B14051" s="11">
        <v>44823</v>
      </c>
      <c r="C14051" s="13" t="s">
        <v>18269</v>
      </c>
      <c r="D14051" s="13" t="s">
        <v>18270</v>
      </c>
      <c r="E14051" s="8">
        <v>4000</v>
      </c>
      <c r="F14051" s="13" t="s">
        <v>70</v>
      </c>
      <c r="G14051" s="14">
        <v>44825</v>
      </c>
      <c r="H14051" s="13" t="s">
        <v>163</v>
      </c>
    </row>
    <row r="14052" spans="1:8" ht="14.4" x14ac:dyDescent="0.3">
      <c r="A14052" s="8">
        <v>2071816</v>
      </c>
      <c r="B14052" s="11">
        <v>44823</v>
      </c>
      <c r="C14052" s="13" t="s">
        <v>11807</v>
      </c>
      <c r="D14052" s="13" t="s">
        <v>18271</v>
      </c>
      <c r="E14052" s="8">
        <v>8000</v>
      </c>
      <c r="F14052" s="13" t="s">
        <v>70</v>
      </c>
      <c r="G14052" s="14">
        <v>44825</v>
      </c>
      <c r="H14052" s="13" t="s">
        <v>163</v>
      </c>
    </row>
    <row r="14053" spans="1:8" ht="14.4" x14ac:dyDescent="0.3">
      <c r="A14053" s="8">
        <v>2071817</v>
      </c>
      <c r="B14053" s="11">
        <v>44823</v>
      </c>
      <c r="C14053" s="13" t="s">
        <v>18272</v>
      </c>
      <c r="D14053" s="13" t="s">
        <v>18273</v>
      </c>
      <c r="E14053" s="8">
        <v>26000</v>
      </c>
      <c r="F14053" s="13" t="s">
        <v>70</v>
      </c>
      <c r="G14053" s="14">
        <v>44825</v>
      </c>
      <c r="H14053" s="13" t="s">
        <v>163</v>
      </c>
    </row>
    <row r="14054" spans="1:8" ht="14.4" x14ac:dyDescent="0.3">
      <c r="A14054" s="8">
        <v>2071818</v>
      </c>
      <c r="B14054" s="11">
        <v>44823</v>
      </c>
      <c r="C14054" s="13" t="s">
        <v>18274</v>
      </c>
      <c r="D14054" s="13" t="s">
        <v>18275</v>
      </c>
      <c r="E14054" s="8">
        <v>30000</v>
      </c>
      <c r="F14054" s="13" t="s">
        <v>70</v>
      </c>
      <c r="G14054" s="14">
        <v>44825</v>
      </c>
      <c r="H14054" s="13" t="s">
        <v>163</v>
      </c>
    </row>
    <row r="14055" spans="1:8" ht="14.4" x14ac:dyDescent="0.3">
      <c r="A14055" s="8">
        <v>2071820</v>
      </c>
      <c r="B14055" s="11">
        <v>44823</v>
      </c>
      <c r="C14055" s="13" t="s">
        <v>18276</v>
      </c>
      <c r="D14055" s="13" t="s">
        <v>18277</v>
      </c>
      <c r="E14055" s="8">
        <v>16000</v>
      </c>
      <c r="F14055" s="13" t="s">
        <v>70</v>
      </c>
      <c r="G14055" s="14">
        <v>44825</v>
      </c>
      <c r="H14055" s="13" t="s">
        <v>163</v>
      </c>
    </row>
    <row r="14056" spans="1:8" ht="14.4" x14ac:dyDescent="0.3">
      <c r="A14056" s="8">
        <v>2071821</v>
      </c>
      <c r="B14056" s="11">
        <v>44823</v>
      </c>
      <c r="C14056" s="13" t="s">
        <v>18278</v>
      </c>
      <c r="D14056" s="13" t="s">
        <v>13597</v>
      </c>
      <c r="E14056" s="8">
        <v>8000</v>
      </c>
      <c r="F14056" s="13" t="s">
        <v>70</v>
      </c>
      <c r="G14056" s="14">
        <v>44826</v>
      </c>
      <c r="H14056" s="13" t="s">
        <v>163</v>
      </c>
    </row>
    <row r="14057" spans="1:8" ht="14.4" x14ac:dyDescent="0.3">
      <c r="A14057" s="8">
        <v>2071822</v>
      </c>
      <c r="B14057" s="11">
        <v>44823</v>
      </c>
      <c r="C14057" s="13" t="s">
        <v>18279</v>
      </c>
      <c r="D14057" s="13" t="s">
        <v>18280</v>
      </c>
      <c r="E14057" s="8">
        <v>2000</v>
      </c>
      <c r="F14057" s="13" t="s">
        <v>70</v>
      </c>
      <c r="G14057" s="14">
        <v>44831</v>
      </c>
      <c r="H14057" s="13" t="s">
        <v>163</v>
      </c>
    </row>
    <row r="14058" spans="1:8" ht="14.4" x14ac:dyDescent="0.3">
      <c r="A14058" s="8">
        <v>2071823</v>
      </c>
      <c r="B14058" s="11">
        <v>44823</v>
      </c>
      <c r="C14058" s="13" t="s">
        <v>14791</v>
      </c>
      <c r="D14058" s="13" t="s">
        <v>16335</v>
      </c>
      <c r="E14058" s="8">
        <v>6000</v>
      </c>
      <c r="F14058" s="13" t="s">
        <v>70</v>
      </c>
      <c r="G14058" s="14">
        <v>44825</v>
      </c>
      <c r="H14058" s="13" t="s">
        <v>163</v>
      </c>
    </row>
    <row r="14059" spans="1:8" ht="14.4" x14ac:dyDescent="0.3">
      <c r="A14059" s="8">
        <v>2071824</v>
      </c>
      <c r="B14059" s="11">
        <v>44823</v>
      </c>
      <c r="C14059" s="13" t="s">
        <v>18281</v>
      </c>
      <c r="D14059" s="13" t="s">
        <v>18282</v>
      </c>
      <c r="E14059" s="8">
        <v>2000</v>
      </c>
      <c r="F14059" s="13" t="s">
        <v>70</v>
      </c>
      <c r="G14059" s="14">
        <v>44833</v>
      </c>
      <c r="H14059" s="13" t="s">
        <v>163</v>
      </c>
    </row>
    <row r="14060" spans="1:8" ht="14.4" x14ac:dyDescent="0.3">
      <c r="A14060" s="8">
        <v>2071825</v>
      </c>
      <c r="B14060" s="11">
        <v>44823</v>
      </c>
      <c r="C14060" s="13" t="s">
        <v>18283</v>
      </c>
      <c r="D14060" s="13" t="s">
        <v>18284</v>
      </c>
      <c r="E14060" s="8">
        <v>10000</v>
      </c>
      <c r="F14060" s="13" t="s">
        <v>70</v>
      </c>
      <c r="G14060" s="14">
        <v>44824</v>
      </c>
      <c r="H14060" s="13" t="s">
        <v>163</v>
      </c>
    </row>
    <row r="14061" spans="1:8" ht="14.4" x14ac:dyDescent="0.3">
      <c r="A14061" s="8">
        <v>2071826</v>
      </c>
      <c r="B14061" s="11">
        <v>44823</v>
      </c>
      <c r="C14061" s="13" t="s">
        <v>18285</v>
      </c>
      <c r="D14061" s="13" t="s">
        <v>13603</v>
      </c>
      <c r="E14061" s="8">
        <v>2000</v>
      </c>
      <c r="F14061" s="13" t="s">
        <v>70</v>
      </c>
      <c r="G14061" s="14">
        <v>44858</v>
      </c>
      <c r="H14061" s="13" t="s">
        <v>163</v>
      </c>
    </row>
    <row r="14062" spans="1:8" ht="14.4" x14ac:dyDescent="0.3">
      <c r="A14062" s="8">
        <v>2071827</v>
      </c>
      <c r="B14062" s="11">
        <v>44823</v>
      </c>
      <c r="C14062" s="13" t="s">
        <v>11883</v>
      </c>
      <c r="D14062" s="13" t="s">
        <v>18286</v>
      </c>
      <c r="E14062" s="8">
        <v>10000</v>
      </c>
      <c r="F14062" s="13" t="s">
        <v>70</v>
      </c>
      <c r="G14062" s="14">
        <v>44825</v>
      </c>
      <c r="H14062" s="13" t="s">
        <v>163</v>
      </c>
    </row>
    <row r="14063" spans="1:8" ht="14.4" x14ac:dyDescent="0.3">
      <c r="A14063" s="8">
        <v>2071828</v>
      </c>
      <c r="B14063" s="11">
        <v>44823</v>
      </c>
      <c r="C14063" s="13" t="s">
        <v>14813</v>
      </c>
      <c r="D14063" s="13" t="s">
        <v>18287</v>
      </c>
      <c r="E14063" s="8">
        <v>10000</v>
      </c>
      <c r="F14063" s="13" t="s">
        <v>70</v>
      </c>
      <c r="G14063" s="14">
        <v>44826</v>
      </c>
      <c r="H14063" s="13" t="s">
        <v>163</v>
      </c>
    </row>
    <row r="14064" spans="1:8" ht="14.4" x14ac:dyDescent="0.3">
      <c r="A14064" s="8">
        <v>2071829</v>
      </c>
      <c r="B14064" s="11">
        <v>44823</v>
      </c>
      <c r="C14064" s="13" t="s">
        <v>18288</v>
      </c>
      <c r="D14064" s="13" t="s">
        <v>18289</v>
      </c>
      <c r="E14064" s="8">
        <v>8000</v>
      </c>
      <c r="F14064" s="13" t="s">
        <v>70</v>
      </c>
      <c r="G14064" s="14">
        <v>44827</v>
      </c>
      <c r="H14064" s="13" t="s">
        <v>163</v>
      </c>
    </row>
    <row r="14065" spans="1:8" ht="14.4" x14ac:dyDescent="0.3">
      <c r="A14065" s="8">
        <v>2071830</v>
      </c>
      <c r="B14065" s="11">
        <v>44823</v>
      </c>
      <c r="C14065" s="13" t="s">
        <v>18290</v>
      </c>
      <c r="D14065" s="13" t="s">
        <v>18291</v>
      </c>
      <c r="E14065" s="8">
        <v>4000</v>
      </c>
      <c r="F14065" s="13" t="s">
        <v>70</v>
      </c>
      <c r="G14065" s="14">
        <v>44824</v>
      </c>
      <c r="H14065" s="13" t="s">
        <v>163</v>
      </c>
    </row>
    <row r="14066" spans="1:8" ht="14.4" x14ac:dyDescent="0.3">
      <c r="A14066" s="8">
        <v>2071831</v>
      </c>
      <c r="B14066" s="11">
        <v>44824</v>
      </c>
      <c r="C14066" s="13" t="s">
        <v>12067</v>
      </c>
      <c r="D14066" s="13" t="s">
        <v>18292</v>
      </c>
      <c r="E14066" s="8">
        <v>8000</v>
      </c>
      <c r="F14066" s="13" t="s">
        <v>70</v>
      </c>
      <c r="G14066" s="14">
        <v>44825</v>
      </c>
      <c r="H14066" s="13" t="s">
        <v>163</v>
      </c>
    </row>
    <row r="14067" spans="1:8" ht="14.4" x14ac:dyDescent="0.3">
      <c r="A14067" s="8">
        <v>2071832</v>
      </c>
      <c r="B14067" s="11">
        <v>44824</v>
      </c>
      <c r="C14067" s="13" t="s">
        <v>18293</v>
      </c>
      <c r="D14067" s="13" t="s">
        <v>14062</v>
      </c>
      <c r="E14067" s="8">
        <v>4000</v>
      </c>
      <c r="F14067" s="13" t="s">
        <v>70</v>
      </c>
      <c r="G14067" s="14">
        <v>44826</v>
      </c>
      <c r="H14067" s="13" t="s">
        <v>163</v>
      </c>
    </row>
    <row r="14068" spans="1:8" ht="14.4" x14ac:dyDescent="0.3">
      <c r="A14068" s="8">
        <v>2071833</v>
      </c>
      <c r="B14068" s="11">
        <v>44824</v>
      </c>
      <c r="C14068" s="13" t="s">
        <v>18294</v>
      </c>
      <c r="D14068" s="13" t="s">
        <v>14062</v>
      </c>
      <c r="E14068" s="8">
        <v>4000</v>
      </c>
      <c r="F14068" s="13" t="s">
        <v>70</v>
      </c>
      <c r="G14068" s="14">
        <v>44825</v>
      </c>
      <c r="H14068" s="13" t="s">
        <v>163</v>
      </c>
    </row>
    <row r="14069" spans="1:8" ht="14.4" x14ac:dyDescent="0.3">
      <c r="A14069" s="8">
        <v>2071834</v>
      </c>
      <c r="B14069" s="11">
        <v>44824</v>
      </c>
      <c r="C14069" s="13" t="s">
        <v>18295</v>
      </c>
      <c r="D14069" s="13" t="s">
        <v>166</v>
      </c>
      <c r="E14069" s="8">
        <v>2000</v>
      </c>
      <c r="F14069" s="13" t="s">
        <v>70</v>
      </c>
      <c r="G14069" s="14">
        <v>44825</v>
      </c>
      <c r="H14069" s="13" t="s">
        <v>163</v>
      </c>
    </row>
    <row r="14070" spans="1:8" ht="14.4" x14ac:dyDescent="0.3">
      <c r="A14070" s="8">
        <v>2071835</v>
      </c>
      <c r="B14070" s="11">
        <v>44824</v>
      </c>
      <c r="C14070" s="13" t="s">
        <v>18296</v>
      </c>
      <c r="D14070" s="13" t="s">
        <v>18297</v>
      </c>
      <c r="E14070" s="8">
        <v>8000</v>
      </c>
      <c r="F14070" s="13" t="s">
        <v>70</v>
      </c>
      <c r="G14070" s="14">
        <v>44837</v>
      </c>
      <c r="H14070" s="13" t="s">
        <v>163</v>
      </c>
    </row>
    <row r="14071" spans="1:8" ht="14.4" x14ac:dyDescent="0.3">
      <c r="A14071" s="8">
        <v>2071836</v>
      </c>
      <c r="B14071" s="11">
        <v>44824</v>
      </c>
      <c r="C14071" s="13" t="s">
        <v>18298</v>
      </c>
      <c r="D14071" s="13" t="s">
        <v>18299</v>
      </c>
      <c r="E14071" s="8">
        <v>2000</v>
      </c>
      <c r="F14071" s="13" t="s">
        <v>70</v>
      </c>
      <c r="G14071" s="14">
        <v>44825</v>
      </c>
      <c r="H14071" s="13" t="s">
        <v>163</v>
      </c>
    </row>
    <row r="14072" spans="1:8" ht="14.4" x14ac:dyDescent="0.3">
      <c r="A14072" s="8">
        <v>2071837</v>
      </c>
      <c r="B14072" s="11">
        <v>44824</v>
      </c>
      <c r="C14072" s="13" t="s">
        <v>18300</v>
      </c>
      <c r="D14072" s="13" t="s">
        <v>18301</v>
      </c>
      <c r="E14072" s="8">
        <v>2000</v>
      </c>
      <c r="F14072" s="13" t="s">
        <v>70</v>
      </c>
      <c r="G14072" s="14">
        <v>44826</v>
      </c>
      <c r="H14072" s="13" t="s">
        <v>163</v>
      </c>
    </row>
    <row r="14073" spans="1:8" ht="14.4" x14ac:dyDescent="0.3">
      <c r="A14073" s="8">
        <v>2071838</v>
      </c>
      <c r="B14073" s="11">
        <v>44824</v>
      </c>
      <c r="C14073" s="13" t="s">
        <v>18302</v>
      </c>
      <c r="D14073" s="13" t="s">
        <v>18303</v>
      </c>
      <c r="E14073" s="8">
        <v>2000</v>
      </c>
      <c r="F14073" s="13" t="s">
        <v>70</v>
      </c>
      <c r="G14073" s="14">
        <v>44826</v>
      </c>
      <c r="H14073" s="13" t="s">
        <v>163</v>
      </c>
    </row>
    <row r="14074" spans="1:8" ht="14.4" x14ac:dyDescent="0.3">
      <c r="A14074" s="8">
        <v>2071839</v>
      </c>
      <c r="B14074" s="11">
        <v>44824</v>
      </c>
      <c r="C14074" s="13" t="s">
        <v>18304</v>
      </c>
      <c r="D14074" s="13" t="s">
        <v>18305</v>
      </c>
      <c r="E14074" s="8">
        <v>6000</v>
      </c>
      <c r="F14074" s="13" t="s">
        <v>70</v>
      </c>
      <c r="G14074" s="14">
        <v>44825</v>
      </c>
      <c r="H14074" s="13" t="s">
        <v>163</v>
      </c>
    </row>
    <row r="14075" spans="1:8" ht="14.4" x14ac:dyDescent="0.3">
      <c r="A14075" s="8">
        <v>2071840</v>
      </c>
      <c r="B14075" s="11">
        <v>44824</v>
      </c>
      <c r="C14075" s="13" t="s">
        <v>18306</v>
      </c>
      <c r="D14075" s="13" t="s">
        <v>18307</v>
      </c>
      <c r="E14075" s="8">
        <v>8000</v>
      </c>
      <c r="F14075" s="13" t="s">
        <v>70</v>
      </c>
      <c r="G14075" s="14">
        <v>44825</v>
      </c>
      <c r="H14075" s="13" t="s">
        <v>163</v>
      </c>
    </row>
    <row r="14076" spans="1:8" ht="14.4" x14ac:dyDescent="0.3">
      <c r="A14076" s="8">
        <v>2071841</v>
      </c>
      <c r="B14076" s="11">
        <v>44824</v>
      </c>
      <c r="C14076" s="13" t="s">
        <v>18308</v>
      </c>
      <c r="D14076" s="13" t="s">
        <v>18309</v>
      </c>
      <c r="E14076" s="8">
        <v>8000</v>
      </c>
      <c r="F14076" s="13" t="s">
        <v>70</v>
      </c>
      <c r="G14076" s="14">
        <v>44827</v>
      </c>
      <c r="H14076" s="13" t="s">
        <v>163</v>
      </c>
    </row>
    <row r="14077" spans="1:8" ht="14.4" x14ac:dyDescent="0.3">
      <c r="A14077" s="8">
        <v>2071842</v>
      </c>
      <c r="B14077" s="11">
        <v>44824</v>
      </c>
      <c r="C14077" s="13" t="s">
        <v>18310</v>
      </c>
      <c r="D14077" s="13" t="s">
        <v>18311</v>
      </c>
      <c r="E14077" s="8">
        <v>8000</v>
      </c>
      <c r="F14077" s="13" t="s">
        <v>70</v>
      </c>
      <c r="G14077" s="14">
        <v>44825</v>
      </c>
      <c r="H14077" s="13" t="s">
        <v>163</v>
      </c>
    </row>
    <row r="14078" spans="1:8" ht="14.4" x14ac:dyDescent="0.3">
      <c r="A14078" s="8">
        <v>2071843</v>
      </c>
      <c r="B14078" s="11">
        <v>44824</v>
      </c>
      <c r="C14078" s="13" t="s">
        <v>11357</v>
      </c>
      <c r="D14078" s="13" t="s">
        <v>16335</v>
      </c>
      <c r="E14078" s="8">
        <v>50000</v>
      </c>
      <c r="F14078" s="13" t="s">
        <v>70</v>
      </c>
      <c r="G14078" s="14">
        <v>44826</v>
      </c>
      <c r="H14078" s="13" t="s">
        <v>163</v>
      </c>
    </row>
    <row r="14079" spans="1:8" ht="14.4" x14ac:dyDescent="0.3">
      <c r="A14079" s="8">
        <v>2071844</v>
      </c>
      <c r="B14079" s="11">
        <v>44824</v>
      </c>
      <c r="C14079" s="13" t="s">
        <v>277</v>
      </c>
      <c r="D14079" s="13" t="s">
        <v>13603</v>
      </c>
      <c r="E14079" s="8">
        <v>20000</v>
      </c>
      <c r="F14079" s="13" t="s">
        <v>70</v>
      </c>
      <c r="G14079" s="14">
        <v>44825</v>
      </c>
      <c r="H14079" s="13" t="s">
        <v>163</v>
      </c>
    </row>
    <row r="14080" spans="1:8" ht="14.4" x14ac:dyDescent="0.3">
      <c r="A14080" s="8">
        <v>2071845</v>
      </c>
      <c r="B14080" s="11">
        <v>44825</v>
      </c>
      <c r="C14080" s="13" t="s">
        <v>18312</v>
      </c>
      <c r="D14080" s="13" t="s">
        <v>18313</v>
      </c>
      <c r="E14080" s="8">
        <v>450000</v>
      </c>
      <c r="F14080" s="13" t="s">
        <v>70</v>
      </c>
      <c r="G14080" s="14">
        <v>44837</v>
      </c>
      <c r="H14080" s="13" t="s">
        <v>163</v>
      </c>
    </row>
    <row r="14081" spans="1:8" ht="14.4" x14ac:dyDescent="0.3">
      <c r="A14081" s="8">
        <v>2071846</v>
      </c>
      <c r="B14081" s="11">
        <v>44825</v>
      </c>
      <c r="C14081" s="13" t="s">
        <v>18314</v>
      </c>
      <c r="D14081" s="13" t="s">
        <v>18315</v>
      </c>
      <c r="E14081" s="8">
        <v>6000</v>
      </c>
      <c r="F14081" s="13" t="s">
        <v>70</v>
      </c>
      <c r="G14081" s="14">
        <v>44827</v>
      </c>
      <c r="H14081" s="13" t="s">
        <v>163</v>
      </c>
    </row>
    <row r="14082" spans="1:8" ht="14.4" x14ac:dyDescent="0.3">
      <c r="A14082" s="8">
        <v>2071847</v>
      </c>
      <c r="B14082" s="11">
        <v>44825</v>
      </c>
      <c r="C14082" s="13" t="s">
        <v>6888</v>
      </c>
      <c r="D14082" s="13" t="s">
        <v>164</v>
      </c>
      <c r="E14082" s="8">
        <v>6000</v>
      </c>
      <c r="F14082" s="13" t="s">
        <v>70</v>
      </c>
      <c r="G14082" s="14">
        <v>44826</v>
      </c>
      <c r="H14082" s="13" t="s">
        <v>163</v>
      </c>
    </row>
    <row r="14083" spans="1:8" ht="14.4" x14ac:dyDescent="0.3">
      <c r="A14083" s="8">
        <v>2071848</v>
      </c>
      <c r="B14083" s="11">
        <v>44825</v>
      </c>
      <c r="C14083" s="13" t="s">
        <v>2912</v>
      </c>
      <c r="D14083" s="13" t="s">
        <v>18316</v>
      </c>
      <c r="E14083" s="8">
        <v>4000</v>
      </c>
      <c r="F14083" s="13" t="s">
        <v>70</v>
      </c>
      <c r="G14083" s="14">
        <v>44827</v>
      </c>
      <c r="H14083" s="13" t="s">
        <v>163</v>
      </c>
    </row>
    <row r="14084" spans="1:8" ht="14.4" x14ac:dyDescent="0.3">
      <c r="A14084" s="8">
        <v>2071849</v>
      </c>
      <c r="B14084" s="11">
        <v>44825</v>
      </c>
      <c r="C14084" s="13" t="s">
        <v>12058</v>
      </c>
      <c r="D14084" s="13" t="s">
        <v>18317</v>
      </c>
      <c r="E14084" s="8">
        <v>20000</v>
      </c>
      <c r="F14084" s="13" t="s">
        <v>70</v>
      </c>
      <c r="G14084" s="14">
        <v>44826</v>
      </c>
      <c r="H14084" s="13" t="s">
        <v>163</v>
      </c>
    </row>
    <row r="14085" spans="1:8" ht="14.4" x14ac:dyDescent="0.3">
      <c r="A14085" s="8">
        <v>2071850</v>
      </c>
      <c r="B14085" s="11">
        <v>44825</v>
      </c>
      <c r="C14085" s="13" t="s">
        <v>18318</v>
      </c>
      <c r="D14085" s="13" t="s">
        <v>18319</v>
      </c>
      <c r="E14085" s="8">
        <v>8000</v>
      </c>
      <c r="F14085" s="13" t="s">
        <v>70</v>
      </c>
      <c r="G14085" s="14">
        <v>44827</v>
      </c>
      <c r="H14085" s="13" t="s">
        <v>163</v>
      </c>
    </row>
    <row r="14086" spans="1:8" ht="14.4" x14ac:dyDescent="0.3">
      <c r="A14086" s="8">
        <v>2071851</v>
      </c>
      <c r="B14086" s="11">
        <v>44825</v>
      </c>
      <c r="C14086" s="13" t="s">
        <v>18320</v>
      </c>
      <c r="D14086" s="13" t="s">
        <v>18321</v>
      </c>
      <c r="E14086" s="8">
        <v>8000</v>
      </c>
      <c r="F14086" s="13" t="s">
        <v>70</v>
      </c>
      <c r="G14086" s="14">
        <v>44831</v>
      </c>
      <c r="H14086" s="13" t="s">
        <v>163</v>
      </c>
    </row>
    <row r="14087" spans="1:8" ht="14.4" x14ac:dyDescent="0.3">
      <c r="A14087" s="8">
        <v>2071852</v>
      </c>
      <c r="B14087" s="11">
        <v>44825</v>
      </c>
      <c r="C14087" s="13" t="s">
        <v>18322</v>
      </c>
      <c r="D14087" s="13" t="s">
        <v>18323</v>
      </c>
      <c r="E14087" s="8">
        <v>6000</v>
      </c>
      <c r="F14087" s="13" t="s">
        <v>70</v>
      </c>
      <c r="G14087" s="14">
        <v>44826</v>
      </c>
      <c r="H14087" s="13" t="s">
        <v>163</v>
      </c>
    </row>
    <row r="14088" spans="1:8" ht="14.4" x14ac:dyDescent="0.3">
      <c r="A14088" s="8">
        <v>2071853</v>
      </c>
      <c r="B14088" s="11">
        <v>44825</v>
      </c>
      <c r="C14088" s="13" t="s">
        <v>18324</v>
      </c>
      <c r="D14088" s="13" t="s">
        <v>18325</v>
      </c>
      <c r="E14088" s="8">
        <v>2000</v>
      </c>
      <c r="F14088" s="13" t="s">
        <v>70</v>
      </c>
      <c r="G14088" s="14">
        <v>44826</v>
      </c>
      <c r="H14088" s="13" t="s">
        <v>163</v>
      </c>
    </row>
    <row r="14089" spans="1:8" ht="14.4" x14ac:dyDescent="0.3">
      <c r="A14089" s="8">
        <v>2071854</v>
      </c>
      <c r="B14089" s="11">
        <v>44825</v>
      </c>
      <c r="C14089" s="13" t="s">
        <v>18326</v>
      </c>
      <c r="D14089" s="13" t="s">
        <v>18327</v>
      </c>
      <c r="E14089" s="8">
        <v>8000</v>
      </c>
      <c r="F14089" s="13" t="s">
        <v>70</v>
      </c>
      <c r="G14089" s="14">
        <v>44827</v>
      </c>
      <c r="H14089" s="13" t="s">
        <v>163</v>
      </c>
    </row>
    <row r="14090" spans="1:8" ht="14.4" x14ac:dyDescent="0.3">
      <c r="A14090" s="8">
        <v>2071855</v>
      </c>
      <c r="B14090" s="11">
        <v>44825</v>
      </c>
      <c r="C14090" s="13" t="s">
        <v>18328</v>
      </c>
      <c r="D14090" s="13" t="s">
        <v>18329</v>
      </c>
      <c r="E14090" s="8">
        <v>4000</v>
      </c>
      <c r="F14090" s="13" t="s">
        <v>70</v>
      </c>
      <c r="G14090" s="14">
        <v>44831</v>
      </c>
      <c r="H14090" s="13" t="s">
        <v>163</v>
      </c>
    </row>
    <row r="14091" spans="1:8" ht="14.4" x14ac:dyDescent="0.3">
      <c r="A14091" s="8">
        <v>2071856</v>
      </c>
      <c r="B14091" s="11">
        <v>44825</v>
      </c>
      <c r="C14091" s="13" t="s">
        <v>15470</v>
      </c>
      <c r="D14091" s="13" t="s">
        <v>18330</v>
      </c>
      <c r="E14091" s="8">
        <v>2000</v>
      </c>
      <c r="F14091" s="13" t="s">
        <v>70</v>
      </c>
      <c r="G14091" s="14">
        <v>44827</v>
      </c>
      <c r="H14091" s="13" t="s">
        <v>163</v>
      </c>
    </row>
    <row r="14092" spans="1:8" ht="14.4" x14ac:dyDescent="0.3">
      <c r="A14092" s="8">
        <v>2071857</v>
      </c>
      <c r="B14092" s="11">
        <v>44825</v>
      </c>
      <c r="C14092" s="13" t="s">
        <v>18331</v>
      </c>
      <c r="D14092" s="13" t="s">
        <v>18332</v>
      </c>
      <c r="E14092" s="8">
        <v>6000</v>
      </c>
      <c r="F14092" s="13" t="s">
        <v>70</v>
      </c>
      <c r="G14092" s="14">
        <v>44827</v>
      </c>
      <c r="H14092" s="13" t="s">
        <v>163</v>
      </c>
    </row>
    <row r="14093" spans="1:8" ht="14.4" x14ac:dyDescent="0.3">
      <c r="A14093" s="8">
        <v>2071858</v>
      </c>
      <c r="B14093" s="11">
        <v>44825</v>
      </c>
      <c r="C14093" s="13" t="s">
        <v>11072</v>
      </c>
      <c r="D14093" s="13" t="s">
        <v>166</v>
      </c>
      <c r="E14093" s="8">
        <v>2000</v>
      </c>
      <c r="F14093" s="13" t="s">
        <v>70</v>
      </c>
      <c r="G14093" s="14">
        <v>44827</v>
      </c>
      <c r="H14093" s="13" t="s">
        <v>163</v>
      </c>
    </row>
    <row r="14094" spans="1:8" ht="14.4" x14ac:dyDescent="0.3">
      <c r="A14094" s="8">
        <v>2071859</v>
      </c>
      <c r="B14094" s="11">
        <v>44825</v>
      </c>
      <c r="C14094" s="13" t="s">
        <v>18333</v>
      </c>
      <c r="D14094" s="13" t="s">
        <v>18334</v>
      </c>
      <c r="E14094" s="8">
        <v>6000</v>
      </c>
      <c r="F14094" s="13" t="s">
        <v>70</v>
      </c>
      <c r="G14094" s="14">
        <v>44826</v>
      </c>
      <c r="H14094" s="13" t="s">
        <v>163</v>
      </c>
    </row>
    <row r="14095" spans="1:8" ht="14.4" x14ac:dyDescent="0.3">
      <c r="A14095" s="8">
        <v>2071860</v>
      </c>
      <c r="B14095" s="11">
        <v>44825</v>
      </c>
      <c r="C14095" s="13" t="s">
        <v>18335</v>
      </c>
      <c r="D14095" s="13" t="s">
        <v>18336</v>
      </c>
      <c r="E14095" s="8">
        <v>16000</v>
      </c>
      <c r="F14095" s="13" t="s">
        <v>70</v>
      </c>
      <c r="G14095" s="14">
        <v>44831</v>
      </c>
      <c r="H14095" s="13" t="s">
        <v>163</v>
      </c>
    </row>
    <row r="14096" spans="1:8" ht="14.4" x14ac:dyDescent="0.3">
      <c r="A14096" s="8">
        <v>2071861</v>
      </c>
      <c r="B14096" s="11">
        <v>44825</v>
      </c>
      <c r="C14096" s="13" t="s">
        <v>18337</v>
      </c>
      <c r="D14096" s="13" t="s">
        <v>18338</v>
      </c>
      <c r="E14096" s="8">
        <v>10000</v>
      </c>
      <c r="F14096" s="13" t="s">
        <v>70</v>
      </c>
      <c r="G14096" s="14">
        <v>44827</v>
      </c>
      <c r="H14096" s="13" t="s">
        <v>163</v>
      </c>
    </row>
    <row r="14097" spans="1:8" ht="14.4" x14ac:dyDescent="0.3">
      <c r="A14097" s="8">
        <v>2071862</v>
      </c>
      <c r="B14097" s="11">
        <v>44825</v>
      </c>
      <c r="C14097" s="13" t="s">
        <v>17847</v>
      </c>
      <c r="D14097" s="13" t="s">
        <v>18339</v>
      </c>
      <c r="E14097" s="8">
        <v>10000</v>
      </c>
      <c r="F14097" s="13" t="s">
        <v>70</v>
      </c>
      <c r="G14097" s="14">
        <v>44827</v>
      </c>
      <c r="H14097" s="13" t="s">
        <v>163</v>
      </c>
    </row>
    <row r="14098" spans="1:8" ht="14.4" x14ac:dyDescent="0.3">
      <c r="A14098" s="8">
        <v>2071863</v>
      </c>
      <c r="B14098" s="11">
        <v>44825</v>
      </c>
      <c r="C14098" s="13" t="s">
        <v>18340</v>
      </c>
      <c r="D14098" s="13" t="s">
        <v>18341</v>
      </c>
      <c r="E14098" s="8">
        <v>10000</v>
      </c>
      <c r="F14098" s="13" t="s">
        <v>70</v>
      </c>
      <c r="G14098" s="14">
        <v>44826</v>
      </c>
      <c r="H14098" s="13" t="s">
        <v>163</v>
      </c>
    </row>
    <row r="14099" spans="1:8" ht="14.4" x14ac:dyDescent="0.3">
      <c r="A14099" s="8">
        <v>2071864</v>
      </c>
      <c r="B14099" s="11">
        <v>44825</v>
      </c>
      <c r="C14099" s="13" t="s">
        <v>18342</v>
      </c>
      <c r="D14099" s="13" t="s">
        <v>18343</v>
      </c>
      <c r="E14099" s="8">
        <v>10000</v>
      </c>
      <c r="F14099" s="13" t="s">
        <v>70</v>
      </c>
      <c r="G14099" s="14">
        <v>44827</v>
      </c>
      <c r="H14099" s="13" t="s">
        <v>163</v>
      </c>
    </row>
    <row r="14100" spans="1:8" ht="14.4" x14ac:dyDescent="0.3">
      <c r="A14100" s="8">
        <v>2071865</v>
      </c>
      <c r="B14100" s="11">
        <v>44825</v>
      </c>
      <c r="C14100" s="13" t="s">
        <v>18344</v>
      </c>
      <c r="D14100" s="13" t="s">
        <v>18345</v>
      </c>
      <c r="E14100" s="8">
        <v>10000</v>
      </c>
      <c r="F14100" s="13" t="s">
        <v>70</v>
      </c>
      <c r="G14100" s="14">
        <v>44831</v>
      </c>
      <c r="H14100" s="13" t="s">
        <v>163</v>
      </c>
    </row>
    <row r="14101" spans="1:8" ht="14.4" x14ac:dyDescent="0.3">
      <c r="A14101" s="8">
        <v>2071866</v>
      </c>
      <c r="B14101" s="11">
        <v>44825</v>
      </c>
      <c r="C14101" s="13" t="s">
        <v>2048</v>
      </c>
      <c r="D14101" s="13" t="s">
        <v>18346</v>
      </c>
      <c r="E14101" s="8">
        <v>4000</v>
      </c>
      <c r="F14101" s="13" t="s">
        <v>70</v>
      </c>
      <c r="G14101" s="14">
        <v>44827</v>
      </c>
      <c r="H14101" s="13" t="s">
        <v>163</v>
      </c>
    </row>
    <row r="14102" spans="1:8" ht="14.4" x14ac:dyDescent="0.3">
      <c r="A14102" s="8">
        <v>2071867</v>
      </c>
      <c r="B14102" s="11">
        <v>44825</v>
      </c>
      <c r="C14102" s="13" t="s">
        <v>18347</v>
      </c>
      <c r="D14102" s="13" t="s">
        <v>18348</v>
      </c>
      <c r="E14102" s="8">
        <v>4000</v>
      </c>
      <c r="F14102" s="13" t="s">
        <v>70</v>
      </c>
      <c r="G14102" s="14">
        <v>44827</v>
      </c>
      <c r="H14102" s="13" t="s">
        <v>163</v>
      </c>
    </row>
    <row r="14103" spans="1:8" ht="14.4" x14ac:dyDescent="0.3">
      <c r="A14103" s="8">
        <v>2071868</v>
      </c>
      <c r="B14103" s="11">
        <v>44825</v>
      </c>
      <c r="C14103" s="13" t="s">
        <v>18349</v>
      </c>
      <c r="D14103" s="13" t="s">
        <v>18350</v>
      </c>
      <c r="E14103" s="8">
        <v>2000</v>
      </c>
      <c r="F14103" s="13" t="s">
        <v>70</v>
      </c>
      <c r="G14103" s="14">
        <v>44827</v>
      </c>
      <c r="H14103" s="13" t="s">
        <v>163</v>
      </c>
    </row>
    <row r="14104" spans="1:8" ht="14.4" x14ac:dyDescent="0.3">
      <c r="A14104" s="8">
        <v>2071869</v>
      </c>
      <c r="B14104" s="11">
        <v>44825</v>
      </c>
      <c r="C14104" s="13" t="s">
        <v>18351</v>
      </c>
      <c r="D14104" s="13" t="s">
        <v>18352</v>
      </c>
      <c r="E14104" s="8">
        <v>2000</v>
      </c>
      <c r="F14104" s="13" t="s">
        <v>70</v>
      </c>
      <c r="G14104" s="14">
        <v>44827</v>
      </c>
      <c r="H14104" s="13" t="s">
        <v>163</v>
      </c>
    </row>
    <row r="14105" spans="1:8" ht="14.4" x14ac:dyDescent="0.3">
      <c r="A14105" s="8">
        <v>2071870</v>
      </c>
      <c r="B14105" s="11">
        <v>44825</v>
      </c>
      <c r="C14105" s="13" t="s">
        <v>14630</v>
      </c>
      <c r="D14105" s="13" t="s">
        <v>15810</v>
      </c>
      <c r="E14105" s="8">
        <v>2000</v>
      </c>
      <c r="F14105" s="13" t="s">
        <v>70</v>
      </c>
      <c r="G14105" s="14">
        <v>44827</v>
      </c>
      <c r="H14105" s="13" t="s">
        <v>163</v>
      </c>
    </row>
    <row r="14106" spans="1:8" ht="14.4" x14ac:dyDescent="0.3">
      <c r="A14106" s="8">
        <v>2071871</v>
      </c>
      <c r="B14106" s="11">
        <v>44825</v>
      </c>
      <c r="C14106" s="13" t="s">
        <v>14499</v>
      </c>
      <c r="D14106" s="13" t="s">
        <v>18353</v>
      </c>
      <c r="E14106" s="8">
        <v>2000</v>
      </c>
      <c r="F14106" s="13" t="s">
        <v>70</v>
      </c>
      <c r="G14106" s="14">
        <v>44827</v>
      </c>
      <c r="H14106" s="13" t="s">
        <v>163</v>
      </c>
    </row>
    <row r="14107" spans="1:8" ht="14.4" x14ac:dyDescent="0.3">
      <c r="A14107" s="8">
        <v>2071872</v>
      </c>
      <c r="B14107" s="11">
        <v>44825</v>
      </c>
      <c r="C14107" s="13" t="s">
        <v>18354</v>
      </c>
      <c r="D14107" s="13" t="s">
        <v>18355</v>
      </c>
      <c r="E14107" s="8">
        <v>3000</v>
      </c>
      <c r="F14107" s="13" t="s">
        <v>70</v>
      </c>
      <c r="G14107" s="14">
        <v>44827</v>
      </c>
      <c r="H14107" s="13" t="s">
        <v>163</v>
      </c>
    </row>
    <row r="14108" spans="1:8" ht="14.4" x14ac:dyDescent="0.3">
      <c r="A14108" s="8">
        <v>2071873</v>
      </c>
      <c r="B14108" s="11">
        <v>44825</v>
      </c>
      <c r="C14108" s="13" t="s">
        <v>18356</v>
      </c>
      <c r="D14108" s="13" t="s">
        <v>18357</v>
      </c>
      <c r="E14108" s="8">
        <v>2000</v>
      </c>
      <c r="F14108" s="13" t="s">
        <v>70</v>
      </c>
      <c r="G14108" s="14">
        <v>44827</v>
      </c>
      <c r="H14108" s="13" t="s">
        <v>163</v>
      </c>
    </row>
    <row r="14109" spans="1:8" ht="14.4" x14ac:dyDescent="0.3">
      <c r="A14109" s="8">
        <v>2071874</v>
      </c>
      <c r="B14109" s="11">
        <v>44825</v>
      </c>
      <c r="C14109" s="13" t="s">
        <v>18358</v>
      </c>
      <c r="D14109" s="13" t="s">
        <v>18359</v>
      </c>
      <c r="E14109" s="8">
        <v>1000</v>
      </c>
      <c r="F14109" s="13" t="s">
        <v>70</v>
      </c>
      <c r="G14109" s="14">
        <v>44826</v>
      </c>
      <c r="H14109" s="13" t="s">
        <v>163</v>
      </c>
    </row>
    <row r="14110" spans="1:8" ht="14.4" x14ac:dyDescent="0.3">
      <c r="A14110" s="8">
        <v>2071875</v>
      </c>
      <c r="B14110" s="11">
        <v>44825</v>
      </c>
      <c r="C14110" s="13" t="s">
        <v>13315</v>
      </c>
      <c r="D14110" s="13" t="s">
        <v>18360</v>
      </c>
      <c r="E14110" s="8">
        <v>14000</v>
      </c>
      <c r="F14110" s="13" t="s">
        <v>70</v>
      </c>
      <c r="G14110" s="14">
        <v>44826</v>
      </c>
      <c r="H14110" s="13" t="s">
        <v>163</v>
      </c>
    </row>
    <row r="14111" spans="1:8" ht="14.4" x14ac:dyDescent="0.3">
      <c r="A14111" s="8">
        <v>2071877</v>
      </c>
      <c r="B14111" s="11">
        <v>44825</v>
      </c>
      <c r="C14111" s="13" t="s">
        <v>14632</v>
      </c>
      <c r="D14111" s="13" t="s">
        <v>18361</v>
      </c>
      <c r="E14111" s="8">
        <v>2000</v>
      </c>
      <c r="F14111" s="13" t="s">
        <v>70</v>
      </c>
      <c r="G14111" s="14">
        <v>44827</v>
      </c>
      <c r="H14111" s="13" t="s">
        <v>163</v>
      </c>
    </row>
    <row r="14112" spans="1:8" ht="14.4" x14ac:dyDescent="0.3">
      <c r="A14112" s="8">
        <v>2071878</v>
      </c>
      <c r="B14112" s="11">
        <v>44825</v>
      </c>
      <c r="C14112" s="13" t="s">
        <v>18362</v>
      </c>
      <c r="D14112" s="13" t="s">
        <v>18363</v>
      </c>
      <c r="E14112" s="8">
        <v>50000</v>
      </c>
      <c r="F14112" s="13" t="s">
        <v>70</v>
      </c>
      <c r="G14112" s="14">
        <v>44827</v>
      </c>
      <c r="H14112" s="13" t="s">
        <v>163</v>
      </c>
    </row>
    <row r="14113" spans="1:8" ht="14.4" x14ac:dyDescent="0.3">
      <c r="A14113" s="8">
        <v>2071879</v>
      </c>
      <c r="B14113" s="11">
        <v>44825</v>
      </c>
      <c r="C14113" s="13" t="s">
        <v>14796</v>
      </c>
      <c r="D14113" s="13" t="s">
        <v>13736</v>
      </c>
      <c r="E14113" s="8">
        <v>4949809.92</v>
      </c>
      <c r="F14113" s="13" t="s">
        <v>70</v>
      </c>
      <c r="G14113" s="14">
        <v>44826</v>
      </c>
      <c r="H14113" s="13" t="s">
        <v>163</v>
      </c>
    </row>
    <row r="14114" spans="1:8" ht="14.4" x14ac:dyDescent="0.3">
      <c r="A14114" s="8">
        <v>2071880</v>
      </c>
      <c r="B14114" s="11">
        <v>44825</v>
      </c>
      <c r="C14114" s="13" t="s">
        <v>14796</v>
      </c>
      <c r="D14114" s="13" t="s">
        <v>17147</v>
      </c>
      <c r="E14114" s="8">
        <v>4731707.5</v>
      </c>
      <c r="F14114" s="13" t="s">
        <v>70</v>
      </c>
      <c r="G14114" s="14">
        <v>44826</v>
      </c>
      <c r="H14114" s="13" t="s">
        <v>163</v>
      </c>
    </row>
    <row r="14115" spans="1:8" ht="14.4" x14ac:dyDescent="0.3">
      <c r="A14115" s="8">
        <v>2071881</v>
      </c>
      <c r="B14115" s="11">
        <v>44825</v>
      </c>
      <c r="C14115" s="13" t="s">
        <v>18364</v>
      </c>
      <c r="D14115" s="13" t="s">
        <v>18365</v>
      </c>
      <c r="E14115" s="8">
        <v>4000</v>
      </c>
      <c r="F14115" s="13" t="s">
        <v>70</v>
      </c>
      <c r="G14115" s="14">
        <v>44827</v>
      </c>
      <c r="H14115" s="13" t="s">
        <v>163</v>
      </c>
    </row>
    <row r="14116" spans="1:8" ht="14.4" x14ac:dyDescent="0.3">
      <c r="A14116" s="8">
        <v>2071882</v>
      </c>
      <c r="B14116" s="11">
        <v>44826</v>
      </c>
      <c r="C14116" s="13" t="s">
        <v>18366</v>
      </c>
      <c r="D14116" s="13" t="s">
        <v>18367</v>
      </c>
      <c r="E14116" s="8">
        <v>16000</v>
      </c>
      <c r="F14116" s="13" t="s">
        <v>70</v>
      </c>
      <c r="G14116" s="14">
        <v>44832</v>
      </c>
      <c r="H14116" s="13" t="s">
        <v>163</v>
      </c>
    </row>
    <row r="14117" spans="1:8" ht="14.4" x14ac:dyDescent="0.3">
      <c r="A14117" s="8">
        <v>2071883</v>
      </c>
      <c r="B14117" s="11">
        <v>44826</v>
      </c>
      <c r="C14117" s="13" t="s">
        <v>11789</v>
      </c>
      <c r="D14117" s="13" t="s">
        <v>18368</v>
      </c>
      <c r="E14117" s="8">
        <v>8000</v>
      </c>
      <c r="F14117" s="13" t="s">
        <v>70</v>
      </c>
      <c r="G14117" s="14">
        <v>44831</v>
      </c>
      <c r="H14117" s="13" t="s">
        <v>163</v>
      </c>
    </row>
    <row r="14118" spans="1:8" ht="14.4" x14ac:dyDescent="0.3">
      <c r="A14118" s="8">
        <v>2071884</v>
      </c>
      <c r="B14118" s="11">
        <v>44826</v>
      </c>
      <c r="C14118" s="13" t="s">
        <v>18369</v>
      </c>
      <c r="D14118" s="13" t="s">
        <v>18370</v>
      </c>
      <c r="E14118" s="8">
        <v>6000</v>
      </c>
      <c r="F14118" s="13" t="s">
        <v>70</v>
      </c>
      <c r="G14118" s="14">
        <v>44831</v>
      </c>
      <c r="H14118" s="13" t="s">
        <v>163</v>
      </c>
    </row>
    <row r="14119" spans="1:8" ht="14.4" x14ac:dyDescent="0.3">
      <c r="A14119" s="8">
        <v>2071885</v>
      </c>
      <c r="B14119" s="11">
        <v>44826</v>
      </c>
      <c r="C14119" s="13" t="s">
        <v>18371</v>
      </c>
      <c r="D14119" s="13" t="s">
        <v>18372</v>
      </c>
      <c r="E14119" s="8">
        <v>10000</v>
      </c>
      <c r="F14119" s="13" t="s">
        <v>70</v>
      </c>
      <c r="G14119" s="14">
        <v>44831</v>
      </c>
      <c r="H14119" s="13" t="s">
        <v>163</v>
      </c>
    </row>
    <row r="14120" spans="1:8" ht="14.4" x14ac:dyDescent="0.3">
      <c r="A14120" s="8">
        <v>2071886</v>
      </c>
      <c r="B14120" s="11">
        <v>44826</v>
      </c>
      <c r="C14120" s="13" t="s">
        <v>18373</v>
      </c>
      <c r="D14120" s="13" t="s">
        <v>18374</v>
      </c>
      <c r="E14120" s="8">
        <v>6000</v>
      </c>
      <c r="F14120" s="13" t="s">
        <v>70</v>
      </c>
      <c r="G14120" s="14">
        <v>44831</v>
      </c>
      <c r="H14120" s="13" t="s">
        <v>163</v>
      </c>
    </row>
    <row r="14121" spans="1:8" ht="14.4" x14ac:dyDescent="0.3">
      <c r="A14121" s="8">
        <v>2071887</v>
      </c>
      <c r="B14121" s="11">
        <v>44826</v>
      </c>
      <c r="C14121" s="13" t="s">
        <v>1694</v>
      </c>
      <c r="D14121" s="13" t="s">
        <v>18375</v>
      </c>
      <c r="E14121" s="8">
        <v>20000</v>
      </c>
      <c r="F14121" s="13" t="s">
        <v>70</v>
      </c>
      <c r="G14121" s="14">
        <v>44831</v>
      </c>
      <c r="H14121" s="13" t="s">
        <v>163</v>
      </c>
    </row>
    <row r="14122" spans="1:8" ht="14.4" x14ac:dyDescent="0.3">
      <c r="A14122" s="8">
        <v>2071888</v>
      </c>
      <c r="B14122" s="11">
        <v>44826</v>
      </c>
      <c r="C14122" s="13" t="s">
        <v>18180</v>
      </c>
      <c r="D14122" s="13" t="s">
        <v>18376</v>
      </c>
      <c r="E14122" s="8">
        <v>6000</v>
      </c>
      <c r="F14122" s="13" t="s">
        <v>70</v>
      </c>
      <c r="G14122" s="14">
        <v>44831</v>
      </c>
      <c r="H14122" s="13" t="s">
        <v>163</v>
      </c>
    </row>
    <row r="14123" spans="1:8" ht="14.4" x14ac:dyDescent="0.3">
      <c r="A14123" s="8">
        <v>2071889</v>
      </c>
      <c r="B14123" s="11">
        <v>44826</v>
      </c>
      <c r="C14123" s="13" t="s">
        <v>18377</v>
      </c>
      <c r="D14123" s="13" t="s">
        <v>18378</v>
      </c>
      <c r="E14123" s="8">
        <v>4000</v>
      </c>
      <c r="F14123" s="13" t="s">
        <v>70</v>
      </c>
      <c r="G14123" s="14">
        <v>44831</v>
      </c>
      <c r="H14123" s="13" t="s">
        <v>163</v>
      </c>
    </row>
    <row r="14124" spans="1:8" ht="14.4" x14ac:dyDescent="0.3">
      <c r="A14124" s="8">
        <v>2071890</v>
      </c>
      <c r="B14124" s="11">
        <v>44826</v>
      </c>
      <c r="C14124" s="13" t="s">
        <v>18379</v>
      </c>
      <c r="D14124" s="13" t="s">
        <v>14062</v>
      </c>
      <c r="E14124" s="8">
        <v>4000</v>
      </c>
      <c r="F14124" s="13" t="s">
        <v>70</v>
      </c>
      <c r="G14124" s="14">
        <v>44831</v>
      </c>
      <c r="H14124" s="13" t="s">
        <v>163</v>
      </c>
    </row>
    <row r="14125" spans="1:8" ht="14.4" x14ac:dyDescent="0.3">
      <c r="A14125" s="8">
        <v>2071891</v>
      </c>
      <c r="B14125" s="11">
        <v>44826</v>
      </c>
      <c r="C14125" s="13" t="s">
        <v>18380</v>
      </c>
      <c r="D14125" s="13" t="s">
        <v>14062</v>
      </c>
      <c r="E14125" s="8">
        <v>1000</v>
      </c>
      <c r="F14125" s="13" t="s">
        <v>70</v>
      </c>
      <c r="G14125" s="14">
        <v>44831</v>
      </c>
      <c r="H14125" s="13" t="s">
        <v>163</v>
      </c>
    </row>
    <row r="14126" spans="1:8" ht="14.4" x14ac:dyDescent="0.3">
      <c r="A14126" s="8">
        <v>2071892</v>
      </c>
      <c r="B14126" s="11">
        <v>44826</v>
      </c>
      <c r="C14126" s="13" t="s">
        <v>18381</v>
      </c>
      <c r="D14126" s="13" t="s">
        <v>18382</v>
      </c>
      <c r="E14126" s="8">
        <v>4000</v>
      </c>
      <c r="F14126" s="13" t="s">
        <v>70</v>
      </c>
      <c r="G14126" s="14">
        <v>44867</v>
      </c>
      <c r="H14126" s="13" t="s">
        <v>163</v>
      </c>
    </row>
    <row r="14127" spans="1:8" ht="14.4" x14ac:dyDescent="0.3">
      <c r="A14127" s="8">
        <v>2071893</v>
      </c>
      <c r="B14127" s="11">
        <v>44826</v>
      </c>
      <c r="C14127" s="13" t="s">
        <v>18383</v>
      </c>
      <c r="D14127" s="13" t="s">
        <v>18384</v>
      </c>
      <c r="E14127" s="8">
        <v>4000</v>
      </c>
      <c r="F14127" s="13" t="s">
        <v>70</v>
      </c>
      <c r="G14127" s="14">
        <v>44833</v>
      </c>
      <c r="H14127" s="13" t="s">
        <v>163</v>
      </c>
    </row>
    <row r="14128" spans="1:8" ht="14.4" x14ac:dyDescent="0.3">
      <c r="A14128" s="8">
        <v>2071894</v>
      </c>
      <c r="B14128" s="11">
        <v>44826</v>
      </c>
      <c r="C14128" s="13" t="s">
        <v>18385</v>
      </c>
      <c r="D14128" s="13" t="s">
        <v>18386</v>
      </c>
      <c r="E14128" s="8">
        <v>8000</v>
      </c>
      <c r="F14128" s="13" t="s">
        <v>70</v>
      </c>
      <c r="G14128" s="14">
        <v>44841</v>
      </c>
      <c r="H14128" s="13" t="s">
        <v>163</v>
      </c>
    </row>
    <row r="14129" spans="1:8" ht="14.4" x14ac:dyDescent="0.3">
      <c r="A14129" s="8">
        <v>2071895</v>
      </c>
      <c r="B14129" s="11">
        <v>44826</v>
      </c>
      <c r="C14129" s="13" t="s">
        <v>18387</v>
      </c>
      <c r="D14129" s="13" t="s">
        <v>18388</v>
      </c>
      <c r="E14129" s="8">
        <v>2000</v>
      </c>
      <c r="F14129" s="13" t="s">
        <v>70</v>
      </c>
      <c r="G14129" s="14">
        <v>44831</v>
      </c>
      <c r="H14129" s="13" t="s">
        <v>163</v>
      </c>
    </row>
    <row r="14130" spans="1:8" ht="14.4" x14ac:dyDescent="0.3">
      <c r="A14130" s="8">
        <v>2071896</v>
      </c>
      <c r="B14130" s="11">
        <v>44826</v>
      </c>
      <c r="C14130" s="13" t="s">
        <v>14278</v>
      </c>
      <c r="D14130" s="13" t="s">
        <v>18389</v>
      </c>
      <c r="E14130" s="8">
        <v>2000</v>
      </c>
      <c r="F14130" s="13" t="s">
        <v>70</v>
      </c>
      <c r="G14130" s="14">
        <v>44831</v>
      </c>
      <c r="H14130" s="13" t="s">
        <v>163</v>
      </c>
    </row>
    <row r="14131" spans="1:8" ht="14.4" x14ac:dyDescent="0.3">
      <c r="A14131" s="8">
        <v>2071897</v>
      </c>
      <c r="B14131" s="11">
        <v>44826</v>
      </c>
      <c r="C14131" s="13" t="s">
        <v>18390</v>
      </c>
      <c r="D14131" s="13" t="s">
        <v>18391</v>
      </c>
      <c r="E14131" s="8">
        <v>3000</v>
      </c>
      <c r="F14131" s="13" t="s">
        <v>70</v>
      </c>
      <c r="G14131" s="14">
        <v>44831</v>
      </c>
      <c r="H14131" s="13" t="s">
        <v>163</v>
      </c>
    </row>
    <row r="14132" spans="1:8" ht="14.4" x14ac:dyDescent="0.3">
      <c r="A14132" s="8">
        <v>2071898</v>
      </c>
      <c r="B14132" s="11">
        <v>44826</v>
      </c>
      <c r="C14132" s="13" t="s">
        <v>18392</v>
      </c>
      <c r="D14132" s="13" t="s">
        <v>166</v>
      </c>
      <c r="E14132" s="8">
        <v>4000</v>
      </c>
      <c r="F14132" s="13" t="s">
        <v>70</v>
      </c>
      <c r="G14132" s="14">
        <v>44831</v>
      </c>
      <c r="H14132" s="13" t="s">
        <v>163</v>
      </c>
    </row>
    <row r="14133" spans="1:8" ht="14.4" x14ac:dyDescent="0.3">
      <c r="A14133" s="8">
        <v>2071899</v>
      </c>
      <c r="B14133" s="11">
        <v>44826</v>
      </c>
      <c r="C14133" s="13" t="s">
        <v>18393</v>
      </c>
      <c r="D14133" s="13" t="s">
        <v>18394</v>
      </c>
      <c r="E14133" s="8">
        <v>6000</v>
      </c>
      <c r="F14133" s="13" t="s">
        <v>70</v>
      </c>
      <c r="G14133" s="14">
        <v>44831</v>
      </c>
      <c r="H14133" s="13" t="s">
        <v>163</v>
      </c>
    </row>
    <row r="14134" spans="1:8" ht="14.4" x14ac:dyDescent="0.3">
      <c r="A14134" s="8">
        <v>2071900</v>
      </c>
      <c r="B14134" s="11">
        <v>44826</v>
      </c>
      <c r="C14134" s="13" t="s">
        <v>18395</v>
      </c>
      <c r="D14134" s="13" t="s">
        <v>166</v>
      </c>
      <c r="E14134" s="8">
        <v>4000</v>
      </c>
      <c r="F14134" s="13" t="s">
        <v>70</v>
      </c>
      <c r="G14134" s="14">
        <v>44831</v>
      </c>
      <c r="H14134" s="13" t="s">
        <v>163</v>
      </c>
    </row>
    <row r="14135" spans="1:8" ht="14.4" x14ac:dyDescent="0.3">
      <c r="A14135" s="8">
        <v>2071901</v>
      </c>
      <c r="B14135" s="11">
        <v>44826</v>
      </c>
      <c r="C14135" s="13" t="s">
        <v>18396</v>
      </c>
      <c r="D14135" s="13" t="s">
        <v>18397</v>
      </c>
      <c r="E14135" s="8">
        <v>6000</v>
      </c>
      <c r="F14135" s="13" t="s">
        <v>70</v>
      </c>
      <c r="G14135" s="14">
        <v>44831</v>
      </c>
      <c r="H14135" s="13" t="s">
        <v>163</v>
      </c>
    </row>
    <row r="14136" spans="1:8" ht="14.4" x14ac:dyDescent="0.3">
      <c r="A14136" s="8">
        <v>2071902</v>
      </c>
      <c r="B14136" s="11">
        <v>44826</v>
      </c>
      <c r="C14136" s="13" t="s">
        <v>11900</v>
      </c>
      <c r="D14136" s="13" t="s">
        <v>13597</v>
      </c>
      <c r="E14136" s="8">
        <v>10000</v>
      </c>
      <c r="F14136" s="13" t="s">
        <v>70</v>
      </c>
      <c r="G14136" s="14">
        <v>44833</v>
      </c>
      <c r="H14136" s="13" t="s">
        <v>163</v>
      </c>
    </row>
    <row r="14137" spans="1:8" ht="14.4" x14ac:dyDescent="0.3">
      <c r="A14137" s="8">
        <v>2071903</v>
      </c>
      <c r="B14137" s="11">
        <v>44826</v>
      </c>
      <c r="C14137" s="13" t="s">
        <v>18398</v>
      </c>
      <c r="D14137" s="13" t="s">
        <v>18399</v>
      </c>
      <c r="E14137" s="8">
        <v>10000</v>
      </c>
      <c r="F14137" s="13" t="s">
        <v>70</v>
      </c>
      <c r="G14137" s="14">
        <v>44868</v>
      </c>
      <c r="H14137" s="13" t="s">
        <v>163</v>
      </c>
    </row>
    <row r="14138" spans="1:8" ht="14.4" x14ac:dyDescent="0.3">
      <c r="A14138" s="8">
        <v>2071904</v>
      </c>
      <c r="B14138" s="11">
        <v>44826</v>
      </c>
      <c r="C14138" s="13" t="s">
        <v>18400</v>
      </c>
      <c r="D14138" s="13" t="s">
        <v>18401</v>
      </c>
      <c r="E14138" s="8">
        <v>4000</v>
      </c>
      <c r="F14138" s="13" t="s">
        <v>70</v>
      </c>
      <c r="G14138" s="14">
        <v>44831</v>
      </c>
      <c r="H14138" s="13" t="s">
        <v>163</v>
      </c>
    </row>
    <row r="14139" spans="1:8" ht="14.4" x14ac:dyDescent="0.3">
      <c r="A14139" s="8">
        <v>2071905</v>
      </c>
      <c r="B14139" s="11">
        <v>44826</v>
      </c>
      <c r="C14139" s="13" t="s">
        <v>18402</v>
      </c>
      <c r="D14139" s="13" t="s">
        <v>167</v>
      </c>
      <c r="E14139" s="8">
        <v>6000</v>
      </c>
      <c r="F14139" s="13" t="s">
        <v>70</v>
      </c>
      <c r="G14139" s="14">
        <v>44831</v>
      </c>
      <c r="H14139" s="13" t="s">
        <v>163</v>
      </c>
    </row>
    <row r="14140" spans="1:8" ht="14.4" x14ac:dyDescent="0.3">
      <c r="A14140" s="8">
        <v>2071906</v>
      </c>
      <c r="B14140" s="11">
        <v>44826</v>
      </c>
      <c r="C14140" s="13" t="s">
        <v>9490</v>
      </c>
      <c r="D14140" s="13" t="s">
        <v>14062</v>
      </c>
      <c r="E14140" s="8">
        <v>2000</v>
      </c>
      <c r="F14140" s="13" t="s">
        <v>70</v>
      </c>
      <c r="G14140" s="14">
        <v>44831</v>
      </c>
      <c r="H14140" s="13" t="s">
        <v>163</v>
      </c>
    </row>
    <row r="14141" spans="1:8" ht="14.4" x14ac:dyDescent="0.3">
      <c r="A14141" s="8">
        <v>2071907</v>
      </c>
      <c r="B14141" s="11">
        <v>44826</v>
      </c>
      <c r="C14141" s="13" t="s">
        <v>18403</v>
      </c>
      <c r="D14141" s="13" t="s">
        <v>18404</v>
      </c>
      <c r="E14141" s="8">
        <v>2000</v>
      </c>
      <c r="F14141" s="13" t="s">
        <v>70</v>
      </c>
      <c r="G14141" s="14">
        <v>44831</v>
      </c>
      <c r="H14141" s="13" t="s">
        <v>163</v>
      </c>
    </row>
    <row r="14142" spans="1:8" ht="14.4" x14ac:dyDescent="0.3">
      <c r="A14142" s="8">
        <v>2071908</v>
      </c>
      <c r="B14142" s="11">
        <v>44826</v>
      </c>
      <c r="C14142" s="13" t="s">
        <v>18405</v>
      </c>
      <c r="D14142" s="13" t="s">
        <v>18406</v>
      </c>
      <c r="E14142" s="8">
        <v>8000</v>
      </c>
      <c r="F14142" s="13" t="s">
        <v>70</v>
      </c>
      <c r="G14142" s="14">
        <v>44832</v>
      </c>
      <c r="H14142" s="13" t="s">
        <v>163</v>
      </c>
    </row>
    <row r="14143" spans="1:8" ht="14.4" x14ac:dyDescent="0.3">
      <c r="A14143" s="8">
        <v>2071909</v>
      </c>
      <c r="B14143" s="11">
        <v>44826</v>
      </c>
      <c r="C14143" s="13" t="s">
        <v>18407</v>
      </c>
      <c r="D14143" s="13" t="s">
        <v>18408</v>
      </c>
      <c r="E14143" s="8">
        <v>8000</v>
      </c>
      <c r="F14143" s="13" t="s">
        <v>70</v>
      </c>
      <c r="G14143" s="14">
        <v>44831</v>
      </c>
      <c r="H14143" s="13" t="s">
        <v>163</v>
      </c>
    </row>
    <row r="14144" spans="1:8" ht="14.4" x14ac:dyDescent="0.3">
      <c r="A14144" s="8">
        <v>2071910</v>
      </c>
      <c r="B14144" s="11">
        <v>44826</v>
      </c>
      <c r="C14144" s="13" t="s">
        <v>12036</v>
      </c>
      <c r="D14144" s="13" t="s">
        <v>18409</v>
      </c>
      <c r="E14144" s="8">
        <v>10000</v>
      </c>
      <c r="F14144" s="13" t="s">
        <v>70</v>
      </c>
      <c r="G14144" s="14">
        <v>44831</v>
      </c>
      <c r="H14144" s="13" t="s">
        <v>163</v>
      </c>
    </row>
    <row r="14145" spans="1:8" ht="14.4" x14ac:dyDescent="0.3">
      <c r="A14145" s="8">
        <v>2071911</v>
      </c>
      <c r="B14145" s="11">
        <v>44826</v>
      </c>
      <c r="C14145" s="13" t="s">
        <v>18410</v>
      </c>
      <c r="D14145" s="13" t="s">
        <v>18411</v>
      </c>
      <c r="E14145" s="8">
        <v>8000</v>
      </c>
      <c r="F14145" s="13" t="s">
        <v>70</v>
      </c>
      <c r="G14145" s="14">
        <v>44833</v>
      </c>
      <c r="H14145" s="13" t="s">
        <v>163</v>
      </c>
    </row>
    <row r="14146" spans="1:8" ht="14.4" x14ac:dyDescent="0.3">
      <c r="A14146" s="8">
        <v>2071912</v>
      </c>
      <c r="B14146" s="11">
        <v>44826</v>
      </c>
      <c r="C14146" s="13" t="s">
        <v>18412</v>
      </c>
      <c r="D14146" s="13" t="s">
        <v>18413</v>
      </c>
      <c r="E14146" s="8">
        <v>8000</v>
      </c>
      <c r="F14146" s="13" t="s">
        <v>70</v>
      </c>
      <c r="G14146" s="14">
        <v>44831</v>
      </c>
      <c r="H14146" s="13" t="s">
        <v>163</v>
      </c>
    </row>
    <row r="14147" spans="1:8" ht="14.4" x14ac:dyDescent="0.3">
      <c r="A14147" s="8">
        <v>2071913</v>
      </c>
      <c r="B14147" s="11">
        <v>44826</v>
      </c>
      <c r="C14147" s="13" t="s">
        <v>18414</v>
      </c>
      <c r="D14147" s="13" t="s">
        <v>18415</v>
      </c>
      <c r="E14147" s="8">
        <v>8000</v>
      </c>
      <c r="F14147" s="13" t="s">
        <v>70</v>
      </c>
      <c r="G14147" s="14">
        <v>44831</v>
      </c>
      <c r="H14147" s="13" t="s">
        <v>163</v>
      </c>
    </row>
    <row r="14148" spans="1:8" ht="14.4" x14ac:dyDescent="0.3">
      <c r="A14148" s="8">
        <v>2071914</v>
      </c>
      <c r="B14148" s="11">
        <v>44826</v>
      </c>
      <c r="C14148" s="13" t="s">
        <v>18416</v>
      </c>
      <c r="D14148" s="13" t="s">
        <v>18417</v>
      </c>
      <c r="E14148" s="8">
        <v>20000</v>
      </c>
      <c r="F14148" s="13" t="s">
        <v>70</v>
      </c>
      <c r="G14148" s="14">
        <v>44827</v>
      </c>
      <c r="H14148" s="13" t="s">
        <v>163</v>
      </c>
    </row>
    <row r="14149" spans="1:8" ht="14.4" x14ac:dyDescent="0.3">
      <c r="A14149" s="8">
        <v>2071915</v>
      </c>
      <c r="B14149" s="11">
        <v>44826</v>
      </c>
      <c r="C14149" s="13" t="s">
        <v>18418</v>
      </c>
      <c r="D14149" s="13" t="s">
        <v>18419</v>
      </c>
      <c r="E14149" s="8">
        <v>4000</v>
      </c>
      <c r="F14149" s="13" t="s">
        <v>70</v>
      </c>
      <c r="G14149" s="14">
        <v>44831</v>
      </c>
      <c r="H14149" s="13" t="s">
        <v>163</v>
      </c>
    </row>
    <row r="14150" spans="1:8" ht="14.4" x14ac:dyDescent="0.3">
      <c r="A14150" s="8">
        <v>2071916</v>
      </c>
      <c r="B14150" s="11">
        <v>44826</v>
      </c>
      <c r="C14150" s="13" t="s">
        <v>18420</v>
      </c>
      <c r="D14150" s="13" t="s">
        <v>18421</v>
      </c>
      <c r="E14150" s="8">
        <v>6000</v>
      </c>
      <c r="F14150" s="13" t="s">
        <v>70</v>
      </c>
      <c r="G14150" s="14">
        <v>44831</v>
      </c>
      <c r="H14150" s="13" t="s">
        <v>163</v>
      </c>
    </row>
    <row r="14151" spans="1:8" ht="14.4" x14ac:dyDescent="0.3">
      <c r="A14151" s="8">
        <v>2071917</v>
      </c>
      <c r="B14151" s="11">
        <v>44826</v>
      </c>
      <c r="C14151" s="13" t="s">
        <v>18422</v>
      </c>
      <c r="D14151" s="13" t="s">
        <v>18423</v>
      </c>
      <c r="E14151" s="8">
        <v>10000</v>
      </c>
      <c r="F14151" s="13" t="s">
        <v>70</v>
      </c>
      <c r="G14151" s="14">
        <v>44831</v>
      </c>
      <c r="H14151" s="13" t="s">
        <v>163</v>
      </c>
    </row>
    <row r="14152" spans="1:8" ht="14.4" x14ac:dyDescent="0.3">
      <c r="A14152" s="8">
        <v>2071918</v>
      </c>
      <c r="B14152" s="11">
        <v>44826</v>
      </c>
      <c r="C14152" s="13" t="s">
        <v>18424</v>
      </c>
      <c r="D14152" s="13" t="s">
        <v>18425</v>
      </c>
      <c r="E14152" s="8">
        <v>16000</v>
      </c>
      <c r="F14152" s="13" t="s">
        <v>70</v>
      </c>
      <c r="G14152" s="14">
        <v>44833</v>
      </c>
      <c r="H14152" s="13" t="s">
        <v>163</v>
      </c>
    </row>
    <row r="14153" spans="1:8" ht="14.4" x14ac:dyDescent="0.3">
      <c r="A14153" s="8">
        <v>2071919</v>
      </c>
      <c r="B14153" s="11">
        <v>44826</v>
      </c>
      <c r="C14153" s="13" t="s">
        <v>18426</v>
      </c>
      <c r="D14153" s="13" t="s">
        <v>18427</v>
      </c>
      <c r="E14153" s="8">
        <v>6000</v>
      </c>
      <c r="F14153" s="13" t="s">
        <v>70</v>
      </c>
      <c r="G14153" s="14">
        <v>44827</v>
      </c>
      <c r="H14153" s="13" t="s">
        <v>163</v>
      </c>
    </row>
    <row r="14154" spans="1:8" ht="14.4" x14ac:dyDescent="0.3">
      <c r="A14154" s="8">
        <v>2071920</v>
      </c>
      <c r="B14154" s="11">
        <v>44826</v>
      </c>
      <c r="C14154" s="13" t="s">
        <v>18428</v>
      </c>
      <c r="D14154" s="13" t="s">
        <v>18429</v>
      </c>
      <c r="E14154" s="8">
        <v>8000</v>
      </c>
      <c r="F14154" s="13" t="s">
        <v>70</v>
      </c>
      <c r="G14154" s="14">
        <v>44831</v>
      </c>
      <c r="H14154" s="13" t="s">
        <v>163</v>
      </c>
    </row>
    <row r="14155" spans="1:8" ht="14.4" x14ac:dyDescent="0.3">
      <c r="A14155" s="8">
        <v>2071921</v>
      </c>
      <c r="B14155" s="11">
        <v>44826</v>
      </c>
      <c r="C14155" s="13" t="s">
        <v>18430</v>
      </c>
      <c r="D14155" s="13" t="s">
        <v>18431</v>
      </c>
      <c r="E14155" s="8">
        <v>30000</v>
      </c>
      <c r="F14155" s="13" t="s">
        <v>70</v>
      </c>
      <c r="G14155" s="14">
        <v>44839</v>
      </c>
      <c r="H14155" s="13" t="s">
        <v>163</v>
      </c>
    </row>
    <row r="14156" spans="1:8" ht="14.4" x14ac:dyDescent="0.3">
      <c r="A14156" s="8">
        <v>2071922</v>
      </c>
      <c r="B14156" s="11">
        <v>44826</v>
      </c>
      <c r="C14156" s="13" t="s">
        <v>18432</v>
      </c>
      <c r="D14156" s="13" t="s">
        <v>18433</v>
      </c>
      <c r="E14156" s="8">
        <v>6000</v>
      </c>
      <c r="F14156" s="13" t="s">
        <v>70</v>
      </c>
      <c r="G14156" s="14">
        <v>44831</v>
      </c>
      <c r="H14156" s="13" t="s">
        <v>163</v>
      </c>
    </row>
    <row r="14157" spans="1:8" ht="14.4" x14ac:dyDescent="0.3">
      <c r="A14157" s="8">
        <v>2071923</v>
      </c>
      <c r="B14157" s="11">
        <v>44826</v>
      </c>
      <c r="C14157" s="13" t="s">
        <v>12054</v>
      </c>
      <c r="D14157" s="13" t="s">
        <v>18434</v>
      </c>
      <c r="E14157" s="8">
        <v>8000</v>
      </c>
      <c r="F14157" s="13" t="s">
        <v>70</v>
      </c>
      <c r="G14157" s="14">
        <v>44839</v>
      </c>
      <c r="H14157" s="13" t="s">
        <v>163</v>
      </c>
    </row>
    <row r="14158" spans="1:8" ht="14.4" x14ac:dyDescent="0.3">
      <c r="A14158" s="8">
        <v>2071924</v>
      </c>
      <c r="B14158" s="11">
        <v>44826</v>
      </c>
      <c r="C14158" s="13" t="s">
        <v>12054</v>
      </c>
      <c r="D14158" s="13" t="s">
        <v>18435</v>
      </c>
      <c r="E14158" s="8">
        <v>8000</v>
      </c>
      <c r="F14158" s="13" t="s">
        <v>70</v>
      </c>
      <c r="G14158" s="14">
        <v>44839</v>
      </c>
      <c r="H14158" s="13" t="s">
        <v>163</v>
      </c>
    </row>
    <row r="14159" spans="1:8" ht="14.4" x14ac:dyDescent="0.3">
      <c r="A14159" s="8">
        <v>2071925</v>
      </c>
      <c r="B14159" s="11">
        <v>44826</v>
      </c>
      <c r="C14159" s="13" t="s">
        <v>18436</v>
      </c>
      <c r="D14159" s="13" t="s">
        <v>18437</v>
      </c>
      <c r="E14159" s="8">
        <v>6000</v>
      </c>
      <c r="F14159" s="13" t="s">
        <v>70</v>
      </c>
      <c r="G14159" s="14">
        <v>44831</v>
      </c>
      <c r="H14159" s="13" t="s">
        <v>163</v>
      </c>
    </row>
    <row r="14160" spans="1:8" ht="14.4" x14ac:dyDescent="0.3">
      <c r="A14160" s="8">
        <v>2071926</v>
      </c>
      <c r="B14160" s="11">
        <v>44826</v>
      </c>
      <c r="C14160" s="13" t="s">
        <v>18438</v>
      </c>
      <c r="D14160" s="13" t="s">
        <v>14062</v>
      </c>
      <c r="E14160" s="8">
        <v>2000</v>
      </c>
      <c r="F14160" s="13" t="s">
        <v>70</v>
      </c>
      <c r="G14160" s="14">
        <v>44831</v>
      </c>
      <c r="H14160" s="13" t="s">
        <v>163</v>
      </c>
    </row>
    <row r="14161" spans="1:8" ht="14.4" x14ac:dyDescent="0.3">
      <c r="A14161" s="8">
        <v>2071928</v>
      </c>
      <c r="B14161" s="11">
        <v>44826</v>
      </c>
      <c r="C14161" s="13" t="s">
        <v>16584</v>
      </c>
      <c r="D14161" s="13" t="s">
        <v>18439</v>
      </c>
      <c r="E14161" s="8">
        <v>8000</v>
      </c>
      <c r="F14161" s="13" t="s">
        <v>70</v>
      </c>
      <c r="G14161" s="14">
        <v>44831</v>
      </c>
      <c r="H14161" s="13" t="s">
        <v>163</v>
      </c>
    </row>
    <row r="14162" spans="1:8" ht="14.4" x14ac:dyDescent="0.3">
      <c r="A14162" s="8">
        <v>2071929</v>
      </c>
      <c r="B14162" s="11">
        <v>44826</v>
      </c>
      <c r="C14162" s="13" t="s">
        <v>18440</v>
      </c>
      <c r="D14162" s="13" t="s">
        <v>18441</v>
      </c>
      <c r="E14162" s="8">
        <v>2000</v>
      </c>
      <c r="F14162" s="13" t="s">
        <v>70</v>
      </c>
      <c r="G14162" s="14">
        <v>44831</v>
      </c>
      <c r="H14162" s="13" t="s">
        <v>163</v>
      </c>
    </row>
    <row r="14163" spans="1:8" ht="14.4" x14ac:dyDescent="0.3">
      <c r="A14163" s="8">
        <v>2071930</v>
      </c>
      <c r="B14163" s="11">
        <v>44826</v>
      </c>
      <c r="C14163" s="13" t="s">
        <v>18442</v>
      </c>
      <c r="D14163" s="13" t="s">
        <v>18443</v>
      </c>
      <c r="E14163" s="8">
        <v>8000</v>
      </c>
      <c r="F14163" s="13" t="s">
        <v>70</v>
      </c>
      <c r="G14163" s="14">
        <v>44832</v>
      </c>
      <c r="H14163" s="13" t="s">
        <v>163</v>
      </c>
    </row>
    <row r="14164" spans="1:8" ht="14.4" x14ac:dyDescent="0.3">
      <c r="A14164" s="8">
        <v>2071931</v>
      </c>
      <c r="B14164" s="11">
        <v>44826</v>
      </c>
      <c r="C14164" s="13" t="s">
        <v>18444</v>
      </c>
      <c r="D14164" s="13" t="s">
        <v>18445</v>
      </c>
      <c r="E14164" s="8">
        <v>6000</v>
      </c>
      <c r="F14164" s="13" t="s">
        <v>70</v>
      </c>
      <c r="G14164" s="14">
        <v>44831</v>
      </c>
      <c r="H14164" s="13" t="s">
        <v>163</v>
      </c>
    </row>
    <row r="14165" spans="1:8" ht="14.4" x14ac:dyDescent="0.3">
      <c r="A14165" s="8">
        <v>2071932</v>
      </c>
      <c r="B14165" s="11">
        <v>44826</v>
      </c>
      <c r="C14165" s="13" t="s">
        <v>1524</v>
      </c>
      <c r="D14165" s="13" t="s">
        <v>18446</v>
      </c>
      <c r="E14165" s="8">
        <v>4984.92</v>
      </c>
      <c r="F14165" s="13" t="s">
        <v>70</v>
      </c>
      <c r="G14165" s="14">
        <v>44834</v>
      </c>
      <c r="H14165" s="13" t="s">
        <v>163</v>
      </c>
    </row>
    <row r="14166" spans="1:8" ht="14.4" x14ac:dyDescent="0.3">
      <c r="A14166" s="8">
        <v>2071933</v>
      </c>
      <c r="B14166" s="11">
        <v>44826</v>
      </c>
      <c r="C14166" s="13" t="s">
        <v>18447</v>
      </c>
      <c r="D14166" s="13" t="s">
        <v>18448</v>
      </c>
      <c r="E14166" s="8">
        <v>5000</v>
      </c>
      <c r="F14166" s="13" t="s">
        <v>70</v>
      </c>
      <c r="G14166" s="14">
        <v>44831</v>
      </c>
      <c r="H14166" s="13" t="s">
        <v>163</v>
      </c>
    </row>
    <row r="14167" spans="1:8" ht="14.4" x14ac:dyDescent="0.3">
      <c r="A14167" s="8">
        <v>2071934</v>
      </c>
      <c r="B14167" s="11">
        <v>44826</v>
      </c>
      <c r="C14167" s="13" t="s">
        <v>18449</v>
      </c>
      <c r="D14167" s="13" t="s">
        <v>14062</v>
      </c>
      <c r="E14167" s="8">
        <v>4000</v>
      </c>
      <c r="F14167" s="13" t="s">
        <v>70</v>
      </c>
      <c r="G14167" s="14">
        <v>44831</v>
      </c>
      <c r="H14167" s="13" t="s">
        <v>163</v>
      </c>
    </row>
    <row r="14168" spans="1:8" ht="14.4" x14ac:dyDescent="0.3">
      <c r="A14168" s="8">
        <v>2071935</v>
      </c>
      <c r="B14168" s="11">
        <v>44827</v>
      </c>
      <c r="C14168" s="13" t="s">
        <v>17323</v>
      </c>
      <c r="D14168" s="13" t="s">
        <v>18450</v>
      </c>
      <c r="E14168" s="8">
        <v>4000</v>
      </c>
      <c r="F14168" s="13" t="s">
        <v>70</v>
      </c>
      <c r="G14168" s="14">
        <v>44833</v>
      </c>
      <c r="H14168" s="13" t="s">
        <v>163</v>
      </c>
    </row>
    <row r="14169" spans="1:8" ht="14.4" x14ac:dyDescent="0.3">
      <c r="A14169" s="8">
        <v>2071937</v>
      </c>
      <c r="B14169" s="11">
        <v>44827</v>
      </c>
      <c r="C14169" s="13" t="s">
        <v>18451</v>
      </c>
      <c r="D14169" s="13" t="s">
        <v>164</v>
      </c>
      <c r="E14169" s="8">
        <v>2000</v>
      </c>
      <c r="F14169" s="13" t="s">
        <v>70</v>
      </c>
      <c r="G14169" s="14">
        <v>44832</v>
      </c>
      <c r="H14169" s="13" t="s">
        <v>163</v>
      </c>
    </row>
    <row r="14170" spans="1:8" ht="14.4" x14ac:dyDescent="0.3">
      <c r="A14170" s="8">
        <v>2071938</v>
      </c>
      <c r="B14170" s="11">
        <v>44827</v>
      </c>
      <c r="C14170" s="13" t="s">
        <v>18452</v>
      </c>
      <c r="D14170" s="13" t="s">
        <v>18453</v>
      </c>
      <c r="E14170" s="8">
        <v>6000</v>
      </c>
      <c r="F14170" s="13" t="s">
        <v>70</v>
      </c>
      <c r="G14170" s="14">
        <v>44832</v>
      </c>
      <c r="H14170" s="13" t="s">
        <v>163</v>
      </c>
    </row>
    <row r="14171" spans="1:8" ht="14.4" x14ac:dyDescent="0.3">
      <c r="A14171" s="8">
        <v>2071939</v>
      </c>
      <c r="B14171" s="11">
        <v>44827</v>
      </c>
      <c r="C14171" s="13" t="s">
        <v>18454</v>
      </c>
      <c r="D14171" s="13" t="s">
        <v>18455</v>
      </c>
      <c r="E14171" s="8">
        <v>6000</v>
      </c>
      <c r="F14171" s="13" t="s">
        <v>70</v>
      </c>
      <c r="G14171" s="14">
        <v>44832</v>
      </c>
      <c r="H14171" s="13" t="s">
        <v>163</v>
      </c>
    </row>
    <row r="14172" spans="1:8" ht="14.4" x14ac:dyDescent="0.3">
      <c r="A14172" s="8">
        <v>2071940</v>
      </c>
      <c r="B14172" s="11">
        <v>44827</v>
      </c>
      <c r="C14172" s="13" t="s">
        <v>18456</v>
      </c>
      <c r="D14172" s="13" t="s">
        <v>18457</v>
      </c>
      <c r="E14172" s="8">
        <v>4000</v>
      </c>
      <c r="F14172" s="13" t="s">
        <v>70</v>
      </c>
      <c r="G14172" s="14">
        <v>44831</v>
      </c>
      <c r="H14172" s="13" t="s">
        <v>163</v>
      </c>
    </row>
    <row r="14173" spans="1:8" ht="14.4" x14ac:dyDescent="0.3">
      <c r="A14173" s="8">
        <v>2071941</v>
      </c>
      <c r="B14173" s="11">
        <v>44827</v>
      </c>
      <c r="C14173" s="13" t="s">
        <v>10254</v>
      </c>
      <c r="D14173" s="13" t="s">
        <v>18458</v>
      </c>
      <c r="E14173" s="8">
        <v>6000</v>
      </c>
      <c r="F14173" s="13" t="s">
        <v>70</v>
      </c>
      <c r="G14173" s="14">
        <v>44832</v>
      </c>
      <c r="H14173" s="13" t="s">
        <v>163</v>
      </c>
    </row>
    <row r="14174" spans="1:8" ht="14.4" x14ac:dyDescent="0.3">
      <c r="A14174" s="8">
        <v>2071942</v>
      </c>
      <c r="B14174" s="11">
        <v>44827</v>
      </c>
      <c r="C14174" s="13" t="s">
        <v>10224</v>
      </c>
      <c r="D14174" s="13" t="s">
        <v>18459</v>
      </c>
      <c r="E14174" s="8">
        <v>6000</v>
      </c>
      <c r="F14174" s="13" t="s">
        <v>70</v>
      </c>
      <c r="G14174" s="14">
        <v>44832</v>
      </c>
      <c r="H14174" s="13" t="s">
        <v>163</v>
      </c>
    </row>
    <row r="14175" spans="1:8" ht="14.4" x14ac:dyDescent="0.3">
      <c r="A14175" s="8">
        <v>2071943</v>
      </c>
      <c r="B14175" s="11">
        <v>44827</v>
      </c>
      <c r="C14175" s="13" t="s">
        <v>18460</v>
      </c>
      <c r="D14175" s="13" t="s">
        <v>18461</v>
      </c>
      <c r="E14175" s="8">
        <v>6000</v>
      </c>
      <c r="F14175" s="13" t="s">
        <v>70</v>
      </c>
      <c r="G14175" s="14">
        <v>44832</v>
      </c>
      <c r="H14175" s="13" t="s">
        <v>163</v>
      </c>
    </row>
    <row r="14176" spans="1:8" ht="14.4" x14ac:dyDescent="0.3">
      <c r="A14176" s="8">
        <v>2071945</v>
      </c>
      <c r="B14176" s="11">
        <v>44827</v>
      </c>
      <c r="C14176" s="13" t="s">
        <v>18462</v>
      </c>
      <c r="D14176" s="13" t="s">
        <v>164</v>
      </c>
      <c r="E14176" s="8">
        <v>2000</v>
      </c>
      <c r="F14176" s="13" t="s">
        <v>70</v>
      </c>
      <c r="G14176" s="14">
        <v>44832</v>
      </c>
      <c r="H14176" s="13" t="s">
        <v>163</v>
      </c>
    </row>
    <row r="14177" spans="1:8" ht="14.4" x14ac:dyDescent="0.3">
      <c r="A14177" s="8">
        <v>2071946</v>
      </c>
      <c r="B14177" s="11">
        <v>44827</v>
      </c>
      <c r="C14177" s="13" t="s">
        <v>18463</v>
      </c>
      <c r="D14177" s="13" t="s">
        <v>18464</v>
      </c>
      <c r="E14177" s="8">
        <v>6000</v>
      </c>
      <c r="F14177" s="13" t="s">
        <v>70</v>
      </c>
      <c r="G14177" s="14">
        <v>44834</v>
      </c>
      <c r="H14177" s="13" t="s">
        <v>163</v>
      </c>
    </row>
    <row r="14178" spans="1:8" ht="14.4" x14ac:dyDescent="0.3">
      <c r="A14178" s="8">
        <v>2071947</v>
      </c>
      <c r="B14178" s="11">
        <v>44827</v>
      </c>
      <c r="C14178" s="13" t="s">
        <v>718</v>
      </c>
      <c r="D14178" s="13" t="s">
        <v>18465</v>
      </c>
      <c r="E14178" s="8">
        <v>8000</v>
      </c>
      <c r="F14178" s="13" t="s">
        <v>70</v>
      </c>
      <c r="G14178" s="14">
        <v>44832</v>
      </c>
      <c r="H14178" s="13" t="s">
        <v>163</v>
      </c>
    </row>
    <row r="14179" spans="1:8" ht="14.4" x14ac:dyDescent="0.3">
      <c r="A14179" s="8">
        <v>2071948</v>
      </c>
      <c r="B14179" s="11">
        <v>44827</v>
      </c>
      <c r="C14179" s="13" t="s">
        <v>1726</v>
      </c>
      <c r="D14179" s="13" t="s">
        <v>18466</v>
      </c>
      <c r="E14179" s="8">
        <v>12000</v>
      </c>
      <c r="F14179" s="13" t="s">
        <v>70</v>
      </c>
      <c r="G14179" s="14">
        <v>44834</v>
      </c>
      <c r="H14179" s="13" t="s">
        <v>163</v>
      </c>
    </row>
    <row r="14180" spans="1:8" ht="14.4" x14ac:dyDescent="0.3">
      <c r="A14180" s="8">
        <v>2071949</v>
      </c>
      <c r="B14180" s="11">
        <v>44827</v>
      </c>
      <c r="C14180" s="13" t="s">
        <v>18467</v>
      </c>
      <c r="D14180" s="13" t="s">
        <v>18468</v>
      </c>
      <c r="E14180" s="8">
        <v>4000</v>
      </c>
      <c r="F14180" s="13" t="s">
        <v>70</v>
      </c>
      <c r="G14180" s="14">
        <v>44832</v>
      </c>
      <c r="H14180" s="13" t="s">
        <v>163</v>
      </c>
    </row>
    <row r="14181" spans="1:8" ht="14.4" x14ac:dyDescent="0.3">
      <c r="A14181" s="8">
        <v>2071950</v>
      </c>
      <c r="B14181" s="11">
        <v>44827</v>
      </c>
      <c r="C14181" s="13" t="s">
        <v>18469</v>
      </c>
      <c r="D14181" s="13" t="s">
        <v>14318</v>
      </c>
      <c r="E14181" s="8">
        <v>4000</v>
      </c>
      <c r="F14181" s="13" t="s">
        <v>70</v>
      </c>
      <c r="G14181" s="14">
        <v>44832</v>
      </c>
      <c r="H14181" s="13" t="s">
        <v>163</v>
      </c>
    </row>
    <row r="14182" spans="1:8" ht="14.4" x14ac:dyDescent="0.3">
      <c r="A14182" s="8">
        <v>2071951</v>
      </c>
      <c r="B14182" s="11">
        <v>44827</v>
      </c>
      <c r="C14182" s="13" t="s">
        <v>12457</v>
      </c>
      <c r="D14182" s="13" t="s">
        <v>14318</v>
      </c>
      <c r="E14182" s="8">
        <v>2000</v>
      </c>
      <c r="F14182" s="13" t="s">
        <v>70</v>
      </c>
      <c r="G14182" s="14">
        <v>44832</v>
      </c>
      <c r="H14182" s="13" t="s">
        <v>163</v>
      </c>
    </row>
    <row r="14183" spans="1:8" ht="14.4" x14ac:dyDescent="0.3">
      <c r="A14183" s="8">
        <v>2071952</v>
      </c>
      <c r="B14183" s="11">
        <v>44827</v>
      </c>
      <c r="C14183" s="13" t="s">
        <v>18470</v>
      </c>
      <c r="D14183" s="13" t="s">
        <v>164</v>
      </c>
      <c r="E14183" s="8">
        <v>2000</v>
      </c>
      <c r="F14183" s="13" t="s">
        <v>70</v>
      </c>
      <c r="G14183" s="14">
        <v>44832</v>
      </c>
      <c r="H14183" s="13" t="s">
        <v>163</v>
      </c>
    </row>
    <row r="14184" spans="1:8" ht="14.4" x14ac:dyDescent="0.3">
      <c r="A14184" s="8">
        <v>2071953</v>
      </c>
      <c r="B14184" s="11">
        <v>44827</v>
      </c>
      <c r="C14184" s="13" t="s">
        <v>18471</v>
      </c>
      <c r="D14184" s="13" t="s">
        <v>164</v>
      </c>
      <c r="E14184" s="8">
        <v>5000</v>
      </c>
      <c r="F14184" s="13" t="s">
        <v>70</v>
      </c>
      <c r="G14184" s="14">
        <v>44832</v>
      </c>
      <c r="H14184" s="13" t="s">
        <v>163</v>
      </c>
    </row>
    <row r="14185" spans="1:8" ht="14.4" x14ac:dyDescent="0.3">
      <c r="A14185" s="8">
        <v>2071954</v>
      </c>
      <c r="B14185" s="11">
        <v>44827</v>
      </c>
      <c r="C14185" s="13" t="s">
        <v>18472</v>
      </c>
      <c r="D14185" s="13" t="s">
        <v>164</v>
      </c>
      <c r="E14185" s="8">
        <v>4000</v>
      </c>
      <c r="F14185" s="13" t="s">
        <v>70</v>
      </c>
      <c r="G14185" s="14">
        <v>44832</v>
      </c>
      <c r="H14185" s="13" t="s">
        <v>163</v>
      </c>
    </row>
    <row r="14186" spans="1:8" ht="14.4" x14ac:dyDescent="0.3">
      <c r="A14186" s="8">
        <v>2071955</v>
      </c>
      <c r="B14186" s="11">
        <v>44827</v>
      </c>
      <c r="C14186" s="13" t="s">
        <v>18473</v>
      </c>
      <c r="D14186" s="13" t="s">
        <v>164</v>
      </c>
      <c r="E14186" s="8">
        <v>8000</v>
      </c>
      <c r="F14186" s="13" t="s">
        <v>70</v>
      </c>
      <c r="G14186" s="14">
        <v>44832</v>
      </c>
      <c r="H14186" s="13" t="s">
        <v>163</v>
      </c>
    </row>
    <row r="14187" spans="1:8" ht="14.4" x14ac:dyDescent="0.3">
      <c r="A14187" s="8">
        <v>2071956</v>
      </c>
      <c r="B14187" s="11">
        <v>44827</v>
      </c>
      <c r="C14187" s="13" t="s">
        <v>18474</v>
      </c>
      <c r="D14187" s="13" t="s">
        <v>18475</v>
      </c>
      <c r="E14187" s="8">
        <v>6000</v>
      </c>
      <c r="F14187" s="13" t="s">
        <v>70</v>
      </c>
      <c r="G14187" s="14">
        <v>44831</v>
      </c>
      <c r="H14187" s="13" t="s">
        <v>163</v>
      </c>
    </row>
    <row r="14188" spans="1:8" ht="14.4" x14ac:dyDescent="0.3">
      <c r="A14188" s="8">
        <v>2071957</v>
      </c>
      <c r="B14188" s="11">
        <v>44827</v>
      </c>
      <c r="C14188" s="13" t="s">
        <v>18476</v>
      </c>
      <c r="D14188" s="13" t="s">
        <v>18477</v>
      </c>
      <c r="E14188" s="8">
        <v>10000</v>
      </c>
      <c r="F14188" s="13" t="s">
        <v>70</v>
      </c>
      <c r="G14188" s="14">
        <v>44832</v>
      </c>
      <c r="H14188" s="13" t="s">
        <v>163</v>
      </c>
    </row>
    <row r="14189" spans="1:8" ht="14.4" x14ac:dyDescent="0.3">
      <c r="A14189" s="8">
        <v>2071958</v>
      </c>
      <c r="B14189" s="11">
        <v>44827</v>
      </c>
      <c r="C14189" s="13" t="s">
        <v>8212</v>
      </c>
      <c r="D14189" s="13" t="s">
        <v>18478</v>
      </c>
      <c r="E14189" s="8">
        <v>10000</v>
      </c>
      <c r="F14189" s="13" t="s">
        <v>70</v>
      </c>
      <c r="G14189" s="14">
        <v>44832</v>
      </c>
      <c r="H14189" s="13" t="s">
        <v>163</v>
      </c>
    </row>
    <row r="14190" spans="1:8" ht="14.4" x14ac:dyDescent="0.3">
      <c r="A14190" s="8">
        <v>2071959</v>
      </c>
      <c r="B14190" s="11">
        <v>44827</v>
      </c>
      <c r="C14190" s="13" t="s">
        <v>18479</v>
      </c>
      <c r="D14190" s="13" t="s">
        <v>18480</v>
      </c>
      <c r="E14190" s="8">
        <v>8000</v>
      </c>
      <c r="F14190" s="13" t="s">
        <v>70</v>
      </c>
      <c r="G14190" s="14">
        <v>44832</v>
      </c>
      <c r="H14190" s="13" t="s">
        <v>163</v>
      </c>
    </row>
    <row r="14191" spans="1:8" ht="14.4" x14ac:dyDescent="0.3">
      <c r="A14191" s="8">
        <v>2071960</v>
      </c>
      <c r="B14191" s="11">
        <v>44827</v>
      </c>
      <c r="C14191" s="13" t="s">
        <v>18481</v>
      </c>
      <c r="D14191" s="13" t="s">
        <v>18482</v>
      </c>
      <c r="E14191" s="8">
        <v>6000</v>
      </c>
      <c r="F14191" s="13" t="s">
        <v>70</v>
      </c>
      <c r="G14191" s="14">
        <v>44834</v>
      </c>
      <c r="H14191" s="13" t="s">
        <v>163</v>
      </c>
    </row>
    <row r="14192" spans="1:8" ht="14.4" x14ac:dyDescent="0.3">
      <c r="A14192" s="8">
        <v>2071961</v>
      </c>
      <c r="B14192" s="11">
        <v>44827</v>
      </c>
      <c r="C14192" s="13" t="s">
        <v>8681</v>
      </c>
      <c r="D14192" s="13" t="s">
        <v>18483</v>
      </c>
      <c r="E14192" s="8">
        <v>8000</v>
      </c>
      <c r="F14192" s="13" t="s">
        <v>70</v>
      </c>
      <c r="G14192" s="14">
        <v>44827</v>
      </c>
      <c r="H14192" s="13" t="s">
        <v>163</v>
      </c>
    </row>
    <row r="14193" spans="1:8" ht="14.4" x14ac:dyDescent="0.3">
      <c r="A14193" s="8">
        <v>2071962</v>
      </c>
      <c r="B14193" s="11">
        <v>44827</v>
      </c>
      <c r="C14193" s="13" t="s">
        <v>18484</v>
      </c>
      <c r="D14193" s="13" t="s">
        <v>18485</v>
      </c>
      <c r="E14193" s="8">
        <v>3000</v>
      </c>
      <c r="F14193" s="13" t="s">
        <v>70</v>
      </c>
      <c r="G14193" s="14">
        <v>44832</v>
      </c>
      <c r="H14193" s="13" t="s">
        <v>163</v>
      </c>
    </row>
    <row r="14194" spans="1:8" ht="14.4" x14ac:dyDescent="0.3">
      <c r="A14194" s="8">
        <v>2071963</v>
      </c>
      <c r="B14194" s="11">
        <v>44827</v>
      </c>
      <c r="C14194" s="13" t="s">
        <v>18486</v>
      </c>
      <c r="D14194" s="13" t="s">
        <v>18487</v>
      </c>
      <c r="E14194" s="8">
        <v>6000</v>
      </c>
      <c r="F14194" s="13" t="s">
        <v>70</v>
      </c>
      <c r="G14194" s="14">
        <v>44832</v>
      </c>
      <c r="H14194" s="13" t="s">
        <v>163</v>
      </c>
    </row>
    <row r="14195" spans="1:8" ht="14.4" x14ac:dyDescent="0.3">
      <c r="A14195" s="8">
        <v>2071964</v>
      </c>
      <c r="B14195" s="11">
        <v>44827</v>
      </c>
      <c r="C14195" s="13" t="s">
        <v>18488</v>
      </c>
      <c r="D14195" s="13" t="s">
        <v>18489</v>
      </c>
      <c r="E14195" s="8">
        <v>10000</v>
      </c>
      <c r="F14195" s="13" t="s">
        <v>70</v>
      </c>
      <c r="G14195" s="14">
        <v>44832</v>
      </c>
      <c r="H14195" s="13" t="s">
        <v>163</v>
      </c>
    </row>
    <row r="14196" spans="1:8" ht="14.4" x14ac:dyDescent="0.3">
      <c r="A14196" s="8">
        <v>2071965</v>
      </c>
      <c r="B14196" s="11">
        <v>44827</v>
      </c>
      <c r="C14196" s="13" t="s">
        <v>1932</v>
      </c>
      <c r="D14196" s="13" t="s">
        <v>18490</v>
      </c>
      <c r="E14196" s="8">
        <v>297400</v>
      </c>
      <c r="F14196" s="13" t="s">
        <v>70</v>
      </c>
      <c r="G14196" s="14">
        <v>44827</v>
      </c>
      <c r="H14196" s="13" t="s">
        <v>163</v>
      </c>
    </row>
    <row r="14197" spans="1:8" ht="14.4" x14ac:dyDescent="0.3">
      <c r="A14197" s="8">
        <v>2071966</v>
      </c>
      <c r="B14197" s="11">
        <v>44827</v>
      </c>
      <c r="C14197" s="13" t="s">
        <v>18491</v>
      </c>
      <c r="D14197" s="13" t="s">
        <v>18492</v>
      </c>
      <c r="E14197" s="8">
        <v>20000</v>
      </c>
      <c r="F14197" s="13" t="s">
        <v>70</v>
      </c>
      <c r="G14197" s="14">
        <v>44832</v>
      </c>
      <c r="H14197" s="13" t="s">
        <v>163</v>
      </c>
    </row>
    <row r="14198" spans="1:8" ht="14.4" x14ac:dyDescent="0.3">
      <c r="A14198" s="8">
        <v>2071967</v>
      </c>
      <c r="B14198" s="11">
        <v>44827</v>
      </c>
      <c r="C14198" s="13" t="s">
        <v>18493</v>
      </c>
      <c r="D14198" s="13" t="s">
        <v>18494</v>
      </c>
      <c r="E14198" s="8">
        <v>6000</v>
      </c>
      <c r="F14198" s="13" t="s">
        <v>70</v>
      </c>
      <c r="G14198" s="14">
        <v>44832</v>
      </c>
      <c r="H14198" s="13" t="s">
        <v>163</v>
      </c>
    </row>
    <row r="14199" spans="1:8" ht="14.4" x14ac:dyDescent="0.3">
      <c r="A14199" s="8">
        <v>2071968</v>
      </c>
      <c r="B14199" s="11">
        <v>44827</v>
      </c>
      <c r="C14199" s="13" t="s">
        <v>18495</v>
      </c>
      <c r="D14199" s="13" t="s">
        <v>18496</v>
      </c>
      <c r="E14199" s="8">
        <v>2000</v>
      </c>
      <c r="F14199" s="13" t="s">
        <v>70</v>
      </c>
      <c r="G14199" s="14">
        <v>44832</v>
      </c>
      <c r="H14199" s="13" t="s">
        <v>163</v>
      </c>
    </row>
    <row r="14200" spans="1:8" ht="14.4" x14ac:dyDescent="0.3">
      <c r="A14200" s="8">
        <v>2071969</v>
      </c>
      <c r="B14200" s="11">
        <v>44827</v>
      </c>
      <c r="C14200" s="13" t="s">
        <v>18497</v>
      </c>
      <c r="D14200" s="13" t="s">
        <v>18498</v>
      </c>
      <c r="E14200" s="8">
        <v>2000</v>
      </c>
      <c r="F14200" s="13" t="s">
        <v>70</v>
      </c>
      <c r="G14200" s="14">
        <v>44832</v>
      </c>
      <c r="H14200" s="13" t="s">
        <v>163</v>
      </c>
    </row>
    <row r="14201" spans="1:8" ht="14.4" x14ac:dyDescent="0.3">
      <c r="A14201" s="8">
        <v>2071970</v>
      </c>
      <c r="B14201" s="11">
        <v>44827</v>
      </c>
      <c r="C14201" s="13" t="s">
        <v>18499</v>
      </c>
      <c r="D14201" s="13" t="s">
        <v>18500</v>
      </c>
      <c r="E14201" s="8">
        <v>5000</v>
      </c>
      <c r="F14201" s="13" t="s">
        <v>70</v>
      </c>
      <c r="G14201" s="14">
        <v>44833</v>
      </c>
      <c r="H14201" s="13" t="s">
        <v>163</v>
      </c>
    </row>
    <row r="14202" spans="1:8" ht="14.4" x14ac:dyDescent="0.3">
      <c r="A14202" s="8">
        <v>2071971</v>
      </c>
      <c r="B14202" s="11">
        <v>44827</v>
      </c>
      <c r="C14202" s="13" t="s">
        <v>18501</v>
      </c>
      <c r="D14202" s="13" t="s">
        <v>18502</v>
      </c>
      <c r="E14202" s="8">
        <v>6000</v>
      </c>
      <c r="F14202" s="13" t="s">
        <v>70</v>
      </c>
      <c r="G14202" s="14">
        <v>44832</v>
      </c>
      <c r="H14202" s="13" t="s">
        <v>163</v>
      </c>
    </row>
    <row r="14203" spans="1:8" ht="14.4" x14ac:dyDescent="0.3">
      <c r="A14203" s="8">
        <v>2071972</v>
      </c>
      <c r="B14203" s="11">
        <v>44827</v>
      </c>
      <c r="C14203" s="13" t="s">
        <v>18503</v>
      </c>
      <c r="D14203" s="13" t="s">
        <v>18504</v>
      </c>
      <c r="E14203" s="8">
        <v>2000</v>
      </c>
      <c r="F14203" s="13" t="s">
        <v>70</v>
      </c>
      <c r="G14203" s="14">
        <v>44832</v>
      </c>
      <c r="H14203" s="13" t="s">
        <v>163</v>
      </c>
    </row>
    <row r="14204" spans="1:8" ht="14.4" x14ac:dyDescent="0.3">
      <c r="A14204" s="8">
        <v>2071973</v>
      </c>
      <c r="B14204" s="11">
        <v>44827</v>
      </c>
      <c r="C14204" s="13" t="s">
        <v>18505</v>
      </c>
      <c r="D14204" s="13" t="s">
        <v>18506</v>
      </c>
      <c r="E14204" s="8">
        <v>8000</v>
      </c>
      <c r="F14204" s="13" t="s">
        <v>70</v>
      </c>
      <c r="G14204" s="14">
        <v>44832</v>
      </c>
      <c r="H14204" s="13" t="s">
        <v>163</v>
      </c>
    </row>
    <row r="14205" spans="1:8" ht="14.4" x14ac:dyDescent="0.3">
      <c r="A14205" s="8">
        <v>2071974</v>
      </c>
      <c r="B14205" s="11">
        <v>44827</v>
      </c>
      <c r="C14205" s="13" t="s">
        <v>18507</v>
      </c>
      <c r="D14205" s="13" t="s">
        <v>18508</v>
      </c>
      <c r="E14205" s="8">
        <v>10000</v>
      </c>
      <c r="F14205" s="13" t="s">
        <v>70</v>
      </c>
      <c r="G14205" s="14">
        <v>44832</v>
      </c>
      <c r="H14205" s="13" t="s">
        <v>163</v>
      </c>
    </row>
    <row r="14206" spans="1:8" ht="14.4" x14ac:dyDescent="0.3">
      <c r="A14206" s="8">
        <v>2071975</v>
      </c>
      <c r="B14206" s="11">
        <v>44827</v>
      </c>
      <c r="C14206" s="13" t="s">
        <v>18509</v>
      </c>
      <c r="D14206" s="13" t="s">
        <v>18510</v>
      </c>
      <c r="E14206" s="8">
        <v>10000</v>
      </c>
      <c r="F14206" s="13" t="s">
        <v>70</v>
      </c>
      <c r="G14206" s="14">
        <v>44832</v>
      </c>
      <c r="H14206" s="13" t="s">
        <v>163</v>
      </c>
    </row>
    <row r="14207" spans="1:8" ht="14.4" x14ac:dyDescent="0.3">
      <c r="A14207" s="8">
        <v>2071976</v>
      </c>
      <c r="B14207" s="11">
        <v>44827</v>
      </c>
      <c r="C14207" s="13" t="s">
        <v>18511</v>
      </c>
      <c r="D14207" s="13" t="s">
        <v>18512</v>
      </c>
      <c r="E14207" s="8">
        <v>6000</v>
      </c>
      <c r="F14207" s="13" t="s">
        <v>70</v>
      </c>
      <c r="G14207" s="14">
        <v>44832</v>
      </c>
      <c r="H14207" s="13" t="s">
        <v>163</v>
      </c>
    </row>
    <row r="14208" spans="1:8" ht="14.4" x14ac:dyDescent="0.3">
      <c r="A14208" s="8">
        <v>2071978</v>
      </c>
      <c r="B14208" s="11">
        <v>44827</v>
      </c>
      <c r="C14208" s="13" t="s">
        <v>18513</v>
      </c>
      <c r="D14208" s="13" t="s">
        <v>18514</v>
      </c>
      <c r="E14208" s="8">
        <v>10000</v>
      </c>
      <c r="F14208" s="13" t="s">
        <v>70</v>
      </c>
      <c r="G14208" s="14">
        <v>44832</v>
      </c>
      <c r="H14208" s="13" t="s">
        <v>163</v>
      </c>
    </row>
    <row r="14209" spans="1:8" ht="14.4" x14ac:dyDescent="0.3">
      <c r="A14209" s="8">
        <v>2071979</v>
      </c>
      <c r="B14209" s="11">
        <v>44827</v>
      </c>
      <c r="C14209" s="13" t="s">
        <v>18515</v>
      </c>
      <c r="D14209" s="13" t="s">
        <v>14062</v>
      </c>
      <c r="E14209" s="8">
        <v>8000</v>
      </c>
      <c r="F14209" s="13" t="s">
        <v>70</v>
      </c>
      <c r="G14209" s="14">
        <v>44832</v>
      </c>
      <c r="H14209" s="13" t="s">
        <v>163</v>
      </c>
    </row>
    <row r="14210" spans="1:8" ht="14.4" x14ac:dyDescent="0.3">
      <c r="A14210" s="8">
        <v>2071980</v>
      </c>
      <c r="B14210" s="11">
        <v>44827</v>
      </c>
      <c r="C14210" s="13" t="s">
        <v>18516</v>
      </c>
      <c r="D14210" s="13" t="s">
        <v>18517</v>
      </c>
      <c r="E14210" s="8">
        <v>2000</v>
      </c>
      <c r="F14210" s="13" t="s">
        <v>70</v>
      </c>
      <c r="G14210" s="14">
        <v>44832</v>
      </c>
      <c r="H14210" s="13" t="s">
        <v>163</v>
      </c>
    </row>
    <row r="14211" spans="1:8" ht="14.4" x14ac:dyDescent="0.3">
      <c r="A14211" s="8">
        <v>2071981</v>
      </c>
      <c r="B14211" s="11">
        <v>44827</v>
      </c>
      <c r="C14211" s="13" t="s">
        <v>18518</v>
      </c>
      <c r="D14211" s="13" t="s">
        <v>18519</v>
      </c>
      <c r="E14211" s="8">
        <v>2000</v>
      </c>
      <c r="F14211" s="13" t="s">
        <v>70</v>
      </c>
      <c r="G14211" s="14">
        <v>44832</v>
      </c>
      <c r="H14211" s="13" t="s">
        <v>163</v>
      </c>
    </row>
    <row r="14212" spans="1:8" ht="14.4" x14ac:dyDescent="0.3">
      <c r="A14212" s="8">
        <v>2071982</v>
      </c>
      <c r="B14212" s="11">
        <v>44827</v>
      </c>
      <c r="C14212" s="13" t="s">
        <v>18520</v>
      </c>
      <c r="D14212" s="13" t="s">
        <v>18521</v>
      </c>
      <c r="E14212" s="8">
        <v>2000</v>
      </c>
      <c r="F14212" s="13" t="s">
        <v>70</v>
      </c>
      <c r="G14212" s="14">
        <v>44832</v>
      </c>
      <c r="H14212" s="13" t="s">
        <v>163</v>
      </c>
    </row>
    <row r="14213" spans="1:8" ht="14.4" x14ac:dyDescent="0.3">
      <c r="A14213" s="8">
        <v>2071983</v>
      </c>
      <c r="B14213" s="11">
        <v>44827</v>
      </c>
      <c r="C14213" s="13" t="s">
        <v>18522</v>
      </c>
      <c r="D14213" s="13" t="s">
        <v>18523</v>
      </c>
      <c r="E14213" s="8">
        <v>8000</v>
      </c>
      <c r="F14213" s="13" t="s">
        <v>70</v>
      </c>
      <c r="G14213" s="14">
        <v>44832</v>
      </c>
      <c r="H14213" s="13" t="s">
        <v>163</v>
      </c>
    </row>
    <row r="14214" spans="1:8" ht="14.4" x14ac:dyDescent="0.3">
      <c r="A14214" s="8">
        <v>2071984</v>
      </c>
      <c r="B14214" s="11">
        <v>44827</v>
      </c>
      <c r="C14214" s="13" t="s">
        <v>12099</v>
      </c>
      <c r="D14214" s="13" t="s">
        <v>18524</v>
      </c>
      <c r="E14214" s="8">
        <v>6000</v>
      </c>
      <c r="F14214" s="13" t="s">
        <v>70</v>
      </c>
      <c r="G14214" s="14">
        <v>44832</v>
      </c>
      <c r="H14214" s="13" t="s">
        <v>163</v>
      </c>
    </row>
    <row r="14215" spans="1:8" ht="14.4" x14ac:dyDescent="0.3">
      <c r="A14215" s="8">
        <v>2071985</v>
      </c>
      <c r="B14215" s="11">
        <v>44827</v>
      </c>
      <c r="C14215" s="13" t="s">
        <v>12111</v>
      </c>
      <c r="D14215" s="13" t="s">
        <v>18525</v>
      </c>
      <c r="E14215" s="8">
        <v>6000</v>
      </c>
      <c r="F14215" s="13" t="s">
        <v>70</v>
      </c>
      <c r="G14215" s="14">
        <v>44854</v>
      </c>
      <c r="H14215" s="13" t="s">
        <v>163</v>
      </c>
    </row>
    <row r="14216" spans="1:8" ht="14.4" x14ac:dyDescent="0.3">
      <c r="A14216" s="8">
        <v>2071986</v>
      </c>
      <c r="B14216" s="11">
        <v>44827</v>
      </c>
      <c r="C14216" s="13" t="s">
        <v>18526</v>
      </c>
      <c r="D14216" s="13" t="s">
        <v>18527</v>
      </c>
      <c r="E14216" s="8">
        <v>4000</v>
      </c>
      <c r="F14216" s="13" t="s">
        <v>70</v>
      </c>
      <c r="G14216" s="14">
        <v>44832</v>
      </c>
      <c r="H14216" s="13" t="s">
        <v>163</v>
      </c>
    </row>
    <row r="14217" spans="1:8" ht="14.4" x14ac:dyDescent="0.3">
      <c r="A14217" s="8">
        <v>2071987</v>
      </c>
      <c r="B14217" s="11">
        <v>44827</v>
      </c>
      <c r="C14217" s="13" t="s">
        <v>18528</v>
      </c>
      <c r="D14217" s="13" t="s">
        <v>18529</v>
      </c>
      <c r="E14217" s="8">
        <v>6000</v>
      </c>
      <c r="F14217" s="13" t="s">
        <v>70</v>
      </c>
      <c r="G14217" s="14">
        <v>44832</v>
      </c>
      <c r="H14217" s="13" t="s">
        <v>163</v>
      </c>
    </row>
    <row r="14218" spans="1:8" ht="14.4" x14ac:dyDescent="0.3">
      <c r="A14218" s="8">
        <v>2071988</v>
      </c>
      <c r="B14218" s="11">
        <v>44827</v>
      </c>
      <c r="C14218" s="13" t="s">
        <v>18530</v>
      </c>
      <c r="D14218" s="13" t="s">
        <v>18531</v>
      </c>
      <c r="E14218" s="8">
        <v>4000</v>
      </c>
      <c r="F14218" s="13" t="s">
        <v>70</v>
      </c>
      <c r="G14218" s="14">
        <v>44833</v>
      </c>
      <c r="H14218" s="13" t="s">
        <v>163</v>
      </c>
    </row>
    <row r="14219" spans="1:8" ht="14.4" x14ac:dyDescent="0.3">
      <c r="A14219" s="8">
        <v>2071989</v>
      </c>
      <c r="B14219" s="11">
        <v>44827</v>
      </c>
      <c r="C14219" s="13" t="s">
        <v>18532</v>
      </c>
      <c r="D14219" s="13" t="s">
        <v>18533</v>
      </c>
      <c r="E14219" s="8">
        <v>4000</v>
      </c>
      <c r="F14219" s="13" t="s">
        <v>70</v>
      </c>
      <c r="G14219" s="14">
        <v>44832</v>
      </c>
      <c r="H14219" s="13" t="s">
        <v>163</v>
      </c>
    </row>
    <row r="14220" spans="1:8" ht="14.4" x14ac:dyDescent="0.3">
      <c r="A14220" s="8">
        <v>2071990</v>
      </c>
      <c r="B14220" s="11">
        <v>44827</v>
      </c>
      <c r="C14220" s="13" t="s">
        <v>18534</v>
      </c>
      <c r="D14220" s="13" t="s">
        <v>18535</v>
      </c>
      <c r="E14220" s="8">
        <v>2000</v>
      </c>
      <c r="F14220" s="13" t="s">
        <v>70</v>
      </c>
      <c r="G14220" s="14">
        <v>44832</v>
      </c>
      <c r="H14220" s="13" t="s">
        <v>163</v>
      </c>
    </row>
    <row r="14221" spans="1:8" ht="14.4" x14ac:dyDescent="0.3">
      <c r="A14221" s="8">
        <v>2071991</v>
      </c>
      <c r="B14221" s="11">
        <v>44827</v>
      </c>
      <c r="C14221" s="13" t="s">
        <v>18536</v>
      </c>
      <c r="D14221" s="13" t="s">
        <v>18537</v>
      </c>
      <c r="E14221" s="8">
        <v>2000</v>
      </c>
      <c r="F14221" s="13" t="s">
        <v>70</v>
      </c>
      <c r="G14221" s="14">
        <v>44833</v>
      </c>
      <c r="H14221" s="13" t="s">
        <v>163</v>
      </c>
    </row>
    <row r="14222" spans="1:8" ht="14.4" x14ac:dyDescent="0.3">
      <c r="A14222" s="8">
        <v>2071992</v>
      </c>
      <c r="B14222" s="11">
        <v>44827</v>
      </c>
      <c r="C14222" s="13" t="s">
        <v>18538</v>
      </c>
      <c r="D14222" s="13" t="s">
        <v>18539</v>
      </c>
      <c r="E14222" s="8">
        <v>2000</v>
      </c>
      <c r="F14222" s="13" t="s">
        <v>70</v>
      </c>
      <c r="G14222" s="14">
        <v>44832</v>
      </c>
      <c r="H14222" s="13" t="s">
        <v>163</v>
      </c>
    </row>
    <row r="14223" spans="1:8" ht="14.4" x14ac:dyDescent="0.3">
      <c r="A14223" s="8">
        <v>2071993</v>
      </c>
      <c r="B14223" s="11">
        <v>44827</v>
      </c>
      <c r="C14223" s="13" t="s">
        <v>18540</v>
      </c>
      <c r="D14223" s="13" t="s">
        <v>18541</v>
      </c>
      <c r="E14223" s="8">
        <v>2000</v>
      </c>
      <c r="F14223" s="13" t="s">
        <v>70</v>
      </c>
      <c r="G14223" s="14">
        <v>44832</v>
      </c>
      <c r="H14223" s="13" t="s">
        <v>163</v>
      </c>
    </row>
    <row r="14224" spans="1:8" ht="14.4" x14ac:dyDescent="0.3">
      <c r="A14224" s="8">
        <v>2071994</v>
      </c>
      <c r="B14224" s="11">
        <v>44827</v>
      </c>
      <c r="C14224" s="13" t="s">
        <v>18542</v>
      </c>
      <c r="D14224" s="13" t="s">
        <v>18543</v>
      </c>
      <c r="E14224" s="8">
        <v>2000</v>
      </c>
      <c r="F14224" s="13" t="s">
        <v>70</v>
      </c>
      <c r="G14224" s="14">
        <v>44832</v>
      </c>
      <c r="H14224" s="13" t="s">
        <v>163</v>
      </c>
    </row>
    <row r="14225" spans="1:8" ht="14.4" x14ac:dyDescent="0.3">
      <c r="A14225" s="8">
        <v>2071995</v>
      </c>
      <c r="B14225" s="11">
        <v>44827</v>
      </c>
      <c r="C14225" s="13" t="s">
        <v>18544</v>
      </c>
      <c r="D14225" s="13" t="s">
        <v>18545</v>
      </c>
      <c r="E14225" s="8">
        <v>4000</v>
      </c>
      <c r="F14225" s="13" t="s">
        <v>70</v>
      </c>
      <c r="G14225" s="14">
        <v>44832</v>
      </c>
      <c r="H14225" s="13" t="s">
        <v>163</v>
      </c>
    </row>
    <row r="14226" spans="1:8" ht="14.4" x14ac:dyDescent="0.3">
      <c r="A14226" s="8">
        <v>2071996</v>
      </c>
      <c r="B14226" s="11">
        <v>44827</v>
      </c>
      <c r="C14226" s="13" t="s">
        <v>15653</v>
      </c>
      <c r="D14226" s="13" t="s">
        <v>18546</v>
      </c>
      <c r="E14226" s="8">
        <v>2000</v>
      </c>
      <c r="F14226" s="13" t="s">
        <v>70</v>
      </c>
      <c r="G14226" s="14">
        <v>44832</v>
      </c>
      <c r="H14226" s="13" t="s">
        <v>163</v>
      </c>
    </row>
    <row r="14227" spans="1:8" ht="14.4" x14ac:dyDescent="0.3">
      <c r="A14227" s="8">
        <v>2071997</v>
      </c>
      <c r="B14227" s="11">
        <v>44827</v>
      </c>
      <c r="C14227" s="13" t="s">
        <v>18547</v>
      </c>
      <c r="D14227" s="13" t="s">
        <v>18548</v>
      </c>
      <c r="E14227" s="8">
        <v>6000</v>
      </c>
      <c r="F14227" s="13" t="s">
        <v>70</v>
      </c>
      <c r="G14227" s="14">
        <v>44832</v>
      </c>
      <c r="H14227" s="13" t="s">
        <v>163</v>
      </c>
    </row>
    <row r="14228" spans="1:8" ht="14.4" x14ac:dyDescent="0.3">
      <c r="A14228" s="8">
        <v>2071998</v>
      </c>
      <c r="B14228" s="11">
        <v>44827</v>
      </c>
      <c r="C14228" s="13" t="s">
        <v>18549</v>
      </c>
      <c r="D14228" s="13" t="s">
        <v>18550</v>
      </c>
      <c r="E14228" s="8">
        <v>4000</v>
      </c>
      <c r="F14228" s="13" t="s">
        <v>70</v>
      </c>
      <c r="G14228" s="14">
        <v>44832</v>
      </c>
      <c r="H14228" s="13" t="s">
        <v>163</v>
      </c>
    </row>
    <row r="14229" spans="1:8" ht="14.4" x14ac:dyDescent="0.3">
      <c r="A14229" s="8">
        <v>2071999</v>
      </c>
      <c r="B14229" s="11">
        <v>44827</v>
      </c>
      <c r="C14229" s="13" t="s">
        <v>18551</v>
      </c>
      <c r="D14229" s="13" t="s">
        <v>18552</v>
      </c>
      <c r="E14229" s="8">
        <v>6000</v>
      </c>
      <c r="F14229" s="13" t="s">
        <v>70</v>
      </c>
      <c r="G14229" s="14">
        <v>44832</v>
      </c>
      <c r="H14229" s="13" t="s">
        <v>163</v>
      </c>
    </row>
    <row r="14230" spans="1:8" ht="14.4" x14ac:dyDescent="0.3">
      <c r="A14230" s="8">
        <v>2072000</v>
      </c>
      <c r="B14230" s="11">
        <v>44827</v>
      </c>
      <c r="C14230" s="13" t="s">
        <v>18553</v>
      </c>
      <c r="D14230" s="13" t="s">
        <v>18554</v>
      </c>
      <c r="E14230" s="8">
        <v>10000</v>
      </c>
      <c r="F14230" s="13" t="s">
        <v>70</v>
      </c>
      <c r="G14230" s="14">
        <v>44832</v>
      </c>
      <c r="H14230" s="13" t="s">
        <v>163</v>
      </c>
    </row>
    <row r="14231" spans="1:8" ht="14.4" x14ac:dyDescent="0.3">
      <c r="A14231" s="8">
        <v>2072001</v>
      </c>
      <c r="B14231" s="11">
        <v>44827</v>
      </c>
      <c r="C14231" s="13" t="s">
        <v>18555</v>
      </c>
      <c r="D14231" s="13" t="s">
        <v>18556</v>
      </c>
      <c r="E14231" s="8">
        <v>6000</v>
      </c>
      <c r="F14231" s="13" t="s">
        <v>70</v>
      </c>
      <c r="G14231" s="14">
        <v>44832</v>
      </c>
      <c r="H14231" s="13" t="s">
        <v>163</v>
      </c>
    </row>
    <row r="14232" spans="1:8" ht="14.4" x14ac:dyDescent="0.3">
      <c r="A14232" s="8">
        <v>2072002</v>
      </c>
      <c r="B14232" s="11">
        <v>44827</v>
      </c>
      <c r="C14232" s="13" t="s">
        <v>18557</v>
      </c>
      <c r="D14232" s="13" t="s">
        <v>18558</v>
      </c>
      <c r="E14232" s="8">
        <v>8000</v>
      </c>
      <c r="F14232" s="13" t="s">
        <v>70</v>
      </c>
      <c r="G14232" s="14">
        <v>44832</v>
      </c>
      <c r="H14232" s="13" t="s">
        <v>163</v>
      </c>
    </row>
    <row r="14233" spans="1:8" ht="14.4" x14ac:dyDescent="0.3">
      <c r="A14233" s="8">
        <v>2072003</v>
      </c>
      <c r="B14233" s="11">
        <v>44827</v>
      </c>
      <c r="C14233" s="13" t="s">
        <v>3848</v>
      </c>
      <c r="D14233" s="13" t="s">
        <v>18559</v>
      </c>
      <c r="E14233" s="8">
        <v>6000</v>
      </c>
      <c r="F14233" s="13" t="s">
        <v>70</v>
      </c>
      <c r="G14233" s="14">
        <v>44840</v>
      </c>
      <c r="H14233" s="13" t="s">
        <v>163</v>
      </c>
    </row>
    <row r="14234" spans="1:8" ht="14.4" x14ac:dyDescent="0.3">
      <c r="A14234" s="8">
        <v>2072004</v>
      </c>
      <c r="B14234" s="11">
        <v>44827</v>
      </c>
      <c r="C14234" s="13" t="s">
        <v>18560</v>
      </c>
      <c r="D14234" s="13" t="s">
        <v>18561</v>
      </c>
      <c r="E14234" s="8">
        <v>4000</v>
      </c>
      <c r="F14234" s="13" t="s">
        <v>70</v>
      </c>
      <c r="G14234" s="14">
        <v>44831</v>
      </c>
      <c r="H14234" s="13" t="s">
        <v>163</v>
      </c>
    </row>
    <row r="14235" spans="1:8" ht="14.4" x14ac:dyDescent="0.3">
      <c r="A14235" s="8">
        <v>2072005</v>
      </c>
      <c r="B14235" s="11">
        <v>44827</v>
      </c>
      <c r="C14235" s="13" t="s">
        <v>669</v>
      </c>
      <c r="D14235" s="13" t="s">
        <v>18562</v>
      </c>
      <c r="E14235" s="8">
        <v>18827.8</v>
      </c>
      <c r="F14235" s="13" t="s">
        <v>70</v>
      </c>
      <c r="G14235" s="14">
        <v>44838</v>
      </c>
      <c r="H14235" s="13" t="s">
        <v>163</v>
      </c>
    </row>
    <row r="14236" spans="1:8" ht="14.4" x14ac:dyDescent="0.3">
      <c r="A14236" s="8">
        <v>2072006</v>
      </c>
      <c r="B14236" s="11">
        <v>44827</v>
      </c>
      <c r="C14236" s="13" t="s">
        <v>12083</v>
      </c>
      <c r="D14236" s="13" t="s">
        <v>18563</v>
      </c>
      <c r="E14236" s="8">
        <v>30000</v>
      </c>
      <c r="F14236" s="13" t="s">
        <v>70</v>
      </c>
      <c r="G14236" s="14">
        <v>44832</v>
      </c>
      <c r="H14236" s="13" t="s">
        <v>163</v>
      </c>
    </row>
    <row r="14237" spans="1:8" ht="14.4" x14ac:dyDescent="0.3">
      <c r="A14237" s="8">
        <v>2072007</v>
      </c>
      <c r="B14237" s="11">
        <v>44827</v>
      </c>
      <c r="C14237" s="13" t="s">
        <v>13860</v>
      </c>
      <c r="D14237" s="13" t="s">
        <v>18564</v>
      </c>
      <c r="E14237" s="8">
        <v>4000</v>
      </c>
      <c r="F14237" s="13" t="s">
        <v>70</v>
      </c>
      <c r="G14237" s="14">
        <v>44831</v>
      </c>
      <c r="H14237" s="13" t="s">
        <v>163</v>
      </c>
    </row>
    <row r="14238" spans="1:8" ht="14.4" x14ac:dyDescent="0.3">
      <c r="A14238" s="8">
        <v>2072008</v>
      </c>
      <c r="B14238" s="11">
        <v>44827</v>
      </c>
      <c r="C14238" s="13" t="s">
        <v>18565</v>
      </c>
      <c r="D14238" s="13" t="s">
        <v>18566</v>
      </c>
      <c r="E14238" s="8">
        <v>1000</v>
      </c>
      <c r="F14238" s="13" t="s">
        <v>70</v>
      </c>
      <c r="G14238" s="14">
        <v>44831</v>
      </c>
      <c r="H14238" s="13" t="s">
        <v>163</v>
      </c>
    </row>
    <row r="14239" spans="1:8" ht="14.4" x14ac:dyDescent="0.3">
      <c r="A14239" s="8">
        <v>2072009</v>
      </c>
      <c r="B14239" s="11">
        <v>44827</v>
      </c>
      <c r="C14239" s="13" t="s">
        <v>18567</v>
      </c>
      <c r="D14239" s="13" t="s">
        <v>18568</v>
      </c>
      <c r="E14239" s="8">
        <v>2000</v>
      </c>
      <c r="F14239" s="13" t="s">
        <v>70</v>
      </c>
      <c r="G14239" s="14">
        <v>44831</v>
      </c>
      <c r="H14239" s="13" t="s">
        <v>163</v>
      </c>
    </row>
    <row r="14240" spans="1:8" ht="14.4" x14ac:dyDescent="0.3">
      <c r="A14240" s="8">
        <v>2072010</v>
      </c>
      <c r="B14240" s="11">
        <v>44827</v>
      </c>
      <c r="C14240" s="13" t="s">
        <v>15611</v>
      </c>
      <c r="D14240" s="13" t="s">
        <v>18569</v>
      </c>
      <c r="E14240" s="8">
        <v>2000</v>
      </c>
      <c r="F14240" s="13" t="s">
        <v>70</v>
      </c>
      <c r="G14240" s="14">
        <v>44832</v>
      </c>
      <c r="H14240" s="13" t="s">
        <v>163</v>
      </c>
    </row>
    <row r="14241" spans="1:8" ht="14.4" x14ac:dyDescent="0.3">
      <c r="A14241" s="8">
        <v>2072011</v>
      </c>
      <c r="B14241" s="11">
        <v>44827</v>
      </c>
      <c r="C14241" s="13" t="s">
        <v>18570</v>
      </c>
      <c r="D14241" s="13" t="s">
        <v>18571</v>
      </c>
      <c r="E14241" s="8">
        <v>2000</v>
      </c>
      <c r="F14241" s="13" t="s">
        <v>70</v>
      </c>
      <c r="G14241" s="14">
        <v>44834</v>
      </c>
      <c r="H14241" s="13" t="s">
        <v>163</v>
      </c>
    </row>
    <row r="14242" spans="1:8" ht="14.4" x14ac:dyDescent="0.3">
      <c r="A14242" s="8">
        <v>2072012</v>
      </c>
      <c r="B14242" s="11">
        <v>44827</v>
      </c>
      <c r="C14242" s="13" t="s">
        <v>18572</v>
      </c>
      <c r="D14242" s="13" t="s">
        <v>18573</v>
      </c>
      <c r="E14242" s="8">
        <v>6000</v>
      </c>
      <c r="F14242" s="13" t="s">
        <v>70</v>
      </c>
      <c r="G14242" s="14">
        <v>44831</v>
      </c>
      <c r="H14242" s="13" t="s">
        <v>163</v>
      </c>
    </row>
    <row r="14243" spans="1:8" ht="14.4" x14ac:dyDescent="0.3">
      <c r="A14243" s="8">
        <v>2072013</v>
      </c>
      <c r="B14243" s="11">
        <v>44827</v>
      </c>
      <c r="C14243" s="13" t="s">
        <v>18574</v>
      </c>
      <c r="D14243" s="13" t="s">
        <v>14062</v>
      </c>
      <c r="E14243" s="8">
        <v>6000</v>
      </c>
      <c r="F14243" s="13" t="s">
        <v>70</v>
      </c>
      <c r="G14243" s="14">
        <v>44832</v>
      </c>
      <c r="H14243" s="13" t="s">
        <v>163</v>
      </c>
    </row>
    <row r="14244" spans="1:8" ht="14.4" x14ac:dyDescent="0.3">
      <c r="A14244" s="8">
        <v>2072014</v>
      </c>
      <c r="B14244" s="11">
        <v>44827</v>
      </c>
      <c r="C14244" s="13" t="s">
        <v>18575</v>
      </c>
      <c r="D14244" s="13" t="s">
        <v>18576</v>
      </c>
      <c r="E14244" s="8">
        <v>3000</v>
      </c>
      <c r="F14244" s="13" t="s">
        <v>70</v>
      </c>
      <c r="G14244" s="14">
        <v>44833</v>
      </c>
      <c r="H14244" s="13" t="s">
        <v>163</v>
      </c>
    </row>
    <row r="14245" spans="1:8" ht="14.4" x14ac:dyDescent="0.3">
      <c r="A14245" s="8">
        <v>2072015</v>
      </c>
      <c r="B14245" s="11">
        <v>44827</v>
      </c>
      <c r="C14245" s="13" t="s">
        <v>18577</v>
      </c>
      <c r="D14245" s="13" t="s">
        <v>18578</v>
      </c>
      <c r="E14245" s="8">
        <v>2000</v>
      </c>
      <c r="F14245" s="13" t="s">
        <v>70</v>
      </c>
      <c r="G14245" s="14">
        <v>44831</v>
      </c>
      <c r="H14245" s="13" t="s">
        <v>163</v>
      </c>
    </row>
    <row r="14246" spans="1:8" ht="14.4" x14ac:dyDescent="0.3">
      <c r="A14246" s="8">
        <v>2072016</v>
      </c>
      <c r="B14246" s="11">
        <v>44827</v>
      </c>
      <c r="C14246" s="13" t="s">
        <v>18579</v>
      </c>
      <c r="D14246" s="13" t="s">
        <v>18580</v>
      </c>
      <c r="E14246" s="8">
        <v>2000</v>
      </c>
      <c r="F14246" s="13" t="s">
        <v>70</v>
      </c>
      <c r="G14246" s="14">
        <v>44832</v>
      </c>
      <c r="H14246" s="13" t="s">
        <v>163</v>
      </c>
    </row>
    <row r="14247" spans="1:8" ht="14.4" x14ac:dyDescent="0.3">
      <c r="A14247" s="8">
        <v>2072017</v>
      </c>
      <c r="B14247" s="11">
        <v>44827</v>
      </c>
      <c r="C14247" s="13" t="s">
        <v>8089</v>
      </c>
      <c r="D14247" s="13" t="s">
        <v>18581</v>
      </c>
      <c r="E14247" s="8">
        <v>6000</v>
      </c>
      <c r="F14247" s="13" t="s">
        <v>70</v>
      </c>
      <c r="G14247" s="14">
        <v>44831</v>
      </c>
      <c r="H14247" s="13" t="s">
        <v>163</v>
      </c>
    </row>
    <row r="14248" spans="1:8" ht="14.4" x14ac:dyDescent="0.3">
      <c r="A14248" s="8">
        <v>2072018</v>
      </c>
      <c r="B14248" s="11">
        <v>44827</v>
      </c>
      <c r="C14248" s="13" t="s">
        <v>7615</v>
      </c>
      <c r="D14248" s="13" t="s">
        <v>15851</v>
      </c>
      <c r="E14248" s="8">
        <v>14000</v>
      </c>
      <c r="F14248" s="13" t="s">
        <v>70</v>
      </c>
      <c r="G14248" s="14">
        <v>44832</v>
      </c>
      <c r="H14248" s="13" t="s">
        <v>163</v>
      </c>
    </row>
    <row r="14249" spans="1:8" ht="14.4" x14ac:dyDescent="0.3">
      <c r="A14249" s="8">
        <v>2072019</v>
      </c>
      <c r="B14249" s="11">
        <v>44827</v>
      </c>
      <c r="C14249" s="13" t="s">
        <v>14050</v>
      </c>
      <c r="D14249" s="13" t="s">
        <v>14051</v>
      </c>
      <c r="E14249" s="8">
        <v>5000</v>
      </c>
      <c r="F14249" s="13" t="s">
        <v>70</v>
      </c>
      <c r="G14249" s="14">
        <v>44832</v>
      </c>
      <c r="H14249" s="13" t="s">
        <v>163</v>
      </c>
    </row>
    <row r="14250" spans="1:8" ht="14.4" x14ac:dyDescent="0.3">
      <c r="A14250" s="8">
        <v>2072021</v>
      </c>
      <c r="B14250" s="11">
        <v>44831</v>
      </c>
      <c r="C14250" s="13" t="s">
        <v>247</v>
      </c>
      <c r="D14250" s="13" t="s">
        <v>12274</v>
      </c>
      <c r="E14250" s="8">
        <v>2091</v>
      </c>
      <c r="F14250" s="13" t="s">
        <v>70</v>
      </c>
      <c r="G14250" s="14">
        <v>44838</v>
      </c>
      <c r="H14250" s="13" t="s">
        <v>163</v>
      </c>
    </row>
    <row r="14251" spans="1:8" ht="14.4" x14ac:dyDescent="0.3">
      <c r="A14251" s="8">
        <v>2072022</v>
      </c>
      <c r="B14251" s="11">
        <v>44831</v>
      </c>
      <c r="C14251" s="13" t="s">
        <v>18582</v>
      </c>
      <c r="D14251" s="13" t="s">
        <v>18583</v>
      </c>
      <c r="E14251" s="8">
        <v>10165</v>
      </c>
      <c r="F14251" s="13" t="s">
        <v>70</v>
      </c>
      <c r="G14251" s="14">
        <v>44875</v>
      </c>
      <c r="H14251" s="13" t="s">
        <v>163</v>
      </c>
    </row>
    <row r="14252" spans="1:8" ht="14.4" x14ac:dyDescent="0.3">
      <c r="A14252" s="8">
        <v>2072023</v>
      </c>
      <c r="B14252" s="11">
        <v>44832</v>
      </c>
      <c r="C14252" s="13" t="s">
        <v>18584</v>
      </c>
      <c r="D14252" s="13" t="s">
        <v>14062</v>
      </c>
      <c r="E14252" s="8">
        <v>1000</v>
      </c>
      <c r="F14252" s="13" t="s">
        <v>70</v>
      </c>
      <c r="G14252" s="14">
        <v>44832</v>
      </c>
      <c r="H14252" s="13" t="s">
        <v>163</v>
      </c>
    </row>
    <row r="14253" spans="1:8" ht="14.4" x14ac:dyDescent="0.3">
      <c r="A14253" s="8">
        <v>2072024</v>
      </c>
      <c r="B14253" s="11">
        <v>44832</v>
      </c>
      <c r="C14253" s="13" t="s">
        <v>18585</v>
      </c>
      <c r="D14253" s="13" t="s">
        <v>18586</v>
      </c>
      <c r="E14253" s="8">
        <v>6000</v>
      </c>
      <c r="F14253" s="13" t="s">
        <v>70</v>
      </c>
      <c r="G14253" s="14">
        <v>44834</v>
      </c>
      <c r="H14253" s="13" t="s">
        <v>163</v>
      </c>
    </row>
    <row r="14254" spans="1:8" ht="14.4" x14ac:dyDescent="0.3">
      <c r="A14254" s="8">
        <v>2072025</v>
      </c>
      <c r="B14254" s="11">
        <v>44832</v>
      </c>
      <c r="C14254" s="13" t="s">
        <v>18587</v>
      </c>
      <c r="D14254" s="13" t="s">
        <v>18588</v>
      </c>
      <c r="E14254" s="8">
        <v>2000</v>
      </c>
      <c r="F14254" s="13" t="s">
        <v>70</v>
      </c>
      <c r="G14254" s="14">
        <v>44833</v>
      </c>
      <c r="H14254" s="13" t="s">
        <v>163</v>
      </c>
    </row>
    <row r="14255" spans="1:8" ht="14.4" x14ac:dyDescent="0.3">
      <c r="A14255" s="8">
        <v>2072026</v>
      </c>
      <c r="B14255" s="11">
        <v>44832</v>
      </c>
      <c r="C14255" s="13" t="s">
        <v>18589</v>
      </c>
      <c r="D14255" s="13" t="s">
        <v>18590</v>
      </c>
      <c r="E14255" s="8">
        <v>6000</v>
      </c>
      <c r="F14255" s="13" t="s">
        <v>70</v>
      </c>
      <c r="G14255" s="14">
        <v>44837</v>
      </c>
      <c r="H14255" s="13" t="s">
        <v>163</v>
      </c>
    </row>
    <row r="14256" spans="1:8" ht="14.4" x14ac:dyDescent="0.3">
      <c r="A14256" s="8">
        <v>2072027</v>
      </c>
      <c r="B14256" s="11">
        <v>44832</v>
      </c>
      <c r="C14256" s="13" t="s">
        <v>18591</v>
      </c>
      <c r="D14256" s="13" t="s">
        <v>18592</v>
      </c>
      <c r="E14256" s="8">
        <v>4000</v>
      </c>
      <c r="F14256" s="13" t="s">
        <v>70</v>
      </c>
      <c r="G14256" s="14">
        <v>44833</v>
      </c>
      <c r="H14256" s="13" t="s">
        <v>163</v>
      </c>
    </row>
    <row r="14257" spans="1:8" ht="14.4" x14ac:dyDescent="0.3">
      <c r="A14257" s="8">
        <v>2072028</v>
      </c>
      <c r="B14257" s="11">
        <v>44832</v>
      </c>
      <c r="C14257" s="13" t="s">
        <v>18593</v>
      </c>
      <c r="D14257" s="13" t="s">
        <v>18594</v>
      </c>
      <c r="E14257" s="8">
        <v>6000</v>
      </c>
      <c r="F14257" s="13" t="s">
        <v>70</v>
      </c>
      <c r="G14257" s="14">
        <v>44833</v>
      </c>
      <c r="H14257" s="13" t="s">
        <v>163</v>
      </c>
    </row>
    <row r="14258" spans="1:8" ht="14.4" x14ac:dyDescent="0.3">
      <c r="A14258" s="8">
        <v>2072029</v>
      </c>
      <c r="B14258" s="11">
        <v>44832</v>
      </c>
      <c r="C14258" s="13" t="s">
        <v>18595</v>
      </c>
      <c r="D14258" s="13" t="s">
        <v>18596</v>
      </c>
      <c r="E14258" s="8">
        <v>6000</v>
      </c>
      <c r="F14258" s="13" t="s">
        <v>70</v>
      </c>
      <c r="G14258" s="14">
        <v>44833</v>
      </c>
      <c r="H14258" s="13" t="s">
        <v>163</v>
      </c>
    </row>
    <row r="14259" spans="1:8" ht="14.4" x14ac:dyDescent="0.3">
      <c r="A14259" s="8">
        <v>2072030</v>
      </c>
      <c r="B14259" s="11">
        <v>44832</v>
      </c>
      <c r="C14259" s="13" t="s">
        <v>18597</v>
      </c>
      <c r="D14259" s="13" t="s">
        <v>18598</v>
      </c>
      <c r="E14259" s="8">
        <v>6000</v>
      </c>
      <c r="F14259" s="13" t="s">
        <v>70</v>
      </c>
      <c r="G14259" s="14">
        <v>44833</v>
      </c>
      <c r="H14259" s="13" t="s">
        <v>163</v>
      </c>
    </row>
    <row r="14260" spans="1:8" ht="14.4" x14ac:dyDescent="0.3">
      <c r="A14260" s="8">
        <v>2072031</v>
      </c>
      <c r="B14260" s="11">
        <v>44832</v>
      </c>
      <c r="C14260" s="13" t="s">
        <v>18599</v>
      </c>
      <c r="D14260" s="13" t="s">
        <v>18600</v>
      </c>
      <c r="E14260" s="8">
        <v>16000</v>
      </c>
      <c r="F14260" s="13" t="s">
        <v>70</v>
      </c>
      <c r="G14260" s="14">
        <v>44833</v>
      </c>
      <c r="H14260" s="13" t="s">
        <v>163</v>
      </c>
    </row>
    <row r="14261" spans="1:8" ht="14.4" x14ac:dyDescent="0.3">
      <c r="A14261" s="8">
        <v>2072032</v>
      </c>
      <c r="B14261" s="11">
        <v>44832</v>
      </c>
      <c r="C14261" s="13" t="s">
        <v>12103</v>
      </c>
      <c r="D14261" s="13" t="s">
        <v>18601</v>
      </c>
      <c r="E14261" s="8">
        <v>6000</v>
      </c>
      <c r="F14261" s="13" t="s">
        <v>70</v>
      </c>
      <c r="G14261" s="14">
        <v>44834</v>
      </c>
      <c r="H14261" s="13" t="s">
        <v>163</v>
      </c>
    </row>
    <row r="14262" spans="1:8" ht="14.4" x14ac:dyDescent="0.3">
      <c r="A14262" s="8">
        <v>2072033</v>
      </c>
      <c r="B14262" s="11">
        <v>44832</v>
      </c>
      <c r="C14262" s="13" t="s">
        <v>12101</v>
      </c>
      <c r="D14262" s="13" t="s">
        <v>18602</v>
      </c>
      <c r="E14262" s="8">
        <v>4000</v>
      </c>
      <c r="F14262" s="13" t="s">
        <v>70</v>
      </c>
      <c r="G14262" s="14">
        <v>44833</v>
      </c>
      <c r="H14262" s="13" t="s">
        <v>163</v>
      </c>
    </row>
    <row r="14263" spans="1:8" ht="14.4" x14ac:dyDescent="0.3">
      <c r="A14263" s="8">
        <v>2072034</v>
      </c>
      <c r="B14263" s="11">
        <v>44832</v>
      </c>
      <c r="C14263" s="13" t="s">
        <v>18320</v>
      </c>
      <c r="D14263" s="13" t="s">
        <v>18603</v>
      </c>
      <c r="E14263" s="8">
        <v>4000</v>
      </c>
      <c r="F14263" s="13" t="s">
        <v>70</v>
      </c>
      <c r="G14263" s="14">
        <v>44838</v>
      </c>
      <c r="H14263" s="13" t="s">
        <v>163</v>
      </c>
    </row>
    <row r="14264" spans="1:8" ht="14.4" x14ac:dyDescent="0.3">
      <c r="A14264" s="8">
        <v>2072035</v>
      </c>
      <c r="B14264" s="11">
        <v>44832</v>
      </c>
      <c r="C14264" s="13" t="s">
        <v>18604</v>
      </c>
      <c r="D14264" s="13" t="s">
        <v>18605</v>
      </c>
      <c r="E14264" s="8">
        <v>6000</v>
      </c>
      <c r="F14264" s="13" t="s">
        <v>70</v>
      </c>
      <c r="G14264" s="14">
        <v>44834</v>
      </c>
      <c r="H14264" s="13" t="s">
        <v>163</v>
      </c>
    </row>
    <row r="14265" spans="1:8" ht="14.4" x14ac:dyDescent="0.3">
      <c r="A14265" s="8">
        <v>2072036</v>
      </c>
      <c r="B14265" s="11">
        <v>44832</v>
      </c>
      <c r="C14265" s="13" t="s">
        <v>18606</v>
      </c>
      <c r="D14265" s="13" t="s">
        <v>18607</v>
      </c>
      <c r="E14265" s="8">
        <v>6000</v>
      </c>
      <c r="F14265" s="13" t="s">
        <v>70</v>
      </c>
      <c r="G14265" s="14">
        <v>44834</v>
      </c>
      <c r="H14265" s="13" t="s">
        <v>163</v>
      </c>
    </row>
    <row r="14266" spans="1:8" ht="14.4" x14ac:dyDescent="0.3">
      <c r="A14266" s="8">
        <v>2072037</v>
      </c>
      <c r="B14266" s="11">
        <v>44832</v>
      </c>
      <c r="C14266" s="13" t="s">
        <v>18608</v>
      </c>
      <c r="D14266" s="13" t="s">
        <v>18609</v>
      </c>
      <c r="E14266" s="8">
        <v>4000</v>
      </c>
      <c r="F14266" s="13" t="s">
        <v>70</v>
      </c>
      <c r="G14266" s="14">
        <v>44834</v>
      </c>
      <c r="H14266" s="13" t="s">
        <v>163</v>
      </c>
    </row>
    <row r="14267" spans="1:8" ht="14.4" x14ac:dyDescent="0.3">
      <c r="A14267" s="8">
        <v>2072038</v>
      </c>
      <c r="B14267" s="11">
        <v>44832</v>
      </c>
      <c r="C14267" s="13" t="s">
        <v>18610</v>
      </c>
      <c r="D14267" s="13" t="s">
        <v>18611</v>
      </c>
      <c r="E14267" s="8">
        <v>4000</v>
      </c>
      <c r="F14267" s="13" t="s">
        <v>70</v>
      </c>
      <c r="G14267" s="14">
        <v>44833</v>
      </c>
      <c r="H14267" s="13" t="s">
        <v>163</v>
      </c>
    </row>
    <row r="14268" spans="1:8" ht="14.4" x14ac:dyDescent="0.3">
      <c r="A14268" s="8">
        <v>2072039</v>
      </c>
      <c r="B14268" s="11">
        <v>44832</v>
      </c>
      <c r="C14268" s="13" t="s">
        <v>18612</v>
      </c>
      <c r="D14268" s="13" t="s">
        <v>18613</v>
      </c>
      <c r="E14268" s="8">
        <v>4000</v>
      </c>
      <c r="F14268" s="13" t="s">
        <v>70</v>
      </c>
      <c r="G14268" s="14">
        <v>44839</v>
      </c>
      <c r="H14268" s="13" t="s">
        <v>163</v>
      </c>
    </row>
    <row r="14269" spans="1:8" ht="14.4" x14ac:dyDescent="0.3">
      <c r="A14269" s="8">
        <v>2072040</v>
      </c>
      <c r="B14269" s="11">
        <v>44832</v>
      </c>
      <c r="C14269" s="13" t="s">
        <v>12137</v>
      </c>
      <c r="D14269" s="13" t="s">
        <v>18614</v>
      </c>
      <c r="E14269" s="8">
        <v>6000</v>
      </c>
      <c r="F14269" s="13" t="s">
        <v>70</v>
      </c>
      <c r="G14269" s="14">
        <v>44844</v>
      </c>
      <c r="H14269" s="13" t="s">
        <v>163</v>
      </c>
    </row>
    <row r="14270" spans="1:8" ht="14.4" x14ac:dyDescent="0.3">
      <c r="A14270" s="8">
        <v>2072041</v>
      </c>
      <c r="B14270" s="11">
        <v>44832</v>
      </c>
      <c r="C14270" s="13" t="s">
        <v>18615</v>
      </c>
      <c r="D14270" s="13" t="s">
        <v>18616</v>
      </c>
      <c r="E14270" s="8">
        <v>6000</v>
      </c>
      <c r="F14270" s="13" t="s">
        <v>70</v>
      </c>
      <c r="G14270" s="14">
        <v>44833</v>
      </c>
      <c r="H14270" s="13" t="s">
        <v>163</v>
      </c>
    </row>
    <row r="14271" spans="1:8" ht="14.4" x14ac:dyDescent="0.3">
      <c r="A14271" s="8">
        <v>2072042</v>
      </c>
      <c r="B14271" s="11">
        <v>44832</v>
      </c>
      <c r="C14271" s="13" t="s">
        <v>12142</v>
      </c>
      <c r="D14271" s="13" t="s">
        <v>17685</v>
      </c>
      <c r="E14271" s="8">
        <v>10000</v>
      </c>
      <c r="F14271" s="13" t="s">
        <v>70</v>
      </c>
      <c r="G14271" s="14">
        <v>44839</v>
      </c>
      <c r="H14271" s="13" t="s">
        <v>163</v>
      </c>
    </row>
    <row r="14272" spans="1:8" ht="14.4" x14ac:dyDescent="0.3">
      <c r="A14272" s="8">
        <v>2072043</v>
      </c>
      <c r="B14272" s="11">
        <v>44832</v>
      </c>
      <c r="C14272" s="13" t="s">
        <v>18617</v>
      </c>
      <c r="D14272" s="13" t="s">
        <v>18618</v>
      </c>
      <c r="E14272" s="8">
        <v>6000</v>
      </c>
      <c r="F14272" s="13" t="s">
        <v>70</v>
      </c>
      <c r="G14272" s="14">
        <v>44833</v>
      </c>
      <c r="H14272" s="13" t="s">
        <v>163</v>
      </c>
    </row>
    <row r="14273" spans="1:8" ht="14.4" x14ac:dyDescent="0.3">
      <c r="A14273" s="8">
        <v>2072044</v>
      </c>
      <c r="B14273" s="11">
        <v>44832</v>
      </c>
      <c r="C14273" s="13" t="s">
        <v>712</v>
      </c>
      <c r="D14273" s="13" t="s">
        <v>18619</v>
      </c>
      <c r="E14273" s="8">
        <v>6000</v>
      </c>
      <c r="F14273" s="13" t="s">
        <v>70</v>
      </c>
      <c r="G14273" s="14">
        <v>44833</v>
      </c>
      <c r="H14273" s="13" t="s">
        <v>163</v>
      </c>
    </row>
    <row r="14274" spans="1:8" ht="14.4" x14ac:dyDescent="0.3">
      <c r="A14274" s="8">
        <v>2072045</v>
      </c>
      <c r="B14274" s="11">
        <v>44832</v>
      </c>
      <c r="C14274" s="13" t="s">
        <v>18620</v>
      </c>
      <c r="D14274" s="13" t="s">
        <v>18621</v>
      </c>
      <c r="E14274" s="8">
        <v>2000</v>
      </c>
      <c r="F14274" s="13" t="s">
        <v>70</v>
      </c>
      <c r="G14274" s="14">
        <v>44833</v>
      </c>
      <c r="H14274" s="13" t="s">
        <v>163</v>
      </c>
    </row>
    <row r="14275" spans="1:8" ht="14.4" x14ac:dyDescent="0.3">
      <c r="A14275" s="8">
        <v>2072046</v>
      </c>
      <c r="B14275" s="11">
        <v>44832</v>
      </c>
      <c r="C14275" s="13" t="s">
        <v>18622</v>
      </c>
      <c r="D14275" s="13" t="s">
        <v>18623</v>
      </c>
      <c r="E14275" s="8">
        <v>3000</v>
      </c>
      <c r="F14275" s="13" t="s">
        <v>70</v>
      </c>
      <c r="G14275" s="14">
        <v>44833</v>
      </c>
      <c r="H14275" s="13" t="s">
        <v>163</v>
      </c>
    </row>
    <row r="14276" spans="1:8" ht="14.4" x14ac:dyDescent="0.3">
      <c r="A14276" s="8">
        <v>2072047</v>
      </c>
      <c r="B14276" s="11">
        <v>44832</v>
      </c>
      <c r="C14276" s="13" t="s">
        <v>18624</v>
      </c>
      <c r="D14276" s="13" t="s">
        <v>18625</v>
      </c>
      <c r="E14276" s="8">
        <v>2000</v>
      </c>
      <c r="F14276" s="13" t="s">
        <v>70</v>
      </c>
      <c r="G14276" s="14">
        <v>44833</v>
      </c>
      <c r="H14276" s="13" t="s">
        <v>163</v>
      </c>
    </row>
    <row r="14277" spans="1:8" ht="14.4" x14ac:dyDescent="0.3">
      <c r="A14277" s="8">
        <v>2072048</v>
      </c>
      <c r="B14277" s="11">
        <v>44832</v>
      </c>
      <c r="C14277" s="13" t="s">
        <v>18626</v>
      </c>
      <c r="D14277" s="13" t="s">
        <v>18627</v>
      </c>
      <c r="E14277" s="8">
        <v>2000</v>
      </c>
      <c r="F14277" s="13" t="s">
        <v>70</v>
      </c>
      <c r="G14277" s="14">
        <v>44875</v>
      </c>
      <c r="H14277" s="13" t="s">
        <v>163</v>
      </c>
    </row>
    <row r="14278" spans="1:8" ht="14.4" x14ac:dyDescent="0.3">
      <c r="A14278" s="8">
        <v>2072049</v>
      </c>
      <c r="B14278" s="11">
        <v>44832</v>
      </c>
      <c r="C14278" s="13" t="s">
        <v>18628</v>
      </c>
      <c r="D14278" s="13" t="s">
        <v>18629</v>
      </c>
      <c r="E14278" s="8">
        <v>2000</v>
      </c>
      <c r="F14278" s="13" t="s">
        <v>70</v>
      </c>
      <c r="G14278" s="14">
        <v>44833</v>
      </c>
      <c r="H14278" s="13" t="s">
        <v>163</v>
      </c>
    </row>
    <row r="14279" spans="1:8" ht="14.4" x14ac:dyDescent="0.3">
      <c r="A14279" s="8">
        <v>2072050</v>
      </c>
      <c r="B14279" s="11">
        <v>44832</v>
      </c>
      <c r="C14279" s="13" t="s">
        <v>18630</v>
      </c>
      <c r="D14279" s="13" t="s">
        <v>18631</v>
      </c>
      <c r="E14279" s="8">
        <v>2000</v>
      </c>
      <c r="F14279" s="13" t="s">
        <v>70</v>
      </c>
      <c r="G14279" s="14">
        <v>44833</v>
      </c>
      <c r="H14279" s="13" t="s">
        <v>163</v>
      </c>
    </row>
    <row r="14280" spans="1:8" ht="14.4" x14ac:dyDescent="0.3">
      <c r="A14280" s="8">
        <v>2072051</v>
      </c>
      <c r="B14280" s="11">
        <v>44832</v>
      </c>
      <c r="C14280" s="13" t="s">
        <v>18632</v>
      </c>
      <c r="D14280" s="13" t="s">
        <v>18633</v>
      </c>
      <c r="E14280" s="8">
        <v>6000</v>
      </c>
      <c r="F14280" s="13" t="s">
        <v>70</v>
      </c>
      <c r="G14280" s="14">
        <v>44834</v>
      </c>
      <c r="H14280" s="13" t="s">
        <v>163</v>
      </c>
    </row>
    <row r="14281" spans="1:8" ht="14.4" x14ac:dyDescent="0.3">
      <c r="A14281" s="8">
        <v>2072052</v>
      </c>
      <c r="B14281" s="11">
        <v>44832</v>
      </c>
      <c r="C14281" s="13" t="s">
        <v>18634</v>
      </c>
      <c r="D14281" s="13" t="s">
        <v>18635</v>
      </c>
      <c r="E14281" s="8">
        <v>4000</v>
      </c>
      <c r="F14281" s="13" t="s">
        <v>70</v>
      </c>
      <c r="G14281" s="14">
        <v>44833</v>
      </c>
      <c r="H14281" s="13" t="s">
        <v>163</v>
      </c>
    </row>
    <row r="14282" spans="1:8" ht="14.4" x14ac:dyDescent="0.3">
      <c r="A14282" s="8">
        <v>2072053</v>
      </c>
      <c r="B14282" s="11">
        <v>44832</v>
      </c>
      <c r="C14282" s="13" t="s">
        <v>5051</v>
      </c>
      <c r="D14282" s="13" t="s">
        <v>18636</v>
      </c>
      <c r="E14282" s="8">
        <v>8000</v>
      </c>
      <c r="F14282" s="13" t="s">
        <v>70</v>
      </c>
      <c r="G14282" s="14">
        <v>44833</v>
      </c>
      <c r="H14282" s="13" t="s">
        <v>163</v>
      </c>
    </row>
    <row r="14283" spans="1:8" ht="14.4" x14ac:dyDescent="0.3">
      <c r="A14283" s="8">
        <v>2072054</v>
      </c>
      <c r="B14283" s="11">
        <v>44832</v>
      </c>
      <c r="C14283" s="13" t="s">
        <v>18637</v>
      </c>
      <c r="D14283" s="13" t="s">
        <v>18638</v>
      </c>
      <c r="E14283" s="8">
        <v>20000</v>
      </c>
      <c r="F14283" s="13" t="s">
        <v>70</v>
      </c>
      <c r="G14283" s="14">
        <v>44833</v>
      </c>
      <c r="H14283" s="13" t="s">
        <v>163</v>
      </c>
    </row>
    <row r="14284" spans="1:8" ht="14.4" x14ac:dyDescent="0.3">
      <c r="A14284" s="8">
        <v>2072055</v>
      </c>
      <c r="B14284" s="11">
        <v>44832</v>
      </c>
      <c r="C14284" s="13" t="s">
        <v>18639</v>
      </c>
      <c r="D14284" s="13" t="s">
        <v>18640</v>
      </c>
      <c r="E14284" s="8">
        <v>30000</v>
      </c>
      <c r="F14284" s="13" t="s">
        <v>70</v>
      </c>
      <c r="G14284" s="14">
        <v>44833</v>
      </c>
      <c r="H14284" s="13" t="s">
        <v>163</v>
      </c>
    </row>
    <row r="14285" spans="1:8" ht="14.4" x14ac:dyDescent="0.3">
      <c r="A14285" s="8">
        <v>2072056</v>
      </c>
      <c r="B14285" s="11">
        <v>44832</v>
      </c>
      <c r="C14285" s="13" t="s">
        <v>18641</v>
      </c>
      <c r="D14285" s="13" t="s">
        <v>18642</v>
      </c>
      <c r="E14285" s="8">
        <v>20000</v>
      </c>
      <c r="F14285" s="13" t="s">
        <v>70</v>
      </c>
      <c r="G14285" s="14">
        <v>44833</v>
      </c>
      <c r="H14285" s="13" t="s">
        <v>163</v>
      </c>
    </row>
    <row r="14286" spans="1:8" ht="14.4" x14ac:dyDescent="0.3">
      <c r="A14286" s="8">
        <v>2072057</v>
      </c>
      <c r="B14286" s="11">
        <v>44832</v>
      </c>
      <c r="C14286" s="13" t="s">
        <v>18643</v>
      </c>
      <c r="D14286" s="13" t="s">
        <v>18644</v>
      </c>
      <c r="E14286" s="8">
        <v>4000</v>
      </c>
      <c r="F14286" s="13" t="s">
        <v>70</v>
      </c>
      <c r="G14286" s="14">
        <v>44833</v>
      </c>
      <c r="H14286" s="13" t="s">
        <v>163</v>
      </c>
    </row>
    <row r="14287" spans="1:8" ht="14.4" x14ac:dyDescent="0.3">
      <c r="A14287" s="8">
        <v>2072058</v>
      </c>
      <c r="B14287" s="11">
        <v>44832</v>
      </c>
      <c r="C14287" s="13" t="s">
        <v>18645</v>
      </c>
      <c r="D14287" s="13" t="s">
        <v>18646</v>
      </c>
      <c r="E14287" s="8">
        <v>20000</v>
      </c>
      <c r="F14287" s="13" t="s">
        <v>70</v>
      </c>
      <c r="G14287" s="14">
        <v>44837</v>
      </c>
      <c r="H14287" s="13" t="s">
        <v>163</v>
      </c>
    </row>
    <row r="14288" spans="1:8" ht="14.4" x14ac:dyDescent="0.3">
      <c r="A14288" s="8">
        <v>2072059</v>
      </c>
      <c r="B14288" s="11">
        <v>44832</v>
      </c>
      <c r="C14288" s="13" t="s">
        <v>18647</v>
      </c>
      <c r="D14288" s="13" t="s">
        <v>18648</v>
      </c>
      <c r="E14288" s="8">
        <v>6000</v>
      </c>
      <c r="F14288" s="13" t="s">
        <v>70</v>
      </c>
      <c r="G14288" s="14">
        <v>44834</v>
      </c>
      <c r="H14288" s="13" t="s">
        <v>163</v>
      </c>
    </row>
    <row r="14289" spans="1:8" ht="14.4" x14ac:dyDescent="0.3">
      <c r="A14289" s="8">
        <v>2072060</v>
      </c>
      <c r="B14289" s="11">
        <v>44832</v>
      </c>
      <c r="C14289" s="13" t="s">
        <v>15030</v>
      </c>
      <c r="D14289" s="13" t="s">
        <v>164</v>
      </c>
      <c r="E14289" s="8">
        <v>2000</v>
      </c>
      <c r="F14289" s="13" t="s">
        <v>70</v>
      </c>
      <c r="G14289" s="14">
        <v>44834</v>
      </c>
      <c r="H14289" s="13" t="s">
        <v>163</v>
      </c>
    </row>
    <row r="14290" spans="1:8" ht="14.4" x14ac:dyDescent="0.3">
      <c r="A14290" s="8">
        <v>2072061</v>
      </c>
      <c r="B14290" s="11">
        <v>44832</v>
      </c>
      <c r="C14290" s="13" t="s">
        <v>13821</v>
      </c>
      <c r="D14290" s="13" t="s">
        <v>14318</v>
      </c>
      <c r="E14290" s="8">
        <v>20000</v>
      </c>
      <c r="F14290" s="13" t="s">
        <v>70</v>
      </c>
      <c r="G14290" s="14">
        <v>44840</v>
      </c>
      <c r="H14290" s="13" t="s">
        <v>163</v>
      </c>
    </row>
    <row r="14291" spans="1:8" ht="14.4" x14ac:dyDescent="0.3">
      <c r="A14291" s="8">
        <v>2072062</v>
      </c>
      <c r="B14291" s="11">
        <v>44832</v>
      </c>
      <c r="C14291" s="13" t="s">
        <v>18649</v>
      </c>
      <c r="D14291" s="13" t="s">
        <v>18650</v>
      </c>
      <c r="E14291" s="8">
        <v>8000</v>
      </c>
      <c r="F14291" s="13" t="s">
        <v>70</v>
      </c>
      <c r="G14291" s="14">
        <v>44834</v>
      </c>
      <c r="H14291" s="13" t="s">
        <v>163</v>
      </c>
    </row>
    <row r="14292" spans="1:8" ht="14.4" x14ac:dyDescent="0.3">
      <c r="A14292" s="8">
        <v>2072063</v>
      </c>
      <c r="B14292" s="11">
        <v>44832</v>
      </c>
      <c r="C14292" s="13" t="s">
        <v>12025</v>
      </c>
      <c r="D14292" s="13" t="s">
        <v>18651</v>
      </c>
      <c r="E14292" s="8">
        <v>20000</v>
      </c>
      <c r="F14292" s="13" t="s">
        <v>70</v>
      </c>
      <c r="G14292" s="14">
        <v>44834</v>
      </c>
      <c r="H14292" s="13" t="s">
        <v>163</v>
      </c>
    </row>
    <row r="14293" spans="1:8" ht="14.4" x14ac:dyDescent="0.3">
      <c r="A14293" s="8">
        <v>2072064</v>
      </c>
      <c r="B14293" s="11">
        <v>44832</v>
      </c>
      <c r="C14293" s="13" t="s">
        <v>6906</v>
      </c>
      <c r="D14293" s="13" t="s">
        <v>18652</v>
      </c>
      <c r="E14293" s="8">
        <v>4000</v>
      </c>
      <c r="F14293" s="13" t="s">
        <v>70</v>
      </c>
      <c r="G14293" s="14">
        <v>44834</v>
      </c>
      <c r="H14293" s="13" t="s">
        <v>163</v>
      </c>
    </row>
    <row r="14294" spans="1:8" ht="14.4" x14ac:dyDescent="0.3">
      <c r="A14294" s="8">
        <v>2072065</v>
      </c>
      <c r="B14294" s="11">
        <v>44832</v>
      </c>
      <c r="C14294" s="13" t="s">
        <v>18653</v>
      </c>
      <c r="D14294" s="13" t="s">
        <v>18652</v>
      </c>
      <c r="E14294" s="8">
        <v>6000</v>
      </c>
      <c r="F14294" s="13" t="s">
        <v>70</v>
      </c>
      <c r="G14294" s="14">
        <v>44838</v>
      </c>
      <c r="H14294" s="13" t="s">
        <v>163</v>
      </c>
    </row>
    <row r="14295" spans="1:8" ht="14.4" x14ac:dyDescent="0.3">
      <c r="A14295" s="8">
        <v>2072068</v>
      </c>
      <c r="B14295" s="11">
        <v>44832</v>
      </c>
      <c r="C14295" s="13" t="s">
        <v>12059</v>
      </c>
      <c r="D14295" s="13" t="s">
        <v>18654</v>
      </c>
      <c r="E14295" s="8">
        <v>20000</v>
      </c>
      <c r="F14295" s="13" t="s">
        <v>70</v>
      </c>
      <c r="G14295" s="14">
        <v>44834</v>
      </c>
      <c r="H14295" s="13" t="s">
        <v>163</v>
      </c>
    </row>
    <row r="14296" spans="1:8" ht="14.4" x14ac:dyDescent="0.3">
      <c r="A14296" s="8">
        <v>2072070</v>
      </c>
      <c r="B14296" s="11">
        <v>44832</v>
      </c>
      <c r="C14296" s="13" t="s">
        <v>18655</v>
      </c>
      <c r="D14296" s="13" t="s">
        <v>18656</v>
      </c>
      <c r="E14296" s="8">
        <v>4000</v>
      </c>
      <c r="F14296" s="13" t="s">
        <v>70</v>
      </c>
      <c r="G14296" s="14">
        <v>44834</v>
      </c>
      <c r="H14296" s="13" t="s">
        <v>163</v>
      </c>
    </row>
    <row r="14297" spans="1:8" ht="14.4" x14ac:dyDescent="0.3">
      <c r="A14297" s="8">
        <v>2072071</v>
      </c>
      <c r="B14297" s="11">
        <v>44838</v>
      </c>
      <c r="C14297" s="13" t="s">
        <v>2624</v>
      </c>
      <c r="D14297" s="13" t="s">
        <v>6319</v>
      </c>
      <c r="E14297" s="8">
        <v>350546.02</v>
      </c>
      <c r="F14297" s="13" t="s">
        <v>70</v>
      </c>
      <c r="G14297" s="14">
        <v>44839</v>
      </c>
      <c r="H14297" s="13" t="s">
        <v>163</v>
      </c>
    </row>
    <row r="14298" spans="1:8" ht="14.4" x14ac:dyDescent="0.3">
      <c r="A14298" s="8">
        <v>2072072</v>
      </c>
      <c r="B14298" s="11">
        <v>44838</v>
      </c>
      <c r="C14298" s="13" t="s">
        <v>18657</v>
      </c>
      <c r="D14298" s="13" t="s">
        <v>18658</v>
      </c>
      <c r="E14298" s="8">
        <v>6000</v>
      </c>
      <c r="F14298" s="13" t="s">
        <v>70</v>
      </c>
      <c r="G14298" s="14">
        <v>44839</v>
      </c>
      <c r="H14298" s="13" t="s">
        <v>163</v>
      </c>
    </row>
    <row r="14299" spans="1:8" ht="14.4" x14ac:dyDescent="0.3">
      <c r="A14299" s="8">
        <v>2072073</v>
      </c>
      <c r="B14299" s="11">
        <v>44838</v>
      </c>
      <c r="C14299" s="13" t="s">
        <v>18659</v>
      </c>
      <c r="D14299" s="13" t="s">
        <v>18660</v>
      </c>
      <c r="E14299" s="8">
        <v>4000</v>
      </c>
      <c r="F14299" s="13" t="s">
        <v>70</v>
      </c>
      <c r="G14299" s="14">
        <v>44839</v>
      </c>
      <c r="H14299" s="13" t="s">
        <v>163</v>
      </c>
    </row>
    <row r="14300" spans="1:8" ht="14.4" x14ac:dyDescent="0.3">
      <c r="A14300" s="8">
        <v>2072075</v>
      </c>
      <c r="B14300" s="11">
        <v>44838</v>
      </c>
      <c r="C14300" s="13" t="s">
        <v>18661</v>
      </c>
      <c r="D14300" s="13" t="s">
        <v>13603</v>
      </c>
      <c r="E14300" s="8">
        <v>4000</v>
      </c>
      <c r="F14300" s="13" t="s">
        <v>70</v>
      </c>
      <c r="G14300" s="14">
        <v>44840</v>
      </c>
      <c r="H14300" s="13" t="s">
        <v>163</v>
      </c>
    </row>
    <row r="14301" spans="1:8" ht="14.4" x14ac:dyDescent="0.3">
      <c r="A14301" s="8">
        <v>2072076</v>
      </c>
      <c r="B14301" s="11">
        <v>44838</v>
      </c>
      <c r="C14301" s="13" t="s">
        <v>18662</v>
      </c>
      <c r="D14301" s="13" t="s">
        <v>18663</v>
      </c>
      <c r="E14301" s="8">
        <v>4000</v>
      </c>
      <c r="F14301" s="13" t="s">
        <v>70</v>
      </c>
      <c r="G14301" s="14">
        <v>44840</v>
      </c>
      <c r="H14301" s="13" t="s">
        <v>163</v>
      </c>
    </row>
    <row r="14302" spans="1:8" ht="14.4" x14ac:dyDescent="0.3">
      <c r="A14302" s="8">
        <v>2072077</v>
      </c>
      <c r="B14302" s="11">
        <v>44838</v>
      </c>
      <c r="C14302" s="13" t="s">
        <v>12071</v>
      </c>
      <c r="D14302" s="13" t="s">
        <v>18664</v>
      </c>
      <c r="E14302" s="8">
        <v>10000</v>
      </c>
      <c r="F14302" s="13" t="s">
        <v>70</v>
      </c>
      <c r="G14302" s="14">
        <v>44839</v>
      </c>
      <c r="H14302" s="13" t="s">
        <v>163</v>
      </c>
    </row>
    <row r="14303" spans="1:8" ht="14.4" x14ac:dyDescent="0.3">
      <c r="A14303" s="8">
        <v>2072078</v>
      </c>
      <c r="B14303" s="11">
        <v>44838</v>
      </c>
      <c r="C14303" s="13" t="s">
        <v>18665</v>
      </c>
      <c r="D14303" s="13" t="s">
        <v>18666</v>
      </c>
      <c r="E14303" s="8">
        <v>4000</v>
      </c>
      <c r="F14303" s="13" t="s">
        <v>70</v>
      </c>
      <c r="G14303" s="14">
        <v>44839</v>
      </c>
      <c r="H14303" s="13" t="s">
        <v>163</v>
      </c>
    </row>
    <row r="14304" spans="1:8" ht="14.4" x14ac:dyDescent="0.3">
      <c r="A14304" s="8">
        <v>2072079</v>
      </c>
      <c r="B14304" s="11">
        <v>44838</v>
      </c>
      <c r="C14304" s="13" t="s">
        <v>645</v>
      </c>
      <c r="D14304" s="13" t="s">
        <v>18667</v>
      </c>
      <c r="E14304" s="8">
        <v>4000</v>
      </c>
      <c r="F14304" s="13" t="s">
        <v>70</v>
      </c>
      <c r="G14304" s="14">
        <v>44839</v>
      </c>
      <c r="H14304" s="13" t="s">
        <v>163</v>
      </c>
    </row>
    <row r="14305" spans="1:8" ht="14.4" x14ac:dyDescent="0.3">
      <c r="A14305" s="8">
        <v>2072080</v>
      </c>
      <c r="B14305" s="11">
        <v>44838</v>
      </c>
      <c r="C14305" s="13" t="s">
        <v>18668</v>
      </c>
      <c r="D14305" s="13" t="s">
        <v>18669</v>
      </c>
      <c r="E14305" s="8">
        <v>14000</v>
      </c>
      <c r="F14305" s="13" t="s">
        <v>70</v>
      </c>
      <c r="G14305" s="14">
        <v>44847</v>
      </c>
      <c r="H14305" s="13" t="s">
        <v>163</v>
      </c>
    </row>
    <row r="14306" spans="1:8" ht="14.4" x14ac:dyDescent="0.3">
      <c r="A14306" s="8">
        <v>2072081</v>
      </c>
      <c r="B14306" s="11">
        <v>44838</v>
      </c>
      <c r="C14306" s="13" t="s">
        <v>18670</v>
      </c>
      <c r="D14306" s="13" t="s">
        <v>18671</v>
      </c>
      <c r="E14306" s="8">
        <v>20000</v>
      </c>
      <c r="F14306" s="13" t="s">
        <v>70</v>
      </c>
      <c r="G14306" s="14">
        <v>44840</v>
      </c>
      <c r="H14306" s="13" t="s">
        <v>163</v>
      </c>
    </row>
    <row r="14307" spans="1:8" ht="14.4" x14ac:dyDescent="0.3">
      <c r="A14307" s="8">
        <v>2072082</v>
      </c>
      <c r="B14307" s="11">
        <v>44838</v>
      </c>
      <c r="C14307" s="13" t="s">
        <v>18672</v>
      </c>
      <c r="D14307" s="13" t="s">
        <v>18673</v>
      </c>
      <c r="E14307" s="8">
        <v>2000</v>
      </c>
      <c r="F14307" s="13" t="s">
        <v>70</v>
      </c>
      <c r="G14307" s="14">
        <v>44839</v>
      </c>
      <c r="H14307" s="13" t="s">
        <v>163</v>
      </c>
    </row>
    <row r="14308" spans="1:8" ht="14.4" x14ac:dyDescent="0.3">
      <c r="A14308" s="8">
        <v>2072083</v>
      </c>
      <c r="B14308" s="11">
        <v>44838</v>
      </c>
      <c r="C14308" s="13" t="s">
        <v>12346</v>
      </c>
      <c r="D14308" s="13" t="s">
        <v>18674</v>
      </c>
      <c r="E14308" s="8">
        <v>50000</v>
      </c>
      <c r="F14308" s="13" t="s">
        <v>70</v>
      </c>
      <c r="G14308" s="14">
        <v>44854</v>
      </c>
      <c r="H14308" s="13" t="s">
        <v>163</v>
      </c>
    </row>
    <row r="14309" spans="1:8" ht="14.4" x14ac:dyDescent="0.3">
      <c r="A14309" s="8">
        <v>2072084</v>
      </c>
      <c r="B14309" s="11">
        <v>44838</v>
      </c>
      <c r="C14309" s="13" t="s">
        <v>18675</v>
      </c>
      <c r="D14309" s="13" t="s">
        <v>18676</v>
      </c>
      <c r="E14309" s="8">
        <v>2000</v>
      </c>
      <c r="F14309" s="13" t="s">
        <v>70</v>
      </c>
      <c r="G14309" s="14">
        <v>44840</v>
      </c>
      <c r="H14309" s="13" t="s">
        <v>163</v>
      </c>
    </row>
    <row r="14310" spans="1:8" ht="14.4" x14ac:dyDescent="0.3">
      <c r="A14310" s="8">
        <v>2072085</v>
      </c>
      <c r="B14310" s="11">
        <v>44838</v>
      </c>
      <c r="C14310" s="13" t="s">
        <v>18677</v>
      </c>
      <c r="D14310" s="13" t="s">
        <v>18678</v>
      </c>
      <c r="E14310" s="8">
        <v>50000</v>
      </c>
      <c r="F14310" s="13" t="s">
        <v>70</v>
      </c>
      <c r="G14310" s="14">
        <v>44839</v>
      </c>
      <c r="H14310" s="13" t="s">
        <v>163</v>
      </c>
    </row>
    <row r="14311" spans="1:8" ht="14.4" x14ac:dyDescent="0.3">
      <c r="A14311" s="8">
        <v>2072086</v>
      </c>
      <c r="B14311" s="11">
        <v>44838</v>
      </c>
      <c r="C14311" s="13" t="s">
        <v>18679</v>
      </c>
      <c r="D14311" s="13" t="s">
        <v>13603</v>
      </c>
      <c r="E14311" s="8">
        <v>8000</v>
      </c>
      <c r="F14311" s="13" t="s">
        <v>70</v>
      </c>
      <c r="G14311" s="14">
        <v>44839</v>
      </c>
      <c r="H14311" s="13" t="s">
        <v>163</v>
      </c>
    </row>
    <row r="14312" spans="1:8" ht="14.4" x14ac:dyDescent="0.3">
      <c r="A14312" s="8">
        <v>2072087</v>
      </c>
      <c r="B14312" s="11">
        <v>44838</v>
      </c>
      <c r="C14312" s="13" t="s">
        <v>18680</v>
      </c>
      <c r="D14312" s="13" t="s">
        <v>18681</v>
      </c>
      <c r="E14312" s="8">
        <v>10000</v>
      </c>
      <c r="F14312" s="13" t="s">
        <v>70</v>
      </c>
      <c r="G14312" s="14">
        <v>44840</v>
      </c>
      <c r="H14312" s="13" t="s">
        <v>163</v>
      </c>
    </row>
    <row r="14313" spans="1:8" ht="14.4" x14ac:dyDescent="0.3">
      <c r="A14313" s="8">
        <v>2072088</v>
      </c>
      <c r="B14313" s="11">
        <v>44838</v>
      </c>
      <c r="C14313" s="13" t="s">
        <v>10953</v>
      </c>
      <c r="D14313" s="13" t="s">
        <v>18682</v>
      </c>
      <c r="E14313" s="8">
        <v>2000</v>
      </c>
      <c r="F14313" s="13" t="s">
        <v>70</v>
      </c>
      <c r="G14313" s="14">
        <v>44840</v>
      </c>
      <c r="H14313" s="13" t="s">
        <v>163</v>
      </c>
    </row>
    <row r="14314" spans="1:8" ht="14.4" x14ac:dyDescent="0.3">
      <c r="A14314" s="8">
        <v>2072089</v>
      </c>
      <c r="B14314" s="11">
        <v>44838</v>
      </c>
      <c r="C14314" s="13" t="s">
        <v>18683</v>
      </c>
      <c r="D14314" s="13" t="s">
        <v>18684</v>
      </c>
      <c r="E14314" s="8">
        <v>6000</v>
      </c>
      <c r="F14314" s="13" t="s">
        <v>70</v>
      </c>
      <c r="G14314" s="14">
        <v>44839</v>
      </c>
      <c r="H14314" s="13" t="s">
        <v>163</v>
      </c>
    </row>
    <row r="14315" spans="1:8" ht="14.4" x14ac:dyDescent="0.3">
      <c r="A14315" s="8">
        <v>2072090</v>
      </c>
      <c r="B14315" s="11">
        <v>44838</v>
      </c>
      <c r="C14315" s="13" t="s">
        <v>18685</v>
      </c>
      <c r="D14315" s="13" t="s">
        <v>18686</v>
      </c>
      <c r="E14315" s="8">
        <v>8000</v>
      </c>
      <c r="F14315" s="13" t="s">
        <v>70</v>
      </c>
      <c r="G14315" s="14">
        <v>44839</v>
      </c>
      <c r="H14315" s="13" t="s">
        <v>163</v>
      </c>
    </row>
    <row r="14316" spans="1:8" ht="14.4" x14ac:dyDescent="0.3">
      <c r="A14316" s="8">
        <v>2072091</v>
      </c>
      <c r="B14316" s="11">
        <v>44838</v>
      </c>
      <c r="C14316" s="13" t="s">
        <v>18687</v>
      </c>
      <c r="D14316" s="13" t="s">
        <v>18688</v>
      </c>
      <c r="E14316" s="8">
        <v>6000</v>
      </c>
      <c r="F14316" s="13" t="s">
        <v>70</v>
      </c>
      <c r="G14316" s="14">
        <v>44839</v>
      </c>
      <c r="H14316" s="13" t="s">
        <v>163</v>
      </c>
    </row>
    <row r="14317" spans="1:8" ht="14.4" x14ac:dyDescent="0.3">
      <c r="A14317" s="8">
        <v>2072092</v>
      </c>
      <c r="B14317" s="11">
        <v>44838</v>
      </c>
      <c r="C14317" s="13" t="s">
        <v>18689</v>
      </c>
      <c r="D14317" s="13" t="s">
        <v>18690</v>
      </c>
      <c r="E14317" s="8">
        <v>2000</v>
      </c>
      <c r="F14317" s="13" t="s">
        <v>70</v>
      </c>
      <c r="G14317" s="14">
        <v>44839</v>
      </c>
      <c r="H14317" s="13" t="s">
        <v>163</v>
      </c>
    </row>
    <row r="14318" spans="1:8" ht="14.4" x14ac:dyDescent="0.3">
      <c r="A14318" s="8">
        <v>2072093</v>
      </c>
      <c r="B14318" s="11">
        <v>44838</v>
      </c>
      <c r="C14318" s="13" t="s">
        <v>18691</v>
      </c>
      <c r="D14318" s="13" t="s">
        <v>18692</v>
      </c>
      <c r="E14318" s="8">
        <v>50000</v>
      </c>
      <c r="F14318" s="13" t="s">
        <v>70</v>
      </c>
      <c r="G14318" s="14">
        <v>44845</v>
      </c>
      <c r="H14318" s="13" t="s">
        <v>163</v>
      </c>
    </row>
    <row r="14319" spans="1:8" ht="14.4" x14ac:dyDescent="0.3">
      <c r="A14319" s="8">
        <v>2072094</v>
      </c>
      <c r="B14319" s="11">
        <v>44838</v>
      </c>
      <c r="C14319" s="13" t="s">
        <v>18693</v>
      </c>
      <c r="D14319" s="13" t="s">
        <v>18694</v>
      </c>
      <c r="E14319" s="8">
        <v>4000</v>
      </c>
      <c r="F14319" s="13" t="s">
        <v>70</v>
      </c>
      <c r="G14319" s="14">
        <v>44840</v>
      </c>
      <c r="H14319" s="13" t="s">
        <v>163</v>
      </c>
    </row>
    <row r="14320" spans="1:8" ht="14.4" x14ac:dyDescent="0.3">
      <c r="A14320" s="8">
        <v>2072095</v>
      </c>
      <c r="B14320" s="11">
        <v>44838</v>
      </c>
      <c r="C14320" s="13" t="s">
        <v>18695</v>
      </c>
      <c r="D14320" s="13" t="s">
        <v>18696</v>
      </c>
      <c r="E14320" s="8">
        <v>2000</v>
      </c>
      <c r="F14320" s="13" t="s">
        <v>70</v>
      </c>
      <c r="G14320" s="14">
        <v>44839</v>
      </c>
      <c r="H14320" s="13" t="s">
        <v>163</v>
      </c>
    </row>
    <row r="14321" spans="1:8" ht="14.4" x14ac:dyDescent="0.3">
      <c r="A14321" s="8">
        <v>2072096</v>
      </c>
      <c r="B14321" s="11">
        <v>44838</v>
      </c>
      <c r="C14321" s="13" t="s">
        <v>18697</v>
      </c>
      <c r="D14321" s="13" t="s">
        <v>18698</v>
      </c>
      <c r="E14321" s="8">
        <v>20000</v>
      </c>
      <c r="F14321" s="13" t="s">
        <v>70</v>
      </c>
      <c r="G14321" s="14">
        <v>44840</v>
      </c>
      <c r="H14321" s="13" t="s">
        <v>163</v>
      </c>
    </row>
    <row r="14322" spans="1:8" ht="14.4" x14ac:dyDescent="0.3">
      <c r="A14322" s="8">
        <v>2072097</v>
      </c>
      <c r="B14322" s="11">
        <v>44838</v>
      </c>
      <c r="C14322" s="13" t="s">
        <v>18699</v>
      </c>
      <c r="D14322" s="13" t="s">
        <v>18700</v>
      </c>
      <c r="E14322" s="8">
        <v>2000</v>
      </c>
      <c r="F14322" s="13" t="s">
        <v>70</v>
      </c>
      <c r="G14322" s="14">
        <v>44839</v>
      </c>
      <c r="H14322" s="13" t="s">
        <v>163</v>
      </c>
    </row>
    <row r="14323" spans="1:8" ht="14.4" x14ac:dyDescent="0.3">
      <c r="A14323" s="8">
        <v>2072098</v>
      </c>
      <c r="B14323" s="11">
        <v>44838</v>
      </c>
      <c r="C14323" s="13" t="s">
        <v>18701</v>
      </c>
      <c r="D14323" s="13" t="s">
        <v>18702</v>
      </c>
      <c r="E14323" s="8">
        <v>6000</v>
      </c>
      <c r="F14323" s="13" t="s">
        <v>70</v>
      </c>
      <c r="G14323" s="14">
        <v>44839</v>
      </c>
      <c r="H14323" s="13" t="s">
        <v>163</v>
      </c>
    </row>
    <row r="14324" spans="1:8" ht="14.4" x14ac:dyDescent="0.3">
      <c r="A14324" s="8">
        <v>2072099</v>
      </c>
      <c r="B14324" s="11">
        <v>44838</v>
      </c>
      <c r="C14324" s="13" t="s">
        <v>18703</v>
      </c>
      <c r="D14324" s="13" t="s">
        <v>18704</v>
      </c>
      <c r="E14324" s="8">
        <v>2000</v>
      </c>
      <c r="F14324" s="13" t="s">
        <v>70</v>
      </c>
      <c r="G14324" s="14">
        <v>44840</v>
      </c>
      <c r="H14324" s="13" t="s">
        <v>163</v>
      </c>
    </row>
    <row r="14325" spans="1:8" ht="14.4" x14ac:dyDescent="0.3">
      <c r="A14325" s="8">
        <v>2072100</v>
      </c>
      <c r="B14325" s="11">
        <v>44838</v>
      </c>
      <c r="C14325" s="13" t="s">
        <v>18705</v>
      </c>
      <c r="D14325" s="13" t="s">
        <v>18706</v>
      </c>
      <c r="E14325" s="8">
        <v>2000</v>
      </c>
      <c r="F14325" s="13" t="s">
        <v>70</v>
      </c>
      <c r="G14325" s="14">
        <v>44867</v>
      </c>
      <c r="H14325" s="13" t="s">
        <v>163</v>
      </c>
    </row>
    <row r="14326" spans="1:8" ht="14.4" x14ac:dyDescent="0.3">
      <c r="A14326" s="8">
        <v>2072101</v>
      </c>
      <c r="B14326" s="11">
        <v>44838</v>
      </c>
      <c r="C14326" s="13" t="s">
        <v>18707</v>
      </c>
      <c r="D14326" s="13" t="s">
        <v>18708</v>
      </c>
      <c r="E14326" s="8">
        <v>10000</v>
      </c>
      <c r="F14326" s="13" t="s">
        <v>70</v>
      </c>
      <c r="G14326" s="14">
        <v>44840</v>
      </c>
      <c r="H14326" s="13" t="s">
        <v>163</v>
      </c>
    </row>
    <row r="14327" spans="1:8" ht="14.4" x14ac:dyDescent="0.3">
      <c r="A14327" s="8">
        <v>2072102</v>
      </c>
      <c r="B14327" s="11">
        <v>44838</v>
      </c>
      <c r="C14327" s="13" t="s">
        <v>18709</v>
      </c>
      <c r="D14327" s="13" t="s">
        <v>18710</v>
      </c>
      <c r="E14327" s="8">
        <v>8000</v>
      </c>
      <c r="F14327" s="13" t="s">
        <v>70</v>
      </c>
      <c r="G14327" s="14">
        <v>44845</v>
      </c>
      <c r="H14327" s="13" t="s">
        <v>163</v>
      </c>
    </row>
    <row r="14328" spans="1:8" ht="14.4" x14ac:dyDescent="0.3">
      <c r="A14328" s="8">
        <v>2072103</v>
      </c>
      <c r="B14328" s="11">
        <v>44838</v>
      </c>
      <c r="C14328" s="13" t="s">
        <v>11785</v>
      </c>
      <c r="D14328" s="13" t="s">
        <v>18711</v>
      </c>
      <c r="E14328" s="8">
        <v>10000</v>
      </c>
      <c r="F14328" s="13" t="s">
        <v>70</v>
      </c>
      <c r="G14328" s="14">
        <v>44840</v>
      </c>
      <c r="H14328" s="13" t="s">
        <v>163</v>
      </c>
    </row>
    <row r="14329" spans="1:8" ht="14.4" x14ac:dyDescent="0.3">
      <c r="A14329" s="8">
        <v>2072104</v>
      </c>
      <c r="B14329" s="11">
        <v>44838</v>
      </c>
      <c r="C14329" s="13" t="s">
        <v>18712</v>
      </c>
      <c r="D14329" s="13" t="s">
        <v>18713</v>
      </c>
      <c r="E14329" s="8">
        <v>4000</v>
      </c>
      <c r="F14329" s="13" t="s">
        <v>70</v>
      </c>
      <c r="G14329" s="14">
        <v>44840</v>
      </c>
      <c r="H14329" s="13" t="s">
        <v>163</v>
      </c>
    </row>
    <row r="14330" spans="1:8" ht="14.4" x14ac:dyDescent="0.3">
      <c r="A14330" s="8">
        <v>2072105</v>
      </c>
      <c r="B14330" s="11">
        <v>44838</v>
      </c>
      <c r="C14330" s="13" t="s">
        <v>18714</v>
      </c>
      <c r="D14330" s="13" t="s">
        <v>18715</v>
      </c>
      <c r="E14330" s="8">
        <v>4000</v>
      </c>
      <c r="F14330" s="13" t="s">
        <v>70</v>
      </c>
      <c r="G14330" s="14">
        <v>44839</v>
      </c>
      <c r="H14330" s="13" t="s">
        <v>163</v>
      </c>
    </row>
    <row r="14331" spans="1:8" ht="14.4" x14ac:dyDescent="0.3">
      <c r="A14331" s="8">
        <v>2072106</v>
      </c>
      <c r="B14331" s="11">
        <v>44838</v>
      </c>
      <c r="C14331" s="13" t="s">
        <v>12221</v>
      </c>
      <c r="D14331" s="13" t="s">
        <v>18716</v>
      </c>
      <c r="E14331" s="8">
        <v>8000</v>
      </c>
      <c r="F14331" s="13" t="s">
        <v>70</v>
      </c>
      <c r="G14331" s="14">
        <v>44840</v>
      </c>
      <c r="H14331" s="13" t="s">
        <v>163</v>
      </c>
    </row>
    <row r="14332" spans="1:8" ht="14.4" x14ac:dyDescent="0.3">
      <c r="A14332" s="8">
        <v>2072107</v>
      </c>
      <c r="B14332" s="11">
        <v>44838</v>
      </c>
      <c r="C14332" s="13" t="s">
        <v>18717</v>
      </c>
      <c r="D14332" s="13" t="s">
        <v>18718</v>
      </c>
      <c r="E14332" s="8">
        <v>6000</v>
      </c>
      <c r="F14332" s="13" t="s">
        <v>70</v>
      </c>
      <c r="G14332" s="14">
        <v>44840</v>
      </c>
      <c r="H14332" s="13" t="s">
        <v>163</v>
      </c>
    </row>
    <row r="14333" spans="1:8" ht="14.4" x14ac:dyDescent="0.3">
      <c r="A14333" s="8">
        <v>2072108</v>
      </c>
      <c r="B14333" s="11">
        <v>44839</v>
      </c>
      <c r="C14333" s="13" t="s">
        <v>18719</v>
      </c>
      <c r="D14333" s="13" t="s">
        <v>13603</v>
      </c>
      <c r="E14333" s="8">
        <v>2000</v>
      </c>
      <c r="F14333" s="13" t="s">
        <v>70</v>
      </c>
      <c r="G14333" s="14">
        <v>44840</v>
      </c>
      <c r="H14333" s="13" t="s">
        <v>163</v>
      </c>
    </row>
    <row r="14334" spans="1:8" ht="14.4" x14ac:dyDescent="0.3">
      <c r="A14334" s="8">
        <v>2072109</v>
      </c>
      <c r="B14334" s="11">
        <v>44839</v>
      </c>
      <c r="C14334" s="13" t="s">
        <v>7131</v>
      </c>
      <c r="D14334" s="13" t="s">
        <v>18720</v>
      </c>
      <c r="E14334" s="8">
        <v>4000</v>
      </c>
      <c r="F14334" s="13" t="s">
        <v>70</v>
      </c>
      <c r="G14334" s="14">
        <v>44840</v>
      </c>
      <c r="H14334" s="13" t="s">
        <v>163</v>
      </c>
    </row>
    <row r="14335" spans="1:8" ht="14.4" x14ac:dyDescent="0.3">
      <c r="A14335" s="8">
        <v>2072110</v>
      </c>
      <c r="B14335" s="11">
        <v>44839</v>
      </c>
      <c r="C14335" s="13" t="s">
        <v>122</v>
      </c>
      <c r="D14335" s="13" t="s">
        <v>18721</v>
      </c>
      <c r="E14335" s="8">
        <v>20000</v>
      </c>
      <c r="F14335" s="13" t="s">
        <v>70</v>
      </c>
      <c r="G14335" s="14">
        <v>44839</v>
      </c>
      <c r="H14335" s="13" t="s">
        <v>163</v>
      </c>
    </row>
    <row r="14336" spans="1:8" ht="14.4" x14ac:dyDescent="0.3">
      <c r="A14336" s="8">
        <v>2072111</v>
      </c>
      <c r="B14336" s="11">
        <v>44839</v>
      </c>
      <c r="C14336" s="13" t="s">
        <v>18722</v>
      </c>
      <c r="D14336" s="13" t="s">
        <v>18723</v>
      </c>
      <c r="E14336" s="8">
        <v>14000</v>
      </c>
      <c r="F14336" s="13" t="s">
        <v>70</v>
      </c>
      <c r="G14336" s="14">
        <v>44840</v>
      </c>
      <c r="H14336" s="13" t="s">
        <v>163</v>
      </c>
    </row>
    <row r="14337" spans="1:8" ht="14.4" x14ac:dyDescent="0.3">
      <c r="A14337" s="8">
        <v>2072112</v>
      </c>
      <c r="B14337" s="11">
        <v>44839</v>
      </c>
      <c r="C14337" s="13" t="s">
        <v>12344</v>
      </c>
      <c r="D14337" s="13" t="s">
        <v>18724</v>
      </c>
      <c r="E14337" s="8">
        <v>50000</v>
      </c>
      <c r="F14337" s="13" t="s">
        <v>70</v>
      </c>
      <c r="G14337" s="14">
        <v>44840</v>
      </c>
      <c r="H14337" s="13" t="s">
        <v>163</v>
      </c>
    </row>
    <row r="14338" spans="1:8" ht="14.4" x14ac:dyDescent="0.3">
      <c r="A14338" s="8">
        <v>2072113</v>
      </c>
      <c r="B14338" s="11">
        <v>44839</v>
      </c>
      <c r="C14338" s="13" t="s">
        <v>18725</v>
      </c>
      <c r="D14338" s="13" t="s">
        <v>18726</v>
      </c>
      <c r="E14338" s="8">
        <v>35000</v>
      </c>
      <c r="F14338" s="13" t="s">
        <v>70</v>
      </c>
      <c r="G14338" s="14">
        <v>44840</v>
      </c>
      <c r="H14338" s="13" t="s">
        <v>163</v>
      </c>
    </row>
    <row r="14339" spans="1:8" ht="14.4" x14ac:dyDescent="0.3">
      <c r="A14339" s="8">
        <v>2072114</v>
      </c>
      <c r="B14339" s="11">
        <v>44839</v>
      </c>
      <c r="C14339" s="13" t="s">
        <v>18727</v>
      </c>
      <c r="D14339" s="13" t="s">
        <v>18728</v>
      </c>
      <c r="E14339" s="8">
        <v>6000</v>
      </c>
      <c r="F14339" s="13" t="s">
        <v>70</v>
      </c>
      <c r="G14339" s="14">
        <v>44840</v>
      </c>
      <c r="H14339" s="13" t="s">
        <v>163</v>
      </c>
    </row>
    <row r="14340" spans="1:8" ht="14.4" x14ac:dyDescent="0.3">
      <c r="A14340" s="8">
        <v>2072115</v>
      </c>
      <c r="B14340" s="11">
        <v>44839</v>
      </c>
      <c r="C14340" s="13" t="s">
        <v>8516</v>
      </c>
      <c r="D14340" s="13" t="s">
        <v>18729</v>
      </c>
      <c r="E14340" s="8">
        <v>2000</v>
      </c>
      <c r="F14340" s="13" t="s">
        <v>70</v>
      </c>
      <c r="G14340" s="14">
        <v>44840</v>
      </c>
      <c r="H14340" s="13" t="s">
        <v>163</v>
      </c>
    </row>
    <row r="14341" spans="1:8" ht="14.4" x14ac:dyDescent="0.3">
      <c r="A14341" s="8">
        <v>2072116</v>
      </c>
      <c r="B14341" s="11">
        <v>44839</v>
      </c>
      <c r="C14341" s="13" t="s">
        <v>18730</v>
      </c>
      <c r="D14341" s="13" t="s">
        <v>18731</v>
      </c>
      <c r="E14341" s="8">
        <v>690000</v>
      </c>
      <c r="F14341" s="13" t="s">
        <v>70</v>
      </c>
      <c r="G14341" s="14">
        <v>44840</v>
      </c>
      <c r="H14341" s="13" t="s">
        <v>163</v>
      </c>
    </row>
    <row r="14342" spans="1:8" ht="14.4" x14ac:dyDescent="0.3">
      <c r="A14342" s="8">
        <v>2072117</v>
      </c>
      <c r="B14342" s="11">
        <v>44839</v>
      </c>
      <c r="C14342" s="13" t="s">
        <v>12326</v>
      </c>
      <c r="D14342" s="13" t="s">
        <v>18732</v>
      </c>
      <c r="E14342" s="8">
        <v>6000</v>
      </c>
      <c r="F14342" s="13" t="s">
        <v>70</v>
      </c>
      <c r="G14342" s="14">
        <v>44840</v>
      </c>
      <c r="H14342" s="13" t="s">
        <v>163</v>
      </c>
    </row>
    <row r="14343" spans="1:8" ht="14.4" x14ac:dyDescent="0.3">
      <c r="A14343" s="8">
        <v>2072118</v>
      </c>
      <c r="B14343" s="11">
        <v>44839</v>
      </c>
      <c r="C14343" s="13" t="s">
        <v>18733</v>
      </c>
      <c r="D14343" s="13" t="s">
        <v>18734</v>
      </c>
      <c r="E14343" s="8">
        <v>6000</v>
      </c>
      <c r="F14343" s="13" t="s">
        <v>70</v>
      </c>
      <c r="G14343" s="14">
        <v>44840</v>
      </c>
      <c r="H14343" s="13" t="s">
        <v>163</v>
      </c>
    </row>
    <row r="14344" spans="1:8" ht="14.4" x14ac:dyDescent="0.3">
      <c r="A14344" s="8">
        <v>2072119</v>
      </c>
      <c r="B14344" s="11">
        <v>44839</v>
      </c>
      <c r="C14344" s="13" t="s">
        <v>18735</v>
      </c>
      <c r="D14344" s="13" t="s">
        <v>18736</v>
      </c>
      <c r="E14344" s="8">
        <v>4000</v>
      </c>
      <c r="F14344" s="13" t="s">
        <v>70</v>
      </c>
      <c r="G14344" s="14">
        <v>44846</v>
      </c>
      <c r="H14344" s="13" t="s">
        <v>163</v>
      </c>
    </row>
    <row r="14345" spans="1:8" ht="14.4" x14ac:dyDescent="0.3">
      <c r="A14345" s="8">
        <v>2072120</v>
      </c>
      <c r="B14345" s="11">
        <v>44839</v>
      </c>
      <c r="C14345" s="13" t="s">
        <v>18737</v>
      </c>
      <c r="D14345" s="13" t="s">
        <v>17685</v>
      </c>
      <c r="E14345" s="8">
        <v>4000</v>
      </c>
      <c r="F14345" s="13" t="s">
        <v>70</v>
      </c>
      <c r="G14345" s="14">
        <v>44840</v>
      </c>
      <c r="H14345" s="13" t="s">
        <v>163</v>
      </c>
    </row>
    <row r="14346" spans="1:8" ht="14.4" x14ac:dyDescent="0.3">
      <c r="A14346" s="8">
        <v>2072121</v>
      </c>
      <c r="B14346" s="11">
        <v>44839</v>
      </c>
      <c r="C14346" s="13" t="s">
        <v>18738</v>
      </c>
      <c r="D14346" s="13" t="s">
        <v>18739</v>
      </c>
      <c r="E14346" s="8">
        <v>6000</v>
      </c>
      <c r="F14346" s="13" t="s">
        <v>70</v>
      </c>
      <c r="G14346" s="14">
        <v>44841</v>
      </c>
      <c r="H14346" s="13" t="s">
        <v>163</v>
      </c>
    </row>
    <row r="14347" spans="1:8" ht="14.4" x14ac:dyDescent="0.3">
      <c r="A14347" s="8">
        <v>2072122</v>
      </c>
      <c r="B14347" s="11">
        <v>44839</v>
      </c>
      <c r="C14347" s="13" t="s">
        <v>12328</v>
      </c>
      <c r="D14347" s="13" t="s">
        <v>18740</v>
      </c>
      <c r="E14347" s="8">
        <v>6000</v>
      </c>
      <c r="F14347" s="13" t="s">
        <v>70</v>
      </c>
      <c r="G14347" s="14">
        <v>44840</v>
      </c>
      <c r="H14347" s="13" t="s">
        <v>163</v>
      </c>
    </row>
    <row r="14348" spans="1:8" ht="14.4" x14ac:dyDescent="0.3">
      <c r="A14348" s="8">
        <v>2072123</v>
      </c>
      <c r="B14348" s="11">
        <v>44839</v>
      </c>
      <c r="C14348" s="13" t="s">
        <v>12029</v>
      </c>
      <c r="D14348" s="13" t="s">
        <v>18741</v>
      </c>
      <c r="E14348" s="8">
        <v>6000</v>
      </c>
      <c r="F14348" s="13" t="s">
        <v>70</v>
      </c>
      <c r="G14348" s="14">
        <v>44840</v>
      </c>
      <c r="H14348" s="13" t="s">
        <v>163</v>
      </c>
    </row>
    <row r="14349" spans="1:8" ht="14.4" x14ac:dyDescent="0.3">
      <c r="A14349" s="8">
        <v>2072124</v>
      </c>
      <c r="B14349" s="11">
        <v>44839</v>
      </c>
      <c r="C14349" s="13" t="s">
        <v>13804</v>
      </c>
      <c r="D14349" s="13" t="s">
        <v>17685</v>
      </c>
      <c r="E14349" s="8">
        <v>2000</v>
      </c>
      <c r="F14349" s="13" t="s">
        <v>70</v>
      </c>
      <c r="G14349" s="14">
        <v>44840</v>
      </c>
      <c r="H14349" s="13" t="s">
        <v>163</v>
      </c>
    </row>
    <row r="14350" spans="1:8" ht="14.4" x14ac:dyDescent="0.3">
      <c r="A14350" s="8">
        <v>2072125</v>
      </c>
      <c r="B14350" s="11">
        <v>44839</v>
      </c>
      <c r="C14350" s="13" t="s">
        <v>18742</v>
      </c>
      <c r="D14350" s="13" t="s">
        <v>18743</v>
      </c>
      <c r="E14350" s="8">
        <v>6000</v>
      </c>
      <c r="F14350" s="13" t="s">
        <v>70</v>
      </c>
      <c r="G14350" s="14">
        <v>44841</v>
      </c>
      <c r="H14350" s="13" t="s">
        <v>163</v>
      </c>
    </row>
    <row r="14351" spans="1:8" ht="14.4" x14ac:dyDescent="0.3">
      <c r="A14351" s="8">
        <v>2072126</v>
      </c>
      <c r="B14351" s="11">
        <v>44839</v>
      </c>
      <c r="C14351" s="13" t="s">
        <v>15555</v>
      </c>
      <c r="D14351" s="13" t="s">
        <v>18744</v>
      </c>
      <c r="E14351" s="8">
        <v>2000</v>
      </c>
      <c r="F14351" s="13" t="s">
        <v>70</v>
      </c>
      <c r="G14351" s="14">
        <v>44841</v>
      </c>
      <c r="H14351" s="13" t="s">
        <v>163</v>
      </c>
    </row>
    <row r="14352" spans="1:8" ht="14.4" x14ac:dyDescent="0.3">
      <c r="A14352" s="8">
        <v>2072127</v>
      </c>
      <c r="B14352" s="11">
        <v>44839</v>
      </c>
      <c r="C14352" s="13" t="s">
        <v>7872</v>
      </c>
      <c r="D14352" s="13" t="s">
        <v>164</v>
      </c>
      <c r="E14352" s="8">
        <v>5000</v>
      </c>
      <c r="F14352" s="13" t="s">
        <v>70</v>
      </c>
      <c r="G14352" s="14">
        <v>44841</v>
      </c>
      <c r="H14352" s="13" t="s">
        <v>163</v>
      </c>
    </row>
    <row r="14353" spans="1:8" ht="14.4" x14ac:dyDescent="0.3">
      <c r="A14353" s="8">
        <v>2072128</v>
      </c>
      <c r="B14353" s="11">
        <v>44839</v>
      </c>
      <c r="C14353" s="13" t="s">
        <v>15933</v>
      </c>
      <c r="D14353" s="13" t="s">
        <v>18745</v>
      </c>
      <c r="E14353" s="8">
        <v>2000</v>
      </c>
      <c r="F14353" s="13" t="s">
        <v>70</v>
      </c>
      <c r="G14353" s="14">
        <v>44841</v>
      </c>
      <c r="H14353" s="13" t="s">
        <v>163</v>
      </c>
    </row>
    <row r="14354" spans="1:8" ht="14.4" x14ac:dyDescent="0.3">
      <c r="A14354" s="8">
        <v>2072129</v>
      </c>
      <c r="B14354" s="11">
        <v>44839</v>
      </c>
      <c r="C14354" s="13" t="s">
        <v>18746</v>
      </c>
      <c r="D14354" s="13" t="s">
        <v>18747</v>
      </c>
      <c r="E14354" s="8">
        <v>2000</v>
      </c>
      <c r="F14354" s="13" t="s">
        <v>70</v>
      </c>
      <c r="G14354" s="14">
        <v>44841</v>
      </c>
      <c r="H14354" s="13" t="s">
        <v>163</v>
      </c>
    </row>
    <row r="14355" spans="1:8" ht="14.4" x14ac:dyDescent="0.3">
      <c r="A14355" s="8">
        <v>2072130</v>
      </c>
      <c r="B14355" s="11">
        <v>44839</v>
      </c>
      <c r="C14355" s="13" t="s">
        <v>18748</v>
      </c>
      <c r="D14355" s="13" t="s">
        <v>18749</v>
      </c>
      <c r="E14355" s="8">
        <v>2000</v>
      </c>
      <c r="F14355" s="13" t="s">
        <v>70</v>
      </c>
      <c r="G14355" s="14">
        <v>44841</v>
      </c>
      <c r="H14355" s="13" t="s">
        <v>163</v>
      </c>
    </row>
    <row r="14356" spans="1:8" ht="14.4" x14ac:dyDescent="0.3">
      <c r="A14356" s="8">
        <v>2072131</v>
      </c>
      <c r="B14356" s="11">
        <v>44839</v>
      </c>
      <c r="C14356" s="13" t="s">
        <v>18748</v>
      </c>
      <c r="D14356" s="13" t="s">
        <v>164</v>
      </c>
      <c r="E14356" s="8">
        <v>2000</v>
      </c>
      <c r="F14356" s="13" t="s">
        <v>70</v>
      </c>
      <c r="G14356" s="14">
        <v>44841</v>
      </c>
      <c r="H14356" s="13" t="s">
        <v>163</v>
      </c>
    </row>
    <row r="14357" spans="1:8" ht="14.4" x14ac:dyDescent="0.3">
      <c r="A14357" s="8">
        <v>2072132</v>
      </c>
      <c r="B14357" s="11">
        <v>44839</v>
      </c>
      <c r="C14357" s="13" t="s">
        <v>12334</v>
      </c>
      <c r="D14357" s="13" t="s">
        <v>18750</v>
      </c>
      <c r="E14357" s="8">
        <v>5000</v>
      </c>
      <c r="F14357" s="13" t="s">
        <v>70</v>
      </c>
      <c r="G14357" s="14">
        <v>44841</v>
      </c>
      <c r="H14357" s="13" t="s">
        <v>163</v>
      </c>
    </row>
    <row r="14358" spans="1:8" ht="14.4" x14ac:dyDescent="0.3">
      <c r="A14358" s="8">
        <v>2072133</v>
      </c>
      <c r="B14358" s="11">
        <v>44839</v>
      </c>
      <c r="C14358" s="13" t="s">
        <v>18751</v>
      </c>
      <c r="D14358" s="13" t="s">
        <v>18752</v>
      </c>
      <c r="E14358" s="8">
        <v>2000</v>
      </c>
      <c r="F14358" s="13" t="s">
        <v>70</v>
      </c>
      <c r="G14358" s="14">
        <v>44841</v>
      </c>
      <c r="H14358" s="13" t="s">
        <v>163</v>
      </c>
    </row>
    <row r="14359" spans="1:8" ht="14.4" x14ac:dyDescent="0.3">
      <c r="A14359" s="8">
        <v>2072134</v>
      </c>
      <c r="B14359" s="11">
        <v>44839</v>
      </c>
      <c r="C14359" s="13" t="s">
        <v>18753</v>
      </c>
      <c r="D14359" s="13" t="s">
        <v>18754</v>
      </c>
      <c r="E14359" s="8">
        <v>2000</v>
      </c>
      <c r="F14359" s="13" t="s">
        <v>70</v>
      </c>
      <c r="G14359" s="14">
        <v>44841</v>
      </c>
      <c r="H14359" s="13" t="s">
        <v>163</v>
      </c>
    </row>
    <row r="14360" spans="1:8" ht="14.4" x14ac:dyDescent="0.3">
      <c r="A14360" s="8">
        <v>2072135</v>
      </c>
      <c r="B14360" s="11">
        <v>44839</v>
      </c>
      <c r="C14360" s="13" t="s">
        <v>18755</v>
      </c>
      <c r="D14360" s="13" t="s">
        <v>18756</v>
      </c>
      <c r="E14360" s="8">
        <v>2000</v>
      </c>
      <c r="F14360" s="13" t="s">
        <v>70</v>
      </c>
      <c r="G14360" s="14">
        <v>44841</v>
      </c>
      <c r="H14360" s="13" t="s">
        <v>163</v>
      </c>
    </row>
    <row r="14361" spans="1:8" ht="14.4" x14ac:dyDescent="0.3">
      <c r="A14361" s="8">
        <v>2072136</v>
      </c>
      <c r="B14361" s="11">
        <v>44839</v>
      </c>
      <c r="C14361" s="13" t="s">
        <v>18757</v>
      </c>
      <c r="D14361" s="13" t="s">
        <v>18758</v>
      </c>
      <c r="E14361" s="8">
        <v>1000</v>
      </c>
      <c r="F14361" s="13" t="s">
        <v>70</v>
      </c>
      <c r="G14361" s="14">
        <v>44841</v>
      </c>
      <c r="H14361" s="13" t="s">
        <v>163</v>
      </c>
    </row>
    <row r="14362" spans="1:8" ht="14.4" x14ac:dyDescent="0.3">
      <c r="A14362" s="8">
        <v>2072137</v>
      </c>
      <c r="B14362" s="11">
        <v>44839</v>
      </c>
      <c r="C14362" s="13" t="s">
        <v>18759</v>
      </c>
      <c r="D14362" s="13" t="s">
        <v>18760</v>
      </c>
      <c r="E14362" s="8">
        <v>2000</v>
      </c>
      <c r="F14362" s="13" t="s">
        <v>70</v>
      </c>
      <c r="G14362" s="14">
        <v>44841</v>
      </c>
      <c r="H14362" s="13" t="s">
        <v>163</v>
      </c>
    </row>
    <row r="14363" spans="1:8" ht="14.4" x14ac:dyDescent="0.3">
      <c r="A14363" s="8">
        <v>2072138</v>
      </c>
      <c r="B14363" s="11">
        <v>44839</v>
      </c>
      <c r="C14363" s="13" t="s">
        <v>18761</v>
      </c>
      <c r="D14363" s="13" t="s">
        <v>18762</v>
      </c>
      <c r="E14363" s="8">
        <v>2000</v>
      </c>
      <c r="F14363" s="13" t="s">
        <v>70</v>
      </c>
      <c r="G14363" s="14">
        <v>44841</v>
      </c>
      <c r="H14363" s="13" t="s">
        <v>163</v>
      </c>
    </row>
    <row r="14364" spans="1:8" ht="14.4" x14ac:dyDescent="0.3">
      <c r="A14364" s="8">
        <v>2072139</v>
      </c>
      <c r="B14364" s="11">
        <v>44839</v>
      </c>
      <c r="C14364" s="13" t="s">
        <v>122</v>
      </c>
      <c r="D14364" s="13" t="s">
        <v>18763</v>
      </c>
      <c r="E14364" s="8">
        <v>30000</v>
      </c>
      <c r="F14364" s="13" t="s">
        <v>70</v>
      </c>
      <c r="G14364" s="14">
        <v>44851</v>
      </c>
      <c r="H14364" s="13" t="s">
        <v>163</v>
      </c>
    </row>
    <row r="14365" spans="1:8" ht="14.4" x14ac:dyDescent="0.3">
      <c r="A14365" s="8">
        <v>2072140</v>
      </c>
      <c r="B14365" s="11">
        <v>44839</v>
      </c>
      <c r="C14365" s="13" t="s">
        <v>5021</v>
      </c>
      <c r="D14365" s="13" t="s">
        <v>18764</v>
      </c>
      <c r="E14365" s="8">
        <v>6000</v>
      </c>
      <c r="F14365" s="13" t="s">
        <v>70</v>
      </c>
      <c r="G14365" s="14">
        <v>44841</v>
      </c>
      <c r="H14365" s="13" t="s">
        <v>163</v>
      </c>
    </row>
    <row r="14366" spans="1:8" ht="14.4" x14ac:dyDescent="0.3">
      <c r="A14366" s="8">
        <v>2072142</v>
      </c>
      <c r="B14366" s="11">
        <v>44839</v>
      </c>
      <c r="C14366" s="13" t="s">
        <v>18765</v>
      </c>
      <c r="D14366" s="13" t="s">
        <v>18766</v>
      </c>
      <c r="E14366" s="8">
        <v>2000</v>
      </c>
      <c r="F14366" s="13" t="s">
        <v>70</v>
      </c>
      <c r="G14366" s="14">
        <v>44841</v>
      </c>
      <c r="H14366" s="13" t="s">
        <v>163</v>
      </c>
    </row>
    <row r="14367" spans="1:8" ht="14.4" x14ac:dyDescent="0.3">
      <c r="A14367" s="8">
        <v>2072143</v>
      </c>
      <c r="B14367" s="11">
        <v>44839</v>
      </c>
      <c r="C14367" s="13" t="s">
        <v>18767</v>
      </c>
      <c r="D14367" s="13" t="s">
        <v>18768</v>
      </c>
      <c r="E14367" s="8">
        <v>2000</v>
      </c>
      <c r="F14367" s="13" t="s">
        <v>70</v>
      </c>
      <c r="G14367" s="14">
        <v>44841</v>
      </c>
      <c r="H14367" s="13" t="s">
        <v>163</v>
      </c>
    </row>
    <row r="14368" spans="1:8" ht="14.4" x14ac:dyDescent="0.3">
      <c r="A14368" s="8">
        <v>2072144</v>
      </c>
      <c r="B14368" s="11">
        <v>44839</v>
      </c>
      <c r="C14368" s="13" t="s">
        <v>18769</v>
      </c>
      <c r="D14368" s="13" t="s">
        <v>14062</v>
      </c>
      <c r="E14368" s="8">
        <v>8000</v>
      </c>
      <c r="F14368" s="13" t="s">
        <v>70</v>
      </c>
      <c r="G14368" s="14">
        <v>44841</v>
      </c>
      <c r="H14368" s="13" t="s">
        <v>163</v>
      </c>
    </row>
    <row r="14369" spans="1:8" ht="14.4" x14ac:dyDescent="0.3">
      <c r="A14369" s="8">
        <v>2072145</v>
      </c>
      <c r="B14369" s="11">
        <v>44840</v>
      </c>
      <c r="C14369" s="13" t="s">
        <v>18770</v>
      </c>
      <c r="D14369" s="13" t="s">
        <v>18771</v>
      </c>
      <c r="E14369" s="8">
        <v>30000</v>
      </c>
      <c r="F14369" s="13" t="s">
        <v>70</v>
      </c>
      <c r="G14369" s="14">
        <v>44844</v>
      </c>
      <c r="H14369" s="13" t="s">
        <v>163</v>
      </c>
    </row>
    <row r="14370" spans="1:8" ht="14.4" x14ac:dyDescent="0.3">
      <c r="A14370" s="8">
        <v>2072146</v>
      </c>
      <c r="B14370" s="11">
        <v>44840</v>
      </c>
      <c r="C14370" s="13" t="s">
        <v>18772</v>
      </c>
      <c r="D14370" s="13" t="s">
        <v>18773</v>
      </c>
      <c r="E14370" s="8">
        <v>4000</v>
      </c>
      <c r="F14370" s="13" t="s">
        <v>70</v>
      </c>
      <c r="G14370" s="14">
        <v>44844</v>
      </c>
      <c r="H14370" s="13" t="s">
        <v>163</v>
      </c>
    </row>
    <row r="14371" spans="1:8" ht="14.4" x14ac:dyDescent="0.3">
      <c r="A14371" s="8">
        <v>2072147</v>
      </c>
      <c r="B14371" s="11">
        <v>44840</v>
      </c>
      <c r="C14371" s="13" t="s">
        <v>18774</v>
      </c>
      <c r="D14371" s="13" t="s">
        <v>18775</v>
      </c>
      <c r="E14371" s="8">
        <v>4000</v>
      </c>
      <c r="F14371" s="13" t="s">
        <v>70</v>
      </c>
      <c r="G14371" s="14">
        <v>44844</v>
      </c>
      <c r="H14371" s="13" t="s">
        <v>163</v>
      </c>
    </row>
    <row r="14372" spans="1:8" ht="14.4" x14ac:dyDescent="0.3">
      <c r="A14372" s="8">
        <v>2072148</v>
      </c>
      <c r="B14372" s="11">
        <v>44840</v>
      </c>
      <c r="C14372" s="13" t="s">
        <v>18776</v>
      </c>
      <c r="D14372" s="13" t="s">
        <v>18777</v>
      </c>
      <c r="E14372" s="8">
        <v>2000</v>
      </c>
      <c r="F14372" s="13" t="s">
        <v>70</v>
      </c>
      <c r="G14372" s="14">
        <v>44844</v>
      </c>
      <c r="H14372" s="13" t="s">
        <v>163</v>
      </c>
    </row>
    <row r="14373" spans="1:8" ht="14.4" x14ac:dyDescent="0.3">
      <c r="A14373" s="8">
        <v>2072149</v>
      </c>
      <c r="B14373" s="11">
        <v>44840</v>
      </c>
      <c r="C14373" s="13" t="s">
        <v>18778</v>
      </c>
      <c r="D14373" s="13" t="s">
        <v>18779</v>
      </c>
      <c r="E14373" s="8">
        <v>8000</v>
      </c>
      <c r="F14373" s="13" t="s">
        <v>70</v>
      </c>
      <c r="G14373" s="14">
        <v>44845</v>
      </c>
      <c r="H14373" s="13" t="s">
        <v>163</v>
      </c>
    </row>
    <row r="14374" spans="1:8" ht="14.4" x14ac:dyDescent="0.3">
      <c r="A14374" s="8">
        <v>2072150</v>
      </c>
      <c r="B14374" s="11">
        <v>44840</v>
      </c>
      <c r="C14374" s="13" t="s">
        <v>18780</v>
      </c>
      <c r="D14374" s="13" t="s">
        <v>18781</v>
      </c>
      <c r="E14374" s="8">
        <v>2000</v>
      </c>
      <c r="F14374" s="13" t="s">
        <v>70</v>
      </c>
      <c r="G14374" s="14">
        <v>44844</v>
      </c>
      <c r="H14374" s="13" t="s">
        <v>163</v>
      </c>
    </row>
    <row r="14375" spans="1:8" ht="14.4" x14ac:dyDescent="0.3">
      <c r="A14375" s="8">
        <v>2072151</v>
      </c>
      <c r="B14375" s="11">
        <v>44840</v>
      </c>
      <c r="C14375" s="13" t="s">
        <v>16906</v>
      </c>
      <c r="D14375" s="13" t="s">
        <v>18782</v>
      </c>
      <c r="E14375" s="8">
        <v>2000</v>
      </c>
      <c r="F14375" s="13" t="s">
        <v>70</v>
      </c>
      <c r="G14375" s="14">
        <v>44844</v>
      </c>
      <c r="H14375" s="13" t="s">
        <v>163</v>
      </c>
    </row>
    <row r="14376" spans="1:8" ht="14.4" x14ac:dyDescent="0.3">
      <c r="A14376" s="8">
        <v>2072153</v>
      </c>
      <c r="B14376" s="11">
        <v>44840</v>
      </c>
      <c r="C14376" s="13" t="s">
        <v>18783</v>
      </c>
      <c r="D14376" s="13" t="s">
        <v>18784</v>
      </c>
      <c r="E14376" s="8">
        <v>6000</v>
      </c>
      <c r="F14376" s="13" t="s">
        <v>70</v>
      </c>
      <c r="G14376" s="14">
        <v>44844</v>
      </c>
      <c r="H14376" s="13" t="s">
        <v>163</v>
      </c>
    </row>
    <row r="14377" spans="1:8" ht="14.4" x14ac:dyDescent="0.3">
      <c r="A14377" s="8">
        <v>2072154</v>
      </c>
      <c r="B14377" s="11">
        <v>44840</v>
      </c>
      <c r="C14377" s="13" t="s">
        <v>12402</v>
      </c>
      <c r="D14377" s="13" t="s">
        <v>18785</v>
      </c>
      <c r="E14377" s="8">
        <v>20000</v>
      </c>
      <c r="F14377" s="13" t="s">
        <v>70</v>
      </c>
      <c r="G14377" s="14">
        <v>44845</v>
      </c>
      <c r="H14377" s="13" t="s">
        <v>163</v>
      </c>
    </row>
    <row r="14378" spans="1:8" ht="14.4" x14ac:dyDescent="0.3">
      <c r="A14378" s="8">
        <v>2072155</v>
      </c>
      <c r="B14378" s="11">
        <v>44840</v>
      </c>
      <c r="C14378" s="13" t="s">
        <v>18786</v>
      </c>
      <c r="D14378" s="13" t="s">
        <v>18787</v>
      </c>
      <c r="E14378" s="8">
        <v>4000</v>
      </c>
      <c r="F14378" s="13" t="s">
        <v>70</v>
      </c>
      <c r="G14378" s="14">
        <v>44845</v>
      </c>
      <c r="H14378" s="13" t="s">
        <v>163</v>
      </c>
    </row>
    <row r="14379" spans="1:8" ht="14.4" x14ac:dyDescent="0.3">
      <c r="A14379" s="8">
        <v>2072156</v>
      </c>
      <c r="B14379" s="11">
        <v>44840</v>
      </c>
      <c r="C14379" s="13" t="s">
        <v>18788</v>
      </c>
      <c r="D14379" s="13" t="s">
        <v>18789</v>
      </c>
      <c r="E14379" s="8">
        <v>6000</v>
      </c>
      <c r="F14379" s="13" t="s">
        <v>70</v>
      </c>
      <c r="G14379" s="14">
        <v>44844</v>
      </c>
      <c r="H14379" s="13" t="s">
        <v>163</v>
      </c>
    </row>
    <row r="14380" spans="1:8" ht="14.4" x14ac:dyDescent="0.3">
      <c r="A14380" s="8">
        <v>2072157</v>
      </c>
      <c r="B14380" s="11">
        <v>44840</v>
      </c>
      <c r="C14380" s="13" t="s">
        <v>18790</v>
      </c>
      <c r="D14380" s="13" t="s">
        <v>18791</v>
      </c>
      <c r="E14380" s="8">
        <v>6000</v>
      </c>
      <c r="F14380" s="13" t="s">
        <v>70</v>
      </c>
      <c r="G14380" s="14">
        <v>44841</v>
      </c>
      <c r="H14380" s="13" t="s">
        <v>163</v>
      </c>
    </row>
    <row r="14381" spans="1:8" ht="14.4" x14ac:dyDescent="0.3">
      <c r="A14381" s="8">
        <v>2072158</v>
      </c>
      <c r="B14381" s="11">
        <v>44840</v>
      </c>
      <c r="C14381" s="13" t="s">
        <v>18792</v>
      </c>
      <c r="D14381" s="13" t="s">
        <v>18793</v>
      </c>
      <c r="E14381" s="8">
        <v>14000</v>
      </c>
      <c r="F14381" s="13" t="s">
        <v>70</v>
      </c>
      <c r="G14381" s="14">
        <v>44844</v>
      </c>
      <c r="H14381" s="13" t="s">
        <v>163</v>
      </c>
    </row>
    <row r="14382" spans="1:8" ht="14.4" x14ac:dyDescent="0.3">
      <c r="A14382" s="8">
        <v>2072159</v>
      </c>
      <c r="B14382" s="11">
        <v>44840</v>
      </c>
      <c r="C14382" s="13" t="s">
        <v>18794</v>
      </c>
      <c r="D14382" s="13" t="s">
        <v>17685</v>
      </c>
      <c r="E14382" s="8">
        <v>4000</v>
      </c>
      <c r="F14382" s="13" t="s">
        <v>70</v>
      </c>
      <c r="G14382" s="14">
        <v>44844</v>
      </c>
      <c r="H14382" s="13" t="s">
        <v>163</v>
      </c>
    </row>
    <row r="14383" spans="1:8" ht="14.4" x14ac:dyDescent="0.3">
      <c r="A14383" s="8">
        <v>2072160</v>
      </c>
      <c r="B14383" s="11">
        <v>44840</v>
      </c>
      <c r="C14383" s="13" t="s">
        <v>18795</v>
      </c>
      <c r="D14383" s="13" t="s">
        <v>18796</v>
      </c>
      <c r="E14383" s="8">
        <v>2000</v>
      </c>
      <c r="F14383" s="13" t="s">
        <v>70</v>
      </c>
      <c r="G14383" s="14">
        <v>44844</v>
      </c>
      <c r="H14383" s="13" t="s">
        <v>163</v>
      </c>
    </row>
    <row r="14384" spans="1:8" ht="14.4" x14ac:dyDescent="0.3">
      <c r="A14384" s="8">
        <v>2072161</v>
      </c>
      <c r="B14384" s="11">
        <v>44840</v>
      </c>
      <c r="C14384" s="13" t="s">
        <v>18797</v>
      </c>
      <c r="D14384" s="13" t="s">
        <v>18798</v>
      </c>
      <c r="E14384" s="8">
        <v>2000</v>
      </c>
      <c r="F14384" s="13" t="s">
        <v>70</v>
      </c>
      <c r="G14384" s="14">
        <v>44844</v>
      </c>
      <c r="H14384" s="13" t="s">
        <v>163</v>
      </c>
    </row>
    <row r="14385" spans="1:8" ht="14.4" x14ac:dyDescent="0.3">
      <c r="A14385" s="8">
        <v>2072162</v>
      </c>
      <c r="B14385" s="11">
        <v>44840</v>
      </c>
      <c r="C14385" s="13" t="s">
        <v>18799</v>
      </c>
      <c r="D14385" s="13" t="s">
        <v>18800</v>
      </c>
      <c r="E14385" s="8">
        <v>4000</v>
      </c>
      <c r="F14385" s="13" t="s">
        <v>70</v>
      </c>
      <c r="G14385" s="14">
        <v>44841</v>
      </c>
      <c r="H14385" s="13" t="s">
        <v>163</v>
      </c>
    </row>
    <row r="14386" spans="1:8" ht="14.4" x14ac:dyDescent="0.3">
      <c r="A14386" s="8">
        <v>2072163</v>
      </c>
      <c r="B14386" s="11">
        <v>44840</v>
      </c>
      <c r="C14386" s="13" t="s">
        <v>18801</v>
      </c>
      <c r="D14386" s="13" t="s">
        <v>18802</v>
      </c>
      <c r="E14386" s="8">
        <v>4000</v>
      </c>
      <c r="F14386" s="13" t="s">
        <v>70</v>
      </c>
      <c r="G14386" s="14">
        <v>44844</v>
      </c>
      <c r="H14386" s="13" t="s">
        <v>163</v>
      </c>
    </row>
    <row r="14387" spans="1:8" ht="14.4" x14ac:dyDescent="0.3">
      <c r="A14387" s="8">
        <v>2072164</v>
      </c>
      <c r="B14387" s="11">
        <v>44840</v>
      </c>
      <c r="C14387" s="13" t="s">
        <v>18803</v>
      </c>
      <c r="D14387" s="13" t="s">
        <v>18804</v>
      </c>
      <c r="E14387" s="8">
        <v>6000</v>
      </c>
      <c r="F14387" s="13" t="s">
        <v>70</v>
      </c>
      <c r="G14387" s="14">
        <v>44844</v>
      </c>
      <c r="H14387" s="13" t="s">
        <v>163</v>
      </c>
    </row>
    <row r="14388" spans="1:8" ht="14.4" x14ac:dyDescent="0.3">
      <c r="A14388" s="8">
        <v>2072165</v>
      </c>
      <c r="B14388" s="11">
        <v>44840</v>
      </c>
      <c r="C14388" s="13" t="s">
        <v>18805</v>
      </c>
      <c r="D14388" s="13" t="s">
        <v>167</v>
      </c>
      <c r="E14388" s="8">
        <v>4000</v>
      </c>
      <c r="F14388" s="13" t="s">
        <v>70</v>
      </c>
      <c r="G14388" s="14">
        <v>44844</v>
      </c>
      <c r="H14388" s="13" t="s">
        <v>163</v>
      </c>
    </row>
    <row r="14389" spans="1:8" ht="14.4" x14ac:dyDescent="0.3">
      <c r="A14389" s="8">
        <v>2072166</v>
      </c>
      <c r="B14389" s="11">
        <v>44840</v>
      </c>
      <c r="C14389" s="13" t="s">
        <v>18806</v>
      </c>
      <c r="D14389" s="13" t="s">
        <v>18807</v>
      </c>
      <c r="E14389" s="8">
        <v>6000</v>
      </c>
      <c r="F14389" s="13" t="s">
        <v>70</v>
      </c>
      <c r="G14389" s="14">
        <v>44845</v>
      </c>
      <c r="H14389" s="13" t="s">
        <v>163</v>
      </c>
    </row>
    <row r="14390" spans="1:8" ht="14.4" x14ac:dyDescent="0.3">
      <c r="A14390" s="8">
        <v>2072167</v>
      </c>
      <c r="B14390" s="11">
        <v>44840</v>
      </c>
      <c r="C14390" s="13" t="s">
        <v>18808</v>
      </c>
      <c r="D14390" s="13" t="s">
        <v>14318</v>
      </c>
      <c r="E14390" s="8">
        <v>8000</v>
      </c>
      <c r="F14390" s="13" t="s">
        <v>70</v>
      </c>
      <c r="G14390" s="14">
        <v>44844</v>
      </c>
      <c r="H14390" s="13" t="s">
        <v>163</v>
      </c>
    </row>
    <row r="14391" spans="1:8" ht="14.4" x14ac:dyDescent="0.3">
      <c r="A14391" s="8">
        <v>2072168</v>
      </c>
      <c r="B14391" s="11">
        <v>44840</v>
      </c>
      <c r="C14391" s="13" t="s">
        <v>18809</v>
      </c>
      <c r="D14391" s="13" t="s">
        <v>18810</v>
      </c>
      <c r="E14391" s="8">
        <v>2000</v>
      </c>
      <c r="F14391" s="13" t="s">
        <v>70</v>
      </c>
      <c r="G14391" s="14">
        <v>44844</v>
      </c>
      <c r="H14391" s="13" t="s">
        <v>163</v>
      </c>
    </row>
    <row r="14392" spans="1:8" ht="14.4" x14ac:dyDescent="0.3">
      <c r="A14392" s="8">
        <v>2072169</v>
      </c>
      <c r="B14392" s="11">
        <v>44840</v>
      </c>
      <c r="C14392" s="13" t="s">
        <v>18811</v>
      </c>
      <c r="D14392" s="13" t="s">
        <v>18812</v>
      </c>
      <c r="E14392" s="8">
        <v>2000</v>
      </c>
      <c r="F14392" s="13" t="s">
        <v>70</v>
      </c>
      <c r="G14392" s="14">
        <v>44844</v>
      </c>
      <c r="H14392" s="13" t="s">
        <v>163</v>
      </c>
    </row>
    <row r="14393" spans="1:8" ht="14.4" x14ac:dyDescent="0.3">
      <c r="A14393" s="8">
        <v>2072170</v>
      </c>
      <c r="B14393" s="11">
        <v>44840</v>
      </c>
      <c r="C14393" s="13" t="s">
        <v>18813</v>
      </c>
      <c r="D14393" s="13" t="s">
        <v>164</v>
      </c>
      <c r="E14393" s="8">
        <v>2000</v>
      </c>
      <c r="F14393" s="13" t="s">
        <v>70</v>
      </c>
      <c r="G14393" s="14">
        <v>44844</v>
      </c>
      <c r="H14393" s="13" t="s">
        <v>163</v>
      </c>
    </row>
    <row r="14394" spans="1:8" ht="14.4" x14ac:dyDescent="0.3">
      <c r="A14394" s="8">
        <v>2072171</v>
      </c>
      <c r="B14394" s="11">
        <v>44840</v>
      </c>
      <c r="C14394" s="13" t="s">
        <v>18814</v>
      </c>
      <c r="D14394" s="13" t="s">
        <v>18815</v>
      </c>
      <c r="E14394" s="8">
        <v>1000</v>
      </c>
      <c r="F14394" s="13" t="s">
        <v>70</v>
      </c>
      <c r="G14394" s="14">
        <v>44844</v>
      </c>
      <c r="H14394" s="13" t="s">
        <v>163</v>
      </c>
    </row>
    <row r="14395" spans="1:8" ht="14.4" x14ac:dyDescent="0.3">
      <c r="A14395" s="8">
        <v>2072172</v>
      </c>
      <c r="B14395" s="11">
        <v>44840</v>
      </c>
      <c r="C14395" s="13" t="s">
        <v>18816</v>
      </c>
      <c r="D14395" s="13" t="s">
        <v>164</v>
      </c>
      <c r="E14395" s="8">
        <v>2000</v>
      </c>
      <c r="F14395" s="13" t="s">
        <v>70</v>
      </c>
      <c r="G14395" s="14">
        <v>44844</v>
      </c>
      <c r="H14395" s="13" t="s">
        <v>163</v>
      </c>
    </row>
    <row r="14396" spans="1:8" ht="14.4" x14ac:dyDescent="0.3">
      <c r="A14396" s="8">
        <v>2072173</v>
      </c>
      <c r="B14396" s="11">
        <v>44840</v>
      </c>
      <c r="C14396" s="13" t="s">
        <v>18817</v>
      </c>
      <c r="D14396" s="13" t="s">
        <v>18818</v>
      </c>
      <c r="E14396" s="8">
        <v>10000</v>
      </c>
      <c r="F14396" s="13" t="s">
        <v>70</v>
      </c>
      <c r="G14396" s="14">
        <v>44844</v>
      </c>
      <c r="H14396" s="13" t="s">
        <v>163</v>
      </c>
    </row>
    <row r="14397" spans="1:8" ht="14.4" x14ac:dyDescent="0.3">
      <c r="A14397" s="8">
        <v>2072174</v>
      </c>
      <c r="B14397" s="11">
        <v>44840</v>
      </c>
      <c r="C14397" s="13" t="s">
        <v>18819</v>
      </c>
      <c r="D14397" s="13" t="s">
        <v>14062</v>
      </c>
      <c r="E14397" s="8">
        <v>5000</v>
      </c>
      <c r="F14397" s="13" t="s">
        <v>70</v>
      </c>
      <c r="G14397" s="14">
        <v>44844</v>
      </c>
      <c r="H14397" s="13" t="s">
        <v>163</v>
      </c>
    </row>
    <row r="14398" spans="1:8" ht="14.4" x14ac:dyDescent="0.3">
      <c r="A14398" s="8">
        <v>2072175</v>
      </c>
      <c r="B14398" s="11">
        <v>44840</v>
      </c>
      <c r="C14398" s="13" t="s">
        <v>18820</v>
      </c>
      <c r="D14398" s="13" t="s">
        <v>18821</v>
      </c>
      <c r="E14398" s="8">
        <v>2000</v>
      </c>
      <c r="F14398" s="13" t="s">
        <v>70</v>
      </c>
      <c r="G14398" s="14">
        <v>44844</v>
      </c>
      <c r="H14398" s="13" t="s">
        <v>163</v>
      </c>
    </row>
    <row r="14399" spans="1:8" ht="14.4" x14ac:dyDescent="0.3">
      <c r="A14399" s="8">
        <v>2072176</v>
      </c>
      <c r="B14399" s="11">
        <v>44840</v>
      </c>
      <c r="C14399" s="13" t="s">
        <v>18822</v>
      </c>
      <c r="D14399" s="13" t="s">
        <v>18823</v>
      </c>
      <c r="E14399" s="8">
        <v>4000</v>
      </c>
      <c r="F14399" s="13" t="s">
        <v>70</v>
      </c>
      <c r="G14399" s="14">
        <v>44844</v>
      </c>
      <c r="H14399" s="13" t="s">
        <v>163</v>
      </c>
    </row>
    <row r="14400" spans="1:8" ht="14.4" x14ac:dyDescent="0.3">
      <c r="A14400" s="8">
        <v>2072177</v>
      </c>
      <c r="B14400" s="11">
        <v>44840</v>
      </c>
      <c r="C14400" s="13" t="s">
        <v>12986</v>
      </c>
      <c r="D14400" s="13" t="s">
        <v>18824</v>
      </c>
      <c r="E14400" s="8">
        <v>2000</v>
      </c>
      <c r="F14400" s="13" t="s">
        <v>70</v>
      </c>
      <c r="G14400" s="14">
        <v>44844</v>
      </c>
      <c r="H14400" s="13" t="s">
        <v>163</v>
      </c>
    </row>
    <row r="14401" spans="1:8" ht="14.4" x14ac:dyDescent="0.3">
      <c r="A14401" s="8">
        <v>2072178</v>
      </c>
      <c r="B14401" s="11">
        <v>44840</v>
      </c>
      <c r="C14401" s="13" t="s">
        <v>18825</v>
      </c>
      <c r="D14401" s="13" t="s">
        <v>18826</v>
      </c>
      <c r="E14401" s="8">
        <v>2000</v>
      </c>
      <c r="F14401" s="13" t="s">
        <v>70</v>
      </c>
      <c r="G14401" s="14">
        <v>44844</v>
      </c>
      <c r="H14401" s="13" t="s">
        <v>163</v>
      </c>
    </row>
    <row r="14402" spans="1:8" ht="14.4" x14ac:dyDescent="0.3">
      <c r="A14402" s="8">
        <v>2072179</v>
      </c>
      <c r="B14402" s="11">
        <v>44840</v>
      </c>
      <c r="C14402" s="13" t="s">
        <v>18827</v>
      </c>
      <c r="D14402" s="13" t="s">
        <v>164</v>
      </c>
      <c r="E14402" s="8">
        <v>4000</v>
      </c>
      <c r="F14402" s="13" t="s">
        <v>70</v>
      </c>
      <c r="G14402" s="14">
        <v>44844</v>
      </c>
      <c r="H14402" s="13" t="s">
        <v>163</v>
      </c>
    </row>
    <row r="14403" spans="1:8" ht="14.4" x14ac:dyDescent="0.3">
      <c r="A14403" s="8">
        <v>2072180</v>
      </c>
      <c r="B14403" s="11">
        <v>44840</v>
      </c>
      <c r="C14403" s="13" t="s">
        <v>18828</v>
      </c>
      <c r="D14403" s="13" t="s">
        <v>18829</v>
      </c>
      <c r="E14403" s="8">
        <v>2000</v>
      </c>
      <c r="F14403" s="13" t="s">
        <v>70</v>
      </c>
      <c r="G14403" s="14">
        <v>44844</v>
      </c>
      <c r="H14403" s="13" t="s">
        <v>163</v>
      </c>
    </row>
    <row r="14404" spans="1:8" ht="14.4" x14ac:dyDescent="0.3">
      <c r="A14404" s="8">
        <v>2072181</v>
      </c>
      <c r="B14404" s="11">
        <v>44840</v>
      </c>
      <c r="C14404" s="13" t="s">
        <v>18830</v>
      </c>
      <c r="D14404" s="13" t="s">
        <v>18831</v>
      </c>
      <c r="E14404" s="8">
        <v>2000</v>
      </c>
      <c r="F14404" s="13" t="s">
        <v>70</v>
      </c>
      <c r="G14404" s="14">
        <v>44844</v>
      </c>
      <c r="H14404" s="13" t="s">
        <v>163</v>
      </c>
    </row>
    <row r="14405" spans="1:8" ht="14.4" x14ac:dyDescent="0.3">
      <c r="A14405" s="8">
        <v>2072182</v>
      </c>
      <c r="B14405" s="11">
        <v>44840</v>
      </c>
      <c r="C14405" s="13" t="s">
        <v>18832</v>
      </c>
      <c r="D14405" s="13" t="s">
        <v>18833</v>
      </c>
      <c r="E14405" s="8">
        <v>4000</v>
      </c>
      <c r="F14405" s="13" t="s">
        <v>70</v>
      </c>
      <c r="G14405" s="14">
        <v>44848</v>
      </c>
      <c r="H14405" s="13" t="s">
        <v>163</v>
      </c>
    </row>
    <row r="14406" spans="1:8" ht="14.4" x14ac:dyDescent="0.3">
      <c r="A14406" s="8">
        <v>2072183</v>
      </c>
      <c r="B14406" s="11">
        <v>44840</v>
      </c>
      <c r="C14406" s="13" t="s">
        <v>18834</v>
      </c>
      <c r="D14406" s="13" t="s">
        <v>18835</v>
      </c>
      <c r="E14406" s="8">
        <v>2000</v>
      </c>
      <c r="F14406" s="13" t="s">
        <v>70</v>
      </c>
      <c r="G14406" s="14">
        <v>44844</v>
      </c>
      <c r="H14406" s="13" t="s">
        <v>163</v>
      </c>
    </row>
    <row r="14407" spans="1:8" ht="14.4" x14ac:dyDescent="0.3">
      <c r="A14407" s="8">
        <v>2072184</v>
      </c>
      <c r="B14407" s="11">
        <v>44840</v>
      </c>
      <c r="C14407" s="13" t="s">
        <v>12404</v>
      </c>
      <c r="D14407" s="13" t="s">
        <v>18836</v>
      </c>
      <c r="E14407" s="8">
        <v>4000</v>
      </c>
      <c r="F14407" s="13" t="s">
        <v>70</v>
      </c>
      <c r="G14407" s="14">
        <v>44844</v>
      </c>
      <c r="H14407" s="13" t="s">
        <v>163</v>
      </c>
    </row>
    <row r="14408" spans="1:8" ht="14.4" x14ac:dyDescent="0.3">
      <c r="A14408" s="8">
        <v>2072185</v>
      </c>
      <c r="B14408" s="11">
        <v>44840</v>
      </c>
      <c r="C14408" s="13" t="s">
        <v>18837</v>
      </c>
      <c r="D14408" s="13" t="s">
        <v>18838</v>
      </c>
      <c r="E14408" s="8">
        <v>4000</v>
      </c>
      <c r="F14408" s="13" t="s">
        <v>70</v>
      </c>
      <c r="G14408" s="14">
        <v>44844</v>
      </c>
      <c r="H14408" s="13" t="s">
        <v>163</v>
      </c>
    </row>
    <row r="14409" spans="1:8" ht="14.4" x14ac:dyDescent="0.3">
      <c r="A14409" s="8">
        <v>2072186</v>
      </c>
      <c r="B14409" s="11">
        <v>44840</v>
      </c>
      <c r="C14409" s="13" t="s">
        <v>18799</v>
      </c>
      <c r="D14409" s="13" t="s">
        <v>164</v>
      </c>
      <c r="E14409" s="8">
        <v>4000</v>
      </c>
      <c r="F14409" s="13" t="s">
        <v>70</v>
      </c>
      <c r="G14409" s="14">
        <v>44841</v>
      </c>
      <c r="H14409" s="13" t="s">
        <v>163</v>
      </c>
    </row>
    <row r="14410" spans="1:8" ht="14.4" x14ac:dyDescent="0.3">
      <c r="A14410" s="8">
        <v>2072187</v>
      </c>
      <c r="B14410" s="11">
        <v>44840</v>
      </c>
      <c r="C14410" s="13" t="s">
        <v>18839</v>
      </c>
      <c r="D14410" s="13" t="s">
        <v>18840</v>
      </c>
      <c r="E14410" s="8">
        <v>2000</v>
      </c>
      <c r="F14410" s="13" t="s">
        <v>70</v>
      </c>
      <c r="G14410" s="14">
        <v>44844</v>
      </c>
      <c r="H14410" s="13" t="s">
        <v>163</v>
      </c>
    </row>
    <row r="14411" spans="1:8" ht="14.4" x14ac:dyDescent="0.3">
      <c r="A14411" s="8">
        <v>2072188</v>
      </c>
      <c r="B14411" s="11">
        <v>44840</v>
      </c>
      <c r="C14411" s="13" t="s">
        <v>18841</v>
      </c>
      <c r="D14411" s="13" t="s">
        <v>14062</v>
      </c>
      <c r="E14411" s="8">
        <v>1000</v>
      </c>
      <c r="F14411" s="13" t="s">
        <v>70</v>
      </c>
      <c r="G14411" s="14">
        <v>44844</v>
      </c>
      <c r="H14411" s="13" t="s">
        <v>163</v>
      </c>
    </row>
    <row r="14412" spans="1:8" ht="14.4" x14ac:dyDescent="0.3">
      <c r="A14412" s="8">
        <v>2072189</v>
      </c>
      <c r="B14412" s="11">
        <v>44840</v>
      </c>
      <c r="C14412" s="13" t="s">
        <v>18842</v>
      </c>
      <c r="D14412" s="13" t="s">
        <v>164</v>
      </c>
      <c r="E14412" s="8">
        <v>1000</v>
      </c>
      <c r="F14412" s="13" t="s">
        <v>70</v>
      </c>
      <c r="G14412" s="14">
        <v>44844</v>
      </c>
      <c r="H14412" s="13" t="s">
        <v>163</v>
      </c>
    </row>
    <row r="14413" spans="1:8" ht="14.4" x14ac:dyDescent="0.3">
      <c r="A14413" s="8">
        <v>2072190</v>
      </c>
      <c r="B14413" s="11">
        <v>44840</v>
      </c>
      <c r="C14413" s="13" t="s">
        <v>18843</v>
      </c>
      <c r="D14413" s="13" t="s">
        <v>164</v>
      </c>
      <c r="E14413" s="8">
        <v>2000</v>
      </c>
      <c r="F14413" s="13" t="s">
        <v>70</v>
      </c>
      <c r="G14413" s="14">
        <v>44844</v>
      </c>
      <c r="H14413" s="13" t="s">
        <v>163</v>
      </c>
    </row>
    <row r="14414" spans="1:8" ht="14.4" x14ac:dyDescent="0.3">
      <c r="A14414" s="8">
        <v>2072191</v>
      </c>
      <c r="B14414" s="11">
        <v>44840</v>
      </c>
      <c r="C14414" s="13" t="s">
        <v>18844</v>
      </c>
      <c r="D14414" s="13" t="s">
        <v>18845</v>
      </c>
      <c r="E14414" s="8">
        <v>6000</v>
      </c>
      <c r="F14414" s="13" t="s">
        <v>70</v>
      </c>
      <c r="G14414" s="14">
        <v>44844</v>
      </c>
      <c r="H14414" s="13" t="s">
        <v>163</v>
      </c>
    </row>
    <row r="14415" spans="1:8" ht="14.4" x14ac:dyDescent="0.3">
      <c r="A14415" s="8">
        <v>2072192</v>
      </c>
      <c r="B14415" s="11">
        <v>44840</v>
      </c>
      <c r="C14415" s="13" t="s">
        <v>18846</v>
      </c>
      <c r="D14415" s="13" t="s">
        <v>18847</v>
      </c>
      <c r="E14415" s="8">
        <v>8000</v>
      </c>
      <c r="F14415" s="13" t="s">
        <v>70</v>
      </c>
      <c r="G14415" s="14">
        <v>44844</v>
      </c>
      <c r="H14415" s="13" t="s">
        <v>163</v>
      </c>
    </row>
    <row r="14416" spans="1:8" ht="14.4" x14ac:dyDescent="0.3">
      <c r="A14416" s="8">
        <v>2072193</v>
      </c>
      <c r="B14416" s="11">
        <v>44841</v>
      </c>
      <c r="C14416" s="13" t="s">
        <v>13571</v>
      </c>
      <c r="D14416" s="13" t="s">
        <v>18848</v>
      </c>
      <c r="E14416" s="8">
        <v>2000</v>
      </c>
      <c r="F14416" s="13" t="s">
        <v>70</v>
      </c>
      <c r="G14416" s="14">
        <v>44845</v>
      </c>
      <c r="H14416" s="13" t="s">
        <v>163</v>
      </c>
    </row>
    <row r="14417" spans="1:8" ht="14.4" x14ac:dyDescent="0.3">
      <c r="A14417" s="8">
        <v>2072194</v>
      </c>
      <c r="B14417" s="11">
        <v>44841</v>
      </c>
      <c r="C14417" s="13" t="s">
        <v>18849</v>
      </c>
      <c r="D14417" s="13" t="s">
        <v>18850</v>
      </c>
      <c r="E14417" s="8">
        <v>10000</v>
      </c>
      <c r="F14417" s="13" t="s">
        <v>70</v>
      </c>
      <c r="G14417" s="14">
        <v>44844</v>
      </c>
      <c r="H14417" s="13" t="s">
        <v>163</v>
      </c>
    </row>
    <row r="14418" spans="1:8" ht="14.4" x14ac:dyDescent="0.3">
      <c r="A14418" s="8">
        <v>2072195</v>
      </c>
      <c r="B14418" s="11">
        <v>44841</v>
      </c>
      <c r="C14418" s="13" t="s">
        <v>18851</v>
      </c>
      <c r="D14418" s="13" t="s">
        <v>18852</v>
      </c>
      <c r="E14418" s="8">
        <v>2000</v>
      </c>
      <c r="F14418" s="13" t="s">
        <v>70</v>
      </c>
      <c r="G14418" s="14">
        <v>44844</v>
      </c>
      <c r="H14418" s="13" t="s">
        <v>163</v>
      </c>
    </row>
    <row r="14419" spans="1:8" ht="14.4" x14ac:dyDescent="0.3">
      <c r="A14419" s="8">
        <v>2072196</v>
      </c>
      <c r="B14419" s="11">
        <v>44841</v>
      </c>
      <c r="C14419" s="13" t="s">
        <v>12527</v>
      </c>
      <c r="D14419" s="13" t="s">
        <v>18853</v>
      </c>
      <c r="E14419" s="8">
        <v>8000</v>
      </c>
      <c r="F14419" s="13" t="s">
        <v>70</v>
      </c>
      <c r="G14419" s="14">
        <v>44845</v>
      </c>
      <c r="H14419" s="13" t="s">
        <v>163</v>
      </c>
    </row>
    <row r="14420" spans="1:8" ht="14.4" x14ac:dyDescent="0.3">
      <c r="A14420" s="8">
        <v>2072197</v>
      </c>
      <c r="B14420" s="11">
        <v>44841</v>
      </c>
      <c r="C14420" s="13" t="s">
        <v>18854</v>
      </c>
      <c r="D14420" s="13" t="s">
        <v>18855</v>
      </c>
      <c r="E14420" s="8">
        <v>6000</v>
      </c>
      <c r="F14420" s="13" t="s">
        <v>70</v>
      </c>
      <c r="G14420" s="14">
        <v>44844</v>
      </c>
      <c r="H14420" s="13" t="s">
        <v>163</v>
      </c>
    </row>
    <row r="14421" spans="1:8" ht="14.4" x14ac:dyDescent="0.3">
      <c r="A14421" s="8">
        <v>2072198</v>
      </c>
      <c r="B14421" s="11">
        <v>44841</v>
      </c>
      <c r="C14421" s="13" t="s">
        <v>18856</v>
      </c>
      <c r="D14421" s="13" t="s">
        <v>18857</v>
      </c>
      <c r="E14421" s="8">
        <v>8000</v>
      </c>
      <c r="F14421" s="13" t="s">
        <v>70</v>
      </c>
      <c r="G14421" s="14">
        <v>44844</v>
      </c>
      <c r="H14421" s="13" t="s">
        <v>163</v>
      </c>
    </row>
    <row r="14422" spans="1:8" ht="14.4" x14ac:dyDescent="0.3">
      <c r="A14422" s="8">
        <v>2072199</v>
      </c>
      <c r="B14422" s="11">
        <v>44841</v>
      </c>
      <c r="C14422" s="13" t="s">
        <v>18858</v>
      </c>
      <c r="D14422" s="13" t="s">
        <v>14318</v>
      </c>
      <c r="E14422" s="8">
        <v>3000</v>
      </c>
      <c r="F14422" s="13" t="s">
        <v>70</v>
      </c>
      <c r="G14422" s="14">
        <v>44844</v>
      </c>
      <c r="H14422" s="13" t="s">
        <v>163</v>
      </c>
    </row>
    <row r="14423" spans="1:8" ht="14.4" x14ac:dyDescent="0.3">
      <c r="A14423" s="8">
        <v>2072200</v>
      </c>
      <c r="B14423" s="11">
        <v>44841</v>
      </c>
      <c r="C14423" s="13" t="s">
        <v>18859</v>
      </c>
      <c r="D14423" s="13" t="s">
        <v>166</v>
      </c>
      <c r="E14423" s="8">
        <v>2000</v>
      </c>
      <c r="F14423" s="13" t="s">
        <v>70</v>
      </c>
      <c r="G14423" s="14">
        <v>44844</v>
      </c>
      <c r="H14423" s="13" t="s">
        <v>163</v>
      </c>
    </row>
    <row r="14424" spans="1:8" ht="14.4" x14ac:dyDescent="0.3">
      <c r="A14424" s="8">
        <v>2072201</v>
      </c>
      <c r="B14424" s="11">
        <v>44841</v>
      </c>
      <c r="C14424" s="13" t="s">
        <v>18860</v>
      </c>
      <c r="D14424" s="13" t="s">
        <v>164</v>
      </c>
      <c r="E14424" s="8">
        <v>2000</v>
      </c>
      <c r="F14424" s="13" t="s">
        <v>70</v>
      </c>
      <c r="G14424" s="14">
        <v>44845</v>
      </c>
      <c r="H14424" s="13" t="s">
        <v>163</v>
      </c>
    </row>
    <row r="14425" spans="1:8" ht="14.4" x14ac:dyDescent="0.3">
      <c r="A14425" s="8">
        <v>2072202</v>
      </c>
      <c r="B14425" s="11">
        <v>44841</v>
      </c>
      <c r="C14425" s="13" t="s">
        <v>18861</v>
      </c>
      <c r="D14425" s="13" t="s">
        <v>164</v>
      </c>
      <c r="E14425" s="8">
        <v>1500</v>
      </c>
      <c r="F14425" s="13" t="s">
        <v>70</v>
      </c>
      <c r="G14425" s="14">
        <v>44844</v>
      </c>
      <c r="H14425" s="13" t="s">
        <v>163</v>
      </c>
    </row>
    <row r="14426" spans="1:8" ht="14.4" x14ac:dyDescent="0.3">
      <c r="A14426" s="8">
        <v>2072203</v>
      </c>
      <c r="B14426" s="11">
        <v>44841</v>
      </c>
      <c r="C14426" s="13" t="s">
        <v>18862</v>
      </c>
      <c r="D14426" s="13" t="s">
        <v>164</v>
      </c>
      <c r="E14426" s="8">
        <v>2000</v>
      </c>
      <c r="F14426" s="13" t="s">
        <v>70</v>
      </c>
      <c r="G14426" s="14">
        <v>44844</v>
      </c>
      <c r="H14426" s="13" t="s">
        <v>163</v>
      </c>
    </row>
    <row r="14427" spans="1:8" ht="14.4" x14ac:dyDescent="0.3">
      <c r="A14427" s="8">
        <v>2072204</v>
      </c>
      <c r="B14427" s="11">
        <v>44841</v>
      </c>
      <c r="C14427" s="13" t="s">
        <v>18863</v>
      </c>
      <c r="D14427" s="13" t="s">
        <v>18864</v>
      </c>
      <c r="E14427" s="8">
        <v>4000</v>
      </c>
      <c r="F14427" s="13" t="s">
        <v>70</v>
      </c>
      <c r="G14427" s="14">
        <v>44845</v>
      </c>
      <c r="H14427" s="13" t="s">
        <v>163</v>
      </c>
    </row>
    <row r="14428" spans="1:8" ht="14.4" x14ac:dyDescent="0.3">
      <c r="A14428" s="8">
        <v>2072205</v>
      </c>
      <c r="B14428" s="11">
        <v>44841</v>
      </c>
      <c r="C14428" s="13" t="s">
        <v>11710</v>
      </c>
      <c r="D14428" s="13" t="s">
        <v>18865</v>
      </c>
      <c r="E14428" s="8">
        <v>2000</v>
      </c>
      <c r="F14428" s="13" t="s">
        <v>70</v>
      </c>
      <c r="G14428" s="14">
        <v>44860</v>
      </c>
      <c r="H14428" s="13" t="s">
        <v>163</v>
      </c>
    </row>
    <row r="14429" spans="1:8" ht="14.4" x14ac:dyDescent="0.3">
      <c r="A14429" s="8">
        <v>2072206</v>
      </c>
      <c r="B14429" s="11">
        <v>44841</v>
      </c>
      <c r="C14429" s="13" t="s">
        <v>18866</v>
      </c>
      <c r="D14429" s="13" t="s">
        <v>18867</v>
      </c>
      <c r="E14429" s="8">
        <v>2000</v>
      </c>
      <c r="F14429" s="13" t="s">
        <v>70</v>
      </c>
      <c r="G14429" s="14">
        <v>44844</v>
      </c>
      <c r="H14429" s="13" t="s">
        <v>163</v>
      </c>
    </row>
    <row r="14430" spans="1:8" ht="14.4" x14ac:dyDescent="0.3">
      <c r="A14430" s="8">
        <v>2072207</v>
      </c>
      <c r="B14430" s="11">
        <v>44841</v>
      </c>
      <c r="C14430" s="13" t="s">
        <v>6310</v>
      </c>
      <c r="D14430" s="13" t="s">
        <v>18868</v>
      </c>
      <c r="E14430" s="8">
        <v>740764.75</v>
      </c>
      <c r="F14430" s="13" t="s">
        <v>70</v>
      </c>
      <c r="G14430" s="14">
        <v>44845</v>
      </c>
      <c r="H14430" s="13" t="s">
        <v>163</v>
      </c>
    </row>
    <row r="14431" spans="1:8" ht="14.4" x14ac:dyDescent="0.3">
      <c r="A14431" s="8">
        <v>2072208</v>
      </c>
      <c r="B14431" s="11">
        <v>44841</v>
      </c>
      <c r="C14431" s="13" t="s">
        <v>18869</v>
      </c>
      <c r="D14431" s="13" t="s">
        <v>18870</v>
      </c>
      <c r="E14431" s="8">
        <v>4000</v>
      </c>
      <c r="F14431" s="13" t="s">
        <v>70</v>
      </c>
      <c r="G14431" s="14">
        <v>44845</v>
      </c>
      <c r="H14431" s="13" t="s">
        <v>163</v>
      </c>
    </row>
    <row r="14432" spans="1:8" ht="14.4" x14ac:dyDescent="0.3">
      <c r="A14432" s="8">
        <v>2072209</v>
      </c>
      <c r="B14432" s="11">
        <v>44841</v>
      </c>
      <c r="C14432" s="13" t="s">
        <v>18871</v>
      </c>
      <c r="D14432" s="13" t="s">
        <v>18872</v>
      </c>
      <c r="E14432" s="8">
        <v>4000</v>
      </c>
      <c r="F14432" s="13" t="s">
        <v>70</v>
      </c>
      <c r="G14432" s="14">
        <v>44846</v>
      </c>
      <c r="H14432" s="13" t="s">
        <v>163</v>
      </c>
    </row>
    <row r="14433" spans="1:8" ht="14.4" x14ac:dyDescent="0.3">
      <c r="A14433" s="8">
        <v>2072210</v>
      </c>
      <c r="B14433" s="11">
        <v>44841</v>
      </c>
      <c r="C14433" s="13" t="s">
        <v>12519</v>
      </c>
      <c r="D14433" s="13" t="s">
        <v>18873</v>
      </c>
      <c r="E14433" s="8">
        <v>6000</v>
      </c>
      <c r="F14433" s="13" t="s">
        <v>70</v>
      </c>
      <c r="G14433" s="14">
        <v>44846</v>
      </c>
      <c r="H14433" s="13" t="s">
        <v>163</v>
      </c>
    </row>
    <row r="14434" spans="1:8" ht="14.4" x14ac:dyDescent="0.3">
      <c r="A14434" s="8">
        <v>2072211</v>
      </c>
      <c r="B14434" s="11">
        <v>44841</v>
      </c>
      <c r="C14434" s="13" t="s">
        <v>8786</v>
      </c>
      <c r="D14434" s="13" t="s">
        <v>18874</v>
      </c>
      <c r="E14434" s="8">
        <v>2000</v>
      </c>
      <c r="F14434" s="13" t="s">
        <v>70</v>
      </c>
      <c r="G14434" s="14">
        <v>44847</v>
      </c>
      <c r="H14434" s="13" t="s">
        <v>163</v>
      </c>
    </row>
    <row r="14435" spans="1:8" ht="14.4" x14ac:dyDescent="0.3">
      <c r="A14435" s="8">
        <v>2072212</v>
      </c>
      <c r="B14435" s="11">
        <v>44841</v>
      </c>
      <c r="C14435" s="13" t="s">
        <v>18875</v>
      </c>
      <c r="D14435" s="13" t="s">
        <v>18876</v>
      </c>
      <c r="E14435" s="8">
        <v>8000</v>
      </c>
      <c r="F14435" s="13" t="s">
        <v>70</v>
      </c>
      <c r="G14435" s="14">
        <v>44845</v>
      </c>
      <c r="H14435" s="13" t="s">
        <v>163</v>
      </c>
    </row>
    <row r="14436" spans="1:8" ht="14.4" x14ac:dyDescent="0.3">
      <c r="A14436" s="8">
        <v>2072213</v>
      </c>
      <c r="B14436" s="11">
        <v>44841</v>
      </c>
      <c r="C14436" s="13" t="s">
        <v>15205</v>
      </c>
      <c r="D14436" s="13" t="s">
        <v>18877</v>
      </c>
      <c r="E14436" s="8">
        <v>30000</v>
      </c>
      <c r="F14436" s="13" t="s">
        <v>70</v>
      </c>
      <c r="G14436" s="14">
        <v>44845</v>
      </c>
      <c r="H14436" s="13" t="s">
        <v>163</v>
      </c>
    </row>
    <row r="14437" spans="1:8" ht="14.4" x14ac:dyDescent="0.3">
      <c r="A14437" s="8">
        <v>2072214</v>
      </c>
      <c r="B14437" s="11">
        <v>44841</v>
      </c>
      <c r="C14437" s="13" t="s">
        <v>3098</v>
      </c>
      <c r="D14437" s="13" t="s">
        <v>18878</v>
      </c>
      <c r="E14437" s="8">
        <v>4000</v>
      </c>
      <c r="F14437" s="13" t="s">
        <v>70</v>
      </c>
      <c r="G14437" s="14">
        <v>44845</v>
      </c>
      <c r="H14437" s="13" t="s">
        <v>163</v>
      </c>
    </row>
    <row r="14438" spans="1:8" ht="14.4" x14ac:dyDescent="0.3">
      <c r="A14438" s="8">
        <v>2072215</v>
      </c>
      <c r="B14438" s="11">
        <v>44841</v>
      </c>
      <c r="C14438" s="13" t="s">
        <v>12514</v>
      </c>
      <c r="D14438" s="13" t="s">
        <v>18879</v>
      </c>
      <c r="E14438" s="8">
        <v>8000</v>
      </c>
      <c r="F14438" s="13" t="s">
        <v>70</v>
      </c>
      <c r="G14438" s="14">
        <v>44854</v>
      </c>
      <c r="H14438" s="13" t="s">
        <v>163</v>
      </c>
    </row>
    <row r="14439" spans="1:8" ht="14.4" x14ac:dyDescent="0.3">
      <c r="A14439" s="8">
        <v>2072216</v>
      </c>
      <c r="B14439" s="11">
        <v>44841</v>
      </c>
      <c r="C14439" s="13" t="s">
        <v>18880</v>
      </c>
      <c r="D14439" s="13" t="s">
        <v>18881</v>
      </c>
      <c r="E14439" s="8">
        <v>2000</v>
      </c>
      <c r="F14439" s="13" t="s">
        <v>70</v>
      </c>
      <c r="G14439" s="14">
        <v>44845</v>
      </c>
      <c r="H14439" s="13" t="s">
        <v>163</v>
      </c>
    </row>
    <row r="14440" spans="1:8" ht="14.4" x14ac:dyDescent="0.3">
      <c r="A14440" s="8">
        <v>2072217</v>
      </c>
      <c r="B14440" s="11">
        <v>44841</v>
      </c>
      <c r="C14440" s="13" t="s">
        <v>18882</v>
      </c>
      <c r="D14440" s="13" t="s">
        <v>18883</v>
      </c>
      <c r="E14440" s="8">
        <v>2000</v>
      </c>
      <c r="F14440" s="13" t="s">
        <v>70</v>
      </c>
      <c r="G14440" s="14">
        <v>44846</v>
      </c>
      <c r="H14440" s="13" t="s">
        <v>163</v>
      </c>
    </row>
    <row r="14441" spans="1:8" ht="14.4" x14ac:dyDescent="0.3">
      <c r="A14441" s="8">
        <v>2072218</v>
      </c>
      <c r="B14441" s="11">
        <v>44844</v>
      </c>
      <c r="C14441" s="13" t="s">
        <v>18884</v>
      </c>
      <c r="D14441" s="13" t="s">
        <v>18885</v>
      </c>
      <c r="E14441" s="8">
        <v>10000</v>
      </c>
      <c r="F14441" s="13" t="s">
        <v>70</v>
      </c>
      <c r="G14441" s="14">
        <v>44847</v>
      </c>
      <c r="H14441" s="13" t="s">
        <v>163</v>
      </c>
    </row>
    <row r="14442" spans="1:8" ht="14.4" x14ac:dyDescent="0.3">
      <c r="A14442" s="8">
        <v>2072219</v>
      </c>
      <c r="B14442" s="11">
        <v>44844</v>
      </c>
      <c r="C14442" s="13" t="s">
        <v>18886</v>
      </c>
      <c r="D14442" s="13" t="s">
        <v>18887</v>
      </c>
      <c r="E14442" s="8">
        <v>6000</v>
      </c>
      <c r="F14442" s="13" t="s">
        <v>70</v>
      </c>
      <c r="G14442" s="14">
        <v>44845</v>
      </c>
      <c r="H14442" s="13" t="s">
        <v>163</v>
      </c>
    </row>
    <row r="14443" spans="1:8" ht="14.4" x14ac:dyDescent="0.3">
      <c r="A14443" s="8">
        <v>2072220</v>
      </c>
      <c r="B14443" s="11">
        <v>44844</v>
      </c>
      <c r="C14443" s="13" t="s">
        <v>18888</v>
      </c>
      <c r="D14443" s="13" t="s">
        <v>18889</v>
      </c>
      <c r="E14443" s="8">
        <v>6000</v>
      </c>
      <c r="F14443" s="13" t="s">
        <v>70</v>
      </c>
      <c r="G14443" s="14">
        <v>44845</v>
      </c>
      <c r="H14443" s="13" t="s">
        <v>163</v>
      </c>
    </row>
    <row r="14444" spans="1:8" ht="14.4" x14ac:dyDescent="0.3">
      <c r="A14444" s="8">
        <v>2072221</v>
      </c>
      <c r="B14444" s="11">
        <v>44844</v>
      </c>
      <c r="C14444" s="13" t="s">
        <v>18890</v>
      </c>
      <c r="D14444" s="13" t="s">
        <v>18891</v>
      </c>
      <c r="E14444" s="8">
        <v>6000</v>
      </c>
      <c r="F14444" s="13" t="s">
        <v>70</v>
      </c>
      <c r="G14444" s="14">
        <v>44845</v>
      </c>
      <c r="H14444" s="13" t="s">
        <v>163</v>
      </c>
    </row>
    <row r="14445" spans="1:8" ht="14.4" x14ac:dyDescent="0.3">
      <c r="A14445" s="8">
        <v>2072222</v>
      </c>
      <c r="B14445" s="11">
        <v>44844</v>
      </c>
      <c r="C14445" s="13" t="s">
        <v>18892</v>
      </c>
      <c r="D14445" s="13" t="s">
        <v>18893</v>
      </c>
      <c r="E14445" s="8">
        <v>8000</v>
      </c>
      <c r="F14445" s="13" t="s">
        <v>70</v>
      </c>
      <c r="G14445" s="14">
        <v>44847</v>
      </c>
      <c r="H14445" s="13" t="s">
        <v>163</v>
      </c>
    </row>
    <row r="14446" spans="1:8" ht="14.4" x14ac:dyDescent="0.3">
      <c r="A14446" s="8">
        <v>2072223</v>
      </c>
      <c r="B14446" s="11">
        <v>44844</v>
      </c>
      <c r="C14446" s="13" t="s">
        <v>18894</v>
      </c>
      <c r="D14446" s="13" t="s">
        <v>18895</v>
      </c>
      <c r="E14446" s="8">
        <v>8000</v>
      </c>
      <c r="F14446" s="13" t="s">
        <v>70</v>
      </c>
      <c r="G14446" s="14">
        <v>44845</v>
      </c>
      <c r="H14446" s="13" t="s">
        <v>163</v>
      </c>
    </row>
    <row r="14447" spans="1:8" ht="14.4" x14ac:dyDescent="0.3">
      <c r="A14447" s="8">
        <v>2072224</v>
      </c>
      <c r="B14447" s="11">
        <v>44844</v>
      </c>
      <c r="C14447" s="13" t="s">
        <v>5075</v>
      </c>
      <c r="D14447" s="13" t="s">
        <v>18896</v>
      </c>
      <c r="E14447" s="8">
        <v>30000</v>
      </c>
      <c r="F14447" s="13" t="s">
        <v>70</v>
      </c>
      <c r="G14447" s="14">
        <v>44846</v>
      </c>
      <c r="H14447" s="13" t="s">
        <v>163</v>
      </c>
    </row>
    <row r="14448" spans="1:8" ht="14.4" x14ac:dyDescent="0.3">
      <c r="A14448" s="8">
        <v>2072225</v>
      </c>
      <c r="B14448" s="11">
        <v>44844</v>
      </c>
      <c r="C14448" s="13" t="s">
        <v>18897</v>
      </c>
      <c r="D14448" s="13" t="s">
        <v>18898</v>
      </c>
      <c r="E14448" s="8">
        <v>30000</v>
      </c>
      <c r="F14448" s="13" t="s">
        <v>70</v>
      </c>
      <c r="G14448" s="14">
        <v>44845</v>
      </c>
      <c r="H14448" s="13" t="s">
        <v>163</v>
      </c>
    </row>
    <row r="14449" spans="1:8" ht="14.4" x14ac:dyDescent="0.3">
      <c r="A14449" s="8">
        <v>2072226</v>
      </c>
      <c r="B14449" s="11">
        <v>44844</v>
      </c>
      <c r="C14449" s="13" t="s">
        <v>18899</v>
      </c>
      <c r="D14449" s="13" t="s">
        <v>18900</v>
      </c>
      <c r="E14449" s="8">
        <v>2000</v>
      </c>
      <c r="F14449" s="13" t="s">
        <v>70</v>
      </c>
      <c r="G14449" s="14">
        <v>44845</v>
      </c>
      <c r="H14449" s="13" t="s">
        <v>163</v>
      </c>
    </row>
    <row r="14450" spans="1:8" ht="14.4" x14ac:dyDescent="0.3">
      <c r="A14450" s="8">
        <v>2072227</v>
      </c>
      <c r="B14450" s="11">
        <v>44844</v>
      </c>
      <c r="C14450" s="13" t="s">
        <v>18901</v>
      </c>
      <c r="D14450" s="13" t="s">
        <v>18902</v>
      </c>
      <c r="E14450" s="8">
        <v>14000</v>
      </c>
      <c r="F14450" s="13" t="s">
        <v>70</v>
      </c>
      <c r="G14450" s="14">
        <v>44845</v>
      </c>
      <c r="H14450" s="13" t="s">
        <v>163</v>
      </c>
    </row>
    <row r="14451" spans="1:8" ht="14.4" x14ac:dyDescent="0.3">
      <c r="A14451" s="8">
        <v>2072228</v>
      </c>
      <c r="B14451" s="11">
        <v>44844</v>
      </c>
      <c r="C14451" s="13" t="s">
        <v>18903</v>
      </c>
      <c r="D14451" s="13" t="s">
        <v>18904</v>
      </c>
      <c r="E14451" s="8">
        <v>2000</v>
      </c>
      <c r="F14451" s="13" t="s">
        <v>70</v>
      </c>
      <c r="G14451" s="14">
        <v>44845</v>
      </c>
      <c r="H14451" s="13" t="s">
        <v>163</v>
      </c>
    </row>
    <row r="14452" spans="1:8" ht="14.4" x14ac:dyDescent="0.3">
      <c r="A14452" s="8">
        <v>2072229</v>
      </c>
      <c r="B14452" s="11">
        <v>44844</v>
      </c>
      <c r="C14452" s="13" t="s">
        <v>12554</v>
      </c>
      <c r="D14452" s="13" t="s">
        <v>18905</v>
      </c>
      <c r="E14452" s="8">
        <v>8000</v>
      </c>
      <c r="F14452" s="13" t="s">
        <v>70</v>
      </c>
      <c r="G14452" s="14">
        <v>44846</v>
      </c>
      <c r="H14452" s="13" t="s">
        <v>163</v>
      </c>
    </row>
    <row r="14453" spans="1:8" ht="14.4" x14ac:dyDescent="0.3">
      <c r="A14453" s="8">
        <v>2072230</v>
      </c>
      <c r="B14453" s="11">
        <v>44844</v>
      </c>
      <c r="C14453" s="13" t="s">
        <v>18906</v>
      </c>
      <c r="D14453" s="13" t="s">
        <v>164</v>
      </c>
      <c r="E14453" s="8">
        <v>3000</v>
      </c>
      <c r="F14453" s="13" t="s">
        <v>70</v>
      </c>
      <c r="G14453" s="14">
        <v>44847</v>
      </c>
      <c r="H14453" s="13" t="s">
        <v>163</v>
      </c>
    </row>
    <row r="14454" spans="1:8" ht="14.4" x14ac:dyDescent="0.3">
      <c r="A14454" s="8">
        <v>2072231</v>
      </c>
      <c r="B14454" s="11">
        <v>44844</v>
      </c>
      <c r="C14454" s="13" t="s">
        <v>18907</v>
      </c>
      <c r="D14454" s="13" t="s">
        <v>18908</v>
      </c>
      <c r="E14454" s="8">
        <v>2000</v>
      </c>
      <c r="F14454" s="13" t="s">
        <v>70</v>
      </c>
      <c r="G14454" s="14">
        <v>44845</v>
      </c>
      <c r="H14454" s="13" t="s">
        <v>163</v>
      </c>
    </row>
    <row r="14455" spans="1:8" ht="14.4" x14ac:dyDescent="0.3">
      <c r="A14455" s="8">
        <v>2072232</v>
      </c>
      <c r="B14455" s="11">
        <v>44844</v>
      </c>
      <c r="C14455" s="13" t="s">
        <v>18909</v>
      </c>
      <c r="D14455" s="13" t="s">
        <v>18910</v>
      </c>
      <c r="E14455" s="8">
        <v>2000</v>
      </c>
      <c r="F14455" s="13" t="s">
        <v>70</v>
      </c>
      <c r="G14455" s="14">
        <v>44846</v>
      </c>
      <c r="H14455" s="13" t="s">
        <v>163</v>
      </c>
    </row>
    <row r="14456" spans="1:8" ht="14.4" x14ac:dyDescent="0.3">
      <c r="A14456" s="8">
        <v>2072233</v>
      </c>
      <c r="B14456" s="11">
        <v>44844</v>
      </c>
      <c r="C14456" s="13" t="s">
        <v>18911</v>
      </c>
      <c r="D14456" s="13" t="s">
        <v>18912</v>
      </c>
      <c r="E14456" s="8">
        <v>2000</v>
      </c>
      <c r="F14456" s="13" t="s">
        <v>70</v>
      </c>
      <c r="G14456" s="14">
        <v>44845</v>
      </c>
      <c r="H14456" s="13" t="s">
        <v>163</v>
      </c>
    </row>
    <row r="14457" spans="1:8" ht="14.4" x14ac:dyDescent="0.3">
      <c r="A14457" s="8">
        <v>2072234</v>
      </c>
      <c r="B14457" s="11">
        <v>44844</v>
      </c>
      <c r="C14457" s="13" t="s">
        <v>18913</v>
      </c>
      <c r="D14457" s="13" t="s">
        <v>14318</v>
      </c>
      <c r="E14457" s="8">
        <v>2000</v>
      </c>
      <c r="F14457" s="13" t="s">
        <v>70</v>
      </c>
      <c r="G14457" s="14">
        <v>44846</v>
      </c>
      <c r="H14457" s="13" t="s">
        <v>163</v>
      </c>
    </row>
    <row r="14458" spans="1:8" ht="14.4" x14ac:dyDescent="0.3">
      <c r="A14458" s="8">
        <v>2072235</v>
      </c>
      <c r="B14458" s="11">
        <v>44844</v>
      </c>
      <c r="C14458" s="13" t="s">
        <v>11458</v>
      </c>
      <c r="D14458" s="13" t="s">
        <v>18914</v>
      </c>
      <c r="E14458" s="8">
        <v>20000</v>
      </c>
      <c r="F14458" s="13" t="s">
        <v>70</v>
      </c>
      <c r="G14458" s="14">
        <v>44854</v>
      </c>
      <c r="H14458" s="13" t="s">
        <v>163</v>
      </c>
    </row>
    <row r="14459" spans="1:8" ht="14.4" x14ac:dyDescent="0.3">
      <c r="A14459" s="8">
        <v>2072236</v>
      </c>
      <c r="B14459" s="11">
        <v>44844</v>
      </c>
      <c r="C14459" s="13" t="s">
        <v>18915</v>
      </c>
      <c r="D14459" s="13" t="s">
        <v>18916</v>
      </c>
      <c r="E14459" s="8">
        <v>4000</v>
      </c>
      <c r="F14459" s="13" t="s">
        <v>70</v>
      </c>
      <c r="G14459" s="14">
        <v>44846</v>
      </c>
      <c r="H14459" s="13" t="s">
        <v>163</v>
      </c>
    </row>
    <row r="14460" spans="1:8" ht="14.4" x14ac:dyDescent="0.3">
      <c r="A14460" s="8">
        <v>2072237</v>
      </c>
      <c r="B14460" s="11">
        <v>44844</v>
      </c>
      <c r="C14460" s="13" t="s">
        <v>14523</v>
      </c>
      <c r="D14460" s="13" t="s">
        <v>14062</v>
      </c>
      <c r="E14460" s="8">
        <v>2000</v>
      </c>
      <c r="F14460" s="13" t="s">
        <v>70</v>
      </c>
      <c r="G14460" s="14">
        <v>44845</v>
      </c>
      <c r="H14460" s="13" t="s">
        <v>163</v>
      </c>
    </row>
    <row r="14461" spans="1:8" ht="14.4" x14ac:dyDescent="0.3">
      <c r="A14461" s="8">
        <v>2072238</v>
      </c>
      <c r="B14461" s="11">
        <v>44844</v>
      </c>
      <c r="C14461" s="13" t="s">
        <v>18917</v>
      </c>
      <c r="D14461" s="13" t="s">
        <v>164</v>
      </c>
      <c r="E14461" s="8">
        <v>2000</v>
      </c>
      <c r="F14461" s="13" t="s">
        <v>70</v>
      </c>
      <c r="G14461" s="14">
        <v>44867</v>
      </c>
      <c r="H14461" s="13" t="s">
        <v>163</v>
      </c>
    </row>
    <row r="14462" spans="1:8" ht="14.4" x14ac:dyDescent="0.3">
      <c r="A14462" s="8">
        <v>2072239</v>
      </c>
      <c r="B14462" s="11">
        <v>44844</v>
      </c>
      <c r="C14462" s="13" t="s">
        <v>18918</v>
      </c>
      <c r="D14462" s="13" t="s">
        <v>18919</v>
      </c>
      <c r="E14462" s="8">
        <v>2000</v>
      </c>
      <c r="F14462" s="13" t="s">
        <v>70</v>
      </c>
      <c r="G14462" s="14">
        <v>44845</v>
      </c>
      <c r="H14462" s="13" t="s">
        <v>163</v>
      </c>
    </row>
    <row r="14463" spans="1:8" ht="14.4" x14ac:dyDescent="0.3">
      <c r="A14463" s="8">
        <v>2072240</v>
      </c>
      <c r="B14463" s="11">
        <v>44844</v>
      </c>
      <c r="C14463" s="13" t="s">
        <v>18920</v>
      </c>
      <c r="D14463" s="13" t="s">
        <v>18921</v>
      </c>
      <c r="E14463" s="8">
        <v>4000</v>
      </c>
      <c r="F14463" s="13" t="s">
        <v>70</v>
      </c>
      <c r="G14463" s="14">
        <v>44845</v>
      </c>
      <c r="H14463" s="13" t="s">
        <v>163</v>
      </c>
    </row>
    <row r="14464" spans="1:8" ht="14.4" x14ac:dyDescent="0.3">
      <c r="A14464" s="8">
        <v>2072241</v>
      </c>
      <c r="B14464" s="11">
        <v>44844</v>
      </c>
      <c r="C14464" s="13" t="s">
        <v>18922</v>
      </c>
      <c r="D14464" s="13" t="s">
        <v>18923</v>
      </c>
      <c r="E14464" s="8">
        <v>5000</v>
      </c>
      <c r="F14464" s="13" t="s">
        <v>70</v>
      </c>
      <c r="G14464" s="14">
        <v>44845</v>
      </c>
      <c r="H14464" s="13" t="s">
        <v>163</v>
      </c>
    </row>
    <row r="14465" spans="1:8" ht="14.4" x14ac:dyDescent="0.3">
      <c r="A14465" s="8">
        <v>2072242</v>
      </c>
      <c r="B14465" s="11">
        <v>44845</v>
      </c>
      <c r="C14465" s="13" t="s">
        <v>18924</v>
      </c>
      <c r="D14465" s="13" t="s">
        <v>18925</v>
      </c>
      <c r="E14465" s="8">
        <v>6000</v>
      </c>
      <c r="F14465" s="13" t="s">
        <v>70</v>
      </c>
      <c r="G14465" s="14">
        <v>44847</v>
      </c>
      <c r="H14465" s="13" t="s">
        <v>163</v>
      </c>
    </row>
    <row r="14466" spans="1:8" ht="14.4" x14ac:dyDescent="0.3">
      <c r="A14466" s="8">
        <v>2072243</v>
      </c>
      <c r="B14466" s="11">
        <v>44845</v>
      </c>
      <c r="C14466" s="13" t="s">
        <v>18926</v>
      </c>
      <c r="D14466" s="13" t="s">
        <v>18927</v>
      </c>
      <c r="E14466" s="8">
        <v>4000</v>
      </c>
      <c r="F14466" s="13" t="s">
        <v>70</v>
      </c>
      <c r="G14466" s="14">
        <v>44847</v>
      </c>
      <c r="H14466" s="13" t="s">
        <v>163</v>
      </c>
    </row>
    <row r="14467" spans="1:8" ht="14.4" x14ac:dyDescent="0.3">
      <c r="A14467" s="8">
        <v>2072244</v>
      </c>
      <c r="B14467" s="11">
        <v>44845</v>
      </c>
      <c r="C14467" s="13" t="s">
        <v>18928</v>
      </c>
      <c r="D14467" s="13" t="s">
        <v>18929</v>
      </c>
      <c r="E14467" s="8">
        <v>6000</v>
      </c>
      <c r="F14467" s="13" t="s">
        <v>70</v>
      </c>
      <c r="G14467" s="14">
        <v>44851</v>
      </c>
      <c r="H14467" s="13" t="s">
        <v>163</v>
      </c>
    </row>
    <row r="14468" spans="1:8" ht="14.4" x14ac:dyDescent="0.3">
      <c r="A14468" s="8">
        <v>2072245</v>
      </c>
      <c r="B14468" s="11">
        <v>44845</v>
      </c>
      <c r="C14468" s="13" t="s">
        <v>18930</v>
      </c>
      <c r="D14468" s="13" t="s">
        <v>18931</v>
      </c>
      <c r="E14468" s="8">
        <v>4000</v>
      </c>
      <c r="F14468" s="13" t="s">
        <v>70</v>
      </c>
      <c r="G14468" s="14">
        <v>44847</v>
      </c>
      <c r="H14468" s="13" t="s">
        <v>163</v>
      </c>
    </row>
    <row r="14469" spans="1:8" ht="14.4" x14ac:dyDescent="0.3">
      <c r="A14469" s="8">
        <v>2072246</v>
      </c>
      <c r="B14469" s="11">
        <v>44845</v>
      </c>
      <c r="C14469" s="13" t="s">
        <v>18932</v>
      </c>
      <c r="D14469" s="13" t="s">
        <v>18933</v>
      </c>
      <c r="E14469" s="8">
        <v>6000</v>
      </c>
      <c r="F14469" s="13" t="s">
        <v>70</v>
      </c>
      <c r="G14469" s="14">
        <v>44847</v>
      </c>
      <c r="H14469" s="13" t="s">
        <v>163</v>
      </c>
    </row>
    <row r="14470" spans="1:8" ht="14.4" x14ac:dyDescent="0.3">
      <c r="A14470" s="8">
        <v>2072247</v>
      </c>
      <c r="B14470" s="11">
        <v>44845</v>
      </c>
      <c r="C14470" s="13" t="s">
        <v>18934</v>
      </c>
      <c r="D14470" s="13" t="s">
        <v>18935</v>
      </c>
      <c r="E14470" s="8">
        <v>4000</v>
      </c>
      <c r="F14470" s="13" t="s">
        <v>70</v>
      </c>
      <c r="G14470" s="14">
        <v>44847</v>
      </c>
      <c r="H14470" s="13" t="s">
        <v>163</v>
      </c>
    </row>
    <row r="14471" spans="1:8" ht="14.4" x14ac:dyDescent="0.3">
      <c r="A14471" s="8">
        <v>2072248</v>
      </c>
      <c r="B14471" s="11">
        <v>44845</v>
      </c>
      <c r="C14471" s="13" t="s">
        <v>1448</v>
      </c>
      <c r="D14471" s="13" t="s">
        <v>164</v>
      </c>
      <c r="E14471" s="8">
        <v>8000</v>
      </c>
      <c r="F14471" s="13" t="s">
        <v>70</v>
      </c>
      <c r="G14471" s="14">
        <v>44847</v>
      </c>
      <c r="H14471" s="13" t="s">
        <v>163</v>
      </c>
    </row>
    <row r="14472" spans="1:8" ht="14.4" x14ac:dyDescent="0.3">
      <c r="A14472" s="8">
        <v>2072249</v>
      </c>
      <c r="B14472" s="11">
        <v>44845</v>
      </c>
      <c r="C14472" s="13" t="s">
        <v>18936</v>
      </c>
      <c r="D14472" s="13" t="s">
        <v>18937</v>
      </c>
      <c r="E14472" s="8">
        <v>2000</v>
      </c>
      <c r="F14472" s="13" t="s">
        <v>70</v>
      </c>
      <c r="G14472" s="14">
        <v>44847</v>
      </c>
      <c r="H14472" s="13" t="s">
        <v>163</v>
      </c>
    </row>
    <row r="14473" spans="1:8" ht="14.4" x14ac:dyDescent="0.3">
      <c r="A14473" s="8">
        <v>2072250</v>
      </c>
      <c r="B14473" s="11">
        <v>44845</v>
      </c>
      <c r="C14473" s="13" t="s">
        <v>18938</v>
      </c>
      <c r="D14473" s="13" t="s">
        <v>18939</v>
      </c>
      <c r="E14473" s="8">
        <v>4000</v>
      </c>
      <c r="F14473" s="13" t="s">
        <v>70</v>
      </c>
      <c r="G14473" s="14">
        <v>44847</v>
      </c>
      <c r="H14473" s="13" t="s">
        <v>163</v>
      </c>
    </row>
    <row r="14474" spans="1:8" ht="14.4" x14ac:dyDescent="0.3">
      <c r="A14474" s="8">
        <v>2072251</v>
      </c>
      <c r="B14474" s="11">
        <v>44845</v>
      </c>
      <c r="C14474" s="13" t="s">
        <v>18940</v>
      </c>
      <c r="D14474" s="13" t="s">
        <v>18941</v>
      </c>
      <c r="E14474" s="8">
        <v>4000</v>
      </c>
      <c r="F14474" s="13" t="s">
        <v>70</v>
      </c>
      <c r="G14474" s="14">
        <v>44848</v>
      </c>
      <c r="H14474" s="13" t="s">
        <v>163</v>
      </c>
    </row>
    <row r="14475" spans="1:8" ht="14.4" x14ac:dyDescent="0.3">
      <c r="A14475" s="8">
        <v>2072252</v>
      </c>
      <c r="B14475" s="11">
        <v>44845</v>
      </c>
      <c r="C14475" s="13" t="s">
        <v>18942</v>
      </c>
      <c r="D14475" s="13" t="s">
        <v>18943</v>
      </c>
      <c r="E14475" s="8">
        <v>6000</v>
      </c>
      <c r="F14475" s="13" t="s">
        <v>70</v>
      </c>
      <c r="G14475" s="14">
        <v>44846</v>
      </c>
      <c r="H14475" s="13" t="s">
        <v>163</v>
      </c>
    </row>
    <row r="14476" spans="1:8" ht="14.4" x14ac:dyDescent="0.3">
      <c r="A14476" s="8">
        <v>2072253</v>
      </c>
      <c r="B14476" s="11">
        <v>44845</v>
      </c>
      <c r="C14476" s="13" t="s">
        <v>18944</v>
      </c>
      <c r="D14476" s="13" t="s">
        <v>18945</v>
      </c>
      <c r="E14476" s="8">
        <v>4000</v>
      </c>
      <c r="F14476" s="13" t="s">
        <v>70</v>
      </c>
      <c r="G14476" s="14">
        <v>44847</v>
      </c>
      <c r="H14476" s="13" t="s">
        <v>163</v>
      </c>
    </row>
    <row r="14477" spans="1:8" ht="14.4" x14ac:dyDescent="0.3">
      <c r="A14477" s="8">
        <v>2072254</v>
      </c>
      <c r="B14477" s="11">
        <v>44845</v>
      </c>
      <c r="C14477" s="13" t="s">
        <v>18946</v>
      </c>
      <c r="D14477" s="13" t="s">
        <v>18947</v>
      </c>
      <c r="E14477" s="8">
        <v>40000</v>
      </c>
      <c r="F14477" s="13" t="s">
        <v>70</v>
      </c>
      <c r="G14477" s="14">
        <v>44847</v>
      </c>
      <c r="H14477" s="13" t="s">
        <v>163</v>
      </c>
    </row>
    <row r="14478" spans="1:8" ht="14.4" x14ac:dyDescent="0.3">
      <c r="A14478" s="8">
        <v>2072255</v>
      </c>
      <c r="B14478" s="11">
        <v>44845</v>
      </c>
      <c r="C14478" s="13" t="s">
        <v>18948</v>
      </c>
      <c r="D14478" s="13" t="s">
        <v>18949</v>
      </c>
      <c r="E14478" s="8">
        <v>4000</v>
      </c>
      <c r="F14478" s="13" t="s">
        <v>70</v>
      </c>
      <c r="G14478" s="14">
        <v>44847</v>
      </c>
      <c r="H14478" s="13" t="s">
        <v>163</v>
      </c>
    </row>
    <row r="14479" spans="1:8" ht="14.4" x14ac:dyDescent="0.3">
      <c r="A14479" s="8">
        <v>2072256</v>
      </c>
      <c r="B14479" s="11">
        <v>44845</v>
      </c>
      <c r="C14479" s="13" t="s">
        <v>18950</v>
      </c>
      <c r="D14479" s="13" t="s">
        <v>18951</v>
      </c>
      <c r="E14479" s="8">
        <v>4000</v>
      </c>
      <c r="F14479" s="13" t="s">
        <v>70</v>
      </c>
      <c r="G14479" s="14">
        <v>44847</v>
      </c>
      <c r="H14479" s="13" t="s">
        <v>163</v>
      </c>
    </row>
    <row r="14480" spans="1:8" ht="14.4" x14ac:dyDescent="0.3">
      <c r="A14480" s="8">
        <v>2072257</v>
      </c>
      <c r="B14480" s="11">
        <v>44845</v>
      </c>
      <c r="C14480" s="13" t="s">
        <v>18952</v>
      </c>
      <c r="D14480" s="13" t="s">
        <v>18953</v>
      </c>
      <c r="E14480" s="8">
        <v>4000</v>
      </c>
      <c r="F14480" s="13" t="s">
        <v>70</v>
      </c>
      <c r="G14480" s="14">
        <v>44847</v>
      </c>
      <c r="H14480" s="13" t="s">
        <v>163</v>
      </c>
    </row>
    <row r="14481" spans="1:8" ht="14.4" x14ac:dyDescent="0.3">
      <c r="A14481" s="8">
        <v>2072258</v>
      </c>
      <c r="B14481" s="11">
        <v>44845</v>
      </c>
      <c r="C14481" s="13" t="s">
        <v>18954</v>
      </c>
      <c r="D14481" s="13" t="s">
        <v>18955</v>
      </c>
      <c r="E14481" s="8">
        <v>4000</v>
      </c>
      <c r="F14481" s="13" t="s">
        <v>70</v>
      </c>
      <c r="G14481" s="14">
        <v>44847</v>
      </c>
      <c r="H14481" s="13" t="s">
        <v>163</v>
      </c>
    </row>
    <row r="14482" spans="1:8" ht="14.4" x14ac:dyDescent="0.3">
      <c r="A14482" s="8">
        <v>2072259</v>
      </c>
      <c r="B14482" s="11">
        <v>44845</v>
      </c>
      <c r="C14482" s="13" t="s">
        <v>18956</v>
      </c>
      <c r="D14482" s="13" t="s">
        <v>18957</v>
      </c>
      <c r="E14482" s="8">
        <v>2000</v>
      </c>
      <c r="F14482" s="13" t="s">
        <v>70</v>
      </c>
      <c r="G14482" s="14">
        <v>44847</v>
      </c>
      <c r="H14482" s="13" t="s">
        <v>163</v>
      </c>
    </row>
    <row r="14483" spans="1:8" ht="14.4" x14ac:dyDescent="0.3">
      <c r="A14483" s="8">
        <v>2072260</v>
      </c>
      <c r="B14483" s="11">
        <v>44845</v>
      </c>
      <c r="C14483" s="13" t="s">
        <v>18958</v>
      </c>
      <c r="D14483" s="13" t="s">
        <v>18959</v>
      </c>
      <c r="E14483" s="8">
        <v>2000</v>
      </c>
      <c r="F14483" s="13" t="s">
        <v>70</v>
      </c>
      <c r="G14483" s="14">
        <v>44847</v>
      </c>
      <c r="H14483" s="13" t="s">
        <v>163</v>
      </c>
    </row>
    <row r="14484" spans="1:8" ht="14.4" x14ac:dyDescent="0.3">
      <c r="A14484" s="8">
        <v>2072261</v>
      </c>
      <c r="B14484" s="11">
        <v>44845</v>
      </c>
      <c r="C14484" s="13" t="s">
        <v>18960</v>
      </c>
      <c r="D14484" s="13" t="s">
        <v>18961</v>
      </c>
      <c r="E14484" s="8">
        <v>6000</v>
      </c>
      <c r="F14484" s="13" t="s">
        <v>70</v>
      </c>
      <c r="G14484" s="14">
        <v>44847</v>
      </c>
      <c r="H14484" s="13" t="s">
        <v>163</v>
      </c>
    </row>
    <row r="14485" spans="1:8" ht="14.4" x14ac:dyDescent="0.3">
      <c r="A14485" s="8">
        <v>2072262</v>
      </c>
      <c r="B14485" s="11">
        <v>44845</v>
      </c>
      <c r="C14485" s="13" t="s">
        <v>18962</v>
      </c>
      <c r="D14485" s="13" t="s">
        <v>18963</v>
      </c>
      <c r="E14485" s="8">
        <v>2000</v>
      </c>
      <c r="F14485" s="13" t="s">
        <v>70</v>
      </c>
      <c r="G14485" s="14">
        <v>44847</v>
      </c>
      <c r="H14485" s="13" t="s">
        <v>163</v>
      </c>
    </row>
    <row r="14486" spans="1:8" ht="14.4" x14ac:dyDescent="0.3">
      <c r="A14486" s="8">
        <v>2072263</v>
      </c>
      <c r="B14486" s="11">
        <v>44845</v>
      </c>
      <c r="C14486" s="13" t="s">
        <v>1581</v>
      </c>
      <c r="D14486" s="13" t="s">
        <v>18964</v>
      </c>
      <c r="E14486" s="8">
        <v>47700</v>
      </c>
      <c r="F14486" s="13" t="s">
        <v>70</v>
      </c>
      <c r="G14486" s="14">
        <v>44846</v>
      </c>
      <c r="H14486" s="13" t="s">
        <v>163</v>
      </c>
    </row>
    <row r="14487" spans="1:8" ht="14.4" x14ac:dyDescent="0.3">
      <c r="A14487" s="8">
        <v>2072264</v>
      </c>
      <c r="B14487" s="11">
        <v>44845</v>
      </c>
      <c r="C14487" s="13" t="s">
        <v>5713</v>
      </c>
      <c r="D14487" s="13" t="s">
        <v>18965</v>
      </c>
      <c r="E14487" s="8">
        <v>2000</v>
      </c>
      <c r="F14487" s="13" t="s">
        <v>70</v>
      </c>
      <c r="G14487" s="14">
        <v>44847</v>
      </c>
      <c r="H14487" s="13" t="s">
        <v>163</v>
      </c>
    </row>
    <row r="14488" spans="1:8" ht="14.4" x14ac:dyDescent="0.3">
      <c r="A14488" s="8">
        <v>2072265</v>
      </c>
      <c r="B14488" s="11">
        <v>44845</v>
      </c>
      <c r="C14488" s="13" t="s">
        <v>18966</v>
      </c>
      <c r="D14488" s="13" t="s">
        <v>18967</v>
      </c>
      <c r="E14488" s="8">
        <v>11250</v>
      </c>
      <c r="F14488" s="13" t="s">
        <v>70</v>
      </c>
      <c r="G14488" s="14">
        <v>44875</v>
      </c>
      <c r="H14488" s="13" t="s">
        <v>163</v>
      </c>
    </row>
    <row r="14489" spans="1:8" ht="14.4" x14ac:dyDescent="0.3">
      <c r="A14489" s="8">
        <v>2072266</v>
      </c>
      <c r="B14489" s="11">
        <v>44847</v>
      </c>
      <c r="C14489" s="13" t="s">
        <v>18968</v>
      </c>
      <c r="D14489" s="13" t="s">
        <v>18969</v>
      </c>
      <c r="E14489" s="8">
        <v>6000</v>
      </c>
      <c r="F14489" s="13" t="s">
        <v>70</v>
      </c>
      <c r="G14489" s="14">
        <v>44851</v>
      </c>
      <c r="H14489" s="13" t="s">
        <v>163</v>
      </c>
    </row>
    <row r="14490" spans="1:8" ht="14.4" x14ac:dyDescent="0.3">
      <c r="A14490" s="8">
        <v>2072267</v>
      </c>
      <c r="B14490" s="11">
        <v>44847</v>
      </c>
      <c r="C14490" s="13" t="s">
        <v>18970</v>
      </c>
      <c r="D14490" s="13" t="s">
        <v>18971</v>
      </c>
      <c r="E14490" s="8">
        <v>2000</v>
      </c>
      <c r="F14490" s="13" t="s">
        <v>70</v>
      </c>
      <c r="G14490" s="14">
        <v>44848</v>
      </c>
      <c r="H14490" s="13" t="s">
        <v>163</v>
      </c>
    </row>
    <row r="14491" spans="1:8" ht="14.4" x14ac:dyDescent="0.3">
      <c r="A14491" s="8">
        <v>2072268</v>
      </c>
      <c r="B14491" s="11">
        <v>44847</v>
      </c>
      <c r="C14491" s="13" t="s">
        <v>14355</v>
      </c>
      <c r="D14491" s="13" t="s">
        <v>18972</v>
      </c>
      <c r="E14491" s="8">
        <v>2000</v>
      </c>
      <c r="F14491" s="13" t="s">
        <v>70</v>
      </c>
      <c r="G14491" s="14">
        <v>44851</v>
      </c>
      <c r="H14491" s="13" t="s">
        <v>163</v>
      </c>
    </row>
    <row r="14492" spans="1:8" ht="14.4" x14ac:dyDescent="0.3">
      <c r="A14492" s="8">
        <v>2072269</v>
      </c>
      <c r="B14492" s="11">
        <v>44847</v>
      </c>
      <c r="C14492" s="13" t="s">
        <v>18973</v>
      </c>
      <c r="D14492" s="13" t="s">
        <v>18974</v>
      </c>
      <c r="E14492" s="8">
        <v>4000</v>
      </c>
      <c r="F14492" s="13" t="s">
        <v>70</v>
      </c>
      <c r="G14492" s="14">
        <v>44848</v>
      </c>
      <c r="H14492" s="13" t="s">
        <v>163</v>
      </c>
    </row>
    <row r="14493" spans="1:8" ht="14.4" x14ac:dyDescent="0.3">
      <c r="A14493" s="8">
        <v>2072270</v>
      </c>
      <c r="B14493" s="11">
        <v>44847</v>
      </c>
      <c r="C14493" s="13" t="s">
        <v>18975</v>
      </c>
      <c r="D14493" s="13" t="s">
        <v>18976</v>
      </c>
      <c r="E14493" s="8">
        <v>2000</v>
      </c>
      <c r="F14493" s="13" t="s">
        <v>70</v>
      </c>
      <c r="G14493" s="14">
        <v>44848</v>
      </c>
      <c r="H14493" s="13" t="s">
        <v>163</v>
      </c>
    </row>
    <row r="14494" spans="1:8" ht="14.4" x14ac:dyDescent="0.3">
      <c r="A14494" s="8">
        <v>2072271</v>
      </c>
      <c r="B14494" s="11">
        <v>44847</v>
      </c>
      <c r="C14494" s="13" t="s">
        <v>18977</v>
      </c>
      <c r="D14494" s="13" t="s">
        <v>164</v>
      </c>
      <c r="E14494" s="8">
        <v>2000</v>
      </c>
      <c r="F14494" s="13" t="s">
        <v>70</v>
      </c>
      <c r="G14494" s="14">
        <v>44851</v>
      </c>
      <c r="H14494" s="13" t="s">
        <v>163</v>
      </c>
    </row>
    <row r="14495" spans="1:8" ht="14.4" x14ac:dyDescent="0.3">
      <c r="A14495" s="8">
        <v>2072272</v>
      </c>
      <c r="B14495" s="11">
        <v>44847</v>
      </c>
      <c r="C14495" s="13" t="s">
        <v>6855</v>
      </c>
      <c r="D14495" s="13" t="s">
        <v>18978</v>
      </c>
      <c r="E14495" s="8">
        <v>2000</v>
      </c>
      <c r="F14495" s="13" t="s">
        <v>70</v>
      </c>
      <c r="G14495" s="14">
        <v>44848</v>
      </c>
      <c r="H14495" s="13" t="s">
        <v>163</v>
      </c>
    </row>
    <row r="14496" spans="1:8" ht="14.4" x14ac:dyDescent="0.3">
      <c r="A14496" s="8">
        <v>2072273</v>
      </c>
      <c r="B14496" s="11">
        <v>44847</v>
      </c>
      <c r="C14496" s="13" t="s">
        <v>18979</v>
      </c>
      <c r="D14496" s="13" t="s">
        <v>18980</v>
      </c>
      <c r="E14496" s="8">
        <v>2000</v>
      </c>
      <c r="F14496" s="13" t="s">
        <v>70</v>
      </c>
      <c r="G14496" s="14">
        <v>44851</v>
      </c>
      <c r="H14496" s="13" t="s">
        <v>163</v>
      </c>
    </row>
    <row r="14497" spans="1:8" ht="14.4" x14ac:dyDescent="0.3">
      <c r="A14497" s="8">
        <v>2072274</v>
      </c>
      <c r="B14497" s="11">
        <v>44847</v>
      </c>
      <c r="C14497" s="13" t="s">
        <v>18981</v>
      </c>
      <c r="D14497" s="13" t="s">
        <v>17685</v>
      </c>
      <c r="E14497" s="8">
        <v>4000</v>
      </c>
      <c r="F14497" s="13" t="s">
        <v>70</v>
      </c>
      <c r="G14497" s="14">
        <v>44851</v>
      </c>
      <c r="H14497" s="13" t="s">
        <v>163</v>
      </c>
    </row>
    <row r="14498" spans="1:8" ht="14.4" x14ac:dyDescent="0.3">
      <c r="A14498" s="8">
        <v>2072275</v>
      </c>
      <c r="B14498" s="11">
        <v>44847</v>
      </c>
      <c r="C14498" s="13" t="s">
        <v>18982</v>
      </c>
      <c r="D14498" s="13" t="s">
        <v>18983</v>
      </c>
      <c r="E14498" s="8">
        <v>6000</v>
      </c>
      <c r="F14498" s="13" t="s">
        <v>70</v>
      </c>
      <c r="G14498" s="14">
        <v>44848</v>
      </c>
      <c r="H14498" s="13" t="s">
        <v>163</v>
      </c>
    </row>
    <row r="14499" spans="1:8" ht="14.4" x14ac:dyDescent="0.3">
      <c r="A14499" s="8">
        <v>2072276</v>
      </c>
      <c r="B14499" s="11">
        <v>44847</v>
      </c>
      <c r="C14499" s="13" t="s">
        <v>18984</v>
      </c>
      <c r="D14499" s="13" t="s">
        <v>18985</v>
      </c>
      <c r="E14499" s="8">
        <v>6000</v>
      </c>
      <c r="F14499" s="13" t="s">
        <v>70</v>
      </c>
      <c r="G14499" s="14">
        <v>44848</v>
      </c>
      <c r="H14499" s="13" t="s">
        <v>163</v>
      </c>
    </row>
    <row r="14500" spans="1:8" ht="14.4" x14ac:dyDescent="0.3">
      <c r="A14500" s="8">
        <v>2072277</v>
      </c>
      <c r="B14500" s="11">
        <v>44847</v>
      </c>
      <c r="C14500" s="13" t="s">
        <v>18986</v>
      </c>
      <c r="D14500" s="13" t="s">
        <v>14318</v>
      </c>
      <c r="E14500" s="8">
        <v>4000</v>
      </c>
      <c r="F14500" s="13" t="s">
        <v>70</v>
      </c>
      <c r="G14500" s="14">
        <v>44848</v>
      </c>
      <c r="H14500" s="13" t="s">
        <v>163</v>
      </c>
    </row>
    <row r="14501" spans="1:8" ht="14.4" x14ac:dyDescent="0.3">
      <c r="A14501" s="8">
        <v>2072279</v>
      </c>
      <c r="B14501" s="11">
        <v>44847</v>
      </c>
      <c r="C14501" s="13" t="s">
        <v>18987</v>
      </c>
      <c r="D14501" s="13" t="s">
        <v>18988</v>
      </c>
      <c r="E14501" s="8">
        <v>4000</v>
      </c>
      <c r="F14501" s="13" t="s">
        <v>70</v>
      </c>
      <c r="G14501" s="14">
        <v>44848</v>
      </c>
      <c r="H14501" s="13" t="s">
        <v>163</v>
      </c>
    </row>
    <row r="14502" spans="1:8" ht="14.4" x14ac:dyDescent="0.3">
      <c r="A14502" s="8">
        <v>2072280</v>
      </c>
      <c r="B14502" s="11">
        <v>44847</v>
      </c>
      <c r="C14502" s="13" t="s">
        <v>18989</v>
      </c>
      <c r="D14502" s="13" t="s">
        <v>18990</v>
      </c>
      <c r="E14502" s="8">
        <v>2000</v>
      </c>
      <c r="F14502" s="13" t="s">
        <v>70</v>
      </c>
      <c r="G14502" s="14">
        <v>44848</v>
      </c>
      <c r="H14502" s="13" t="s">
        <v>163</v>
      </c>
    </row>
    <row r="14503" spans="1:8" ht="14.4" x14ac:dyDescent="0.3">
      <c r="A14503" s="8">
        <v>2072281</v>
      </c>
      <c r="B14503" s="11">
        <v>44847</v>
      </c>
      <c r="C14503" s="13" t="s">
        <v>5098</v>
      </c>
      <c r="D14503" s="13" t="s">
        <v>18991</v>
      </c>
      <c r="E14503" s="8">
        <v>4000</v>
      </c>
      <c r="F14503" s="13" t="s">
        <v>70</v>
      </c>
      <c r="G14503" s="14">
        <v>44848</v>
      </c>
      <c r="H14503" s="13" t="s">
        <v>163</v>
      </c>
    </row>
    <row r="14504" spans="1:8" ht="14.4" x14ac:dyDescent="0.3">
      <c r="A14504" s="8">
        <v>2072282</v>
      </c>
      <c r="B14504" s="11">
        <v>44847</v>
      </c>
      <c r="C14504" s="13" t="s">
        <v>18992</v>
      </c>
      <c r="D14504" s="13" t="s">
        <v>18993</v>
      </c>
      <c r="E14504" s="8">
        <v>4000</v>
      </c>
      <c r="F14504" s="13" t="s">
        <v>70</v>
      </c>
      <c r="G14504" s="14">
        <v>44848</v>
      </c>
      <c r="H14504" s="13" t="s">
        <v>163</v>
      </c>
    </row>
    <row r="14505" spans="1:8" ht="14.4" x14ac:dyDescent="0.3">
      <c r="A14505" s="8">
        <v>2072283</v>
      </c>
      <c r="B14505" s="11">
        <v>44847</v>
      </c>
      <c r="C14505" s="13" t="s">
        <v>18994</v>
      </c>
      <c r="D14505" s="13" t="s">
        <v>18995</v>
      </c>
      <c r="E14505" s="8">
        <v>4000</v>
      </c>
      <c r="F14505" s="13" t="s">
        <v>70</v>
      </c>
      <c r="G14505" s="14">
        <v>44848</v>
      </c>
      <c r="H14505" s="13" t="s">
        <v>163</v>
      </c>
    </row>
    <row r="14506" spans="1:8" ht="14.4" x14ac:dyDescent="0.3">
      <c r="A14506" s="8">
        <v>2072284</v>
      </c>
      <c r="B14506" s="11">
        <v>44847</v>
      </c>
      <c r="C14506" s="13" t="s">
        <v>18996</v>
      </c>
      <c r="D14506" s="13" t="s">
        <v>18997</v>
      </c>
      <c r="E14506" s="8">
        <v>6000</v>
      </c>
      <c r="F14506" s="13" t="s">
        <v>70</v>
      </c>
      <c r="G14506" s="14">
        <v>44848</v>
      </c>
      <c r="H14506" s="13" t="s">
        <v>163</v>
      </c>
    </row>
    <row r="14507" spans="1:8" ht="14.4" x14ac:dyDescent="0.3">
      <c r="A14507" s="8">
        <v>2072285</v>
      </c>
      <c r="B14507" s="11">
        <v>44847</v>
      </c>
      <c r="C14507" s="13" t="s">
        <v>12348</v>
      </c>
      <c r="D14507" s="13" t="s">
        <v>18998</v>
      </c>
      <c r="E14507" s="8">
        <v>6000</v>
      </c>
      <c r="F14507" s="13" t="s">
        <v>70</v>
      </c>
      <c r="G14507" s="14">
        <v>44848</v>
      </c>
      <c r="H14507" s="13" t="s">
        <v>163</v>
      </c>
    </row>
    <row r="14508" spans="1:8" ht="14.4" x14ac:dyDescent="0.3">
      <c r="A14508" s="8">
        <v>2072286</v>
      </c>
      <c r="B14508" s="11">
        <v>44851</v>
      </c>
      <c r="C14508" s="13" t="s">
        <v>18999</v>
      </c>
      <c r="D14508" s="13" t="s">
        <v>19000</v>
      </c>
      <c r="E14508" s="8">
        <v>10000</v>
      </c>
      <c r="F14508" s="13" t="s">
        <v>70</v>
      </c>
      <c r="G14508" s="14">
        <v>44853</v>
      </c>
      <c r="H14508" s="13" t="s">
        <v>163</v>
      </c>
    </row>
    <row r="14509" spans="1:8" ht="14.4" x14ac:dyDescent="0.3">
      <c r="A14509" s="8">
        <v>2072287</v>
      </c>
      <c r="B14509" s="11">
        <v>44851</v>
      </c>
      <c r="C14509" s="13" t="s">
        <v>12517</v>
      </c>
      <c r="D14509" s="13" t="s">
        <v>19001</v>
      </c>
      <c r="E14509" s="8">
        <v>8000</v>
      </c>
      <c r="F14509" s="13" t="s">
        <v>70</v>
      </c>
      <c r="G14509" s="14">
        <v>44853</v>
      </c>
      <c r="H14509" s="13" t="s">
        <v>163</v>
      </c>
    </row>
    <row r="14510" spans="1:8" ht="14.4" x14ac:dyDescent="0.3">
      <c r="A14510" s="8">
        <v>2072288</v>
      </c>
      <c r="B14510" s="11">
        <v>44851</v>
      </c>
      <c r="C14510" s="13" t="s">
        <v>19002</v>
      </c>
      <c r="D14510" s="13" t="s">
        <v>19003</v>
      </c>
      <c r="E14510" s="8">
        <v>50000</v>
      </c>
      <c r="F14510" s="13" t="s">
        <v>70</v>
      </c>
      <c r="G14510" s="14">
        <v>44853</v>
      </c>
      <c r="H14510" s="13" t="s">
        <v>163</v>
      </c>
    </row>
    <row r="14511" spans="1:8" ht="14.4" x14ac:dyDescent="0.3">
      <c r="A14511" s="8">
        <v>2072289</v>
      </c>
      <c r="B14511" s="11">
        <v>44851</v>
      </c>
      <c r="C14511" s="13" t="s">
        <v>19004</v>
      </c>
      <c r="D14511" s="13" t="s">
        <v>19005</v>
      </c>
      <c r="E14511" s="8">
        <v>8000</v>
      </c>
      <c r="F14511" s="13" t="s">
        <v>70</v>
      </c>
      <c r="G14511" s="14">
        <v>44853</v>
      </c>
      <c r="H14511" s="13" t="s">
        <v>163</v>
      </c>
    </row>
    <row r="14512" spans="1:8" ht="14.4" x14ac:dyDescent="0.3">
      <c r="A14512" s="8">
        <v>2072290</v>
      </c>
      <c r="B14512" s="11">
        <v>44851</v>
      </c>
      <c r="C14512" s="13" t="s">
        <v>19006</v>
      </c>
      <c r="D14512" s="13" t="s">
        <v>19007</v>
      </c>
      <c r="E14512" s="8">
        <v>50000</v>
      </c>
      <c r="F14512" s="13" t="s">
        <v>70</v>
      </c>
      <c r="G14512" s="14">
        <v>44853</v>
      </c>
      <c r="H14512" s="13" t="s">
        <v>163</v>
      </c>
    </row>
    <row r="14513" spans="1:8" ht="14.4" x14ac:dyDescent="0.3">
      <c r="A14513" s="8">
        <v>2072291</v>
      </c>
      <c r="B14513" s="11">
        <v>44851</v>
      </c>
      <c r="C14513" s="13" t="s">
        <v>19008</v>
      </c>
      <c r="D14513" s="13" t="s">
        <v>19009</v>
      </c>
      <c r="E14513" s="8">
        <v>10000</v>
      </c>
      <c r="F14513" s="13" t="s">
        <v>70</v>
      </c>
      <c r="G14513" s="14">
        <v>44868</v>
      </c>
      <c r="H14513" s="13" t="s">
        <v>163</v>
      </c>
    </row>
    <row r="14514" spans="1:8" ht="14.4" x14ac:dyDescent="0.3">
      <c r="A14514" s="8">
        <v>2072292</v>
      </c>
      <c r="B14514" s="11">
        <v>44851</v>
      </c>
      <c r="C14514" s="13" t="s">
        <v>19010</v>
      </c>
      <c r="D14514" s="13" t="s">
        <v>19011</v>
      </c>
      <c r="E14514" s="8">
        <v>50000</v>
      </c>
      <c r="F14514" s="13" t="s">
        <v>70</v>
      </c>
      <c r="G14514" s="14">
        <v>44854</v>
      </c>
      <c r="H14514" s="13" t="s">
        <v>163</v>
      </c>
    </row>
    <row r="14515" spans="1:8" ht="14.4" x14ac:dyDescent="0.3">
      <c r="A14515" s="8">
        <v>2072293</v>
      </c>
      <c r="B14515" s="11">
        <v>44851</v>
      </c>
      <c r="C14515" s="13" t="s">
        <v>19012</v>
      </c>
      <c r="D14515" s="13" t="s">
        <v>19013</v>
      </c>
      <c r="E14515" s="8">
        <v>4000</v>
      </c>
      <c r="F14515" s="13" t="s">
        <v>70</v>
      </c>
      <c r="G14515" s="14">
        <v>44854</v>
      </c>
      <c r="H14515" s="13" t="s">
        <v>163</v>
      </c>
    </row>
    <row r="14516" spans="1:8" ht="14.4" x14ac:dyDescent="0.3">
      <c r="A14516" s="8">
        <v>2072294</v>
      </c>
      <c r="B14516" s="11">
        <v>44851</v>
      </c>
      <c r="C14516" s="13" t="s">
        <v>19014</v>
      </c>
      <c r="D14516" s="13" t="s">
        <v>19015</v>
      </c>
      <c r="E14516" s="8">
        <v>6000</v>
      </c>
      <c r="F14516" s="13" t="s">
        <v>70</v>
      </c>
      <c r="G14516" s="14">
        <v>44853</v>
      </c>
      <c r="H14516" s="13" t="s">
        <v>163</v>
      </c>
    </row>
    <row r="14517" spans="1:8" ht="14.4" x14ac:dyDescent="0.3">
      <c r="A14517" s="8">
        <v>2072295</v>
      </c>
      <c r="B14517" s="11">
        <v>44851</v>
      </c>
      <c r="C14517" s="13" t="s">
        <v>19016</v>
      </c>
      <c r="D14517" s="13" t="s">
        <v>19017</v>
      </c>
      <c r="E14517" s="8">
        <v>2000</v>
      </c>
      <c r="F14517" s="13" t="s">
        <v>70</v>
      </c>
      <c r="G14517" s="14">
        <v>44854</v>
      </c>
      <c r="H14517" s="13" t="s">
        <v>163</v>
      </c>
    </row>
    <row r="14518" spans="1:8" ht="14.4" x14ac:dyDescent="0.3">
      <c r="A14518" s="8">
        <v>2072296</v>
      </c>
      <c r="B14518" s="11">
        <v>44851</v>
      </c>
      <c r="C14518" s="13" t="s">
        <v>19018</v>
      </c>
      <c r="D14518" s="13" t="s">
        <v>19019</v>
      </c>
      <c r="E14518" s="8">
        <v>6000</v>
      </c>
      <c r="F14518" s="13" t="s">
        <v>70</v>
      </c>
      <c r="G14518" s="14">
        <v>44858</v>
      </c>
      <c r="H14518" s="13" t="s">
        <v>163</v>
      </c>
    </row>
    <row r="14519" spans="1:8" ht="14.4" x14ac:dyDescent="0.3">
      <c r="A14519" s="8">
        <v>2072297</v>
      </c>
      <c r="B14519" s="11">
        <v>44851</v>
      </c>
      <c r="C14519" s="13" t="s">
        <v>19020</v>
      </c>
      <c r="D14519" s="13" t="s">
        <v>19021</v>
      </c>
      <c r="E14519" s="8">
        <v>2000</v>
      </c>
      <c r="F14519" s="13" t="s">
        <v>70</v>
      </c>
      <c r="G14519" s="14">
        <v>44853</v>
      </c>
      <c r="H14519" s="13" t="s">
        <v>163</v>
      </c>
    </row>
    <row r="14520" spans="1:8" ht="14.4" x14ac:dyDescent="0.3">
      <c r="A14520" s="8">
        <v>2072298</v>
      </c>
      <c r="B14520" s="11">
        <v>44851</v>
      </c>
      <c r="C14520" s="13" t="s">
        <v>12512</v>
      </c>
      <c r="D14520" s="13" t="s">
        <v>19022</v>
      </c>
      <c r="E14520" s="8">
        <v>10000</v>
      </c>
      <c r="F14520" s="13" t="s">
        <v>70</v>
      </c>
      <c r="G14520" s="14">
        <v>44853</v>
      </c>
      <c r="H14520" s="13" t="s">
        <v>163</v>
      </c>
    </row>
    <row r="14521" spans="1:8" ht="14.4" x14ac:dyDescent="0.3">
      <c r="A14521" s="8">
        <v>2072299</v>
      </c>
      <c r="B14521" s="11">
        <v>44851</v>
      </c>
      <c r="C14521" s="13" t="s">
        <v>19023</v>
      </c>
      <c r="D14521" s="13" t="s">
        <v>19024</v>
      </c>
      <c r="E14521" s="8">
        <v>2000</v>
      </c>
      <c r="F14521" s="13" t="s">
        <v>70</v>
      </c>
      <c r="G14521" s="14">
        <v>44853</v>
      </c>
      <c r="H14521" s="13" t="s">
        <v>163</v>
      </c>
    </row>
    <row r="14522" spans="1:8" ht="14.4" x14ac:dyDescent="0.3">
      <c r="A14522" s="8">
        <v>2072300</v>
      </c>
      <c r="B14522" s="11">
        <v>44851</v>
      </c>
      <c r="C14522" s="13" t="s">
        <v>19025</v>
      </c>
      <c r="D14522" s="13" t="s">
        <v>19026</v>
      </c>
      <c r="E14522" s="8">
        <v>2000</v>
      </c>
      <c r="F14522" s="13" t="s">
        <v>70</v>
      </c>
      <c r="G14522" s="14">
        <v>44853</v>
      </c>
      <c r="H14522" s="13" t="s">
        <v>163</v>
      </c>
    </row>
    <row r="14523" spans="1:8" ht="14.4" x14ac:dyDescent="0.3">
      <c r="A14523" s="8">
        <v>2072301</v>
      </c>
      <c r="B14523" s="11">
        <v>44851</v>
      </c>
      <c r="C14523" s="13" t="s">
        <v>19027</v>
      </c>
      <c r="D14523" s="13" t="s">
        <v>19028</v>
      </c>
      <c r="E14523" s="8">
        <v>4000</v>
      </c>
      <c r="F14523" s="13" t="s">
        <v>70</v>
      </c>
      <c r="G14523" s="14">
        <v>44854</v>
      </c>
      <c r="H14523" s="13" t="s">
        <v>163</v>
      </c>
    </row>
    <row r="14524" spans="1:8" ht="14.4" x14ac:dyDescent="0.3">
      <c r="A14524" s="8">
        <v>2072302</v>
      </c>
      <c r="B14524" s="11">
        <v>44851</v>
      </c>
      <c r="C14524" s="13" t="s">
        <v>19029</v>
      </c>
      <c r="D14524" s="13" t="s">
        <v>19030</v>
      </c>
      <c r="E14524" s="8">
        <v>4000</v>
      </c>
      <c r="F14524" s="13" t="s">
        <v>70</v>
      </c>
      <c r="G14524" s="14">
        <v>44854</v>
      </c>
      <c r="H14524" s="13" t="s">
        <v>163</v>
      </c>
    </row>
    <row r="14525" spans="1:8" ht="14.4" x14ac:dyDescent="0.3">
      <c r="A14525" s="8">
        <v>2072303</v>
      </c>
      <c r="B14525" s="11">
        <v>44851</v>
      </c>
      <c r="C14525" s="13" t="s">
        <v>12537</v>
      </c>
      <c r="D14525" s="13" t="s">
        <v>19031</v>
      </c>
      <c r="E14525" s="8">
        <v>8000</v>
      </c>
      <c r="F14525" s="13" t="s">
        <v>70</v>
      </c>
      <c r="G14525" s="14">
        <v>44855</v>
      </c>
      <c r="H14525" s="13" t="s">
        <v>163</v>
      </c>
    </row>
    <row r="14526" spans="1:8" ht="14.4" x14ac:dyDescent="0.3">
      <c r="A14526" s="8">
        <v>2072304</v>
      </c>
      <c r="B14526" s="11">
        <v>44851</v>
      </c>
      <c r="C14526" s="13" t="s">
        <v>19032</v>
      </c>
      <c r="D14526" s="13" t="s">
        <v>19033</v>
      </c>
      <c r="E14526" s="8">
        <v>25000</v>
      </c>
      <c r="F14526" s="13" t="s">
        <v>70</v>
      </c>
      <c r="G14526" s="14">
        <v>44855</v>
      </c>
      <c r="H14526" s="13" t="s">
        <v>163</v>
      </c>
    </row>
    <row r="14527" spans="1:8" ht="14.4" x14ac:dyDescent="0.3">
      <c r="A14527" s="8">
        <v>2072305</v>
      </c>
      <c r="B14527" s="11">
        <v>44851</v>
      </c>
      <c r="C14527" s="13" t="s">
        <v>46</v>
      </c>
      <c r="D14527" s="13" t="s">
        <v>14318</v>
      </c>
      <c r="E14527" s="8">
        <v>2000</v>
      </c>
      <c r="F14527" s="13" t="s">
        <v>70</v>
      </c>
      <c r="G14527" s="14">
        <v>44854</v>
      </c>
      <c r="H14527" s="13" t="s">
        <v>163</v>
      </c>
    </row>
    <row r="14528" spans="1:8" ht="14.4" x14ac:dyDescent="0.3">
      <c r="A14528" s="8">
        <v>2072306</v>
      </c>
      <c r="B14528" s="11">
        <v>44851</v>
      </c>
      <c r="C14528" s="13" t="s">
        <v>19034</v>
      </c>
      <c r="D14528" s="13" t="s">
        <v>164</v>
      </c>
      <c r="E14528" s="8">
        <v>2000</v>
      </c>
      <c r="F14528" s="13" t="s">
        <v>70</v>
      </c>
      <c r="G14528" s="14">
        <v>44855</v>
      </c>
      <c r="H14528" s="13" t="s">
        <v>163</v>
      </c>
    </row>
    <row r="14529" spans="1:8" ht="14.4" x14ac:dyDescent="0.3">
      <c r="A14529" s="8">
        <v>2072307</v>
      </c>
      <c r="B14529" s="11">
        <v>44851</v>
      </c>
      <c r="C14529" s="13" t="s">
        <v>15418</v>
      </c>
      <c r="D14529" s="13" t="s">
        <v>19035</v>
      </c>
      <c r="E14529" s="8">
        <v>30000</v>
      </c>
      <c r="F14529" s="13" t="s">
        <v>70</v>
      </c>
      <c r="G14529" s="14">
        <v>44853</v>
      </c>
      <c r="H14529" s="13" t="s">
        <v>163</v>
      </c>
    </row>
    <row r="14530" spans="1:8" ht="14.4" x14ac:dyDescent="0.3">
      <c r="A14530" s="8">
        <v>2072308</v>
      </c>
      <c r="B14530" s="11">
        <v>44851</v>
      </c>
      <c r="C14530" s="13" t="s">
        <v>19036</v>
      </c>
      <c r="D14530" s="13" t="s">
        <v>19037</v>
      </c>
      <c r="E14530" s="8">
        <v>2000</v>
      </c>
      <c r="F14530" s="13" t="s">
        <v>70</v>
      </c>
      <c r="G14530" s="14">
        <v>44855</v>
      </c>
      <c r="H14530" s="13" t="s">
        <v>163</v>
      </c>
    </row>
    <row r="14531" spans="1:8" ht="14.4" x14ac:dyDescent="0.3">
      <c r="A14531" s="8">
        <v>2072309</v>
      </c>
      <c r="B14531" s="11">
        <v>44851</v>
      </c>
      <c r="C14531" s="13" t="s">
        <v>19038</v>
      </c>
      <c r="D14531" s="13" t="s">
        <v>19039</v>
      </c>
      <c r="E14531" s="8">
        <v>4000</v>
      </c>
      <c r="F14531" s="13" t="s">
        <v>70</v>
      </c>
      <c r="G14531" s="14">
        <v>44853</v>
      </c>
      <c r="H14531" s="13" t="s">
        <v>163</v>
      </c>
    </row>
    <row r="14532" spans="1:8" ht="14.4" x14ac:dyDescent="0.3">
      <c r="A14532" s="8">
        <v>2072310</v>
      </c>
      <c r="B14532" s="11">
        <v>44851</v>
      </c>
      <c r="C14532" s="13" t="s">
        <v>19040</v>
      </c>
      <c r="D14532" s="13" t="s">
        <v>19041</v>
      </c>
      <c r="E14532" s="8">
        <v>2000</v>
      </c>
      <c r="F14532" s="13" t="s">
        <v>70</v>
      </c>
      <c r="G14532" s="14">
        <v>44853</v>
      </c>
      <c r="H14532" s="13" t="s">
        <v>163</v>
      </c>
    </row>
    <row r="14533" spans="1:8" ht="14.4" x14ac:dyDescent="0.3">
      <c r="A14533" s="8">
        <v>2072311</v>
      </c>
      <c r="B14533" s="11">
        <v>44851</v>
      </c>
      <c r="C14533" s="13" t="s">
        <v>19042</v>
      </c>
      <c r="D14533" s="13" t="s">
        <v>19043</v>
      </c>
      <c r="E14533" s="8">
        <v>4000</v>
      </c>
      <c r="F14533" s="13" t="s">
        <v>70</v>
      </c>
      <c r="G14533" s="14">
        <v>44853</v>
      </c>
      <c r="H14533" s="13" t="s">
        <v>163</v>
      </c>
    </row>
    <row r="14534" spans="1:8" ht="14.4" x14ac:dyDescent="0.3">
      <c r="A14534" s="8">
        <v>2072312</v>
      </c>
      <c r="B14534" s="11">
        <v>44851</v>
      </c>
      <c r="C14534" s="13" t="s">
        <v>19044</v>
      </c>
      <c r="D14534" s="13" t="s">
        <v>19045</v>
      </c>
      <c r="E14534" s="8">
        <v>2000</v>
      </c>
      <c r="F14534" s="13" t="s">
        <v>70</v>
      </c>
      <c r="G14534" s="14">
        <v>44853</v>
      </c>
      <c r="H14534" s="13" t="s">
        <v>163</v>
      </c>
    </row>
    <row r="14535" spans="1:8" ht="14.4" x14ac:dyDescent="0.3">
      <c r="A14535" s="8">
        <v>2072313</v>
      </c>
      <c r="B14535" s="11">
        <v>44851</v>
      </c>
      <c r="C14535" s="13" t="s">
        <v>19046</v>
      </c>
      <c r="D14535" s="13" t="s">
        <v>19047</v>
      </c>
      <c r="E14535" s="8">
        <v>4000</v>
      </c>
      <c r="F14535" s="13" t="s">
        <v>70</v>
      </c>
      <c r="G14535" s="14">
        <v>44853</v>
      </c>
      <c r="H14535" s="13" t="s">
        <v>163</v>
      </c>
    </row>
    <row r="14536" spans="1:8" ht="14.4" x14ac:dyDescent="0.3">
      <c r="A14536" s="8">
        <v>2072314</v>
      </c>
      <c r="B14536" s="11">
        <v>44851</v>
      </c>
      <c r="C14536" s="13" t="s">
        <v>19048</v>
      </c>
      <c r="D14536" s="13" t="s">
        <v>19049</v>
      </c>
      <c r="E14536" s="8">
        <v>4000</v>
      </c>
      <c r="F14536" s="13" t="s">
        <v>70</v>
      </c>
      <c r="G14536" s="14">
        <v>44853</v>
      </c>
      <c r="H14536" s="13" t="s">
        <v>163</v>
      </c>
    </row>
    <row r="14537" spans="1:8" ht="14.4" x14ac:dyDescent="0.3">
      <c r="A14537" s="8">
        <v>2072315</v>
      </c>
      <c r="B14537" s="11">
        <v>44851</v>
      </c>
      <c r="C14537" s="13" t="s">
        <v>19050</v>
      </c>
      <c r="D14537" s="13" t="s">
        <v>19051</v>
      </c>
      <c r="E14537" s="8">
        <v>1000</v>
      </c>
      <c r="F14537" s="13" t="s">
        <v>70</v>
      </c>
      <c r="G14537" s="14">
        <v>44853</v>
      </c>
      <c r="H14537" s="13" t="s">
        <v>163</v>
      </c>
    </row>
    <row r="14538" spans="1:8" ht="14.4" x14ac:dyDescent="0.3">
      <c r="A14538" s="8">
        <v>2072316</v>
      </c>
      <c r="B14538" s="11">
        <v>44851</v>
      </c>
      <c r="C14538" s="13" t="s">
        <v>19052</v>
      </c>
      <c r="D14538" s="13" t="s">
        <v>19053</v>
      </c>
      <c r="E14538" s="8">
        <v>2000</v>
      </c>
      <c r="F14538" s="13" t="s">
        <v>70</v>
      </c>
      <c r="G14538" s="14">
        <v>44853</v>
      </c>
      <c r="H14538" s="13" t="s">
        <v>163</v>
      </c>
    </row>
    <row r="14539" spans="1:8" ht="14.4" x14ac:dyDescent="0.3">
      <c r="A14539" s="8">
        <v>2072317</v>
      </c>
      <c r="B14539" s="11">
        <v>44851</v>
      </c>
      <c r="C14539" s="13" t="s">
        <v>15486</v>
      </c>
      <c r="D14539" s="13" t="s">
        <v>19054</v>
      </c>
      <c r="E14539" s="8">
        <v>2000</v>
      </c>
      <c r="F14539" s="13" t="s">
        <v>70</v>
      </c>
      <c r="G14539" s="14">
        <v>44853</v>
      </c>
      <c r="H14539" s="13" t="s">
        <v>163</v>
      </c>
    </row>
    <row r="14540" spans="1:8" ht="14.4" x14ac:dyDescent="0.3">
      <c r="A14540" s="8">
        <v>2072318</v>
      </c>
      <c r="B14540" s="11">
        <v>44851</v>
      </c>
      <c r="C14540" s="13" t="s">
        <v>19055</v>
      </c>
      <c r="D14540" s="13" t="s">
        <v>14318</v>
      </c>
      <c r="E14540" s="8">
        <v>2000</v>
      </c>
      <c r="F14540" s="13" t="s">
        <v>70</v>
      </c>
      <c r="G14540" s="14">
        <v>44853</v>
      </c>
      <c r="H14540" s="13" t="s">
        <v>163</v>
      </c>
    </row>
    <row r="14541" spans="1:8" ht="14.4" x14ac:dyDescent="0.3">
      <c r="A14541" s="8">
        <v>2072319</v>
      </c>
      <c r="B14541" s="11">
        <v>44851</v>
      </c>
      <c r="C14541" s="13" t="s">
        <v>19056</v>
      </c>
      <c r="D14541" s="13" t="s">
        <v>19057</v>
      </c>
      <c r="E14541" s="8">
        <v>2000</v>
      </c>
      <c r="F14541" s="13" t="s">
        <v>70</v>
      </c>
      <c r="G14541" s="14">
        <v>44854</v>
      </c>
      <c r="H14541" s="13" t="s">
        <v>163</v>
      </c>
    </row>
    <row r="14542" spans="1:8" ht="14.4" x14ac:dyDescent="0.3">
      <c r="A14542" s="8">
        <v>2072320</v>
      </c>
      <c r="B14542" s="11">
        <v>44851</v>
      </c>
      <c r="C14542" s="13" t="s">
        <v>19058</v>
      </c>
      <c r="D14542" s="13" t="s">
        <v>19059</v>
      </c>
      <c r="E14542" s="8">
        <v>2000</v>
      </c>
      <c r="F14542" s="13" t="s">
        <v>70</v>
      </c>
      <c r="G14542" s="14">
        <v>44854</v>
      </c>
      <c r="H14542" s="13" t="s">
        <v>163</v>
      </c>
    </row>
    <row r="14543" spans="1:8" ht="14.4" x14ac:dyDescent="0.3">
      <c r="A14543" s="8">
        <v>2072321</v>
      </c>
      <c r="B14543" s="11">
        <v>44851</v>
      </c>
      <c r="C14543" s="13" t="s">
        <v>19060</v>
      </c>
      <c r="D14543" s="13" t="s">
        <v>166</v>
      </c>
      <c r="E14543" s="8">
        <v>4000</v>
      </c>
      <c r="F14543" s="13" t="s">
        <v>70</v>
      </c>
      <c r="G14543" s="14">
        <v>44854</v>
      </c>
      <c r="H14543" s="13" t="s">
        <v>163</v>
      </c>
    </row>
    <row r="14544" spans="1:8" ht="14.4" x14ac:dyDescent="0.3">
      <c r="A14544" s="8">
        <v>2072322</v>
      </c>
      <c r="B14544" s="11">
        <v>44851</v>
      </c>
      <c r="C14544" s="13" t="s">
        <v>19061</v>
      </c>
      <c r="D14544" s="13" t="s">
        <v>19062</v>
      </c>
      <c r="E14544" s="8">
        <v>12000</v>
      </c>
      <c r="F14544" s="13" t="s">
        <v>70</v>
      </c>
      <c r="G14544" s="14">
        <v>44853</v>
      </c>
      <c r="H14544" s="13" t="s">
        <v>163</v>
      </c>
    </row>
    <row r="14545" spans="1:8" ht="14.4" x14ac:dyDescent="0.3">
      <c r="A14545" s="8">
        <v>2072323</v>
      </c>
      <c r="B14545" s="11">
        <v>44851</v>
      </c>
      <c r="C14545" s="13" t="s">
        <v>19063</v>
      </c>
      <c r="D14545" s="13" t="s">
        <v>19064</v>
      </c>
      <c r="E14545" s="8">
        <v>50000</v>
      </c>
      <c r="F14545" s="13" t="s">
        <v>70</v>
      </c>
      <c r="G14545" s="14">
        <v>44852</v>
      </c>
      <c r="H14545" s="13" t="s">
        <v>163</v>
      </c>
    </row>
    <row r="14546" spans="1:8" ht="14.4" x14ac:dyDescent="0.3">
      <c r="A14546" s="8">
        <v>2072324</v>
      </c>
      <c r="B14546" s="11">
        <v>44851</v>
      </c>
      <c r="C14546" s="13" t="s">
        <v>19065</v>
      </c>
      <c r="D14546" s="13" t="s">
        <v>19066</v>
      </c>
      <c r="E14546" s="8">
        <v>6000</v>
      </c>
      <c r="F14546" s="13" t="s">
        <v>70</v>
      </c>
      <c r="G14546" s="14">
        <v>44853</v>
      </c>
      <c r="H14546" s="13" t="s">
        <v>163</v>
      </c>
    </row>
    <row r="14547" spans="1:8" ht="14.4" x14ac:dyDescent="0.3">
      <c r="A14547" s="8">
        <v>2072325</v>
      </c>
      <c r="B14547" s="11">
        <v>44851</v>
      </c>
      <c r="C14547" s="13" t="s">
        <v>19067</v>
      </c>
      <c r="D14547" s="13" t="s">
        <v>14318</v>
      </c>
      <c r="E14547" s="8">
        <v>4000</v>
      </c>
      <c r="F14547" s="13" t="s">
        <v>70</v>
      </c>
      <c r="G14547" s="14">
        <v>44853</v>
      </c>
      <c r="H14547" s="13" t="s">
        <v>163</v>
      </c>
    </row>
    <row r="14548" spans="1:8" ht="14.4" x14ac:dyDescent="0.3">
      <c r="A14548" s="8">
        <v>2072326</v>
      </c>
      <c r="B14548" s="11">
        <v>44851</v>
      </c>
      <c r="C14548" s="13" t="s">
        <v>19068</v>
      </c>
      <c r="D14548" s="13" t="s">
        <v>19069</v>
      </c>
      <c r="E14548" s="8">
        <v>8000</v>
      </c>
      <c r="F14548" s="13" t="s">
        <v>70</v>
      </c>
      <c r="G14548" s="14">
        <v>44853</v>
      </c>
      <c r="H14548" s="13" t="s">
        <v>163</v>
      </c>
    </row>
    <row r="14549" spans="1:8" ht="14.4" x14ac:dyDescent="0.3">
      <c r="A14549" s="8">
        <v>2072327</v>
      </c>
      <c r="B14549" s="11">
        <v>44851</v>
      </c>
      <c r="C14549" s="13" t="s">
        <v>5071</v>
      </c>
      <c r="D14549" s="13" t="s">
        <v>19070</v>
      </c>
      <c r="E14549" s="8">
        <v>8000</v>
      </c>
      <c r="F14549" s="13" t="s">
        <v>70</v>
      </c>
      <c r="G14549" s="14">
        <v>44854</v>
      </c>
      <c r="H14549" s="13" t="s">
        <v>163</v>
      </c>
    </row>
    <row r="14550" spans="1:8" ht="14.4" x14ac:dyDescent="0.3">
      <c r="A14550" s="8">
        <v>2072328</v>
      </c>
      <c r="B14550" s="11">
        <v>44851</v>
      </c>
      <c r="C14550" s="13" t="s">
        <v>5053</v>
      </c>
      <c r="D14550" s="13" t="s">
        <v>19071</v>
      </c>
      <c r="E14550" s="8">
        <v>8000</v>
      </c>
      <c r="F14550" s="13" t="s">
        <v>70</v>
      </c>
      <c r="G14550" s="14">
        <v>44853</v>
      </c>
      <c r="H14550" s="13" t="s">
        <v>163</v>
      </c>
    </row>
    <row r="14551" spans="1:8" ht="14.4" x14ac:dyDescent="0.3">
      <c r="A14551" s="8">
        <v>2072329</v>
      </c>
      <c r="B14551" s="11">
        <v>44851</v>
      </c>
      <c r="C14551" s="13" t="s">
        <v>19072</v>
      </c>
      <c r="D14551" s="13" t="s">
        <v>19073</v>
      </c>
      <c r="E14551" s="8">
        <v>2000</v>
      </c>
      <c r="F14551" s="13" t="s">
        <v>70</v>
      </c>
      <c r="G14551" s="14">
        <v>44853</v>
      </c>
      <c r="H14551" s="13" t="s">
        <v>163</v>
      </c>
    </row>
    <row r="14552" spans="1:8" ht="14.4" x14ac:dyDescent="0.3">
      <c r="A14552" s="8">
        <v>2072330</v>
      </c>
      <c r="B14552" s="11">
        <v>44851</v>
      </c>
      <c r="C14552" s="13" t="s">
        <v>19074</v>
      </c>
      <c r="D14552" s="13" t="s">
        <v>19075</v>
      </c>
      <c r="E14552" s="8">
        <v>2000</v>
      </c>
      <c r="F14552" s="13" t="s">
        <v>70</v>
      </c>
      <c r="G14552" s="14">
        <v>44853</v>
      </c>
      <c r="H14552" s="13" t="s">
        <v>163</v>
      </c>
    </row>
    <row r="14553" spans="1:8" ht="14.4" x14ac:dyDescent="0.3">
      <c r="A14553" s="8">
        <v>2072331</v>
      </c>
      <c r="B14553" s="11">
        <v>44851</v>
      </c>
      <c r="C14553" s="13" t="s">
        <v>19076</v>
      </c>
      <c r="D14553" s="13" t="s">
        <v>19077</v>
      </c>
      <c r="E14553" s="8">
        <v>6000</v>
      </c>
      <c r="F14553" s="13" t="s">
        <v>70</v>
      </c>
      <c r="G14553" s="14">
        <v>44853</v>
      </c>
      <c r="H14553" s="13" t="s">
        <v>163</v>
      </c>
    </row>
    <row r="14554" spans="1:8" ht="14.4" x14ac:dyDescent="0.3">
      <c r="A14554" s="8">
        <v>2072332</v>
      </c>
      <c r="B14554" s="11">
        <v>44851</v>
      </c>
      <c r="C14554" s="13" t="s">
        <v>19078</v>
      </c>
      <c r="D14554" s="13" t="s">
        <v>164</v>
      </c>
      <c r="E14554" s="8">
        <v>4000</v>
      </c>
      <c r="F14554" s="13" t="s">
        <v>70</v>
      </c>
      <c r="G14554" s="14">
        <v>44858</v>
      </c>
      <c r="H14554" s="13" t="s">
        <v>163</v>
      </c>
    </row>
    <row r="14555" spans="1:8" ht="14.4" x14ac:dyDescent="0.3">
      <c r="A14555" s="8">
        <v>2072333</v>
      </c>
      <c r="B14555" s="11">
        <v>44851</v>
      </c>
      <c r="C14555" s="13" t="s">
        <v>19079</v>
      </c>
      <c r="D14555" s="13" t="s">
        <v>19080</v>
      </c>
      <c r="E14555" s="8">
        <v>6000</v>
      </c>
      <c r="F14555" s="13" t="s">
        <v>70</v>
      </c>
      <c r="G14555" s="14">
        <v>44853</v>
      </c>
      <c r="H14555" s="13" t="s">
        <v>163</v>
      </c>
    </row>
    <row r="14556" spans="1:8" ht="14.4" x14ac:dyDescent="0.3">
      <c r="A14556" s="8">
        <v>2072334</v>
      </c>
      <c r="B14556" s="11">
        <v>44851</v>
      </c>
      <c r="C14556" s="13" t="s">
        <v>19081</v>
      </c>
      <c r="D14556" s="13" t="s">
        <v>166</v>
      </c>
      <c r="E14556" s="8">
        <v>4000</v>
      </c>
      <c r="F14556" s="13" t="s">
        <v>70</v>
      </c>
      <c r="G14556" s="14">
        <v>44853</v>
      </c>
      <c r="H14556" s="13" t="s">
        <v>163</v>
      </c>
    </row>
    <row r="14557" spans="1:8" ht="14.4" x14ac:dyDescent="0.3">
      <c r="A14557" s="8">
        <v>2072335</v>
      </c>
      <c r="B14557" s="11">
        <v>44851</v>
      </c>
      <c r="C14557" s="13" t="s">
        <v>19082</v>
      </c>
      <c r="D14557" s="13" t="s">
        <v>19083</v>
      </c>
      <c r="E14557" s="8">
        <v>25000</v>
      </c>
      <c r="F14557" s="13" t="s">
        <v>70</v>
      </c>
      <c r="G14557" s="14">
        <v>44853</v>
      </c>
      <c r="H14557" s="13" t="s">
        <v>163</v>
      </c>
    </row>
    <row r="14558" spans="1:8" ht="14.4" x14ac:dyDescent="0.3">
      <c r="A14558" s="8">
        <v>2072336</v>
      </c>
      <c r="B14558" s="11">
        <v>44851</v>
      </c>
      <c r="C14558" s="13" t="s">
        <v>19084</v>
      </c>
      <c r="D14558" s="13" t="s">
        <v>19085</v>
      </c>
      <c r="E14558" s="8">
        <v>2000</v>
      </c>
      <c r="F14558" s="13" t="s">
        <v>70</v>
      </c>
      <c r="G14558" s="14">
        <v>44853</v>
      </c>
      <c r="H14558" s="13" t="s">
        <v>163</v>
      </c>
    </row>
    <row r="14559" spans="1:8" ht="14.4" x14ac:dyDescent="0.3">
      <c r="A14559" s="8">
        <v>2072337</v>
      </c>
      <c r="B14559" s="11">
        <v>44851</v>
      </c>
      <c r="C14559" s="13" t="s">
        <v>19086</v>
      </c>
      <c r="D14559" s="13" t="s">
        <v>19087</v>
      </c>
      <c r="E14559" s="8">
        <v>2000</v>
      </c>
      <c r="F14559" s="13" t="s">
        <v>70</v>
      </c>
      <c r="G14559" s="14">
        <v>44853</v>
      </c>
      <c r="H14559" s="13" t="s">
        <v>163</v>
      </c>
    </row>
    <row r="14560" spans="1:8" ht="14.4" x14ac:dyDescent="0.3">
      <c r="A14560" s="8">
        <v>2072338</v>
      </c>
      <c r="B14560" s="11">
        <v>44851</v>
      </c>
      <c r="C14560" s="13" t="s">
        <v>19088</v>
      </c>
      <c r="D14560" s="13" t="s">
        <v>14062</v>
      </c>
      <c r="E14560" s="8">
        <v>2000</v>
      </c>
      <c r="F14560" s="13" t="s">
        <v>70</v>
      </c>
      <c r="G14560" s="14">
        <v>44853</v>
      </c>
      <c r="H14560" s="13" t="s">
        <v>163</v>
      </c>
    </row>
    <row r="14561" spans="1:8" ht="14.4" x14ac:dyDescent="0.3">
      <c r="A14561" s="8">
        <v>2072339</v>
      </c>
      <c r="B14561" s="11">
        <v>44851</v>
      </c>
      <c r="C14561" s="13" t="s">
        <v>19089</v>
      </c>
      <c r="D14561" s="13" t="s">
        <v>19090</v>
      </c>
      <c r="E14561" s="8">
        <v>6000</v>
      </c>
      <c r="F14561" s="13" t="s">
        <v>70</v>
      </c>
      <c r="G14561" s="14">
        <v>44854</v>
      </c>
      <c r="H14561" s="13" t="s">
        <v>163</v>
      </c>
    </row>
    <row r="14562" spans="1:8" ht="14.4" x14ac:dyDescent="0.3">
      <c r="A14562" s="8">
        <v>2072340</v>
      </c>
      <c r="B14562" s="11">
        <v>44851</v>
      </c>
      <c r="C14562" s="13" t="s">
        <v>19091</v>
      </c>
      <c r="D14562" s="13" t="s">
        <v>164</v>
      </c>
      <c r="E14562" s="8">
        <v>2000</v>
      </c>
      <c r="F14562" s="13" t="s">
        <v>70</v>
      </c>
      <c r="G14562" s="14">
        <v>44853</v>
      </c>
      <c r="H14562" s="13" t="s">
        <v>163</v>
      </c>
    </row>
    <row r="14563" spans="1:8" ht="14.4" x14ac:dyDescent="0.3">
      <c r="A14563" s="8">
        <v>2072341</v>
      </c>
      <c r="B14563" s="11">
        <v>44851</v>
      </c>
      <c r="C14563" s="13" t="s">
        <v>19092</v>
      </c>
      <c r="D14563" s="13" t="s">
        <v>19093</v>
      </c>
      <c r="E14563" s="8">
        <v>4000</v>
      </c>
      <c r="F14563" s="13" t="s">
        <v>70</v>
      </c>
      <c r="G14563" s="14">
        <v>44853</v>
      </c>
      <c r="H14563" s="13" t="s">
        <v>163</v>
      </c>
    </row>
    <row r="14564" spans="1:8" ht="14.4" x14ac:dyDescent="0.3">
      <c r="A14564" s="8">
        <v>2072342</v>
      </c>
      <c r="B14564" s="11">
        <v>44851</v>
      </c>
      <c r="C14564" s="13" t="s">
        <v>19094</v>
      </c>
      <c r="D14564" s="13" t="s">
        <v>19095</v>
      </c>
      <c r="E14564" s="8">
        <v>8000</v>
      </c>
      <c r="F14564" s="13" t="s">
        <v>70</v>
      </c>
      <c r="G14564" s="14">
        <v>44853</v>
      </c>
      <c r="H14564" s="13" t="s">
        <v>163</v>
      </c>
    </row>
    <row r="14565" spans="1:8" ht="14.4" x14ac:dyDescent="0.3">
      <c r="A14565" s="8">
        <v>2072343</v>
      </c>
      <c r="B14565" s="11">
        <v>44851</v>
      </c>
      <c r="C14565" s="13" t="s">
        <v>19096</v>
      </c>
      <c r="D14565" s="13" t="s">
        <v>19097</v>
      </c>
      <c r="E14565" s="8">
        <v>6000</v>
      </c>
      <c r="F14565" s="13" t="s">
        <v>70</v>
      </c>
      <c r="G14565" s="14">
        <v>44854</v>
      </c>
      <c r="H14565" s="13" t="s">
        <v>163</v>
      </c>
    </row>
    <row r="14566" spans="1:8" ht="14.4" x14ac:dyDescent="0.3">
      <c r="A14566" s="8">
        <v>2072344</v>
      </c>
      <c r="B14566" s="11">
        <v>44851</v>
      </c>
      <c r="C14566" s="13" t="s">
        <v>19098</v>
      </c>
      <c r="D14566" s="13" t="s">
        <v>14062</v>
      </c>
      <c r="E14566" s="8">
        <v>30000</v>
      </c>
      <c r="F14566" s="13" t="s">
        <v>70</v>
      </c>
      <c r="G14566" s="14">
        <v>44855</v>
      </c>
      <c r="H14566" s="13" t="s">
        <v>163</v>
      </c>
    </row>
    <row r="14567" spans="1:8" ht="14.4" x14ac:dyDescent="0.3">
      <c r="A14567" s="8">
        <v>2072345</v>
      </c>
      <c r="B14567" s="11">
        <v>44851</v>
      </c>
      <c r="C14567" s="13" t="s">
        <v>12077</v>
      </c>
      <c r="D14567" s="13" t="s">
        <v>19099</v>
      </c>
      <c r="E14567" s="8">
        <v>4000</v>
      </c>
      <c r="F14567" s="13" t="s">
        <v>70</v>
      </c>
      <c r="G14567" s="14">
        <v>44853</v>
      </c>
      <c r="H14567" s="13" t="s">
        <v>163</v>
      </c>
    </row>
    <row r="14568" spans="1:8" ht="14.4" x14ac:dyDescent="0.3">
      <c r="A14568" s="8">
        <v>2072346</v>
      </c>
      <c r="B14568" s="11">
        <v>44851</v>
      </c>
      <c r="C14568" s="13" t="s">
        <v>19100</v>
      </c>
      <c r="D14568" s="13" t="s">
        <v>19101</v>
      </c>
      <c r="E14568" s="8">
        <v>4000</v>
      </c>
      <c r="F14568" s="13" t="s">
        <v>70</v>
      </c>
      <c r="G14568" s="14">
        <v>44853</v>
      </c>
      <c r="H14568" s="13" t="s">
        <v>163</v>
      </c>
    </row>
    <row r="14569" spans="1:8" ht="14.4" x14ac:dyDescent="0.3">
      <c r="A14569" s="8">
        <v>2072347</v>
      </c>
      <c r="B14569" s="11">
        <v>44851</v>
      </c>
      <c r="C14569" s="13" t="s">
        <v>19102</v>
      </c>
      <c r="D14569" s="13" t="s">
        <v>14062</v>
      </c>
      <c r="E14569" s="8">
        <v>2000</v>
      </c>
      <c r="F14569" s="13" t="s">
        <v>70</v>
      </c>
      <c r="G14569" s="14">
        <v>44853</v>
      </c>
      <c r="H14569" s="13" t="s">
        <v>163</v>
      </c>
    </row>
    <row r="14570" spans="1:8" ht="14.4" x14ac:dyDescent="0.3">
      <c r="A14570" s="8">
        <v>2072348</v>
      </c>
      <c r="B14570" s="11">
        <v>44851</v>
      </c>
      <c r="C14570" s="13" t="s">
        <v>19103</v>
      </c>
      <c r="D14570" s="13" t="s">
        <v>164</v>
      </c>
      <c r="E14570" s="8">
        <v>1000</v>
      </c>
      <c r="F14570" s="13" t="s">
        <v>70</v>
      </c>
      <c r="G14570" s="14">
        <v>44853</v>
      </c>
      <c r="H14570" s="13" t="s">
        <v>163</v>
      </c>
    </row>
    <row r="14571" spans="1:8" ht="14.4" x14ac:dyDescent="0.3">
      <c r="A14571" s="8">
        <v>2072349</v>
      </c>
      <c r="B14571" s="11">
        <v>44851</v>
      </c>
      <c r="C14571" s="13" t="s">
        <v>19104</v>
      </c>
      <c r="D14571" s="13" t="s">
        <v>19105</v>
      </c>
      <c r="E14571" s="8">
        <v>4000</v>
      </c>
      <c r="F14571" s="13" t="s">
        <v>70</v>
      </c>
      <c r="G14571" s="14">
        <v>44875</v>
      </c>
      <c r="H14571" s="13" t="s">
        <v>163</v>
      </c>
    </row>
    <row r="14572" spans="1:8" ht="14.4" x14ac:dyDescent="0.3">
      <c r="A14572" s="8">
        <v>2072350</v>
      </c>
      <c r="B14572" s="11">
        <v>44851</v>
      </c>
      <c r="C14572" s="13" t="s">
        <v>19106</v>
      </c>
      <c r="D14572" s="13" t="s">
        <v>14318</v>
      </c>
      <c r="E14572" s="8">
        <v>2000</v>
      </c>
      <c r="F14572" s="13" t="s">
        <v>70</v>
      </c>
      <c r="G14572" s="14">
        <v>44853</v>
      </c>
      <c r="H14572" s="13" t="s">
        <v>163</v>
      </c>
    </row>
    <row r="14573" spans="1:8" ht="14.4" x14ac:dyDescent="0.3">
      <c r="A14573" s="8">
        <v>2072351</v>
      </c>
      <c r="B14573" s="11">
        <v>44851</v>
      </c>
      <c r="C14573" s="13" t="s">
        <v>5092</v>
      </c>
      <c r="D14573" s="13" t="s">
        <v>19107</v>
      </c>
      <c r="E14573" s="8">
        <v>6000</v>
      </c>
      <c r="F14573" s="13" t="s">
        <v>70</v>
      </c>
      <c r="G14573" s="14">
        <v>44852</v>
      </c>
      <c r="H14573" s="13" t="s">
        <v>163</v>
      </c>
    </row>
    <row r="14574" spans="1:8" ht="14.4" x14ac:dyDescent="0.3">
      <c r="A14574" s="8">
        <v>2072352</v>
      </c>
      <c r="B14574" s="11">
        <v>44851</v>
      </c>
      <c r="C14574" s="13" t="s">
        <v>6862</v>
      </c>
      <c r="D14574" s="13" t="s">
        <v>19108</v>
      </c>
      <c r="E14574" s="8">
        <v>2000</v>
      </c>
      <c r="F14574" s="13" t="s">
        <v>70</v>
      </c>
      <c r="G14574" s="14">
        <v>44853</v>
      </c>
      <c r="H14574" s="13" t="s">
        <v>163</v>
      </c>
    </row>
    <row r="14575" spans="1:8" ht="14.4" x14ac:dyDescent="0.3">
      <c r="A14575" s="8">
        <v>2072353</v>
      </c>
      <c r="B14575" s="11">
        <v>44851</v>
      </c>
      <c r="C14575" s="13" t="s">
        <v>19109</v>
      </c>
      <c r="D14575" s="13" t="s">
        <v>19110</v>
      </c>
      <c r="E14575" s="8">
        <v>4000</v>
      </c>
      <c r="F14575" s="13" t="s">
        <v>70</v>
      </c>
      <c r="G14575" s="14">
        <v>44853</v>
      </c>
      <c r="H14575" s="13" t="s">
        <v>163</v>
      </c>
    </row>
    <row r="14576" spans="1:8" ht="14.4" x14ac:dyDescent="0.3">
      <c r="A14576" s="8">
        <v>2072354</v>
      </c>
      <c r="B14576" s="11">
        <v>44851</v>
      </c>
      <c r="C14576" s="13" t="s">
        <v>19111</v>
      </c>
      <c r="D14576" s="13" t="s">
        <v>19112</v>
      </c>
      <c r="E14576" s="8">
        <v>6000</v>
      </c>
      <c r="F14576" s="13" t="s">
        <v>70</v>
      </c>
      <c r="G14576" s="14">
        <v>44853</v>
      </c>
      <c r="H14576" s="13" t="s">
        <v>163</v>
      </c>
    </row>
    <row r="14577" spans="1:8" ht="14.4" x14ac:dyDescent="0.3">
      <c r="A14577" s="8">
        <v>2072355</v>
      </c>
      <c r="B14577" s="11">
        <v>44851</v>
      </c>
      <c r="C14577" s="13" t="s">
        <v>19113</v>
      </c>
      <c r="D14577" s="13" t="s">
        <v>19114</v>
      </c>
      <c r="E14577" s="8">
        <v>5000</v>
      </c>
      <c r="F14577" s="13" t="s">
        <v>70</v>
      </c>
      <c r="G14577" s="14">
        <v>44853</v>
      </c>
      <c r="H14577" s="13" t="s">
        <v>163</v>
      </c>
    </row>
    <row r="14578" spans="1:8" ht="14.4" x14ac:dyDescent="0.3">
      <c r="A14578" s="8">
        <v>2072356</v>
      </c>
      <c r="B14578" s="11">
        <v>44851</v>
      </c>
      <c r="C14578" s="13" t="s">
        <v>19115</v>
      </c>
      <c r="D14578" s="13" t="s">
        <v>164</v>
      </c>
      <c r="E14578" s="8">
        <v>4000</v>
      </c>
      <c r="F14578" s="13" t="s">
        <v>70</v>
      </c>
      <c r="G14578" s="14">
        <v>44853</v>
      </c>
      <c r="H14578" s="13" t="s">
        <v>163</v>
      </c>
    </row>
    <row r="14579" spans="1:8" ht="14.4" x14ac:dyDescent="0.3">
      <c r="A14579" s="8">
        <v>2072357</v>
      </c>
      <c r="B14579" s="11">
        <v>44851</v>
      </c>
      <c r="C14579" s="13" t="s">
        <v>19116</v>
      </c>
      <c r="D14579" s="13" t="s">
        <v>19117</v>
      </c>
      <c r="E14579" s="8">
        <v>4000</v>
      </c>
      <c r="F14579" s="13" t="s">
        <v>70</v>
      </c>
      <c r="G14579" s="14">
        <v>44853</v>
      </c>
      <c r="H14579" s="13" t="s">
        <v>163</v>
      </c>
    </row>
    <row r="14580" spans="1:8" ht="14.4" x14ac:dyDescent="0.3">
      <c r="A14580" s="8">
        <v>2072358</v>
      </c>
      <c r="B14580" s="11">
        <v>44851</v>
      </c>
      <c r="C14580" s="13" t="s">
        <v>19118</v>
      </c>
      <c r="D14580" s="13" t="s">
        <v>19119</v>
      </c>
      <c r="E14580" s="8">
        <v>4000</v>
      </c>
      <c r="F14580" s="13" t="s">
        <v>70</v>
      </c>
      <c r="G14580" s="14">
        <v>44853</v>
      </c>
      <c r="H14580" s="13" t="s">
        <v>163</v>
      </c>
    </row>
    <row r="14581" spans="1:8" ht="14.4" x14ac:dyDescent="0.3">
      <c r="A14581" s="8">
        <v>2072359</v>
      </c>
      <c r="B14581" s="11">
        <v>44851</v>
      </c>
      <c r="C14581" s="13" t="s">
        <v>19120</v>
      </c>
      <c r="D14581" s="13" t="s">
        <v>19121</v>
      </c>
      <c r="E14581" s="8">
        <v>20000</v>
      </c>
      <c r="F14581" s="13" t="s">
        <v>70</v>
      </c>
      <c r="G14581" s="14">
        <v>44853</v>
      </c>
      <c r="H14581" s="13" t="s">
        <v>163</v>
      </c>
    </row>
    <row r="14582" spans="1:8" ht="14.4" x14ac:dyDescent="0.3">
      <c r="A14582" s="8">
        <v>2072360</v>
      </c>
      <c r="B14582" s="11">
        <v>44851</v>
      </c>
      <c r="C14582" s="13" t="s">
        <v>19122</v>
      </c>
      <c r="D14582" s="13" t="s">
        <v>19123</v>
      </c>
      <c r="E14582" s="8">
        <v>8000</v>
      </c>
      <c r="F14582" s="13" t="s">
        <v>70</v>
      </c>
      <c r="G14582" s="14">
        <v>44873</v>
      </c>
      <c r="H14582" s="13" t="s">
        <v>163</v>
      </c>
    </row>
    <row r="14583" spans="1:8" ht="14.4" x14ac:dyDescent="0.3">
      <c r="A14583" s="8">
        <v>2072361</v>
      </c>
      <c r="B14583" s="11">
        <v>44851</v>
      </c>
      <c r="C14583" s="13" t="s">
        <v>2981</v>
      </c>
      <c r="D14583" s="13" t="s">
        <v>164</v>
      </c>
      <c r="E14583" s="8">
        <v>2000</v>
      </c>
      <c r="F14583" s="13" t="s">
        <v>70</v>
      </c>
      <c r="G14583" s="14">
        <v>44854</v>
      </c>
      <c r="H14583" s="13" t="s">
        <v>163</v>
      </c>
    </row>
    <row r="14584" spans="1:8" ht="14.4" x14ac:dyDescent="0.3">
      <c r="A14584" s="8">
        <v>2072362</v>
      </c>
      <c r="B14584" s="11">
        <v>44851</v>
      </c>
      <c r="C14584" s="13" t="s">
        <v>19124</v>
      </c>
      <c r="D14584" s="13" t="s">
        <v>164</v>
      </c>
      <c r="E14584" s="8">
        <v>8000</v>
      </c>
      <c r="F14584" s="13" t="s">
        <v>70</v>
      </c>
      <c r="G14584" s="14">
        <v>44853</v>
      </c>
      <c r="H14584" s="13" t="s">
        <v>163</v>
      </c>
    </row>
    <row r="14585" spans="1:8" ht="14.4" x14ac:dyDescent="0.3">
      <c r="A14585" s="8">
        <v>2072363</v>
      </c>
      <c r="B14585" s="11">
        <v>44851</v>
      </c>
      <c r="C14585" s="13" t="s">
        <v>5031</v>
      </c>
      <c r="D14585" s="13" t="s">
        <v>19125</v>
      </c>
      <c r="E14585" s="8">
        <v>6000</v>
      </c>
      <c r="F14585" s="13" t="s">
        <v>70</v>
      </c>
      <c r="G14585" s="14">
        <v>44868</v>
      </c>
      <c r="H14585" s="13" t="s">
        <v>163</v>
      </c>
    </row>
    <row r="14586" spans="1:8" ht="14.4" x14ac:dyDescent="0.3">
      <c r="A14586" s="8">
        <v>2072364</v>
      </c>
      <c r="B14586" s="11">
        <v>44851</v>
      </c>
      <c r="C14586" s="13" t="s">
        <v>19126</v>
      </c>
      <c r="D14586" s="13" t="s">
        <v>19127</v>
      </c>
      <c r="E14586" s="8">
        <v>2000</v>
      </c>
      <c r="F14586" s="13" t="s">
        <v>70</v>
      </c>
      <c r="G14586" s="14">
        <v>44853</v>
      </c>
      <c r="H14586" s="13" t="s">
        <v>163</v>
      </c>
    </row>
    <row r="14587" spans="1:8" ht="14.4" x14ac:dyDescent="0.3">
      <c r="A14587" s="8">
        <v>2072365</v>
      </c>
      <c r="B14587" s="11">
        <v>44851</v>
      </c>
      <c r="C14587" s="13" t="s">
        <v>19128</v>
      </c>
      <c r="D14587" s="13" t="s">
        <v>19129</v>
      </c>
      <c r="E14587" s="8">
        <v>2000</v>
      </c>
      <c r="F14587" s="13" t="s">
        <v>70</v>
      </c>
      <c r="G14587" s="14">
        <v>44853</v>
      </c>
      <c r="H14587" s="13" t="s">
        <v>163</v>
      </c>
    </row>
    <row r="14588" spans="1:8" ht="14.4" x14ac:dyDescent="0.3">
      <c r="A14588" s="8">
        <v>2072366</v>
      </c>
      <c r="B14588" s="11">
        <v>44852</v>
      </c>
      <c r="C14588" s="13" t="s">
        <v>19130</v>
      </c>
      <c r="D14588" s="13" t="s">
        <v>19131</v>
      </c>
      <c r="E14588" s="8">
        <v>4000</v>
      </c>
      <c r="F14588" s="13" t="s">
        <v>70</v>
      </c>
      <c r="G14588" s="14">
        <v>44854</v>
      </c>
      <c r="H14588" s="13" t="s">
        <v>163</v>
      </c>
    </row>
    <row r="14589" spans="1:8" ht="14.4" x14ac:dyDescent="0.3">
      <c r="A14589" s="8">
        <v>2072367</v>
      </c>
      <c r="B14589" s="11">
        <v>44852</v>
      </c>
      <c r="C14589" s="13" t="s">
        <v>19132</v>
      </c>
      <c r="D14589" s="13" t="s">
        <v>19133</v>
      </c>
      <c r="E14589" s="8">
        <v>40000</v>
      </c>
      <c r="F14589" s="13" t="s">
        <v>70</v>
      </c>
      <c r="G14589" s="14">
        <v>44855</v>
      </c>
      <c r="H14589" s="13" t="s">
        <v>163</v>
      </c>
    </row>
    <row r="14590" spans="1:8" ht="14.4" x14ac:dyDescent="0.3">
      <c r="A14590" s="8">
        <v>2072368</v>
      </c>
      <c r="B14590" s="11">
        <v>44852</v>
      </c>
      <c r="C14590" s="13" t="s">
        <v>19134</v>
      </c>
      <c r="D14590" s="13" t="s">
        <v>19135</v>
      </c>
      <c r="E14590" s="8">
        <v>8000</v>
      </c>
      <c r="F14590" s="13" t="s">
        <v>70</v>
      </c>
      <c r="G14590" s="14">
        <v>44854</v>
      </c>
      <c r="H14590" s="13" t="s">
        <v>163</v>
      </c>
    </row>
    <row r="14591" spans="1:8" ht="14.4" x14ac:dyDescent="0.3">
      <c r="A14591" s="8">
        <v>2072369</v>
      </c>
      <c r="B14591" s="11">
        <v>44852</v>
      </c>
      <c r="C14591" s="13" t="s">
        <v>19136</v>
      </c>
      <c r="D14591" s="13" t="s">
        <v>19137</v>
      </c>
      <c r="E14591" s="8">
        <v>6000</v>
      </c>
      <c r="F14591" s="13" t="s">
        <v>70</v>
      </c>
      <c r="G14591" s="14">
        <v>44854</v>
      </c>
      <c r="H14591" s="13" t="s">
        <v>163</v>
      </c>
    </row>
    <row r="14592" spans="1:8" ht="14.4" x14ac:dyDescent="0.3">
      <c r="A14592" s="8">
        <v>2072370</v>
      </c>
      <c r="B14592" s="11">
        <v>44852</v>
      </c>
      <c r="C14592" s="13" t="s">
        <v>19138</v>
      </c>
      <c r="D14592" s="13" t="s">
        <v>19139</v>
      </c>
      <c r="E14592" s="8">
        <v>6000</v>
      </c>
      <c r="F14592" s="13" t="s">
        <v>70</v>
      </c>
      <c r="G14592" s="14">
        <v>44855</v>
      </c>
      <c r="H14592" s="13" t="s">
        <v>163</v>
      </c>
    </row>
    <row r="14593" spans="1:8" ht="14.4" x14ac:dyDescent="0.3">
      <c r="A14593" s="8">
        <v>2072371</v>
      </c>
      <c r="B14593" s="11">
        <v>44852</v>
      </c>
      <c r="C14593" s="13" t="s">
        <v>19140</v>
      </c>
      <c r="D14593" s="13" t="s">
        <v>19141</v>
      </c>
      <c r="E14593" s="8">
        <v>2000</v>
      </c>
      <c r="F14593" s="13" t="s">
        <v>70</v>
      </c>
      <c r="G14593" s="14">
        <v>44854</v>
      </c>
      <c r="H14593" s="13" t="s">
        <v>163</v>
      </c>
    </row>
    <row r="14594" spans="1:8" ht="14.4" x14ac:dyDescent="0.3">
      <c r="A14594" s="8">
        <v>2072372</v>
      </c>
      <c r="B14594" s="11">
        <v>44852</v>
      </c>
      <c r="C14594" s="13" t="s">
        <v>19140</v>
      </c>
      <c r="D14594" s="13" t="s">
        <v>19142</v>
      </c>
      <c r="E14594" s="8">
        <v>4000</v>
      </c>
      <c r="F14594" s="13" t="s">
        <v>70</v>
      </c>
      <c r="G14594" s="14">
        <v>44854</v>
      </c>
      <c r="H14594" s="13" t="s">
        <v>163</v>
      </c>
    </row>
    <row r="14595" spans="1:8" ht="14.4" x14ac:dyDescent="0.3">
      <c r="A14595" s="8">
        <v>2072373</v>
      </c>
      <c r="B14595" s="11">
        <v>44852</v>
      </c>
      <c r="C14595" s="13" t="s">
        <v>19143</v>
      </c>
      <c r="D14595" s="13" t="s">
        <v>19144</v>
      </c>
      <c r="E14595" s="8">
        <v>20000</v>
      </c>
      <c r="F14595" s="13" t="s">
        <v>70</v>
      </c>
      <c r="G14595" s="14">
        <v>44854</v>
      </c>
      <c r="H14595" s="13" t="s">
        <v>163</v>
      </c>
    </row>
    <row r="14596" spans="1:8" ht="14.4" x14ac:dyDescent="0.3">
      <c r="A14596" s="8">
        <v>2072374</v>
      </c>
      <c r="B14596" s="11">
        <v>44852</v>
      </c>
      <c r="C14596" s="13" t="s">
        <v>19145</v>
      </c>
      <c r="D14596" s="13" t="s">
        <v>19146</v>
      </c>
      <c r="E14596" s="8">
        <v>2000</v>
      </c>
      <c r="F14596" s="13" t="s">
        <v>70</v>
      </c>
      <c r="G14596" s="14">
        <v>44855</v>
      </c>
      <c r="H14596" s="13" t="s">
        <v>163</v>
      </c>
    </row>
    <row r="14597" spans="1:8" ht="14.4" x14ac:dyDescent="0.3">
      <c r="A14597" s="8">
        <v>2072375</v>
      </c>
      <c r="B14597" s="11">
        <v>44852</v>
      </c>
      <c r="C14597" s="13" t="s">
        <v>19147</v>
      </c>
      <c r="D14597" s="13" t="s">
        <v>19148</v>
      </c>
      <c r="E14597" s="8">
        <v>30000</v>
      </c>
      <c r="F14597" s="13" t="s">
        <v>70</v>
      </c>
      <c r="G14597" s="14">
        <v>44855</v>
      </c>
      <c r="H14597" s="13" t="s">
        <v>163</v>
      </c>
    </row>
    <row r="14598" spans="1:8" ht="14.4" x14ac:dyDescent="0.3">
      <c r="A14598" s="8">
        <v>2072376</v>
      </c>
      <c r="B14598" s="11">
        <v>44852</v>
      </c>
      <c r="C14598" s="13" t="s">
        <v>19149</v>
      </c>
      <c r="D14598" s="13" t="s">
        <v>19150</v>
      </c>
      <c r="E14598" s="8">
        <v>40000</v>
      </c>
      <c r="F14598" s="13" t="s">
        <v>70</v>
      </c>
      <c r="G14598" s="14">
        <v>44859</v>
      </c>
      <c r="H14598" s="13" t="s">
        <v>163</v>
      </c>
    </row>
    <row r="14599" spans="1:8" ht="14.4" x14ac:dyDescent="0.3">
      <c r="A14599" s="8">
        <v>2072377</v>
      </c>
      <c r="B14599" s="11">
        <v>44852</v>
      </c>
      <c r="C14599" s="13" t="s">
        <v>19151</v>
      </c>
      <c r="D14599" s="13" t="s">
        <v>19152</v>
      </c>
      <c r="E14599" s="8">
        <v>3000</v>
      </c>
      <c r="F14599" s="13" t="s">
        <v>70</v>
      </c>
      <c r="G14599" s="14">
        <v>44854</v>
      </c>
      <c r="H14599" s="13" t="s">
        <v>163</v>
      </c>
    </row>
    <row r="14600" spans="1:8" ht="14.4" x14ac:dyDescent="0.3">
      <c r="A14600" s="8">
        <v>2072378</v>
      </c>
      <c r="B14600" s="11">
        <v>44852</v>
      </c>
      <c r="C14600" s="13" t="s">
        <v>11178</v>
      </c>
      <c r="D14600" s="13" t="s">
        <v>19153</v>
      </c>
      <c r="E14600" s="8">
        <v>6000</v>
      </c>
      <c r="F14600" s="13" t="s">
        <v>70</v>
      </c>
      <c r="G14600" s="14">
        <v>44855</v>
      </c>
      <c r="H14600" s="13" t="s">
        <v>163</v>
      </c>
    </row>
    <row r="14601" spans="1:8" ht="14.4" x14ac:dyDescent="0.3">
      <c r="A14601" s="8">
        <v>2072379</v>
      </c>
      <c r="B14601" s="11">
        <v>44852</v>
      </c>
      <c r="C14601" s="13" t="s">
        <v>15829</v>
      </c>
      <c r="D14601" s="13" t="s">
        <v>19154</v>
      </c>
      <c r="E14601" s="8">
        <v>4000</v>
      </c>
      <c r="F14601" s="13" t="s">
        <v>70</v>
      </c>
      <c r="G14601" s="14">
        <v>44854</v>
      </c>
      <c r="H14601" s="13" t="s">
        <v>163</v>
      </c>
    </row>
    <row r="14602" spans="1:8" ht="14.4" x14ac:dyDescent="0.3">
      <c r="A14602" s="8">
        <v>2072380</v>
      </c>
      <c r="B14602" s="11">
        <v>44852</v>
      </c>
      <c r="C14602" s="13" t="s">
        <v>19155</v>
      </c>
      <c r="D14602" s="13" t="s">
        <v>19156</v>
      </c>
      <c r="E14602" s="8">
        <v>4000</v>
      </c>
      <c r="F14602" s="13" t="s">
        <v>70</v>
      </c>
      <c r="G14602" s="14">
        <v>44859</v>
      </c>
      <c r="H14602" s="13" t="s">
        <v>163</v>
      </c>
    </row>
    <row r="14603" spans="1:8" ht="14.4" x14ac:dyDescent="0.3">
      <c r="A14603" s="8">
        <v>2072381</v>
      </c>
      <c r="B14603" s="11">
        <v>44852</v>
      </c>
      <c r="C14603" s="13" t="s">
        <v>19157</v>
      </c>
      <c r="D14603" s="13" t="s">
        <v>19158</v>
      </c>
      <c r="E14603" s="8">
        <v>30000</v>
      </c>
      <c r="F14603" s="13" t="s">
        <v>70</v>
      </c>
      <c r="G14603" s="14">
        <v>44854</v>
      </c>
      <c r="H14603" s="13" t="s">
        <v>163</v>
      </c>
    </row>
    <row r="14604" spans="1:8" ht="14.4" x14ac:dyDescent="0.3">
      <c r="A14604" s="8">
        <v>2072382</v>
      </c>
      <c r="B14604" s="11">
        <v>44852</v>
      </c>
      <c r="C14604" s="13" t="s">
        <v>19159</v>
      </c>
      <c r="D14604" s="13" t="s">
        <v>19160</v>
      </c>
      <c r="E14604" s="8">
        <v>4000</v>
      </c>
      <c r="F14604" s="13" t="s">
        <v>70</v>
      </c>
      <c r="G14604" s="14">
        <v>44854</v>
      </c>
      <c r="H14604" s="13" t="s">
        <v>163</v>
      </c>
    </row>
    <row r="14605" spans="1:8" ht="14.4" x14ac:dyDescent="0.3">
      <c r="A14605" s="8">
        <v>2072383</v>
      </c>
      <c r="B14605" s="11">
        <v>44852</v>
      </c>
      <c r="C14605" s="13" t="s">
        <v>19161</v>
      </c>
      <c r="D14605" s="13" t="s">
        <v>19162</v>
      </c>
      <c r="E14605" s="8">
        <v>2000</v>
      </c>
      <c r="F14605" s="13" t="s">
        <v>70</v>
      </c>
      <c r="G14605" s="14">
        <v>44854</v>
      </c>
      <c r="H14605" s="13" t="s">
        <v>163</v>
      </c>
    </row>
    <row r="14606" spans="1:8" ht="14.4" x14ac:dyDescent="0.3">
      <c r="A14606" s="8">
        <v>2072384</v>
      </c>
      <c r="B14606" s="11">
        <v>44852</v>
      </c>
      <c r="C14606" s="13" t="s">
        <v>19163</v>
      </c>
      <c r="D14606" s="13" t="s">
        <v>19164</v>
      </c>
      <c r="E14606" s="8">
        <v>1500</v>
      </c>
      <c r="F14606" s="13" t="s">
        <v>70</v>
      </c>
      <c r="G14606" s="14">
        <v>44854</v>
      </c>
      <c r="H14606" s="13" t="s">
        <v>163</v>
      </c>
    </row>
    <row r="14607" spans="1:8" ht="14.4" x14ac:dyDescent="0.3">
      <c r="A14607" s="8">
        <v>2072385</v>
      </c>
      <c r="B14607" s="11">
        <v>44852</v>
      </c>
      <c r="C14607" s="13" t="s">
        <v>19165</v>
      </c>
      <c r="D14607" s="13" t="s">
        <v>19166</v>
      </c>
      <c r="E14607" s="8">
        <v>4000</v>
      </c>
      <c r="F14607" s="13" t="s">
        <v>70</v>
      </c>
      <c r="G14607" s="14">
        <v>44869</v>
      </c>
      <c r="H14607" s="13" t="s">
        <v>163</v>
      </c>
    </row>
    <row r="14608" spans="1:8" ht="14.4" x14ac:dyDescent="0.3">
      <c r="A14608" s="8">
        <v>2072386</v>
      </c>
      <c r="B14608" s="11">
        <v>44852</v>
      </c>
      <c r="C14608" s="13" t="s">
        <v>19167</v>
      </c>
      <c r="D14608" s="13" t="s">
        <v>164</v>
      </c>
      <c r="E14608" s="8">
        <v>4000</v>
      </c>
      <c r="F14608" s="13" t="s">
        <v>70</v>
      </c>
      <c r="G14608" s="14">
        <v>44854</v>
      </c>
      <c r="H14608" s="13" t="s">
        <v>163</v>
      </c>
    </row>
    <row r="14609" spans="1:8" ht="14.4" x14ac:dyDescent="0.3">
      <c r="A14609" s="8">
        <v>2072387</v>
      </c>
      <c r="B14609" s="11">
        <v>44852</v>
      </c>
      <c r="C14609" s="13" t="s">
        <v>19168</v>
      </c>
      <c r="D14609" s="13" t="s">
        <v>164</v>
      </c>
      <c r="E14609" s="8">
        <v>4000</v>
      </c>
      <c r="F14609" s="13" t="s">
        <v>70</v>
      </c>
      <c r="G14609" s="14">
        <v>44854</v>
      </c>
      <c r="H14609" s="13" t="s">
        <v>163</v>
      </c>
    </row>
    <row r="14610" spans="1:8" ht="14.4" x14ac:dyDescent="0.3">
      <c r="A14610" s="8">
        <v>2072388</v>
      </c>
      <c r="B14610" s="11">
        <v>44852</v>
      </c>
      <c r="C14610" s="13" t="s">
        <v>19169</v>
      </c>
      <c r="D14610" s="13" t="s">
        <v>19170</v>
      </c>
      <c r="E14610" s="8">
        <v>4000</v>
      </c>
      <c r="F14610" s="13" t="s">
        <v>70</v>
      </c>
      <c r="G14610" s="14">
        <v>44854</v>
      </c>
      <c r="H14610" s="13" t="s">
        <v>163</v>
      </c>
    </row>
    <row r="14611" spans="1:8" ht="14.4" x14ac:dyDescent="0.3">
      <c r="A14611" s="8">
        <v>2072389</v>
      </c>
      <c r="B14611" s="11">
        <v>44852</v>
      </c>
      <c r="C14611" s="13" t="s">
        <v>19171</v>
      </c>
      <c r="D14611" s="13" t="s">
        <v>19172</v>
      </c>
      <c r="E14611" s="8">
        <v>6000</v>
      </c>
      <c r="F14611" s="13" t="s">
        <v>70</v>
      </c>
      <c r="G14611" s="14">
        <v>44854</v>
      </c>
      <c r="H14611" s="13" t="s">
        <v>163</v>
      </c>
    </row>
    <row r="14612" spans="1:8" ht="14.4" x14ac:dyDescent="0.3">
      <c r="A14612" s="8">
        <v>2072390</v>
      </c>
      <c r="B14612" s="11">
        <v>44852</v>
      </c>
      <c r="C14612" s="13" t="s">
        <v>3556</v>
      </c>
      <c r="D14612" s="13" t="s">
        <v>13597</v>
      </c>
      <c r="E14612" s="8">
        <v>6000</v>
      </c>
      <c r="F14612" s="13" t="s">
        <v>70</v>
      </c>
      <c r="G14612" s="14">
        <v>44855</v>
      </c>
      <c r="H14612" s="13" t="s">
        <v>163</v>
      </c>
    </row>
    <row r="14613" spans="1:8" ht="14.4" x14ac:dyDescent="0.3">
      <c r="A14613" s="8">
        <v>2072391</v>
      </c>
      <c r="B14613" s="11">
        <v>44852</v>
      </c>
      <c r="C14613" s="13" t="s">
        <v>19173</v>
      </c>
      <c r="D14613" s="13" t="s">
        <v>13597</v>
      </c>
      <c r="E14613" s="8">
        <v>6000</v>
      </c>
      <c r="F14613" s="13" t="s">
        <v>70</v>
      </c>
      <c r="G14613" s="14">
        <v>44854</v>
      </c>
      <c r="H14613" s="13" t="s">
        <v>163</v>
      </c>
    </row>
    <row r="14614" spans="1:8" ht="14.4" x14ac:dyDescent="0.3">
      <c r="A14614" s="8">
        <v>2072392</v>
      </c>
      <c r="B14614" s="11">
        <v>44852</v>
      </c>
      <c r="C14614" s="13" t="s">
        <v>19174</v>
      </c>
      <c r="D14614" s="13" t="s">
        <v>19175</v>
      </c>
      <c r="E14614" s="8">
        <v>10000</v>
      </c>
      <c r="F14614" s="13" t="s">
        <v>70</v>
      </c>
      <c r="G14614" s="14">
        <v>44854</v>
      </c>
      <c r="H14614" s="13" t="s">
        <v>163</v>
      </c>
    </row>
    <row r="14615" spans="1:8" ht="14.4" x14ac:dyDescent="0.3">
      <c r="A14615" s="8">
        <v>2072393</v>
      </c>
      <c r="B14615" s="11">
        <v>44852</v>
      </c>
      <c r="C14615" s="13" t="s">
        <v>19176</v>
      </c>
      <c r="D14615" s="13" t="s">
        <v>14062</v>
      </c>
      <c r="E14615" s="8">
        <v>2000</v>
      </c>
      <c r="F14615" s="13" t="s">
        <v>70</v>
      </c>
      <c r="G14615" s="14">
        <v>44854</v>
      </c>
      <c r="H14615" s="13" t="s">
        <v>163</v>
      </c>
    </row>
    <row r="14616" spans="1:8" ht="14.4" x14ac:dyDescent="0.3">
      <c r="A14616" s="8">
        <v>2072394</v>
      </c>
      <c r="B14616" s="11">
        <v>44852</v>
      </c>
      <c r="C14616" s="13" t="s">
        <v>19177</v>
      </c>
      <c r="D14616" s="13" t="s">
        <v>164</v>
      </c>
      <c r="E14616" s="8">
        <v>2000</v>
      </c>
      <c r="F14616" s="13" t="s">
        <v>70</v>
      </c>
      <c r="G14616" s="14">
        <v>44854</v>
      </c>
      <c r="H14616" s="13" t="s">
        <v>163</v>
      </c>
    </row>
    <row r="14617" spans="1:8" ht="14.4" x14ac:dyDescent="0.3">
      <c r="A14617" s="8">
        <v>2072395</v>
      </c>
      <c r="B14617" s="11">
        <v>44852</v>
      </c>
      <c r="C14617" s="13" t="s">
        <v>19178</v>
      </c>
      <c r="D14617" s="13" t="s">
        <v>19179</v>
      </c>
      <c r="E14617" s="8">
        <v>4000</v>
      </c>
      <c r="F14617" s="13" t="s">
        <v>70</v>
      </c>
      <c r="G14617" s="14">
        <v>44854</v>
      </c>
      <c r="H14617" s="13" t="s">
        <v>163</v>
      </c>
    </row>
    <row r="14618" spans="1:8" ht="14.4" x14ac:dyDescent="0.3">
      <c r="A14618" s="8">
        <v>2072396</v>
      </c>
      <c r="B14618" s="11">
        <v>44852</v>
      </c>
      <c r="C14618" s="13" t="s">
        <v>19180</v>
      </c>
      <c r="D14618" s="13" t="s">
        <v>19181</v>
      </c>
      <c r="E14618" s="8">
        <v>2000</v>
      </c>
      <c r="F14618" s="13" t="s">
        <v>70</v>
      </c>
      <c r="G14618" s="14">
        <v>44854</v>
      </c>
      <c r="H14618" s="13" t="s">
        <v>163</v>
      </c>
    </row>
    <row r="14619" spans="1:8" ht="14.4" x14ac:dyDescent="0.3">
      <c r="A14619" s="8">
        <v>2072397</v>
      </c>
      <c r="B14619" s="11">
        <v>44852</v>
      </c>
      <c r="C14619" s="13" t="s">
        <v>19182</v>
      </c>
      <c r="D14619" s="13" t="s">
        <v>13603</v>
      </c>
      <c r="E14619" s="8">
        <v>1000</v>
      </c>
      <c r="F14619" s="13" t="s">
        <v>70</v>
      </c>
      <c r="G14619" s="14">
        <v>44854</v>
      </c>
      <c r="H14619" s="13" t="s">
        <v>163</v>
      </c>
    </row>
    <row r="14620" spans="1:8" ht="14.4" x14ac:dyDescent="0.3">
      <c r="A14620" s="8">
        <v>2072398</v>
      </c>
      <c r="B14620" s="11">
        <v>44852</v>
      </c>
      <c r="C14620" s="13" t="s">
        <v>19183</v>
      </c>
      <c r="D14620" s="13" t="s">
        <v>16335</v>
      </c>
      <c r="E14620" s="8">
        <v>4000</v>
      </c>
      <c r="F14620" s="13" t="s">
        <v>70</v>
      </c>
      <c r="G14620" s="14">
        <v>44854</v>
      </c>
      <c r="H14620" s="13" t="s">
        <v>163</v>
      </c>
    </row>
    <row r="14621" spans="1:8" ht="14.4" x14ac:dyDescent="0.3">
      <c r="A14621" s="8">
        <v>2072399</v>
      </c>
      <c r="B14621" s="11">
        <v>44852</v>
      </c>
      <c r="C14621" s="13" t="s">
        <v>19184</v>
      </c>
      <c r="D14621" s="13" t="s">
        <v>19185</v>
      </c>
      <c r="E14621" s="8">
        <v>6000</v>
      </c>
      <c r="F14621" s="13" t="s">
        <v>70</v>
      </c>
      <c r="G14621" s="14">
        <v>44854</v>
      </c>
      <c r="H14621" s="13" t="s">
        <v>163</v>
      </c>
    </row>
    <row r="14622" spans="1:8" ht="14.4" x14ac:dyDescent="0.3">
      <c r="A14622" s="8">
        <v>2072400</v>
      </c>
      <c r="B14622" s="11">
        <v>44852</v>
      </c>
      <c r="C14622" s="13" t="s">
        <v>19186</v>
      </c>
      <c r="D14622" s="13" t="s">
        <v>19187</v>
      </c>
      <c r="E14622" s="8">
        <v>6000</v>
      </c>
      <c r="F14622" s="13" t="s">
        <v>70</v>
      </c>
      <c r="G14622" s="14">
        <v>44854</v>
      </c>
      <c r="H14622" s="13" t="s">
        <v>163</v>
      </c>
    </row>
    <row r="14623" spans="1:8" ht="14.4" x14ac:dyDescent="0.3">
      <c r="A14623" s="8">
        <v>2072401</v>
      </c>
      <c r="B14623" s="11">
        <v>44852</v>
      </c>
      <c r="C14623" s="13" t="s">
        <v>19188</v>
      </c>
      <c r="D14623" s="13" t="s">
        <v>19189</v>
      </c>
      <c r="E14623" s="8">
        <v>2000</v>
      </c>
      <c r="F14623" s="13" t="s">
        <v>70</v>
      </c>
      <c r="G14623" s="14">
        <v>44854</v>
      </c>
      <c r="H14623" s="13" t="s">
        <v>163</v>
      </c>
    </row>
    <row r="14624" spans="1:8" ht="14.4" x14ac:dyDescent="0.3">
      <c r="A14624" s="8">
        <v>2072402</v>
      </c>
      <c r="B14624" s="11">
        <v>44852</v>
      </c>
      <c r="C14624" s="13" t="s">
        <v>19190</v>
      </c>
      <c r="D14624" s="13" t="s">
        <v>17685</v>
      </c>
      <c r="E14624" s="8">
        <v>4000</v>
      </c>
      <c r="F14624" s="13" t="s">
        <v>70</v>
      </c>
      <c r="G14624" s="14">
        <v>44853</v>
      </c>
      <c r="H14624" s="13" t="s">
        <v>163</v>
      </c>
    </row>
    <row r="14625" spans="1:8" ht="14.4" x14ac:dyDescent="0.3">
      <c r="A14625" s="8">
        <v>2072403</v>
      </c>
      <c r="B14625" s="11">
        <v>44852</v>
      </c>
      <c r="C14625" s="13" t="s">
        <v>19191</v>
      </c>
      <c r="D14625" s="13" t="s">
        <v>19192</v>
      </c>
      <c r="E14625" s="8">
        <v>12000</v>
      </c>
      <c r="F14625" s="13" t="s">
        <v>70</v>
      </c>
      <c r="G14625" s="14">
        <v>44855</v>
      </c>
      <c r="H14625" s="13" t="s">
        <v>163</v>
      </c>
    </row>
    <row r="14626" spans="1:8" ht="14.4" x14ac:dyDescent="0.3">
      <c r="A14626" s="8">
        <v>2072404</v>
      </c>
      <c r="B14626" s="11">
        <v>44852</v>
      </c>
      <c r="C14626" s="13" t="s">
        <v>19193</v>
      </c>
      <c r="D14626" s="13" t="s">
        <v>19194</v>
      </c>
      <c r="E14626" s="8">
        <v>6000</v>
      </c>
      <c r="F14626" s="13" t="s">
        <v>70</v>
      </c>
      <c r="G14626" s="14">
        <v>44854</v>
      </c>
      <c r="H14626" s="13" t="s">
        <v>163</v>
      </c>
    </row>
    <row r="14627" spans="1:8" ht="14.4" x14ac:dyDescent="0.3">
      <c r="A14627" s="8">
        <v>2072405</v>
      </c>
      <c r="B14627" s="11">
        <v>44852</v>
      </c>
      <c r="C14627" s="13" t="s">
        <v>19195</v>
      </c>
      <c r="D14627" s="13" t="s">
        <v>19196</v>
      </c>
      <c r="E14627" s="8">
        <v>6000</v>
      </c>
      <c r="F14627" s="13" t="s">
        <v>70</v>
      </c>
      <c r="G14627" s="14">
        <v>44855</v>
      </c>
      <c r="H14627" s="13" t="s">
        <v>163</v>
      </c>
    </row>
    <row r="14628" spans="1:8" ht="14.4" x14ac:dyDescent="0.3">
      <c r="A14628" s="8">
        <v>2072406</v>
      </c>
      <c r="B14628" s="11">
        <v>44852</v>
      </c>
      <c r="C14628" s="13" t="s">
        <v>19197</v>
      </c>
      <c r="D14628" s="13" t="s">
        <v>14318</v>
      </c>
      <c r="E14628" s="8">
        <v>2000</v>
      </c>
      <c r="F14628" s="13" t="s">
        <v>70</v>
      </c>
      <c r="G14628" s="14">
        <v>44854</v>
      </c>
      <c r="H14628" s="13" t="s">
        <v>163</v>
      </c>
    </row>
    <row r="14629" spans="1:8" ht="14.4" x14ac:dyDescent="0.3">
      <c r="A14629" s="8">
        <v>2072407</v>
      </c>
      <c r="B14629" s="11">
        <v>44852</v>
      </c>
      <c r="C14629" s="13" t="s">
        <v>19198</v>
      </c>
      <c r="D14629" s="13" t="s">
        <v>164</v>
      </c>
      <c r="E14629" s="8">
        <v>4000</v>
      </c>
      <c r="F14629" s="13" t="s">
        <v>70</v>
      </c>
      <c r="G14629" s="14">
        <v>44854</v>
      </c>
      <c r="H14629" s="13" t="s">
        <v>163</v>
      </c>
    </row>
    <row r="14630" spans="1:8" ht="14.4" x14ac:dyDescent="0.3">
      <c r="A14630" s="8">
        <v>2072408</v>
      </c>
      <c r="B14630" s="11">
        <v>44852</v>
      </c>
      <c r="C14630" s="13" t="s">
        <v>19199</v>
      </c>
      <c r="D14630" s="13" t="s">
        <v>14318</v>
      </c>
      <c r="E14630" s="8">
        <v>4000</v>
      </c>
      <c r="F14630" s="13" t="s">
        <v>70</v>
      </c>
      <c r="G14630" s="14">
        <v>44854</v>
      </c>
      <c r="H14630" s="13" t="s">
        <v>163</v>
      </c>
    </row>
    <row r="14631" spans="1:8" ht="14.4" x14ac:dyDescent="0.3">
      <c r="A14631" s="8">
        <v>2072409</v>
      </c>
      <c r="B14631" s="11">
        <v>44853</v>
      </c>
      <c r="C14631" s="13" t="s">
        <v>19200</v>
      </c>
      <c r="D14631" s="13" t="s">
        <v>19201</v>
      </c>
      <c r="E14631" s="8">
        <v>16000</v>
      </c>
      <c r="F14631" s="13" t="s">
        <v>70</v>
      </c>
      <c r="G14631" s="14">
        <v>44854</v>
      </c>
      <c r="H14631" s="13" t="s">
        <v>163</v>
      </c>
    </row>
    <row r="14632" spans="1:8" ht="14.4" x14ac:dyDescent="0.3">
      <c r="A14632" s="8">
        <v>2072410</v>
      </c>
      <c r="B14632" s="11">
        <v>44853</v>
      </c>
      <c r="C14632" s="13" t="s">
        <v>19202</v>
      </c>
      <c r="D14632" s="13" t="s">
        <v>19203</v>
      </c>
      <c r="E14632" s="8">
        <v>4000</v>
      </c>
      <c r="F14632" s="13" t="s">
        <v>70</v>
      </c>
      <c r="G14632" s="14">
        <v>44855</v>
      </c>
      <c r="H14632" s="13" t="s">
        <v>163</v>
      </c>
    </row>
    <row r="14633" spans="1:8" ht="14.4" x14ac:dyDescent="0.3">
      <c r="A14633" s="8">
        <v>2072411</v>
      </c>
      <c r="B14633" s="11">
        <v>44853</v>
      </c>
      <c r="C14633" s="13" t="s">
        <v>19204</v>
      </c>
      <c r="D14633" s="13" t="s">
        <v>19205</v>
      </c>
      <c r="E14633" s="8">
        <v>6000</v>
      </c>
      <c r="F14633" s="13" t="s">
        <v>70</v>
      </c>
      <c r="G14633" s="14">
        <v>44854</v>
      </c>
      <c r="H14633" s="13" t="s">
        <v>163</v>
      </c>
    </row>
    <row r="14634" spans="1:8" ht="14.4" x14ac:dyDescent="0.3">
      <c r="A14634" s="8">
        <v>2072412</v>
      </c>
      <c r="B14634" s="11">
        <v>44853</v>
      </c>
      <c r="C14634" s="13" t="s">
        <v>19206</v>
      </c>
      <c r="D14634" s="13" t="s">
        <v>19207</v>
      </c>
      <c r="E14634" s="8">
        <v>6000</v>
      </c>
      <c r="F14634" s="13" t="s">
        <v>70</v>
      </c>
      <c r="G14634" s="14">
        <v>44854</v>
      </c>
      <c r="H14634" s="13" t="s">
        <v>163</v>
      </c>
    </row>
    <row r="14635" spans="1:8" ht="14.4" x14ac:dyDescent="0.3">
      <c r="A14635" s="8">
        <v>2072413</v>
      </c>
      <c r="B14635" s="11">
        <v>44853</v>
      </c>
      <c r="C14635" s="13" t="s">
        <v>19208</v>
      </c>
      <c r="D14635" s="13" t="s">
        <v>19209</v>
      </c>
      <c r="E14635" s="8">
        <v>20000</v>
      </c>
      <c r="F14635" s="13" t="s">
        <v>70</v>
      </c>
      <c r="G14635" s="14">
        <v>44854</v>
      </c>
      <c r="H14635" s="13" t="s">
        <v>163</v>
      </c>
    </row>
    <row r="14636" spans="1:8" ht="14.4" x14ac:dyDescent="0.3">
      <c r="A14636" s="8">
        <v>2072414</v>
      </c>
      <c r="B14636" s="11">
        <v>44853</v>
      </c>
      <c r="C14636" s="13" t="s">
        <v>19210</v>
      </c>
      <c r="D14636" s="13" t="s">
        <v>19211</v>
      </c>
      <c r="E14636" s="8">
        <v>8000</v>
      </c>
      <c r="F14636" s="13" t="s">
        <v>70</v>
      </c>
      <c r="G14636" s="14">
        <v>44854</v>
      </c>
      <c r="H14636" s="13" t="s">
        <v>163</v>
      </c>
    </row>
    <row r="14637" spans="1:8" ht="14.4" x14ac:dyDescent="0.3">
      <c r="A14637" s="8">
        <v>2072415</v>
      </c>
      <c r="B14637" s="11">
        <v>44853</v>
      </c>
      <c r="C14637" s="13" t="s">
        <v>19212</v>
      </c>
      <c r="D14637" s="13" t="s">
        <v>19213</v>
      </c>
      <c r="E14637" s="8">
        <v>20000</v>
      </c>
      <c r="F14637" s="13" t="s">
        <v>70</v>
      </c>
      <c r="G14637" s="14">
        <v>44854</v>
      </c>
      <c r="H14637" s="13" t="s">
        <v>163</v>
      </c>
    </row>
    <row r="14638" spans="1:8" ht="14.4" x14ac:dyDescent="0.3">
      <c r="A14638" s="8">
        <v>2072416</v>
      </c>
      <c r="B14638" s="11">
        <v>44853</v>
      </c>
      <c r="C14638" s="13" t="s">
        <v>19214</v>
      </c>
      <c r="D14638" s="13" t="s">
        <v>19215</v>
      </c>
      <c r="E14638" s="8">
        <v>10000</v>
      </c>
      <c r="F14638" s="13" t="s">
        <v>70</v>
      </c>
      <c r="G14638" s="14">
        <v>44854</v>
      </c>
      <c r="H14638" s="13" t="s">
        <v>163</v>
      </c>
    </row>
    <row r="14639" spans="1:8" ht="14.4" x14ac:dyDescent="0.3">
      <c r="A14639" s="8">
        <v>2072417</v>
      </c>
      <c r="B14639" s="11">
        <v>44853</v>
      </c>
      <c r="C14639" s="13" t="s">
        <v>19216</v>
      </c>
      <c r="D14639" s="13" t="s">
        <v>19217</v>
      </c>
      <c r="E14639" s="8">
        <v>8000</v>
      </c>
      <c r="F14639" s="13" t="s">
        <v>70</v>
      </c>
      <c r="G14639" s="14">
        <v>44855</v>
      </c>
      <c r="H14639" s="13" t="s">
        <v>163</v>
      </c>
    </row>
    <row r="14640" spans="1:8" ht="14.4" x14ac:dyDescent="0.3">
      <c r="A14640" s="8">
        <v>2072418</v>
      </c>
      <c r="B14640" s="11">
        <v>44853</v>
      </c>
      <c r="C14640" s="13" t="s">
        <v>19218</v>
      </c>
      <c r="D14640" s="13" t="s">
        <v>19219</v>
      </c>
      <c r="E14640" s="8">
        <v>2000</v>
      </c>
      <c r="F14640" s="13" t="s">
        <v>70</v>
      </c>
      <c r="G14640" s="14">
        <v>44855</v>
      </c>
      <c r="H14640" s="13" t="s">
        <v>163</v>
      </c>
    </row>
    <row r="14641" spans="1:8" ht="14.4" x14ac:dyDescent="0.3">
      <c r="A14641" s="8">
        <v>2072419</v>
      </c>
      <c r="B14641" s="11">
        <v>44853</v>
      </c>
      <c r="C14641" s="13" t="s">
        <v>19220</v>
      </c>
      <c r="D14641" s="13" t="s">
        <v>19221</v>
      </c>
      <c r="E14641" s="8">
        <v>6000</v>
      </c>
      <c r="F14641" s="13" t="s">
        <v>70</v>
      </c>
      <c r="G14641" s="14">
        <v>44854</v>
      </c>
      <c r="H14641" s="13" t="s">
        <v>163</v>
      </c>
    </row>
    <row r="14642" spans="1:8" ht="14.4" x14ac:dyDescent="0.3">
      <c r="A14642" s="8">
        <v>2072420</v>
      </c>
      <c r="B14642" s="11">
        <v>44853</v>
      </c>
      <c r="C14642" s="13" t="s">
        <v>19222</v>
      </c>
      <c r="D14642" s="13" t="s">
        <v>19223</v>
      </c>
      <c r="E14642" s="8">
        <v>6000</v>
      </c>
      <c r="F14642" s="13" t="s">
        <v>70</v>
      </c>
      <c r="G14642" s="14">
        <v>44854</v>
      </c>
      <c r="H14642" s="13" t="s">
        <v>163</v>
      </c>
    </row>
    <row r="14643" spans="1:8" ht="14.4" x14ac:dyDescent="0.3">
      <c r="A14643" s="8">
        <v>2072421</v>
      </c>
      <c r="B14643" s="11">
        <v>44853</v>
      </c>
      <c r="C14643" s="13" t="s">
        <v>19224</v>
      </c>
      <c r="D14643" s="13" t="s">
        <v>19225</v>
      </c>
      <c r="E14643" s="8">
        <v>6000</v>
      </c>
      <c r="F14643" s="13" t="s">
        <v>70</v>
      </c>
      <c r="G14643" s="14">
        <v>44854</v>
      </c>
      <c r="H14643" s="13" t="s">
        <v>163</v>
      </c>
    </row>
    <row r="14644" spans="1:8" ht="14.4" x14ac:dyDescent="0.3">
      <c r="A14644" s="8">
        <v>2072422</v>
      </c>
      <c r="B14644" s="11">
        <v>44853</v>
      </c>
      <c r="C14644" s="13" t="s">
        <v>19226</v>
      </c>
      <c r="D14644" s="13" t="s">
        <v>19227</v>
      </c>
      <c r="E14644" s="8">
        <v>6000</v>
      </c>
      <c r="F14644" s="13" t="s">
        <v>70</v>
      </c>
      <c r="G14644" s="14">
        <v>44855</v>
      </c>
      <c r="H14644" s="13" t="s">
        <v>163</v>
      </c>
    </row>
    <row r="14645" spans="1:8" ht="14.4" x14ac:dyDescent="0.3">
      <c r="A14645" s="8">
        <v>2072423</v>
      </c>
      <c r="B14645" s="11">
        <v>44853</v>
      </c>
      <c r="C14645" s="13" t="s">
        <v>19228</v>
      </c>
      <c r="D14645" s="13" t="s">
        <v>19229</v>
      </c>
      <c r="E14645" s="8">
        <v>2000</v>
      </c>
      <c r="F14645" s="13" t="s">
        <v>70</v>
      </c>
      <c r="G14645" s="14">
        <v>44854</v>
      </c>
      <c r="H14645" s="13" t="s">
        <v>163</v>
      </c>
    </row>
    <row r="14646" spans="1:8" ht="14.4" x14ac:dyDescent="0.3">
      <c r="A14646" s="8">
        <v>2072424</v>
      </c>
      <c r="B14646" s="11">
        <v>44853</v>
      </c>
      <c r="C14646" s="13" t="s">
        <v>19230</v>
      </c>
      <c r="D14646" s="13" t="s">
        <v>19231</v>
      </c>
      <c r="E14646" s="8">
        <v>2000</v>
      </c>
      <c r="F14646" s="13" t="s">
        <v>70</v>
      </c>
      <c r="G14646" s="14">
        <v>44860</v>
      </c>
      <c r="H14646" s="13" t="s">
        <v>163</v>
      </c>
    </row>
    <row r="14647" spans="1:8" ht="14.4" x14ac:dyDescent="0.3">
      <c r="A14647" s="8">
        <v>2072425</v>
      </c>
      <c r="B14647" s="11">
        <v>44853</v>
      </c>
      <c r="C14647" s="13" t="s">
        <v>19232</v>
      </c>
      <c r="D14647" s="13" t="s">
        <v>19233</v>
      </c>
      <c r="E14647" s="8">
        <v>2000</v>
      </c>
      <c r="F14647" s="13" t="s">
        <v>70</v>
      </c>
      <c r="G14647" s="14">
        <v>44858</v>
      </c>
      <c r="H14647" s="13" t="s">
        <v>163</v>
      </c>
    </row>
    <row r="14648" spans="1:8" ht="14.4" x14ac:dyDescent="0.3">
      <c r="A14648" s="8">
        <v>2072426</v>
      </c>
      <c r="B14648" s="11">
        <v>44853</v>
      </c>
      <c r="C14648" s="13" t="s">
        <v>19234</v>
      </c>
      <c r="D14648" s="13" t="s">
        <v>164</v>
      </c>
      <c r="E14648" s="8">
        <v>2000</v>
      </c>
      <c r="F14648" s="13" t="s">
        <v>70</v>
      </c>
      <c r="G14648" s="14">
        <v>44858</v>
      </c>
      <c r="H14648" s="13" t="s">
        <v>163</v>
      </c>
    </row>
    <row r="14649" spans="1:8" ht="14.4" x14ac:dyDescent="0.3">
      <c r="A14649" s="8">
        <v>2072427</v>
      </c>
      <c r="B14649" s="11">
        <v>44853</v>
      </c>
      <c r="C14649" s="13" t="s">
        <v>19235</v>
      </c>
      <c r="D14649" s="13" t="s">
        <v>19236</v>
      </c>
      <c r="E14649" s="8">
        <v>35000</v>
      </c>
      <c r="F14649" s="13" t="s">
        <v>70</v>
      </c>
      <c r="G14649" s="14">
        <v>44858</v>
      </c>
      <c r="H14649" s="13" t="s">
        <v>163</v>
      </c>
    </row>
    <row r="14650" spans="1:8" ht="14.4" x14ac:dyDescent="0.3">
      <c r="A14650" s="8">
        <v>2072428</v>
      </c>
      <c r="B14650" s="11">
        <v>44853</v>
      </c>
      <c r="C14650" s="13" t="s">
        <v>19237</v>
      </c>
      <c r="D14650" s="13" t="s">
        <v>19238</v>
      </c>
      <c r="E14650" s="8">
        <v>30000</v>
      </c>
      <c r="F14650" s="13" t="s">
        <v>70</v>
      </c>
      <c r="G14650" s="14">
        <v>44858</v>
      </c>
      <c r="H14650" s="13" t="s">
        <v>163</v>
      </c>
    </row>
    <row r="14651" spans="1:8" ht="14.4" x14ac:dyDescent="0.3">
      <c r="A14651" s="8">
        <v>2072429</v>
      </c>
      <c r="B14651" s="11">
        <v>44853</v>
      </c>
      <c r="C14651" s="13" t="s">
        <v>19239</v>
      </c>
      <c r="D14651" s="13" t="s">
        <v>19240</v>
      </c>
      <c r="E14651" s="8">
        <v>4000</v>
      </c>
      <c r="F14651" s="13" t="s">
        <v>70</v>
      </c>
      <c r="G14651" s="14">
        <v>44858</v>
      </c>
      <c r="H14651" s="13" t="s">
        <v>163</v>
      </c>
    </row>
    <row r="14652" spans="1:8" ht="14.4" x14ac:dyDescent="0.3">
      <c r="A14652" s="8">
        <v>2072430</v>
      </c>
      <c r="B14652" s="11">
        <v>44853</v>
      </c>
      <c r="C14652" s="13" t="s">
        <v>19241</v>
      </c>
      <c r="D14652" s="13" t="s">
        <v>19242</v>
      </c>
      <c r="E14652" s="8">
        <v>4000</v>
      </c>
      <c r="F14652" s="13" t="s">
        <v>70</v>
      </c>
      <c r="G14652" s="14">
        <v>44858</v>
      </c>
      <c r="H14652" s="13" t="s">
        <v>163</v>
      </c>
    </row>
    <row r="14653" spans="1:8" ht="14.4" x14ac:dyDescent="0.3">
      <c r="A14653" s="8">
        <v>2072431</v>
      </c>
      <c r="B14653" s="11">
        <v>44853</v>
      </c>
      <c r="C14653" s="13" t="s">
        <v>19243</v>
      </c>
      <c r="D14653" s="13" t="s">
        <v>19244</v>
      </c>
      <c r="E14653" s="8">
        <v>4000</v>
      </c>
      <c r="F14653" s="13" t="s">
        <v>70</v>
      </c>
      <c r="G14653" s="14">
        <v>44858</v>
      </c>
      <c r="H14653" s="13" t="s">
        <v>163</v>
      </c>
    </row>
    <row r="14654" spans="1:8" ht="14.4" x14ac:dyDescent="0.3">
      <c r="A14654" s="8">
        <v>2072432</v>
      </c>
      <c r="B14654" s="11">
        <v>44853</v>
      </c>
      <c r="C14654" s="13" t="s">
        <v>19245</v>
      </c>
      <c r="D14654" s="13" t="s">
        <v>19246</v>
      </c>
      <c r="E14654" s="8">
        <v>2000</v>
      </c>
      <c r="F14654" s="13" t="s">
        <v>70</v>
      </c>
      <c r="G14654" s="14">
        <v>44858</v>
      </c>
      <c r="H14654" s="13" t="s">
        <v>163</v>
      </c>
    </row>
    <row r="14655" spans="1:8" ht="14.4" x14ac:dyDescent="0.3">
      <c r="A14655" s="8">
        <v>2072433</v>
      </c>
      <c r="B14655" s="11">
        <v>44853</v>
      </c>
      <c r="C14655" s="13" t="s">
        <v>19247</v>
      </c>
      <c r="D14655" s="13" t="s">
        <v>19248</v>
      </c>
      <c r="E14655" s="8">
        <v>8000</v>
      </c>
      <c r="F14655" s="13" t="s">
        <v>70</v>
      </c>
      <c r="G14655" s="14">
        <v>44858</v>
      </c>
      <c r="H14655" s="13" t="s">
        <v>163</v>
      </c>
    </row>
    <row r="14656" spans="1:8" ht="14.4" x14ac:dyDescent="0.3">
      <c r="A14656" s="8">
        <v>2072434</v>
      </c>
      <c r="B14656" s="11">
        <v>44853</v>
      </c>
      <c r="C14656" s="13" t="s">
        <v>19249</v>
      </c>
      <c r="D14656" s="13" t="s">
        <v>164</v>
      </c>
      <c r="E14656" s="8">
        <v>4000</v>
      </c>
      <c r="F14656" s="13" t="s">
        <v>70</v>
      </c>
      <c r="G14656" s="14">
        <v>44859</v>
      </c>
      <c r="H14656" s="13" t="s">
        <v>163</v>
      </c>
    </row>
    <row r="14657" spans="1:8" ht="14.4" x14ac:dyDescent="0.3">
      <c r="A14657" s="8">
        <v>2072435</v>
      </c>
      <c r="B14657" s="11">
        <v>44853</v>
      </c>
      <c r="C14657" s="13" t="s">
        <v>19250</v>
      </c>
      <c r="D14657" s="13" t="s">
        <v>166</v>
      </c>
      <c r="E14657" s="8">
        <v>2000</v>
      </c>
      <c r="F14657" s="13" t="s">
        <v>70</v>
      </c>
      <c r="G14657" s="14">
        <v>44858</v>
      </c>
      <c r="H14657" s="13" t="s">
        <v>163</v>
      </c>
    </row>
    <row r="14658" spans="1:8" ht="14.4" x14ac:dyDescent="0.3">
      <c r="A14658" s="8">
        <v>2072436</v>
      </c>
      <c r="B14658" s="11">
        <v>44853</v>
      </c>
      <c r="C14658" s="13" t="s">
        <v>19251</v>
      </c>
      <c r="D14658" s="13" t="s">
        <v>19252</v>
      </c>
      <c r="E14658" s="8">
        <v>8000</v>
      </c>
      <c r="F14658" s="13" t="s">
        <v>70</v>
      </c>
      <c r="G14658" s="14">
        <v>44858</v>
      </c>
      <c r="H14658" s="13" t="s">
        <v>163</v>
      </c>
    </row>
    <row r="14659" spans="1:8" ht="14.4" x14ac:dyDescent="0.3">
      <c r="A14659" s="8">
        <v>2072437</v>
      </c>
      <c r="B14659" s="11">
        <v>44853</v>
      </c>
      <c r="C14659" s="13" t="s">
        <v>19253</v>
      </c>
      <c r="D14659" s="13" t="s">
        <v>164</v>
      </c>
      <c r="E14659" s="8">
        <v>5000</v>
      </c>
      <c r="F14659" s="13" t="s">
        <v>70</v>
      </c>
      <c r="G14659" s="14">
        <v>44858</v>
      </c>
      <c r="H14659" s="13" t="s">
        <v>163</v>
      </c>
    </row>
    <row r="14660" spans="1:8" ht="14.4" x14ac:dyDescent="0.3">
      <c r="A14660" s="8">
        <v>2072438</v>
      </c>
      <c r="B14660" s="11">
        <v>44853</v>
      </c>
      <c r="C14660" s="13" t="s">
        <v>19254</v>
      </c>
      <c r="D14660" s="13" t="s">
        <v>19255</v>
      </c>
      <c r="E14660" s="8">
        <v>2000</v>
      </c>
      <c r="F14660" s="13" t="s">
        <v>70</v>
      </c>
      <c r="G14660" s="14">
        <v>44859</v>
      </c>
      <c r="H14660" s="13" t="s">
        <v>163</v>
      </c>
    </row>
    <row r="14661" spans="1:8" ht="14.4" x14ac:dyDescent="0.3">
      <c r="A14661" s="8">
        <v>2072439</v>
      </c>
      <c r="B14661" s="11">
        <v>44853</v>
      </c>
      <c r="C14661" s="13" t="s">
        <v>19256</v>
      </c>
      <c r="D14661" s="13" t="s">
        <v>19257</v>
      </c>
      <c r="E14661" s="8">
        <v>2000</v>
      </c>
      <c r="F14661" s="13" t="s">
        <v>70</v>
      </c>
      <c r="G14661" s="14">
        <v>44858</v>
      </c>
      <c r="H14661" s="13" t="s">
        <v>163</v>
      </c>
    </row>
    <row r="14662" spans="1:8" ht="14.4" x14ac:dyDescent="0.3">
      <c r="A14662" s="8">
        <v>2072440</v>
      </c>
      <c r="B14662" s="11">
        <v>44853</v>
      </c>
      <c r="C14662" s="13" t="s">
        <v>19258</v>
      </c>
      <c r="D14662" s="13" t="s">
        <v>19259</v>
      </c>
      <c r="E14662" s="8">
        <v>2000</v>
      </c>
      <c r="F14662" s="13" t="s">
        <v>70</v>
      </c>
      <c r="G14662" s="14">
        <v>44858</v>
      </c>
      <c r="H14662" s="13" t="s">
        <v>163</v>
      </c>
    </row>
    <row r="14663" spans="1:8" ht="14.4" x14ac:dyDescent="0.3">
      <c r="A14663" s="8">
        <v>2072441</v>
      </c>
      <c r="B14663" s="11">
        <v>44853</v>
      </c>
      <c r="C14663" s="13" t="s">
        <v>19260</v>
      </c>
      <c r="D14663" s="13" t="s">
        <v>164</v>
      </c>
      <c r="E14663" s="8">
        <v>2000</v>
      </c>
      <c r="F14663" s="13" t="s">
        <v>70</v>
      </c>
      <c r="G14663" s="14">
        <v>44858</v>
      </c>
      <c r="H14663" s="13" t="s">
        <v>163</v>
      </c>
    </row>
    <row r="14664" spans="1:8" ht="14.4" x14ac:dyDescent="0.3">
      <c r="A14664" s="8">
        <v>2072442</v>
      </c>
      <c r="B14664" s="11">
        <v>44853</v>
      </c>
      <c r="C14664" s="13" t="s">
        <v>19261</v>
      </c>
      <c r="D14664" s="13" t="s">
        <v>13736</v>
      </c>
      <c r="E14664" s="8">
        <v>9899619.8399999999</v>
      </c>
      <c r="F14664" s="13" t="s">
        <v>70</v>
      </c>
      <c r="G14664" s="14">
        <v>44854</v>
      </c>
      <c r="H14664" s="13" t="s">
        <v>163</v>
      </c>
    </row>
    <row r="14665" spans="1:8" ht="14.4" x14ac:dyDescent="0.3">
      <c r="A14665" s="8">
        <v>2072444</v>
      </c>
      <c r="B14665" s="11">
        <v>44854</v>
      </c>
      <c r="C14665" s="13" t="s">
        <v>19262</v>
      </c>
      <c r="D14665" s="13" t="s">
        <v>19263</v>
      </c>
      <c r="E14665" s="8">
        <v>4000</v>
      </c>
      <c r="F14665" s="13" t="s">
        <v>70</v>
      </c>
      <c r="G14665" s="14">
        <v>44858</v>
      </c>
      <c r="H14665" s="13" t="s">
        <v>163</v>
      </c>
    </row>
    <row r="14666" spans="1:8" ht="14.4" x14ac:dyDescent="0.3">
      <c r="A14666" s="8">
        <v>2072445</v>
      </c>
      <c r="B14666" s="11">
        <v>44854</v>
      </c>
      <c r="C14666" s="13" t="s">
        <v>19264</v>
      </c>
      <c r="D14666" s="13" t="s">
        <v>19265</v>
      </c>
      <c r="E14666" s="8">
        <v>6000</v>
      </c>
      <c r="F14666" s="13" t="s">
        <v>70</v>
      </c>
      <c r="G14666" s="14">
        <v>44858</v>
      </c>
      <c r="H14666" s="13" t="s">
        <v>163</v>
      </c>
    </row>
    <row r="14667" spans="1:8" ht="14.4" x14ac:dyDescent="0.3">
      <c r="A14667" s="8">
        <v>2072446</v>
      </c>
      <c r="B14667" s="11">
        <v>44854</v>
      </c>
      <c r="C14667" s="13" t="s">
        <v>19266</v>
      </c>
      <c r="D14667" s="13" t="s">
        <v>19267</v>
      </c>
      <c r="E14667" s="8">
        <v>4000</v>
      </c>
      <c r="F14667" s="13" t="s">
        <v>70</v>
      </c>
      <c r="G14667" s="14">
        <v>44859</v>
      </c>
      <c r="H14667" s="13" t="s">
        <v>163</v>
      </c>
    </row>
    <row r="14668" spans="1:8" ht="14.4" x14ac:dyDescent="0.3">
      <c r="A14668" s="8">
        <v>2072447</v>
      </c>
      <c r="B14668" s="11">
        <v>44854</v>
      </c>
      <c r="C14668" s="13" t="s">
        <v>5256</v>
      </c>
      <c r="D14668" s="13" t="s">
        <v>19268</v>
      </c>
      <c r="E14668" s="8">
        <v>6000</v>
      </c>
      <c r="F14668" s="13" t="s">
        <v>70</v>
      </c>
      <c r="G14668" s="14">
        <v>44858</v>
      </c>
      <c r="H14668" s="13" t="s">
        <v>163</v>
      </c>
    </row>
    <row r="14669" spans="1:8" ht="14.4" x14ac:dyDescent="0.3">
      <c r="A14669" s="8">
        <v>2072448</v>
      </c>
      <c r="B14669" s="11">
        <v>44854</v>
      </c>
      <c r="C14669" s="13" t="s">
        <v>19269</v>
      </c>
      <c r="D14669" s="13" t="s">
        <v>19270</v>
      </c>
      <c r="E14669" s="8">
        <v>6000</v>
      </c>
      <c r="F14669" s="13" t="s">
        <v>70</v>
      </c>
      <c r="G14669" s="14">
        <v>44858</v>
      </c>
      <c r="H14669" s="13" t="s">
        <v>163</v>
      </c>
    </row>
    <row r="14670" spans="1:8" ht="14.4" x14ac:dyDescent="0.3">
      <c r="A14670" s="8">
        <v>2072449</v>
      </c>
      <c r="B14670" s="11">
        <v>44854</v>
      </c>
      <c r="C14670" s="13" t="s">
        <v>19271</v>
      </c>
      <c r="D14670" s="13" t="s">
        <v>16335</v>
      </c>
      <c r="E14670" s="8">
        <v>2000</v>
      </c>
      <c r="F14670" s="13" t="s">
        <v>70</v>
      </c>
      <c r="G14670" s="14">
        <v>44855</v>
      </c>
      <c r="H14670" s="13" t="s">
        <v>163</v>
      </c>
    </row>
    <row r="14671" spans="1:8" ht="14.4" x14ac:dyDescent="0.3">
      <c r="A14671" s="8">
        <v>2072450</v>
      </c>
      <c r="B14671" s="11">
        <v>44854</v>
      </c>
      <c r="C14671" s="13" t="s">
        <v>19272</v>
      </c>
      <c r="D14671" s="13" t="s">
        <v>166</v>
      </c>
      <c r="E14671" s="8">
        <v>4000</v>
      </c>
      <c r="F14671" s="13" t="s">
        <v>70</v>
      </c>
      <c r="G14671" s="14">
        <v>44855</v>
      </c>
      <c r="H14671" s="13" t="s">
        <v>163</v>
      </c>
    </row>
    <row r="14672" spans="1:8" ht="14.4" x14ac:dyDescent="0.3">
      <c r="A14672" s="8">
        <v>2072451</v>
      </c>
      <c r="B14672" s="11">
        <v>44854</v>
      </c>
      <c r="C14672" s="13" t="s">
        <v>19273</v>
      </c>
      <c r="D14672" s="13" t="s">
        <v>13603</v>
      </c>
      <c r="E14672" s="8">
        <v>4000</v>
      </c>
      <c r="F14672" s="13" t="s">
        <v>70</v>
      </c>
      <c r="G14672" s="14">
        <v>44858</v>
      </c>
      <c r="H14672" s="13" t="s">
        <v>163</v>
      </c>
    </row>
    <row r="14673" spans="1:8" ht="14.4" x14ac:dyDescent="0.3">
      <c r="A14673" s="8">
        <v>2072452</v>
      </c>
      <c r="B14673" s="11">
        <v>44854</v>
      </c>
      <c r="C14673" s="13" t="s">
        <v>19274</v>
      </c>
      <c r="D14673" s="13" t="s">
        <v>13603</v>
      </c>
      <c r="E14673" s="8">
        <v>4000</v>
      </c>
      <c r="F14673" s="13" t="s">
        <v>70</v>
      </c>
      <c r="G14673" s="14">
        <v>44858</v>
      </c>
      <c r="H14673" s="13" t="s">
        <v>163</v>
      </c>
    </row>
    <row r="14674" spans="1:8" ht="14.4" x14ac:dyDescent="0.3">
      <c r="A14674" s="8">
        <v>2072453</v>
      </c>
      <c r="B14674" s="11">
        <v>44854</v>
      </c>
      <c r="C14674" s="13" t="s">
        <v>19275</v>
      </c>
      <c r="D14674" s="13" t="s">
        <v>13597</v>
      </c>
      <c r="E14674" s="8">
        <v>6000</v>
      </c>
      <c r="F14674" s="13" t="s">
        <v>70</v>
      </c>
      <c r="G14674" s="14">
        <v>44855</v>
      </c>
      <c r="H14674" s="13" t="s">
        <v>163</v>
      </c>
    </row>
    <row r="14675" spans="1:8" ht="14.4" x14ac:dyDescent="0.3">
      <c r="A14675" s="8">
        <v>2072454</v>
      </c>
      <c r="B14675" s="11">
        <v>44854</v>
      </c>
      <c r="C14675" s="13" t="s">
        <v>19276</v>
      </c>
      <c r="D14675" s="13" t="s">
        <v>19277</v>
      </c>
      <c r="E14675" s="8">
        <v>4000</v>
      </c>
      <c r="F14675" s="13" t="s">
        <v>70</v>
      </c>
      <c r="G14675" s="14">
        <v>44858</v>
      </c>
      <c r="H14675" s="13" t="s">
        <v>163</v>
      </c>
    </row>
    <row r="14676" spans="1:8" ht="14.4" x14ac:dyDescent="0.3">
      <c r="A14676" s="8">
        <v>2072455</v>
      </c>
      <c r="B14676" s="11">
        <v>44854</v>
      </c>
      <c r="C14676" s="13" t="s">
        <v>19278</v>
      </c>
      <c r="D14676" s="13" t="s">
        <v>19279</v>
      </c>
      <c r="E14676" s="8">
        <v>20000</v>
      </c>
      <c r="F14676" s="13" t="s">
        <v>70</v>
      </c>
      <c r="G14676" s="14">
        <v>44858</v>
      </c>
      <c r="H14676" s="13" t="s">
        <v>163</v>
      </c>
    </row>
    <row r="14677" spans="1:8" ht="14.4" x14ac:dyDescent="0.3">
      <c r="A14677" s="8">
        <v>2072456</v>
      </c>
      <c r="B14677" s="11">
        <v>44854</v>
      </c>
      <c r="C14677" s="13" t="s">
        <v>5410</v>
      </c>
      <c r="D14677" s="13" t="s">
        <v>19280</v>
      </c>
      <c r="E14677" s="8">
        <v>2000</v>
      </c>
      <c r="F14677" s="13" t="s">
        <v>70</v>
      </c>
      <c r="G14677" s="14">
        <v>44855</v>
      </c>
      <c r="H14677" s="13" t="s">
        <v>163</v>
      </c>
    </row>
    <row r="14678" spans="1:8" ht="14.4" x14ac:dyDescent="0.3">
      <c r="A14678" s="8">
        <v>2072457</v>
      </c>
      <c r="B14678" s="11">
        <v>44854</v>
      </c>
      <c r="C14678" s="13" t="s">
        <v>19281</v>
      </c>
      <c r="D14678" s="13" t="s">
        <v>19282</v>
      </c>
      <c r="E14678" s="8">
        <v>4000</v>
      </c>
      <c r="F14678" s="13" t="s">
        <v>70</v>
      </c>
      <c r="G14678" s="14">
        <v>44858</v>
      </c>
      <c r="H14678" s="13" t="s">
        <v>163</v>
      </c>
    </row>
    <row r="14679" spans="1:8" ht="14.4" x14ac:dyDescent="0.3">
      <c r="A14679" s="8">
        <v>2072458</v>
      </c>
      <c r="B14679" s="11">
        <v>44854</v>
      </c>
      <c r="C14679" s="13" t="s">
        <v>19283</v>
      </c>
      <c r="D14679" s="13" t="s">
        <v>19284</v>
      </c>
      <c r="E14679" s="8">
        <v>6000</v>
      </c>
      <c r="F14679" s="13" t="s">
        <v>70</v>
      </c>
      <c r="G14679" s="14">
        <v>44858</v>
      </c>
      <c r="H14679" s="13" t="s">
        <v>163</v>
      </c>
    </row>
    <row r="14680" spans="1:8" ht="14.4" x14ac:dyDescent="0.3">
      <c r="A14680" s="8">
        <v>2072459</v>
      </c>
      <c r="B14680" s="11">
        <v>44854</v>
      </c>
      <c r="C14680" s="13" t="s">
        <v>19285</v>
      </c>
      <c r="D14680" s="13" t="s">
        <v>19286</v>
      </c>
      <c r="E14680" s="8">
        <v>8000</v>
      </c>
      <c r="F14680" s="13" t="s">
        <v>70</v>
      </c>
      <c r="G14680" s="14">
        <v>44858</v>
      </c>
      <c r="H14680" s="13" t="s">
        <v>163</v>
      </c>
    </row>
    <row r="14681" spans="1:8" ht="14.4" x14ac:dyDescent="0.3">
      <c r="A14681" s="8">
        <v>2072460</v>
      </c>
      <c r="B14681" s="11">
        <v>44854</v>
      </c>
      <c r="C14681" s="13" t="s">
        <v>19287</v>
      </c>
      <c r="D14681" s="13" t="s">
        <v>16335</v>
      </c>
      <c r="E14681" s="8">
        <v>2000</v>
      </c>
      <c r="F14681" s="13" t="s">
        <v>70</v>
      </c>
      <c r="G14681" s="14">
        <v>44858</v>
      </c>
      <c r="H14681" s="13" t="s">
        <v>163</v>
      </c>
    </row>
    <row r="14682" spans="1:8" ht="14.4" x14ac:dyDescent="0.3">
      <c r="A14682" s="8">
        <v>2072461</v>
      </c>
      <c r="B14682" s="11">
        <v>44854</v>
      </c>
      <c r="C14682" s="13" t="s">
        <v>19288</v>
      </c>
      <c r="D14682" s="13" t="s">
        <v>14318</v>
      </c>
      <c r="E14682" s="8">
        <v>2000</v>
      </c>
      <c r="F14682" s="13" t="s">
        <v>70</v>
      </c>
      <c r="G14682" s="14">
        <v>44858</v>
      </c>
      <c r="H14682" s="13" t="s">
        <v>163</v>
      </c>
    </row>
    <row r="14683" spans="1:8" ht="14.4" x14ac:dyDescent="0.3">
      <c r="A14683" s="8">
        <v>2072462</v>
      </c>
      <c r="B14683" s="11">
        <v>44854</v>
      </c>
      <c r="C14683" s="13" t="s">
        <v>19289</v>
      </c>
      <c r="D14683" s="13" t="s">
        <v>19290</v>
      </c>
      <c r="E14683" s="8">
        <v>2000</v>
      </c>
      <c r="F14683" s="13" t="s">
        <v>70</v>
      </c>
      <c r="G14683" s="14">
        <v>44858</v>
      </c>
      <c r="H14683" s="13" t="s">
        <v>163</v>
      </c>
    </row>
    <row r="14684" spans="1:8" ht="14.4" x14ac:dyDescent="0.3">
      <c r="A14684" s="8">
        <v>2072463</v>
      </c>
      <c r="B14684" s="11">
        <v>44854</v>
      </c>
      <c r="C14684" s="13" t="s">
        <v>19291</v>
      </c>
      <c r="D14684" s="13" t="s">
        <v>164</v>
      </c>
      <c r="E14684" s="8">
        <v>4000</v>
      </c>
      <c r="F14684" s="13" t="s">
        <v>70</v>
      </c>
      <c r="G14684" s="14">
        <v>44867</v>
      </c>
      <c r="H14684" s="13" t="s">
        <v>163</v>
      </c>
    </row>
    <row r="14685" spans="1:8" ht="14.4" x14ac:dyDescent="0.3">
      <c r="A14685" s="8">
        <v>2072464</v>
      </c>
      <c r="B14685" s="11">
        <v>44854</v>
      </c>
      <c r="C14685" s="13" t="s">
        <v>6974</v>
      </c>
      <c r="D14685" s="13" t="s">
        <v>19292</v>
      </c>
      <c r="E14685" s="8">
        <v>8000</v>
      </c>
      <c r="F14685" s="13" t="s">
        <v>70</v>
      </c>
      <c r="G14685" s="14">
        <v>44862</v>
      </c>
      <c r="H14685" s="13" t="s">
        <v>163</v>
      </c>
    </row>
    <row r="14686" spans="1:8" ht="14.4" x14ac:dyDescent="0.3">
      <c r="A14686" s="8">
        <v>2072465</v>
      </c>
      <c r="B14686" s="11">
        <v>44854</v>
      </c>
      <c r="C14686" s="13" t="s">
        <v>6974</v>
      </c>
      <c r="D14686" s="13" t="s">
        <v>19293</v>
      </c>
      <c r="E14686" s="8">
        <v>8000</v>
      </c>
      <c r="F14686" s="13" t="s">
        <v>70</v>
      </c>
      <c r="G14686" s="14">
        <v>44862</v>
      </c>
      <c r="H14686" s="13" t="s">
        <v>163</v>
      </c>
    </row>
    <row r="14687" spans="1:8" ht="14.4" x14ac:dyDescent="0.3">
      <c r="A14687" s="8">
        <v>2072466</v>
      </c>
      <c r="B14687" s="11">
        <v>44854</v>
      </c>
      <c r="C14687" s="13" t="s">
        <v>19294</v>
      </c>
      <c r="D14687" s="13"/>
      <c r="E14687" s="8">
        <v>10000</v>
      </c>
      <c r="F14687" s="13" t="s">
        <v>70</v>
      </c>
      <c r="G14687" s="14">
        <v>44859</v>
      </c>
      <c r="H14687" s="13" t="s">
        <v>163</v>
      </c>
    </row>
    <row r="14688" spans="1:8" ht="14.4" x14ac:dyDescent="0.3">
      <c r="A14688" s="8">
        <v>2072467</v>
      </c>
      <c r="B14688" s="11">
        <v>44854</v>
      </c>
      <c r="C14688" s="13" t="s">
        <v>19295</v>
      </c>
      <c r="D14688" s="13" t="s">
        <v>19296</v>
      </c>
      <c r="E14688" s="8">
        <v>6000</v>
      </c>
      <c r="F14688" s="13" t="s">
        <v>70</v>
      </c>
      <c r="G14688" s="14">
        <v>44858</v>
      </c>
      <c r="H14688" s="13" t="s">
        <v>163</v>
      </c>
    </row>
    <row r="14689" spans="1:8" ht="14.4" x14ac:dyDescent="0.3">
      <c r="A14689" s="8">
        <v>2072468</v>
      </c>
      <c r="B14689" s="11">
        <v>44854</v>
      </c>
      <c r="C14689" s="13" t="s">
        <v>19297</v>
      </c>
      <c r="D14689" s="13" t="s">
        <v>19298</v>
      </c>
      <c r="E14689" s="8">
        <v>2000</v>
      </c>
      <c r="F14689" s="13" t="s">
        <v>70</v>
      </c>
      <c r="G14689" s="14">
        <v>44858</v>
      </c>
      <c r="H14689" s="13" t="s">
        <v>163</v>
      </c>
    </row>
    <row r="14690" spans="1:8" ht="14.4" x14ac:dyDescent="0.3">
      <c r="A14690" s="8">
        <v>2072469</v>
      </c>
      <c r="B14690" s="11">
        <v>44854</v>
      </c>
      <c r="C14690" s="13" t="s">
        <v>19299</v>
      </c>
      <c r="D14690" s="13" t="s">
        <v>19300</v>
      </c>
      <c r="E14690" s="8">
        <v>6000</v>
      </c>
      <c r="F14690" s="13" t="s">
        <v>70</v>
      </c>
      <c r="G14690" s="14">
        <v>44858</v>
      </c>
      <c r="H14690" s="13" t="s">
        <v>163</v>
      </c>
    </row>
    <row r="14691" spans="1:8" ht="14.4" x14ac:dyDescent="0.3">
      <c r="A14691" s="8">
        <v>2072470</v>
      </c>
      <c r="B14691" s="11">
        <v>44854</v>
      </c>
      <c r="C14691" s="13" t="s">
        <v>19301</v>
      </c>
      <c r="D14691" s="13" t="s">
        <v>19302</v>
      </c>
      <c r="E14691" s="8">
        <v>14000</v>
      </c>
      <c r="F14691" s="13" t="s">
        <v>70</v>
      </c>
      <c r="G14691" s="14">
        <v>44858</v>
      </c>
      <c r="H14691" s="13" t="s">
        <v>163</v>
      </c>
    </row>
    <row r="14692" spans="1:8" ht="14.4" x14ac:dyDescent="0.3">
      <c r="A14692" s="8">
        <v>2072471</v>
      </c>
      <c r="B14692" s="11">
        <v>44854</v>
      </c>
      <c r="C14692" s="13" t="s">
        <v>19303</v>
      </c>
      <c r="D14692" s="13" t="s">
        <v>19304</v>
      </c>
      <c r="E14692" s="8">
        <v>4000</v>
      </c>
      <c r="F14692" s="13" t="s">
        <v>70</v>
      </c>
      <c r="G14692" s="14">
        <v>44858</v>
      </c>
      <c r="H14692" s="13" t="s">
        <v>163</v>
      </c>
    </row>
    <row r="14693" spans="1:8" ht="14.4" x14ac:dyDescent="0.3">
      <c r="A14693" s="8">
        <v>2072472</v>
      </c>
      <c r="B14693" s="11">
        <v>44854</v>
      </c>
      <c r="C14693" s="13" t="s">
        <v>19305</v>
      </c>
      <c r="D14693" s="13" t="s">
        <v>19306</v>
      </c>
      <c r="E14693" s="8">
        <v>6000</v>
      </c>
      <c r="F14693" s="13" t="s">
        <v>70</v>
      </c>
      <c r="G14693" s="14">
        <v>44858</v>
      </c>
      <c r="H14693" s="13" t="s">
        <v>163</v>
      </c>
    </row>
    <row r="14694" spans="1:8" ht="14.4" x14ac:dyDescent="0.3">
      <c r="A14694" s="8">
        <v>2072473</v>
      </c>
      <c r="B14694" s="11">
        <v>44854</v>
      </c>
      <c r="C14694" s="13" t="s">
        <v>19307</v>
      </c>
      <c r="D14694" s="13" t="s">
        <v>19308</v>
      </c>
      <c r="E14694" s="8">
        <v>6000</v>
      </c>
      <c r="F14694" s="13" t="s">
        <v>70</v>
      </c>
      <c r="G14694" s="14">
        <v>44858</v>
      </c>
      <c r="H14694" s="13" t="s">
        <v>163</v>
      </c>
    </row>
    <row r="14695" spans="1:8" ht="14.4" x14ac:dyDescent="0.3">
      <c r="A14695" s="8">
        <v>2072474</v>
      </c>
      <c r="B14695" s="11">
        <v>44854</v>
      </c>
      <c r="C14695" s="13" t="s">
        <v>19309</v>
      </c>
      <c r="D14695" s="13" t="s">
        <v>19310</v>
      </c>
      <c r="E14695" s="8">
        <v>2000</v>
      </c>
      <c r="F14695" s="13" t="s">
        <v>70</v>
      </c>
      <c r="G14695" s="14">
        <v>44858</v>
      </c>
      <c r="H14695" s="13" t="s">
        <v>163</v>
      </c>
    </row>
    <row r="14696" spans="1:8" ht="14.4" x14ac:dyDescent="0.3">
      <c r="A14696" s="8">
        <v>2072475</v>
      </c>
      <c r="B14696" s="11">
        <v>44854</v>
      </c>
      <c r="C14696" s="13" t="s">
        <v>19311</v>
      </c>
      <c r="D14696" s="13" t="s">
        <v>19312</v>
      </c>
      <c r="E14696" s="8">
        <v>2000</v>
      </c>
      <c r="F14696" s="13" t="s">
        <v>70</v>
      </c>
      <c r="G14696" s="14">
        <v>44858</v>
      </c>
      <c r="H14696" s="13" t="s">
        <v>163</v>
      </c>
    </row>
    <row r="14697" spans="1:8" ht="14.4" x14ac:dyDescent="0.3">
      <c r="A14697" s="8">
        <v>2072476</v>
      </c>
      <c r="B14697" s="11">
        <v>44854</v>
      </c>
      <c r="C14697" s="13" t="s">
        <v>19313</v>
      </c>
      <c r="D14697" s="13" t="s">
        <v>16335</v>
      </c>
      <c r="E14697" s="8">
        <v>4000</v>
      </c>
      <c r="F14697" s="13" t="s">
        <v>70</v>
      </c>
      <c r="G14697" s="14">
        <v>44858</v>
      </c>
      <c r="H14697" s="13" t="s">
        <v>163</v>
      </c>
    </row>
    <row r="14698" spans="1:8" ht="14.4" x14ac:dyDescent="0.3">
      <c r="A14698" s="8">
        <v>2072477</v>
      </c>
      <c r="B14698" s="11">
        <v>44854</v>
      </c>
      <c r="C14698" s="13" t="s">
        <v>19314</v>
      </c>
      <c r="D14698" s="13" t="s">
        <v>19315</v>
      </c>
      <c r="E14698" s="8">
        <v>6000</v>
      </c>
      <c r="F14698" s="13" t="s">
        <v>70</v>
      </c>
      <c r="G14698" s="14">
        <v>44855</v>
      </c>
      <c r="H14698" s="13" t="s">
        <v>163</v>
      </c>
    </row>
    <row r="14699" spans="1:8" ht="14.4" x14ac:dyDescent="0.3">
      <c r="A14699" s="8">
        <v>2072478</v>
      </c>
      <c r="B14699" s="11">
        <v>44854</v>
      </c>
      <c r="C14699" s="13" t="s">
        <v>19316</v>
      </c>
      <c r="D14699" s="13" t="s">
        <v>16335</v>
      </c>
      <c r="E14699" s="8">
        <v>3000</v>
      </c>
      <c r="F14699" s="13" t="s">
        <v>70</v>
      </c>
      <c r="G14699" s="14">
        <v>44858</v>
      </c>
      <c r="H14699" s="13" t="s">
        <v>163</v>
      </c>
    </row>
    <row r="14700" spans="1:8" ht="14.4" x14ac:dyDescent="0.3">
      <c r="A14700" s="8">
        <v>2072479</v>
      </c>
      <c r="B14700" s="11">
        <v>44854</v>
      </c>
      <c r="C14700" s="13" t="s">
        <v>19317</v>
      </c>
      <c r="D14700" s="13" t="s">
        <v>19318</v>
      </c>
      <c r="E14700" s="8">
        <v>2000</v>
      </c>
      <c r="F14700" s="13" t="s">
        <v>70</v>
      </c>
      <c r="G14700" s="14">
        <v>44858</v>
      </c>
      <c r="H14700" s="13" t="s">
        <v>163</v>
      </c>
    </row>
    <row r="14701" spans="1:8" ht="14.4" x14ac:dyDescent="0.3">
      <c r="A14701" s="8">
        <v>2072480</v>
      </c>
      <c r="B14701" s="11">
        <v>44854</v>
      </c>
      <c r="C14701" s="13" t="s">
        <v>19319</v>
      </c>
      <c r="D14701" s="13" t="s">
        <v>19320</v>
      </c>
      <c r="E14701" s="8">
        <v>8000</v>
      </c>
      <c r="F14701" s="13" t="s">
        <v>70</v>
      </c>
      <c r="G14701" s="14">
        <v>44858</v>
      </c>
      <c r="H14701" s="13" t="s">
        <v>163</v>
      </c>
    </row>
    <row r="14702" spans="1:8" ht="14.4" x14ac:dyDescent="0.3">
      <c r="A14702" s="8">
        <v>2072481</v>
      </c>
      <c r="B14702" s="11">
        <v>44854</v>
      </c>
      <c r="C14702" s="13" t="s">
        <v>19321</v>
      </c>
      <c r="D14702" s="13" t="s">
        <v>19322</v>
      </c>
      <c r="E14702" s="8">
        <v>2000</v>
      </c>
      <c r="F14702" s="13" t="s">
        <v>70</v>
      </c>
      <c r="G14702" s="14">
        <v>44861</v>
      </c>
      <c r="H14702" s="13" t="s">
        <v>163</v>
      </c>
    </row>
    <row r="14703" spans="1:8" ht="14.4" x14ac:dyDescent="0.3">
      <c r="A14703" s="8">
        <v>2072482</v>
      </c>
      <c r="B14703" s="11">
        <v>44854</v>
      </c>
      <c r="C14703" s="13" t="s">
        <v>19323</v>
      </c>
      <c r="D14703" s="13" t="s">
        <v>19324</v>
      </c>
      <c r="E14703" s="8">
        <v>2000</v>
      </c>
      <c r="F14703" s="13" t="s">
        <v>70</v>
      </c>
      <c r="G14703" s="14">
        <v>44858</v>
      </c>
      <c r="H14703" s="13" t="s">
        <v>163</v>
      </c>
    </row>
    <row r="14704" spans="1:8" ht="14.4" x14ac:dyDescent="0.3">
      <c r="A14704" s="8">
        <v>2072483</v>
      </c>
      <c r="B14704" s="11">
        <v>44854</v>
      </c>
      <c r="C14704" s="13" t="s">
        <v>19325</v>
      </c>
      <c r="D14704" s="13" t="s">
        <v>13603</v>
      </c>
      <c r="E14704" s="8">
        <v>12000</v>
      </c>
      <c r="F14704" s="13" t="s">
        <v>70</v>
      </c>
      <c r="G14704" s="14">
        <v>44858</v>
      </c>
      <c r="H14704" s="13" t="s">
        <v>163</v>
      </c>
    </row>
    <row r="14705" spans="1:8" ht="14.4" x14ac:dyDescent="0.3">
      <c r="A14705" s="8">
        <v>2072484</v>
      </c>
      <c r="B14705" s="11">
        <v>44854</v>
      </c>
      <c r="C14705" s="13" t="s">
        <v>19326</v>
      </c>
      <c r="D14705" s="13" t="s">
        <v>19327</v>
      </c>
      <c r="E14705" s="8">
        <v>2000</v>
      </c>
      <c r="F14705" s="13" t="s">
        <v>70</v>
      </c>
      <c r="G14705" s="14">
        <v>44858</v>
      </c>
      <c r="H14705" s="13" t="s">
        <v>163</v>
      </c>
    </row>
    <row r="14706" spans="1:8" ht="14.4" x14ac:dyDescent="0.3">
      <c r="A14706" s="8">
        <v>2072485</v>
      </c>
      <c r="B14706" s="11">
        <v>44854</v>
      </c>
      <c r="C14706" s="13" t="s">
        <v>19328</v>
      </c>
      <c r="D14706" s="13" t="s">
        <v>19329</v>
      </c>
      <c r="E14706" s="8">
        <v>2000</v>
      </c>
      <c r="F14706" s="13" t="s">
        <v>70</v>
      </c>
      <c r="G14706" s="14">
        <v>44858</v>
      </c>
      <c r="H14706" s="13" t="s">
        <v>163</v>
      </c>
    </row>
    <row r="14707" spans="1:8" ht="14.4" x14ac:dyDescent="0.3">
      <c r="A14707" s="8">
        <v>2072486</v>
      </c>
      <c r="B14707" s="11">
        <v>44854</v>
      </c>
      <c r="C14707" s="13" t="s">
        <v>19330</v>
      </c>
      <c r="D14707" s="13" t="s">
        <v>19331</v>
      </c>
      <c r="E14707" s="8">
        <v>3000</v>
      </c>
      <c r="F14707" s="13" t="s">
        <v>70</v>
      </c>
      <c r="G14707" s="14">
        <v>44858</v>
      </c>
      <c r="H14707" s="13" t="s">
        <v>163</v>
      </c>
    </row>
    <row r="14708" spans="1:8" ht="14.4" x14ac:dyDescent="0.3">
      <c r="A14708" s="8">
        <v>2072487</v>
      </c>
      <c r="B14708" s="11">
        <v>44854</v>
      </c>
      <c r="C14708" s="13" t="s">
        <v>19332</v>
      </c>
      <c r="D14708" s="13" t="s">
        <v>19333</v>
      </c>
      <c r="E14708" s="8">
        <v>4000</v>
      </c>
      <c r="F14708" s="13" t="s">
        <v>70</v>
      </c>
      <c r="G14708" s="14">
        <v>44858</v>
      </c>
      <c r="H14708" s="13" t="s">
        <v>163</v>
      </c>
    </row>
    <row r="14709" spans="1:8" ht="14.4" x14ac:dyDescent="0.3">
      <c r="A14709" s="8">
        <v>2072488</v>
      </c>
      <c r="B14709" s="11">
        <v>44854</v>
      </c>
      <c r="C14709" s="13" t="s">
        <v>19334</v>
      </c>
      <c r="D14709" s="13" t="s">
        <v>19335</v>
      </c>
      <c r="E14709" s="8">
        <v>4000</v>
      </c>
      <c r="F14709" s="13" t="s">
        <v>70</v>
      </c>
      <c r="G14709" s="14">
        <v>44858</v>
      </c>
      <c r="H14709" s="13" t="s">
        <v>163</v>
      </c>
    </row>
    <row r="14710" spans="1:8" ht="14.4" x14ac:dyDescent="0.3">
      <c r="A14710" s="8">
        <v>2072489</v>
      </c>
      <c r="B14710" s="11">
        <v>44854</v>
      </c>
      <c r="C14710" s="13" t="s">
        <v>19336</v>
      </c>
      <c r="D14710" s="13" t="s">
        <v>19337</v>
      </c>
      <c r="E14710" s="8">
        <v>6000</v>
      </c>
      <c r="F14710" s="13" t="s">
        <v>70</v>
      </c>
      <c r="G14710" s="14">
        <v>44858</v>
      </c>
      <c r="H14710" s="13" t="s">
        <v>163</v>
      </c>
    </row>
    <row r="14711" spans="1:8" ht="14.4" x14ac:dyDescent="0.3">
      <c r="A14711" s="8">
        <v>2072490</v>
      </c>
      <c r="B14711" s="11">
        <v>44854</v>
      </c>
      <c r="C14711" s="13" t="s">
        <v>19338</v>
      </c>
      <c r="D14711" s="13" t="s">
        <v>19339</v>
      </c>
      <c r="E14711" s="8">
        <v>4000</v>
      </c>
      <c r="F14711" s="13" t="s">
        <v>70</v>
      </c>
      <c r="G14711" s="14">
        <v>44858</v>
      </c>
      <c r="H14711" s="13" t="s">
        <v>163</v>
      </c>
    </row>
    <row r="14712" spans="1:8" ht="14.4" x14ac:dyDescent="0.3">
      <c r="A14712" s="8">
        <v>2072491</v>
      </c>
      <c r="B14712" s="11">
        <v>44854</v>
      </c>
      <c r="C14712" s="13" t="s">
        <v>19340</v>
      </c>
      <c r="D14712" s="13" t="s">
        <v>19341</v>
      </c>
      <c r="E14712" s="8">
        <v>6000</v>
      </c>
      <c r="F14712" s="13" t="s">
        <v>70</v>
      </c>
      <c r="G14712" s="14">
        <v>44858</v>
      </c>
      <c r="H14712" s="13" t="s">
        <v>163</v>
      </c>
    </row>
    <row r="14713" spans="1:8" ht="14.4" x14ac:dyDescent="0.3">
      <c r="A14713" s="8">
        <v>2072492</v>
      </c>
      <c r="B14713" s="11">
        <v>44854</v>
      </c>
      <c r="C14713" s="13" t="s">
        <v>19342</v>
      </c>
      <c r="D14713" s="13" t="s">
        <v>19343</v>
      </c>
      <c r="E14713" s="8">
        <v>2000</v>
      </c>
      <c r="F14713" s="13" t="s">
        <v>70</v>
      </c>
      <c r="G14713" s="14">
        <v>44858</v>
      </c>
      <c r="H14713" s="13" t="s">
        <v>163</v>
      </c>
    </row>
    <row r="14714" spans="1:8" ht="14.4" x14ac:dyDescent="0.3">
      <c r="A14714" s="8">
        <v>2072493</v>
      </c>
      <c r="B14714" s="11">
        <v>44854</v>
      </c>
      <c r="C14714" s="13" t="s">
        <v>19344</v>
      </c>
      <c r="D14714" s="13" t="s">
        <v>19345</v>
      </c>
      <c r="E14714" s="8">
        <v>4000</v>
      </c>
      <c r="F14714" s="13" t="s">
        <v>70</v>
      </c>
      <c r="G14714" s="14">
        <v>44858</v>
      </c>
      <c r="H14714" s="13" t="s">
        <v>163</v>
      </c>
    </row>
    <row r="14715" spans="1:8" ht="14.4" x14ac:dyDescent="0.3">
      <c r="A14715" s="8">
        <v>2072494</v>
      </c>
      <c r="B14715" s="11">
        <v>44854</v>
      </c>
      <c r="C14715" s="13" t="s">
        <v>19346</v>
      </c>
      <c r="D14715" s="13" t="s">
        <v>19347</v>
      </c>
      <c r="E14715" s="8">
        <v>4000</v>
      </c>
      <c r="F14715" s="13" t="s">
        <v>70</v>
      </c>
      <c r="G14715" s="14">
        <v>44858</v>
      </c>
      <c r="H14715" s="13" t="s">
        <v>163</v>
      </c>
    </row>
    <row r="14716" spans="1:8" ht="14.4" x14ac:dyDescent="0.3">
      <c r="A14716" s="8">
        <v>2072495</v>
      </c>
      <c r="B14716" s="11">
        <v>44854</v>
      </c>
      <c r="C14716" s="13" t="s">
        <v>19348</v>
      </c>
      <c r="D14716" s="13" t="s">
        <v>19349</v>
      </c>
      <c r="E14716" s="8">
        <v>4000</v>
      </c>
      <c r="F14716" s="13" t="s">
        <v>70</v>
      </c>
      <c r="G14716" s="14">
        <v>44858</v>
      </c>
      <c r="H14716" s="13" t="s">
        <v>163</v>
      </c>
    </row>
    <row r="14717" spans="1:8" ht="14.4" x14ac:dyDescent="0.3">
      <c r="A14717" s="8">
        <v>2072496</v>
      </c>
      <c r="B14717" s="11">
        <v>44854</v>
      </c>
      <c r="C14717" s="13" t="s">
        <v>19350</v>
      </c>
      <c r="D14717" s="13" t="s">
        <v>19351</v>
      </c>
      <c r="E14717" s="8">
        <v>2000</v>
      </c>
      <c r="F14717" s="13" t="s">
        <v>70</v>
      </c>
      <c r="G14717" s="14">
        <v>44859</v>
      </c>
      <c r="H14717" s="13" t="s">
        <v>163</v>
      </c>
    </row>
    <row r="14718" spans="1:8" ht="14.4" x14ac:dyDescent="0.3">
      <c r="A14718" s="8">
        <v>2072497</v>
      </c>
      <c r="B14718" s="11">
        <v>44854</v>
      </c>
      <c r="C14718" s="13" t="s">
        <v>19352</v>
      </c>
      <c r="D14718" s="13" t="s">
        <v>19353</v>
      </c>
      <c r="E14718" s="8">
        <v>2000</v>
      </c>
      <c r="F14718" s="13" t="s">
        <v>70</v>
      </c>
      <c r="G14718" s="14">
        <v>44858</v>
      </c>
      <c r="H14718" s="13" t="s">
        <v>163</v>
      </c>
    </row>
    <row r="14719" spans="1:8" ht="14.4" x14ac:dyDescent="0.3">
      <c r="A14719" s="8">
        <v>2072498</v>
      </c>
      <c r="B14719" s="11">
        <v>44855</v>
      </c>
      <c r="C14719" s="13" t="s">
        <v>19354</v>
      </c>
      <c r="D14719" s="13" t="s">
        <v>19355</v>
      </c>
      <c r="E14719" s="8">
        <v>20000</v>
      </c>
      <c r="F14719" s="13" t="s">
        <v>70</v>
      </c>
      <c r="G14719" s="14">
        <v>44859</v>
      </c>
      <c r="H14719" s="13" t="s">
        <v>163</v>
      </c>
    </row>
    <row r="14720" spans="1:8" ht="14.4" x14ac:dyDescent="0.3">
      <c r="A14720" s="8">
        <v>2072499</v>
      </c>
      <c r="B14720" s="11">
        <v>44855</v>
      </c>
      <c r="C14720" s="13" t="s">
        <v>19356</v>
      </c>
      <c r="D14720" s="13" t="s">
        <v>16335</v>
      </c>
      <c r="E14720" s="8">
        <v>2000</v>
      </c>
      <c r="F14720" s="13" t="s">
        <v>70</v>
      </c>
      <c r="G14720" s="14">
        <v>44861</v>
      </c>
      <c r="H14720" s="13" t="s">
        <v>163</v>
      </c>
    </row>
    <row r="14721" spans="1:8" ht="14.4" x14ac:dyDescent="0.3">
      <c r="A14721" s="8">
        <v>2072500</v>
      </c>
      <c r="B14721" s="11">
        <v>44855</v>
      </c>
      <c r="C14721" s="13" t="s">
        <v>19357</v>
      </c>
      <c r="D14721" s="13" t="s">
        <v>19358</v>
      </c>
      <c r="E14721" s="8">
        <v>6000</v>
      </c>
      <c r="F14721" s="13" t="s">
        <v>70</v>
      </c>
      <c r="G14721" s="14">
        <v>44859</v>
      </c>
      <c r="H14721" s="13" t="s">
        <v>163</v>
      </c>
    </row>
    <row r="14722" spans="1:8" ht="14.4" x14ac:dyDescent="0.3">
      <c r="A14722" s="8">
        <v>2072501</v>
      </c>
      <c r="B14722" s="11">
        <v>44855</v>
      </c>
      <c r="C14722" s="13" t="s">
        <v>19359</v>
      </c>
      <c r="D14722" s="13" t="s">
        <v>19360</v>
      </c>
      <c r="E14722" s="8">
        <v>2000</v>
      </c>
      <c r="F14722" s="13" t="s">
        <v>70</v>
      </c>
      <c r="G14722" s="14">
        <v>44859</v>
      </c>
      <c r="H14722" s="13" t="s">
        <v>163</v>
      </c>
    </row>
    <row r="14723" spans="1:8" ht="14.4" x14ac:dyDescent="0.3">
      <c r="A14723" s="8">
        <v>2072502</v>
      </c>
      <c r="B14723" s="11">
        <v>44855</v>
      </c>
      <c r="C14723" s="13" t="s">
        <v>19361</v>
      </c>
      <c r="D14723" s="13" t="s">
        <v>19362</v>
      </c>
      <c r="E14723" s="8">
        <v>2000</v>
      </c>
      <c r="F14723" s="13" t="s">
        <v>70</v>
      </c>
      <c r="G14723" s="14">
        <v>44859</v>
      </c>
      <c r="H14723" s="13" t="s">
        <v>163</v>
      </c>
    </row>
    <row r="14724" spans="1:8" ht="14.4" x14ac:dyDescent="0.3">
      <c r="A14724" s="8">
        <v>2072503</v>
      </c>
      <c r="B14724" s="11">
        <v>44855</v>
      </c>
      <c r="C14724" s="13" t="s">
        <v>19363</v>
      </c>
      <c r="D14724" s="13" t="s">
        <v>19364</v>
      </c>
      <c r="E14724" s="8">
        <v>4000</v>
      </c>
      <c r="F14724" s="13" t="s">
        <v>70</v>
      </c>
      <c r="G14724" s="14">
        <v>44860</v>
      </c>
      <c r="H14724" s="13" t="s">
        <v>163</v>
      </c>
    </row>
    <row r="14725" spans="1:8" ht="14.4" x14ac:dyDescent="0.3">
      <c r="A14725" s="8">
        <v>2072504</v>
      </c>
      <c r="B14725" s="11">
        <v>44855</v>
      </c>
      <c r="C14725" s="13" t="s">
        <v>19365</v>
      </c>
      <c r="D14725" s="13" t="s">
        <v>19366</v>
      </c>
      <c r="E14725" s="8">
        <v>4000</v>
      </c>
      <c r="F14725" s="13" t="s">
        <v>70</v>
      </c>
      <c r="G14725" s="14">
        <v>44862</v>
      </c>
      <c r="H14725" s="13" t="s">
        <v>163</v>
      </c>
    </row>
    <row r="14726" spans="1:8" ht="14.4" x14ac:dyDescent="0.3">
      <c r="A14726" s="8">
        <v>2072505</v>
      </c>
      <c r="B14726" s="11">
        <v>44855</v>
      </c>
      <c r="C14726" s="13" t="s">
        <v>19367</v>
      </c>
      <c r="D14726" s="13" t="s">
        <v>19368</v>
      </c>
      <c r="E14726" s="8">
        <v>6000</v>
      </c>
      <c r="F14726" s="13" t="s">
        <v>70</v>
      </c>
      <c r="G14726" s="14">
        <v>44859</v>
      </c>
      <c r="H14726" s="13" t="s">
        <v>163</v>
      </c>
    </row>
    <row r="14727" spans="1:8" ht="14.4" x14ac:dyDescent="0.3">
      <c r="A14727" s="8">
        <v>2072506</v>
      </c>
      <c r="B14727" s="11">
        <v>44855</v>
      </c>
      <c r="C14727" s="13" t="s">
        <v>19369</v>
      </c>
      <c r="D14727" s="13" t="s">
        <v>19370</v>
      </c>
      <c r="E14727" s="8">
        <v>50000</v>
      </c>
      <c r="F14727" s="13" t="s">
        <v>70</v>
      </c>
      <c r="G14727" s="14">
        <v>44859</v>
      </c>
      <c r="H14727" s="13" t="s">
        <v>163</v>
      </c>
    </row>
    <row r="14728" spans="1:8" ht="14.4" x14ac:dyDescent="0.3">
      <c r="A14728" s="8">
        <v>2072507</v>
      </c>
      <c r="B14728" s="11">
        <v>44855</v>
      </c>
      <c r="C14728" s="13" t="s">
        <v>19371</v>
      </c>
      <c r="D14728" s="13" t="s">
        <v>19372</v>
      </c>
      <c r="E14728" s="8">
        <v>6000</v>
      </c>
      <c r="F14728" s="13" t="s">
        <v>70</v>
      </c>
      <c r="G14728" s="14">
        <v>44859</v>
      </c>
      <c r="H14728" s="13" t="s">
        <v>163</v>
      </c>
    </row>
    <row r="14729" spans="1:8" ht="14.4" x14ac:dyDescent="0.3">
      <c r="A14729" s="8">
        <v>2072508</v>
      </c>
      <c r="B14729" s="11">
        <v>44855</v>
      </c>
      <c r="C14729" s="13" t="s">
        <v>19373</v>
      </c>
      <c r="D14729" s="13" t="s">
        <v>19374</v>
      </c>
      <c r="E14729" s="8">
        <v>4000</v>
      </c>
      <c r="F14729" s="13" t="s">
        <v>70</v>
      </c>
      <c r="G14729" s="14">
        <v>44859</v>
      </c>
      <c r="H14729" s="13" t="s">
        <v>163</v>
      </c>
    </row>
    <row r="14730" spans="1:8" ht="14.4" x14ac:dyDescent="0.3">
      <c r="A14730" s="8">
        <v>2072509</v>
      </c>
      <c r="B14730" s="11">
        <v>44855</v>
      </c>
      <c r="C14730" s="13" t="s">
        <v>19375</v>
      </c>
      <c r="D14730" s="13" t="s">
        <v>19376</v>
      </c>
      <c r="E14730" s="8">
        <v>8000</v>
      </c>
      <c r="F14730" s="13" t="s">
        <v>70</v>
      </c>
      <c r="G14730" s="14">
        <v>44859</v>
      </c>
      <c r="H14730" s="13" t="s">
        <v>163</v>
      </c>
    </row>
    <row r="14731" spans="1:8" ht="14.4" x14ac:dyDescent="0.3">
      <c r="A14731" s="8">
        <v>2072510</v>
      </c>
      <c r="B14731" s="11">
        <v>44855</v>
      </c>
      <c r="C14731" s="13" t="s">
        <v>19377</v>
      </c>
      <c r="D14731" s="13" t="s">
        <v>19378</v>
      </c>
      <c r="E14731" s="8">
        <v>8000</v>
      </c>
      <c r="F14731" s="13" t="s">
        <v>70</v>
      </c>
      <c r="G14731" s="14">
        <v>44859</v>
      </c>
      <c r="H14731" s="13" t="s">
        <v>163</v>
      </c>
    </row>
    <row r="14732" spans="1:8" ht="14.4" x14ac:dyDescent="0.3">
      <c r="A14732" s="8">
        <v>2072511</v>
      </c>
      <c r="B14732" s="11">
        <v>44855</v>
      </c>
      <c r="C14732" s="13" t="s">
        <v>19379</v>
      </c>
      <c r="D14732" s="13" t="s">
        <v>19380</v>
      </c>
      <c r="E14732" s="8">
        <v>6000</v>
      </c>
      <c r="F14732" s="13" t="s">
        <v>70</v>
      </c>
      <c r="G14732" s="14">
        <v>44859</v>
      </c>
      <c r="H14732" s="13" t="s">
        <v>163</v>
      </c>
    </row>
    <row r="14733" spans="1:8" ht="14.4" x14ac:dyDescent="0.3">
      <c r="A14733" s="8">
        <v>2072512</v>
      </c>
      <c r="B14733" s="11">
        <v>44855</v>
      </c>
      <c r="C14733" s="13" t="s">
        <v>19381</v>
      </c>
      <c r="D14733" s="13" t="s">
        <v>19382</v>
      </c>
      <c r="E14733" s="8">
        <v>6000</v>
      </c>
      <c r="F14733" s="13" t="s">
        <v>70</v>
      </c>
      <c r="G14733" s="14">
        <v>44867</v>
      </c>
      <c r="H14733" s="13" t="s">
        <v>163</v>
      </c>
    </row>
    <row r="14734" spans="1:8" ht="14.4" x14ac:dyDescent="0.3">
      <c r="A14734" s="8">
        <v>2072513</v>
      </c>
      <c r="B14734" s="11">
        <v>44855</v>
      </c>
      <c r="C14734" s="13" t="s">
        <v>19383</v>
      </c>
      <c r="D14734" s="13" t="s">
        <v>19384</v>
      </c>
      <c r="E14734" s="8">
        <v>1000</v>
      </c>
      <c r="F14734" s="13" t="s">
        <v>70</v>
      </c>
      <c r="G14734" s="14">
        <v>44859</v>
      </c>
      <c r="H14734" s="13" t="s">
        <v>163</v>
      </c>
    </row>
    <row r="14735" spans="1:8" ht="14.4" x14ac:dyDescent="0.3">
      <c r="A14735" s="8">
        <v>2072514</v>
      </c>
      <c r="B14735" s="11">
        <v>44855</v>
      </c>
      <c r="C14735" s="13" t="s">
        <v>19385</v>
      </c>
      <c r="D14735" s="13" t="s">
        <v>19386</v>
      </c>
      <c r="E14735" s="8">
        <v>14000</v>
      </c>
      <c r="F14735" s="13" t="s">
        <v>70</v>
      </c>
      <c r="G14735" s="14">
        <v>44859</v>
      </c>
      <c r="H14735" s="13" t="s">
        <v>163</v>
      </c>
    </row>
    <row r="14736" spans="1:8" ht="14.4" x14ac:dyDescent="0.3">
      <c r="A14736" s="8">
        <v>2072515</v>
      </c>
      <c r="B14736" s="11">
        <v>44855</v>
      </c>
      <c r="C14736" s="13" t="s">
        <v>19387</v>
      </c>
      <c r="D14736" s="13" t="s">
        <v>19388</v>
      </c>
      <c r="E14736" s="8">
        <v>4000</v>
      </c>
      <c r="F14736" s="13" t="s">
        <v>70</v>
      </c>
      <c r="G14736" s="14">
        <v>44859</v>
      </c>
      <c r="H14736" s="13" t="s">
        <v>163</v>
      </c>
    </row>
    <row r="14737" spans="1:8" ht="14.4" x14ac:dyDescent="0.3">
      <c r="A14737" s="8">
        <v>2072516</v>
      </c>
      <c r="B14737" s="11">
        <v>44855</v>
      </c>
      <c r="C14737" s="13" t="s">
        <v>19389</v>
      </c>
      <c r="D14737" s="13" t="s">
        <v>19390</v>
      </c>
      <c r="E14737" s="8">
        <v>6000</v>
      </c>
      <c r="F14737" s="13" t="s">
        <v>70</v>
      </c>
      <c r="G14737" s="14">
        <v>44859</v>
      </c>
      <c r="H14737" s="13" t="s">
        <v>163</v>
      </c>
    </row>
    <row r="14738" spans="1:8" ht="14.4" x14ac:dyDescent="0.3">
      <c r="A14738" s="8">
        <v>2072517</v>
      </c>
      <c r="B14738" s="11">
        <v>44855</v>
      </c>
      <c r="C14738" s="13" t="s">
        <v>19391</v>
      </c>
      <c r="D14738" s="13" t="s">
        <v>19392</v>
      </c>
      <c r="E14738" s="8">
        <v>8000</v>
      </c>
      <c r="F14738" s="13" t="s">
        <v>70</v>
      </c>
      <c r="G14738" s="14">
        <v>44859</v>
      </c>
      <c r="H14738" s="13" t="s">
        <v>163</v>
      </c>
    </row>
    <row r="14739" spans="1:8" ht="14.4" x14ac:dyDescent="0.3">
      <c r="A14739" s="8">
        <v>2072518</v>
      </c>
      <c r="B14739" s="11">
        <v>44855</v>
      </c>
      <c r="C14739" s="13" t="s">
        <v>19393</v>
      </c>
      <c r="D14739" s="13" t="s">
        <v>19394</v>
      </c>
      <c r="E14739" s="8">
        <v>2000</v>
      </c>
      <c r="F14739" s="13" t="s">
        <v>70</v>
      </c>
      <c r="G14739" s="14">
        <v>44859</v>
      </c>
      <c r="H14739" s="13" t="s">
        <v>163</v>
      </c>
    </row>
    <row r="14740" spans="1:8" ht="14.4" x14ac:dyDescent="0.3">
      <c r="A14740" s="8">
        <v>2072519</v>
      </c>
      <c r="B14740" s="11">
        <v>44855</v>
      </c>
      <c r="C14740" s="13" t="s">
        <v>19395</v>
      </c>
      <c r="D14740" s="13" t="s">
        <v>19396</v>
      </c>
      <c r="E14740" s="8">
        <v>2000</v>
      </c>
      <c r="F14740" s="13" t="s">
        <v>70</v>
      </c>
      <c r="G14740" s="14">
        <v>44859</v>
      </c>
      <c r="H14740" s="13" t="s">
        <v>163</v>
      </c>
    </row>
    <row r="14741" spans="1:8" ht="14.4" x14ac:dyDescent="0.3">
      <c r="A14741" s="8">
        <v>2072520</v>
      </c>
      <c r="B14741" s="11">
        <v>44855</v>
      </c>
      <c r="C14741" s="13" t="s">
        <v>19397</v>
      </c>
      <c r="D14741" s="13" t="s">
        <v>19398</v>
      </c>
      <c r="E14741" s="8">
        <v>4000</v>
      </c>
      <c r="F14741" s="13" t="s">
        <v>70</v>
      </c>
      <c r="G14741" s="14">
        <v>44859</v>
      </c>
      <c r="H14741" s="13" t="s">
        <v>163</v>
      </c>
    </row>
    <row r="14742" spans="1:8" ht="14.4" x14ac:dyDescent="0.3">
      <c r="A14742" s="8">
        <v>2072521</v>
      </c>
      <c r="B14742" s="11">
        <v>44855</v>
      </c>
      <c r="C14742" s="13" t="s">
        <v>19399</v>
      </c>
      <c r="D14742" s="13" t="s">
        <v>19400</v>
      </c>
      <c r="E14742" s="8">
        <v>2000</v>
      </c>
      <c r="F14742" s="13" t="s">
        <v>70</v>
      </c>
      <c r="G14742" s="14">
        <v>44859</v>
      </c>
      <c r="H14742" s="13" t="s">
        <v>163</v>
      </c>
    </row>
    <row r="14743" spans="1:8" ht="14.4" x14ac:dyDescent="0.3">
      <c r="A14743" s="8">
        <v>2072522</v>
      </c>
      <c r="B14743" s="11">
        <v>44855</v>
      </c>
      <c r="C14743" s="13" t="s">
        <v>19401</v>
      </c>
      <c r="D14743" s="13" t="s">
        <v>19402</v>
      </c>
      <c r="E14743" s="8">
        <v>2000</v>
      </c>
      <c r="F14743" s="13" t="s">
        <v>70</v>
      </c>
      <c r="G14743" s="14">
        <v>44867</v>
      </c>
      <c r="H14743" s="13" t="s">
        <v>163</v>
      </c>
    </row>
    <row r="14744" spans="1:8" ht="14.4" x14ac:dyDescent="0.3">
      <c r="A14744" s="8">
        <v>2072523</v>
      </c>
      <c r="B14744" s="11">
        <v>44855</v>
      </c>
      <c r="C14744" s="13" t="s">
        <v>19403</v>
      </c>
      <c r="D14744" s="13" t="s">
        <v>19404</v>
      </c>
      <c r="E14744" s="8">
        <v>8000</v>
      </c>
      <c r="F14744" s="13" t="s">
        <v>70</v>
      </c>
      <c r="G14744" s="14">
        <v>44859</v>
      </c>
      <c r="H14744" s="13" t="s">
        <v>163</v>
      </c>
    </row>
    <row r="14745" spans="1:8" ht="14.4" x14ac:dyDescent="0.3">
      <c r="A14745" s="8">
        <v>2072524</v>
      </c>
      <c r="B14745" s="11">
        <v>44855</v>
      </c>
      <c r="C14745" s="13" t="s">
        <v>19405</v>
      </c>
      <c r="D14745" s="13" t="s">
        <v>19406</v>
      </c>
      <c r="E14745" s="8">
        <v>717024</v>
      </c>
      <c r="F14745" s="13" t="s">
        <v>70</v>
      </c>
      <c r="G14745" s="14">
        <v>44859</v>
      </c>
      <c r="H14745" s="13" t="s">
        <v>163</v>
      </c>
    </row>
    <row r="14746" spans="1:8" ht="14.4" x14ac:dyDescent="0.3">
      <c r="A14746" s="8">
        <v>2072525</v>
      </c>
      <c r="B14746" s="11">
        <v>44859</v>
      </c>
      <c r="C14746" s="13" t="s">
        <v>7131</v>
      </c>
      <c r="D14746" s="13" t="s">
        <v>19407</v>
      </c>
      <c r="E14746" s="8">
        <v>6000</v>
      </c>
      <c r="F14746" s="13" t="s">
        <v>70</v>
      </c>
      <c r="G14746" s="14">
        <v>44861</v>
      </c>
      <c r="H14746" s="13" t="s">
        <v>163</v>
      </c>
    </row>
    <row r="14747" spans="1:8" ht="14.4" x14ac:dyDescent="0.3">
      <c r="A14747" s="8">
        <v>2072526</v>
      </c>
      <c r="B14747" s="11">
        <v>44859</v>
      </c>
      <c r="C14747" s="13" t="s">
        <v>13460</v>
      </c>
      <c r="D14747" s="13" t="s">
        <v>19408</v>
      </c>
      <c r="E14747" s="8">
        <v>86456.53</v>
      </c>
      <c r="F14747" s="13" t="s">
        <v>70</v>
      </c>
      <c r="G14747" s="14">
        <v>44860</v>
      </c>
      <c r="H14747" s="13" t="s">
        <v>163</v>
      </c>
    </row>
    <row r="14748" spans="1:8" ht="14.4" x14ac:dyDescent="0.3">
      <c r="A14748" s="8">
        <v>2072527</v>
      </c>
      <c r="B14748" s="11">
        <v>44859</v>
      </c>
      <c r="C14748" s="13" t="s">
        <v>19409</v>
      </c>
      <c r="D14748" s="13" t="s">
        <v>14062</v>
      </c>
      <c r="E14748" s="8">
        <v>2000</v>
      </c>
      <c r="F14748" s="13" t="s">
        <v>70</v>
      </c>
      <c r="G14748" s="14">
        <v>44861</v>
      </c>
      <c r="H14748" s="13" t="s">
        <v>163</v>
      </c>
    </row>
    <row r="14749" spans="1:8" ht="14.4" x14ac:dyDescent="0.3">
      <c r="A14749" s="8">
        <v>2072528</v>
      </c>
      <c r="B14749" s="11">
        <v>44859</v>
      </c>
      <c r="C14749" s="13" t="s">
        <v>19410</v>
      </c>
      <c r="D14749" s="13" t="s">
        <v>19411</v>
      </c>
      <c r="E14749" s="8">
        <v>2000</v>
      </c>
      <c r="F14749" s="13" t="s">
        <v>70</v>
      </c>
      <c r="G14749" s="14">
        <v>44867</v>
      </c>
      <c r="H14749" s="13" t="s">
        <v>163</v>
      </c>
    </row>
    <row r="14750" spans="1:8" ht="14.4" x14ac:dyDescent="0.3">
      <c r="A14750" s="8">
        <v>2072529</v>
      </c>
      <c r="B14750" s="11">
        <v>44859</v>
      </c>
      <c r="C14750" s="13" t="s">
        <v>19412</v>
      </c>
      <c r="D14750" s="13" t="s">
        <v>19413</v>
      </c>
      <c r="E14750" s="8">
        <v>2000</v>
      </c>
      <c r="F14750" s="13" t="s">
        <v>70</v>
      </c>
      <c r="G14750" s="14">
        <v>44860</v>
      </c>
      <c r="H14750" s="13" t="s">
        <v>163</v>
      </c>
    </row>
    <row r="14751" spans="1:8" ht="14.4" x14ac:dyDescent="0.3">
      <c r="A14751" s="8">
        <v>2072530</v>
      </c>
      <c r="B14751" s="11">
        <v>44859</v>
      </c>
      <c r="C14751" s="13" t="s">
        <v>19414</v>
      </c>
      <c r="D14751" s="13" t="s">
        <v>19415</v>
      </c>
      <c r="E14751" s="8">
        <v>6000</v>
      </c>
      <c r="F14751" s="13" t="s">
        <v>70</v>
      </c>
      <c r="G14751" s="14">
        <v>44861</v>
      </c>
      <c r="H14751" s="13" t="s">
        <v>163</v>
      </c>
    </row>
    <row r="14752" spans="1:8" ht="14.4" x14ac:dyDescent="0.3">
      <c r="A14752" s="8">
        <v>2072531</v>
      </c>
      <c r="B14752" s="11">
        <v>44859</v>
      </c>
      <c r="C14752" s="13" t="s">
        <v>19416</v>
      </c>
      <c r="D14752" s="13" t="s">
        <v>166</v>
      </c>
      <c r="E14752" s="8">
        <v>2000</v>
      </c>
      <c r="F14752" s="13" t="s">
        <v>70</v>
      </c>
      <c r="G14752" s="14">
        <v>44862</v>
      </c>
      <c r="H14752" s="13" t="s">
        <v>163</v>
      </c>
    </row>
    <row r="14753" spans="1:8" ht="14.4" x14ac:dyDescent="0.3">
      <c r="A14753" s="8">
        <v>2072532</v>
      </c>
      <c r="B14753" s="11">
        <v>44859</v>
      </c>
      <c r="C14753" s="13" t="s">
        <v>19417</v>
      </c>
      <c r="D14753" s="13" t="s">
        <v>14318</v>
      </c>
      <c r="E14753" s="8">
        <v>4000</v>
      </c>
      <c r="F14753" s="13" t="s">
        <v>70</v>
      </c>
      <c r="G14753" s="14">
        <v>44861</v>
      </c>
      <c r="H14753" s="13" t="s">
        <v>163</v>
      </c>
    </row>
    <row r="14754" spans="1:8" ht="14.4" x14ac:dyDescent="0.3">
      <c r="A14754" s="8">
        <v>2072533</v>
      </c>
      <c r="B14754" s="11">
        <v>44859</v>
      </c>
      <c r="C14754" s="13" t="s">
        <v>19418</v>
      </c>
      <c r="D14754" s="13" t="s">
        <v>164</v>
      </c>
      <c r="E14754" s="8">
        <v>2000</v>
      </c>
      <c r="F14754" s="13" t="s">
        <v>70</v>
      </c>
      <c r="G14754" s="14">
        <v>44862</v>
      </c>
      <c r="H14754" s="13" t="s">
        <v>163</v>
      </c>
    </row>
    <row r="14755" spans="1:8" ht="14.4" x14ac:dyDescent="0.3">
      <c r="A14755" s="8">
        <v>2072534</v>
      </c>
      <c r="B14755" s="11">
        <v>44859</v>
      </c>
      <c r="C14755" s="13" t="s">
        <v>19419</v>
      </c>
      <c r="D14755" s="13" t="s">
        <v>19420</v>
      </c>
      <c r="E14755" s="8">
        <v>50000</v>
      </c>
      <c r="F14755" s="13" t="s">
        <v>70</v>
      </c>
      <c r="G14755" s="14">
        <v>44861</v>
      </c>
      <c r="H14755" s="13" t="s">
        <v>163</v>
      </c>
    </row>
    <row r="14756" spans="1:8" ht="14.4" x14ac:dyDescent="0.3">
      <c r="A14756" s="8">
        <v>2072535</v>
      </c>
      <c r="B14756" s="11">
        <v>44859</v>
      </c>
      <c r="C14756" s="13" t="s">
        <v>1420</v>
      </c>
      <c r="D14756" s="13" t="s">
        <v>19421</v>
      </c>
      <c r="E14756" s="8">
        <v>9000</v>
      </c>
      <c r="F14756" s="13" t="s">
        <v>70</v>
      </c>
      <c r="G14756" s="14">
        <v>44861</v>
      </c>
      <c r="H14756" s="13" t="s">
        <v>163</v>
      </c>
    </row>
    <row r="14757" spans="1:8" ht="14.4" x14ac:dyDescent="0.3">
      <c r="A14757" s="8">
        <v>2072537</v>
      </c>
      <c r="B14757" s="11">
        <v>44860</v>
      </c>
      <c r="C14757" s="13" t="s">
        <v>5723</v>
      </c>
      <c r="D14757" s="13" t="s">
        <v>19422</v>
      </c>
      <c r="E14757" s="8">
        <v>6000</v>
      </c>
      <c r="F14757" s="13" t="s">
        <v>70</v>
      </c>
      <c r="G14757" s="14">
        <v>44862</v>
      </c>
      <c r="H14757" s="13" t="s">
        <v>163</v>
      </c>
    </row>
    <row r="14758" spans="1:8" ht="14.4" x14ac:dyDescent="0.3">
      <c r="A14758" s="8">
        <v>2072538</v>
      </c>
      <c r="B14758" s="11">
        <v>44860</v>
      </c>
      <c r="C14758" s="13" t="s">
        <v>19423</v>
      </c>
      <c r="D14758" s="13" t="s">
        <v>19424</v>
      </c>
      <c r="E14758" s="8">
        <v>4000</v>
      </c>
      <c r="F14758" s="13" t="s">
        <v>70</v>
      </c>
      <c r="G14758" s="14">
        <v>44862</v>
      </c>
      <c r="H14758" s="13" t="s">
        <v>163</v>
      </c>
    </row>
    <row r="14759" spans="1:8" ht="14.4" x14ac:dyDescent="0.3">
      <c r="A14759" s="8">
        <v>2072539</v>
      </c>
      <c r="B14759" s="11">
        <v>44860</v>
      </c>
      <c r="C14759" s="13" t="s">
        <v>19425</v>
      </c>
      <c r="D14759" s="13" t="s">
        <v>19426</v>
      </c>
      <c r="E14759" s="8">
        <v>4000</v>
      </c>
      <c r="F14759" s="13" t="s">
        <v>70</v>
      </c>
      <c r="G14759" s="14">
        <v>44862</v>
      </c>
      <c r="H14759" s="13" t="s">
        <v>163</v>
      </c>
    </row>
    <row r="14760" spans="1:8" ht="14.4" x14ac:dyDescent="0.3">
      <c r="A14760" s="8">
        <v>2072540</v>
      </c>
      <c r="B14760" s="11">
        <v>44860</v>
      </c>
      <c r="C14760" s="13" t="s">
        <v>19427</v>
      </c>
      <c r="D14760" s="13" t="s">
        <v>19428</v>
      </c>
      <c r="E14760" s="8">
        <v>2000</v>
      </c>
      <c r="F14760" s="13" t="s">
        <v>70</v>
      </c>
      <c r="G14760" s="14">
        <v>44868</v>
      </c>
      <c r="H14760" s="13" t="s">
        <v>163</v>
      </c>
    </row>
    <row r="14761" spans="1:8" ht="14.4" x14ac:dyDescent="0.3">
      <c r="A14761" s="8">
        <v>2072541</v>
      </c>
      <c r="B14761" s="11">
        <v>44860</v>
      </c>
      <c r="C14761" s="13" t="s">
        <v>19429</v>
      </c>
      <c r="D14761" s="13" t="s">
        <v>164</v>
      </c>
      <c r="E14761" s="8">
        <v>1000</v>
      </c>
      <c r="F14761" s="13" t="s">
        <v>70</v>
      </c>
      <c r="G14761" s="14">
        <v>44862</v>
      </c>
      <c r="H14761" s="13" t="s">
        <v>163</v>
      </c>
    </row>
    <row r="14762" spans="1:8" ht="14.4" x14ac:dyDescent="0.3">
      <c r="A14762" s="8">
        <v>2072542</v>
      </c>
      <c r="B14762" s="11">
        <v>44860</v>
      </c>
      <c r="C14762" s="13" t="s">
        <v>19430</v>
      </c>
      <c r="D14762" s="13" t="s">
        <v>19431</v>
      </c>
      <c r="E14762" s="8">
        <v>16000</v>
      </c>
      <c r="F14762" s="13" t="s">
        <v>70</v>
      </c>
      <c r="G14762" s="14">
        <v>44862</v>
      </c>
      <c r="H14762" s="13" t="s">
        <v>163</v>
      </c>
    </row>
    <row r="14763" spans="1:8" ht="14.4" x14ac:dyDescent="0.3">
      <c r="A14763" s="8">
        <v>2072543</v>
      </c>
      <c r="B14763" s="11">
        <v>44860</v>
      </c>
      <c r="C14763" s="13" t="s">
        <v>19432</v>
      </c>
      <c r="D14763" s="13" t="s">
        <v>19433</v>
      </c>
      <c r="E14763" s="8">
        <v>8000</v>
      </c>
      <c r="F14763" s="13" t="s">
        <v>70</v>
      </c>
      <c r="G14763" s="14">
        <v>44862</v>
      </c>
      <c r="H14763" s="13" t="s">
        <v>163</v>
      </c>
    </row>
    <row r="14764" spans="1:8" ht="14.4" x14ac:dyDescent="0.3">
      <c r="A14764" s="8">
        <v>2072544</v>
      </c>
      <c r="B14764" s="11">
        <v>44860</v>
      </c>
      <c r="C14764" s="13" t="s">
        <v>19434</v>
      </c>
      <c r="D14764" s="13" t="s">
        <v>19435</v>
      </c>
      <c r="E14764" s="8">
        <v>8000</v>
      </c>
      <c r="F14764" s="13" t="s">
        <v>70</v>
      </c>
      <c r="G14764" s="14">
        <v>44862</v>
      </c>
      <c r="H14764" s="13" t="s">
        <v>163</v>
      </c>
    </row>
    <row r="14765" spans="1:8" ht="14.4" x14ac:dyDescent="0.3">
      <c r="A14765" s="8">
        <v>2072545</v>
      </c>
      <c r="B14765" s="11">
        <v>44860</v>
      </c>
      <c r="C14765" s="13" t="s">
        <v>19436</v>
      </c>
      <c r="D14765" s="13" t="s">
        <v>19437</v>
      </c>
      <c r="E14765" s="8">
        <v>8000</v>
      </c>
      <c r="F14765" s="13" t="s">
        <v>70</v>
      </c>
      <c r="G14765" s="14">
        <v>44862</v>
      </c>
      <c r="H14765" s="13" t="s">
        <v>163</v>
      </c>
    </row>
    <row r="14766" spans="1:8" ht="14.4" x14ac:dyDescent="0.3">
      <c r="A14766" s="8">
        <v>2072546</v>
      </c>
      <c r="B14766" s="11">
        <v>44860</v>
      </c>
      <c r="C14766" s="13" t="s">
        <v>5688</v>
      </c>
      <c r="D14766" s="13" t="s">
        <v>19438</v>
      </c>
      <c r="E14766" s="8">
        <v>20000</v>
      </c>
      <c r="F14766" s="13" t="s">
        <v>70</v>
      </c>
      <c r="G14766" s="14">
        <v>44861</v>
      </c>
      <c r="H14766" s="13" t="s">
        <v>163</v>
      </c>
    </row>
    <row r="14767" spans="1:8" ht="14.4" x14ac:dyDescent="0.3">
      <c r="A14767" s="8">
        <v>2072547</v>
      </c>
      <c r="B14767" s="11">
        <v>44860</v>
      </c>
      <c r="C14767" s="13" t="s">
        <v>19439</v>
      </c>
      <c r="D14767" s="13" t="s">
        <v>19440</v>
      </c>
      <c r="E14767" s="8">
        <v>8000</v>
      </c>
      <c r="F14767" s="13" t="s">
        <v>70</v>
      </c>
      <c r="G14767" s="14">
        <v>44862</v>
      </c>
      <c r="H14767" s="13" t="s">
        <v>163</v>
      </c>
    </row>
    <row r="14768" spans="1:8" ht="14.4" x14ac:dyDescent="0.3">
      <c r="A14768" s="8">
        <v>2072548</v>
      </c>
      <c r="B14768" s="11">
        <v>44861</v>
      </c>
      <c r="C14768" s="13" t="s">
        <v>2077</v>
      </c>
      <c r="D14768" s="13" t="s">
        <v>19441</v>
      </c>
      <c r="E14768" s="8">
        <v>32178.57</v>
      </c>
      <c r="F14768" s="13" t="s">
        <v>70</v>
      </c>
      <c r="G14768" s="14">
        <v>44868</v>
      </c>
      <c r="H14768" s="13" t="s">
        <v>163</v>
      </c>
    </row>
    <row r="14769" spans="1:8" ht="14.4" x14ac:dyDescent="0.3">
      <c r="A14769" s="8">
        <v>2072549</v>
      </c>
      <c r="B14769" s="11">
        <v>44861</v>
      </c>
      <c r="C14769" s="13" t="s">
        <v>14796</v>
      </c>
      <c r="D14769" s="13" t="s">
        <v>19442</v>
      </c>
      <c r="E14769" s="8">
        <v>2973035</v>
      </c>
      <c r="F14769" s="13" t="s">
        <v>70</v>
      </c>
      <c r="G14769" s="14">
        <v>44862</v>
      </c>
      <c r="H14769" s="13" t="s">
        <v>163</v>
      </c>
    </row>
    <row r="14770" spans="1:8" ht="14.4" x14ac:dyDescent="0.3">
      <c r="A14770" s="8">
        <v>2072550</v>
      </c>
      <c r="B14770" s="11">
        <v>44861</v>
      </c>
      <c r="C14770" s="13" t="s">
        <v>14134</v>
      </c>
      <c r="D14770" s="13" t="s">
        <v>19443</v>
      </c>
      <c r="E14770" s="8">
        <v>687484.96</v>
      </c>
      <c r="F14770" s="13" t="s">
        <v>70</v>
      </c>
      <c r="G14770" s="14">
        <v>44862</v>
      </c>
      <c r="H14770" s="13" t="s">
        <v>163</v>
      </c>
    </row>
    <row r="14771" spans="1:8" ht="14.4" x14ac:dyDescent="0.3">
      <c r="A14771" s="8">
        <v>2072552</v>
      </c>
      <c r="B14771" s="11">
        <v>44862</v>
      </c>
      <c r="C14771" s="13" t="s">
        <v>13462</v>
      </c>
      <c r="D14771" s="13" t="s">
        <v>19444</v>
      </c>
      <c r="E14771" s="8">
        <v>241775.75</v>
      </c>
      <c r="F14771" s="13" t="s">
        <v>70</v>
      </c>
      <c r="G14771" s="14">
        <v>44867</v>
      </c>
      <c r="H14771" s="13" t="s">
        <v>163</v>
      </c>
    </row>
    <row r="14772" spans="1:8" ht="14.4" x14ac:dyDescent="0.3">
      <c r="A14772" s="8">
        <v>2072553</v>
      </c>
      <c r="B14772" s="11">
        <v>44862</v>
      </c>
      <c r="C14772" s="13" t="s">
        <v>19445</v>
      </c>
      <c r="D14772" s="13" t="s">
        <v>164</v>
      </c>
      <c r="E14772" s="8">
        <v>8000</v>
      </c>
      <c r="F14772" s="13" t="s">
        <v>70</v>
      </c>
      <c r="G14772" s="14">
        <v>44867</v>
      </c>
      <c r="H14772" s="13" t="s">
        <v>163</v>
      </c>
    </row>
    <row r="14773" spans="1:8" ht="14.4" x14ac:dyDescent="0.3">
      <c r="A14773" s="8">
        <v>2072554</v>
      </c>
      <c r="B14773" s="11">
        <v>44862</v>
      </c>
      <c r="C14773" s="13" t="s">
        <v>19446</v>
      </c>
      <c r="D14773" s="13" t="s">
        <v>19447</v>
      </c>
      <c r="E14773" s="8">
        <v>330867</v>
      </c>
      <c r="F14773" s="13" t="s">
        <v>70</v>
      </c>
      <c r="G14773" s="14">
        <v>44869</v>
      </c>
      <c r="H14773" s="13" t="s">
        <v>163</v>
      </c>
    </row>
    <row r="14774" spans="1:8" ht="14.4" x14ac:dyDescent="0.3">
      <c r="A14774" s="8">
        <v>2072555</v>
      </c>
      <c r="B14774" s="11">
        <v>44868</v>
      </c>
      <c r="C14774" s="13" t="s">
        <v>19448</v>
      </c>
      <c r="D14774" s="13" t="s">
        <v>19449</v>
      </c>
      <c r="E14774" s="8">
        <v>6000</v>
      </c>
      <c r="F14774" s="13" t="s">
        <v>70</v>
      </c>
      <c r="G14774" s="14">
        <v>44868</v>
      </c>
      <c r="H14774" s="13" t="s">
        <v>163</v>
      </c>
    </row>
    <row r="14775" spans="1:8" ht="14.4" x14ac:dyDescent="0.3">
      <c r="A14775" s="8">
        <v>2072556</v>
      </c>
      <c r="B14775" s="11">
        <v>44868</v>
      </c>
      <c r="C14775" s="13" t="s">
        <v>2624</v>
      </c>
      <c r="D14775" s="13" t="s">
        <v>6352</v>
      </c>
      <c r="E14775" s="8">
        <v>317345.15000000002</v>
      </c>
      <c r="F14775" s="13" t="s">
        <v>70</v>
      </c>
      <c r="G14775" s="14">
        <v>44869</v>
      </c>
      <c r="H14775" s="13" t="s">
        <v>163</v>
      </c>
    </row>
    <row r="14776" spans="1:8" ht="14.4" x14ac:dyDescent="0.3">
      <c r="A14776" s="8">
        <v>2072557</v>
      </c>
      <c r="B14776" s="11">
        <v>44868</v>
      </c>
      <c r="C14776" s="13" t="s">
        <v>19450</v>
      </c>
      <c r="D14776" s="13" t="s">
        <v>19451</v>
      </c>
      <c r="E14776" s="8">
        <v>50000</v>
      </c>
      <c r="F14776" s="13" t="s">
        <v>70</v>
      </c>
      <c r="G14776" s="14">
        <v>44868</v>
      </c>
      <c r="H14776" s="13" t="s">
        <v>163</v>
      </c>
    </row>
    <row r="14777" spans="1:8" ht="14.4" x14ac:dyDescent="0.3">
      <c r="A14777" s="8">
        <v>2072558</v>
      </c>
      <c r="B14777" s="11">
        <v>44869</v>
      </c>
      <c r="C14777" s="13" t="s">
        <v>19452</v>
      </c>
      <c r="D14777" s="13" t="s">
        <v>19453</v>
      </c>
      <c r="E14777" s="8">
        <v>3630</v>
      </c>
      <c r="F14777" s="13" t="s">
        <v>70</v>
      </c>
      <c r="G14777" s="14">
        <v>44876</v>
      </c>
      <c r="H14777" s="13" t="s">
        <v>163</v>
      </c>
    </row>
    <row r="14778" spans="1:8" ht="14.4" x14ac:dyDescent="0.3">
      <c r="A14778" s="8">
        <v>2072559</v>
      </c>
      <c r="B14778" s="11">
        <v>44872</v>
      </c>
      <c r="C14778" s="13" t="s">
        <v>13009</v>
      </c>
      <c r="D14778" s="13" t="s">
        <v>19454</v>
      </c>
      <c r="E14778" s="8">
        <v>50000</v>
      </c>
      <c r="F14778" s="13" t="s">
        <v>70</v>
      </c>
      <c r="G14778" s="14">
        <v>44873</v>
      </c>
      <c r="H14778" s="13" t="s">
        <v>163</v>
      </c>
    </row>
    <row r="14779" spans="1:8" ht="14.4" x14ac:dyDescent="0.3">
      <c r="A14779" s="8">
        <v>2072560</v>
      </c>
      <c r="B14779" s="11">
        <v>44873</v>
      </c>
      <c r="C14779" s="13" t="s">
        <v>1522</v>
      </c>
      <c r="D14779" s="13" t="s">
        <v>19455</v>
      </c>
      <c r="E14779" s="8">
        <v>20766.2</v>
      </c>
      <c r="F14779" s="13" t="s">
        <v>70</v>
      </c>
      <c r="G14779" s="14">
        <v>44875</v>
      </c>
      <c r="H14779" s="13" t="s">
        <v>163</v>
      </c>
    </row>
    <row r="14780" spans="1:8" ht="14.4" x14ac:dyDescent="0.3">
      <c r="A14780" s="8">
        <v>2072561</v>
      </c>
      <c r="B14780" s="11">
        <v>44873</v>
      </c>
      <c r="C14780" s="13" t="s">
        <v>19456</v>
      </c>
      <c r="D14780" s="13" t="s">
        <v>13603</v>
      </c>
      <c r="E14780" s="8">
        <v>8000</v>
      </c>
      <c r="F14780" s="13" t="s">
        <v>70</v>
      </c>
      <c r="G14780" s="14">
        <v>44874</v>
      </c>
      <c r="H14780" s="13" t="s">
        <v>163</v>
      </c>
    </row>
    <row r="14781" spans="1:8" ht="14.4" x14ac:dyDescent="0.3">
      <c r="A14781" s="8">
        <v>2072562</v>
      </c>
      <c r="B14781" s="11">
        <v>44873</v>
      </c>
      <c r="C14781" s="13" t="s">
        <v>19457</v>
      </c>
      <c r="D14781" s="13" t="s">
        <v>19458</v>
      </c>
      <c r="E14781" s="8">
        <v>10000</v>
      </c>
      <c r="F14781" s="13" t="s">
        <v>70</v>
      </c>
      <c r="G14781" s="14">
        <v>44875</v>
      </c>
      <c r="H14781" s="13" t="s">
        <v>163</v>
      </c>
    </row>
    <row r="14782" spans="1:8" ht="14.4" x14ac:dyDescent="0.3">
      <c r="A14782" s="8">
        <v>2072563</v>
      </c>
      <c r="B14782" s="11">
        <v>44873</v>
      </c>
      <c r="C14782" s="13" t="s">
        <v>13462</v>
      </c>
      <c r="D14782" s="13" t="s">
        <v>19459</v>
      </c>
      <c r="E14782" s="8">
        <v>750000</v>
      </c>
      <c r="F14782" s="13" t="s">
        <v>70</v>
      </c>
      <c r="G14782" s="14">
        <v>44874</v>
      </c>
      <c r="H14782" s="13" t="s">
        <v>163</v>
      </c>
    </row>
    <row r="14783" spans="1:8" ht="14.4" x14ac:dyDescent="0.3">
      <c r="A14783" s="8">
        <v>2072564</v>
      </c>
      <c r="B14783" s="11">
        <v>44874</v>
      </c>
      <c r="C14783" s="13" t="s">
        <v>957</v>
      </c>
      <c r="D14783" s="13" t="s">
        <v>19460</v>
      </c>
      <c r="E14783" s="8">
        <v>10000</v>
      </c>
      <c r="F14783" s="13" t="s">
        <v>70</v>
      </c>
      <c r="G14783" s="14">
        <v>44875</v>
      </c>
      <c r="H14783" s="13" t="s">
        <v>163</v>
      </c>
    </row>
    <row r="14784" spans="1:8" ht="14.4" x14ac:dyDescent="0.3">
      <c r="A14784" s="8">
        <v>2072565</v>
      </c>
      <c r="B14784" s="11">
        <v>44874</v>
      </c>
      <c r="C14784" s="13" t="s">
        <v>19461</v>
      </c>
      <c r="D14784" s="13" t="s">
        <v>19462</v>
      </c>
      <c r="E14784" s="8">
        <v>2000</v>
      </c>
      <c r="F14784" s="13" t="s">
        <v>70</v>
      </c>
      <c r="G14784" s="14">
        <v>44876</v>
      </c>
      <c r="H14784" s="13" t="s">
        <v>163</v>
      </c>
    </row>
    <row r="14785" spans="1:8" ht="14.4" x14ac:dyDescent="0.3">
      <c r="A14785" s="8">
        <v>2072566</v>
      </c>
      <c r="B14785" s="11">
        <v>44874</v>
      </c>
      <c r="C14785" s="13" t="s">
        <v>19463</v>
      </c>
      <c r="D14785" s="13" t="s">
        <v>16335</v>
      </c>
      <c r="E14785" s="8">
        <v>5000</v>
      </c>
      <c r="F14785" s="13" t="s">
        <v>70</v>
      </c>
      <c r="G14785" s="14">
        <v>44876</v>
      </c>
      <c r="H14785" s="13" t="s">
        <v>163</v>
      </c>
    </row>
    <row r="14786" spans="1:8" ht="14.4" x14ac:dyDescent="0.3">
      <c r="A14786" s="8">
        <v>2072567</v>
      </c>
      <c r="B14786" s="11">
        <v>44874</v>
      </c>
      <c r="C14786" s="13" t="s">
        <v>13149</v>
      </c>
      <c r="D14786" s="13" t="s">
        <v>19464</v>
      </c>
      <c r="E14786" s="8">
        <v>20000</v>
      </c>
      <c r="F14786" s="13" t="s">
        <v>70</v>
      </c>
      <c r="G14786" s="14">
        <v>44876</v>
      </c>
      <c r="H14786" s="13" t="s">
        <v>163</v>
      </c>
    </row>
    <row r="14787" spans="1:8" ht="14.4" x14ac:dyDescent="0.3">
      <c r="A14787" s="8">
        <v>2072568</v>
      </c>
      <c r="B14787" s="11">
        <v>44874</v>
      </c>
      <c r="C14787" s="13" t="s">
        <v>19465</v>
      </c>
      <c r="D14787" s="13" t="s">
        <v>19466</v>
      </c>
      <c r="E14787" s="8">
        <v>20000</v>
      </c>
      <c r="F14787" s="13" t="s">
        <v>70</v>
      </c>
      <c r="G14787" s="14">
        <v>44876</v>
      </c>
      <c r="H14787" s="13" t="s">
        <v>163</v>
      </c>
    </row>
    <row r="14788" spans="1:8" ht="14.4" x14ac:dyDescent="0.3">
      <c r="A14788" s="8">
        <v>2072569</v>
      </c>
      <c r="B14788" s="11">
        <v>44874</v>
      </c>
      <c r="C14788" s="13" t="s">
        <v>19467</v>
      </c>
      <c r="D14788" s="13" t="s">
        <v>16335</v>
      </c>
      <c r="E14788" s="8">
        <v>4000</v>
      </c>
      <c r="F14788" s="13" t="s">
        <v>70</v>
      </c>
      <c r="G14788" s="14">
        <v>44875</v>
      </c>
      <c r="H14788" s="13" t="s">
        <v>163</v>
      </c>
    </row>
    <row r="14789" spans="1:8" ht="14.4" x14ac:dyDescent="0.3">
      <c r="A14789" s="8">
        <v>2072570</v>
      </c>
      <c r="B14789" s="11">
        <v>44874</v>
      </c>
      <c r="C14789" s="13" t="s">
        <v>277</v>
      </c>
      <c r="D14789" s="13" t="s">
        <v>13603</v>
      </c>
      <c r="E14789" s="8">
        <v>50000</v>
      </c>
      <c r="F14789" s="13" t="s">
        <v>70</v>
      </c>
      <c r="G14789" s="14">
        <v>44876</v>
      </c>
      <c r="H14789" s="13" t="s">
        <v>163</v>
      </c>
    </row>
    <row r="14790" spans="1:8" ht="14.4" x14ac:dyDescent="0.3">
      <c r="A14790" s="8">
        <v>2072573</v>
      </c>
      <c r="B14790" s="11">
        <v>44876</v>
      </c>
      <c r="C14790" s="13" t="s">
        <v>19468</v>
      </c>
      <c r="D14790" s="13" t="s">
        <v>16335</v>
      </c>
      <c r="E14790" s="8">
        <v>16000</v>
      </c>
      <c r="F14790" s="13" t="s">
        <v>70</v>
      </c>
      <c r="G14790" s="14">
        <v>44879</v>
      </c>
      <c r="H14790" s="13" t="s">
        <v>163</v>
      </c>
    </row>
    <row r="14791" spans="1:8" ht="14.4" x14ac:dyDescent="0.3">
      <c r="A14791" s="8">
        <v>2072574</v>
      </c>
      <c r="B14791" s="11">
        <v>44876</v>
      </c>
      <c r="C14791" s="13" t="s">
        <v>19469</v>
      </c>
      <c r="D14791" s="13" t="s">
        <v>19470</v>
      </c>
      <c r="E14791" s="8">
        <v>30000</v>
      </c>
      <c r="F14791" s="13" t="s">
        <v>70</v>
      </c>
      <c r="G14791" s="14">
        <v>44879</v>
      </c>
      <c r="H14791" s="13" t="s">
        <v>163</v>
      </c>
    </row>
    <row r="14792" spans="1:8" ht="14.4" x14ac:dyDescent="0.3">
      <c r="A14792" s="8">
        <v>2072576</v>
      </c>
      <c r="B14792" s="11">
        <v>44876</v>
      </c>
      <c r="C14792" s="13" t="s">
        <v>19446</v>
      </c>
      <c r="D14792" s="13" t="s">
        <v>19471</v>
      </c>
      <c r="E14792" s="8">
        <v>600177.80000000005</v>
      </c>
      <c r="F14792" s="13" t="s">
        <v>70</v>
      </c>
      <c r="G14792" s="14">
        <v>44879</v>
      </c>
      <c r="H14792" s="13" t="s">
        <v>163</v>
      </c>
    </row>
    <row r="14793" spans="1:8" ht="14.4" x14ac:dyDescent="0.3">
      <c r="A14793" s="8">
        <v>2072578</v>
      </c>
      <c r="B14793" s="11">
        <v>44879</v>
      </c>
      <c r="C14793" s="13" t="s">
        <v>103</v>
      </c>
      <c r="D14793" s="13" t="s">
        <v>170</v>
      </c>
      <c r="E14793" s="8">
        <v>30000</v>
      </c>
      <c r="F14793" s="13" t="s">
        <v>70</v>
      </c>
      <c r="G14793" s="14">
        <v>44880</v>
      </c>
      <c r="H14793" s="13" t="s">
        <v>163</v>
      </c>
    </row>
    <row r="14794" spans="1:8" ht="14.4" x14ac:dyDescent="0.3">
      <c r="A14794" s="8">
        <v>2414732</v>
      </c>
      <c r="B14794" s="11">
        <v>44673</v>
      </c>
      <c r="C14794" s="13" t="s">
        <v>44</v>
      </c>
      <c r="D14794" s="13" t="s">
        <v>19472</v>
      </c>
      <c r="E14794" s="8">
        <v>12075</v>
      </c>
      <c r="F14794" s="13" t="s">
        <v>70</v>
      </c>
      <c r="G14794" s="14">
        <v>44678</v>
      </c>
      <c r="H14794" s="13" t="s">
        <v>172</v>
      </c>
    </row>
    <row r="14795" spans="1:8" ht="14.4" x14ac:dyDescent="0.3">
      <c r="A14795" s="8">
        <v>2414733</v>
      </c>
      <c r="B14795" s="11">
        <v>44673</v>
      </c>
      <c r="C14795" s="13" t="s">
        <v>4650</v>
      </c>
      <c r="D14795" s="13" t="s">
        <v>19473</v>
      </c>
      <c r="E14795" s="8">
        <v>19560</v>
      </c>
      <c r="F14795" s="13" t="s">
        <v>70</v>
      </c>
      <c r="G14795" s="14">
        <v>44676</v>
      </c>
      <c r="H14795" s="13" t="s">
        <v>172</v>
      </c>
    </row>
    <row r="14796" spans="1:8" ht="14.4" x14ac:dyDescent="0.3">
      <c r="A14796" s="8">
        <v>2414734</v>
      </c>
      <c r="B14796" s="11">
        <v>44673</v>
      </c>
      <c r="C14796" s="13" t="s">
        <v>44</v>
      </c>
      <c r="D14796" s="13" t="s">
        <v>19474</v>
      </c>
      <c r="E14796" s="8">
        <v>12075</v>
      </c>
      <c r="F14796" s="13" t="s">
        <v>70</v>
      </c>
      <c r="G14796" s="14">
        <v>44678</v>
      </c>
      <c r="H14796" s="13" t="s">
        <v>172</v>
      </c>
    </row>
    <row r="14797" spans="1:8" ht="14.4" x14ac:dyDescent="0.3">
      <c r="A14797" s="8">
        <v>2414735</v>
      </c>
      <c r="B14797" s="11">
        <v>44673</v>
      </c>
      <c r="C14797" s="13" t="s">
        <v>44</v>
      </c>
      <c r="D14797" s="13" t="s">
        <v>19475</v>
      </c>
      <c r="E14797" s="8">
        <v>12075</v>
      </c>
      <c r="F14797" s="13" t="s">
        <v>70</v>
      </c>
      <c r="G14797" s="14">
        <v>44678</v>
      </c>
      <c r="H14797" s="13" t="s">
        <v>172</v>
      </c>
    </row>
    <row r="14798" spans="1:8" ht="14.4" x14ac:dyDescent="0.3">
      <c r="A14798" s="8">
        <v>2414736</v>
      </c>
      <c r="B14798" s="11">
        <v>44673</v>
      </c>
      <c r="C14798" s="13" t="s">
        <v>19476</v>
      </c>
      <c r="D14798" s="13" t="s">
        <v>3451</v>
      </c>
      <c r="E14798" s="8">
        <v>5994.32</v>
      </c>
      <c r="F14798" s="13" t="s">
        <v>70</v>
      </c>
      <c r="G14798" s="14">
        <v>44677</v>
      </c>
      <c r="H14798" s="13" t="s">
        <v>172</v>
      </c>
    </row>
    <row r="14799" spans="1:8" ht="14.4" x14ac:dyDescent="0.3">
      <c r="A14799" s="8">
        <v>2414737</v>
      </c>
      <c r="B14799" s="11">
        <v>44673</v>
      </c>
      <c r="C14799" s="13" t="s">
        <v>19477</v>
      </c>
      <c r="D14799" s="13" t="s">
        <v>1855</v>
      </c>
      <c r="E14799" s="8">
        <v>1055.82</v>
      </c>
      <c r="F14799" s="13" t="s">
        <v>70</v>
      </c>
      <c r="G14799" s="14">
        <v>44683</v>
      </c>
      <c r="H14799" s="13" t="s">
        <v>172</v>
      </c>
    </row>
    <row r="14800" spans="1:8" ht="14.4" x14ac:dyDescent="0.3">
      <c r="A14800" s="8">
        <v>2414738</v>
      </c>
      <c r="B14800" s="11">
        <v>44673</v>
      </c>
      <c r="C14800" s="13" t="s">
        <v>19478</v>
      </c>
      <c r="D14800" s="13" t="s">
        <v>10069</v>
      </c>
      <c r="E14800" s="8">
        <v>6224.83</v>
      </c>
      <c r="F14800" s="13" t="s">
        <v>70</v>
      </c>
      <c r="G14800" s="14">
        <v>44678</v>
      </c>
      <c r="H14800" s="13" t="s">
        <v>172</v>
      </c>
    </row>
    <row r="14801" spans="1:8" ht="14.4" x14ac:dyDescent="0.3">
      <c r="A14801" s="8">
        <v>2414739</v>
      </c>
      <c r="B14801" s="11">
        <v>44673</v>
      </c>
      <c r="C14801" s="13" t="s">
        <v>19479</v>
      </c>
      <c r="D14801" s="13" t="s">
        <v>19480</v>
      </c>
      <c r="E14801" s="8">
        <v>1125.3499999999999</v>
      </c>
      <c r="F14801" s="13" t="s">
        <v>70</v>
      </c>
      <c r="G14801" s="14">
        <v>44685</v>
      </c>
      <c r="H14801" s="13" t="s">
        <v>172</v>
      </c>
    </row>
    <row r="14802" spans="1:8" ht="14.4" x14ac:dyDescent="0.3">
      <c r="A14802" s="8">
        <v>2414740</v>
      </c>
      <c r="B14802" s="11">
        <v>44673</v>
      </c>
      <c r="C14802" s="13" t="s">
        <v>831</v>
      </c>
      <c r="D14802" s="13" t="s">
        <v>9690</v>
      </c>
      <c r="E14802" s="8">
        <v>10000</v>
      </c>
      <c r="F14802" s="13" t="s">
        <v>70</v>
      </c>
      <c r="G14802" s="14">
        <v>44678</v>
      </c>
      <c r="H14802" s="13" t="s">
        <v>172</v>
      </c>
    </row>
    <row r="14803" spans="1:8" ht="14.4" x14ac:dyDescent="0.3">
      <c r="A14803" s="8">
        <v>2414741</v>
      </c>
      <c r="B14803" s="11">
        <v>44673</v>
      </c>
      <c r="C14803" s="13" t="s">
        <v>840</v>
      </c>
      <c r="D14803" s="13" t="s">
        <v>1480</v>
      </c>
      <c r="E14803" s="8">
        <v>10000</v>
      </c>
      <c r="F14803" s="13" t="s">
        <v>70</v>
      </c>
      <c r="G14803" s="14">
        <v>44678</v>
      </c>
      <c r="H14803" s="13" t="s">
        <v>172</v>
      </c>
    </row>
    <row r="14804" spans="1:8" ht="14.4" x14ac:dyDescent="0.3">
      <c r="A14804" s="8">
        <v>2414742</v>
      </c>
      <c r="B14804" s="11">
        <v>44673</v>
      </c>
      <c r="C14804" s="13" t="s">
        <v>841</v>
      </c>
      <c r="D14804" s="13" t="s">
        <v>1480</v>
      </c>
      <c r="E14804" s="8">
        <v>10000</v>
      </c>
      <c r="F14804" s="13" t="s">
        <v>70</v>
      </c>
      <c r="G14804" s="14">
        <v>44678</v>
      </c>
      <c r="H14804" s="13" t="s">
        <v>172</v>
      </c>
    </row>
    <row r="14805" spans="1:8" ht="14.4" x14ac:dyDescent="0.3">
      <c r="A14805" s="8">
        <v>2414743</v>
      </c>
      <c r="B14805" s="11">
        <v>44673</v>
      </c>
      <c r="C14805" s="13" t="s">
        <v>2334</v>
      </c>
      <c r="D14805" s="13" t="s">
        <v>19481</v>
      </c>
      <c r="E14805" s="8">
        <v>114600</v>
      </c>
      <c r="F14805" s="13" t="s">
        <v>70</v>
      </c>
      <c r="G14805" s="14">
        <v>44701</v>
      </c>
      <c r="H14805" s="13" t="s">
        <v>172</v>
      </c>
    </row>
    <row r="14806" spans="1:8" ht="14.4" x14ac:dyDescent="0.3">
      <c r="A14806" s="8">
        <v>2414744</v>
      </c>
      <c r="B14806" s="11">
        <v>44673</v>
      </c>
      <c r="C14806" s="13" t="s">
        <v>211</v>
      </c>
      <c r="D14806" s="13" t="s">
        <v>19482</v>
      </c>
      <c r="E14806" s="8">
        <v>61200</v>
      </c>
      <c r="F14806" s="13" t="s">
        <v>70</v>
      </c>
      <c r="G14806" s="14">
        <v>44680</v>
      </c>
      <c r="H14806" s="13" t="s">
        <v>172</v>
      </c>
    </row>
    <row r="14807" spans="1:8" ht="14.4" x14ac:dyDescent="0.3">
      <c r="A14807" s="8">
        <v>2414745</v>
      </c>
      <c r="B14807" s="11">
        <v>44673</v>
      </c>
      <c r="C14807" s="13" t="s">
        <v>1286</v>
      </c>
      <c r="D14807" s="13" t="s">
        <v>19483</v>
      </c>
      <c r="E14807" s="8">
        <v>9155.36</v>
      </c>
      <c r="F14807" s="13" t="s">
        <v>70</v>
      </c>
      <c r="G14807" s="14">
        <v>44677</v>
      </c>
      <c r="H14807" s="13" t="s">
        <v>172</v>
      </c>
    </row>
    <row r="14808" spans="1:8" ht="14.4" x14ac:dyDescent="0.3">
      <c r="A14808" s="8">
        <v>2414746</v>
      </c>
      <c r="B14808" s="11">
        <v>44673</v>
      </c>
      <c r="C14808" s="13" t="s">
        <v>4977</v>
      </c>
      <c r="D14808" s="13" t="s">
        <v>1480</v>
      </c>
      <c r="E14808" s="8">
        <v>15000</v>
      </c>
      <c r="F14808" s="13" t="s">
        <v>70</v>
      </c>
      <c r="G14808" s="14">
        <v>44678</v>
      </c>
      <c r="H14808" s="13" t="s">
        <v>172</v>
      </c>
    </row>
    <row r="14809" spans="1:8" ht="14.4" x14ac:dyDescent="0.3">
      <c r="A14809" s="8">
        <v>2414747</v>
      </c>
      <c r="B14809" s="11">
        <v>44673</v>
      </c>
      <c r="C14809" s="13" t="s">
        <v>834</v>
      </c>
      <c r="D14809" s="13" t="s">
        <v>9690</v>
      </c>
      <c r="E14809" s="8">
        <v>10000</v>
      </c>
      <c r="F14809" s="13" t="s">
        <v>70</v>
      </c>
      <c r="G14809" s="14">
        <v>44678</v>
      </c>
      <c r="H14809" s="13" t="s">
        <v>172</v>
      </c>
    </row>
    <row r="14810" spans="1:8" ht="14.4" x14ac:dyDescent="0.3">
      <c r="A14810" s="8">
        <v>2414748</v>
      </c>
      <c r="B14810" s="11">
        <v>44673</v>
      </c>
      <c r="C14810" s="13" t="s">
        <v>833</v>
      </c>
      <c r="D14810" s="13" t="s">
        <v>19484</v>
      </c>
      <c r="E14810" s="8">
        <v>10000</v>
      </c>
      <c r="F14810" s="13" t="s">
        <v>70</v>
      </c>
      <c r="G14810" s="14">
        <v>44678</v>
      </c>
      <c r="H14810" s="13" t="s">
        <v>172</v>
      </c>
    </row>
    <row r="14811" spans="1:8" ht="14.4" x14ac:dyDescent="0.3">
      <c r="A14811" s="8">
        <v>2414749</v>
      </c>
      <c r="B14811" s="11">
        <v>44673</v>
      </c>
      <c r="C14811" s="13" t="s">
        <v>844</v>
      </c>
      <c r="D14811" s="13" t="s">
        <v>19485</v>
      </c>
      <c r="E14811" s="8">
        <v>2000</v>
      </c>
      <c r="F14811" s="13" t="s">
        <v>70</v>
      </c>
      <c r="G14811" s="14">
        <v>44683</v>
      </c>
      <c r="H14811" s="13" t="s">
        <v>172</v>
      </c>
    </row>
    <row r="14812" spans="1:8" ht="14.4" x14ac:dyDescent="0.3">
      <c r="A14812" s="8">
        <v>2414750</v>
      </c>
      <c r="B14812" s="11">
        <v>44673</v>
      </c>
      <c r="C14812" s="13" t="s">
        <v>836</v>
      </c>
      <c r="D14812" s="13" t="s">
        <v>19486</v>
      </c>
      <c r="E14812" s="8">
        <v>2000</v>
      </c>
      <c r="F14812" s="13" t="s">
        <v>70</v>
      </c>
      <c r="G14812" s="14">
        <v>44683</v>
      </c>
      <c r="H14812" s="13" t="s">
        <v>172</v>
      </c>
    </row>
    <row r="14813" spans="1:8" ht="14.4" x14ac:dyDescent="0.3">
      <c r="A14813" s="8">
        <v>2414751</v>
      </c>
      <c r="B14813" s="11">
        <v>44673</v>
      </c>
      <c r="C14813" s="13" t="s">
        <v>846</v>
      </c>
      <c r="D14813" s="13" t="s">
        <v>19486</v>
      </c>
      <c r="E14813" s="8">
        <v>2000</v>
      </c>
      <c r="F14813" s="13" t="s">
        <v>70</v>
      </c>
      <c r="G14813" s="14">
        <v>44683</v>
      </c>
      <c r="H14813" s="13" t="s">
        <v>172</v>
      </c>
    </row>
    <row r="14814" spans="1:8" ht="14.4" x14ac:dyDescent="0.3">
      <c r="A14814" s="8">
        <v>2414752</v>
      </c>
      <c r="B14814" s="11">
        <v>44673</v>
      </c>
      <c r="C14814" s="13" t="s">
        <v>847</v>
      </c>
      <c r="D14814" s="13" t="s">
        <v>19486</v>
      </c>
      <c r="E14814" s="8">
        <v>2000</v>
      </c>
      <c r="F14814" s="13" t="s">
        <v>70</v>
      </c>
      <c r="G14814" s="14">
        <v>44683</v>
      </c>
      <c r="H14814" s="13" t="s">
        <v>172</v>
      </c>
    </row>
    <row r="14815" spans="1:8" ht="14.4" x14ac:dyDescent="0.3">
      <c r="A14815" s="8">
        <v>2414753</v>
      </c>
      <c r="B14815" s="11">
        <v>44673</v>
      </c>
      <c r="C14815" s="13" t="s">
        <v>848</v>
      </c>
      <c r="D14815" s="13" t="s">
        <v>19486</v>
      </c>
      <c r="E14815" s="8">
        <v>2000</v>
      </c>
      <c r="F14815" s="13" t="s">
        <v>70</v>
      </c>
      <c r="G14815" s="14">
        <v>44683</v>
      </c>
      <c r="H14815" s="13" t="s">
        <v>172</v>
      </c>
    </row>
    <row r="14816" spans="1:8" ht="14.4" x14ac:dyDescent="0.3">
      <c r="A14816" s="8">
        <v>2414754</v>
      </c>
      <c r="B14816" s="11">
        <v>44673</v>
      </c>
      <c r="C14816" s="13" t="s">
        <v>849</v>
      </c>
      <c r="D14816" s="13" t="s">
        <v>19486</v>
      </c>
      <c r="E14816" s="8">
        <v>2000</v>
      </c>
      <c r="F14816" s="13" t="s">
        <v>70</v>
      </c>
      <c r="G14816" s="14">
        <v>44683</v>
      </c>
      <c r="H14816" s="13" t="s">
        <v>172</v>
      </c>
    </row>
    <row r="14817" spans="1:8" ht="14.4" x14ac:dyDescent="0.3">
      <c r="A14817" s="8">
        <v>2414755</v>
      </c>
      <c r="B14817" s="11">
        <v>44673</v>
      </c>
      <c r="C14817" s="13" t="s">
        <v>850</v>
      </c>
      <c r="D14817" s="13" t="s">
        <v>19486</v>
      </c>
      <c r="E14817" s="8">
        <v>2000</v>
      </c>
      <c r="F14817" s="13" t="s">
        <v>70</v>
      </c>
      <c r="G14817" s="14">
        <v>44683</v>
      </c>
      <c r="H14817" s="13" t="s">
        <v>172</v>
      </c>
    </row>
    <row r="14818" spans="1:8" ht="14.4" x14ac:dyDescent="0.3">
      <c r="A14818" s="8">
        <v>2414756</v>
      </c>
      <c r="B14818" s="11">
        <v>44673</v>
      </c>
      <c r="C14818" s="13" t="s">
        <v>851</v>
      </c>
      <c r="D14818" s="13" t="s">
        <v>19486</v>
      </c>
      <c r="E14818" s="8">
        <v>2000</v>
      </c>
      <c r="F14818" s="13" t="s">
        <v>70</v>
      </c>
      <c r="G14818" s="14">
        <v>44683</v>
      </c>
      <c r="H14818" s="13" t="s">
        <v>172</v>
      </c>
    </row>
    <row r="14819" spans="1:8" ht="14.4" x14ac:dyDescent="0.3">
      <c r="A14819" s="8">
        <v>2414757</v>
      </c>
      <c r="B14819" s="11">
        <v>44673</v>
      </c>
      <c r="C14819" s="13" t="s">
        <v>2791</v>
      </c>
      <c r="D14819" s="13" t="s">
        <v>19486</v>
      </c>
      <c r="E14819" s="8">
        <v>2000</v>
      </c>
      <c r="F14819" s="13" t="s">
        <v>70</v>
      </c>
      <c r="G14819" s="14">
        <v>44683</v>
      </c>
      <c r="H14819" s="13" t="s">
        <v>172</v>
      </c>
    </row>
    <row r="14820" spans="1:8" ht="14.4" x14ac:dyDescent="0.3">
      <c r="A14820" s="8">
        <v>2414758</v>
      </c>
      <c r="B14820" s="11">
        <v>44673</v>
      </c>
      <c r="C14820" s="13" t="s">
        <v>2792</v>
      </c>
      <c r="D14820" s="13" t="s">
        <v>19486</v>
      </c>
      <c r="E14820" s="8">
        <v>2000</v>
      </c>
      <c r="F14820" s="13" t="s">
        <v>70</v>
      </c>
      <c r="G14820" s="14">
        <v>44683</v>
      </c>
      <c r="H14820" s="13" t="s">
        <v>172</v>
      </c>
    </row>
    <row r="14821" spans="1:8" ht="14.4" x14ac:dyDescent="0.3">
      <c r="A14821" s="8">
        <v>2414759</v>
      </c>
      <c r="B14821" s="11">
        <v>44673</v>
      </c>
      <c r="C14821" s="13" t="s">
        <v>854</v>
      </c>
      <c r="D14821" s="13" t="s">
        <v>19486</v>
      </c>
      <c r="E14821" s="8">
        <v>2000</v>
      </c>
      <c r="F14821" s="13" t="s">
        <v>70</v>
      </c>
      <c r="G14821" s="14">
        <v>44683</v>
      </c>
      <c r="H14821" s="13" t="s">
        <v>172</v>
      </c>
    </row>
    <row r="14822" spans="1:8" ht="14.4" x14ac:dyDescent="0.3">
      <c r="A14822" s="8">
        <v>2414760</v>
      </c>
      <c r="B14822" s="11">
        <v>44673</v>
      </c>
      <c r="C14822" s="13" t="s">
        <v>748</v>
      </c>
      <c r="D14822" s="13" t="s">
        <v>19487</v>
      </c>
      <c r="E14822" s="8">
        <v>129097.61</v>
      </c>
      <c r="F14822" s="13" t="s">
        <v>70</v>
      </c>
      <c r="G14822" s="14">
        <v>44686</v>
      </c>
      <c r="H14822" s="13" t="s">
        <v>172</v>
      </c>
    </row>
    <row r="14823" spans="1:8" ht="14.4" x14ac:dyDescent="0.3">
      <c r="A14823" s="8">
        <v>2414761</v>
      </c>
      <c r="B14823" s="11">
        <v>44673</v>
      </c>
      <c r="C14823" s="13" t="s">
        <v>10037</v>
      </c>
      <c r="D14823" s="13" t="s">
        <v>19488</v>
      </c>
      <c r="E14823" s="8">
        <v>11771</v>
      </c>
      <c r="F14823" s="13" t="s">
        <v>70</v>
      </c>
      <c r="G14823" s="14">
        <v>44678</v>
      </c>
      <c r="H14823" s="13" t="s">
        <v>172</v>
      </c>
    </row>
    <row r="14824" spans="1:8" ht="14.4" x14ac:dyDescent="0.3">
      <c r="A14824" s="8">
        <v>2414762</v>
      </c>
      <c r="B14824" s="11">
        <v>44673</v>
      </c>
      <c r="C14824" s="13" t="s">
        <v>127</v>
      </c>
      <c r="D14824" s="13" t="s">
        <v>19489</v>
      </c>
      <c r="E14824" s="8">
        <v>24327.95</v>
      </c>
      <c r="F14824" s="13" t="s">
        <v>70</v>
      </c>
      <c r="G14824" s="14">
        <v>44678</v>
      </c>
      <c r="H14824" s="13" t="s">
        <v>172</v>
      </c>
    </row>
    <row r="14825" spans="1:8" ht="14.4" x14ac:dyDescent="0.3">
      <c r="A14825" s="8">
        <v>2414763</v>
      </c>
      <c r="B14825" s="11">
        <v>44673</v>
      </c>
      <c r="C14825" s="13" t="s">
        <v>19490</v>
      </c>
      <c r="D14825" s="13" t="s">
        <v>19491</v>
      </c>
      <c r="E14825" s="8">
        <v>4042.05</v>
      </c>
      <c r="F14825" s="13" t="s">
        <v>70</v>
      </c>
      <c r="G14825" s="14">
        <v>44676</v>
      </c>
      <c r="H14825" s="13" t="s">
        <v>172</v>
      </c>
    </row>
    <row r="14826" spans="1:8" ht="14.4" x14ac:dyDescent="0.3">
      <c r="A14826" s="8">
        <v>2414764</v>
      </c>
      <c r="B14826" s="11">
        <v>44673</v>
      </c>
      <c r="C14826" s="13" t="s">
        <v>405</v>
      </c>
      <c r="D14826" s="13" t="s">
        <v>19492</v>
      </c>
      <c r="E14826" s="8">
        <v>35082.58</v>
      </c>
      <c r="F14826" s="13" t="s">
        <v>70</v>
      </c>
      <c r="G14826" s="14">
        <v>44678</v>
      </c>
      <c r="H14826" s="13" t="s">
        <v>172</v>
      </c>
    </row>
    <row r="14827" spans="1:8" ht="14.4" x14ac:dyDescent="0.3">
      <c r="A14827" s="8">
        <v>2414765</v>
      </c>
      <c r="B14827" s="11">
        <v>44673</v>
      </c>
      <c r="C14827" s="13" t="s">
        <v>682</v>
      </c>
      <c r="D14827" s="13" t="s">
        <v>19493</v>
      </c>
      <c r="E14827" s="8">
        <v>21564</v>
      </c>
      <c r="F14827" s="13" t="s">
        <v>70</v>
      </c>
      <c r="G14827" s="14">
        <v>44679</v>
      </c>
      <c r="H14827" s="13" t="s">
        <v>172</v>
      </c>
    </row>
    <row r="14828" spans="1:8" ht="14.4" x14ac:dyDescent="0.3">
      <c r="A14828" s="8">
        <v>2414766</v>
      </c>
      <c r="B14828" s="11">
        <v>44673</v>
      </c>
      <c r="C14828" s="13" t="s">
        <v>19490</v>
      </c>
      <c r="D14828" s="13" t="s">
        <v>19494</v>
      </c>
      <c r="E14828" s="8">
        <v>18390.990000000002</v>
      </c>
      <c r="F14828" s="13" t="s">
        <v>70</v>
      </c>
      <c r="G14828" s="14">
        <v>44692</v>
      </c>
      <c r="H14828" s="13" t="s">
        <v>172</v>
      </c>
    </row>
    <row r="14829" spans="1:8" ht="14.4" x14ac:dyDescent="0.3">
      <c r="A14829" s="8">
        <v>2414767</v>
      </c>
      <c r="B14829" s="11">
        <v>44673</v>
      </c>
      <c r="C14829" s="13" t="s">
        <v>1924</v>
      </c>
      <c r="D14829" s="13" t="s">
        <v>19495</v>
      </c>
      <c r="E14829" s="8">
        <v>3838971.43</v>
      </c>
      <c r="F14829" s="13" t="s">
        <v>70</v>
      </c>
      <c r="G14829" s="14">
        <v>44677</v>
      </c>
      <c r="H14829" s="13" t="s">
        <v>172</v>
      </c>
    </row>
    <row r="14830" spans="1:8" ht="14.4" x14ac:dyDescent="0.3">
      <c r="A14830" s="8">
        <v>2414768</v>
      </c>
      <c r="B14830" s="11">
        <v>44673</v>
      </c>
      <c r="C14830" s="13" t="s">
        <v>202</v>
      </c>
      <c r="D14830" s="13" t="s">
        <v>19496</v>
      </c>
      <c r="E14830" s="8">
        <v>575903.56999999995</v>
      </c>
      <c r="F14830" s="13" t="s">
        <v>70</v>
      </c>
      <c r="G14830" s="14">
        <v>44677</v>
      </c>
      <c r="H14830" s="13" t="s">
        <v>172</v>
      </c>
    </row>
    <row r="14831" spans="1:8" ht="14.4" x14ac:dyDescent="0.3">
      <c r="A14831" s="8">
        <v>2414769</v>
      </c>
      <c r="B14831" s="11">
        <v>44673</v>
      </c>
      <c r="C14831" s="13" t="s">
        <v>245</v>
      </c>
      <c r="D14831" s="13" t="s">
        <v>19497</v>
      </c>
      <c r="E14831" s="8">
        <v>812319.01</v>
      </c>
      <c r="F14831" s="13" t="s">
        <v>70</v>
      </c>
      <c r="G14831" s="14">
        <v>44676</v>
      </c>
      <c r="H14831" s="13" t="s">
        <v>172</v>
      </c>
    </row>
    <row r="14832" spans="1:8" ht="14.4" x14ac:dyDescent="0.3">
      <c r="A14832" s="8">
        <v>2414770</v>
      </c>
      <c r="B14832" s="11">
        <v>44673</v>
      </c>
      <c r="C14832" s="13" t="s">
        <v>19498</v>
      </c>
      <c r="D14832" s="13" t="s">
        <v>19499</v>
      </c>
      <c r="E14832" s="8">
        <v>758507.15</v>
      </c>
      <c r="F14832" s="13" t="s">
        <v>70</v>
      </c>
      <c r="G14832" s="14">
        <v>44694</v>
      </c>
      <c r="H14832" s="13" t="s">
        <v>172</v>
      </c>
    </row>
    <row r="14833" spans="1:8" ht="14.4" x14ac:dyDescent="0.3">
      <c r="A14833" s="8">
        <v>2414771</v>
      </c>
      <c r="B14833" s="11">
        <v>44673</v>
      </c>
      <c r="C14833" s="13" t="s">
        <v>202</v>
      </c>
      <c r="D14833" s="13" t="s">
        <v>19500</v>
      </c>
      <c r="E14833" s="8">
        <v>315037.99</v>
      </c>
      <c r="F14833" s="13" t="s">
        <v>70</v>
      </c>
      <c r="G14833" s="14">
        <v>44677</v>
      </c>
      <c r="H14833" s="13" t="s">
        <v>172</v>
      </c>
    </row>
    <row r="14834" spans="1:8" ht="14.4" x14ac:dyDescent="0.3">
      <c r="A14834" s="8">
        <v>2414772</v>
      </c>
      <c r="B14834" s="11">
        <v>44673</v>
      </c>
      <c r="C14834" s="13" t="s">
        <v>259</v>
      </c>
      <c r="D14834" s="13" t="s">
        <v>19501</v>
      </c>
      <c r="E14834" s="8">
        <v>24133.93</v>
      </c>
      <c r="F14834" s="13" t="s">
        <v>70</v>
      </c>
      <c r="G14834" s="14">
        <v>44677</v>
      </c>
      <c r="H14834" s="13" t="s">
        <v>172</v>
      </c>
    </row>
    <row r="14835" spans="1:8" ht="14.4" x14ac:dyDescent="0.3">
      <c r="A14835" s="8">
        <v>2414773</v>
      </c>
      <c r="B14835" s="11">
        <v>44673</v>
      </c>
      <c r="C14835" s="13" t="s">
        <v>19502</v>
      </c>
      <c r="D14835" s="13" t="s">
        <v>19503</v>
      </c>
      <c r="E14835" s="8">
        <v>295104.12</v>
      </c>
      <c r="F14835" s="13" t="s">
        <v>70</v>
      </c>
      <c r="G14835" s="14">
        <v>44677</v>
      </c>
      <c r="H14835" s="13" t="s">
        <v>172</v>
      </c>
    </row>
    <row r="14836" spans="1:8" ht="14.4" x14ac:dyDescent="0.3">
      <c r="A14836" s="8">
        <v>2414774</v>
      </c>
      <c r="B14836" s="11">
        <v>44673</v>
      </c>
      <c r="C14836" s="13" t="s">
        <v>71</v>
      </c>
      <c r="D14836" s="13" t="s">
        <v>19504</v>
      </c>
      <c r="E14836" s="8">
        <v>19437.07</v>
      </c>
      <c r="F14836" s="13" t="s">
        <v>70</v>
      </c>
      <c r="G14836" s="14">
        <v>44680</v>
      </c>
      <c r="H14836" s="13" t="s">
        <v>172</v>
      </c>
    </row>
    <row r="14837" spans="1:8" ht="14.4" x14ac:dyDescent="0.3">
      <c r="A14837" s="8">
        <v>2414775</v>
      </c>
      <c r="B14837" s="11">
        <v>44673</v>
      </c>
      <c r="C14837" s="13" t="s">
        <v>19505</v>
      </c>
      <c r="D14837" s="13" t="s">
        <v>19506</v>
      </c>
      <c r="E14837" s="8">
        <v>24990</v>
      </c>
      <c r="F14837" s="13" t="s">
        <v>70</v>
      </c>
      <c r="G14837" s="14">
        <v>44676</v>
      </c>
      <c r="H14837" s="13" t="s">
        <v>172</v>
      </c>
    </row>
    <row r="14838" spans="1:8" ht="14.4" x14ac:dyDescent="0.3">
      <c r="A14838" s="8">
        <v>2414776</v>
      </c>
      <c r="B14838" s="11">
        <v>44673</v>
      </c>
      <c r="C14838" s="13" t="s">
        <v>19507</v>
      </c>
      <c r="D14838" s="13" t="s">
        <v>19508</v>
      </c>
      <c r="E14838" s="8">
        <v>25000</v>
      </c>
      <c r="F14838" s="13" t="s">
        <v>70</v>
      </c>
      <c r="G14838" s="14">
        <v>44685</v>
      </c>
      <c r="H14838" s="13" t="s">
        <v>172</v>
      </c>
    </row>
    <row r="14839" spans="1:8" ht="14.4" x14ac:dyDescent="0.3">
      <c r="A14839" s="8">
        <v>2414777</v>
      </c>
      <c r="B14839" s="11">
        <v>44673</v>
      </c>
      <c r="C14839" s="13" t="s">
        <v>19509</v>
      </c>
      <c r="D14839" s="13" t="s">
        <v>19510</v>
      </c>
      <c r="E14839" s="8">
        <v>20000</v>
      </c>
      <c r="F14839" s="13" t="s">
        <v>70</v>
      </c>
      <c r="G14839" s="14">
        <v>44685</v>
      </c>
      <c r="H14839" s="13" t="s">
        <v>172</v>
      </c>
    </row>
    <row r="14840" spans="1:8" ht="14.4" x14ac:dyDescent="0.3">
      <c r="A14840" s="8">
        <v>2414778</v>
      </c>
      <c r="B14840" s="11">
        <v>44673</v>
      </c>
      <c r="C14840" s="13" t="s">
        <v>1286</v>
      </c>
      <c r="D14840" s="13" t="s">
        <v>19511</v>
      </c>
      <c r="E14840" s="8">
        <v>4613.84</v>
      </c>
      <c r="F14840" s="13" t="s">
        <v>70</v>
      </c>
      <c r="G14840" s="14">
        <v>44677</v>
      </c>
      <c r="H14840" s="13" t="s">
        <v>172</v>
      </c>
    </row>
    <row r="14841" spans="1:8" ht="14.4" x14ac:dyDescent="0.3">
      <c r="A14841" s="8">
        <v>2414779</v>
      </c>
      <c r="B14841" s="11">
        <v>44673</v>
      </c>
      <c r="C14841" s="13" t="s">
        <v>1286</v>
      </c>
      <c r="D14841" s="13" t="s">
        <v>19512</v>
      </c>
      <c r="E14841" s="8">
        <v>188303.22</v>
      </c>
      <c r="F14841" s="13" t="s">
        <v>70</v>
      </c>
      <c r="G14841" s="14">
        <v>44677</v>
      </c>
      <c r="H14841" s="13" t="s">
        <v>172</v>
      </c>
    </row>
    <row r="14842" spans="1:8" ht="14.4" x14ac:dyDescent="0.3">
      <c r="A14842" s="8">
        <v>2414780</v>
      </c>
      <c r="B14842" s="11">
        <v>44673</v>
      </c>
      <c r="C14842" s="13" t="s">
        <v>44</v>
      </c>
      <c r="D14842" s="13" t="s">
        <v>19513</v>
      </c>
      <c r="E14842" s="8">
        <v>12075</v>
      </c>
      <c r="F14842" s="13" t="s">
        <v>70</v>
      </c>
      <c r="G14842" s="14">
        <v>44679</v>
      </c>
      <c r="H14842" s="13" t="s">
        <v>172</v>
      </c>
    </row>
    <row r="14843" spans="1:8" ht="14.4" x14ac:dyDescent="0.3">
      <c r="A14843" s="8">
        <v>2414781</v>
      </c>
      <c r="B14843" s="11">
        <v>44673</v>
      </c>
      <c r="C14843" s="13" t="s">
        <v>19514</v>
      </c>
      <c r="D14843" s="13" t="s">
        <v>19515</v>
      </c>
      <c r="E14843" s="8">
        <v>10000</v>
      </c>
      <c r="F14843" s="13" t="s">
        <v>70</v>
      </c>
      <c r="G14843" s="14">
        <v>44738</v>
      </c>
      <c r="H14843" s="13" t="s">
        <v>172</v>
      </c>
    </row>
    <row r="14844" spans="1:8" ht="14.4" x14ac:dyDescent="0.3">
      <c r="A14844" s="8">
        <v>2414782</v>
      </c>
      <c r="B14844" s="11">
        <v>44673</v>
      </c>
      <c r="C14844" s="13" t="s">
        <v>19516</v>
      </c>
      <c r="D14844" s="13" t="s">
        <v>19515</v>
      </c>
      <c r="E14844" s="8">
        <v>10000</v>
      </c>
      <c r="F14844" s="13" t="s">
        <v>70</v>
      </c>
      <c r="G14844" s="14">
        <v>44683</v>
      </c>
      <c r="H14844" s="13" t="s">
        <v>172</v>
      </c>
    </row>
    <row r="14845" spans="1:8" ht="14.4" x14ac:dyDescent="0.3">
      <c r="A14845" s="8">
        <v>2414783</v>
      </c>
      <c r="B14845" s="11">
        <v>44673</v>
      </c>
      <c r="C14845" s="13" t="s">
        <v>19517</v>
      </c>
      <c r="D14845" s="13" t="s">
        <v>19515</v>
      </c>
      <c r="E14845" s="8">
        <v>10000</v>
      </c>
      <c r="F14845" s="13" t="s">
        <v>70</v>
      </c>
      <c r="G14845" s="14">
        <v>44693</v>
      </c>
      <c r="H14845" s="13" t="s">
        <v>172</v>
      </c>
    </row>
    <row r="14846" spans="1:8" ht="14.4" x14ac:dyDescent="0.3">
      <c r="A14846" s="8">
        <v>2414784</v>
      </c>
      <c r="B14846" s="11">
        <v>44673</v>
      </c>
      <c r="C14846" s="13" t="s">
        <v>1286</v>
      </c>
      <c r="D14846" s="13" t="s">
        <v>19518</v>
      </c>
      <c r="E14846" s="8">
        <v>11766.44</v>
      </c>
      <c r="F14846" s="13" t="s">
        <v>70</v>
      </c>
      <c r="G14846" s="14">
        <v>44677</v>
      </c>
      <c r="H14846" s="13" t="s">
        <v>172</v>
      </c>
    </row>
    <row r="14847" spans="1:8" ht="14.4" x14ac:dyDescent="0.3">
      <c r="A14847" s="8">
        <v>2414785</v>
      </c>
      <c r="B14847" s="11">
        <v>44673</v>
      </c>
      <c r="C14847" s="13" t="s">
        <v>19519</v>
      </c>
      <c r="D14847" s="13" t="s">
        <v>19515</v>
      </c>
      <c r="E14847" s="8">
        <v>10000</v>
      </c>
      <c r="F14847" s="13" t="s">
        <v>70</v>
      </c>
      <c r="G14847" s="14">
        <v>44693</v>
      </c>
      <c r="H14847" s="13" t="s">
        <v>172</v>
      </c>
    </row>
    <row r="14848" spans="1:8" ht="14.4" x14ac:dyDescent="0.3">
      <c r="A14848" s="8">
        <v>2414786</v>
      </c>
      <c r="B14848" s="11">
        <v>44673</v>
      </c>
      <c r="C14848" s="13" t="s">
        <v>19520</v>
      </c>
      <c r="D14848" s="13" t="s">
        <v>19521</v>
      </c>
      <c r="E14848" s="8">
        <v>10000</v>
      </c>
      <c r="F14848" s="13" t="s">
        <v>70</v>
      </c>
      <c r="G14848" s="14">
        <v>44738</v>
      </c>
      <c r="H14848" s="13" t="s">
        <v>172</v>
      </c>
    </row>
    <row r="14849" spans="1:8" ht="14.4" x14ac:dyDescent="0.3">
      <c r="A14849" s="8">
        <v>2414787</v>
      </c>
      <c r="B14849" s="11">
        <v>44673</v>
      </c>
      <c r="C14849" s="13" t="s">
        <v>175</v>
      </c>
      <c r="D14849" s="13" t="s">
        <v>19522</v>
      </c>
      <c r="E14849" s="8">
        <v>23467.5</v>
      </c>
      <c r="F14849" s="13" t="s">
        <v>70</v>
      </c>
      <c r="G14849" s="14">
        <v>44686</v>
      </c>
      <c r="H14849" s="13" t="s">
        <v>172</v>
      </c>
    </row>
    <row r="14850" spans="1:8" ht="14.4" x14ac:dyDescent="0.3">
      <c r="A14850" s="8">
        <v>2414788</v>
      </c>
      <c r="B14850" s="11">
        <v>44673</v>
      </c>
      <c r="C14850" s="13" t="s">
        <v>287</v>
      </c>
      <c r="D14850" s="13" t="s">
        <v>19523</v>
      </c>
      <c r="E14850" s="8">
        <v>15000</v>
      </c>
      <c r="F14850" s="13" t="s">
        <v>70</v>
      </c>
      <c r="G14850" s="14">
        <v>44676</v>
      </c>
      <c r="H14850" s="13" t="s">
        <v>172</v>
      </c>
    </row>
    <row r="14851" spans="1:8" ht="14.4" x14ac:dyDescent="0.3">
      <c r="A14851" s="8">
        <v>2414789</v>
      </c>
      <c r="B14851" s="11">
        <v>44673</v>
      </c>
      <c r="C14851" s="13" t="s">
        <v>376</v>
      </c>
      <c r="D14851" s="13" t="s">
        <v>19524</v>
      </c>
      <c r="E14851" s="8">
        <v>62475</v>
      </c>
      <c r="F14851" s="13" t="s">
        <v>70</v>
      </c>
      <c r="G14851" s="14">
        <v>44683</v>
      </c>
      <c r="H14851" s="13" t="s">
        <v>172</v>
      </c>
    </row>
    <row r="14852" spans="1:8" ht="14.4" x14ac:dyDescent="0.3">
      <c r="A14852" s="8">
        <v>2414790</v>
      </c>
      <c r="B14852" s="11">
        <v>44673</v>
      </c>
      <c r="C14852" s="13" t="s">
        <v>1581</v>
      </c>
      <c r="D14852" s="13" t="s">
        <v>19525</v>
      </c>
      <c r="E14852" s="8">
        <v>4258.93</v>
      </c>
      <c r="F14852" s="13" t="s">
        <v>70</v>
      </c>
      <c r="G14852" s="14">
        <v>44679</v>
      </c>
      <c r="H14852" s="13" t="s">
        <v>172</v>
      </c>
    </row>
    <row r="14853" spans="1:8" ht="14.4" x14ac:dyDescent="0.3">
      <c r="A14853" s="8">
        <v>2414791</v>
      </c>
      <c r="B14853" s="11">
        <v>44673</v>
      </c>
      <c r="C14853" s="13" t="s">
        <v>1581</v>
      </c>
      <c r="D14853" s="13" t="s">
        <v>19526</v>
      </c>
      <c r="E14853" s="8">
        <v>4258.93</v>
      </c>
      <c r="F14853" s="13" t="s">
        <v>70</v>
      </c>
      <c r="G14853" s="14">
        <v>44679</v>
      </c>
      <c r="H14853" s="13" t="s">
        <v>172</v>
      </c>
    </row>
    <row r="14854" spans="1:8" ht="14.4" x14ac:dyDescent="0.3">
      <c r="A14854" s="8">
        <v>2414792</v>
      </c>
      <c r="B14854" s="11">
        <v>44673</v>
      </c>
      <c r="C14854" s="13" t="s">
        <v>1581</v>
      </c>
      <c r="D14854" s="13" t="s">
        <v>19527</v>
      </c>
      <c r="E14854" s="8">
        <v>5323.66</v>
      </c>
      <c r="F14854" s="13" t="s">
        <v>70</v>
      </c>
      <c r="G14854" s="14">
        <v>44679</v>
      </c>
      <c r="H14854" s="13" t="s">
        <v>172</v>
      </c>
    </row>
    <row r="14855" spans="1:8" ht="14.4" x14ac:dyDescent="0.3">
      <c r="A14855" s="8">
        <v>2414793</v>
      </c>
      <c r="B14855" s="11">
        <v>44673</v>
      </c>
      <c r="C14855" s="13" t="s">
        <v>405</v>
      </c>
      <c r="D14855" s="13" t="s">
        <v>19528</v>
      </c>
      <c r="E14855" s="8">
        <v>38443.75</v>
      </c>
      <c r="F14855" s="13" t="s">
        <v>70</v>
      </c>
      <c r="G14855" s="14">
        <v>44678</v>
      </c>
      <c r="H14855" s="13" t="s">
        <v>172</v>
      </c>
    </row>
    <row r="14856" spans="1:8" ht="14.4" x14ac:dyDescent="0.3">
      <c r="A14856" s="8">
        <v>2414794</v>
      </c>
      <c r="B14856" s="11">
        <v>44673</v>
      </c>
      <c r="C14856" s="13" t="s">
        <v>1784</v>
      </c>
      <c r="D14856" s="13" t="s">
        <v>19529</v>
      </c>
      <c r="E14856" s="8">
        <v>16000</v>
      </c>
      <c r="F14856" s="13" t="s">
        <v>70</v>
      </c>
      <c r="G14856" s="14">
        <v>44678</v>
      </c>
      <c r="H14856" s="13" t="s">
        <v>172</v>
      </c>
    </row>
    <row r="14857" spans="1:8" ht="14.4" x14ac:dyDescent="0.3">
      <c r="A14857" s="8">
        <v>2414795</v>
      </c>
      <c r="B14857" s="11">
        <v>44673</v>
      </c>
      <c r="C14857" s="13" t="s">
        <v>2395</v>
      </c>
      <c r="D14857" s="13" t="s">
        <v>2396</v>
      </c>
      <c r="E14857" s="8">
        <v>8526</v>
      </c>
      <c r="F14857" s="13" t="s">
        <v>70</v>
      </c>
      <c r="G14857" s="14">
        <v>44727</v>
      </c>
      <c r="H14857" s="13" t="s">
        <v>172</v>
      </c>
    </row>
    <row r="14858" spans="1:8" ht="14.4" x14ac:dyDescent="0.3">
      <c r="A14858" s="8">
        <v>2414796</v>
      </c>
      <c r="B14858" s="11">
        <v>44673</v>
      </c>
      <c r="C14858" s="13" t="s">
        <v>259</v>
      </c>
      <c r="D14858" s="13" t="s">
        <v>19530</v>
      </c>
      <c r="E14858" s="8">
        <v>44292.85</v>
      </c>
      <c r="F14858" s="13" t="s">
        <v>70</v>
      </c>
      <c r="G14858" s="14">
        <v>44677</v>
      </c>
      <c r="H14858" s="13" t="s">
        <v>172</v>
      </c>
    </row>
    <row r="14859" spans="1:8" ht="14.4" x14ac:dyDescent="0.3">
      <c r="A14859" s="8">
        <v>2414797</v>
      </c>
      <c r="B14859" s="11">
        <v>44673</v>
      </c>
      <c r="C14859" s="13" t="s">
        <v>19531</v>
      </c>
      <c r="D14859" s="13" t="s">
        <v>19532</v>
      </c>
      <c r="E14859" s="8">
        <v>23520</v>
      </c>
      <c r="F14859" s="13" t="s">
        <v>70</v>
      </c>
      <c r="G14859" s="14">
        <v>44679</v>
      </c>
      <c r="H14859" s="13" t="s">
        <v>172</v>
      </c>
    </row>
    <row r="14860" spans="1:8" ht="14.4" x14ac:dyDescent="0.3">
      <c r="A14860" s="8">
        <v>2414798</v>
      </c>
      <c r="B14860" s="11">
        <v>44673</v>
      </c>
      <c r="C14860" s="13" t="s">
        <v>374</v>
      </c>
      <c r="D14860" s="13" t="s">
        <v>19533</v>
      </c>
      <c r="E14860" s="8">
        <v>486815</v>
      </c>
      <c r="F14860" s="13" t="s">
        <v>70</v>
      </c>
      <c r="G14860" s="14">
        <v>44683</v>
      </c>
      <c r="H14860" s="13" t="s">
        <v>172</v>
      </c>
    </row>
    <row r="14861" spans="1:8" ht="14.4" x14ac:dyDescent="0.3">
      <c r="A14861" s="8">
        <v>2414799</v>
      </c>
      <c r="B14861" s="11">
        <v>44673</v>
      </c>
      <c r="C14861" s="13" t="s">
        <v>1745</v>
      </c>
      <c r="D14861" s="13" t="s">
        <v>19534</v>
      </c>
      <c r="E14861" s="8">
        <v>38800</v>
      </c>
      <c r="F14861" s="13" t="s">
        <v>70</v>
      </c>
      <c r="G14861" s="14">
        <v>44679</v>
      </c>
      <c r="H14861" s="13" t="s">
        <v>172</v>
      </c>
    </row>
    <row r="14862" spans="1:8" ht="14.4" x14ac:dyDescent="0.3">
      <c r="A14862" s="8">
        <v>2414800</v>
      </c>
      <c r="B14862" s="11">
        <v>44673</v>
      </c>
      <c r="C14862" s="13" t="s">
        <v>1344</v>
      </c>
      <c r="D14862" s="13" t="s">
        <v>19535</v>
      </c>
      <c r="E14862" s="8">
        <v>7760</v>
      </c>
      <c r="F14862" s="13" t="s">
        <v>70</v>
      </c>
      <c r="G14862" s="14">
        <v>44676</v>
      </c>
      <c r="H14862" s="13" t="s">
        <v>172</v>
      </c>
    </row>
    <row r="14863" spans="1:8" ht="14.4" x14ac:dyDescent="0.3">
      <c r="A14863" s="8">
        <v>3384701</v>
      </c>
      <c r="B14863" s="11">
        <v>44697</v>
      </c>
      <c r="C14863" s="13" t="s">
        <v>621</v>
      </c>
      <c r="D14863" s="13" t="s">
        <v>19536</v>
      </c>
      <c r="E14863" s="8">
        <v>24500</v>
      </c>
      <c r="F14863" s="13" t="s">
        <v>70</v>
      </c>
      <c r="G14863" s="14">
        <v>44706</v>
      </c>
      <c r="H14863" s="13" t="s">
        <v>172</v>
      </c>
    </row>
    <row r="14864" spans="1:8" ht="14.4" x14ac:dyDescent="0.3">
      <c r="A14864" s="8">
        <v>3384702</v>
      </c>
      <c r="B14864" s="11">
        <v>44697</v>
      </c>
      <c r="C14864" s="13" t="s">
        <v>2102</v>
      </c>
      <c r="D14864" s="13" t="s">
        <v>19537</v>
      </c>
      <c r="E14864" s="8">
        <v>59000</v>
      </c>
      <c r="F14864" s="13" t="s">
        <v>70</v>
      </c>
      <c r="G14864" s="14">
        <v>44707</v>
      </c>
      <c r="H14864" s="13" t="s">
        <v>172</v>
      </c>
    </row>
    <row r="14865" spans="1:8" ht="14.4" x14ac:dyDescent="0.3">
      <c r="A14865" s="8">
        <v>3384703</v>
      </c>
      <c r="B14865" s="11">
        <v>44697</v>
      </c>
      <c r="C14865" s="13" t="s">
        <v>19538</v>
      </c>
      <c r="D14865" s="13" t="s">
        <v>19539</v>
      </c>
      <c r="E14865" s="8">
        <v>15000</v>
      </c>
      <c r="F14865" s="13" t="s">
        <v>70</v>
      </c>
      <c r="G14865" s="14">
        <v>44700</v>
      </c>
      <c r="H14865" s="13" t="s">
        <v>172</v>
      </c>
    </row>
    <row r="14866" spans="1:8" ht="14.4" x14ac:dyDescent="0.3">
      <c r="A14866" s="8">
        <v>3384704</v>
      </c>
      <c r="B14866" s="11">
        <v>44697</v>
      </c>
      <c r="C14866" s="13" t="s">
        <v>19540</v>
      </c>
      <c r="D14866" s="13" t="s">
        <v>19541</v>
      </c>
      <c r="E14866" s="8">
        <v>7000</v>
      </c>
      <c r="F14866" s="13" t="s">
        <v>70</v>
      </c>
      <c r="G14866" s="14">
        <v>44704</v>
      </c>
      <c r="H14866" s="13" t="s">
        <v>172</v>
      </c>
    </row>
    <row r="14867" spans="1:8" ht="14.4" x14ac:dyDescent="0.3">
      <c r="A14867" s="8">
        <v>3384705</v>
      </c>
      <c r="B14867" s="11">
        <v>44697</v>
      </c>
      <c r="C14867" s="13" t="s">
        <v>19542</v>
      </c>
      <c r="D14867" s="13" t="s">
        <v>19543</v>
      </c>
      <c r="E14867" s="8">
        <v>6000</v>
      </c>
      <c r="F14867" s="13" t="s">
        <v>70</v>
      </c>
      <c r="G14867" s="14">
        <v>44704</v>
      </c>
      <c r="H14867" s="13" t="s">
        <v>172</v>
      </c>
    </row>
    <row r="14868" spans="1:8" ht="14.4" x14ac:dyDescent="0.3">
      <c r="A14868" s="8">
        <v>3384706</v>
      </c>
      <c r="B14868" s="11">
        <v>44697</v>
      </c>
      <c r="C14868" s="13" t="s">
        <v>19544</v>
      </c>
      <c r="D14868" s="13" t="s">
        <v>19545</v>
      </c>
      <c r="E14868" s="8">
        <v>30000</v>
      </c>
      <c r="F14868" s="13" t="s">
        <v>70</v>
      </c>
      <c r="G14868" s="14">
        <v>44700</v>
      </c>
      <c r="H14868" s="13" t="s">
        <v>172</v>
      </c>
    </row>
    <row r="14869" spans="1:8" ht="14.4" x14ac:dyDescent="0.3">
      <c r="A14869" s="8">
        <v>3384707</v>
      </c>
      <c r="B14869" s="11">
        <v>44697</v>
      </c>
      <c r="C14869" s="13" t="s">
        <v>19546</v>
      </c>
      <c r="D14869" s="13" t="s">
        <v>19547</v>
      </c>
      <c r="E14869" s="8">
        <v>20000</v>
      </c>
      <c r="F14869" s="13" t="s">
        <v>70</v>
      </c>
      <c r="G14869" s="14">
        <v>44699</v>
      </c>
      <c r="H14869" s="13" t="s">
        <v>172</v>
      </c>
    </row>
    <row r="14870" spans="1:8" ht="14.4" x14ac:dyDescent="0.3">
      <c r="A14870" s="8">
        <v>3384708</v>
      </c>
      <c r="B14870" s="11">
        <v>44697</v>
      </c>
      <c r="C14870" s="13" t="s">
        <v>7903</v>
      </c>
      <c r="D14870" s="13" t="s">
        <v>19548</v>
      </c>
      <c r="E14870" s="8">
        <v>27000</v>
      </c>
      <c r="F14870" s="13" t="s">
        <v>70</v>
      </c>
      <c r="G14870" s="14">
        <v>44698</v>
      </c>
      <c r="H14870" s="13" t="s">
        <v>172</v>
      </c>
    </row>
    <row r="14871" spans="1:8" ht="14.4" x14ac:dyDescent="0.3">
      <c r="A14871" s="8">
        <v>3384709</v>
      </c>
      <c r="B14871" s="11">
        <v>44697</v>
      </c>
      <c r="C14871" s="13" t="s">
        <v>12580</v>
      </c>
      <c r="D14871" s="13" t="s">
        <v>19549</v>
      </c>
      <c r="E14871" s="8">
        <v>13000</v>
      </c>
      <c r="F14871" s="13" t="s">
        <v>70</v>
      </c>
      <c r="G14871" s="14">
        <v>44701</v>
      </c>
      <c r="H14871" s="13" t="s">
        <v>172</v>
      </c>
    </row>
    <row r="14872" spans="1:8" ht="14.4" x14ac:dyDescent="0.3">
      <c r="A14872" s="8">
        <v>3384710</v>
      </c>
      <c r="B14872" s="11">
        <v>44697</v>
      </c>
      <c r="C14872" s="13" t="s">
        <v>19550</v>
      </c>
      <c r="D14872" s="13" t="s">
        <v>19551</v>
      </c>
      <c r="E14872" s="8">
        <v>13000</v>
      </c>
      <c r="F14872" s="13" t="s">
        <v>70</v>
      </c>
      <c r="G14872" s="14">
        <v>44701</v>
      </c>
      <c r="H14872" s="13" t="s">
        <v>172</v>
      </c>
    </row>
    <row r="14873" spans="1:8" ht="14.4" x14ac:dyDescent="0.3">
      <c r="A14873" s="8">
        <v>3384711</v>
      </c>
      <c r="B14873" s="11">
        <v>44697</v>
      </c>
      <c r="C14873" s="13" t="s">
        <v>19552</v>
      </c>
      <c r="D14873" s="13" t="s">
        <v>19553</v>
      </c>
      <c r="E14873" s="8">
        <v>10000</v>
      </c>
      <c r="F14873" s="13" t="s">
        <v>70</v>
      </c>
      <c r="G14873" s="14">
        <v>44704</v>
      </c>
      <c r="H14873" s="13" t="s">
        <v>172</v>
      </c>
    </row>
    <row r="14874" spans="1:8" ht="14.4" x14ac:dyDescent="0.3">
      <c r="A14874" s="8">
        <v>3384712</v>
      </c>
      <c r="B14874" s="11">
        <v>44697</v>
      </c>
      <c r="C14874" s="13" t="s">
        <v>19554</v>
      </c>
      <c r="D14874" s="13" t="s">
        <v>19555</v>
      </c>
      <c r="E14874" s="8">
        <v>15000</v>
      </c>
      <c r="F14874" s="13" t="s">
        <v>70</v>
      </c>
      <c r="G14874" s="14">
        <v>44701</v>
      </c>
      <c r="H14874" s="13" t="s">
        <v>172</v>
      </c>
    </row>
    <row r="14875" spans="1:8" ht="14.4" x14ac:dyDescent="0.3">
      <c r="A14875" s="8">
        <v>3384713</v>
      </c>
      <c r="B14875" s="11">
        <v>44697</v>
      </c>
      <c r="C14875" s="13" t="s">
        <v>19556</v>
      </c>
      <c r="D14875" s="13" t="s">
        <v>19557</v>
      </c>
      <c r="E14875" s="8">
        <v>8000</v>
      </c>
      <c r="F14875" s="13" t="s">
        <v>70</v>
      </c>
      <c r="G14875" s="14">
        <v>44704</v>
      </c>
      <c r="H14875" s="13" t="s">
        <v>172</v>
      </c>
    </row>
    <row r="14876" spans="1:8" ht="14.4" x14ac:dyDescent="0.3">
      <c r="A14876" s="8">
        <v>3384714</v>
      </c>
      <c r="B14876" s="11">
        <v>44697</v>
      </c>
      <c r="C14876" s="13" t="s">
        <v>19558</v>
      </c>
      <c r="D14876" s="13" t="s">
        <v>19559</v>
      </c>
      <c r="E14876" s="8">
        <v>35000</v>
      </c>
      <c r="F14876" s="13" t="s">
        <v>70</v>
      </c>
      <c r="G14876" s="14">
        <v>44704</v>
      </c>
      <c r="H14876" s="13" t="s">
        <v>172</v>
      </c>
    </row>
    <row r="14877" spans="1:8" ht="14.4" x14ac:dyDescent="0.3">
      <c r="A14877" s="8">
        <v>3384715</v>
      </c>
      <c r="B14877" s="11">
        <v>44697</v>
      </c>
      <c r="C14877" s="13" t="s">
        <v>19560</v>
      </c>
      <c r="D14877" s="13" t="s">
        <v>47</v>
      </c>
      <c r="E14877" s="8">
        <v>7000</v>
      </c>
      <c r="F14877" s="13" t="s">
        <v>70</v>
      </c>
      <c r="G14877" s="14">
        <v>44705</v>
      </c>
      <c r="H14877" s="13" t="s">
        <v>172</v>
      </c>
    </row>
    <row r="14878" spans="1:8" ht="14.4" x14ac:dyDescent="0.3">
      <c r="A14878" s="8">
        <v>3384716</v>
      </c>
      <c r="B14878" s="11">
        <v>44697</v>
      </c>
      <c r="C14878" s="13" t="s">
        <v>19561</v>
      </c>
      <c r="D14878" s="13" t="s">
        <v>150</v>
      </c>
      <c r="E14878" s="8">
        <v>10000</v>
      </c>
      <c r="F14878" s="13" t="s">
        <v>70</v>
      </c>
      <c r="G14878" s="14">
        <v>44704</v>
      </c>
      <c r="H14878" s="13" t="s">
        <v>172</v>
      </c>
    </row>
    <row r="14879" spans="1:8" ht="14.4" x14ac:dyDescent="0.3">
      <c r="A14879" s="8">
        <v>3384717</v>
      </c>
      <c r="B14879" s="11">
        <v>44697</v>
      </c>
      <c r="C14879" s="13" t="s">
        <v>19562</v>
      </c>
      <c r="D14879" s="13" t="s">
        <v>19563</v>
      </c>
      <c r="E14879" s="8">
        <v>30000</v>
      </c>
      <c r="F14879" s="13" t="s">
        <v>70</v>
      </c>
      <c r="G14879" s="14">
        <v>44699</v>
      </c>
      <c r="H14879" s="13" t="s">
        <v>172</v>
      </c>
    </row>
    <row r="14880" spans="1:8" ht="14.4" x14ac:dyDescent="0.3">
      <c r="A14880" s="8">
        <v>3384718</v>
      </c>
      <c r="B14880" s="11">
        <v>44697</v>
      </c>
      <c r="C14880" s="13" t="s">
        <v>19564</v>
      </c>
      <c r="D14880" s="13" t="s">
        <v>150</v>
      </c>
      <c r="E14880" s="8">
        <v>12000</v>
      </c>
      <c r="F14880" s="13" t="s">
        <v>70</v>
      </c>
      <c r="G14880" s="14">
        <v>44700</v>
      </c>
      <c r="H14880" s="13" t="s">
        <v>172</v>
      </c>
    </row>
    <row r="14881" spans="1:8" ht="14.4" x14ac:dyDescent="0.3">
      <c r="A14881" s="8">
        <v>3384719</v>
      </c>
      <c r="B14881" s="11">
        <v>44697</v>
      </c>
      <c r="C14881" s="13" t="s">
        <v>19565</v>
      </c>
      <c r="D14881" s="13" t="s">
        <v>19566</v>
      </c>
      <c r="E14881" s="8">
        <v>30000</v>
      </c>
      <c r="F14881" s="13" t="s">
        <v>70</v>
      </c>
      <c r="G14881" s="14">
        <v>44700</v>
      </c>
      <c r="H14881" s="13" t="s">
        <v>172</v>
      </c>
    </row>
    <row r="14882" spans="1:8" ht="14.4" x14ac:dyDescent="0.3">
      <c r="A14882" s="8">
        <v>3384720</v>
      </c>
      <c r="B14882" s="11">
        <v>44697</v>
      </c>
      <c r="C14882" s="13" t="s">
        <v>2987</v>
      </c>
      <c r="D14882" s="13" t="s">
        <v>19567</v>
      </c>
      <c r="E14882" s="8">
        <v>18000</v>
      </c>
      <c r="F14882" s="13" t="s">
        <v>70</v>
      </c>
      <c r="G14882" s="14">
        <v>44701</v>
      </c>
      <c r="H14882" s="13" t="s">
        <v>172</v>
      </c>
    </row>
    <row r="14883" spans="1:8" ht="14.4" x14ac:dyDescent="0.3">
      <c r="A14883" s="8">
        <v>3384721</v>
      </c>
      <c r="B14883" s="11">
        <v>44697</v>
      </c>
      <c r="C14883" s="13" t="s">
        <v>180</v>
      </c>
      <c r="D14883" s="13" t="s">
        <v>901</v>
      </c>
      <c r="E14883" s="8">
        <v>459257.73</v>
      </c>
      <c r="F14883" s="13" t="s">
        <v>70</v>
      </c>
      <c r="G14883" s="14">
        <v>44698</v>
      </c>
      <c r="H14883" s="13" t="s">
        <v>172</v>
      </c>
    </row>
    <row r="14884" spans="1:8" ht="14.4" x14ac:dyDescent="0.3">
      <c r="A14884" s="8">
        <v>3384722</v>
      </c>
      <c r="B14884" s="11">
        <v>44697</v>
      </c>
      <c r="C14884" s="13" t="s">
        <v>19568</v>
      </c>
      <c r="D14884" s="13" t="s">
        <v>19569</v>
      </c>
      <c r="E14884" s="8">
        <v>13700</v>
      </c>
      <c r="F14884" s="13" t="s">
        <v>70</v>
      </c>
      <c r="G14884" s="14">
        <v>44700</v>
      </c>
      <c r="H14884" s="13" t="s">
        <v>172</v>
      </c>
    </row>
    <row r="14885" spans="1:8" ht="14.4" x14ac:dyDescent="0.3">
      <c r="A14885" s="8">
        <v>3384723</v>
      </c>
      <c r="B14885" s="11">
        <v>44697</v>
      </c>
      <c r="C14885" s="13" t="s">
        <v>19570</v>
      </c>
      <c r="D14885" s="13" t="s">
        <v>19571</v>
      </c>
      <c r="E14885" s="8">
        <v>8000</v>
      </c>
      <c r="F14885" s="13" t="s">
        <v>70</v>
      </c>
      <c r="G14885" s="14">
        <v>44700</v>
      </c>
      <c r="H14885" s="13" t="s">
        <v>172</v>
      </c>
    </row>
    <row r="14886" spans="1:8" ht="14.4" x14ac:dyDescent="0.3">
      <c r="A14886" s="8">
        <v>3384724</v>
      </c>
      <c r="B14886" s="11">
        <v>44697</v>
      </c>
      <c r="C14886" s="13" t="s">
        <v>12105</v>
      </c>
      <c r="D14886" s="13" t="s">
        <v>19572</v>
      </c>
      <c r="E14886" s="8">
        <v>16000</v>
      </c>
      <c r="F14886" s="13" t="s">
        <v>70</v>
      </c>
      <c r="G14886" s="14">
        <v>44701</v>
      </c>
      <c r="H14886" s="13" t="s">
        <v>172</v>
      </c>
    </row>
    <row r="14887" spans="1:8" ht="14.4" x14ac:dyDescent="0.3">
      <c r="A14887" s="8">
        <v>3384725</v>
      </c>
      <c r="B14887" s="11">
        <v>44697</v>
      </c>
      <c r="C14887" s="13" t="s">
        <v>19573</v>
      </c>
      <c r="D14887" s="13" t="s">
        <v>19574</v>
      </c>
      <c r="E14887" s="8">
        <v>12600</v>
      </c>
      <c r="F14887" s="13" t="s">
        <v>70</v>
      </c>
      <c r="G14887" s="14">
        <v>44700</v>
      </c>
      <c r="H14887" s="13" t="s">
        <v>172</v>
      </c>
    </row>
    <row r="14888" spans="1:8" ht="14.4" x14ac:dyDescent="0.3">
      <c r="A14888" s="8">
        <v>3384726</v>
      </c>
      <c r="B14888" s="11">
        <v>44697</v>
      </c>
      <c r="C14888" s="13" t="s">
        <v>1308</v>
      </c>
      <c r="D14888" s="13" t="s">
        <v>19575</v>
      </c>
      <c r="E14888" s="8">
        <v>46875</v>
      </c>
      <c r="F14888" s="13" t="s">
        <v>70</v>
      </c>
      <c r="G14888" s="14">
        <v>44721</v>
      </c>
      <c r="H14888" s="13" t="s">
        <v>172</v>
      </c>
    </row>
    <row r="14889" spans="1:8" ht="14.4" x14ac:dyDescent="0.3">
      <c r="A14889" s="8">
        <v>3384727</v>
      </c>
      <c r="B14889" s="11">
        <v>44697</v>
      </c>
      <c r="C14889" s="13" t="s">
        <v>9839</v>
      </c>
      <c r="D14889" s="13" t="s">
        <v>19576</v>
      </c>
      <c r="E14889" s="8">
        <v>15000</v>
      </c>
      <c r="F14889" s="13" t="s">
        <v>70</v>
      </c>
      <c r="G14889" s="14">
        <v>44707</v>
      </c>
      <c r="H14889" s="13" t="s">
        <v>172</v>
      </c>
    </row>
    <row r="14890" spans="1:8" ht="14.4" x14ac:dyDescent="0.3">
      <c r="A14890" s="8">
        <v>3384728</v>
      </c>
      <c r="B14890" s="11">
        <v>44697</v>
      </c>
      <c r="C14890" s="13" t="s">
        <v>14380</v>
      </c>
      <c r="D14890" s="13" t="s">
        <v>19576</v>
      </c>
      <c r="E14890" s="8">
        <v>66000</v>
      </c>
      <c r="F14890" s="13" t="s">
        <v>70</v>
      </c>
      <c r="G14890" s="14">
        <v>44708</v>
      </c>
      <c r="H14890" s="13" t="s">
        <v>172</v>
      </c>
    </row>
    <row r="14891" spans="1:8" ht="14.4" x14ac:dyDescent="0.3">
      <c r="A14891" s="8">
        <v>3384729</v>
      </c>
      <c r="B14891" s="11">
        <v>44697</v>
      </c>
      <c r="C14891" s="13" t="s">
        <v>9839</v>
      </c>
      <c r="D14891" s="13" t="s">
        <v>19577</v>
      </c>
      <c r="E14891" s="8">
        <v>40000</v>
      </c>
      <c r="F14891" s="13" t="s">
        <v>70</v>
      </c>
      <c r="G14891" s="14">
        <v>44707</v>
      </c>
      <c r="H14891" s="13" t="s">
        <v>172</v>
      </c>
    </row>
    <row r="14892" spans="1:8" ht="14.4" x14ac:dyDescent="0.3">
      <c r="A14892" s="8">
        <v>3384730</v>
      </c>
      <c r="B14892" s="11">
        <v>44697</v>
      </c>
      <c r="C14892" s="13" t="s">
        <v>19578</v>
      </c>
      <c r="D14892" s="13" t="s">
        <v>19579</v>
      </c>
      <c r="E14892" s="8">
        <v>34000</v>
      </c>
      <c r="F14892" s="13" t="s">
        <v>70</v>
      </c>
      <c r="G14892" s="14">
        <v>44708</v>
      </c>
      <c r="H14892" s="13" t="s">
        <v>172</v>
      </c>
    </row>
    <row r="14893" spans="1:8" ht="14.4" x14ac:dyDescent="0.3">
      <c r="A14893" s="8">
        <v>3384731</v>
      </c>
      <c r="B14893" s="11">
        <v>44697</v>
      </c>
      <c r="C14893" s="13" t="s">
        <v>19580</v>
      </c>
      <c r="D14893" s="13" t="s">
        <v>150</v>
      </c>
      <c r="E14893" s="8">
        <v>10000</v>
      </c>
      <c r="F14893" s="13" t="s">
        <v>70</v>
      </c>
      <c r="G14893" s="14">
        <v>44704</v>
      </c>
      <c r="H14893" s="13" t="s">
        <v>172</v>
      </c>
    </row>
    <row r="14894" spans="1:8" ht="14.4" x14ac:dyDescent="0.3">
      <c r="A14894" s="8">
        <v>3384732</v>
      </c>
      <c r="B14894" s="11">
        <v>44697</v>
      </c>
      <c r="C14894" s="13" t="s">
        <v>19581</v>
      </c>
      <c r="D14894" s="13" t="s">
        <v>19582</v>
      </c>
      <c r="E14894" s="8">
        <v>8000</v>
      </c>
      <c r="F14894" s="13" t="s">
        <v>70</v>
      </c>
      <c r="G14894" s="14">
        <v>44705</v>
      </c>
      <c r="H14894" s="13" t="s">
        <v>172</v>
      </c>
    </row>
    <row r="14895" spans="1:8" ht="14.4" x14ac:dyDescent="0.3">
      <c r="A14895" s="8">
        <v>3384733</v>
      </c>
      <c r="B14895" s="11">
        <v>44697</v>
      </c>
      <c r="C14895" s="13" t="s">
        <v>14380</v>
      </c>
      <c r="D14895" s="13" t="s">
        <v>9729</v>
      </c>
      <c r="E14895" s="8">
        <v>98678</v>
      </c>
      <c r="F14895" s="13" t="s">
        <v>70</v>
      </c>
      <c r="G14895" s="14">
        <v>44708</v>
      </c>
      <c r="H14895" s="13" t="s">
        <v>172</v>
      </c>
    </row>
    <row r="14896" spans="1:8" ht="14.4" x14ac:dyDescent="0.3">
      <c r="A14896" s="8">
        <v>3384734</v>
      </c>
      <c r="B14896" s="11">
        <v>44697</v>
      </c>
      <c r="C14896" s="13" t="s">
        <v>14380</v>
      </c>
      <c r="D14896" s="13" t="s">
        <v>19583</v>
      </c>
      <c r="E14896" s="8">
        <v>48000</v>
      </c>
      <c r="F14896" s="13" t="s">
        <v>70</v>
      </c>
      <c r="G14896" s="14">
        <v>44708</v>
      </c>
      <c r="H14896" s="13" t="s">
        <v>172</v>
      </c>
    </row>
    <row r="14897" spans="1:8" ht="14.4" x14ac:dyDescent="0.3">
      <c r="A14897" s="8">
        <v>3384735</v>
      </c>
      <c r="B14897" s="11">
        <v>44697</v>
      </c>
      <c r="C14897" s="13" t="s">
        <v>19584</v>
      </c>
      <c r="D14897" s="13" t="s">
        <v>19585</v>
      </c>
      <c r="E14897" s="8">
        <v>12000</v>
      </c>
      <c r="F14897" s="13" t="s">
        <v>70</v>
      </c>
      <c r="G14897" s="14">
        <v>44701</v>
      </c>
      <c r="H14897" s="13" t="s">
        <v>172</v>
      </c>
    </row>
    <row r="14898" spans="1:8" ht="14.4" x14ac:dyDescent="0.3">
      <c r="A14898" s="8">
        <v>3384736</v>
      </c>
      <c r="B14898" s="11">
        <v>44697</v>
      </c>
      <c r="C14898" s="13" t="s">
        <v>19586</v>
      </c>
      <c r="D14898" s="13" t="s">
        <v>150</v>
      </c>
      <c r="E14898" s="8">
        <v>7000</v>
      </c>
      <c r="F14898" s="13" t="s">
        <v>70</v>
      </c>
      <c r="G14898" s="14">
        <v>44704</v>
      </c>
      <c r="H14898" s="13" t="s">
        <v>172</v>
      </c>
    </row>
    <row r="14899" spans="1:8" ht="14.4" x14ac:dyDescent="0.3">
      <c r="A14899" s="8">
        <v>3384737</v>
      </c>
      <c r="B14899" s="11">
        <v>44697</v>
      </c>
      <c r="C14899" s="13" t="s">
        <v>19587</v>
      </c>
      <c r="D14899" s="13" t="s">
        <v>150</v>
      </c>
      <c r="E14899" s="8">
        <v>8000</v>
      </c>
      <c r="F14899" s="13" t="s">
        <v>70</v>
      </c>
      <c r="G14899" s="14">
        <v>44704</v>
      </c>
      <c r="H14899" s="13" t="s">
        <v>172</v>
      </c>
    </row>
    <row r="14900" spans="1:8" ht="14.4" x14ac:dyDescent="0.3">
      <c r="A14900" s="8">
        <v>3384738</v>
      </c>
      <c r="B14900" s="11">
        <v>44697</v>
      </c>
      <c r="C14900" s="13" t="s">
        <v>19588</v>
      </c>
      <c r="D14900" s="13" t="s">
        <v>150</v>
      </c>
      <c r="E14900" s="8">
        <v>10000</v>
      </c>
      <c r="F14900" s="13" t="s">
        <v>70</v>
      </c>
      <c r="G14900" s="14">
        <v>44701</v>
      </c>
      <c r="H14900" s="13" t="s">
        <v>172</v>
      </c>
    </row>
    <row r="14901" spans="1:8" ht="14.4" x14ac:dyDescent="0.3">
      <c r="A14901" s="8">
        <v>3384739</v>
      </c>
      <c r="B14901" s="11">
        <v>44697</v>
      </c>
      <c r="C14901" s="13" t="s">
        <v>19589</v>
      </c>
      <c r="D14901" s="13" t="s">
        <v>19590</v>
      </c>
      <c r="E14901" s="8">
        <v>20000</v>
      </c>
      <c r="F14901" s="13" t="s">
        <v>70</v>
      </c>
      <c r="G14901" s="14">
        <v>44701</v>
      </c>
      <c r="H14901" s="13" t="s">
        <v>172</v>
      </c>
    </row>
    <row r="14902" spans="1:8" ht="14.4" x14ac:dyDescent="0.3">
      <c r="A14902" s="8">
        <v>3384740</v>
      </c>
      <c r="B14902" s="11">
        <v>44697</v>
      </c>
      <c r="C14902" s="13" t="s">
        <v>669</v>
      </c>
      <c r="D14902" s="13" t="s">
        <v>2686</v>
      </c>
      <c r="E14902" s="8">
        <v>152500</v>
      </c>
      <c r="F14902" s="13" t="s">
        <v>70</v>
      </c>
      <c r="G14902" s="14">
        <v>44708</v>
      </c>
      <c r="H14902" s="13" t="s">
        <v>172</v>
      </c>
    </row>
    <row r="14903" spans="1:8" ht="14.4" x14ac:dyDescent="0.3">
      <c r="A14903" s="8">
        <v>3384741</v>
      </c>
      <c r="B14903" s="11">
        <v>44697</v>
      </c>
      <c r="C14903" s="13" t="s">
        <v>1596</v>
      </c>
      <c r="D14903" s="13" t="s">
        <v>19591</v>
      </c>
      <c r="E14903" s="8">
        <v>146250.29999999999</v>
      </c>
      <c r="F14903" s="13" t="s">
        <v>70</v>
      </c>
      <c r="G14903" s="14">
        <v>44698</v>
      </c>
      <c r="H14903" s="13" t="s">
        <v>172</v>
      </c>
    </row>
    <row r="14904" spans="1:8" ht="14.4" x14ac:dyDescent="0.3">
      <c r="A14904" s="8">
        <v>3384742</v>
      </c>
      <c r="B14904" s="11">
        <v>44697</v>
      </c>
      <c r="C14904" s="13" t="s">
        <v>201</v>
      </c>
      <c r="D14904" s="13" t="s">
        <v>19592</v>
      </c>
      <c r="E14904" s="8">
        <v>1817.15</v>
      </c>
      <c r="F14904" s="13" t="s">
        <v>70</v>
      </c>
      <c r="G14904" s="14">
        <v>44699</v>
      </c>
      <c r="H14904" s="13" t="s">
        <v>172</v>
      </c>
    </row>
    <row r="14905" spans="1:8" ht="14.4" x14ac:dyDescent="0.3">
      <c r="A14905" s="8">
        <v>3384743</v>
      </c>
      <c r="B14905" s="11">
        <v>44697</v>
      </c>
      <c r="C14905" s="13" t="s">
        <v>19593</v>
      </c>
      <c r="D14905" s="13" t="s">
        <v>19594</v>
      </c>
      <c r="E14905" s="8">
        <v>4029.37</v>
      </c>
      <c r="F14905" s="13" t="s">
        <v>70</v>
      </c>
      <c r="G14905" s="14">
        <v>44704</v>
      </c>
      <c r="H14905" s="13" t="s">
        <v>172</v>
      </c>
    </row>
    <row r="14906" spans="1:8" ht="14.4" x14ac:dyDescent="0.3">
      <c r="A14906" s="8">
        <v>3384744</v>
      </c>
      <c r="B14906" s="11">
        <v>44697</v>
      </c>
      <c r="C14906" s="13" t="s">
        <v>748</v>
      </c>
      <c r="D14906" s="13" t="s">
        <v>19595</v>
      </c>
      <c r="E14906" s="8">
        <v>4687.5</v>
      </c>
      <c r="F14906" s="13" t="s">
        <v>70</v>
      </c>
      <c r="G14906" s="14">
        <v>44704</v>
      </c>
      <c r="H14906" s="13" t="s">
        <v>172</v>
      </c>
    </row>
    <row r="14907" spans="1:8" ht="14.4" x14ac:dyDescent="0.3">
      <c r="A14907" s="8">
        <v>3384745</v>
      </c>
      <c r="B14907" s="11">
        <v>44697</v>
      </c>
      <c r="C14907" s="13" t="s">
        <v>4903</v>
      </c>
      <c r="D14907" s="13" t="s">
        <v>19596</v>
      </c>
      <c r="E14907" s="8">
        <v>2853.55</v>
      </c>
      <c r="F14907" s="13" t="s">
        <v>70</v>
      </c>
      <c r="G14907" s="14">
        <v>44701</v>
      </c>
      <c r="H14907" s="13" t="s">
        <v>172</v>
      </c>
    </row>
    <row r="14908" spans="1:8" ht="14.4" x14ac:dyDescent="0.3">
      <c r="A14908" s="8">
        <v>3384746</v>
      </c>
      <c r="B14908" s="11">
        <v>44697</v>
      </c>
      <c r="C14908" s="13" t="s">
        <v>1380</v>
      </c>
      <c r="D14908" s="13" t="s">
        <v>19597</v>
      </c>
      <c r="E14908" s="8">
        <v>641.69000000000005</v>
      </c>
      <c r="F14908" s="13" t="s">
        <v>70</v>
      </c>
      <c r="G14908" s="14">
        <v>44721</v>
      </c>
      <c r="H14908" s="13" t="s">
        <v>172</v>
      </c>
    </row>
    <row r="14909" spans="1:8" ht="14.4" x14ac:dyDescent="0.3">
      <c r="A14909" s="8">
        <v>3384748</v>
      </c>
      <c r="B14909" s="11">
        <v>44697</v>
      </c>
      <c r="C14909" s="13" t="s">
        <v>265</v>
      </c>
      <c r="D14909" s="13" t="s">
        <v>19598</v>
      </c>
      <c r="E14909" s="8">
        <v>48006</v>
      </c>
      <c r="F14909" s="13" t="s">
        <v>70</v>
      </c>
      <c r="G14909" s="14">
        <v>44699</v>
      </c>
      <c r="H14909" s="13" t="s">
        <v>172</v>
      </c>
    </row>
    <row r="14910" spans="1:8" ht="14.4" x14ac:dyDescent="0.3">
      <c r="A14910" s="8">
        <v>3384749</v>
      </c>
      <c r="B14910" s="11">
        <v>44697</v>
      </c>
      <c r="C14910" s="13" t="s">
        <v>9839</v>
      </c>
      <c r="D14910" s="13" t="s">
        <v>19599</v>
      </c>
      <c r="E14910" s="8">
        <v>23000</v>
      </c>
      <c r="F14910" s="13" t="s">
        <v>70</v>
      </c>
      <c r="G14910" s="14">
        <v>44707</v>
      </c>
      <c r="H14910" s="13" t="s">
        <v>172</v>
      </c>
    </row>
    <row r="14911" spans="1:8" ht="14.4" x14ac:dyDescent="0.3">
      <c r="A14911" s="8">
        <v>3384751</v>
      </c>
      <c r="B14911" s="11">
        <v>44697</v>
      </c>
      <c r="C14911" s="13" t="s">
        <v>1581</v>
      </c>
      <c r="D14911" s="13" t="s">
        <v>19600</v>
      </c>
      <c r="E14911" s="8">
        <v>8517.85</v>
      </c>
      <c r="F14911" s="13" t="s">
        <v>70</v>
      </c>
      <c r="G14911" s="14">
        <v>44699</v>
      </c>
      <c r="H14911" s="13" t="s">
        <v>172</v>
      </c>
    </row>
    <row r="14912" spans="1:8" ht="14.4" x14ac:dyDescent="0.3">
      <c r="A14912" s="8">
        <v>3384752</v>
      </c>
      <c r="B14912" s="11">
        <v>44697</v>
      </c>
      <c r="C14912" s="13" t="s">
        <v>265</v>
      </c>
      <c r="D14912" s="13" t="s">
        <v>19601</v>
      </c>
      <c r="E14912" s="8">
        <v>67070.53</v>
      </c>
      <c r="F14912" s="13" t="s">
        <v>70</v>
      </c>
      <c r="G14912" s="14">
        <v>44699</v>
      </c>
      <c r="H14912" s="13" t="s">
        <v>172</v>
      </c>
    </row>
    <row r="14913" spans="1:8" ht="14.4" x14ac:dyDescent="0.3">
      <c r="A14913" s="8">
        <v>3384753</v>
      </c>
      <c r="B14913" s="11">
        <v>44697</v>
      </c>
      <c r="C14913" s="13" t="s">
        <v>2474</v>
      </c>
      <c r="D14913" s="13" t="s">
        <v>19602</v>
      </c>
      <c r="E14913" s="8">
        <v>3652.12</v>
      </c>
      <c r="F14913" s="13" t="s">
        <v>70</v>
      </c>
      <c r="G14913" s="14">
        <v>44729</v>
      </c>
      <c r="H14913" s="13" t="s">
        <v>172</v>
      </c>
    </row>
    <row r="14914" spans="1:8" ht="14.4" x14ac:dyDescent="0.3">
      <c r="A14914" s="8">
        <v>3384754</v>
      </c>
      <c r="B14914" s="11">
        <v>44697</v>
      </c>
      <c r="C14914" s="13" t="s">
        <v>19603</v>
      </c>
      <c r="D14914" s="13" t="s">
        <v>19604</v>
      </c>
      <c r="E14914" s="8">
        <v>886.68</v>
      </c>
      <c r="F14914" s="13" t="s">
        <v>70</v>
      </c>
      <c r="G14914" s="14">
        <v>44851</v>
      </c>
      <c r="H14914" s="13" t="s">
        <v>172</v>
      </c>
    </row>
    <row r="14915" spans="1:8" ht="14.4" x14ac:dyDescent="0.3">
      <c r="A14915" s="8">
        <v>3384755</v>
      </c>
      <c r="B14915" s="11">
        <v>44697</v>
      </c>
      <c r="C14915" s="13" t="s">
        <v>259</v>
      </c>
      <c r="D14915" s="13" t="s">
        <v>34</v>
      </c>
      <c r="E14915" s="8">
        <v>3795</v>
      </c>
      <c r="F14915" s="13" t="s">
        <v>70</v>
      </c>
      <c r="G14915" s="14">
        <v>44699</v>
      </c>
      <c r="H14915" s="13" t="s">
        <v>172</v>
      </c>
    </row>
    <row r="14916" spans="1:8" ht="14.4" x14ac:dyDescent="0.3">
      <c r="A14916" s="8">
        <v>3384756</v>
      </c>
      <c r="B14916" s="11">
        <v>44697</v>
      </c>
      <c r="C14916" s="13" t="s">
        <v>1033</v>
      </c>
      <c r="D14916" s="13" t="s">
        <v>19605</v>
      </c>
      <c r="E14916" s="8">
        <v>17460</v>
      </c>
      <c r="F14916" s="13" t="s">
        <v>70</v>
      </c>
      <c r="G14916" s="14">
        <v>44707</v>
      </c>
      <c r="H14916" s="13" t="s">
        <v>172</v>
      </c>
    </row>
    <row r="14917" spans="1:8" ht="14.4" x14ac:dyDescent="0.3">
      <c r="A14917" s="8">
        <v>3384757</v>
      </c>
      <c r="B14917" s="11">
        <v>44697</v>
      </c>
      <c r="C14917" s="13" t="s">
        <v>1596</v>
      </c>
      <c r="D14917" s="13" t="s">
        <v>19606</v>
      </c>
      <c r="E14917" s="8">
        <v>17150</v>
      </c>
      <c r="F14917" s="13" t="s">
        <v>70</v>
      </c>
      <c r="G14917" s="14">
        <v>44698</v>
      </c>
      <c r="H14917" s="13" t="s">
        <v>172</v>
      </c>
    </row>
    <row r="14918" spans="1:8" ht="14.4" x14ac:dyDescent="0.3">
      <c r="A14918" s="8">
        <v>3384758</v>
      </c>
      <c r="B14918" s="11">
        <v>44697</v>
      </c>
      <c r="C14918" s="13" t="s">
        <v>1596</v>
      </c>
      <c r="D14918" s="13" t="s">
        <v>19607</v>
      </c>
      <c r="E14918" s="8">
        <v>1176</v>
      </c>
      <c r="F14918" s="13" t="s">
        <v>70</v>
      </c>
      <c r="G14918" s="14">
        <v>44698</v>
      </c>
      <c r="H14918" s="13" t="s">
        <v>172</v>
      </c>
    </row>
    <row r="14919" spans="1:8" ht="14.4" x14ac:dyDescent="0.3">
      <c r="A14919" s="8">
        <v>3384759</v>
      </c>
      <c r="B14919" s="11">
        <v>44697</v>
      </c>
      <c r="C14919" s="13" t="s">
        <v>1784</v>
      </c>
      <c r="D14919" s="13" t="s">
        <v>19608</v>
      </c>
      <c r="E14919" s="8">
        <v>7500</v>
      </c>
      <c r="F14919" s="13" t="s">
        <v>70</v>
      </c>
      <c r="G14919" s="14">
        <v>44705</v>
      </c>
      <c r="H14919" s="13" t="s">
        <v>172</v>
      </c>
    </row>
    <row r="14920" spans="1:8" ht="14.4" x14ac:dyDescent="0.3">
      <c r="A14920" s="8">
        <v>3384760</v>
      </c>
      <c r="B14920" s="11">
        <v>44697</v>
      </c>
      <c r="C14920" s="13" t="s">
        <v>1784</v>
      </c>
      <c r="D14920" s="13" t="s">
        <v>19609</v>
      </c>
      <c r="E14920" s="8">
        <v>13500</v>
      </c>
      <c r="F14920" s="13" t="s">
        <v>70</v>
      </c>
      <c r="G14920" s="14">
        <v>44705</v>
      </c>
      <c r="H14920" s="13" t="s">
        <v>172</v>
      </c>
    </row>
    <row r="14921" spans="1:8" ht="14.4" x14ac:dyDescent="0.3">
      <c r="A14921" s="8">
        <v>3384761</v>
      </c>
      <c r="B14921" s="11">
        <v>44697</v>
      </c>
      <c r="C14921" s="13" t="s">
        <v>2074</v>
      </c>
      <c r="D14921" s="13" t="s">
        <v>19610</v>
      </c>
      <c r="E14921" s="8">
        <v>5063.3900000000003</v>
      </c>
      <c r="F14921" s="13" t="s">
        <v>70</v>
      </c>
      <c r="G14921" s="14">
        <v>44705</v>
      </c>
      <c r="H14921" s="13" t="s">
        <v>172</v>
      </c>
    </row>
    <row r="14922" spans="1:8" ht="14.4" x14ac:dyDescent="0.3">
      <c r="A14922" s="8">
        <v>3384762</v>
      </c>
      <c r="B14922" s="11">
        <v>44697</v>
      </c>
      <c r="C14922" s="13" t="s">
        <v>405</v>
      </c>
      <c r="D14922" s="13" t="s">
        <v>19611</v>
      </c>
      <c r="E14922" s="8">
        <v>28381.64</v>
      </c>
      <c r="F14922" s="13" t="s">
        <v>70</v>
      </c>
      <c r="G14922" s="14">
        <v>44698</v>
      </c>
      <c r="H14922" s="13" t="s">
        <v>172</v>
      </c>
    </row>
    <row r="14923" spans="1:8" ht="14.4" x14ac:dyDescent="0.3">
      <c r="A14923" s="8">
        <v>3384763</v>
      </c>
      <c r="B14923" s="11">
        <v>44697</v>
      </c>
      <c r="C14923" s="13" t="s">
        <v>893</v>
      </c>
      <c r="D14923" s="13" t="s">
        <v>19612</v>
      </c>
      <c r="E14923" s="8">
        <v>180000</v>
      </c>
      <c r="F14923" s="13" t="s">
        <v>70</v>
      </c>
      <c r="G14923" s="14">
        <v>44708</v>
      </c>
      <c r="H14923" s="13" t="s">
        <v>172</v>
      </c>
    </row>
    <row r="14924" spans="1:8" ht="14.4" x14ac:dyDescent="0.3">
      <c r="A14924" s="8">
        <v>3384764</v>
      </c>
      <c r="B14924" s="11">
        <v>44697</v>
      </c>
      <c r="C14924" s="13" t="s">
        <v>697</v>
      </c>
      <c r="D14924" s="13" t="s">
        <v>19613</v>
      </c>
      <c r="E14924" s="8">
        <v>534.47</v>
      </c>
      <c r="F14924" s="13" t="s">
        <v>70</v>
      </c>
      <c r="G14924" s="14">
        <v>44711</v>
      </c>
      <c r="H14924" s="13" t="s">
        <v>172</v>
      </c>
    </row>
    <row r="14925" spans="1:8" ht="14.4" x14ac:dyDescent="0.3">
      <c r="A14925" s="8">
        <v>3384765</v>
      </c>
      <c r="B14925" s="11">
        <v>44697</v>
      </c>
      <c r="C14925" s="13" t="s">
        <v>893</v>
      </c>
      <c r="D14925" s="13" t="s">
        <v>19614</v>
      </c>
      <c r="E14925" s="8">
        <v>213710.53</v>
      </c>
      <c r="F14925" s="13" t="s">
        <v>70</v>
      </c>
      <c r="G14925" s="14">
        <v>44708</v>
      </c>
      <c r="H14925" s="13" t="s">
        <v>172</v>
      </c>
    </row>
    <row r="14926" spans="1:8" ht="14.4" x14ac:dyDescent="0.3">
      <c r="A14926" s="8">
        <v>3384766</v>
      </c>
      <c r="B14926" s="11">
        <v>44697</v>
      </c>
      <c r="C14926" s="13" t="s">
        <v>893</v>
      </c>
      <c r="D14926" s="13" t="s">
        <v>19537</v>
      </c>
      <c r="E14926" s="8">
        <v>153600</v>
      </c>
      <c r="F14926" s="13" t="s">
        <v>70</v>
      </c>
      <c r="G14926" s="14">
        <v>44708</v>
      </c>
      <c r="H14926" s="13" t="s">
        <v>172</v>
      </c>
    </row>
    <row r="14927" spans="1:8" ht="14.4" x14ac:dyDescent="0.3">
      <c r="A14927" s="8">
        <v>3384767</v>
      </c>
      <c r="B14927" s="11">
        <v>44697</v>
      </c>
      <c r="C14927" s="13" t="s">
        <v>9839</v>
      </c>
      <c r="D14927" s="13" t="s">
        <v>2104</v>
      </c>
      <c r="E14927" s="8">
        <v>16000</v>
      </c>
      <c r="F14927" s="13" t="s">
        <v>70</v>
      </c>
      <c r="G14927" s="14">
        <v>44707</v>
      </c>
      <c r="H14927" s="13" t="s">
        <v>172</v>
      </c>
    </row>
    <row r="14928" spans="1:8" ht="14.4" x14ac:dyDescent="0.3">
      <c r="A14928" s="8">
        <v>3384768</v>
      </c>
      <c r="B14928" s="11">
        <v>44698</v>
      </c>
      <c r="C14928" s="13" t="s">
        <v>159</v>
      </c>
      <c r="D14928" s="13" t="s">
        <v>2705</v>
      </c>
      <c r="E14928" s="8">
        <v>202500</v>
      </c>
      <c r="F14928" s="13" t="s">
        <v>70</v>
      </c>
      <c r="G14928" s="14">
        <v>44699</v>
      </c>
      <c r="H14928" s="13" t="s">
        <v>172</v>
      </c>
    </row>
    <row r="14929" spans="1:8" ht="14.4" x14ac:dyDescent="0.3">
      <c r="A14929" s="8">
        <v>3384769</v>
      </c>
      <c r="B14929" s="11">
        <v>44698</v>
      </c>
      <c r="C14929" s="13" t="s">
        <v>159</v>
      </c>
      <c r="D14929" s="13" t="s">
        <v>2705</v>
      </c>
      <c r="E14929" s="8">
        <v>201500</v>
      </c>
      <c r="F14929" s="13" t="s">
        <v>70</v>
      </c>
      <c r="G14929" s="14">
        <v>44699</v>
      </c>
      <c r="H14929" s="13" t="s">
        <v>172</v>
      </c>
    </row>
    <row r="14930" spans="1:8" ht="14.4" x14ac:dyDescent="0.3">
      <c r="A14930" s="8">
        <v>3384770</v>
      </c>
      <c r="B14930" s="11">
        <v>44698</v>
      </c>
      <c r="C14930" s="13" t="s">
        <v>363</v>
      </c>
      <c r="D14930" s="13" t="s">
        <v>19615</v>
      </c>
      <c r="E14930" s="8">
        <v>31403.18</v>
      </c>
      <c r="F14930" s="13" t="s">
        <v>70</v>
      </c>
      <c r="G14930" s="14">
        <v>44701</v>
      </c>
      <c r="H14930" s="13" t="s">
        <v>172</v>
      </c>
    </row>
    <row r="14931" spans="1:8" ht="14.4" x14ac:dyDescent="0.3">
      <c r="A14931" s="8">
        <v>3384771</v>
      </c>
      <c r="B14931" s="11">
        <v>44698</v>
      </c>
      <c r="C14931" s="13" t="s">
        <v>265</v>
      </c>
      <c r="D14931" s="13" t="s">
        <v>19616</v>
      </c>
      <c r="E14931" s="8">
        <v>160902.1</v>
      </c>
      <c r="F14931" s="13" t="s">
        <v>70</v>
      </c>
      <c r="G14931" s="14">
        <v>44701</v>
      </c>
      <c r="H14931" s="13" t="s">
        <v>172</v>
      </c>
    </row>
    <row r="14932" spans="1:8" ht="14.4" x14ac:dyDescent="0.3">
      <c r="A14932" s="8">
        <v>3384772</v>
      </c>
      <c r="B14932" s="11">
        <v>44698</v>
      </c>
      <c r="C14932" s="13" t="s">
        <v>265</v>
      </c>
      <c r="D14932" s="13" t="s">
        <v>19617</v>
      </c>
      <c r="E14932" s="8">
        <v>47720</v>
      </c>
      <c r="F14932" s="13" t="s">
        <v>70</v>
      </c>
      <c r="G14932" s="14">
        <v>44701</v>
      </c>
      <c r="H14932" s="13" t="s">
        <v>172</v>
      </c>
    </row>
    <row r="14933" spans="1:8" ht="14.4" x14ac:dyDescent="0.3">
      <c r="A14933" s="8">
        <v>3384773</v>
      </c>
      <c r="B14933" s="11">
        <v>44700</v>
      </c>
      <c r="C14933" s="13" t="s">
        <v>1286</v>
      </c>
      <c r="D14933" s="13" t="s">
        <v>19618</v>
      </c>
      <c r="E14933" s="8">
        <v>124944.43</v>
      </c>
      <c r="F14933" s="13" t="s">
        <v>70</v>
      </c>
      <c r="G14933" s="14">
        <v>44704</v>
      </c>
      <c r="H14933" s="13" t="s">
        <v>172</v>
      </c>
    </row>
    <row r="14934" spans="1:8" ht="14.4" x14ac:dyDescent="0.3">
      <c r="A14934" s="8">
        <v>3384774</v>
      </c>
      <c r="B14934" s="11">
        <v>44700</v>
      </c>
      <c r="C14934" s="13" t="s">
        <v>1286</v>
      </c>
      <c r="D14934" s="13" t="s">
        <v>19619</v>
      </c>
      <c r="E14934" s="8">
        <v>35398.870000000003</v>
      </c>
      <c r="F14934" s="13" t="s">
        <v>70</v>
      </c>
      <c r="G14934" s="14">
        <v>44704</v>
      </c>
      <c r="H14934" s="13" t="s">
        <v>172</v>
      </c>
    </row>
    <row r="14935" spans="1:8" ht="14.4" x14ac:dyDescent="0.3">
      <c r="A14935" s="8">
        <v>3384775</v>
      </c>
      <c r="B14935" s="11">
        <v>44700</v>
      </c>
      <c r="C14935" s="13" t="s">
        <v>1286</v>
      </c>
      <c r="D14935" s="13" t="s">
        <v>19620</v>
      </c>
      <c r="E14935" s="8">
        <v>213244.49</v>
      </c>
      <c r="F14935" s="13" t="s">
        <v>70</v>
      </c>
      <c r="G14935" s="14">
        <v>44704</v>
      </c>
      <c r="H14935" s="13" t="s">
        <v>172</v>
      </c>
    </row>
    <row r="14936" spans="1:8" ht="14.4" x14ac:dyDescent="0.3">
      <c r="A14936" s="8">
        <v>3384776</v>
      </c>
      <c r="B14936" s="11">
        <v>44700</v>
      </c>
      <c r="C14936" s="13" t="s">
        <v>1286</v>
      </c>
      <c r="D14936" s="13" t="s">
        <v>19621</v>
      </c>
      <c r="E14936" s="8">
        <v>49388.33</v>
      </c>
      <c r="F14936" s="13" t="s">
        <v>70</v>
      </c>
      <c r="G14936" s="14">
        <v>44704</v>
      </c>
      <c r="H14936" s="13" t="s">
        <v>172</v>
      </c>
    </row>
    <row r="14937" spans="1:8" ht="14.4" x14ac:dyDescent="0.3">
      <c r="A14937" s="8">
        <v>3384777</v>
      </c>
      <c r="B14937" s="11">
        <v>44700</v>
      </c>
      <c r="C14937" s="13" t="s">
        <v>66</v>
      </c>
      <c r="D14937" s="13" t="s">
        <v>19622</v>
      </c>
      <c r="E14937" s="8">
        <v>87071.43</v>
      </c>
      <c r="F14937" s="13" t="s">
        <v>70</v>
      </c>
      <c r="G14937" s="14">
        <v>44714</v>
      </c>
      <c r="H14937" s="13" t="s">
        <v>172</v>
      </c>
    </row>
    <row r="14938" spans="1:8" ht="14.4" x14ac:dyDescent="0.3">
      <c r="A14938" s="8">
        <v>3384778</v>
      </c>
      <c r="B14938" s="11">
        <v>44700</v>
      </c>
      <c r="C14938" s="13" t="s">
        <v>287</v>
      </c>
      <c r="D14938" s="13" t="s">
        <v>19623</v>
      </c>
      <c r="E14938" s="8">
        <v>7250</v>
      </c>
      <c r="F14938" s="13" t="s">
        <v>70</v>
      </c>
      <c r="G14938" s="14">
        <v>44704</v>
      </c>
      <c r="H14938" s="13" t="s">
        <v>172</v>
      </c>
    </row>
    <row r="14939" spans="1:8" ht="14.4" x14ac:dyDescent="0.3">
      <c r="A14939" s="8">
        <v>3384779</v>
      </c>
      <c r="B14939" s="11">
        <v>44700</v>
      </c>
      <c r="C14939" s="13" t="s">
        <v>52</v>
      </c>
      <c r="D14939" s="13" t="s">
        <v>19624</v>
      </c>
      <c r="E14939" s="8">
        <v>123035.72</v>
      </c>
      <c r="F14939" s="13" t="s">
        <v>70</v>
      </c>
      <c r="G14939" s="14">
        <v>44708</v>
      </c>
      <c r="H14939" s="13" t="s">
        <v>172</v>
      </c>
    </row>
    <row r="14940" spans="1:8" ht="14.4" x14ac:dyDescent="0.3">
      <c r="A14940" s="8">
        <v>3384780</v>
      </c>
      <c r="B14940" s="11">
        <v>44700</v>
      </c>
      <c r="C14940" s="13" t="s">
        <v>2842</v>
      </c>
      <c r="D14940" s="13" t="s">
        <v>19625</v>
      </c>
      <c r="E14940" s="8">
        <v>90072.36</v>
      </c>
      <c r="F14940" s="13" t="s">
        <v>70</v>
      </c>
      <c r="G14940" s="14">
        <v>44701</v>
      </c>
      <c r="H14940" s="13" t="s">
        <v>172</v>
      </c>
    </row>
    <row r="14941" spans="1:8" ht="14.4" x14ac:dyDescent="0.3">
      <c r="A14941" s="8">
        <v>3384781</v>
      </c>
      <c r="B14941" s="11">
        <v>44700</v>
      </c>
      <c r="C14941" s="13" t="s">
        <v>186</v>
      </c>
      <c r="D14941" s="13" t="s">
        <v>2276</v>
      </c>
      <c r="E14941" s="8">
        <v>432</v>
      </c>
      <c r="F14941" s="13" t="s">
        <v>70</v>
      </c>
      <c r="G14941" s="14">
        <v>44704</v>
      </c>
      <c r="H14941" s="13" t="s">
        <v>172</v>
      </c>
    </row>
    <row r="14942" spans="1:8" ht="14.4" x14ac:dyDescent="0.3">
      <c r="A14942" s="8">
        <v>3384782</v>
      </c>
      <c r="B14942" s="11">
        <v>44700</v>
      </c>
      <c r="C14942" s="13" t="s">
        <v>19626</v>
      </c>
      <c r="D14942" s="13" t="s">
        <v>19627</v>
      </c>
      <c r="E14942" s="8">
        <v>5000</v>
      </c>
      <c r="F14942" s="13" t="s">
        <v>70</v>
      </c>
      <c r="G14942" s="14">
        <v>44713</v>
      </c>
      <c r="H14942" s="13" t="s">
        <v>172</v>
      </c>
    </row>
    <row r="14943" spans="1:8" ht="14.4" x14ac:dyDescent="0.3">
      <c r="A14943" s="8">
        <v>3384783</v>
      </c>
      <c r="B14943" s="11">
        <v>44700</v>
      </c>
      <c r="C14943" s="13" t="s">
        <v>1726</v>
      </c>
      <c r="D14943" s="13" t="s">
        <v>19628</v>
      </c>
      <c r="E14943" s="8">
        <v>81480</v>
      </c>
      <c r="F14943" s="13" t="s">
        <v>70</v>
      </c>
      <c r="G14943" s="14">
        <v>44713</v>
      </c>
      <c r="H14943" s="13" t="s">
        <v>172</v>
      </c>
    </row>
    <row r="14944" spans="1:8" ht="14.4" x14ac:dyDescent="0.3">
      <c r="A14944" s="8">
        <v>3384784</v>
      </c>
      <c r="B14944" s="11">
        <v>44700</v>
      </c>
      <c r="C14944" s="13" t="s">
        <v>19629</v>
      </c>
      <c r="D14944" s="13" t="s">
        <v>19630</v>
      </c>
      <c r="E14944" s="8">
        <v>5000</v>
      </c>
      <c r="F14944" s="13" t="s">
        <v>70</v>
      </c>
      <c r="G14944" s="14">
        <v>44706</v>
      </c>
      <c r="H14944" s="13" t="s">
        <v>172</v>
      </c>
    </row>
    <row r="14945" spans="1:8" ht="14.4" x14ac:dyDescent="0.3">
      <c r="A14945" s="8">
        <v>3384785</v>
      </c>
      <c r="B14945" s="11">
        <v>44700</v>
      </c>
      <c r="C14945" s="13" t="s">
        <v>8030</v>
      </c>
      <c r="D14945" s="13" t="s">
        <v>19631</v>
      </c>
      <c r="E14945" s="8">
        <v>9000</v>
      </c>
      <c r="F14945" s="13" t="s">
        <v>70</v>
      </c>
      <c r="G14945" s="14">
        <v>44701</v>
      </c>
      <c r="H14945" s="13" t="s">
        <v>172</v>
      </c>
    </row>
    <row r="14946" spans="1:8" ht="14.4" x14ac:dyDescent="0.3">
      <c r="A14946" s="8">
        <v>3384786</v>
      </c>
      <c r="B14946" s="11">
        <v>44700</v>
      </c>
      <c r="C14946" s="13" t="s">
        <v>113</v>
      </c>
      <c r="D14946" s="13" t="s">
        <v>2522</v>
      </c>
      <c r="E14946" s="8">
        <v>20000</v>
      </c>
      <c r="F14946" s="13" t="s">
        <v>70</v>
      </c>
      <c r="G14946" s="14">
        <v>44705</v>
      </c>
      <c r="H14946" s="13" t="s">
        <v>172</v>
      </c>
    </row>
    <row r="14947" spans="1:8" ht="14.4" x14ac:dyDescent="0.3">
      <c r="A14947" s="8">
        <v>3384787</v>
      </c>
      <c r="B14947" s="11">
        <v>44700</v>
      </c>
      <c r="C14947" s="13" t="s">
        <v>114</v>
      </c>
      <c r="D14947" s="13" t="s">
        <v>2521</v>
      </c>
      <c r="E14947" s="8">
        <v>10000</v>
      </c>
      <c r="F14947" s="13" t="s">
        <v>70</v>
      </c>
      <c r="G14947" s="14">
        <v>44705</v>
      </c>
      <c r="H14947" s="13" t="s">
        <v>172</v>
      </c>
    </row>
    <row r="14948" spans="1:8" ht="14.4" x14ac:dyDescent="0.3">
      <c r="A14948" s="8">
        <v>3384788</v>
      </c>
      <c r="B14948" s="11">
        <v>44700</v>
      </c>
      <c r="C14948" s="13" t="s">
        <v>115</v>
      </c>
      <c r="D14948" s="13" t="s">
        <v>2186</v>
      </c>
      <c r="E14948" s="8">
        <v>5000</v>
      </c>
      <c r="F14948" s="13" t="s">
        <v>70</v>
      </c>
      <c r="G14948" s="14">
        <v>44707</v>
      </c>
      <c r="H14948" s="13" t="s">
        <v>172</v>
      </c>
    </row>
    <row r="14949" spans="1:8" ht="14.4" x14ac:dyDescent="0.3">
      <c r="A14949" s="8">
        <v>3384789</v>
      </c>
      <c r="B14949" s="11">
        <v>44700</v>
      </c>
      <c r="C14949" s="13" t="s">
        <v>116</v>
      </c>
      <c r="D14949" s="13" t="s">
        <v>2186</v>
      </c>
      <c r="E14949" s="8">
        <v>5000</v>
      </c>
      <c r="F14949" s="13" t="s">
        <v>70</v>
      </c>
      <c r="G14949" s="14">
        <v>44705</v>
      </c>
      <c r="H14949" s="13" t="s">
        <v>172</v>
      </c>
    </row>
    <row r="14950" spans="1:8" ht="14.4" x14ac:dyDescent="0.3">
      <c r="A14950" s="8">
        <v>3384790</v>
      </c>
      <c r="B14950" s="11">
        <v>44700</v>
      </c>
      <c r="C14950" s="13" t="s">
        <v>117</v>
      </c>
      <c r="D14950" s="13" t="s">
        <v>2186</v>
      </c>
      <c r="E14950" s="8">
        <v>3000</v>
      </c>
      <c r="F14950" s="13" t="s">
        <v>70</v>
      </c>
      <c r="G14950" s="14">
        <v>44708</v>
      </c>
      <c r="H14950" s="13" t="s">
        <v>172</v>
      </c>
    </row>
    <row r="14951" spans="1:8" ht="14.4" x14ac:dyDescent="0.3">
      <c r="A14951" s="8">
        <v>3384791</v>
      </c>
      <c r="B14951" s="11">
        <v>44700</v>
      </c>
      <c r="C14951" s="13" t="s">
        <v>748</v>
      </c>
      <c r="D14951" s="13" t="s">
        <v>19632</v>
      </c>
      <c r="E14951" s="8">
        <v>3972.18</v>
      </c>
      <c r="F14951" s="13" t="s">
        <v>70</v>
      </c>
      <c r="G14951" s="14">
        <v>44704</v>
      </c>
      <c r="H14951" s="13" t="s">
        <v>172</v>
      </c>
    </row>
    <row r="14952" spans="1:8" ht="14.4" x14ac:dyDescent="0.3">
      <c r="A14952" s="8">
        <v>3384792</v>
      </c>
      <c r="B14952" s="11">
        <v>44700</v>
      </c>
      <c r="C14952" s="13" t="s">
        <v>748</v>
      </c>
      <c r="D14952" s="13" t="s">
        <v>19633</v>
      </c>
      <c r="E14952" s="8">
        <v>4687.5</v>
      </c>
      <c r="F14952" s="13" t="s">
        <v>70</v>
      </c>
      <c r="G14952" s="14">
        <v>44704</v>
      </c>
      <c r="H14952" s="13" t="s">
        <v>172</v>
      </c>
    </row>
    <row r="14953" spans="1:8" ht="14.4" x14ac:dyDescent="0.3">
      <c r="A14953" s="8">
        <v>3384793</v>
      </c>
      <c r="B14953" s="11">
        <v>44700</v>
      </c>
      <c r="C14953" s="13" t="s">
        <v>748</v>
      </c>
      <c r="D14953" s="13" t="s">
        <v>19634</v>
      </c>
      <c r="E14953" s="8">
        <v>4124.07</v>
      </c>
      <c r="F14953" s="13" t="s">
        <v>70</v>
      </c>
      <c r="G14953" s="14">
        <v>44704</v>
      </c>
      <c r="H14953" s="13" t="s">
        <v>172</v>
      </c>
    </row>
    <row r="14954" spans="1:8" ht="14.4" x14ac:dyDescent="0.3">
      <c r="A14954" s="8">
        <v>3384794</v>
      </c>
      <c r="B14954" s="11">
        <v>44700</v>
      </c>
      <c r="C14954" s="13" t="s">
        <v>19635</v>
      </c>
      <c r="D14954" s="13" t="s">
        <v>19636</v>
      </c>
      <c r="E14954" s="8">
        <v>5661</v>
      </c>
      <c r="F14954" s="13" t="s">
        <v>70</v>
      </c>
      <c r="G14954" s="14">
        <v>44704</v>
      </c>
      <c r="H14954" s="13" t="s">
        <v>172</v>
      </c>
    </row>
    <row r="14955" spans="1:8" ht="14.4" x14ac:dyDescent="0.3">
      <c r="A14955" s="8">
        <v>3384795</v>
      </c>
      <c r="B14955" s="11">
        <v>44700</v>
      </c>
      <c r="C14955" s="13" t="s">
        <v>19637</v>
      </c>
      <c r="D14955" s="13" t="s">
        <v>19638</v>
      </c>
      <c r="E14955" s="8">
        <v>2187.66</v>
      </c>
      <c r="F14955" s="13" t="s">
        <v>70</v>
      </c>
      <c r="G14955" s="14">
        <v>44704</v>
      </c>
      <c r="H14955" s="13" t="s">
        <v>172</v>
      </c>
    </row>
    <row r="14956" spans="1:8" ht="14.4" x14ac:dyDescent="0.3">
      <c r="A14956" s="8">
        <v>3384796</v>
      </c>
      <c r="B14956" s="11">
        <v>44700</v>
      </c>
      <c r="C14956" s="13" t="s">
        <v>19639</v>
      </c>
      <c r="D14956" s="13" t="s">
        <v>19640</v>
      </c>
      <c r="E14956" s="8">
        <v>35915.85</v>
      </c>
      <c r="F14956" s="13" t="s">
        <v>70</v>
      </c>
      <c r="G14956" s="14">
        <v>44701</v>
      </c>
      <c r="H14956" s="13" t="s">
        <v>172</v>
      </c>
    </row>
    <row r="14957" spans="1:8" ht="14.4" x14ac:dyDescent="0.3">
      <c r="A14957" s="8">
        <v>3384797</v>
      </c>
      <c r="B14957" s="11">
        <v>44700</v>
      </c>
      <c r="C14957" s="13" t="s">
        <v>19641</v>
      </c>
      <c r="D14957" s="13" t="s">
        <v>19642</v>
      </c>
      <c r="E14957" s="8">
        <v>17000</v>
      </c>
      <c r="F14957" s="13" t="s">
        <v>70</v>
      </c>
      <c r="G14957" s="14">
        <v>44708</v>
      </c>
      <c r="H14957" s="13" t="s">
        <v>172</v>
      </c>
    </row>
    <row r="14958" spans="1:8" ht="14.4" x14ac:dyDescent="0.3">
      <c r="A14958" s="8">
        <v>3384798</v>
      </c>
      <c r="B14958" s="11">
        <v>44700</v>
      </c>
      <c r="C14958" s="13" t="s">
        <v>15205</v>
      </c>
      <c r="D14958" s="13" t="s">
        <v>19643</v>
      </c>
      <c r="E14958" s="8">
        <v>20000</v>
      </c>
      <c r="F14958" s="13" t="s">
        <v>70</v>
      </c>
      <c r="G14958" s="14">
        <v>44707</v>
      </c>
      <c r="H14958" s="13" t="s">
        <v>172</v>
      </c>
    </row>
    <row r="14959" spans="1:8" ht="14.4" x14ac:dyDescent="0.3">
      <c r="A14959" s="8">
        <v>3384799</v>
      </c>
      <c r="B14959" s="11">
        <v>44700</v>
      </c>
      <c r="C14959" s="13" t="s">
        <v>19644</v>
      </c>
      <c r="D14959" s="13" t="s">
        <v>19645</v>
      </c>
      <c r="E14959" s="8">
        <v>30000</v>
      </c>
      <c r="F14959" s="13" t="s">
        <v>70</v>
      </c>
      <c r="G14959" s="14">
        <v>44718</v>
      </c>
      <c r="H14959" s="13" t="s">
        <v>172</v>
      </c>
    </row>
    <row r="14960" spans="1:8" ht="14.4" x14ac:dyDescent="0.3">
      <c r="A14960" s="8">
        <v>3384800</v>
      </c>
      <c r="B14960" s="11">
        <v>44700</v>
      </c>
      <c r="C14960" s="13" t="s">
        <v>19646</v>
      </c>
      <c r="D14960" s="13" t="s">
        <v>19647</v>
      </c>
      <c r="E14960" s="8">
        <v>20000</v>
      </c>
      <c r="F14960" s="13" t="s">
        <v>70</v>
      </c>
      <c r="G14960" s="14">
        <v>44707</v>
      </c>
      <c r="H14960" s="13" t="s">
        <v>172</v>
      </c>
    </row>
    <row r="14961" spans="1:8" ht="14.4" x14ac:dyDescent="0.3">
      <c r="A14961" s="8">
        <v>3384801</v>
      </c>
      <c r="B14961" s="11">
        <v>44700</v>
      </c>
      <c r="C14961" s="13" t="s">
        <v>19648</v>
      </c>
      <c r="D14961" s="13" t="s">
        <v>19649</v>
      </c>
      <c r="E14961" s="8">
        <v>10000</v>
      </c>
      <c r="F14961" s="13" t="s">
        <v>70</v>
      </c>
      <c r="G14961" s="14">
        <v>44707</v>
      </c>
      <c r="H14961" s="13" t="s">
        <v>172</v>
      </c>
    </row>
    <row r="14962" spans="1:8" ht="14.4" x14ac:dyDescent="0.3">
      <c r="A14962" s="8">
        <v>3384802</v>
      </c>
      <c r="B14962" s="11">
        <v>44700</v>
      </c>
      <c r="C14962" s="13" t="s">
        <v>19650</v>
      </c>
      <c r="D14962" s="13" t="s">
        <v>19651</v>
      </c>
      <c r="E14962" s="8">
        <v>10000</v>
      </c>
      <c r="F14962" s="13" t="s">
        <v>70</v>
      </c>
      <c r="G14962" s="14">
        <v>44708</v>
      </c>
      <c r="H14962" s="13" t="s">
        <v>172</v>
      </c>
    </row>
    <row r="14963" spans="1:8" ht="14.4" x14ac:dyDescent="0.3">
      <c r="A14963" s="8">
        <v>3384804</v>
      </c>
      <c r="B14963" s="11">
        <v>44700</v>
      </c>
      <c r="C14963" s="13" t="s">
        <v>19652</v>
      </c>
      <c r="D14963" s="13" t="s">
        <v>19653</v>
      </c>
      <c r="E14963" s="8">
        <v>10000</v>
      </c>
      <c r="F14963" s="13" t="s">
        <v>70</v>
      </c>
      <c r="G14963" s="14">
        <v>44708</v>
      </c>
      <c r="H14963" s="13" t="s">
        <v>172</v>
      </c>
    </row>
    <row r="14964" spans="1:8" ht="14.4" x14ac:dyDescent="0.3">
      <c r="A14964" s="8">
        <v>3384805</v>
      </c>
      <c r="B14964" s="11">
        <v>44700</v>
      </c>
      <c r="C14964" s="13" t="s">
        <v>17275</v>
      </c>
      <c r="D14964" s="13" t="s">
        <v>19654</v>
      </c>
      <c r="E14964" s="8">
        <v>9000</v>
      </c>
      <c r="F14964" s="13" t="s">
        <v>70</v>
      </c>
      <c r="G14964" s="14">
        <v>44708</v>
      </c>
      <c r="H14964" s="13" t="s">
        <v>172</v>
      </c>
    </row>
    <row r="14965" spans="1:8" ht="14.4" x14ac:dyDescent="0.3">
      <c r="A14965" s="8">
        <v>3384806</v>
      </c>
      <c r="B14965" s="11">
        <v>44700</v>
      </c>
      <c r="C14965" s="13" t="s">
        <v>19655</v>
      </c>
      <c r="D14965" s="13" t="s">
        <v>19656</v>
      </c>
      <c r="E14965" s="8">
        <v>30000</v>
      </c>
      <c r="F14965" s="13" t="s">
        <v>70</v>
      </c>
      <c r="G14965" s="14">
        <v>44708</v>
      </c>
      <c r="H14965" s="13" t="s">
        <v>172</v>
      </c>
    </row>
    <row r="14966" spans="1:8" ht="14.4" x14ac:dyDescent="0.3">
      <c r="A14966" s="8">
        <v>3384807</v>
      </c>
      <c r="B14966" s="11">
        <v>44700</v>
      </c>
      <c r="C14966" s="13" t="s">
        <v>186</v>
      </c>
      <c r="D14966" s="13" t="s">
        <v>19657</v>
      </c>
      <c r="E14966" s="8">
        <v>432</v>
      </c>
      <c r="F14966" s="13" t="s">
        <v>70</v>
      </c>
      <c r="G14966" s="14">
        <v>44704</v>
      </c>
      <c r="H14966" s="13" t="s">
        <v>172</v>
      </c>
    </row>
    <row r="14967" spans="1:8" ht="14.4" x14ac:dyDescent="0.3">
      <c r="A14967" s="8">
        <v>3384808</v>
      </c>
      <c r="B14967" s="11">
        <v>44700</v>
      </c>
      <c r="C14967" s="13" t="s">
        <v>19658</v>
      </c>
      <c r="D14967" s="13" t="s">
        <v>19659</v>
      </c>
      <c r="E14967" s="8">
        <v>24000</v>
      </c>
      <c r="F14967" s="13" t="s">
        <v>70</v>
      </c>
      <c r="G14967" s="14">
        <v>44708</v>
      </c>
      <c r="H14967" s="13" t="s">
        <v>172</v>
      </c>
    </row>
    <row r="14968" spans="1:8" ht="14.4" x14ac:dyDescent="0.3">
      <c r="A14968" s="8">
        <v>3384809</v>
      </c>
      <c r="B14968" s="11">
        <v>44700</v>
      </c>
      <c r="C14968" s="13" t="s">
        <v>19660</v>
      </c>
      <c r="D14968" s="13" t="s">
        <v>19661</v>
      </c>
      <c r="E14968" s="8">
        <v>10000</v>
      </c>
      <c r="F14968" s="13" t="s">
        <v>70</v>
      </c>
      <c r="G14968" s="14">
        <v>44704</v>
      </c>
      <c r="H14968" s="13" t="s">
        <v>172</v>
      </c>
    </row>
    <row r="14969" spans="1:8" ht="14.4" x14ac:dyDescent="0.3">
      <c r="A14969" s="8">
        <v>3384810</v>
      </c>
      <c r="B14969" s="11">
        <v>44700</v>
      </c>
      <c r="C14969" s="13" t="s">
        <v>19662</v>
      </c>
      <c r="D14969" s="13" t="s">
        <v>19663</v>
      </c>
      <c r="E14969" s="8">
        <v>14000</v>
      </c>
      <c r="F14969" s="13" t="s">
        <v>70</v>
      </c>
      <c r="G14969" s="14">
        <v>44708</v>
      </c>
      <c r="H14969" s="13" t="s">
        <v>172</v>
      </c>
    </row>
    <row r="14970" spans="1:8" ht="14.4" x14ac:dyDescent="0.3">
      <c r="A14970" s="8">
        <v>3384811</v>
      </c>
      <c r="B14970" s="11">
        <v>44700</v>
      </c>
      <c r="C14970" s="13" t="s">
        <v>19664</v>
      </c>
      <c r="D14970" s="13" t="s">
        <v>19665</v>
      </c>
      <c r="E14970" s="8">
        <v>15000</v>
      </c>
      <c r="F14970" s="13" t="s">
        <v>70</v>
      </c>
      <c r="G14970" s="14">
        <v>44708</v>
      </c>
      <c r="H14970" s="13" t="s">
        <v>172</v>
      </c>
    </row>
    <row r="14971" spans="1:8" ht="14.4" x14ac:dyDescent="0.3">
      <c r="A14971" s="8">
        <v>3384812</v>
      </c>
      <c r="B14971" s="11">
        <v>44700</v>
      </c>
      <c r="C14971" s="13" t="s">
        <v>19666</v>
      </c>
      <c r="D14971" s="13" t="s">
        <v>19667</v>
      </c>
      <c r="E14971" s="8">
        <v>14000</v>
      </c>
      <c r="F14971" s="13" t="s">
        <v>70</v>
      </c>
      <c r="G14971" s="14">
        <v>44708</v>
      </c>
      <c r="H14971" s="13" t="s">
        <v>172</v>
      </c>
    </row>
    <row r="14972" spans="1:8" ht="14.4" x14ac:dyDescent="0.3">
      <c r="A14972" s="8">
        <v>3384813</v>
      </c>
      <c r="B14972" s="11">
        <v>44700</v>
      </c>
      <c r="C14972" s="13" t="s">
        <v>19668</v>
      </c>
      <c r="D14972" s="13" t="s">
        <v>19669</v>
      </c>
      <c r="E14972" s="8">
        <v>10000</v>
      </c>
      <c r="F14972" s="13" t="s">
        <v>70</v>
      </c>
      <c r="G14972" s="14">
        <v>44708</v>
      </c>
      <c r="H14972" s="13" t="s">
        <v>172</v>
      </c>
    </row>
    <row r="14973" spans="1:8" ht="14.4" x14ac:dyDescent="0.3">
      <c r="A14973" s="8">
        <v>3384815</v>
      </c>
      <c r="B14973" s="11">
        <v>44700</v>
      </c>
      <c r="C14973" s="13" t="s">
        <v>19670</v>
      </c>
      <c r="D14973" s="13" t="s">
        <v>19671</v>
      </c>
      <c r="E14973" s="8">
        <v>20000</v>
      </c>
      <c r="F14973" s="13" t="s">
        <v>70</v>
      </c>
      <c r="G14973" s="14">
        <v>44708</v>
      </c>
      <c r="H14973" s="13" t="s">
        <v>172</v>
      </c>
    </row>
    <row r="14974" spans="1:8" ht="14.4" x14ac:dyDescent="0.3">
      <c r="A14974" s="8">
        <v>3384816</v>
      </c>
      <c r="B14974" s="11">
        <v>44700</v>
      </c>
      <c r="C14974" s="13" t="s">
        <v>19672</v>
      </c>
      <c r="D14974" s="13" t="s">
        <v>19673</v>
      </c>
      <c r="E14974" s="8">
        <v>25000</v>
      </c>
      <c r="F14974" s="13" t="s">
        <v>70</v>
      </c>
      <c r="G14974" s="14">
        <v>44708</v>
      </c>
      <c r="H14974" s="13" t="s">
        <v>172</v>
      </c>
    </row>
    <row r="14975" spans="1:8" ht="14.4" x14ac:dyDescent="0.3">
      <c r="A14975" s="8">
        <v>3384817</v>
      </c>
      <c r="B14975" s="11">
        <v>44700</v>
      </c>
      <c r="C14975" s="13" t="s">
        <v>19674</v>
      </c>
      <c r="D14975" s="13" t="s">
        <v>19675</v>
      </c>
      <c r="E14975" s="8">
        <v>10000</v>
      </c>
      <c r="F14975" s="13" t="s">
        <v>70</v>
      </c>
      <c r="G14975" s="14">
        <v>44708</v>
      </c>
      <c r="H14975" s="13" t="s">
        <v>172</v>
      </c>
    </row>
    <row r="14976" spans="1:8" ht="14.4" x14ac:dyDescent="0.3">
      <c r="A14976" s="8">
        <v>3384818</v>
      </c>
      <c r="B14976" s="11">
        <v>44700</v>
      </c>
      <c r="C14976" s="13" t="s">
        <v>19676</v>
      </c>
      <c r="D14976" s="13" t="s">
        <v>19677</v>
      </c>
      <c r="E14976" s="8">
        <v>8000</v>
      </c>
      <c r="F14976" s="13" t="s">
        <v>70</v>
      </c>
      <c r="G14976" s="14">
        <v>44708</v>
      </c>
      <c r="H14976" s="13" t="s">
        <v>172</v>
      </c>
    </row>
    <row r="14977" spans="1:8" ht="14.4" x14ac:dyDescent="0.3">
      <c r="A14977" s="8">
        <v>3384819</v>
      </c>
      <c r="B14977" s="11">
        <v>44700</v>
      </c>
      <c r="C14977" s="13" t="s">
        <v>3432</v>
      </c>
      <c r="D14977" s="13" t="s">
        <v>19678</v>
      </c>
      <c r="E14977" s="8">
        <v>42000</v>
      </c>
      <c r="F14977" s="13" t="s">
        <v>70</v>
      </c>
      <c r="G14977" s="14">
        <v>44708</v>
      </c>
      <c r="H14977" s="13" t="s">
        <v>172</v>
      </c>
    </row>
    <row r="14978" spans="1:8" ht="14.4" x14ac:dyDescent="0.3">
      <c r="A14978" s="8">
        <v>3384820</v>
      </c>
      <c r="B14978" s="11">
        <v>44700</v>
      </c>
      <c r="C14978" s="13" t="s">
        <v>3046</v>
      </c>
      <c r="D14978" s="13" t="s">
        <v>19679</v>
      </c>
      <c r="E14978" s="8">
        <v>50000</v>
      </c>
      <c r="F14978" s="13" t="s">
        <v>70</v>
      </c>
      <c r="G14978" s="14">
        <v>44708</v>
      </c>
      <c r="H14978" s="13" t="s">
        <v>172</v>
      </c>
    </row>
    <row r="14979" spans="1:8" ht="14.4" x14ac:dyDescent="0.3">
      <c r="A14979" s="8">
        <v>3384821</v>
      </c>
      <c r="B14979" s="11">
        <v>44700</v>
      </c>
      <c r="C14979" s="13" t="s">
        <v>99</v>
      </c>
      <c r="D14979" s="13" t="s">
        <v>19680</v>
      </c>
      <c r="E14979" s="8">
        <v>10000</v>
      </c>
      <c r="F14979" s="13" t="s">
        <v>70</v>
      </c>
      <c r="G14979" s="14">
        <v>44707</v>
      </c>
      <c r="H14979" s="13" t="s">
        <v>172</v>
      </c>
    </row>
    <row r="14980" spans="1:8" ht="14.4" x14ac:dyDescent="0.3">
      <c r="A14980" s="8">
        <v>3384822</v>
      </c>
      <c r="B14980" s="11">
        <v>44700</v>
      </c>
      <c r="C14980" s="13" t="s">
        <v>2987</v>
      </c>
      <c r="D14980" s="13" t="s">
        <v>19681</v>
      </c>
      <c r="E14980" s="8">
        <v>20000</v>
      </c>
      <c r="F14980" s="13" t="s">
        <v>70</v>
      </c>
      <c r="G14980" s="14">
        <v>44715</v>
      </c>
      <c r="H14980" s="13" t="s">
        <v>172</v>
      </c>
    </row>
    <row r="14981" spans="1:8" ht="14.4" x14ac:dyDescent="0.3">
      <c r="A14981" s="8">
        <v>3384823</v>
      </c>
      <c r="B14981" s="11">
        <v>44700</v>
      </c>
      <c r="C14981" s="13" t="s">
        <v>19682</v>
      </c>
      <c r="D14981" s="13" t="s">
        <v>19683</v>
      </c>
      <c r="E14981" s="8">
        <v>50000</v>
      </c>
      <c r="F14981" s="13" t="s">
        <v>70</v>
      </c>
      <c r="G14981" s="14">
        <v>44708</v>
      </c>
      <c r="H14981" s="13" t="s">
        <v>172</v>
      </c>
    </row>
    <row r="14982" spans="1:8" ht="14.4" x14ac:dyDescent="0.3">
      <c r="A14982" s="8">
        <v>3384824</v>
      </c>
      <c r="B14982" s="11">
        <v>44700</v>
      </c>
      <c r="C14982" s="13" t="s">
        <v>19684</v>
      </c>
      <c r="D14982" s="13" t="s">
        <v>19685</v>
      </c>
      <c r="E14982" s="8">
        <v>10000</v>
      </c>
      <c r="F14982" s="13" t="s">
        <v>70</v>
      </c>
      <c r="G14982" s="14">
        <v>44708</v>
      </c>
      <c r="H14982" s="13" t="s">
        <v>172</v>
      </c>
    </row>
    <row r="14983" spans="1:8" ht="14.4" x14ac:dyDescent="0.3">
      <c r="A14983" s="8">
        <v>3384825</v>
      </c>
      <c r="B14983" s="11">
        <v>44700</v>
      </c>
      <c r="C14983" s="13" t="s">
        <v>9796</v>
      </c>
      <c r="D14983" s="13" t="s">
        <v>19686</v>
      </c>
      <c r="E14983" s="8">
        <v>13000</v>
      </c>
      <c r="F14983" s="13" t="s">
        <v>70</v>
      </c>
      <c r="G14983" s="14">
        <v>44708</v>
      </c>
      <c r="H14983" s="13" t="s">
        <v>172</v>
      </c>
    </row>
    <row r="14984" spans="1:8" ht="14.4" x14ac:dyDescent="0.3">
      <c r="A14984" s="8">
        <v>3384826</v>
      </c>
      <c r="B14984" s="11">
        <v>44700</v>
      </c>
      <c r="C14984" s="13" t="s">
        <v>19687</v>
      </c>
      <c r="D14984" s="13" t="s">
        <v>19688</v>
      </c>
      <c r="E14984" s="8">
        <v>50000</v>
      </c>
      <c r="F14984" s="13" t="s">
        <v>70</v>
      </c>
      <c r="G14984" s="14">
        <v>44708</v>
      </c>
      <c r="H14984" s="13" t="s">
        <v>172</v>
      </c>
    </row>
    <row r="14985" spans="1:8" ht="14.4" x14ac:dyDescent="0.3">
      <c r="A14985" s="8">
        <v>3384827</v>
      </c>
      <c r="B14985" s="11">
        <v>44700</v>
      </c>
      <c r="C14985" s="13" t="s">
        <v>19689</v>
      </c>
      <c r="D14985" s="13" t="s">
        <v>19690</v>
      </c>
      <c r="E14985" s="8">
        <v>16000</v>
      </c>
      <c r="F14985" s="13" t="s">
        <v>70</v>
      </c>
      <c r="G14985" s="14">
        <v>44708</v>
      </c>
      <c r="H14985" s="13" t="s">
        <v>172</v>
      </c>
    </row>
    <row r="14986" spans="1:8" ht="14.4" x14ac:dyDescent="0.3">
      <c r="A14986" s="8">
        <v>3384828</v>
      </c>
      <c r="B14986" s="11">
        <v>44700</v>
      </c>
      <c r="C14986" s="13" t="s">
        <v>19691</v>
      </c>
      <c r="D14986" s="13" t="s">
        <v>19692</v>
      </c>
      <c r="E14986" s="8">
        <v>32000</v>
      </c>
      <c r="F14986" s="13" t="s">
        <v>70</v>
      </c>
      <c r="G14986" s="14">
        <v>44708</v>
      </c>
      <c r="H14986" s="13" t="s">
        <v>172</v>
      </c>
    </row>
    <row r="14987" spans="1:8" ht="14.4" x14ac:dyDescent="0.3">
      <c r="A14987" s="8">
        <v>3384829</v>
      </c>
      <c r="B14987" s="11">
        <v>44700</v>
      </c>
      <c r="C14987" s="13" t="s">
        <v>19693</v>
      </c>
      <c r="D14987" s="13" t="s">
        <v>19694</v>
      </c>
      <c r="E14987" s="8">
        <v>10000</v>
      </c>
      <c r="F14987" s="13" t="s">
        <v>70</v>
      </c>
      <c r="G14987" s="14">
        <v>44708</v>
      </c>
      <c r="H14987" s="13" t="s">
        <v>172</v>
      </c>
    </row>
    <row r="14988" spans="1:8" ht="14.4" x14ac:dyDescent="0.3">
      <c r="A14988" s="8">
        <v>3384830</v>
      </c>
      <c r="B14988" s="11">
        <v>44700</v>
      </c>
      <c r="C14988" s="13" t="s">
        <v>19695</v>
      </c>
      <c r="D14988" s="13" t="s">
        <v>19696</v>
      </c>
      <c r="E14988" s="8">
        <v>19000</v>
      </c>
      <c r="F14988" s="13" t="s">
        <v>70</v>
      </c>
      <c r="G14988" s="14">
        <v>44708</v>
      </c>
      <c r="H14988" s="13" t="s">
        <v>172</v>
      </c>
    </row>
    <row r="14989" spans="1:8" ht="14.4" x14ac:dyDescent="0.3">
      <c r="A14989" s="8">
        <v>3384831</v>
      </c>
      <c r="B14989" s="11">
        <v>44700</v>
      </c>
      <c r="C14989" s="13" t="s">
        <v>19697</v>
      </c>
      <c r="D14989" s="13" t="s">
        <v>19698</v>
      </c>
      <c r="E14989" s="8">
        <v>11400</v>
      </c>
      <c r="F14989" s="13" t="s">
        <v>70</v>
      </c>
      <c r="G14989" s="14">
        <v>44706</v>
      </c>
      <c r="H14989" s="13" t="s">
        <v>172</v>
      </c>
    </row>
    <row r="14990" spans="1:8" ht="14.4" x14ac:dyDescent="0.3">
      <c r="A14990" s="8">
        <v>3384832</v>
      </c>
      <c r="B14990" s="11">
        <v>44700</v>
      </c>
      <c r="C14990" s="13" t="s">
        <v>1007</v>
      </c>
      <c r="D14990" s="13" t="s">
        <v>19699</v>
      </c>
      <c r="E14990" s="8">
        <v>10000</v>
      </c>
      <c r="F14990" s="13" t="s">
        <v>70</v>
      </c>
      <c r="G14990" s="14">
        <v>44708</v>
      </c>
      <c r="H14990" s="13" t="s">
        <v>172</v>
      </c>
    </row>
    <row r="14991" spans="1:8" ht="14.4" x14ac:dyDescent="0.3">
      <c r="A14991" s="8">
        <v>3384833</v>
      </c>
      <c r="B14991" s="11">
        <v>44700</v>
      </c>
      <c r="C14991" s="13" t="s">
        <v>122</v>
      </c>
      <c r="D14991" s="13" t="s">
        <v>19700</v>
      </c>
      <c r="E14991" s="8">
        <v>20000</v>
      </c>
      <c r="F14991" s="13" t="s">
        <v>70</v>
      </c>
      <c r="G14991" s="14">
        <v>44708</v>
      </c>
      <c r="H14991" s="13" t="s">
        <v>172</v>
      </c>
    </row>
    <row r="14992" spans="1:8" ht="14.4" x14ac:dyDescent="0.3">
      <c r="A14992" s="8">
        <v>3384834</v>
      </c>
      <c r="B14992" s="11">
        <v>44700</v>
      </c>
      <c r="C14992" s="13" t="s">
        <v>99</v>
      </c>
      <c r="D14992" s="13" t="s">
        <v>19701</v>
      </c>
      <c r="E14992" s="8">
        <v>20000</v>
      </c>
      <c r="F14992" s="13" t="s">
        <v>70</v>
      </c>
      <c r="G14992" s="14">
        <v>44707</v>
      </c>
      <c r="H14992" s="13" t="s">
        <v>172</v>
      </c>
    </row>
    <row r="14993" spans="1:8" ht="14.4" x14ac:dyDescent="0.3">
      <c r="A14993" s="8">
        <v>3384835</v>
      </c>
      <c r="B14993" s="11">
        <v>44700</v>
      </c>
      <c r="C14993" s="13" t="s">
        <v>99</v>
      </c>
      <c r="D14993" s="13" t="s">
        <v>19702</v>
      </c>
      <c r="E14993" s="8">
        <v>30000</v>
      </c>
      <c r="F14993" s="13" t="s">
        <v>70</v>
      </c>
      <c r="G14993" s="14">
        <v>44707</v>
      </c>
      <c r="H14993" s="13" t="s">
        <v>172</v>
      </c>
    </row>
    <row r="14994" spans="1:8" ht="14.4" x14ac:dyDescent="0.3">
      <c r="A14994" s="8">
        <v>3384836</v>
      </c>
      <c r="B14994" s="11">
        <v>44700</v>
      </c>
      <c r="C14994" s="13" t="s">
        <v>19703</v>
      </c>
      <c r="D14994" s="13" t="s">
        <v>19704</v>
      </c>
      <c r="E14994" s="8">
        <v>15000</v>
      </c>
      <c r="F14994" s="13" t="s">
        <v>70</v>
      </c>
      <c r="G14994" s="14">
        <v>44708</v>
      </c>
      <c r="H14994" s="13" t="s">
        <v>172</v>
      </c>
    </row>
    <row r="14995" spans="1:8" ht="14.4" x14ac:dyDescent="0.3">
      <c r="A14995" s="8">
        <v>3384837</v>
      </c>
      <c r="B14995" s="11">
        <v>44700</v>
      </c>
      <c r="C14995" s="13" t="s">
        <v>19705</v>
      </c>
      <c r="D14995" s="13" t="s">
        <v>19706</v>
      </c>
      <c r="E14995" s="8">
        <v>8000</v>
      </c>
      <c r="F14995" s="13" t="s">
        <v>70</v>
      </c>
      <c r="G14995" s="14">
        <v>44715</v>
      </c>
      <c r="H14995" s="13" t="s">
        <v>172</v>
      </c>
    </row>
    <row r="14996" spans="1:8" ht="14.4" x14ac:dyDescent="0.3">
      <c r="A14996" s="8">
        <v>3384838</v>
      </c>
      <c r="B14996" s="11">
        <v>44700</v>
      </c>
      <c r="C14996" s="13" t="s">
        <v>19707</v>
      </c>
      <c r="D14996" s="13" t="s">
        <v>19708</v>
      </c>
      <c r="E14996" s="8">
        <v>25000</v>
      </c>
      <c r="F14996" s="13" t="s">
        <v>70</v>
      </c>
      <c r="G14996" s="14">
        <v>44708</v>
      </c>
      <c r="H14996" s="13" t="s">
        <v>172</v>
      </c>
    </row>
    <row r="14997" spans="1:8" ht="14.4" x14ac:dyDescent="0.3">
      <c r="A14997" s="8">
        <v>3384839</v>
      </c>
      <c r="B14997" s="11">
        <v>44700</v>
      </c>
      <c r="C14997" s="13" t="s">
        <v>176</v>
      </c>
      <c r="D14997" s="13" t="s">
        <v>19709</v>
      </c>
      <c r="E14997" s="8">
        <v>18000</v>
      </c>
      <c r="F14997" s="13" t="s">
        <v>70</v>
      </c>
      <c r="G14997" s="14">
        <v>44707</v>
      </c>
      <c r="H14997" s="13" t="s">
        <v>172</v>
      </c>
    </row>
    <row r="14998" spans="1:8" ht="14.4" x14ac:dyDescent="0.3">
      <c r="A14998" s="8">
        <v>3384840</v>
      </c>
      <c r="B14998" s="11">
        <v>44700</v>
      </c>
      <c r="C14998" s="13" t="s">
        <v>15264</v>
      </c>
      <c r="D14998" s="13" t="s">
        <v>19710</v>
      </c>
      <c r="E14998" s="8">
        <v>50000</v>
      </c>
      <c r="F14998" s="13" t="s">
        <v>70</v>
      </c>
      <c r="G14998" s="14">
        <v>44706</v>
      </c>
      <c r="H14998" s="13" t="s">
        <v>172</v>
      </c>
    </row>
    <row r="14999" spans="1:8" ht="14.4" x14ac:dyDescent="0.3">
      <c r="A14999" s="8">
        <v>3384841</v>
      </c>
      <c r="B14999" s="11">
        <v>44700</v>
      </c>
      <c r="C14999" s="13" t="s">
        <v>19711</v>
      </c>
      <c r="D14999" s="13" t="s">
        <v>19712</v>
      </c>
      <c r="E14999" s="8">
        <v>12000</v>
      </c>
      <c r="F14999" s="13" t="s">
        <v>70</v>
      </c>
      <c r="G14999" s="14">
        <v>44708</v>
      </c>
      <c r="H14999" s="13" t="s">
        <v>172</v>
      </c>
    </row>
    <row r="15000" spans="1:8" ht="14.4" x14ac:dyDescent="0.3">
      <c r="A15000" s="8">
        <v>3384842</v>
      </c>
      <c r="B15000" s="11">
        <v>44700</v>
      </c>
      <c r="C15000" s="13" t="s">
        <v>7164</v>
      </c>
      <c r="D15000" s="13" t="s">
        <v>19713</v>
      </c>
      <c r="E15000" s="8">
        <v>10800</v>
      </c>
      <c r="F15000" s="13" t="s">
        <v>70</v>
      </c>
      <c r="G15000" s="14">
        <v>44708</v>
      </c>
      <c r="H15000" s="13" t="s">
        <v>172</v>
      </c>
    </row>
    <row r="15001" spans="1:8" ht="14.4" x14ac:dyDescent="0.3">
      <c r="A15001" s="8">
        <v>3384843</v>
      </c>
      <c r="B15001" s="11">
        <v>44700</v>
      </c>
      <c r="C15001" s="13" t="s">
        <v>10953</v>
      </c>
      <c r="D15001" s="13" t="s">
        <v>19714</v>
      </c>
      <c r="E15001" s="8">
        <v>25000</v>
      </c>
      <c r="F15001" s="13" t="s">
        <v>70</v>
      </c>
      <c r="G15001" s="14">
        <v>44707</v>
      </c>
      <c r="H15001" s="13" t="s">
        <v>172</v>
      </c>
    </row>
    <row r="15002" spans="1:8" ht="14.4" x14ac:dyDescent="0.3">
      <c r="A15002" s="8">
        <v>3384844</v>
      </c>
      <c r="B15002" s="11">
        <v>44700</v>
      </c>
      <c r="C15002" s="13" t="s">
        <v>19715</v>
      </c>
      <c r="D15002" s="13" t="s">
        <v>19716</v>
      </c>
      <c r="E15002" s="8">
        <v>10000</v>
      </c>
      <c r="F15002" s="13" t="s">
        <v>70</v>
      </c>
      <c r="G15002" s="14">
        <v>44708</v>
      </c>
      <c r="H15002" s="13" t="s">
        <v>172</v>
      </c>
    </row>
    <row r="15003" spans="1:8" ht="14.4" x14ac:dyDescent="0.3">
      <c r="A15003" s="8">
        <v>3384845</v>
      </c>
      <c r="B15003" s="11">
        <v>44700</v>
      </c>
      <c r="C15003" s="13" t="s">
        <v>11817</v>
      </c>
      <c r="D15003" s="13" t="s">
        <v>19717</v>
      </c>
      <c r="E15003" s="8">
        <v>22000</v>
      </c>
      <c r="F15003" s="13" t="s">
        <v>70</v>
      </c>
      <c r="G15003" s="14">
        <v>44708</v>
      </c>
      <c r="H15003" s="13" t="s">
        <v>172</v>
      </c>
    </row>
    <row r="15004" spans="1:8" ht="14.4" x14ac:dyDescent="0.3">
      <c r="A15004" s="8">
        <v>3384846</v>
      </c>
      <c r="B15004" s="11">
        <v>44700</v>
      </c>
      <c r="C15004" s="13" t="s">
        <v>19718</v>
      </c>
      <c r="D15004" s="13" t="s">
        <v>19719</v>
      </c>
      <c r="E15004" s="8">
        <v>15000</v>
      </c>
      <c r="F15004" s="13" t="s">
        <v>70</v>
      </c>
      <c r="G15004" s="14">
        <v>44708</v>
      </c>
      <c r="H15004" s="13" t="s">
        <v>172</v>
      </c>
    </row>
    <row r="15005" spans="1:8" ht="14.4" x14ac:dyDescent="0.3">
      <c r="A15005" s="8">
        <v>3384847</v>
      </c>
      <c r="B15005" s="11">
        <v>44700</v>
      </c>
      <c r="C15005" s="13" t="s">
        <v>19720</v>
      </c>
      <c r="D15005" s="13" t="s">
        <v>19721</v>
      </c>
      <c r="E15005" s="8">
        <v>10000</v>
      </c>
      <c r="F15005" s="13" t="s">
        <v>70</v>
      </c>
      <c r="G15005" s="14">
        <v>44708</v>
      </c>
      <c r="H15005" s="13" t="s">
        <v>172</v>
      </c>
    </row>
    <row r="15006" spans="1:8" ht="14.4" x14ac:dyDescent="0.3">
      <c r="A15006" s="8">
        <v>3384848</v>
      </c>
      <c r="B15006" s="11">
        <v>44700</v>
      </c>
      <c r="C15006" s="13" t="s">
        <v>19722</v>
      </c>
      <c r="D15006" s="13" t="s">
        <v>19723</v>
      </c>
      <c r="E15006" s="8">
        <v>8500</v>
      </c>
      <c r="F15006" s="13" t="s">
        <v>70</v>
      </c>
      <c r="G15006" s="14">
        <v>44711</v>
      </c>
      <c r="H15006" s="13" t="s">
        <v>172</v>
      </c>
    </row>
    <row r="15007" spans="1:8" ht="14.4" x14ac:dyDescent="0.3">
      <c r="A15007" s="8">
        <v>3384849</v>
      </c>
      <c r="B15007" s="11">
        <v>44700</v>
      </c>
      <c r="C15007" s="13" t="s">
        <v>19724</v>
      </c>
      <c r="D15007" s="13" t="s">
        <v>19725</v>
      </c>
      <c r="E15007" s="8">
        <v>15000</v>
      </c>
      <c r="F15007" s="13" t="s">
        <v>70</v>
      </c>
      <c r="G15007" s="14">
        <v>44708</v>
      </c>
      <c r="H15007" s="13" t="s">
        <v>172</v>
      </c>
    </row>
    <row r="15008" spans="1:8" ht="14.4" x14ac:dyDescent="0.3">
      <c r="A15008" s="8">
        <v>3384850</v>
      </c>
      <c r="B15008" s="11">
        <v>44700</v>
      </c>
      <c r="C15008" s="13" t="s">
        <v>17076</v>
      </c>
      <c r="D15008" s="13" t="s">
        <v>19726</v>
      </c>
      <c r="E15008" s="8">
        <v>15000</v>
      </c>
      <c r="F15008" s="13" t="s">
        <v>70</v>
      </c>
      <c r="G15008" s="14">
        <v>44707</v>
      </c>
      <c r="H15008" s="13" t="s">
        <v>172</v>
      </c>
    </row>
    <row r="15009" spans="1:8" ht="14.4" x14ac:dyDescent="0.3">
      <c r="A15009" s="8">
        <v>3384851</v>
      </c>
      <c r="B15009" s="11">
        <v>44700</v>
      </c>
      <c r="C15009" s="13" t="s">
        <v>19727</v>
      </c>
      <c r="D15009" s="13" t="s">
        <v>19728</v>
      </c>
      <c r="E15009" s="8">
        <v>10000</v>
      </c>
      <c r="F15009" s="13" t="s">
        <v>70</v>
      </c>
      <c r="G15009" s="14">
        <v>44708</v>
      </c>
      <c r="H15009" s="13" t="s">
        <v>172</v>
      </c>
    </row>
    <row r="15010" spans="1:8" ht="14.4" x14ac:dyDescent="0.3">
      <c r="A15010" s="8">
        <v>3384852</v>
      </c>
      <c r="B15010" s="11">
        <v>44700</v>
      </c>
      <c r="C15010" s="13" t="s">
        <v>19729</v>
      </c>
      <c r="D15010" s="13" t="s">
        <v>19730</v>
      </c>
      <c r="E15010" s="8">
        <v>20000</v>
      </c>
      <c r="F15010" s="13" t="s">
        <v>70</v>
      </c>
      <c r="G15010" s="14">
        <v>44708</v>
      </c>
      <c r="H15010" s="13" t="s">
        <v>172</v>
      </c>
    </row>
    <row r="15011" spans="1:8" ht="14.4" x14ac:dyDescent="0.3">
      <c r="A15011" s="8">
        <v>3384853</v>
      </c>
      <c r="B15011" s="11">
        <v>44700</v>
      </c>
      <c r="C15011" s="13" t="s">
        <v>506</v>
      </c>
      <c r="D15011" s="13" t="s">
        <v>19731</v>
      </c>
      <c r="E15011" s="8">
        <v>57000</v>
      </c>
      <c r="F15011" s="13" t="s">
        <v>70</v>
      </c>
      <c r="G15011" s="14">
        <v>44708</v>
      </c>
      <c r="H15011" s="13" t="s">
        <v>172</v>
      </c>
    </row>
    <row r="15012" spans="1:8" ht="14.4" x14ac:dyDescent="0.3">
      <c r="A15012" s="8">
        <v>3384854</v>
      </c>
      <c r="B15012" s="11">
        <v>44700</v>
      </c>
      <c r="C15012" s="13" t="s">
        <v>74</v>
      </c>
      <c r="D15012" s="13" t="s">
        <v>19732</v>
      </c>
      <c r="E15012" s="8">
        <v>30000</v>
      </c>
      <c r="F15012" s="13" t="s">
        <v>70</v>
      </c>
      <c r="G15012" s="14">
        <v>44707</v>
      </c>
      <c r="H15012" s="13" t="s">
        <v>172</v>
      </c>
    </row>
    <row r="15013" spans="1:8" ht="14.4" x14ac:dyDescent="0.3">
      <c r="A15013" s="8">
        <v>3384855</v>
      </c>
      <c r="B15013" s="11">
        <v>44700</v>
      </c>
      <c r="C15013" s="13" t="s">
        <v>16039</v>
      </c>
      <c r="D15013" s="13" t="s">
        <v>19733</v>
      </c>
      <c r="E15013" s="8">
        <v>20000</v>
      </c>
      <c r="F15013" s="13" t="s">
        <v>70</v>
      </c>
      <c r="G15013" s="14">
        <v>44708</v>
      </c>
      <c r="H15013" s="13" t="s">
        <v>172</v>
      </c>
    </row>
    <row r="15014" spans="1:8" ht="14.4" x14ac:dyDescent="0.3">
      <c r="A15014" s="8">
        <v>3384856</v>
      </c>
      <c r="B15014" s="11">
        <v>44700</v>
      </c>
      <c r="C15014" s="13" t="s">
        <v>19734</v>
      </c>
      <c r="D15014" s="13" t="s">
        <v>19735</v>
      </c>
      <c r="E15014" s="8">
        <v>22000</v>
      </c>
      <c r="F15014" s="13" t="s">
        <v>70</v>
      </c>
      <c r="G15014" s="14">
        <v>44708</v>
      </c>
      <c r="H15014" s="13" t="s">
        <v>172</v>
      </c>
    </row>
    <row r="15015" spans="1:8" ht="14.4" x14ac:dyDescent="0.3">
      <c r="A15015" s="8">
        <v>3384857</v>
      </c>
      <c r="B15015" s="11">
        <v>44700</v>
      </c>
      <c r="C15015" s="13" t="s">
        <v>19736</v>
      </c>
      <c r="D15015" s="13" t="s">
        <v>19737</v>
      </c>
      <c r="E15015" s="8">
        <v>26000</v>
      </c>
      <c r="F15015" s="13" t="s">
        <v>70</v>
      </c>
      <c r="G15015" s="14">
        <v>44704</v>
      </c>
      <c r="H15015" s="13" t="s">
        <v>172</v>
      </c>
    </row>
    <row r="15016" spans="1:8" ht="14.4" x14ac:dyDescent="0.3">
      <c r="A15016" s="8">
        <v>3384858</v>
      </c>
      <c r="B15016" s="11">
        <v>44700</v>
      </c>
      <c r="C15016" s="13" t="s">
        <v>19738</v>
      </c>
      <c r="D15016" s="13" t="s">
        <v>19739</v>
      </c>
      <c r="E15016" s="8">
        <v>50000</v>
      </c>
      <c r="F15016" s="13" t="s">
        <v>70</v>
      </c>
      <c r="G15016" s="14">
        <v>44708</v>
      </c>
      <c r="H15016" s="13" t="s">
        <v>172</v>
      </c>
    </row>
    <row r="15017" spans="1:8" ht="14.4" x14ac:dyDescent="0.3">
      <c r="A15017" s="8">
        <v>3384859</v>
      </c>
      <c r="B15017" s="11">
        <v>44700</v>
      </c>
      <c r="C15017" s="13" t="s">
        <v>19740</v>
      </c>
      <c r="D15017" s="13" t="s">
        <v>19741</v>
      </c>
      <c r="E15017" s="8">
        <v>26000</v>
      </c>
      <c r="F15017" s="13" t="s">
        <v>70</v>
      </c>
      <c r="G15017" s="14">
        <v>44711</v>
      </c>
      <c r="H15017" s="13" t="s">
        <v>172</v>
      </c>
    </row>
    <row r="15018" spans="1:8" ht="14.4" x14ac:dyDescent="0.3">
      <c r="A15018" s="8">
        <v>3384860</v>
      </c>
      <c r="B15018" s="11">
        <v>44700</v>
      </c>
      <c r="C15018" s="13" t="s">
        <v>893</v>
      </c>
      <c r="D15018" s="13" t="s">
        <v>19742</v>
      </c>
      <c r="E15018" s="8">
        <v>23000</v>
      </c>
      <c r="F15018" s="13" t="s">
        <v>70</v>
      </c>
      <c r="G15018" s="14">
        <v>44708</v>
      </c>
      <c r="H15018" s="13" t="s">
        <v>172</v>
      </c>
    </row>
    <row r="15019" spans="1:8" ht="14.4" x14ac:dyDescent="0.3">
      <c r="A15019" s="8">
        <v>3384861</v>
      </c>
      <c r="B15019" s="11">
        <v>44700</v>
      </c>
      <c r="C15019" s="13" t="s">
        <v>19743</v>
      </c>
      <c r="D15019" s="13" t="s">
        <v>19744</v>
      </c>
      <c r="E15019" s="8">
        <v>20000</v>
      </c>
      <c r="F15019" s="13" t="s">
        <v>70</v>
      </c>
      <c r="G15019" s="14">
        <v>44708</v>
      </c>
      <c r="H15019" s="13" t="s">
        <v>172</v>
      </c>
    </row>
    <row r="15020" spans="1:8" ht="14.4" x14ac:dyDescent="0.3">
      <c r="A15020" s="8">
        <v>3384862</v>
      </c>
      <c r="B15020" s="11">
        <v>44700</v>
      </c>
      <c r="C15020" s="13" t="s">
        <v>19745</v>
      </c>
      <c r="D15020" s="13" t="s">
        <v>19746</v>
      </c>
      <c r="E15020" s="8">
        <v>14000</v>
      </c>
      <c r="F15020" s="13" t="s">
        <v>70</v>
      </c>
      <c r="G15020" s="14">
        <v>44708</v>
      </c>
      <c r="H15020" s="13" t="s">
        <v>172</v>
      </c>
    </row>
    <row r="15021" spans="1:8" ht="14.4" x14ac:dyDescent="0.3">
      <c r="A15021" s="8">
        <v>3384863</v>
      </c>
      <c r="B15021" s="11">
        <v>44700</v>
      </c>
      <c r="C15021" s="13" t="s">
        <v>19747</v>
      </c>
      <c r="D15021" s="13" t="s">
        <v>19748</v>
      </c>
      <c r="E15021" s="8">
        <v>10000</v>
      </c>
      <c r="F15021" s="13" t="s">
        <v>70</v>
      </c>
      <c r="G15021" s="14">
        <v>44708</v>
      </c>
      <c r="H15021" s="13" t="s">
        <v>172</v>
      </c>
    </row>
    <row r="15022" spans="1:8" ht="14.4" x14ac:dyDescent="0.3">
      <c r="A15022" s="8">
        <v>3384864</v>
      </c>
      <c r="B15022" s="11">
        <v>44700</v>
      </c>
      <c r="C15022" s="13" t="s">
        <v>19749</v>
      </c>
      <c r="D15022" s="13" t="s">
        <v>19750</v>
      </c>
      <c r="E15022" s="8">
        <v>50000</v>
      </c>
      <c r="F15022" s="13" t="s">
        <v>70</v>
      </c>
      <c r="G15022" s="14">
        <v>44708</v>
      </c>
      <c r="H15022" s="13" t="s">
        <v>172</v>
      </c>
    </row>
    <row r="15023" spans="1:8" ht="14.4" x14ac:dyDescent="0.3">
      <c r="A15023" s="8">
        <v>3384865</v>
      </c>
      <c r="B15023" s="11">
        <v>44700</v>
      </c>
      <c r="C15023" s="13" t="s">
        <v>13757</v>
      </c>
      <c r="D15023" s="13" t="s">
        <v>19751</v>
      </c>
      <c r="E15023" s="8">
        <v>10800</v>
      </c>
      <c r="F15023" s="13" t="s">
        <v>70</v>
      </c>
      <c r="G15023" s="14">
        <v>44707</v>
      </c>
      <c r="H15023" s="13" t="s">
        <v>172</v>
      </c>
    </row>
    <row r="15024" spans="1:8" ht="14.4" x14ac:dyDescent="0.3">
      <c r="A15024" s="8">
        <v>3384866</v>
      </c>
      <c r="B15024" s="11">
        <v>44700</v>
      </c>
      <c r="C15024" s="13" t="s">
        <v>14078</v>
      </c>
      <c r="D15024" s="13" t="s">
        <v>19752</v>
      </c>
      <c r="E15024" s="8">
        <v>11500</v>
      </c>
      <c r="F15024" s="13" t="s">
        <v>70</v>
      </c>
      <c r="G15024" s="14">
        <v>44708</v>
      </c>
      <c r="H15024" s="13" t="s">
        <v>172</v>
      </c>
    </row>
    <row r="15025" spans="1:8" ht="14.4" x14ac:dyDescent="0.3">
      <c r="A15025" s="8">
        <v>3384867</v>
      </c>
      <c r="B15025" s="11">
        <v>44700</v>
      </c>
      <c r="C15025" s="13" t="s">
        <v>15895</v>
      </c>
      <c r="D15025" s="13" t="s">
        <v>19753</v>
      </c>
      <c r="E15025" s="8">
        <v>20000</v>
      </c>
      <c r="F15025" s="13" t="s">
        <v>70</v>
      </c>
      <c r="G15025" s="14">
        <v>44708</v>
      </c>
      <c r="H15025" s="13" t="s">
        <v>172</v>
      </c>
    </row>
    <row r="15026" spans="1:8" ht="14.4" x14ac:dyDescent="0.3">
      <c r="A15026" s="8">
        <v>3384869</v>
      </c>
      <c r="B15026" s="11">
        <v>44700</v>
      </c>
      <c r="C15026" s="13" t="s">
        <v>9791</v>
      </c>
      <c r="D15026" s="13" t="s">
        <v>19754</v>
      </c>
      <c r="E15026" s="8">
        <v>20000</v>
      </c>
      <c r="F15026" s="13" t="s">
        <v>70</v>
      </c>
      <c r="G15026" s="14">
        <v>44707</v>
      </c>
      <c r="H15026" s="13" t="s">
        <v>172</v>
      </c>
    </row>
    <row r="15027" spans="1:8" ht="14.4" x14ac:dyDescent="0.3">
      <c r="A15027" s="8">
        <v>3384870</v>
      </c>
      <c r="B15027" s="11">
        <v>44700</v>
      </c>
      <c r="C15027" s="13" t="s">
        <v>7469</v>
      </c>
      <c r="D15027" s="13" t="s">
        <v>19755</v>
      </c>
      <c r="E15027" s="8">
        <v>15000</v>
      </c>
      <c r="F15027" s="13" t="s">
        <v>70</v>
      </c>
      <c r="G15027" s="14">
        <v>44707</v>
      </c>
      <c r="H15027" s="13" t="s">
        <v>172</v>
      </c>
    </row>
    <row r="15028" spans="1:8" ht="14.4" x14ac:dyDescent="0.3">
      <c r="A15028" s="8">
        <v>3384871</v>
      </c>
      <c r="B15028" s="11">
        <v>44700</v>
      </c>
      <c r="C15028" s="13" t="s">
        <v>19756</v>
      </c>
      <c r="D15028" s="13" t="s">
        <v>19757</v>
      </c>
      <c r="E15028" s="8">
        <v>15000</v>
      </c>
      <c r="F15028" s="13" t="s">
        <v>70</v>
      </c>
      <c r="G15028" s="14">
        <v>44708</v>
      </c>
      <c r="H15028" s="13" t="s">
        <v>172</v>
      </c>
    </row>
    <row r="15029" spans="1:8" ht="14.4" x14ac:dyDescent="0.3">
      <c r="A15029" s="8">
        <v>3384872</v>
      </c>
      <c r="B15029" s="11">
        <v>44700</v>
      </c>
      <c r="C15029" s="13" t="s">
        <v>19758</v>
      </c>
      <c r="D15029" s="13" t="s">
        <v>19759</v>
      </c>
      <c r="E15029" s="8">
        <v>17000</v>
      </c>
      <c r="F15029" s="13" t="s">
        <v>70</v>
      </c>
      <c r="G15029" s="14">
        <v>44708</v>
      </c>
      <c r="H15029" s="13" t="s">
        <v>172</v>
      </c>
    </row>
    <row r="15030" spans="1:8" ht="14.4" x14ac:dyDescent="0.3">
      <c r="A15030" s="8">
        <v>3384873</v>
      </c>
      <c r="B15030" s="11">
        <v>44700</v>
      </c>
      <c r="C15030" s="13" t="s">
        <v>19760</v>
      </c>
      <c r="D15030" s="13" t="s">
        <v>19761</v>
      </c>
      <c r="E15030" s="8">
        <v>9000</v>
      </c>
      <c r="F15030" s="13" t="s">
        <v>70</v>
      </c>
      <c r="G15030" s="14">
        <v>44706</v>
      </c>
      <c r="H15030" s="13" t="s">
        <v>172</v>
      </c>
    </row>
    <row r="15031" spans="1:8" ht="14.4" x14ac:dyDescent="0.3">
      <c r="A15031" s="8">
        <v>3384874</v>
      </c>
      <c r="B15031" s="11">
        <v>44700</v>
      </c>
      <c r="C15031" s="13" t="s">
        <v>19762</v>
      </c>
      <c r="D15031" s="13" t="s">
        <v>19763</v>
      </c>
      <c r="E15031" s="8">
        <v>15000</v>
      </c>
      <c r="F15031" s="13" t="s">
        <v>70</v>
      </c>
      <c r="G15031" s="14">
        <v>44708</v>
      </c>
      <c r="H15031" s="13" t="s">
        <v>172</v>
      </c>
    </row>
    <row r="15032" spans="1:8" ht="14.4" x14ac:dyDescent="0.3">
      <c r="A15032" s="8">
        <v>3384875</v>
      </c>
      <c r="B15032" s="11">
        <v>44700</v>
      </c>
      <c r="C15032" s="13" t="s">
        <v>19764</v>
      </c>
      <c r="D15032" s="13" t="s">
        <v>19765</v>
      </c>
      <c r="E15032" s="8">
        <v>21000</v>
      </c>
      <c r="F15032" s="13" t="s">
        <v>70</v>
      </c>
      <c r="G15032" s="14">
        <v>44708</v>
      </c>
      <c r="H15032" s="13" t="s">
        <v>172</v>
      </c>
    </row>
    <row r="15033" spans="1:8" ht="14.4" x14ac:dyDescent="0.3">
      <c r="A15033" s="8">
        <v>3384876</v>
      </c>
      <c r="B15033" s="11">
        <v>44700</v>
      </c>
      <c r="C15033" s="13" t="s">
        <v>19195</v>
      </c>
      <c r="D15033" s="13" t="s">
        <v>19766</v>
      </c>
      <c r="E15033" s="8">
        <v>14000</v>
      </c>
      <c r="F15033" s="13" t="s">
        <v>70</v>
      </c>
      <c r="G15033" s="14">
        <v>44708</v>
      </c>
      <c r="H15033" s="13" t="s">
        <v>172</v>
      </c>
    </row>
    <row r="15034" spans="1:8" ht="14.4" x14ac:dyDescent="0.3">
      <c r="A15034" s="8">
        <v>3384877</v>
      </c>
      <c r="B15034" s="11">
        <v>44700</v>
      </c>
      <c r="C15034" s="13" t="s">
        <v>19098</v>
      </c>
      <c r="D15034" s="13" t="s">
        <v>19767</v>
      </c>
      <c r="E15034" s="8">
        <v>30000</v>
      </c>
      <c r="F15034" s="13" t="s">
        <v>70</v>
      </c>
      <c r="G15034" s="14">
        <v>44706</v>
      </c>
      <c r="H15034" s="13" t="s">
        <v>172</v>
      </c>
    </row>
    <row r="15035" spans="1:8" ht="14.4" x14ac:dyDescent="0.3">
      <c r="A15035" s="8">
        <v>3384878</v>
      </c>
      <c r="B15035" s="11">
        <v>44700</v>
      </c>
      <c r="C15035" s="13" t="s">
        <v>19768</v>
      </c>
      <c r="D15035" s="13" t="s">
        <v>19769</v>
      </c>
      <c r="E15035" s="8">
        <v>18000</v>
      </c>
      <c r="F15035" s="13" t="s">
        <v>70</v>
      </c>
      <c r="G15035" s="14">
        <v>44701</v>
      </c>
      <c r="H15035" s="13" t="s">
        <v>172</v>
      </c>
    </row>
    <row r="15036" spans="1:8" ht="14.4" x14ac:dyDescent="0.3">
      <c r="A15036" s="8">
        <v>3384879</v>
      </c>
      <c r="B15036" s="11">
        <v>44700</v>
      </c>
      <c r="C15036" s="13" t="s">
        <v>19770</v>
      </c>
      <c r="D15036" s="13" t="s">
        <v>19771</v>
      </c>
      <c r="E15036" s="8">
        <v>10000</v>
      </c>
      <c r="F15036" s="13" t="s">
        <v>70</v>
      </c>
      <c r="G15036" s="14">
        <v>44708</v>
      </c>
      <c r="H15036" s="13" t="s">
        <v>172</v>
      </c>
    </row>
    <row r="15037" spans="1:8" ht="14.4" x14ac:dyDescent="0.3">
      <c r="A15037" s="8">
        <v>3384880</v>
      </c>
      <c r="B15037" s="11">
        <v>44700</v>
      </c>
      <c r="C15037" s="13" t="s">
        <v>15948</v>
      </c>
      <c r="D15037" s="13" t="s">
        <v>19772</v>
      </c>
      <c r="E15037" s="8">
        <v>18000</v>
      </c>
      <c r="F15037" s="13" t="s">
        <v>70</v>
      </c>
      <c r="G15037" s="14">
        <v>44707</v>
      </c>
      <c r="H15037" s="13" t="s">
        <v>172</v>
      </c>
    </row>
    <row r="15038" spans="1:8" ht="14.4" x14ac:dyDescent="0.3">
      <c r="A15038" s="8">
        <v>3384881</v>
      </c>
      <c r="B15038" s="11">
        <v>44700</v>
      </c>
      <c r="C15038" s="13" t="s">
        <v>12551</v>
      </c>
      <c r="D15038" s="13" t="s">
        <v>19773</v>
      </c>
      <c r="E15038" s="8">
        <v>20000</v>
      </c>
      <c r="F15038" s="13" t="s">
        <v>70</v>
      </c>
      <c r="G15038" s="14">
        <v>44708</v>
      </c>
      <c r="H15038" s="13" t="s">
        <v>172</v>
      </c>
    </row>
    <row r="15039" spans="1:8" ht="14.4" x14ac:dyDescent="0.3">
      <c r="A15039" s="8">
        <v>3384882</v>
      </c>
      <c r="B15039" s="11">
        <v>44700</v>
      </c>
      <c r="C15039" s="13" t="s">
        <v>19774</v>
      </c>
      <c r="D15039" s="13" t="s">
        <v>19775</v>
      </c>
      <c r="E15039" s="8">
        <v>30000</v>
      </c>
      <c r="F15039" s="13" t="s">
        <v>70</v>
      </c>
      <c r="G15039" s="14">
        <v>44708</v>
      </c>
      <c r="H15039" s="13" t="s">
        <v>172</v>
      </c>
    </row>
    <row r="15040" spans="1:8" ht="14.4" x14ac:dyDescent="0.3">
      <c r="A15040" s="8">
        <v>3384883</v>
      </c>
      <c r="B15040" s="11">
        <v>44700</v>
      </c>
      <c r="C15040" s="13" t="s">
        <v>726</v>
      </c>
      <c r="D15040" s="13" t="s">
        <v>19776</v>
      </c>
      <c r="E15040" s="8">
        <v>50000</v>
      </c>
      <c r="F15040" s="13" t="s">
        <v>70</v>
      </c>
      <c r="G15040" s="14">
        <v>44711</v>
      </c>
      <c r="H15040" s="13" t="s">
        <v>172</v>
      </c>
    </row>
    <row r="15041" spans="1:8" ht="14.4" x14ac:dyDescent="0.3">
      <c r="A15041" s="8">
        <v>3384884</v>
      </c>
      <c r="B15041" s="11">
        <v>44700</v>
      </c>
      <c r="C15041" s="13" t="s">
        <v>19777</v>
      </c>
      <c r="D15041" s="13" t="s">
        <v>19778</v>
      </c>
      <c r="E15041" s="8">
        <v>8000</v>
      </c>
      <c r="F15041" s="13" t="s">
        <v>70</v>
      </c>
      <c r="G15041" s="14">
        <v>44708</v>
      </c>
      <c r="H15041" s="13" t="s">
        <v>172</v>
      </c>
    </row>
    <row r="15042" spans="1:8" ht="14.4" x14ac:dyDescent="0.3">
      <c r="A15042" s="8">
        <v>3384885</v>
      </c>
      <c r="B15042" s="11">
        <v>44700</v>
      </c>
      <c r="C15042" s="13" t="s">
        <v>19779</v>
      </c>
      <c r="D15042" s="13" t="s">
        <v>19780</v>
      </c>
      <c r="E15042" s="8">
        <v>25000</v>
      </c>
      <c r="F15042" s="13" t="s">
        <v>70</v>
      </c>
      <c r="G15042" s="14">
        <v>44707</v>
      </c>
      <c r="H15042" s="13" t="s">
        <v>172</v>
      </c>
    </row>
    <row r="15043" spans="1:8" ht="14.4" x14ac:dyDescent="0.3">
      <c r="A15043" s="8">
        <v>3384886</v>
      </c>
      <c r="B15043" s="11">
        <v>44700</v>
      </c>
      <c r="C15043" s="13" t="s">
        <v>1531</v>
      </c>
      <c r="D15043" s="13" t="s">
        <v>19781</v>
      </c>
      <c r="E15043" s="8">
        <v>3046.87</v>
      </c>
      <c r="F15043" s="13" t="s">
        <v>70</v>
      </c>
      <c r="G15043" s="14">
        <v>44711</v>
      </c>
      <c r="H15043" s="13" t="s">
        <v>172</v>
      </c>
    </row>
    <row r="15044" spans="1:8" ht="14.4" x14ac:dyDescent="0.3">
      <c r="A15044" s="8">
        <v>3384888</v>
      </c>
      <c r="B15044" s="11">
        <v>44700</v>
      </c>
      <c r="C15044" s="13" t="s">
        <v>279</v>
      </c>
      <c r="D15044" s="13" t="s">
        <v>19782</v>
      </c>
      <c r="E15044" s="8">
        <v>15875.85</v>
      </c>
      <c r="F15044" s="13" t="s">
        <v>70</v>
      </c>
      <c r="G15044" s="14">
        <v>44701</v>
      </c>
      <c r="H15044" s="13" t="s">
        <v>172</v>
      </c>
    </row>
    <row r="15045" spans="1:8" ht="14.4" x14ac:dyDescent="0.3">
      <c r="A15045" s="8">
        <v>3384889</v>
      </c>
      <c r="B15045" s="11">
        <v>44700</v>
      </c>
      <c r="C15045" s="13" t="s">
        <v>44</v>
      </c>
      <c r="D15045" s="13" t="s">
        <v>19783</v>
      </c>
      <c r="E15045" s="8">
        <v>12075</v>
      </c>
      <c r="F15045" s="13" t="s">
        <v>70</v>
      </c>
      <c r="G15045" s="14">
        <v>44708</v>
      </c>
      <c r="H15045" s="13" t="s">
        <v>172</v>
      </c>
    </row>
    <row r="15046" spans="1:8" ht="14.4" x14ac:dyDescent="0.3">
      <c r="A15046" s="8">
        <v>3384890</v>
      </c>
      <c r="B15046" s="11">
        <v>44700</v>
      </c>
      <c r="C15046" s="13" t="s">
        <v>44</v>
      </c>
      <c r="D15046" s="13" t="s">
        <v>19784</v>
      </c>
      <c r="E15046" s="8">
        <v>12075</v>
      </c>
      <c r="F15046" s="13" t="s">
        <v>70</v>
      </c>
      <c r="G15046" s="14">
        <v>44708</v>
      </c>
      <c r="H15046" s="13" t="s">
        <v>172</v>
      </c>
    </row>
    <row r="15047" spans="1:8" ht="14.4" x14ac:dyDescent="0.3">
      <c r="A15047" s="8">
        <v>3384891</v>
      </c>
      <c r="B15047" s="11">
        <v>44700</v>
      </c>
      <c r="C15047" s="13" t="s">
        <v>44</v>
      </c>
      <c r="D15047" s="13" t="s">
        <v>19785</v>
      </c>
      <c r="E15047" s="8">
        <v>12075</v>
      </c>
      <c r="F15047" s="13" t="s">
        <v>70</v>
      </c>
      <c r="G15047" s="14">
        <v>44708</v>
      </c>
      <c r="H15047" s="13" t="s">
        <v>172</v>
      </c>
    </row>
    <row r="15048" spans="1:8" ht="14.4" x14ac:dyDescent="0.3">
      <c r="A15048" s="8">
        <v>3384892</v>
      </c>
      <c r="B15048" s="11">
        <v>44700</v>
      </c>
      <c r="C15048" s="13" t="s">
        <v>3378</v>
      </c>
      <c r="D15048" s="13" t="s">
        <v>3379</v>
      </c>
      <c r="E15048" s="8">
        <v>15786.75</v>
      </c>
      <c r="F15048" s="13" t="s">
        <v>70</v>
      </c>
      <c r="G15048" s="14">
        <v>44706</v>
      </c>
      <c r="H15048" s="13" t="s">
        <v>172</v>
      </c>
    </row>
    <row r="15049" spans="1:8" ht="14.4" x14ac:dyDescent="0.3">
      <c r="A15049" s="8">
        <v>3384893</v>
      </c>
      <c r="B15049" s="11">
        <v>44700</v>
      </c>
      <c r="C15049" s="13" t="s">
        <v>186</v>
      </c>
      <c r="D15049" s="13" t="s">
        <v>19786</v>
      </c>
      <c r="E15049" s="8">
        <v>432</v>
      </c>
      <c r="F15049" s="13" t="s">
        <v>70</v>
      </c>
      <c r="G15049" s="14">
        <v>44704</v>
      </c>
      <c r="H15049" s="13" t="s">
        <v>172</v>
      </c>
    </row>
    <row r="15050" spans="1:8" ht="14.4" x14ac:dyDescent="0.3">
      <c r="A15050" s="8">
        <v>3384894</v>
      </c>
      <c r="B15050" s="11">
        <v>44700</v>
      </c>
      <c r="C15050" s="13" t="s">
        <v>19787</v>
      </c>
      <c r="D15050" s="13" t="s">
        <v>19788</v>
      </c>
      <c r="E15050" s="8">
        <v>10000</v>
      </c>
      <c r="F15050" s="13" t="s">
        <v>70</v>
      </c>
      <c r="G15050" s="14">
        <v>44701</v>
      </c>
      <c r="H15050" s="13" t="s">
        <v>172</v>
      </c>
    </row>
    <row r="15051" spans="1:8" ht="14.4" x14ac:dyDescent="0.3">
      <c r="A15051" s="8">
        <v>3384895</v>
      </c>
      <c r="B15051" s="11">
        <v>44700</v>
      </c>
      <c r="C15051" s="13" t="s">
        <v>275</v>
      </c>
      <c r="D15051" s="13" t="s">
        <v>19789</v>
      </c>
      <c r="E15051" s="8">
        <v>242795.75</v>
      </c>
      <c r="F15051" s="13" t="s">
        <v>70</v>
      </c>
      <c r="G15051" s="14">
        <v>44701</v>
      </c>
      <c r="H15051" s="13" t="s">
        <v>172</v>
      </c>
    </row>
    <row r="15052" spans="1:8" ht="14.4" x14ac:dyDescent="0.3">
      <c r="A15052" s="8">
        <v>3384896</v>
      </c>
      <c r="B15052" s="11">
        <v>44700</v>
      </c>
      <c r="C15052" s="13" t="s">
        <v>8030</v>
      </c>
      <c r="D15052" s="13" t="s">
        <v>19790</v>
      </c>
      <c r="E15052" s="8">
        <v>12000</v>
      </c>
      <c r="F15052" s="13" t="s">
        <v>70</v>
      </c>
      <c r="G15052" s="14">
        <v>44701</v>
      </c>
      <c r="H15052" s="13" t="s">
        <v>172</v>
      </c>
    </row>
    <row r="15053" spans="1:8" ht="14.4" x14ac:dyDescent="0.3">
      <c r="A15053" s="8">
        <v>3384897</v>
      </c>
      <c r="B15053" s="11">
        <v>44700</v>
      </c>
      <c r="C15053" s="13" t="s">
        <v>180</v>
      </c>
      <c r="D15053" s="13" t="s">
        <v>901</v>
      </c>
      <c r="E15053" s="8">
        <v>37196.36</v>
      </c>
      <c r="F15053" s="13" t="s">
        <v>70</v>
      </c>
      <c r="G15053" s="14">
        <v>44701</v>
      </c>
      <c r="H15053" s="13" t="s">
        <v>172</v>
      </c>
    </row>
    <row r="15054" spans="1:8" ht="14.4" x14ac:dyDescent="0.3">
      <c r="A15054" s="8">
        <v>3384898</v>
      </c>
      <c r="B15054" s="11">
        <v>44700</v>
      </c>
      <c r="C15054" s="13" t="s">
        <v>3725</v>
      </c>
      <c r="D15054" s="13" t="s">
        <v>19791</v>
      </c>
      <c r="E15054" s="8">
        <v>8000</v>
      </c>
      <c r="F15054" s="13" t="s">
        <v>70</v>
      </c>
      <c r="G15054" s="14">
        <v>44704</v>
      </c>
      <c r="H15054" s="13" t="s">
        <v>172</v>
      </c>
    </row>
    <row r="15055" spans="1:8" ht="14.4" x14ac:dyDescent="0.3">
      <c r="A15055" s="8">
        <v>3384899</v>
      </c>
      <c r="B15055" s="11">
        <v>44700</v>
      </c>
      <c r="C15055" s="13" t="s">
        <v>14426</v>
      </c>
      <c r="D15055" s="13" t="s">
        <v>9983</v>
      </c>
      <c r="E15055" s="8">
        <v>169000</v>
      </c>
      <c r="F15055" s="13" t="s">
        <v>70</v>
      </c>
      <c r="G15055" s="14">
        <v>44707</v>
      </c>
      <c r="H15055" s="13" t="s">
        <v>172</v>
      </c>
    </row>
    <row r="15056" spans="1:8" ht="14.4" x14ac:dyDescent="0.3">
      <c r="A15056" s="8">
        <v>3384900</v>
      </c>
      <c r="B15056" s="11">
        <v>44700</v>
      </c>
      <c r="C15056" s="13" t="s">
        <v>19792</v>
      </c>
      <c r="D15056" s="13" t="s">
        <v>19793</v>
      </c>
      <c r="E15056" s="8">
        <v>20000</v>
      </c>
      <c r="F15056" s="13" t="s">
        <v>70</v>
      </c>
      <c r="G15056" s="14">
        <v>44708</v>
      </c>
      <c r="H15056" s="13" t="s">
        <v>172</v>
      </c>
    </row>
    <row r="15057" spans="1:8" ht="14.4" x14ac:dyDescent="0.3">
      <c r="A15057" s="8">
        <v>3429701</v>
      </c>
      <c r="B15057" s="11">
        <v>44742</v>
      </c>
      <c r="C15057" s="13" t="s">
        <v>19794</v>
      </c>
      <c r="D15057" s="13" t="s">
        <v>19795</v>
      </c>
      <c r="E15057" s="8">
        <v>2000</v>
      </c>
      <c r="F15057" s="13" t="s">
        <v>70</v>
      </c>
      <c r="G15057" s="14">
        <v>44742</v>
      </c>
      <c r="H15057" s="13" t="s">
        <v>172</v>
      </c>
    </row>
    <row r="15058" spans="1:8" ht="14.4" x14ac:dyDescent="0.3">
      <c r="A15058" s="8">
        <v>3429702</v>
      </c>
      <c r="B15058" s="11">
        <v>44774</v>
      </c>
      <c r="C15058" s="13" t="s">
        <v>275</v>
      </c>
      <c r="D15058" s="13" t="s">
        <v>1089</v>
      </c>
      <c r="E15058" s="8">
        <v>261411.6</v>
      </c>
      <c r="F15058" s="13" t="s">
        <v>70</v>
      </c>
      <c r="G15058" s="14">
        <v>44776</v>
      </c>
      <c r="H15058" s="13" t="s">
        <v>172</v>
      </c>
    </row>
    <row r="15059" spans="1:8" ht="14.4" x14ac:dyDescent="0.3">
      <c r="A15059" s="8">
        <v>3429703</v>
      </c>
      <c r="B15059" s="11">
        <v>44774</v>
      </c>
      <c r="C15059" s="13" t="s">
        <v>43</v>
      </c>
      <c r="D15059" s="13" t="s">
        <v>19796</v>
      </c>
      <c r="E15059" s="8">
        <v>123628.47</v>
      </c>
      <c r="F15059" s="13" t="s">
        <v>70</v>
      </c>
      <c r="G15059" s="14">
        <v>44777</v>
      </c>
      <c r="H15059" s="13" t="s">
        <v>172</v>
      </c>
    </row>
    <row r="15060" spans="1:8" ht="14.4" x14ac:dyDescent="0.3">
      <c r="A15060" s="8">
        <v>3429704</v>
      </c>
      <c r="B15060" s="11">
        <v>44774</v>
      </c>
      <c r="C15060" s="13" t="s">
        <v>43</v>
      </c>
      <c r="D15060" s="13" t="s">
        <v>19797</v>
      </c>
      <c r="E15060" s="8">
        <v>538835</v>
      </c>
      <c r="F15060" s="13" t="s">
        <v>70</v>
      </c>
      <c r="G15060" s="14">
        <v>44777</v>
      </c>
      <c r="H15060" s="13" t="s">
        <v>172</v>
      </c>
    </row>
    <row r="15061" spans="1:8" ht="14.4" x14ac:dyDescent="0.3">
      <c r="A15061" s="8">
        <v>3429705</v>
      </c>
      <c r="B15061" s="11">
        <v>44774</v>
      </c>
      <c r="C15061" s="13" t="s">
        <v>162</v>
      </c>
      <c r="D15061" s="13" t="s">
        <v>19798</v>
      </c>
      <c r="E15061" s="8">
        <v>31778.36</v>
      </c>
      <c r="F15061" s="13" t="s">
        <v>70</v>
      </c>
      <c r="G15061" s="14">
        <v>44776</v>
      </c>
      <c r="H15061" s="13" t="s">
        <v>172</v>
      </c>
    </row>
    <row r="15062" spans="1:8" ht="14.4" x14ac:dyDescent="0.3">
      <c r="A15062" s="8">
        <v>3429706</v>
      </c>
      <c r="B15062" s="11">
        <v>44774</v>
      </c>
      <c r="C15062" s="13" t="s">
        <v>162</v>
      </c>
      <c r="D15062" s="13" t="s">
        <v>19799</v>
      </c>
      <c r="E15062" s="8">
        <v>30156.22</v>
      </c>
      <c r="F15062" s="13" t="s">
        <v>70</v>
      </c>
      <c r="G15062" s="14">
        <v>44776</v>
      </c>
      <c r="H15062" s="13" t="s">
        <v>172</v>
      </c>
    </row>
    <row r="15063" spans="1:8" ht="14.4" x14ac:dyDescent="0.3">
      <c r="A15063" s="8">
        <v>3429707</v>
      </c>
      <c r="B15063" s="11">
        <v>44774</v>
      </c>
      <c r="C15063" s="13" t="s">
        <v>162</v>
      </c>
      <c r="D15063" s="13" t="s">
        <v>19800</v>
      </c>
      <c r="E15063" s="8">
        <v>13991.81</v>
      </c>
      <c r="F15063" s="13" t="s">
        <v>70</v>
      </c>
      <c r="G15063" s="14">
        <v>44777</v>
      </c>
      <c r="H15063" s="13" t="s">
        <v>172</v>
      </c>
    </row>
    <row r="15064" spans="1:8" ht="14.4" x14ac:dyDescent="0.3">
      <c r="A15064" s="8">
        <v>3429708</v>
      </c>
      <c r="B15064" s="11">
        <v>44774</v>
      </c>
      <c r="C15064" s="13" t="s">
        <v>162</v>
      </c>
      <c r="D15064" s="13" t="s">
        <v>19801</v>
      </c>
      <c r="E15064" s="8">
        <v>2959.5</v>
      </c>
      <c r="F15064" s="13" t="s">
        <v>70</v>
      </c>
      <c r="G15064" s="14">
        <v>44777</v>
      </c>
      <c r="H15064" s="13" t="s">
        <v>172</v>
      </c>
    </row>
    <row r="15065" spans="1:8" ht="14.4" x14ac:dyDescent="0.3">
      <c r="A15065" s="8">
        <v>3429709</v>
      </c>
      <c r="B15065" s="11">
        <v>44774</v>
      </c>
      <c r="C15065" s="13" t="s">
        <v>162</v>
      </c>
      <c r="D15065" s="13" t="s">
        <v>19802</v>
      </c>
      <c r="E15065" s="8">
        <v>916479.34</v>
      </c>
      <c r="F15065" s="13" t="s">
        <v>70</v>
      </c>
      <c r="G15065" s="14">
        <v>44777</v>
      </c>
      <c r="H15065" s="13" t="s">
        <v>172</v>
      </c>
    </row>
    <row r="15066" spans="1:8" ht="14.4" x14ac:dyDescent="0.3">
      <c r="A15066" s="8">
        <v>3429710</v>
      </c>
      <c r="B15066" s="11">
        <v>44774</v>
      </c>
      <c r="C15066" s="13" t="s">
        <v>19803</v>
      </c>
      <c r="D15066" s="13" t="s">
        <v>19804</v>
      </c>
      <c r="E15066" s="8">
        <v>42000</v>
      </c>
      <c r="F15066" s="13" t="s">
        <v>70</v>
      </c>
      <c r="G15066" s="14">
        <v>44774</v>
      </c>
      <c r="H15066" s="13" t="s">
        <v>172</v>
      </c>
    </row>
    <row r="15067" spans="1:8" ht="14.4" x14ac:dyDescent="0.3">
      <c r="A15067" s="8">
        <v>3429711</v>
      </c>
      <c r="B15067" s="11">
        <v>44774</v>
      </c>
      <c r="C15067" s="13" t="s">
        <v>44</v>
      </c>
      <c r="D15067" s="13" t="s">
        <v>19805</v>
      </c>
      <c r="E15067" s="8">
        <v>12075</v>
      </c>
      <c r="F15067" s="13" t="s">
        <v>70</v>
      </c>
      <c r="G15067" s="14">
        <v>44778</v>
      </c>
      <c r="H15067" s="13" t="s">
        <v>172</v>
      </c>
    </row>
    <row r="15068" spans="1:8" ht="14.4" x14ac:dyDescent="0.3">
      <c r="A15068" s="8">
        <v>3429712</v>
      </c>
      <c r="B15068" s="11">
        <v>44774</v>
      </c>
      <c r="C15068" s="13" t="s">
        <v>4885</v>
      </c>
      <c r="D15068" s="13" t="s">
        <v>19806</v>
      </c>
      <c r="E15068" s="8">
        <v>17884.009999999998</v>
      </c>
      <c r="F15068" s="13" t="s">
        <v>70</v>
      </c>
      <c r="G15068" s="14">
        <v>44776</v>
      </c>
      <c r="H15068" s="13" t="s">
        <v>172</v>
      </c>
    </row>
    <row r="15069" spans="1:8" ht="14.4" x14ac:dyDescent="0.3">
      <c r="A15069" s="8">
        <v>3429714</v>
      </c>
      <c r="B15069" s="11">
        <v>44774</v>
      </c>
      <c r="C15069" s="13" t="s">
        <v>195</v>
      </c>
      <c r="D15069" s="13" t="s">
        <v>19807</v>
      </c>
      <c r="E15069" s="8">
        <v>39500</v>
      </c>
      <c r="F15069" s="13" t="s">
        <v>70</v>
      </c>
      <c r="G15069" s="14">
        <v>44810</v>
      </c>
      <c r="H15069" s="13" t="s">
        <v>172</v>
      </c>
    </row>
    <row r="15070" spans="1:8" ht="14.4" x14ac:dyDescent="0.3">
      <c r="A15070" s="8">
        <v>3429715</v>
      </c>
      <c r="B15070" s="11">
        <v>44774</v>
      </c>
      <c r="C15070" s="13" t="s">
        <v>232</v>
      </c>
      <c r="D15070" s="13" t="s">
        <v>19808</v>
      </c>
      <c r="E15070" s="8">
        <v>18000</v>
      </c>
      <c r="F15070" s="13" t="s">
        <v>70</v>
      </c>
      <c r="G15070" s="14">
        <v>44775</v>
      </c>
      <c r="H15070" s="13" t="s">
        <v>172</v>
      </c>
    </row>
    <row r="15071" spans="1:8" ht="14.4" x14ac:dyDescent="0.3">
      <c r="A15071" s="8">
        <v>3429716</v>
      </c>
      <c r="B15071" s="11">
        <v>44774</v>
      </c>
      <c r="C15071" s="13" t="s">
        <v>197</v>
      </c>
      <c r="D15071" s="13" t="s">
        <v>19808</v>
      </c>
      <c r="E15071" s="8">
        <v>15300</v>
      </c>
      <c r="F15071" s="13" t="s">
        <v>70</v>
      </c>
      <c r="G15071" s="14">
        <v>44775</v>
      </c>
      <c r="H15071" s="13" t="s">
        <v>172</v>
      </c>
    </row>
    <row r="15072" spans="1:8" ht="14.4" x14ac:dyDescent="0.3">
      <c r="A15072" s="8">
        <v>3429717</v>
      </c>
      <c r="B15072" s="11">
        <v>44775</v>
      </c>
      <c r="C15072" s="13" t="s">
        <v>44</v>
      </c>
      <c r="D15072" s="13" t="s">
        <v>19809</v>
      </c>
      <c r="E15072" s="8">
        <v>2979.55</v>
      </c>
      <c r="F15072" s="13" t="s">
        <v>70</v>
      </c>
      <c r="G15072" s="14">
        <v>44778</v>
      </c>
      <c r="H15072" s="13" t="s">
        <v>172</v>
      </c>
    </row>
    <row r="15073" spans="1:8" ht="14.4" x14ac:dyDescent="0.3">
      <c r="A15073" s="8">
        <v>3429718</v>
      </c>
      <c r="B15073" s="11">
        <v>44775</v>
      </c>
      <c r="C15073" s="13" t="s">
        <v>44</v>
      </c>
      <c r="D15073" s="13" t="s">
        <v>19810</v>
      </c>
      <c r="E15073" s="8">
        <v>3795.73</v>
      </c>
      <c r="F15073" s="13" t="s">
        <v>70</v>
      </c>
      <c r="G15073" s="14">
        <v>44778</v>
      </c>
      <c r="H15073" s="13" t="s">
        <v>172</v>
      </c>
    </row>
    <row r="15074" spans="1:8" ht="14.4" x14ac:dyDescent="0.3">
      <c r="A15074" s="8">
        <v>3429719</v>
      </c>
      <c r="B15074" s="11">
        <v>44775</v>
      </c>
      <c r="C15074" s="13" t="s">
        <v>44</v>
      </c>
      <c r="D15074" s="13" t="s">
        <v>19811</v>
      </c>
      <c r="E15074" s="8">
        <v>996.85</v>
      </c>
      <c r="F15074" s="13" t="s">
        <v>70</v>
      </c>
      <c r="G15074" s="14">
        <v>44778</v>
      </c>
      <c r="H15074" s="13" t="s">
        <v>172</v>
      </c>
    </row>
    <row r="15075" spans="1:8" ht="14.4" x14ac:dyDescent="0.3">
      <c r="A15075" s="8">
        <v>3429720</v>
      </c>
      <c r="B15075" s="11">
        <v>44775</v>
      </c>
      <c r="C15075" s="13" t="s">
        <v>44</v>
      </c>
      <c r="D15075" s="13" t="s">
        <v>19812</v>
      </c>
      <c r="E15075" s="8">
        <v>6310.68</v>
      </c>
      <c r="F15075" s="13" t="s">
        <v>70</v>
      </c>
      <c r="G15075" s="14">
        <v>44778</v>
      </c>
      <c r="H15075" s="13" t="s">
        <v>172</v>
      </c>
    </row>
    <row r="15076" spans="1:8" ht="14.4" x14ac:dyDescent="0.3">
      <c r="A15076" s="8">
        <v>3429721</v>
      </c>
      <c r="B15076" s="11">
        <v>44775</v>
      </c>
      <c r="C15076" s="13" t="s">
        <v>162</v>
      </c>
      <c r="D15076" s="13" t="s">
        <v>19813</v>
      </c>
      <c r="E15076" s="8">
        <v>3194.06</v>
      </c>
      <c r="F15076" s="13" t="s">
        <v>70</v>
      </c>
      <c r="G15076" s="14">
        <v>44785</v>
      </c>
      <c r="H15076" s="13" t="s">
        <v>172</v>
      </c>
    </row>
    <row r="15077" spans="1:8" ht="14.4" x14ac:dyDescent="0.3">
      <c r="A15077" s="8">
        <v>3429722</v>
      </c>
      <c r="B15077" s="11">
        <v>44775</v>
      </c>
      <c r="C15077" s="13" t="s">
        <v>162</v>
      </c>
      <c r="D15077" s="13" t="s">
        <v>19814</v>
      </c>
      <c r="E15077" s="8">
        <v>32073.31</v>
      </c>
      <c r="F15077" s="13" t="s">
        <v>70</v>
      </c>
      <c r="G15077" s="14">
        <v>44785</v>
      </c>
      <c r="H15077" s="13" t="s">
        <v>172</v>
      </c>
    </row>
    <row r="15078" spans="1:8" ht="14.4" x14ac:dyDescent="0.3">
      <c r="A15078" s="8">
        <v>3429723</v>
      </c>
      <c r="B15078" s="11">
        <v>44775</v>
      </c>
      <c r="C15078" s="13" t="s">
        <v>162</v>
      </c>
      <c r="D15078" s="13" t="s">
        <v>19815</v>
      </c>
      <c r="E15078" s="8">
        <v>84.94</v>
      </c>
      <c r="F15078" s="13" t="s">
        <v>70</v>
      </c>
      <c r="G15078" s="14">
        <v>44785</v>
      </c>
      <c r="H15078" s="13" t="s">
        <v>172</v>
      </c>
    </row>
    <row r="15079" spans="1:8" ht="14.4" x14ac:dyDescent="0.3">
      <c r="A15079" s="8">
        <v>3429724</v>
      </c>
      <c r="B15079" s="11">
        <v>44775</v>
      </c>
      <c r="C15079" s="13" t="s">
        <v>162</v>
      </c>
      <c r="D15079" s="13" t="s">
        <v>19816</v>
      </c>
      <c r="E15079" s="8">
        <v>84.94</v>
      </c>
      <c r="F15079" s="13" t="s">
        <v>70</v>
      </c>
      <c r="G15079" s="14">
        <v>44785</v>
      </c>
      <c r="H15079" s="13" t="s">
        <v>172</v>
      </c>
    </row>
    <row r="15080" spans="1:8" ht="14.4" x14ac:dyDescent="0.3">
      <c r="A15080" s="8">
        <v>3429725</v>
      </c>
      <c r="B15080" s="11">
        <v>44775</v>
      </c>
      <c r="C15080" s="13" t="s">
        <v>162</v>
      </c>
      <c r="D15080" s="13" t="s">
        <v>19817</v>
      </c>
      <c r="E15080" s="8">
        <v>741480.9</v>
      </c>
      <c r="F15080" s="13" t="s">
        <v>70</v>
      </c>
      <c r="G15080" s="14">
        <v>44785</v>
      </c>
      <c r="H15080" s="13" t="s">
        <v>172</v>
      </c>
    </row>
    <row r="15081" spans="1:8" ht="14.4" x14ac:dyDescent="0.3">
      <c r="A15081" s="8">
        <v>3429726</v>
      </c>
      <c r="B15081" s="11">
        <v>44775</v>
      </c>
      <c r="C15081" s="13" t="s">
        <v>8440</v>
      </c>
      <c r="D15081" s="13" t="s">
        <v>19818</v>
      </c>
      <c r="E15081" s="8">
        <v>50000</v>
      </c>
      <c r="F15081" s="13" t="s">
        <v>70</v>
      </c>
      <c r="G15081" s="14">
        <v>44778</v>
      </c>
      <c r="H15081" s="13" t="s">
        <v>172</v>
      </c>
    </row>
    <row r="15082" spans="1:8" ht="14.4" x14ac:dyDescent="0.3">
      <c r="A15082" s="8">
        <v>3429727</v>
      </c>
      <c r="B15082" s="11">
        <v>44775</v>
      </c>
      <c r="C15082" s="13" t="s">
        <v>159</v>
      </c>
      <c r="D15082" s="13" t="s">
        <v>19819</v>
      </c>
      <c r="E15082" s="8">
        <v>315200</v>
      </c>
      <c r="F15082" s="13" t="s">
        <v>70</v>
      </c>
      <c r="G15082" s="14">
        <v>44775</v>
      </c>
      <c r="H15082" s="13" t="s">
        <v>172</v>
      </c>
    </row>
    <row r="15083" spans="1:8" ht="14.4" x14ac:dyDescent="0.3">
      <c r="A15083" s="8">
        <v>3429728</v>
      </c>
      <c r="B15083" s="11">
        <v>44775</v>
      </c>
      <c r="C15083" s="13" t="s">
        <v>19820</v>
      </c>
      <c r="D15083" s="13" t="s">
        <v>3638</v>
      </c>
      <c r="E15083" s="8">
        <v>1253872.5</v>
      </c>
      <c r="F15083" s="13" t="s">
        <v>70</v>
      </c>
      <c r="G15083" s="14">
        <v>44777</v>
      </c>
      <c r="H15083" s="13" t="s">
        <v>172</v>
      </c>
    </row>
    <row r="15084" spans="1:8" ht="14.4" x14ac:dyDescent="0.3">
      <c r="A15084" s="8">
        <v>3429730</v>
      </c>
      <c r="B15084" s="11">
        <v>44775</v>
      </c>
      <c r="C15084" s="13" t="s">
        <v>44</v>
      </c>
      <c r="D15084" s="13" t="s">
        <v>19821</v>
      </c>
      <c r="E15084" s="8">
        <v>2061.56</v>
      </c>
      <c r="F15084" s="13" t="s">
        <v>70</v>
      </c>
      <c r="G15084" s="14">
        <v>44778</v>
      </c>
      <c r="H15084" s="13" t="s">
        <v>172</v>
      </c>
    </row>
    <row r="15085" spans="1:8" ht="14.4" x14ac:dyDescent="0.3">
      <c r="A15085" s="8">
        <v>3429731</v>
      </c>
      <c r="B15085" s="11">
        <v>44775</v>
      </c>
      <c r="C15085" s="13" t="s">
        <v>44</v>
      </c>
      <c r="D15085" s="13" t="s">
        <v>19822</v>
      </c>
      <c r="E15085" s="8">
        <v>2530.3000000000002</v>
      </c>
      <c r="F15085" s="13" t="s">
        <v>70</v>
      </c>
      <c r="G15085" s="14">
        <v>44778</v>
      </c>
      <c r="H15085" s="13" t="s">
        <v>172</v>
      </c>
    </row>
    <row r="15086" spans="1:8" ht="14.4" x14ac:dyDescent="0.3">
      <c r="A15086" s="8">
        <v>3429732</v>
      </c>
      <c r="B15086" s="11">
        <v>44775</v>
      </c>
      <c r="C15086" s="13" t="s">
        <v>3235</v>
      </c>
      <c r="D15086" s="13" t="s">
        <v>19823</v>
      </c>
      <c r="E15086" s="8">
        <v>1753649.78</v>
      </c>
      <c r="F15086" s="13" t="s">
        <v>70</v>
      </c>
      <c r="G15086" s="14">
        <v>44781</v>
      </c>
      <c r="H15086" s="13" t="s">
        <v>172</v>
      </c>
    </row>
    <row r="15087" spans="1:8" ht="14.4" x14ac:dyDescent="0.3">
      <c r="A15087" s="8">
        <v>3429733</v>
      </c>
      <c r="B15087" s="11">
        <v>44775</v>
      </c>
      <c r="C15087" s="13" t="s">
        <v>19824</v>
      </c>
      <c r="D15087" s="13" t="s">
        <v>19825</v>
      </c>
      <c r="E15087" s="8">
        <v>15000</v>
      </c>
      <c r="F15087" s="13" t="s">
        <v>70</v>
      </c>
      <c r="G15087" s="14">
        <v>44778</v>
      </c>
      <c r="H15087" s="13" t="s">
        <v>172</v>
      </c>
    </row>
    <row r="15088" spans="1:8" ht="14.4" x14ac:dyDescent="0.3">
      <c r="A15088" s="8">
        <v>3429734</v>
      </c>
      <c r="B15088" s="11">
        <v>44775</v>
      </c>
      <c r="C15088" s="13" t="s">
        <v>19826</v>
      </c>
      <c r="D15088" s="13" t="s">
        <v>19827</v>
      </c>
      <c r="E15088" s="8">
        <v>8000</v>
      </c>
      <c r="F15088" s="13" t="s">
        <v>70</v>
      </c>
      <c r="G15088" s="14">
        <v>44778</v>
      </c>
      <c r="H15088" s="13" t="s">
        <v>172</v>
      </c>
    </row>
    <row r="15089" spans="1:8" ht="14.4" x14ac:dyDescent="0.3">
      <c r="A15089" s="8">
        <v>3429735</v>
      </c>
      <c r="B15089" s="11">
        <v>44775</v>
      </c>
      <c r="C15089" s="13" t="s">
        <v>19828</v>
      </c>
      <c r="D15089" s="13" t="s">
        <v>19829</v>
      </c>
      <c r="E15089" s="8">
        <v>10000</v>
      </c>
      <c r="F15089" s="13" t="s">
        <v>70</v>
      </c>
      <c r="G15089" s="14">
        <v>44782</v>
      </c>
      <c r="H15089" s="13" t="s">
        <v>172</v>
      </c>
    </row>
    <row r="15090" spans="1:8" ht="14.4" x14ac:dyDescent="0.3">
      <c r="A15090" s="8">
        <v>3429736</v>
      </c>
      <c r="B15090" s="11">
        <v>44775</v>
      </c>
      <c r="C15090" s="13" t="s">
        <v>17126</v>
      </c>
      <c r="D15090" s="13" t="s">
        <v>19830</v>
      </c>
      <c r="E15090" s="8">
        <v>20000</v>
      </c>
      <c r="F15090" s="13" t="s">
        <v>70</v>
      </c>
      <c r="G15090" s="14">
        <v>44781</v>
      </c>
      <c r="H15090" s="13" t="s">
        <v>172</v>
      </c>
    </row>
    <row r="15091" spans="1:8" ht="14.4" x14ac:dyDescent="0.3">
      <c r="A15091" s="8">
        <v>3429737</v>
      </c>
      <c r="B15091" s="11">
        <v>44775</v>
      </c>
      <c r="C15091" s="13" t="s">
        <v>19831</v>
      </c>
      <c r="D15091" s="13" t="s">
        <v>19832</v>
      </c>
      <c r="E15091" s="8">
        <v>50000</v>
      </c>
      <c r="F15091" s="13" t="s">
        <v>70</v>
      </c>
      <c r="G15091" s="14">
        <v>44777</v>
      </c>
      <c r="H15091" s="13" t="s">
        <v>172</v>
      </c>
    </row>
    <row r="15092" spans="1:8" ht="14.4" x14ac:dyDescent="0.3">
      <c r="A15092" s="8">
        <v>3429738</v>
      </c>
      <c r="B15092" s="11">
        <v>44775</v>
      </c>
      <c r="C15092" s="13" t="s">
        <v>19833</v>
      </c>
      <c r="D15092" s="13" t="s">
        <v>19834</v>
      </c>
      <c r="E15092" s="8">
        <v>8000</v>
      </c>
      <c r="F15092" s="13" t="s">
        <v>70</v>
      </c>
      <c r="G15092" s="14">
        <v>44777</v>
      </c>
      <c r="H15092" s="13" t="s">
        <v>172</v>
      </c>
    </row>
    <row r="15093" spans="1:8" ht="14.4" x14ac:dyDescent="0.3">
      <c r="A15093" s="8">
        <v>3429739</v>
      </c>
      <c r="B15093" s="11">
        <v>44775</v>
      </c>
      <c r="C15093" s="13" t="s">
        <v>19835</v>
      </c>
      <c r="D15093" s="13" t="s">
        <v>19836</v>
      </c>
      <c r="E15093" s="8">
        <v>10000</v>
      </c>
      <c r="F15093" s="13" t="s">
        <v>70</v>
      </c>
      <c r="G15093" s="14">
        <v>44785</v>
      </c>
      <c r="H15093" s="13" t="s">
        <v>172</v>
      </c>
    </row>
    <row r="15094" spans="1:8" ht="14.4" x14ac:dyDescent="0.3">
      <c r="A15094" s="8">
        <v>3429740</v>
      </c>
      <c r="B15094" s="11">
        <v>44775</v>
      </c>
      <c r="C15094" s="13" t="s">
        <v>19837</v>
      </c>
      <c r="D15094" s="13" t="s">
        <v>19838</v>
      </c>
      <c r="E15094" s="8">
        <v>10000</v>
      </c>
      <c r="F15094" s="13" t="s">
        <v>70</v>
      </c>
      <c r="G15094" s="14">
        <v>44778</v>
      </c>
      <c r="H15094" s="13" t="s">
        <v>172</v>
      </c>
    </row>
    <row r="15095" spans="1:8" ht="14.4" x14ac:dyDescent="0.3">
      <c r="A15095" s="8">
        <v>3429741</v>
      </c>
      <c r="B15095" s="11">
        <v>44775</v>
      </c>
      <c r="C15095" s="13" t="s">
        <v>19839</v>
      </c>
      <c r="D15095" s="13" t="s">
        <v>19840</v>
      </c>
      <c r="E15095" s="8">
        <v>14000</v>
      </c>
      <c r="F15095" s="13" t="s">
        <v>70</v>
      </c>
      <c r="G15095" s="14">
        <v>44778</v>
      </c>
      <c r="H15095" s="13" t="s">
        <v>172</v>
      </c>
    </row>
    <row r="15096" spans="1:8" ht="14.4" x14ac:dyDescent="0.3">
      <c r="A15096" s="8">
        <v>3429742</v>
      </c>
      <c r="B15096" s="11">
        <v>44775</v>
      </c>
      <c r="C15096" s="13" t="s">
        <v>19841</v>
      </c>
      <c r="D15096" s="13" t="s">
        <v>19842</v>
      </c>
      <c r="E15096" s="8">
        <v>50000</v>
      </c>
      <c r="F15096" s="13" t="s">
        <v>70</v>
      </c>
      <c r="G15096" s="14">
        <v>44777</v>
      </c>
      <c r="H15096" s="13" t="s">
        <v>172</v>
      </c>
    </row>
    <row r="15097" spans="1:8" ht="14.4" x14ac:dyDescent="0.3">
      <c r="A15097" s="8">
        <v>3429743</v>
      </c>
      <c r="B15097" s="11">
        <v>44775</v>
      </c>
      <c r="C15097" s="13" t="s">
        <v>19843</v>
      </c>
      <c r="D15097" s="13" t="s">
        <v>19844</v>
      </c>
      <c r="E15097" s="8">
        <v>20000</v>
      </c>
      <c r="F15097" s="13" t="s">
        <v>70</v>
      </c>
      <c r="G15097" s="14">
        <v>44782</v>
      </c>
      <c r="H15097" s="13" t="s">
        <v>172</v>
      </c>
    </row>
    <row r="15098" spans="1:8" ht="14.4" x14ac:dyDescent="0.3">
      <c r="A15098" s="8">
        <v>3429744</v>
      </c>
      <c r="B15098" s="11">
        <v>44775</v>
      </c>
      <c r="C15098" s="13" t="s">
        <v>68</v>
      </c>
      <c r="D15098" s="13" t="s">
        <v>19845</v>
      </c>
      <c r="E15098" s="8">
        <v>30000</v>
      </c>
      <c r="F15098" s="13" t="s">
        <v>70</v>
      </c>
      <c r="G15098" s="14">
        <v>44778</v>
      </c>
      <c r="H15098" s="13" t="s">
        <v>172</v>
      </c>
    </row>
    <row r="15099" spans="1:8" ht="14.4" x14ac:dyDescent="0.3">
      <c r="A15099" s="8">
        <v>3429745</v>
      </c>
      <c r="B15099" s="11">
        <v>44775</v>
      </c>
      <c r="C15099" s="13" t="s">
        <v>19846</v>
      </c>
      <c r="D15099" s="13" t="s">
        <v>19847</v>
      </c>
      <c r="E15099" s="8">
        <v>15000</v>
      </c>
      <c r="F15099" s="13" t="s">
        <v>70</v>
      </c>
      <c r="G15099" s="14">
        <v>44777</v>
      </c>
      <c r="H15099" s="13" t="s">
        <v>172</v>
      </c>
    </row>
    <row r="15100" spans="1:8" ht="14.4" x14ac:dyDescent="0.3">
      <c r="A15100" s="8">
        <v>3429746</v>
      </c>
      <c r="B15100" s="11">
        <v>44775</v>
      </c>
      <c r="C15100" s="13" t="s">
        <v>19848</v>
      </c>
      <c r="D15100" s="13" t="s">
        <v>19849</v>
      </c>
      <c r="E15100" s="8">
        <v>21600</v>
      </c>
      <c r="F15100" s="13" t="s">
        <v>70</v>
      </c>
      <c r="G15100" s="14">
        <v>44777</v>
      </c>
      <c r="H15100" s="13" t="s">
        <v>172</v>
      </c>
    </row>
    <row r="15101" spans="1:8" ht="14.4" x14ac:dyDescent="0.3">
      <c r="A15101" s="8">
        <v>3429747</v>
      </c>
      <c r="B15101" s="11">
        <v>44775</v>
      </c>
      <c r="C15101" s="13" t="s">
        <v>3725</v>
      </c>
      <c r="D15101" s="13" t="s">
        <v>19850</v>
      </c>
      <c r="E15101" s="8">
        <v>5500</v>
      </c>
      <c r="F15101" s="13" t="s">
        <v>70</v>
      </c>
      <c r="G15101" s="14">
        <v>44777</v>
      </c>
      <c r="H15101" s="13" t="s">
        <v>172</v>
      </c>
    </row>
    <row r="15102" spans="1:8" ht="14.4" x14ac:dyDescent="0.3">
      <c r="A15102" s="8">
        <v>3429748</v>
      </c>
      <c r="B15102" s="11">
        <v>44775</v>
      </c>
      <c r="C15102" s="13" t="s">
        <v>3725</v>
      </c>
      <c r="D15102" s="13" t="s">
        <v>19851</v>
      </c>
      <c r="E15102" s="8">
        <v>5500</v>
      </c>
      <c r="F15102" s="13" t="s">
        <v>70</v>
      </c>
      <c r="G15102" s="14">
        <v>44777</v>
      </c>
      <c r="H15102" s="13" t="s">
        <v>172</v>
      </c>
    </row>
    <row r="15103" spans="1:8" ht="14.4" x14ac:dyDescent="0.3">
      <c r="A15103" s="8">
        <v>3429749</v>
      </c>
      <c r="B15103" s="11">
        <v>44775</v>
      </c>
      <c r="C15103" s="13" t="s">
        <v>1286</v>
      </c>
      <c r="D15103" s="13" t="s">
        <v>19852</v>
      </c>
      <c r="E15103" s="8">
        <v>47515.21</v>
      </c>
      <c r="F15103" s="13" t="s">
        <v>70</v>
      </c>
      <c r="G15103" s="14">
        <v>44782</v>
      </c>
      <c r="H15103" s="13" t="s">
        <v>172</v>
      </c>
    </row>
    <row r="15104" spans="1:8" ht="14.4" x14ac:dyDescent="0.3">
      <c r="A15104" s="8">
        <v>3429750</v>
      </c>
      <c r="B15104" s="11">
        <v>44775</v>
      </c>
      <c r="C15104" s="13" t="s">
        <v>361</v>
      </c>
      <c r="D15104" s="13" t="s">
        <v>19853</v>
      </c>
      <c r="E15104" s="8">
        <v>11957</v>
      </c>
      <c r="F15104" s="13" t="s">
        <v>70</v>
      </c>
      <c r="G15104" s="14">
        <v>44782</v>
      </c>
      <c r="H15104" s="13" t="s">
        <v>172</v>
      </c>
    </row>
    <row r="15105" spans="1:8" ht="14.4" x14ac:dyDescent="0.3">
      <c r="A15105" s="8">
        <v>3429751</v>
      </c>
      <c r="B15105" s="11">
        <v>44775</v>
      </c>
      <c r="C15105" s="13" t="s">
        <v>1286</v>
      </c>
      <c r="D15105" s="13" t="s">
        <v>19854</v>
      </c>
      <c r="E15105" s="8">
        <v>109078.31</v>
      </c>
      <c r="F15105" s="13" t="s">
        <v>70</v>
      </c>
      <c r="G15105" s="14">
        <v>44782</v>
      </c>
      <c r="H15105" s="13" t="s">
        <v>172</v>
      </c>
    </row>
    <row r="15106" spans="1:8" ht="14.4" x14ac:dyDescent="0.3">
      <c r="A15106" s="8">
        <v>3429752</v>
      </c>
      <c r="B15106" s="11">
        <v>44775</v>
      </c>
      <c r="C15106" s="13" t="s">
        <v>2571</v>
      </c>
      <c r="D15106" s="13" t="s">
        <v>19855</v>
      </c>
      <c r="E15106" s="8">
        <v>209212.19</v>
      </c>
      <c r="F15106" s="13" t="s">
        <v>70</v>
      </c>
      <c r="G15106" s="14">
        <v>44778</v>
      </c>
      <c r="H15106" s="13" t="s">
        <v>172</v>
      </c>
    </row>
    <row r="15107" spans="1:8" ht="14.4" x14ac:dyDescent="0.3">
      <c r="A15107" s="8">
        <v>3429753</v>
      </c>
      <c r="B15107" s="11">
        <v>44775</v>
      </c>
      <c r="C15107" s="13" t="s">
        <v>2571</v>
      </c>
      <c r="D15107" s="13" t="s">
        <v>19856</v>
      </c>
      <c r="E15107" s="8">
        <v>288112.21999999997</v>
      </c>
      <c r="F15107" s="13" t="s">
        <v>70</v>
      </c>
      <c r="G15107" s="14">
        <v>44778</v>
      </c>
      <c r="H15107" s="13" t="s">
        <v>172</v>
      </c>
    </row>
    <row r="15108" spans="1:8" ht="14.4" x14ac:dyDescent="0.3">
      <c r="A15108" s="8">
        <v>3429754</v>
      </c>
      <c r="B15108" s="11">
        <v>44775</v>
      </c>
      <c r="C15108" s="13" t="s">
        <v>2571</v>
      </c>
      <c r="D15108" s="13" t="s">
        <v>19857</v>
      </c>
      <c r="E15108" s="8">
        <v>378036.68</v>
      </c>
      <c r="F15108" s="13" t="s">
        <v>70</v>
      </c>
      <c r="G15108" s="14">
        <v>44778</v>
      </c>
      <c r="H15108" s="13" t="s">
        <v>172</v>
      </c>
    </row>
    <row r="15109" spans="1:8" ht="14.4" x14ac:dyDescent="0.3">
      <c r="A15109" s="8">
        <v>3429755</v>
      </c>
      <c r="B15109" s="11">
        <v>44775</v>
      </c>
      <c r="C15109" s="13" t="s">
        <v>10563</v>
      </c>
      <c r="D15109" s="13" t="s">
        <v>19858</v>
      </c>
      <c r="E15109" s="8">
        <v>674228.57</v>
      </c>
      <c r="F15109" s="13" t="s">
        <v>70</v>
      </c>
      <c r="G15109" s="14">
        <v>44781</v>
      </c>
      <c r="H15109" s="13" t="s">
        <v>172</v>
      </c>
    </row>
    <row r="15110" spans="1:8" ht="14.4" x14ac:dyDescent="0.3">
      <c r="A15110" s="8">
        <v>3429756</v>
      </c>
      <c r="B15110" s="11">
        <v>44775</v>
      </c>
      <c r="C15110" s="13" t="s">
        <v>361</v>
      </c>
      <c r="D15110" s="13" t="s">
        <v>19859</v>
      </c>
      <c r="E15110" s="8">
        <v>25350.36</v>
      </c>
      <c r="F15110" s="13" t="s">
        <v>70</v>
      </c>
      <c r="G15110" s="14">
        <v>44782</v>
      </c>
      <c r="H15110" s="13" t="s">
        <v>172</v>
      </c>
    </row>
    <row r="15111" spans="1:8" ht="14.4" x14ac:dyDescent="0.3">
      <c r="A15111" s="8">
        <v>3429757</v>
      </c>
      <c r="B15111" s="11">
        <v>44775</v>
      </c>
      <c r="C15111" s="13" t="s">
        <v>10017</v>
      </c>
      <c r="D15111" s="13" t="s">
        <v>19860</v>
      </c>
      <c r="E15111" s="8">
        <v>233770</v>
      </c>
      <c r="F15111" s="13" t="s">
        <v>70</v>
      </c>
      <c r="G15111" s="14">
        <v>44792</v>
      </c>
      <c r="H15111" s="13" t="s">
        <v>172</v>
      </c>
    </row>
    <row r="15112" spans="1:8" ht="14.4" x14ac:dyDescent="0.3">
      <c r="A15112" s="8">
        <v>3429758</v>
      </c>
      <c r="B15112" s="11">
        <v>44775</v>
      </c>
      <c r="C15112" s="13" t="s">
        <v>245</v>
      </c>
      <c r="D15112" s="13" t="s">
        <v>4970</v>
      </c>
      <c r="E15112" s="8">
        <v>257246.29</v>
      </c>
      <c r="F15112" s="13" t="s">
        <v>70</v>
      </c>
      <c r="G15112" s="14">
        <v>44777</v>
      </c>
      <c r="H15112" s="13" t="s">
        <v>172</v>
      </c>
    </row>
    <row r="15113" spans="1:8" ht="14.4" x14ac:dyDescent="0.3">
      <c r="A15113" s="8">
        <v>3429759</v>
      </c>
      <c r="B15113" s="11">
        <v>44804</v>
      </c>
      <c r="C15113" s="13" t="s">
        <v>159</v>
      </c>
      <c r="D15113" s="13" t="s">
        <v>2314</v>
      </c>
      <c r="E15113" s="8">
        <v>262700</v>
      </c>
      <c r="F15113" s="13" t="s">
        <v>70</v>
      </c>
      <c r="G15113" s="14">
        <v>44804</v>
      </c>
      <c r="H15113" s="13" t="s">
        <v>172</v>
      </c>
    </row>
    <row r="15114" spans="1:8" ht="14.4" x14ac:dyDescent="0.3">
      <c r="A15114" s="8">
        <v>3429760</v>
      </c>
      <c r="B15114" s="11">
        <v>44804</v>
      </c>
      <c r="C15114" s="13" t="s">
        <v>2619</v>
      </c>
      <c r="D15114" s="13" t="s">
        <v>19861</v>
      </c>
      <c r="E15114" s="8">
        <v>7400</v>
      </c>
      <c r="F15114" s="13" t="s">
        <v>70</v>
      </c>
      <c r="G15114" s="14">
        <v>44804</v>
      </c>
      <c r="H15114" s="13" t="s">
        <v>172</v>
      </c>
    </row>
    <row r="15115" spans="1:8" ht="14.4" x14ac:dyDescent="0.3">
      <c r="A15115" s="8">
        <v>3429761</v>
      </c>
      <c r="B15115" s="11">
        <v>44804</v>
      </c>
      <c r="C15115" s="13" t="s">
        <v>19862</v>
      </c>
      <c r="D15115" s="13" t="s">
        <v>19861</v>
      </c>
      <c r="E15115" s="8">
        <v>7400</v>
      </c>
      <c r="F15115" s="13" t="s">
        <v>70</v>
      </c>
      <c r="G15115" s="14">
        <v>44804</v>
      </c>
      <c r="H15115" s="13" t="s">
        <v>172</v>
      </c>
    </row>
    <row r="15116" spans="1:8" ht="14.4" x14ac:dyDescent="0.3">
      <c r="A15116" s="8">
        <v>3429762</v>
      </c>
      <c r="B15116" s="11">
        <v>44804</v>
      </c>
      <c r="C15116" s="13" t="s">
        <v>275</v>
      </c>
      <c r="D15116" s="13" t="s">
        <v>19863</v>
      </c>
      <c r="E15116" s="8">
        <v>261319.63</v>
      </c>
      <c r="F15116" s="13" t="s">
        <v>70</v>
      </c>
      <c r="G15116" s="14">
        <v>44805</v>
      </c>
      <c r="H15116" s="13" t="s">
        <v>172</v>
      </c>
    </row>
    <row r="15117" spans="1:8" ht="14.4" x14ac:dyDescent="0.3">
      <c r="A15117" s="8">
        <v>3429764</v>
      </c>
      <c r="B15117" s="11">
        <v>44804</v>
      </c>
      <c r="C15117" s="13" t="s">
        <v>11598</v>
      </c>
      <c r="D15117" s="13" t="s">
        <v>19864</v>
      </c>
      <c r="E15117" s="8">
        <v>15243.77</v>
      </c>
      <c r="F15117" s="13" t="s">
        <v>70</v>
      </c>
      <c r="G15117" s="14">
        <v>44804</v>
      </c>
      <c r="H15117" s="13" t="s">
        <v>172</v>
      </c>
    </row>
    <row r="15118" spans="1:8" ht="14.4" x14ac:dyDescent="0.3">
      <c r="A15118" s="8">
        <v>3429765</v>
      </c>
      <c r="B15118" s="11">
        <v>44805</v>
      </c>
      <c r="C15118" s="13" t="s">
        <v>11516</v>
      </c>
      <c r="D15118" s="13" t="s">
        <v>19865</v>
      </c>
      <c r="E15118" s="8">
        <v>212253.63</v>
      </c>
      <c r="F15118" s="13" t="s">
        <v>70</v>
      </c>
      <c r="G15118" s="14">
        <v>44805</v>
      </c>
      <c r="H15118" s="13" t="s">
        <v>172</v>
      </c>
    </row>
    <row r="15119" spans="1:8" ht="14.4" x14ac:dyDescent="0.3">
      <c r="A15119" s="8">
        <v>3429766</v>
      </c>
      <c r="B15119" s="11">
        <v>44805</v>
      </c>
      <c r="C15119" s="13" t="s">
        <v>51</v>
      </c>
      <c r="D15119" s="13" t="s">
        <v>19866</v>
      </c>
      <c r="E15119" s="8">
        <v>7000</v>
      </c>
      <c r="F15119" s="13" t="s">
        <v>70</v>
      </c>
      <c r="G15119" s="14">
        <v>44840</v>
      </c>
      <c r="H15119" s="13" t="s">
        <v>172</v>
      </c>
    </row>
    <row r="15120" spans="1:8" ht="14.4" x14ac:dyDescent="0.3">
      <c r="A15120" s="8">
        <v>3429767</v>
      </c>
      <c r="B15120" s="11">
        <v>44819</v>
      </c>
      <c r="C15120" s="13" t="s">
        <v>50</v>
      </c>
      <c r="D15120" s="13" t="s">
        <v>19867</v>
      </c>
      <c r="E15120" s="8">
        <v>32010</v>
      </c>
      <c r="F15120" s="13" t="s">
        <v>70</v>
      </c>
      <c r="G15120" s="14">
        <v>44834</v>
      </c>
      <c r="H15120" s="13" t="s">
        <v>172</v>
      </c>
    </row>
    <row r="15121" spans="1:8" ht="14.4" x14ac:dyDescent="0.3">
      <c r="A15121" s="8">
        <v>3429768</v>
      </c>
      <c r="B15121" s="11">
        <v>44819</v>
      </c>
      <c r="C15121" s="13" t="s">
        <v>9008</v>
      </c>
      <c r="D15121" s="13" t="s">
        <v>19868</v>
      </c>
      <c r="E15121" s="8">
        <v>90000</v>
      </c>
      <c r="F15121" s="13" t="s">
        <v>70</v>
      </c>
      <c r="G15121" s="14">
        <v>44837</v>
      </c>
      <c r="H15121" s="13" t="s">
        <v>172</v>
      </c>
    </row>
    <row r="15122" spans="1:8" ht="14.4" x14ac:dyDescent="0.3">
      <c r="A15122" s="8">
        <v>3429769</v>
      </c>
      <c r="B15122" s="11">
        <v>44819</v>
      </c>
      <c r="C15122" s="13" t="s">
        <v>7509</v>
      </c>
      <c r="D15122" s="13" t="s">
        <v>19869</v>
      </c>
      <c r="E15122" s="8">
        <v>90000</v>
      </c>
      <c r="F15122" s="13" t="s">
        <v>70</v>
      </c>
      <c r="G15122" s="14">
        <v>44839</v>
      </c>
      <c r="H15122" s="13" t="s">
        <v>172</v>
      </c>
    </row>
    <row r="15123" spans="1:8" ht="14.4" x14ac:dyDescent="0.3">
      <c r="A15123" s="8">
        <v>3429770</v>
      </c>
      <c r="B15123" s="11">
        <v>44819</v>
      </c>
      <c r="C15123" s="13" t="s">
        <v>7512</v>
      </c>
      <c r="D15123" s="13" t="s">
        <v>19870</v>
      </c>
      <c r="E15123" s="8">
        <v>30000</v>
      </c>
      <c r="F15123" s="13" t="s">
        <v>70</v>
      </c>
      <c r="G15123" s="14">
        <v>44837</v>
      </c>
      <c r="H15123" s="13" t="s">
        <v>172</v>
      </c>
    </row>
    <row r="15124" spans="1:8" ht="14.4" x14ac:dyDescent="0.3">
      <c r="A15124" s="8">
        <v>3429771</v>
      </c>
      <c r="B15124" s="11">
        <v>44819</v>
      </c>
      <c r="C15124" s="13" t="s">
        <v>9952</v>
      </c>
      <c r="D15124" s="13" t="s">
        <v>19871</v>
      </c>
      <c r="E15124" s="8">
        <v>90000</v>
      </c>
      <c r="F15124" s="13" t="s">
        <v>70</v>
      </c>
      <c r="G15124" s="14">
        <v>44837</v>
      </c>
      <c r="H15124" s="13" t="s">
        <v>172</v>
      </c>
    </row>
    <row r="15125" spans="1:8" ht="14.4" x14ac:dyDescent="0.3">
      <c r="A15125" s="8">
        <v>3429772</v>
      </c>
      <c r="B15125" s="11">
        <v>44819</v>
      </c>
      <c r="C15125" s="13" t="s">
        <v>9009</v>
      </c>
      <c r="D15125" s="13" t="s">
        <v>19872</v>
      </c>
      <c r="E15125" s="8">
        <v>60000</v>
      </c>
      <c r="F15125" s="13" t="s">
        <v>70</v>
      </c>
      <c r="G15125" s="14">
        <v>44837</v>
      </c>
      <c r="H15125" s="13" t="s">
        <v>172</v>
      </c>
    </row>
    <row r="15126" spans="1:8" ht="14.4" x14ac:dyDescent="0.3">
      <c r="A15126" s="8">
        <v>3429773</v>
      </c>
      <c r="B15126" s="11">
        <v>44819</v>
      </c>
      <c r="C15126" s="13" t="s">
        <v>19873</v>
      </c>
      <c r="D15126" s="13" t="s">
        <v>19874</v>
      </c>
      <c r="E15126" s="8">
        <v>30000</v>
      </c>
      <c r="F15126" s="13" t="s">
        <v>70</v>
      </c>
      <c r="G15126" s="14">
        <v>44837</v>
      </c>
      <c r="H15126" s="13" t="s">
        <v>172</v>
      </c>
    </row>
    <row r="15127" spans="1:8" ht="14.4" x14ac:dyDescent="0.3">
      <c r="A15127" s="8">
        <v>3429774</v>
      </c>
      <c r="B15127" s="11">
        <v>44819</v>
      </c>
      <c r="C15127" s="13" t="s">
        <v>7505</v>
      </c>
      <c r="D15127" s="13" t="s">
        <v>19875</v>
      </c>
      <c r="E15127" s="8">
        <v>60000</v>
      </c>
      <c r="F15127" s="13" t="s">
        <v>70</v>
      </c>
      <c r="G15127" s="14">
        <v>44837</v>
      </c>
      <c r="H15127" s="13" t="s">
        <v>172</v>
      </c>
    </row>
    <row r="15128" spans="1:8" ht="14.4" x14ac:dyDescent="0.3">
      <c r="A15128" s="8">
        <v>3429775</v>
      </c>
      <c r="B15128" s="11">
        <v>44819</v>
      </c>
      <c r="C15128" s="13" t="s">
        <v>7499</v>
      </c>
      <c r="D15128" s="13" t="s">
        <v>19876</v>
      </c>
      <c r="E15128" s="8">
        <v>90000</v>
      </c>
      <c r="F15128" s="13" t="s">
        <v>70</v>
      </c>
      <c r="G15128" s="14">
        <v>44837</v>
      </c>
      <c r="H15128" s="13" t="s">
        <v>172</v>
      </c>
    </row>
    <row r="15129" spans="1:8" ht="14.4" x14ac:dyDescent="0.3">
      <c r="A15129" s="8">
        <v>3429776</v>
      </c>
      <c r="B15129" s="11">
        <v>44819</v>
      </c>
      <c r="C15129" s="13" t="s">
        <v>19877</v>
      </c>
      <c r="D15129" s="13" t="s">
        <v>19878</v>
      </c>
      <c r="E15129" s="8">
        <v>60000</v>
      </c>
      <c r="F15129" s="13" t="s">
        <v>70</v>
      </c>
      <c r="G15129" s="14">
        <v>44837</v>
      </c>
      <c r="H15129" s="13" t="s">
        <v>172</v>
      </c>
    </row>
    <row r="15130" spans="1:8" ht="14.4" x14ac:dyDescent="0.3">
      <c r="A15130" s="8">
        <v>3429777</v>
      </c>
      <c r="B15130" s="11">
        <v>44819</v>
      </c>
      <c r="C15130" s="13" t="s">
        <v>9004</v>
      </c>
      <c r="D15130" s="13" t="s">
        <v>19879</v>
      </c>
      <c r="E15130" s="8">
        <v>120000</v>
      </c>
      <c r="F15130" s="13" t="s">
        <v>70</v>
      </c>
      <c r="G15130" s="14">
        <v>44837</v>
      </c>
      <c r="H15130" s="13" t="s">
        <v>172</v>
      </c>
    </row>
    <row r="15131" spans="1:8" ht="14.4" x14ac:dyDescent="0.3">
      <c r="A15131" s="8">
        <v>3429778</v>
      </c>
      <c r="B15131" s="11">
        <v>44819</v>
      </c>
      <c r="C15131" s="13" t="s">
        <v>9005</v>
      </c>
      <c r="D15131" s="13" t="s">
        <v>19879</v>
      </c>
      <c r="E15131" s="8">
        <v>120000</v>
      </c>
      <c r="F15131" s="13" t="s">
        <v>70</v>
      </c>
      <c r="G15131" s="14">
        <v>44837</v>
      </c>
      <c r="H15131" s="13" t="s">
        <v>172</v>
      </c>
    </row>
    <row r="15132" spans="1:8" ht="14.4" x14ac:dyDescent="0.3">
      <c r="A15132" s="8">
        <v>3429779</v>
      </c>
      <c r="B15132" s="11">
        <v>44819</v>
      </c>
      <c r="C15132" s="13" t="s">
        <v>9951</v>
      </c>
      <c r="D15132" s="13" t="s">
        <v>19879</v>
      </c>
      <c r="E15132" s="8">
        <v>600000</v>
      </c>
      <c r="F15132" s="13" t="s">
        <v>70</v>
      </c>
      <c r="G15132" s="14">
        <v>44837</v>
      </c>
      <c r="H15132" s="13" t="s">
        <v>172</v>
      </c>
    </row>
    <row r="15133" spans="1:8" ht="14.4" x14ac:dyDescent="0.3">
      <c r="A15133" s="8">
        <v>3429780</v>
      </c>
      <c r="B15133" s="11">
        <v>44819</v>
      </c>
      <c r="C15133" s="13" t="s">
        <v>7510</v>
      </c>
      <c r="D15133" s="13" t="s">
        <v>19879</v>
      </c>
      <c r="E15133" s="8">
        <v>120000</v>
      </c>
      <c r="F15133" s="13" t="s">
        <v>70</v>
      </c>
      <c r="G15133" s="14">
        <v>44837</v>
      </c>
      <c r="H15133" s="13" t="s">
        <v>172</v>
      </c>
    </row>
    <row r="15134" spans="1:8" ht="14.4" x14ac:dyDescent="0.3">
      <c r="A15134" s="8">
        <v>3429781</v>
      </c>
      <c r="B15134" s="11">
        <v>44819</v>
      </c>
      <c r="C15134" s="13" t="s">
        <v>8255</v>
      </c>
      <c r="D15134" s="13" t="s">
        <v>19880</v>
      </c>
      <c r="E15134" s="8">
        <v>14748.41</v>
      </c>
      <c r="F15134" s="13" t="s">
        <v>70</v>
      </c>
      <c r="G15134" s="14">
        <v>44824</v>
      </c>
      <c r="H15134" s="13" t="s">
        <v>172</v>
      </c>
    </row>
    <row r="15135" spans="1:8" ht="14.4" x14ac:dyDescent="0.3">
      <c r="A15135" s="8">
        <v>3429782</v>
      </c>
      <c r="B15135" s="11">
        <v>44819</v>
      </c>
      <c r="C15135" s="13" t="s">
        <v>7507</v>
      </c>
      <c r="D15135" s="13" t="s">
        <v>19879</v>
      </c>
      <c r="E15135" s="8">
        <v>120000</v>
      </c>
      <c r="F15135" s="13" t="s">
        <v>70</v>
      </c>
      <c r="G15135" s="14">
        <v>44837</v>
      </c>
      <c r="H15135" s="13" t="s">
        <v>172</v>
      </c>
    </row>
    <row r="15136" spans="1:8" ht="14.4" x14ac:dyDescent="0.3">
      <c r="A15136" s="8">
        <v>3429783</v>
      </c>
      <c r="B15136" s="11">
        <v>44819</v>
      </c>
      <c r="C15136" s="13" t="s">
        <v>361</v>
      </c>
      <c r="D15136" s="13" t="s">
        <v>19881</v>
      </c>
      <c r="E15136" s="8">
        <v>4530</v>
      </c>
      <c r="F15136" s="13" t="s">
        <v>70</v>
      </c>
      <c r="G15136" s="14">
        <v>44826</v>
      </c>
      <c r="H15136" s="13" t="s">
        <v>172</v>
      </c>
    </row>
    <row r="15137" spans="1:8" ht="14.4" x14ac:dyDescent="0.3">
      <c r="A15137" s="8">
        <v>3429784</v>
      </c>
      <c r="B15137" s="11">
        <v>44819</v>
      </c>
      <c r="C15137" s="13" t="s">
        <v>19882</v>
      </c>
      <c r="D15137" s="13" t="s">
        <v>7705</v>
      </c>
      <c r="E15137" s="8">
        <v>6000</v>
      </c>
      <c r="F15137" s="13" t="s">
        <v>70</v>
      </c>
      <c r="G15137" s="14">
        <v>44823</v>
      </c>
      <c r="H15137" s="13" t="s">
        <v>172</v>
      </c>
    </row>
    <row r="15138" spans="1:8" ht="14.4" x14ac:dyDescent="0.3">
      <c r="A15138" s="8">
        <v>3429785</v>
      </c>
      <c r="B15138" s="11">
        <v>44819</v>
      </c>
      <c r="C15138" s="13" t="s">
        <v>159</v>
      </c>
      <c r="D15138" s="13" t="s">
        <v>19883</v>
      </c>
      <c r="E15138" s="8">
        <v>355400</v>
      </c>
      <c r="F15138" s="13" t="s">
        <v>70</v>
      </c>
      <c r="G15138" s="14">
        <v>44819</v>
      </c>
      <c r="H15138" s="13" t="s">
        <v>172</v>
      </c>
    </row>
    <row r="15139" spans="1:8" ht="14.4" x14ac:dyDescent="0.3">
      <c r="A15139" s="8">
        <v>3429786</v>
      </c>
      <c r="B15139" s="11">
        <v>44819</v>
      </c>
      <c r="C15139" s="13" t="s">
        <v>152</v>
      </c>
      <c r="D15139" s="13" t="s">
        <v>19884</v>
      </c>
      <c r="E15139" s="8">
        <v>32000</v>
      </c>
      <c r="F15139" s="13" t="s">
        <v>70</v>
      </c>
      <c r="G15139" s="14">
        <v>44824</v>
      </c>
      <c r="H15139" s="13" t="s">
        <v>172</v>
      </c>
    </row>
    <row r="15140" spans="1:8" ht="14.4" x14ac:dyDescent="0.3">
      <c r="A15140" s="8">
        <v>3429787</v>
      </c>
      <c r="B15140" s="11">
        <v>44819</v>
      </c>
      <c r="C15140" s="13" t="s">
        <v>124</v>
      </c>
      <c r="D15140" s="13" t="s">
        <v>19885</v>
      </c>
      <c r="E15140" s="8">
        <v>8208.7800000000007</v>
      </c>
      <c r="F15140" s="13" t="s">
        <v>70</v>
      </c>
      <c r="G15140" s="14">
        <v>44826</v>
      </c>
      <c r="H15140" s="13" t="s">
        <v>172</v>
      </c>
    </row>
    <row r="15141" spans="1:8" ht="14.4" x14ac:dyDescent="0.3">
      <c r="A15141" s="8">
        <v>3429788</v>
      </c>
      <c r="B15141" s="11">
        <v>44819</v>
      </c>
      <c r="C15141" s="13" t="s">
        <v>19886</v>
      </c>
      <c r="D15141" s="13" t="s">
        <v>11692</v>
      </c>
      <c r="E15141" s="8">
        <v>8000</v>
      </c>
      <c r="F15141" s="13" t="s">
        <v>70</v>
      </c>
      <c r="G15141" s="14">
        <v>44823</v>
      </c>
      <c r="H15141" s="13" t="s">
        <v>172</v>
      </c>
    </row>
    <row r="15142" spans="1:8" ht="14.4" x14ac:dyDescent="0.3">
      <c r="A15142" s="8">
        <v>3429789</v>
      </c>
      <c r="B15142" s="11">
        <v>44819</v>
      </c>
      <c r="C15142" s="13" t="s">
        <v>56</v>
      </c>
      <c r="D15142" s="13" t="s">
        <v>57</v>
      </c>
      <c r="E15142" s="8">
        <v>281250</v>
      </c>
      <c r="F15142" s="13" t="s">
        <v>70</v>
      </c>
      <c r="G15142" s="14">
        <v>44852</v>
      </c>
      <c r="H15142" s="13" t="s">
        <v>172</v>
      </c>
    </row>
    <row r="15143" spans="1:8" ht="14.4" x14ac:dyDescent="0.3">
      <c r="A15143" s="8">
        <v>3429790</v>
      </c>
      <c r="B15143" s="11">
        <v>44819</v>
      </c>
      <c r="C15143" s="13" t="s">
        <v>265</v>
      </c>
      <c r="D15143" s="13" t="s">
        <v>19887</v>
      </c>
      <c r="E15143" s="8">
        <v>14630</v>
      </c>
      <c r="F15143" s="13" t="s">
        <v>70</v>
      </c>
      <c r="G15143" s="14">
        <v>44824</v>
      </c>
      <c r="H15143" s="13" t="s">
        <v>172</v>
      </c>
    </row>
    <row r="15144" spans="1:8" ht="14.4" x14ac:dyDescent="0.3">
      <c r="A15144" s="8">
        <v>3429791</v>
      </c>
      <c r="B15144" s="11">
        <v>44819</v>
      </c>
      <c r="C15144" s="13" t="s">
        <v>1286</v>
      </c>
      <c r="D15144" s="13" t="s">
        <v>19888</v>
      </c>
      <c r="E15144" s="8">
        <v>10634.64</v>
      </c>
      <c r="F15144" s="13" t="s">
        <v>70</v>
      </c>
      <c r="G15144" s="14">
        <v>44825</v>
      </c>
      <c r="H15144" s="13" t="s">
        <v>172</v>
      </c>
    </row>
    <row r="15145" spans="1:8" ht="14.4" x14ac:dyDescent="0.3">
      <c r="A15145" s="8">
        <v>3429792</v>
      </c>
      <c r="B15145" s="11">
        <v>44819</v>
      </c>
      <c r="C15145" s="13" t="s">
        <v>363</v>
      </c>
      <c r="D15145" s="13" t="s">
        <v>19889</v>
      </c>
      <c r="E15145" s="8">
        <v>7000</v>
      </c>
      <c r="F15145" s="13" t="s">
        <v>70</v>
      </c>
      <c r="G15145" s="14">
        <v>44825</v>
      </c>
      <c r="H15145" s="13" t="s">
        <v>172</v>
      </c>
    </row>
    <row r="15146" spans="1:8" ht="14.4" x14ac:dyDescent="0.3">
      <c r="A15146" s="8">
        <v>3429793</v>
      </c>
      <c r="B15146" s="11">
        <v>44819</v>
      </c>
      <c r="C15146" s="13" t="s">
        <v>127</v>
      </c>
      <c r="D15146" s="13" t="s">
        <v>10529</v>
      </c>
      <c r="E15146" s="8">
        <v>11319.67</v>
      </c>
      <c r="F15146" s="13" t="s">
        <v>70</v>
      </c>
      <c r="G15146" s="14">
        <v>44832</v>
      </c>
      <c r="H15146" s="13" t="s">
        <v>172</v>
      </c>
    </row>
    <row r="15147" spans="1:8" ht="14.4" x14ac:dyDescent="0.3">
      <c r="A15147" s="8">
        <v>3429794</v>
      </c>
      <c r="B15147" s="11">
        <v>44819</v>
      </c>
      <c r="C15147" s="13" t="s">
        <v>265</v>
      </c>
      <c r="D15147" s="13" t="s">
        <v>19890</v>
      </c>
      <c r="E15147" s="8">
        <v>58390</v>
      </c>
      <c r="F15147" s="13" t="s">
        <v>70</v>
      </c>
      <c r="G15147" s="14">
        <v>44829</v>
      </c>
      <c r="H15147" s="13" t="s">
        <v>172</v>
      </c>
    </row>
    <row r="15148" spans="1:8" ht="14.4" x14ac:dyDescent="0.3">
      <c r="A15148" s="8">
        <v>3429795</v>
      </c>
      <c r="B15148" s="11">
        <v>44819</v>
      </c>
      <c r="C15148" s="13" t="s">
        <v>563</v>
      </c>
      <c r="D15148" s="13" t="s">
        <v>11741</v>
      </c>
      <c r="E15148" s="8">
        <v>5000</v>
      </c>
      <c r="F15148" s="13" t="s">
        <v>70</v>
      </c>
      <c r="G15148" s="14">
        <v>44827</v>
      </c>
      <c r="H15148" s="13" t="s">
        <v>172</v>
      </c>
    </row>
    <row r="15149" spans="1:8" ht="14.4" x14ac:dyDescent="0.3">
      <c r="A15149" s="8">
        <v>3429796</v>
      </c>
      <c r="B15149" s="11">
        <v>44819</v>
      </c>
      <c r="C15149" s="13" t="s">
        <v>1670</v>
      </c>
      <c r="D15149" s="13" t="s">
        <v>11669</v>
      </c>
      <c r="E15149" s="8">
        <v>11214</v>
      </c>
      <c r="F15149" s="13" t="s">
        <v>70</v>
      </c>
      <c r="G15149" s="14">
        <v>44826</v>
      </c>
      <c r="H15149" s="13" t="s">
        <v>172</v>
      </c>
    </row>
    <row r="15150" spans="1:8" ht="14.4" x14ac:dyDescent="0.3">
      <c r="A15150" s="8">
        <v>3429797</v>
      </c>
      <c r="B15150" s="11">
        <v>44819</v>
      </c>
      <c r="C15150" s="13" t="s">
        <v>4914</v>
      </c>
      <c r="D15150" s="13" t="s">
        <v>11999</v>
      </c>
      <c r="E15150" s="8">
        <v>1420</v>
      </c>
      <c r="F15150" s="13" t="s">
        <v>70</v>
      </c>
      <c r="G15150" s="14">
        <v>44824</v>
      </c>
      <c r="H15150" s="13" t="s">
        <v>172</v>
      </c>
    </row>
    <row r="15151" spans="1:8" ht="14.4" x14ac:dyDescent="0.3">
      <c r="A15151" s="8">
        <v>3429798</v>
      </c>
      <c r="B15151" s="11">
        <v>44819</v>
      </c>
      <c r="C15151" s="13" t="s">
        <v>4914</v>
      </c>
      <c r="D15151" s="13" t="s">
        <v>11998</v>
      </c>
      <c r="E15151" s="8">
        <v>5358.16</v>
      </c>
      <c r="F15151" s="13" t="s">
        <v>70</v>
      </c>
      <c r="G15151" s="14">
        <v>44824</v>
      </c>
      <c r="H15151" s="13" t="s">
        <v>172</v>
      </c>
    </row>
    <row r="15152" spans="1:8" ht="14.4" x14ac:dyDescent="0.3">
      <c r="A15152" s="8">
        <v>3429799</v>
      </c>
      <c r="B15152" s="11">
        <v>44819</v>
      </c>
      <c r="C15152" s="13" t="s">
        <v>43</v>
      </c>
      <c r="D15152" s="13" t="s">
        <v>19891</v>
      </c>
      <c r="E15152" s="8">
        <v>146276.64000000001</v>
      </c>
      <c r="F15152" s="13" t="s">
        <v>70</v>
      </c>
      <c r="G15152" s="14">
        <v>44827</v>
      </c>
      <c r="H15152" s="13" t="s">
        <v>172</v>
      </c>
    </row>
    <row r="15153" spans="1:8" ht="14.4" x14ac:dyDescent="0.3">
      <c r="A15153" s="8">
        <v>3429800</v>
      </c>
      <c r="B15153" s="11">
        <v>44819</v>
      </c>
      <c r="C15153" s="13" t="s">
        <v>1286</v>
      </c>
      <c r="D15153" s="13" t="s">
        <v>19892</v>
      </c>
      <c r="E15153" s="8">
        <v>13400.32</v>
      </c>
      <c r="F15153" s="13" t="s">
        <v>70</v>
      </c>
      <c r="G15153" s="14">
        <v>44825</v>
      </c>
      <c r="H15153" s="13" t="s">
        <v>172</v>
      </c>
    </row>
    <row r="15154" spans="1:8" ht="14.4" x14ac:dyDescent="0.3">
      <c r="A15154" s="8">
        <v>3429801</v>
      </c>
      <c r="B15154" s="11">
        <v>44819</v>
      </c>
      <c r="C15154" s="13" t="s">
        <v>186</v>
      </c>
      <c r="D15154" s="13" t="s">
        <v>19893</v>
      </c>
      <c r="E15154" s="8">
        <v>500</v>
      </c>
      <c r="F15154" s="13" t="s">
        <v>70</v>
      </c>
      <c r="G15154" s="14">
        <v>44833</v>
      </c>
      <c r="H15154" s="13" t="s">
        <v>172</v>
      </c>
    </row>
    <row r="15155" spans="1:8" ht="14.4" x14ac:dyDescent="0.3">
      <c r="A15155" s="8">
        <v>3429802</v>
      </c>
      <c r="B15155" s="11">
        <v>44819</v>
      </c>
      <c r="C15155" s="13" t="s">
        <v>523</v>
      </c>
      <c r="D15155" s="13" t="s">
        <v>19891</v>
      </c>
      <c r="E15155" s="8">
        <v>75075.759999999995</v>
      </c>
      <c r="F15155" s="13" t="s">
        <v>70</v>
      </c>
      <c r="G15155" s="14">
        <v>44827</v>
      </c>
      <c r="H15155" s="13" t="s">
        <v>172</v>
      </c>
    </row>
    <row r="15156" spans="1:8" ht="14.4" x14ac:dyDescent="0.3">
      <c r="A15156" s="8">
        <v>3429803</v>
      </c>
      <c r="B15156" s="11">
        <v>44819</v>
      </c>
      <c r="C15156" s="13" t="s">
        <v>3525</v>
      </c>
      <c r="D15156" s="13" t="s">
        <v>19894</v>
      </c>
      <c r="E15156" s="8">
        <v>108640</v>
      </c>
      <c r="F15156" s="13" t="s">
        <v>70</v>
      </c>
      <c r="G15156" s="14">
        <v>44839</v>
      </c>
      <c r="H15156" s="13" t="s">
        <v>172</v>
      </c>
    </row>
    <row r="15157" spans="1:8" ht="14.4" x14ac:dyDescent="0.3">
      <c r="A15157" s="8">
        <v>3429804</v>
      </c>
      <c r="B15157" s="11">
        <v>44819</v>
      </c>
      <c r="C15157" s="13" t="s">
        <v>1308</v>
      </c>
      <c r="D15157" s="13" t="s">
        <v>19895</v>
      </c>
      <c r="E15157" s="8">
        <v>28125</v>
      </c>
      <c r="F15157" s="13" t="s">
        <v>70</v>
      </c>
      <c r="G15157" s="14">
        <v>44832</v>
      </c>
      <c r="H15157" s="13" t="s">
        <v>172</v>
      </c>
    </row>
    <row r="15158" spans="1:8" ht="14.4" x14ac:dyDescent="0.3">
      <c r="A15158" s="8">
        <v>3429805</v>
      </c>
      <c r="B15158" s="11">
        <v>44819</v>
      </c>
      <c r="C15158" s="13" t="s">
        <v>604</v>
      </c>
      <c r="D15158" s="13" t="s">
        <v>19896</v>
      </c>
      <c r="E15158" s="8">
        <v>95060</v>
      </c>
      <c r="F15158" s="13" t="s">
        <v>70</v>
      </c>
      <c r="G15158" s="14">
        <v>44827</v>
      </c>
      <c r="H15158" s="13" t="s">
        <v>172</v>
      </c>
    </row>
    <row r="15159" spans="1:8" ht="14.4" x14ac:dyDescent="0.3">
      <c r="A15159" s="8">
        <v>3429806</v>
      </c>
      <c r="B15159" s="11">
        <v>44819</v>
      </c>
      <c r="C15159" s="13" t="s">
        <v>2684</v>
      </c>
      <c r="D15159" s="13" t="s">
        <v>19897</v>
      </c>
      <c r="E15159" s="8">
        <v>104760</v>
      </c>
      <c r="F15159" s="13" t="s">
        <v>70</v>
      </c>
      <c r="G15159" s="14">
        <v>44823</v>
      </c>
      <c r="H15159" s="13" t="s">
        <v>172</v>
      </c>
    </row>
    <row r="15160" spans="1:8" ht="14.4" x14ac:dyDescent="0.3">
      <c r="A15160" s="8">
        <v>3429807</v>
      </c>
      <c r="B15160" s="11">
        <v>44819</v>
      </c>
      <c r="C15160" s="13" t="s">
        <v>1286</v>
      </c>
      <c r="D15160" s="13" t="s">
        <v>19898</v>
      </c>
      <c r="E15160" s="8">
        <v>30771.77</v>
      </c>
      <c r="F15160" s="13" t="s">
        <v>70</v>
      </c>
      <c r="G15160" s="14">
        <v>44829</v>
      </c>
      <c r="H15160" s="13" t="s">
        <v>172</v>
      </c>
    </row>
    <row r="15161" spans="1:8" ht="14.4" x14ac:dyDescent="0.3">
      <c r="A15161" s="8">
        <v>3429808</v>
      </c>
      <c r="B15161" s="11">
        <v>44819</v>
      </c>
      <c r="C15161" s="13" t="s">
        <v>1286</v>
      </c>
      <c r="D15161" s="13" t="s">
        <v>19899</v>
      </c>
      <c r="E15161" s="8">
        <v>17063.73</v>
      </c>
      <c r="F15161" s="13" t="s">
        <v>70</v>
      </c>
      <c r="G15161" s="14">
        <v>44825</v>
      </c>
      <c r="H15161" s="13" t="s">
        <v>172</v>
      </c>
    </row>
    <row r="15162" spans="1:8" ht="14.4" x14ac:dyDescent="0.3">
      <c r="A15162" s="8">
        <v>3429809</v>
      </c>
      <c r="B15162" s="11">
        <v>44819</v>
      </c>
      <c r="C15162" s="13" t="s">
        <v>50</v>
      </c>
      <c r="D15162" s="13" t="s">
        <v>19900</v>
      </c>
      <c r="E15162" s="8">
        <v>58200</v>
      </c>
      <c r="F15162" s="13" t="s">
        <v>70</v>
      </c>
      <c r="G15162" s="14">
        <v>44834</v>
      </c>
      <c r="H15162" s="13" t="s">
        <v>172</v>
      </c>
    </row>
    <row r="15163" spans="1:8" ht="14.4" x14ac:dyDescent="0.3">
      <c r="A15163" s="8">
        <v>3429810</v>
      </c>
      <c r="B15163" s="11">
        <v>44819</v>
      </c>
      <c r="C15163" s="13" t="s">
        <v>492</v>
      </c>
      <c r="D15163" s="13" t="s">
        <v>19901</v>
      </c>
      <c r="E15163" s="8">
        <v>31868</v>
      </c>
      <c r="F15163" s="13" t="s">
        <v>70</v>
      </c>
      <c r="G15163" s="14">
        <v>44826</v>
      </c>
      <c r="H15163" s="13" t="s">
        <v>172</v>
      </c>
    </row>
    <row r="15164" spans="1:8" ht="14.4" x14ac:dyDescent="0.3">
      <c r="A15164" s="8">
        <v>3429811</v>
      </c>
      <c r="B15164" s="11">
        <v>44819</v>
      </c>
      <c r="C15164" s="13" t="s">
        <v>2425</v>
      </c>
      <c r="D15164" s="13" t="s">
        <v>19902</v>
      </c>
      <c r="E15164" s="8">
        <v>500</v>
      </c>
      <c r="F15164" s="13" t="s">
        <v>70</v>
      </c>
      <c r="G15164" s="14">
        <v>44833</v>
      </c>
      <c r="H15164" s="13" t="s">
        <v>172</v>
      </c>
    </row>
    <row r="15165" spans="1:8" ht="14.4" x14ac:dyDescent="0.3">
      <c r="A15165" s="8">
        <v>3429812</v>
      </c>
      <c r="B15165" s="11">
        <v>44819</v>
      </c>
      <c r="C15165" s="13" t="s">
        <v>523</v>
      </c>
      <c r="D15165" s="13" t="s">
        <v>19903</v>
      </c>
      <c r="E15165" s="8">
        <v>94506.59</v>
      </c>
      <c r="F15165" s="13" t="s">
        <v>70</v>
      </c>
      <c r="G15165" s="14">
        <v>44827</v>
      </c>
      <c r="H15165" s="13" t="s">
        <v>172</v>
      </c>
    </row>
    <row r="15166" spans="1:8" ht="14.4" x14ac:dyDescent="0.3">
      <c r="A15166" s="8">
        <v>3429813</v>
      </c>
      <c r="B15166" s="11">
        <v>44819</v>
      </c>
      <c r="C15166" s="13" t="s">
        <v>19904</v>
      </c>
      <c r="D15166" s="13" t="s">
        <v>19905</v>
      </c>
      <c r="E15166" s="8">
        <v>10000</v>
      </c>
      <c r="F15166" s="13" t="s">
        <v>70</v>
      </c>
      <c r="G15166" s="14">
        <v>44827</v>
      </c>
      <c r="H15166" s="13" t="s">
        <v>172</v>
      </c>
    </row>
    <row r="15167" spans="1:8" ht="14.4" x14ac:dyDescent="0.3">
      <c r="A15167" s="8">
        <v>3429814</v>
      </c>
      <c r="B15167" s="11">
        <v>44819</v>
      </c>
      <c r="C15167" s="13" t="s">
        <v>748</v>
      </c>
      <c r="D15167" s="13" t="s">
        <v>19906</v>
      </c>
      <c r="E15167" s="8">
        <v>3972.18</v>
      </c>
      <c r="F15167" s="13" t="s">
        <v>70</v>
      </c>
      <c r="G15167" s="14">
        <v>44820</v>
      </c>
      <c r="H15167" s="13" t="s">
        <v>172</v>
      </c>
    </row>
    <row r="15168" spans="1:8" ht="14.4" x14ac:dyDescent="0.3">
      <c r="A15168" s="8">
        <v>3429815</v>
      </c>
      <c r="B15168" s="11">
        <v>44819</v>
      </c>
      <c r="C15168" s="13" t="s">
        <v>748</v>
      </c>
      <c r="D15168" s="13" t="s">
        <v>19906</v>
      </c>
      <c r="E15168" s="8">
        <v>4124.07</v>
      </c>
      <c r="F15168" s="13" t="s">
        <v>70</v>
      </c>
      <c r="G15168" s="14">
        <v>44820</v>
      </c>
      <c r="H15168" s="13" t="s">
        <v>172</v>
      </c>
    </row>
    <row r="15169" spans="1:8" ht="14.4" x14ac:dyDescent="0.3">
      <c r="A15169" s="8">
        <v>3429816</v>
      </c>
      <c r="B15169" s="11">
        <v>44820</v>
      </c>
      <c r="C15169" s="13" t="s">
        <v>52</v>
      </c>
      <c r="D15169" s="13" t="s">
        <v>19907</v>
      </c>
      <c r="E15169" s="8">
        <v>17559.09</v>
      </c>
      <c r="F15169" s="13" t="s">
        <v>70</v>
      </c>
      <c r="G15169" s="14">
        <v>44831</v>
      </c>
      <c r="H15169" s="13" t="s">
        <v>172</v>
      </c>
    </row>
    <row r="15170" spans="1:8" ht="14.4" x14ac:dyDescent="0.3">
      <c r="A15170" s="8">
        <v>3429817</v>
      </c>
      <c r="B15170" s="11">
        <v>44820</v>
      </c>
      <c r="C15170" s="13" t="s">
        <v>245</v>
      </c>
      <c r="D15170" s="13" t="s">
        <v>2570</v>
      </c>
      <c r="E15170" s="8">
        <v>64098.54</v>
      </c>
      <c r="F15170" s="13" t="s">
        <v>70</v>
      </c>
      <c r="G15170" s="14">
        <v>44833</v>
      </c>
      <c r="H15170" s="13" t="s">
        <v>172</v>
      </c>
    </row>
    <row r="15171" spans="1:8" ht="14.4" x14ac:dyDescent="0.3">
      <c r="A15171" s="8">
        <v>3429818</v>
      </c>
      <c r="B15171" s="11">
        <v>44820</v>
      </c>
      <c r="C15171" s="13" t="s">
        <v>376</v>
      </c>
      <c r="D15171" s="13" t="s">
        <v>19908</v>
      </c>
      <c r="E15171" s="8">
        <v>29449</v>
      </c>
      <c r="F15171" s="13" t="s">
        <v>70</v>
      </c>
      <c r="G15171" s="14">
        <v>44824</v>
      </c>
      <c r="H15171" s="13" t="s">
        <v>172</v>
      </c>
    </row>
    <row r="15172" spans="1:8" ht="14.4" x14ac:dyDescent="0.3">
      <c r="A15172" s="8">
        <v>3429819</v>
      </c>
      <c r="B15172" s="11">
        <v>44820</v>
      </c>
      <c r="C15172" s="13" t="s">
        <v>363</v>
      </c>
      <c r="D15172" s="13" t="s">
        <v>19909</v>
      </c>
      <c r="E15172" s="8">
        <v>7275</v>
      </c>
      <c r="F15172" s="13" t="s">
        <v>70</v>
      </c>
      <c r="G15172" s="14">
        <v>44825</v>
      </c>
      <c r="H15172" s="13" t="s">
        <v>172</v>
      </c>
    </row>
    <row r="15173" spans="1:8" ht="14.4" x14ac:dyDescent="0.3">
      <c r="A15173" s="8">
        <v>3429820</v>
      </c>
      <c r="B15173" s="11">
        <v>44820</v>
      </c>
      <c r="C15173" s="13" t="s">
        <v>53</v>
      </c>
      <c r="D15173" s="13" t="s">
        <v>19910</v>
      </c>
      <c r="E15173" s="8">
        <v>145044.9</v>
      </c>
      <c r="F15173" s="13" t="s">
        <v>70</v>
      </c>
      <c r="G15173" s="14">
        <v>44825</v>
      </c>
      <c r="H15173" s="13" t="s">
        <v>172</v>
      </c>
    </row>
    <row r="15174" spans="1:8" ht="14.4" x14ac:dyDescent="0.3">
      <c r="A15174" s="8">
        <v>3429821</v>
      </c>
      <c r="B15174" s="11">
        <v>44820</v>
      </c>
      <c r="C15174" s="13" t="s">
        <v>4084</v>
      </c>
      <c r="D15174" s="13" t="s">
        <v>19911</v>
      </c>
      <c r="E15174" s="8">
        <v>263600.40000000002</v>
      </c>
      <c r="F15174" s="13" t="s">
        <v>70</v>
      </c>
      <c r="G15174" s="14">
        <v>44824</v>
      </c>
      <c r="H15174" s="13" t="s">
        <v>172</v>
      </c>
    </row>
    <row r="15175" spans="1:8" ht="14.4" x14ac:dyDescent="0.3">
      <c r="A15175" s="8">
        <v>3429822</v>
      </c>
      <c r="B15175" s="11">
        <v>44820</v>
      </c>
      <c r="C15175" s="13" t="s">
        <v>2711</v>
      </c>
      <c r="D15175" s="13" t="s">
        <v>19912</v>
      </c>
      <c r="E15175" s="8">
        <v>14385.72</v>
      </c>
      <c r="F15175" s="13" t="s">
        <v>70</v>
      </c>
      <c r="G15175" s="14">
        <v>44827</v>
      </c>
      <c r="H15175" s="13" t="s">
        <v>172</v>
      </c>
    </row>
    <row r="15176" spans="1:8" ht="14.4" x14ac:dyDescent="0.3">
      <c r="A15176" s="8">
        <v>3429823</v>
      </c>
      <c r="B15176" s="11">
        <v>44820</v>
      </c>
      <c r="C15176" s="13" t="s">
        <v>254</v>
      </c>
      <c r="D15176" s="13" t="s">
        <v>19913</v>
      </c>
      <c r="E15176" s="8">
        <v>85178.57</v>
      </c>
      <c r="F15176" s="13" t="s">
        <v>70</v>
      </c>
      <c r="G15176" s="14">
        <v>44823</v>
      </c>
      <c r="H15176" s="13" t="s">
        <v>172</v>
      </c>
    </row>
    <row r="15177" spans="1:8" ht="14.4" x14ac:dyDescent="0.3">
      <c r="A15177" s="8">
        <v>3429824</v>
      </c>
      <c r="B15177" s="11">
        <v>44820</v>
      </c>
      <c r="C15177" s="13" t="s">
        <v>1694</v>
      </c>
      <c r="D15177" s="13" t="s">
        <v>19914</v>
      </c>
      <c r="E15177" s="8">
        <v>20000</v>
      </c>
      <c r="F15177" s="13" t="s">
        <v>70</v>
      </c>
      <c r="G15177" s="14">
        <v>44823</v>
      </c>
      <c r="H15177" s="13" t="s">
        <v>172</v>
      </c>
    </row>
    <row r="15178" spans="1:8" ht="14.4" x14ac:dyDescent="0.3">
      <c r="A15178" s="8">
        <v>3429825</v>
      </c>
      <c r="B15178" s="11">
        <v>44820</v>
      </c>
      <c r="C15178" s="13" t="s">
        <v>201</v>
      </c>
      <c r="D15178" s="13" t="s">
        <v>19915</v>
      </c>
      <c r="E15178" s="8">
        <v>2933.93</v>
      </c>
      <c r="F15178" s="13" t="s">
        <v>70</v>
      </c>
      <c r="G15178" s="14">
        <v>44824</v>
      </c>
      <c r="H15178" s="13" t="s">
        <v>172</v>
      </c>
    </row>
    <row r="15179" spans="1:8" ht="14.4" x14ac:dyDescent="0.3">
      <c r="A15179" s="8">
        <v>3429826</v>
      </c>
      <c r="B15179" s="11">
        <v>44820</v>
      </c>
      <c r="C15179" s="13" t="s">
        <v>1524</v>
      </c>
      <c r="D15179" s="13" t="s">
        <v>19916</v>
      </c>
      <c r="E15179" s="8">
        <v>55211.83</v>
      </c>
      <c r="F15179" s="13" t="s">
        <v>70</v>
      </c>
      <c r="G15179" s="14">
        <v>44826</v>
      </c>
      <c r="H15179" s="13" t="s">
        <v>172</v>
      </c>
    </row>
    <row r="15180" spans="1:8" ht="14.4" x14ac:dyDescent="0.3">
      <c r="A15180" s="8">
        <v>3429827</v>
      </c>
      <c r="B15180" s="11">
        <v>44820</v>
      </c>
      <c r="C15180" s="13" t="s">
        <v>2262</v>
      </c>
      <c r="D15180" s="13" t="s">
        <v>19917</v>
      </c>
      <c r="E15180" s="8">
        <v>5719.64</v>
      </c>
      <c r="F15180" s="13" t="s">
        <v>70</v>
      </c>
      <c r="G15180" s="14">
        <v>44825</v>
      </c>
      <c r="H15180" s="13" t="s">
        <v>172</v>
      </c>
    </row>
    <row r="15181" spans="1:8" ht="14.4" x14ac:dyDescent="0.3">
      <c r="A15181" s="8">
        <v>3429828</v>
      </c>
      <c r="B15181" s="11">
        <v>44820</v>
      </c>
      <c r="C15181" s="13" t="s">
        <v>2074</v>
      </c>
      <c r="D15181" s="13" t="s">
        <v>19918</v>
      </c>
      <c r="E15181" s="8">
        <v>19218.75</v>
      </c>
      <c r="F15181" s="13" t="s">
        <v>70</v>
      </c>
      <c r="G15181" s="14">
        <v>44824</v>
      </c>
      <c r="H15181" s="13" t="s">
        <v>172</v>
      </c>
    </row>
    <row r="15182" spans="1:8" ht="14.4" x14ac:dyDescent="0.3">
      <c r="A15182" s="8">
        <v>3429831</v>
      </c>
      <c r="B15182" s="11">
        <v>44820</v>
      </c>
      <c r="C15182" s="13" t="s">
        <v>19919</v>
      </c>
      <c r="D15182" s="13" t="s">
        <v>19920</v>
      </c>
      <c r="E15182" s="8">
        <v>20000</v>
      </c>
      <c r="F15182" s="13" t="s">
        <v>70</v>
      </c>
      <c r="G15182" s="14">
        <v>44832</v>
      </c>
      <c r="H15182" s="13" t="s">
        <v>172</v>
      </c>
    </row>
    <row r="15183" spans="1:8" ht="14.4" x14ac:dyDescent="0.3">
      <c r="A15183" s="8">
        <v>3429832</v>
      </c>
      <c r="B15183" s="11">
        <v>44820</v>
      </c>
      <c r="C15183" s="13" t="s">
        <v>18344</v>
      </c>
      <c r="D15183" s="13" t="s">
        <v>19921</v>
      </c>
      <c r="E15183" s="8">
        <v>30000</v>
      </c>
      <c r="F15183" s="13" t="s">
        <v>70</v>
      </c>
      <c r="G15183" s="14">
        <v>44823</v>
      </c>
      <c r="H15183" s="13" t="s">
        <v>172</v>
      </c>
    </row>
    <row r="15184" spans="1:8" ht="14.4" x14ac:dyDescent="0.3">
      <c r="A15184" s="8">
        <v>3429833</v>
      </c>
      <c r="B15184" s="11">
        <v>44820</v>
      </c>
      <c r="C15184" s="13" t="s">
        <v>19922</v>
      </c>
      <c r="D15184" s="13" t="s">
        <v>19923</v>
      </c>
      <c r="E15184" s="8">
        <v>30000</v>
      </c>
      <c r="F15184" s="13" t="s">
        <v>70</v>
      </c>
      <c r="G15184" s="14">
        <v>44823</v>
      </c>
      <c r="H15184" s="13" t="s">
        <v>172</v>
      </c>
    </row>
    <row r="15185" spans="1:8" ht="14.4" x14ac:dyDescent="0.3">
      <c r="A15185" s="8">
        <v>3429834</v>
      </c>
      <c r="B15185" s="11">
        <v>44820</v>
      </c>
      <c r="C15185" s="13" t="s">
        <v>18547</v>
      </c>
      <c r="D15185" s="13" t="s">
        <v>19924</v>
      </c>
      <c r="E15185" s="8">
        <v>9000</v>
      </c>
      <c r="F15185" s="13" t="s">
        <v>70</v>
      </c>
      <c r="G15185" s="14">
        <v>44823</v>
      </c>
      <c r="H15185" s="13" t="s">
        <v>172</v>
      </c>
    </row>
    <row r="15186" spans="1:8" ht="14.4" x14ac:dyDescent="0.3">
      <c r="A15186" s="8">
        <v>3429835</v>
      </c>
      <c r="B15186" s="11">
        <v>44820</v>
      </c>
      <c r="C15186" s="13" t="s">
        <v>19925</v>
      </c>
      <c r="D15186" s="13" t="s">
        <v>19926</v>
      </c>
      <c r="E15186" s="8">
        <v>9000</v>
      </c>
      <c r="F15186" s="13" t="s">
        <v>70</v>
      </c>
      <c r="G15186" s="14">
        <v>44823</v>
      </c>
      <c r="H15186" s="13" t="s">
        <v>172</v>
      </c>
    </row>
    <row r="15187" spans="1:8" ht="14.4" x14ac:dyDescent="0.3">
      <c r="A15187" s="8">
        <v>3429836</v>
      </c>
      <c r="B15187" s="11">
        <v>44820</v>
      </c>
      <c r="C15187" s="13" t="s">
        <v>19927</v>
      </c>
      <c r="D15187" s="13" t="s">
        <v>19928</v>
      </c>
      <c r="E15187" s="8">
        <v>22000</v>
      </c>
      <c r="F15187" s="13" t="s">
        <v>70</v>
      </c>
      <c r="G15187" s="14">
        <v>44825</v>
      </c>
      <c r="H15187" s="13" t="s">
        <v>172</v>
      </c>
    </row>
    <row r="15188" spans="1:8" ht="14.4" x14ac:dyDescent="0.3">
      <c r="A15188" s="8">
        <v>3429837</v>
      </c>
      <c r="B15188" s="11">
        <v>44820</v>
      </c>
      <c r="C15188" s="13" t="s">
        <v>18326</v>
      </c>
      <c r="D15188" s="13" t="s">
        <v>19929</v>
      </c>
      <c r="E15188" s="8">
        <v>8000</v>
      </c>
      <c r="F15188" s="13" t="s">
        <v>70</v>
      </c>
      <c r="G15188" s="14">
        <v>44824</v>
      </c>
      <c r="H15188" s="13" t="s">
        <v>172</v>
      </c>
    </row>
    <row r="15189" spans="1:8" ht="14.4" x14ac:dyDescent="0.3">
      <c r="A15189" s="8">
        <v>3429838</v>
      </c>
      <c r="B15189" s="11">
        <v>44820</v>
      </c>
      <c r="C15189" s="13" t="s">
        <v>19930</v>
      </c>
      <c r="D15189" s="13" t="s">
        <v>19931</v>
      </c>
      <c r="E15189" s="8">
        <v>8000</v>
      </c>
      <c r="F15189" s="13" t="s">
        <v>70</v>
      </c>
      <c r="G15189" s="14">
        <v>44833</v>
      </c>
      <c r="H15189" s="13" t="s">
        <v>172</v>
      </c>
    </row>
    <row r="15190" spans="1:8" ht="14.4" x14ac:dyDescent="0.3">
      <c r="A15190" s="8">
        <v>3429839</v>
      </c>
      <c r="B15190" s="11">
        <v>44820</v>
      </c>
      <c r="C15190" s="13" t="s">
        <v>18039</v>
      </c>
      <c r="D15190" s="13" t="s">
        <v>19932</v>
      </c>
      <c r="E15190" s="8">
        <v>11000</v>
      </c>
      <c r="F15190" s="13" t="s">
        <v>70</v>
      </c>
      <c r="G15190" s="14">
        <v>44823</v>
      </c>
      <c r="H15190" s="13" t="s">
        <v>172</v>
      </c>
    </row>
    <row r="15191" spans="1:8" ht="14.4" x14ac:dyDescent="0.3">
      <c r="A15191" s="8">
        <v>3429840</v>
      </c>
      <c r="B15191" s="11">
        <v>44820</v>
      </c>
      <c r="C15191" s="13" t="s">
        <v>893</v>
      </c>
      <c r="D15191" s="13" t="s">
        <v>19933</v>
      </c>
      <c r="E15191" s="8">
        <v>392771.92</v>
      </c>
      <c r="F15191" s="13" t="s">
        <v>70</v>
      </c>
      <c r="G15191" s="14">
        <v>44825</v>
      </c>
      <c r="H15191" s="13" t="s">
        <v>172</v>
      </c>
    </row>
    <row r="15192" spans="1:8" ht="14.4" x14ac:dyDescent="0.3">
      <c r="A15192" s="8">
        <v>3429841</v>
      </c>
      <c r="B15192" s="11">
        <v>44820</v>
      </c>
      <c r="C15192" s="13" t="s">
        <v>19934</v>
      </c>
      <c r="D15192" s="13" t="s">
        <v>11935</v>
      </c>
      <c r="E15192" s="8">
        <v>5000</v>
      </c>
      <c r="F15192" s="13" t="s">
        <v>70</v>
      </c>
      <c r="G15192" s="14">
        <v>44831</v>
      </c>
      <c r="H15192" s="13" t="s">
        <v>172</v>
      </c>
    </row>
    <row r="15193" spans="1:8" ht="14.4" x14ac:dyDescent="0.3">
      <c r="A15193" s="8">
        <v>3429842</v>
      </c>
      <c r="B15193" s="11">
        <v>44820</v>
      </c>
      <c r="C15193" s="13" t="s">
        <v>152</v>
      </c>
      <c r="D15193" s="13" t="s">
        <v>19935</v>
      </c>
      <c r="E15193" s="8">
        <v>30000</v>
      </c>
      <c r="F15193" s="13" t="s">
        <v>70</v>
      </c>
      <c r="G15193" s="14">
        <v>44824</v>
      </c>
      <c r="H15193" s="13" t="s">
        <v>172</v>
      </c>
    </row>
    <row r="15194" spans="1:8" ht="14.4" x14ac:dyDescent="0.3">
      <c r="A15194" s="8">
        <v>3429844</v>
      </c>
      <c r="B15194" s="11">
        <v>44820</v>
      </c>
      <c r="C15194" s="13" t="s">
        <v>44</v>
      </c>
      <c r="D15194" s="13" t="s">
        <v>19936</v>
      </c>
      <c r="E15194" s="8">
        <v>17437.5</v>
      </c>
      <c r="F15194" s="13" t="s">
        <v>70</v>
      </c>
      <c r="G15194" s="14">
        <v>44824</v>
      </c>
      <c r="H15194" s="13" t="s">
        <v>172</v>
      </c>
    </row>
    <row r="15195" spans="1:8" ht="14.4" x14ac:dyDescent="0.3">
      <c r="A15195" s="8">
        <v>3429845</v>
      </c>
      <c r="B15195" s="11">
        <v>44820</v>
      </c>
      <c r="C15195" s="13" t="s">
        <v>19937</v>
      </c>
      <c r="D15195" s="13" t="s">
        <v>19938</v>
      </c>
      <c r="E15195" s="8">
        <v>8000</v>
      </c>
      <c r="F15195" s="13" t="s">
        <v>70</v>
      </c>
      <c r="G15195" s="14">
        <v>44823</v>
      </c>
      <c r="H15195" s="13" t="s">
        <v>172</v>
      </c>
    </row>
    <row r="15196" spans="1:8" ht="14.4" x14ac:dyDescent="0.3">
      <c r="A15196" s="8">
        <v>3429846</v>
      </c>
      <c r="B15196" s="11">
        <v>44820</v>
      </c>
      <c r="C15196" s="13" t="s">
        <v>99</v>
      </c>
      <c r="D15196" s="13" t="s">
        <v>19939</v>
      </c>
      <c r="E15196" s="8">
        <v>8000</v>
      </c>
      <c r="F15196" s="13" t="s">
        <v>70</v>
      </c>
      <c r="G15196" s="14">
        <v>44837</v>
      </c>
      <c r="H15196" s="13" t="s">
        <v>172</v>
      </c>
    </row>
    <row r="15197" spans="1:8" ht="14.4" x14ac:dyDescent="0.3">
      <c r="A15197" s="8">
        <v>3429847</v>
      </c>
      <c r="B15197" s="11">
        <v>44820</v>
      </c>
      <c r="C15197" s="13" t="s">
        <v>18111</v>
      </c>
      <c r="D15197" s="13" t="s">
        <v>19940</v>
      </c>
      <c r="E15197" s="8">
        <v>8000</v>
      </c>
      <c r="F15197" s="13" t="s">
        <v>70</v>
      </c>
      <c r="G15197" s="14">
        <v>44837</v>
      </c>
      <c r="H15197" s="13" t="s">
        <v>172</v>
      </c>
    </row>
    <row r="15198" spans="1:8" ht="14.4" x14ac:dyDescent="0.3">
      <c r="A15198" s="8">
        <v>3429848</v>
      </c>
      <c r="B15198" s="11">
        <v>44820</v>
      </c>
      <c r="C15198" s="13" t="s">
        <v>18080</v>
      </c>
      <c r="D15198" s="13" t="s">
        <v>47</v>
      </c>
      <c r="E15198" s="8">
        <v>7000</v>
      </c>
      <c r="F15198" s="13" t="s">
        <v>70</v>
      </c>
      <c r="G15198" s="14">
        <v>44823</v>
      </c>
      <c r="H15198" s="13" t="s">
        <v>172</v>
      </c>
    </row>
    <row r="15199" spans="1:8" ht="14.4" x14ac:dyDescent="0.3">
      <c r="A15199" s="8">
        <v>3429849</v>
      </c>
      <c r="B15199" s="11">
        <v>44820</v>
      </c>
      <c r="C15199" s="13" t="s">
        <v>18871</v>
      </c>
      <c r="D15199" s="13" t="s">
        <v>19941</v>
      </c>
      <c r="E15199" s="8">
        <v>9000</v>
      </c>
      <c r="F15199" s="13" t="s">
        <v>70</v>
      </c>
      <c r="G15199" s="14">
        <v>44823</v>
      </c>
      <c r="H15199" s="13" t="s">
        <v>172</v>
      </c>
    </row>
    <row r="15200" spans="1:8" ht="14.4" x14ac:dyDescent="0.3">
      <c r="A15200" s="8">
        <v>3429850</v>
      </c>
      <c r="B15200" s="11">
        <v>44820</v>
      </c>
      <c r="C15200" s="13" t="s">
        <v>18410</v>
      </c>
      <c r="D15200" s="13" t="s">
        <v>19942</v>
      </c>
      <c r="E15200" s="8">
        <v>13000</v>
      </c>
      <c r="F15200" s="13" t="s">
        <v>70</v>
      </c>
      <c r="G15200" s="14">
        <v>44833</v>
      </c>
      <c r="H15200" s="13" t="s">
        <v>172</v>
      </c>
    </row>
    <row r="15201" spans="1:8" ht="14.4" x14ac:dyDescent="0.3">
      <c r="A15201" s="8">
        <v>3429851</v>
      </c>
      <c r="B15201" s="11">
        <v>44820</v>
      </c>
      <c r="C15201" s="13" t="s">
        <v>19943</v>
      </c>
      <c r="D15201" s="13" t="s">
        <v>19944</v>
      </c>
      <c r="E15201" s="8">
        <v>15000</v>
      </c>
      <c r="F15201" s="13" t="s">
        <v>70</v>
      </c>
      <c r="G15201" s="14">
        <v>44823</v>
      </c>
      <c r="H15201" s="13" t="s">
        <v>172</v>
      </c>
    </row>
    <row r="15202" spans="1:8" ht="14.4" x14ac:dyDescent="0.3">
      <c r="A15202" s="8">
        <v>3429852</v>
      </c>
      <c r="B15202" s="11">
        <v>44820</v>
      </c>
      <c r="C15202" s="13" t="s">
        <v>19945</v>
      </c>
      <c r="D15202" s="13" t="s">
        <v>19946</v>
      </c>
      <c r="E15202" s="8">
        <v>30000</v>
      </c>
      <c r="F15202" s="13" t="s">
        <v>70</v>
      </c>
      <c r="G15202" s="14">
        <v>44833</v>
      </c>
      <c r="H15202" s="13" t="s">
        <v>172</v>
      </c>
    </row>
    <row r="15203" spans="1:8" ht="14.4" x14ac:dyDescent="0.3">
      <c r="A15203" s="8">
        <v>3429853</v>
      </c>
      <c r="B15203" s="11">
        <v>44820</v>
      </c>
      <c r="C15203" s="13" t="s">
        <v>19947</v>
      </c>
      <c r="D15203" s="13" t="s">
        <v>150</v>
      </c>
      <c r="E15203" s="8">
        <v>6000</v>
      </c>
      <c r="F15203" s="13" t="s">
        <v>70</v>
      </c>
      <c r="G15203" s="14">
        <v>44824</v>
      </c>
      <c r="H15203" s="13" t="s">
        <v>172</v>
      </c>
    </row>
    <row r="15204" spans="1:8" ht="14.4" x14ac:dyDescent="0.3">
      <c r="A15204" s="8">
        <v>3429854</v>
      </c>
      <c r="B15204" s="11">
        <v>44820</v>
      </c>
      <c r="C15204" s="13" t="s">
        <v>7751</v>
      </c>
      <c r="D15204" s="13" t="s">
        <v>19948</v>
      </c>
      <c r="E15204" s="8">
        <v>7000</v>
      </c>
      <c r="F15204" s="13" t="s">
        <v>70</v>
      </c>
      <c r="G15204" s="14">
        <v>44834</v>
      </c>
      <c r="H15204" s="13" t="s">
        <v>172</v>
      </c>
    </row>
    <row r="15205" spans="1:8" ht="14.4" x14ac:dyDescent="0.3">
      <c r="A15205" s="8">
        <v>3429855</v>
      </c>
      <c r="B15205" s="11">
        <v>44820</v>
      </c>
      <c r="C15205" s="13" t="s">
        <v>15429</v>
      </c>
      <c r="D15205" s="13" t="s">
        <v>19949</v>
      </c>
      <c r="E15205" s="8">
        <v>33000</v>
      </c>
      <c r="F15205" s="13" t="s">
        <v>70</v>
      </c>
      <c r="G15205" s="14">
        <v>44833</v>
      </c>
      <c r="H15205" s="13" t="s">
        <v>172</v>
      </c>
    </row>
    <row r="15206" spans="1:8" ht="14.4" x14ac:dyDescent="0.3">
      <c r="A15206" s="8">
        <v>3429856</v>
      </c>
      <c r="B15206" s="11">
        <v>44820</v>
      </c>
      <c r="C15206" s="13" t="s">
        <v>19950</v>
      </c>
      <c r="D15206" s="13" t="s">
        <v>19951</v>
      </c>
      <c r="E15206" s="8">
        <v>10000</v>
      </c>
      <c r="F15206" s="13" t="s">
        <v>70</v>
      </c>
      <c r="G15206" s="14">
        <v>44834</v>
      </c>
      <c r="H15206" s="13" t="s">
        <v>172</v>
      </c>
    </row>
    <row r="15207" spans="1:8" ht="14.4" x14ac:dyDescent="0.3">
      <c r="A15207" s="8">
        <v>3429858</v>
      </c>
      <c r="B15207" s="11">
        <v>44820</v>
      </c>
      <c r="C15207" s="13" t="s">
        <v>176</v>
      </c>
      <c r="D15207" s="13" t="s">
        <v>11925</v>
      </c>
      <c r="E15207" s="8">
        <v>162500</v>
      </c>
      <c r="F15207" s="13" t="s">
        <v>70</v>
      </c>
      <c r="G15207" s="14">
        <v>44825</v>
      </c>
      <c r="H15207" s="13" t="s">
        <v>172</v>
      </c>
    </row>
    <row r="15208" spans="1:8" ht="14.4" x14ac:dyDescent="0.3">
      <c r="A15208" s="8">
        <v>3429859</v>
      </c>
      <c r="B15208" s="11">
        <v>44820</v>
      </c>
      <c r="C15208" s="13" t="s">
        <v>180</v>
      </c>
      <c r="D15208" s="13" t="s">
        <v>33</v>
      </c>
      <c r="E15208" s="8">
        <v>134718.21</v>
      </c>
      <c r="F15208" s="13" t="s">
        <v>70</v>
      </c>
      <c r="G15208" s="14">
        <v>44820</v>
      </c>
      <c r="H15208" s="13" t="s">
        <v>172</v>
      </c>
    </row>
    <row r="15209" spans="1:8" ht="14.4" x14ac:dyDescent="0.3">
      <c r="A15209" s="8">
        <v>3429860</v>
      </c>
      <c r="B15209" s="11">
        <v>44820</v>
      </c>
      <c r="C15209" s="13" t="s">
        <v>19952</v>
      </c>
      <c r="D15209" s="13" t="s">
        <v>19953</v>
      </c>
      <c r="E15209" s="8">
        <v>150000</v>
      </c>
      <c r="F15209" s="13" t="s">
        <v>70</v>
      </c>
      <c r="G15209" s="14">
        <v>44825</v>
      </c>
      <c r="H15209" s="13" t="s">
        <v>172</v>
      </c>
    </row>
    <row r="15210" spans="1:8" ht="14.4" x14ac:dyDescent="0.3">
      <c r="A15210" s="8">
        <v>3429861</v>
      </c>
      <c r="B15210" s="11">
        <v>44820</v>
      </c>
      <c r="C15210" s="13" t="s">
        <v>265</v>
      </c>
      <c r="D15210" s="13" t="s">
        <v>19954</v>
      </c>
      <c r="E15210" s="8">
        <v>23300</v>
      </c>
      <c r="F15210" s="13" t="s">
        <v>70</v>
      </c>
      <c r="G15210" s="14">
        <v>44824</v>
      </c>
      <c r="H15210" s="13" t="s">
        <v>172</v>
      </c>
    </row>
    <row r="15211" spans="1:8" ht="14.4" x14ac:dyDescent="0.3">
      <c r="A15211" s="8">
        <v>3429863</v>
      </c>
      <c r="B15211" s="11">
        <v>44820</v>
      </c>
      <c r="C15211" s="13" t="s">
        <v>19955</v>
      </c>
      <c r="D15211" s="13" t="s">
        <v>19956</v>
      </c>
      <c r="E15211" s="8">
        <v>120000</v>
      </c>
      <c r="F15211" s="13" t="s">
        <v>70</v>
      </c>
      <c r="G15211" s="14">
        <v>44837</v>
      </c>
      <c r="H15211" s="13" t="s">
        <v>172</v>
      </c>
    </row>
    <row r="15212" spans="1:8" ht="14.4" x14ac:dyDescent="0.3">
      <c r="A15212" s="8">
        <v>3429864</v>
      </c>
      <c r="B15212" s="11">
        <v>44820</v>
      </c>
      <c r="C15212" s="13" t="s">
        <v>19957</v>
      </c>
      <c r="D15212" s="13" t="s">
        <v>19958</v>
      </c>
      <c r="E15212" s="8">
        <v>15000</v>
      </c>
      <c r="F15212" s="13" t="s">
        <v>70</v>
      </c>
      <c r="G15212" s="14">
        <v>44837</v>
      </c>
      <c r="H15212" s="13" t="s">
        <v>172</v>
      </c>
    </row>
    <row r="15213" spans="1:8" ht="14.4" x14ac:dyDescent="0.3">
      <c r="A15213" s="8">
        <v>3429865</v>
      </c>
      <c r="B15213" s="11">
        <v>44820</v>
      </c>
      <c r="C15213" s="13" t="s">
        <v>7515</v>
      </c>
      <c r="D15213" s="13" t="s">
        <v>174</v>
      </c>
      <c r="E15213" s="8">
        <v>90000</v>
      </c>
      <c r="F15213" s="13" t="s">
        <v>70</v>
      </c>
      <c r="G15213" s="14">
        <v>44837</v>
      </c>
      <c r="H15213" s="13" t="s">
        <v>172</v>
      </c>
    </row>
    <row r="15214" spans="1:8" ht="14.4" x14ac:dyDescent="0.3">
      <c r="A15214" s="8">
        <v>3429866</v>
      </c>
      <c r="B15214" s="11">
        <v>44820</v>
      </c>
      <c r="C15214" s="13" t="s">
        <v>19959</v>
      </c>
      <c r="D15214" s="13" t="s">
        <v>19960</v>
      </c>
      <c r="E15214" s="8">
        <v>10000</v>
      </c>
      <c r="F15214" s="13" t="s">
        <v>70</v>
      </c>
      <c r="G15214" s="14">
        <v>44826</v>
      </c>
      <c r="H15214" s="13" t="s">
        <v>172</v>
      </c>
    </row>
    <row r="15215" spans="1:8" ht="14.4" x14ac:dyDescent="0.3">
      <c r="A15215" s="8">
        <v>3429869</v>
      </c>
      <c r="B15215" s="11">
        <v>44820</v>
      </c>
      <c r="C15215" s="13" t="s">
        <v>122</v>
      </c>
      <c r="D15215" s="13" t="s">
        <v>19961</v>
      </c>
      <c r="E15215" s="8">
        <v>147440</v>
      </c>
      <c r="F15215" s="13" t="s">
        <v>70</v>
      </c>
      <c r="G15215" s="14">
        <v>44824</v>
      </c>
      <c r="H15215" s="13" t="s">
        <v>172</v>
      </c>
    </row>
    <row r="15216" spans="1:8" ht="14.4" x14ac:dyDescent="0.3">
      <c r="A15216" s="8">
        <v>3429870</v>
      </c>
      <c r="B15216" s="11">
        <v>44820</v>
      </c>
      <c r="C15216" s="13" t="s">
        <v>4602</v>
      </c>
      <c r="D15216" s="13" t="s">
        <v>19962</v>
      </c>
      <c r="E15216" s="8">
        <v>48500</v>
      </c>
      <c r="F15216" s="13" t="s">
        <v>70</v>
      </c>
      <c r="G15216" s="14">
        <v>44833</v>
      </c>
      <c r="H15216" s="13" t="s">
        <v>172</v>
      </c>
    </row>
    <row r="15217" spans="1:8" ht="14.4" x14ac:dyDescent="0.3">
      <c r="A15217" s="8">
        <v>3429871</v>
      </c>
      <c r="B15217" s="11">
        <v>44820</v>
      </c>
      <c r="C15217" s="13" t="s">
        <v>50</v>
      </c>
      <c r="D15217" s="13" t="s">
        <v>19963</v>
      </c>
      <c r="E15217" s="8">
        <v>54320</v>
      </c>
      <c r="F15217" s="13" t="s">
        <v>70</v>
      </c>
      <c r="G15217" s="14">
        <v>44834</v>
      </c>
      <c r="H15217" s="13" t="s">
        <v>172</v>
      </c>
    </row>
    <row r="15218" spans="1:8" ht="14.4" x14ac:dyDescent="0.3">
      <c r="A15218" s="8">
        <v>3429872</v>
      </c>
      <c r="B15218" s="11">
        <v>44820</v>
      </c>
      <c r="C15218" s="13" t="s">
        <v>48</v>
      </c>
      <c r="D15218" s="13" t="s">
        <v>19964</v>
      </c>
      <c r="E15218" s="8">
        <v>52380</v>
      </c>
      <c r="F15218" s="13" t="s">
        <v>70</v>
      </c>
      <c r="G15218" s="14">
        <v>44834</v>
      </c>
      <c r="H15218" s="13" t="s">
        <v>172</v>
      </c>
    </row>
    <row r="15219" spans="1:8" ht="14.4" x14ac:dyDescent="0.3">
      <c r="A15219" s="8">
        <v>3429873</v>
      </c>
      <c r="B15219" s="11">
        <v>44820</v>
      </c>
      <c r="C15219" s="13" t="s">
        <v>1946</v>
      </c>
      <c r="D15219" s="13" t="s">
        <v>19965</v>
      </c>
      <c r="E15219" s="8">
        <v>16751.78</v>
      </c>
      <c r="F15219" s="13" t="s">
        <v>70</v>
      </c>
      <c r="G15219" s="14">
        <v>44827</v>
      </c>
      <c r="H15219" s="13" t="s">
        <v>172</v>
      </c>
    </row>
    <row r="15220" spans="1:8" ht="14.4" x14ac:dyDescent="0.3">
      <c r="A15220" s="8">
        <v>3429874</v>
      </c>
      <c r="B15220" s="11">
        <v>44820</v>
      </c>
      <c r="C15220" s="13" t="s">
        <v>2074</v>
      </c>
      <c r="D15220" s="13" t="s">
        <v>19966</v>
      </c>
      <c r="E15220" s="8">
        <v>1687.5</v>
      </c>
      <c r="F15220" s="13" t="s">
        <v>70</v>
      </c>
      <c r="G15220" s="14">
        <v>44855</v>
      </c>
      <c r="H15220" s="13" t="s">
        <v>172</v>
      </c>
    </row>
    <row r="15221" spans="1:8" ht="14.4" x14ac:dyDescent="0.3">
      <c r="A15221" s="8">
        <v>3429875</v>
      </c>
      <c r="B15221" s="11">
        <v>44820</v>
      </c>
      <c r="C15221" s="13" t="s">
        <v>1581</v>
      </c>
      <c r="D15221" s="13" t="s">
        <v>19967</v>
      </c>
      <c r="E15221" s="8">
        <v>6246.43</v>
      </c>
      <c r="F15221" s="13" t="s">
        <v>70</v>
      </c>
      <c r="G15221" s="14">
        <v>44833</v>
      </c>
      <c r="H15221" s="13" t="s">
        <v>172</v>
      </c>
    </row>
    <row r="15222" spans="1:8" ht="14.4" x14ac:dyDescent="0.3">
      <c r="A15222" s="8">
        <v>3429876</v>
      </c>
      <c r="B15222" s="11">
        <v>44820</v>
      </c>
      <c r="C15222" s="13" t="s">
        <v>195</v>
      </c>
      <c r="D15222" s="13" t="s">
        <v>19968</v>
      </c>
      <c r="E15222" s="8">
        <v>5005</v>
      </c>
      <c r="F15222" s="13" t="s">
        <v>70</v>
      </c>
      <c r="G15222" s="14">
        <v>44824</v>
      </c>
      <c r="H15222" s="13" t="s">
        <v>172</v>
      </c>
    </row>
    <row r="15223" spans="1:8" ht="14.4" x14ac:dyDescent="0.3">
      <c r="A15223" s="8">
        <v>3429877</v>
      </c>
      <c r="B15223" s="11">
        <v>44820</v>
      </c>
      <c r="C15223" s="13" t="s">
        <v>1342</v>
      </c>
      <c r="D15223" s="13" t="s">
        <v>19969</v>
      </c>
      <c r="E15223" s="8">
        <v>37240</v>
      </c>
      <c r="F15223" s="13" t="s">
        <v>70</v>
      </c>
      <c r="G15223" s="14">
        <v>44831</v>
      </c>
      <c r="H15223" s="13" t="s">
        <v>172</v>
      </c>
    </row>
    <row r="15224" spans="1:8" ht="14.4" x14ac:dyDescent="0.3">
      <c r="A15224" s="8">
        <v>3429878</v>
      </c>
      <c r="B15224" s="11">
        <v>44820</v>
      </c>
      <c r="C15224" s="13" t="s">
        <v>1581</v>
      </c>
      <c r="D15224" s="13" t="s">
        <v>19970</v>
      </c>
      <c r="E15224" s="8">
        <v>5678.57</v>
      </c>
      <c r="F15224" s="13" t="s">
        <v>70</v>
      </c>
      <c r="G15224" s="14">
        <v>44833</v>
      </c>
      <c r="H15224" s="13" t="s">
        <v>172</v>
      </c>
    </row>
    <row r="15225" spans="1:8" ht="14.4" x14ac:dyDescent="0.3">
      <c r="A15225" s="8">
        <v>3429879</v>
      </c>
      <c r="B15225" s="11">
        <v>44820</v>
      </c>
      <c r="C15225" s="13" t="s">
        <v>363</v>
      </c>
      <c r="D15225" s="13" t="s">
        <v>19971</v>
      </c>
      <c r="E15225" s="8">
        <v>16400.3</v>
      </c>
      <c r="F15225" s="13" t="s">
        <v>70</v>
      </c>
      <c r="G15225" s="14">
        <v>44825</v>
      </c>
      <c r="H15225" s="13" t="s">
        <v>172</v>
      </c>
    </row>
    <row r="15226" spans="1:8" ht="14.4" x14ac:dyDescent="0.3">
      <c r="A15226" s="8">
        <v>3429882</v>
      </c>
      <c r="B15226" s="11">
        <v>44820</v>
      </c>
      <c r="C15226" s="13" t="s">
        <v>3434</v>
      </c>
      <c r="D15226" s="13" t="s">
        <v>19972</v>
      </c>
      <c r="E15226" s="8">
        <v>150</v>
      </c>
      <c r="F15226" s="13" t="s">
        <v>70</v>
      </c>
      <c r="G15226" s="14">
        <v>44825</v>
      </c>
      <c r="H15226" s="13" t="s">
        <v>172</v>
      </c>
    </row>
    <row r="15227" spans="1:8" ht="14.4" x14ac:dyDescent="0.3">
      <c r="A15227" s="8">
        <v>3429883</v>
      </c>
      <c r="B15227" s="11">
        <v>44820</v>
      </c>
      <c r="C15227" s="13" t="s">
        <v>3434</v>
      </c>
      <c r="D15227" s="13"/>
      <c r="E15227" s="8">
        <v>150</v>
      </c>
      <c r="F15227" s="13" t="s">
        <v>70</v>
      </c>
      <c r="G15227" s="14">
        <v>44825</v>
      </c>
      <c r="H15227" s="13" t="s">
        <v>172</v>
      </c>
    </row>
    <row r="15228" spans="1:8" ht="14.4" x14ac:dyDescent="0.3">
      <c r="A15228" s="8">
        <v>3429884</v>
      </c>
      <c r="B15228" s="11">
        <v>44820</v>
      </c>
      <c r="C15228" s="13" t="s">
        <v>1380</v>
      </c>
      <c r="D15228" s="13" t="s">
        <v>19973</v>
      </c>
      <c r="E15228" s="8">
        <v>656.75</v>
      </c>
      <c r="F15228" s="13" t="s">
        <v>70</v>
      </c>
      <c r="G15228" s="14">
        <v>44832</v>
      </c>
      <c r="H15228" s="13" t="s">
        <v>172</v>
      </c>
    </row>
    <row r="15229" spans="1:8" ht="14.4" x14ac:dyDescent="0.3">
      <c r="A15229" s="8">
        <v>3429885</v>
      </c>
      <c r="B15229" s="11">
        <v>44820</v>
      </c>
      <c r="C15229" s="13" t="s">
        <v>523</v>
      </c>
      <c r="D15229" s="13" t="s">
        <v>19974</v>
      </c>
      <c r="E15229" s="8">
        <v>1202.43</v>
      </c>
      <c r="F15229" s="13" t="s">
        <v>70</v>
      </c>
      <c r="G15229" s="14">
        <v>44827</v>
      </c>
      <c r="H15229" s="13" t="s">
        <v>172</v>
      </c>
    </row>
    <row r="15230" spans="1:8" ht="14.4" x14ac:dyDescent="0.3">
      <c r="A15230" s="8">
        <v>3429886</v>
      </c>
      <c r="B15230" s="11">
        <v>44820</v>
      </c>
      <c r="C15230" s="13" t="s">
        <v>74</v>
      </c>
      <c r="D15230" s="13"/>
      <c r="E15230" s="8">
        <v>70000</v>
      </c>
      <c r="F15230" s="13" t="s">
        <v>70</v>
      </c>
      <c r="G15230" s="14">
        <v>44824</v>
      </c>
      <c r="H15230" s="13" t="s">
        <v>172</v>
      </c>
    </row>
    <row r="15231" spans="1:8" ht="14.4" x14ac:dyDescent="0.3">
      <c r="A15231" s="8">
        <v>3429887</v>
      </c>
      <c r="B15231" s="11">
        <v>44820</v>
      </c>
      <c r="C15231" s="13" t="s">
        <v>3190</v>
      </c>
      <c r="D15231" s="13" t="s">
        <v>3191</v>
      </c>
      <c r="E15231" s="8">
        <v>72843.75</v>
      </c>
      <c r="F15231" s="13" t="s">
        <v>70</v>
      </c>
      <c r="G15231" s="14">
        <v>44826</v>
      </c>
      <c r="H15231" s="13" t="s">
        <v>172</v>
      </c>
    </row>
    <row r="15232" spans="1:8" ht="14.4" x14ac:dyDescent="0.3">
      <c r="A15232" s="8">
        <v>3429894</v>
      </c>
      <c r="B15232" s="11">
        <v>44859</v>
      </c>
      <c r="C15232" s="13" t="s">
        <v>19975</v>
      </c>
      <c r="D15232" s="13" t="s">
        <v>19976</v>
      </c>
      <c r="E15232" s="8">
        <v>24000</v>
      </c>
      <c r="F15232" s="13" t="s">
        <v>70</v>
      </c>
      <c r="G15232" s="14">
        <v>44861</v>
      </c>
      <c r="H15232" s="13" t="s">
        <v>172</v>
      </c>
    </row>
    <row r="15233" spans="1:8" ht="14.4" x14ac:dyDescent="0.3">
      <c r="A15233" s="8">
        <v>3429895</v>
      </c>
      <c r="B15233" s="11">
        <v>44859</v>
      </c>
      <c r="C15233" s="13" t="s">
        <v>19977</v>
      </c>
      <c r="D15233" s="13" t="s">
        <v>19978</v>
      </c>
      <c r="E15233" s="8">
        <v>12000</v>
      </c>
      <c r="F15233" s="13" t="s">
        <v>70</v>
      </c>
      <c r="G15233" s="14">
        <v>44861</v>
      </c>
      <c r="H15233" s="13" t="s">
        <v>172</v>
      </c>
    </row>
    <row r="15234" spans="1:8" ht="14.4" x14ac:dyDescent="0.3">
      <c r="A15234" s="8">
        <v>3429896</v>
      </c>
      <c r="B15234" s="11">
        <v>44859</v>
      </c>
      <c r="C15234" s="13" t="s">
        <v>19979</v>
      </c>
      <c r="D15234" s="13" t="s">
        <v>19980</v>
      </c>
      <c r="E15234" s="8">
        <v>8000</v>
      </c>
      <c r="F15234" s="13" t="s">
        <v>70</v>
      </c>
      <c r="G15234" s="14">
        <v>44861</v>
      </c>
      <c r="H15234" s="13" t="s">
        <v>172</v>
      </c>
    </row>
    <row r="15235" spans="1:8" ht="14.4" x14ac:dyDescent="0.3">
      <c r="A15235" s="8">
        <v>3429897</v>
      </c>
      <c r="B15235" s="11">
        <v>44859</v>
      </c>
      <c r="C15235" s="13" t="s">
        <v>19981</v>
      </c>
      <c r="D15235" s="13" t="s">
        <v>19982</v>
      </c>
      <c r="E15235" s="8">
        <v>10000</v>
      </c>
      <c r="F15235" s="13" t="s">
        <v>70</v>
      </c>
      <c r="G15235" s="14">
        <v>44861</v>
      </c>
      <c r="H15235" s="13" t="s">
        <v>172</v>
      </c>
    </row>
    <row r="15236" spans="1:8" ht="14.4" x14ac:dyDescent="0.3">
      <c r="A15236" s="8">
        <v>3429898</v>
      </c>
      <c r="B15236" s="11">
        <v>44859</v>
      </c>
      <c r="C15236" s="13" t="s">
        <v>19983</v>
      </c>
      <c r="D15236" s="13" t="s">
        <v>19984</v>
      </c>
      <c r="E15236" s="8">
        <v>14500</v>
      </c>
      <c r="F15236" s="13" t="s">
        <v>70</v>
      </c>
      <c r="G15236" s="14">
        <v>44861</v>
      </c>
      <c r="H15236" s="13" t="s">
        <v>172</v>
      </c>
    </row>
    <row r="15237" spans="1:8" ht="14.4" x14ac:dyDescent="0.3">
      <c r="A15237" s="8">
        <v>3429899</v>
      </c>
      <c r="B15237" s="11">
        <v>44859</v>
      </c>
      <c r="C15237" s="13" t="s">
        <v>19985</v>
      </c>
      <c r="D15237" s="13" t="s">
        <v>19986</v>
      </c>
      <c r="E15237" s="8">
        <v>8000</v>
      </c>
      <c r="F15237" s="13" t="s">
        <v>70</v>
      </c>
      <c r="G15237" s="14">
        <v>44861</v>
      </c>
      <c r="H15237" s="13" t="s">
        <v>172</v>
      </c>
    </row>
    <row r="15238" spans="1:8" ht="14.4" x14ac:dyDescent="0.3">
      <c r="A15238" s="8">
        <v>3429900</v>
      </c>
      <c r="B15238" s="11">
        <v>44859</v>
      </c>
      <c r="C15238" s="13" t="s">
        <v>19987</v>
      </c>
      <c r="D15238" s="13" t="s">
        <v>19988</v>
      </c>
      <c r="E15238" s="8">
        <v>8000</v>
      </c>
      <c r="F15238" s="13" t="s">
        <v>70</v>
      </c>
      <c r="G15238" s="14">
        <v>44861</v>
      </c>
      <c r="H15238" s="13" t="s">
        <v>172</v>
      </c>
    </row>
    <row r="15239" spans="1:8" ht="14.4" x14ac:dyDescent="0.3">
      <c r="A15239" s="8">
        <v>3677301</v>
      </c>
      <c r="B15239" s="11">
        <v>44860</v>
      </c>
      <c r="C15239" s="13" t="s">
        <v>19989</v>
      </c>
      <c r="D15239" s="13" t="s">
        <v>19990</v>
      </c>
      <c r="E15239" s="8">
        <v>18000</v>
      </c>
      <c r="F15239" s="13" t="s">
        <v>70</v>
      </c>
      <c r="G15239" s="14">
        <v>44862</v>
      </c>
      <c r="H15239" s="13" t="s">
        <v>172</v>
      </c>
    </row>
    <row r="15240" spans="1:8" ht="14.4" x14ac:dyDescent="0.3">
      <c r="A15240" s="8">
        <v>3677302</v>
      </c>
      <c r="B15240" s="11">
        <v>44860</v>
      </c>
      <c r="C15240" s="13" t="s">
        <v>19991</v>
      </c>
      <c r="D15240" s="13" t="s">
        <v>149</v>
      </c>
      <c r="E15240" s="8">
        <v>8000</v>
      </c>
      <c r="F15240" s="13" t="s">
        <v>70</v>
      </c>
      <c r="G15240" s="14">
        <v>44862</v>
      </c>
      <c r="H15240" s="13" t="s">
        <v>172</v>
      </c>
    </row>
    <row r="15241" spans="1:8" ht="14.4" x14ac:dyDescent="0.3">
      <c r="A15241" s="8">
        <v>3677303</v>
      </c>
      <c r="B15241" s="11">
        <v>44860</v>
      </c>
      <c r="C15241" s="13" t="s">
        <v>19992</v>
      </c>
      <c r="D15241" s="13" t="s">
        <v>19993</v>
      </c>
      <c r="E15241" s="8">
        <v>18000</v>
      </c>
      <c r="F15241" s="13" t="s">
        <v>70</v>
      </c>
      <c r="G15241" s="14">
        <v>44868</v>
      </c>
      <c r="H15241" s="13" t="s">
        <v>172</v>
      </c>
    </row>
    <row r="15242" spans="1:8" ht="14.4" x14ac:dyDescent="0.3">
      <c r="A15242" s="8">
        <v>3677304</v>
      </c>
      <c r="B15242" s="11">
        <v>44860</v>
      </c>
      <c r="C15242" s="13" t="s">
        <v>19994</v>
      </c>
      <c r="D15242" s="13" t="s">
        <v>19995</v>
      </c>
      <c r="E15242" s="8">
        <v>8000</v>
      </c>
      <c r="F15242" s="13" t="s">
        <v>70</v>
      </c>
      <c r="G15242" s="14">
        <v>44862</v>
      </c>
      <c r="H15242" s="13" t="s">
        <v>172</v>
      </c>
    </row>
    <row r="15243" spans="1:8" ht="14.4" x14ac:dyDescent="0.3">
      <c r="A15243" s="8">
        <v>3677305</v>
      </c>
      <c r="B15243" s="11">
        <v>44860</v>
      </c>
      <c r="C15243" s="13" t="s">
        <v>19436</v>
      </c>
      <c r="D15243" s="13" t="s">
        <v>19996</v>
      </c>
      <c r="E15243" s="8">
        <v>15000</v>
      </c>
      <c r="F15243" s="13" t="s">
        <v>70</v>
      </c>
      <c r="G15243" s="14">
        <v>44869</v>
      </c>
      <c r="H15243" s="13" t="s">
        <v>172</v>
      </c>
    </row>
    <row r="15244" spans="1:8" ht="14.4" x14ac:dyDescent="0.3">
      <c r="A15244" s="8">
        <v>3677306</v>
      </c>
      <c r="B15244" s="11">
        <v>44860</v>
      </c>
      <c r="C15244" s="13" t="s">
        <v>19997</v>
      </c>
      <c r="D15244" s="13" t="s">
        <v>5425</v>
      </c>
      <c r="E15244" s="8">
        <v>317000</v>
      </c>
      <c r="F15244" s="13" t="s">
        <v>70</v>
      </c>
      <c r="G15244" s="14">
        <v>44867</v>
      </c>
      <c r="H15244" s="13" t="s">
        <v>172</v>
      </c>
    </row>
    <row r="15245" spans="1:8" ht="14.4" x14ac:dyDescent="0.3">
      <c r="A15245" s="8">
        <v>3677307</v>
      </c>
      <c r="B15245" s="11">
        <v>44860</v>
      </c>
      <c r="C15245" s="13" t="s">
        <v>14974</v>
      </c>
      <c r="D15245" s="13" t="s">
        <v>19998</v>
      </c>
      <c r="E15245" s="8">
        <v>11000</v>
      </c>
      <c r="F15245" s="13" t="s">
        <v>70</v>
      </c>
      <c r="G15245" s="14">
        <v>44862</v>
      </c>
      <c r="H15245" s="13" t="s">
        <v>172</v>
      </c>
    </row>
    <row r="15246" spans="1:8" ht="14.4" x14ac:dyDescent="0.3">
      <c r="A15246" s="8">
        <v>3677308</v>
      </c>
      <c r="B15246" s="11">
        <v>44860</v>
      </c>
      <c r="C15246" s="13" t="s">
        <v>19999</v>
      </c>
      <c r="D15246" s="13" t="s">
        <v>20000</v>
      </c>
      <c r="E15246" s="8">
        <v>3881.85</v>
      </c>
      <c r="F15246" s="13" t="s">
        <v>70</v>
      </c>
      <c r="G15246" s="14">
        <v>44872</v>
      </c>
      <c r="H15246" s="13" t="s">
        <v>172</v>
      </c>
    </row>
    <row r="15247" spans="1:8" ht="14.4" x14ac:dyDescent="0.3">
      <c r="A15247" s="8">
        <v>3677309</v>
      </c>
      <c r="B15247" s="11">
        <v>44860</v>
      </c>
      <c r="C15247" s="13" t="s">
        <v>19999</v>
      </c>
      <c r="D15247" s="13" t="s">
        <v>20001</v>
      </c>
      <c r="E15247" s="8">
        <v>15695.78</v>
      </c>
      <c r="F15247" s="13" t="s">
        <v>70</v>
      </c>
      <c r="G15247" s="14">
        <v>44872</v>
      </c>
      <c r="H15247" s="13" t="s">
        <v>172</v>
      </c>
    </row>
    <row r="15248" spans="1:8" ht="14.4" x14ac:dyDescent="0.3">
      <c r="A15248" s="8">
        <v>3677310</v>
      </c>
      <c r="B15248" s="11">
        <v>44860</v>
      </c>
      <c r="C15248" s="13" t="s">
        <v>19999</v>
      </c>
      <c r="D15248" s="13" t="s">
        <v>20002</v>
      </c>
      <c r="E15248" s="8">
        <v>705577.64</v>
      </c>
      <c r="F15248" s="13" t="s">
        <v>70</v>
      </c>
      <c r="G15248" s="14">
        <v>44872</v>
      </c>
      <c r="H15248" s="13" t="s">
        <v>172</v>
      </c>
    </row>
    <row r="15249" spans="1:8" ht="14.4" x14ac:dyDescent="0.3">
      <c r="A15249" s="8">
        <v>3677311</v>
      </c>
      <c r="B15249" s="11">
        <v>44860</v>
      </c>
      <c r="C15249" s="13" t="s">
        <v>19999</v>
      </c>
      <c r="D15249" s="13" t="s">
        <v>20003</v>
      </c>
      <c r="E15249" s="8">
        <v>89320.84</v>
      </c>
      <c r="F15249" s="13" t="s">
        <v>70</v>
      </c>
      <c r="G15249" s="14">
        <v>44872</v>
      </c>
      <c r="H15249" s="13" t="s">
        <v>172</v>
      </c>
    </row>
    <row r="15250" spans="1:8" ht="14.4" x14ac:dyDescent="0.3">
      <c r="A15250" s="8">
        <v>3677312</v>
      </c>
      <c r="B15250" s="11">
        <v>44860</v>
      </c>
      <c r="C15250" s="13" t="s">
        <v>19999</v>
      </c>
      <c r="D15250" s="13" t="s">
        <v>20004</v>
      </c>
      <c r="E15250" s="8">
        <v>902776.49</v>
      </c>
      <c r="F15250" s="13" t="s">
        <v>70</v>
      </c>
      <c r="G15250" s="14">
        <v>44872</v>
      </c>
      <c r="H15250" s="13" t="s">
        <v>172</v>
      </c>
    </row>
    <row r="15251" spans="1:8" ht="14.4" x14ac:dyDescent="0.3">
      <c r="A15251" s="8">
        <v>3677313</v>
      </c>
      <c r="B15251" s="11">
        <v>44860</v>
      </c>
      <c r="C15251" s="13" t="s">
        <v>697</v>
      </c>
      <c r="D15251" s="13" t="s">
        <v>20005</v>
      </c>
      <c r="E15251" s="8">
        <v>2543.8200000000002</v>
      </c>
      <c r="F15251" s="13" t="s">
        <v>70</v>
      </c>
      <c r="G15251" s="14">
        <v>44872</v>
      </c>
      <c r="H15251" s="13" t="s">
        <v>172</v>
      </c>
    </row>
    <row r="15252" spans="1:8" ht="14.4" x14ac:dyDescent="0.3">
      <c r="A15252" s="8">
        <v>3677314</v>
      </c>
      <c r="B15252" s="11">
        <v>44860</v>
      </c>
      <c r="C15252" s="13" t="s">
        <v>1390</v>
      </c>
      <c r="D15252" s="13" t="s">
        <v>20006</v>
      </c>
      <c r="E15252" s="8">
        <v>42890</v>
      </c>
      <c r="F15252" s="13" t="s">
        <v>70</v>
      </c>
      <c r="G15252" s="14">
        <v>44861</v>
      </c>
      <c r="H15252" s="13" t="s">
        <v>172</v>
      </c>
    </row>
    <row r="15253" spans="1:8" ht="14.4" x14ac:dyDescent="0.3">
      <c r="A15253" s="8">
        <v>3677315</v>
      </c>
      <c r="B15253" s="11">
        <v>44860</v>
      </c>
      <c r="C15253" s="13" t="s">
        <v>20007</v>
      </c>
      <c r="D15253" s="13" t="s">
        <v>21</v>
      </c>
      <c r="E15253" s="8">
        <v>5000</v>
      </c>
      <c r="F15253" s="13" t="s">
        <v>70</v>
      </c>
      <c r="G15253" s="14">
        <v>44868</v>
      </c>
      <c r="H15253" s="13" t="s">
        <v>172</v>
      </c>
    </row>
    <row r="15254" spans="1:8" ht="14.4" x14ac:dyDescent="0.3">
      <c r="A15254" s="8">
        <v>3677316</v>
      </c>
      <c r="B15254" s="11">
        <v>44860</v>
      </c>
      <c r="C15254" s="13" t="s">
        <v>20008</v>
      </c>
      <c r="D15254" s="13" t="s">
        <v>20009</v>
      </c>
      <c r="E15254" s="8">
        <v>8600</v>
      </c>
      <c r="F15254" s="13" t="s">
        <v>70</v>
      </c>
      <c r="G15254" s="14">
        <v>44862</v>
      </c>
      <c r="H15254" s="13" t="s">
        <v>172</v>
      </c>
    </row>
    <row r="15255" spans="1:8" ht="14.4" x14ac:dyDescent="0.3">
      <c r="A15255" s="8">
        <v>3677317</v>
      </c>
      <c r="B15255" s="11">
        <v>44860</v>
      </c>
      <c r="C15255" s="13" t="s">
        <v>74</v>
      </c>
      <c r="D15255" s="13" t="s">
        <v>20010</v>
      </c>
      <c r="E15255" s="8">
        <v>36000</v>
      </c>
      <c r="F15255" s="13" t="s">
        <v>70</v>
      </c>
      <c r="G15255" s="14">
        <v>44873</v>
      </c>
      <c r="H15255" s="13" t="s">
        <v>172</v>
      </c>
    </row>
    <row r="15256" spans="1:8" ht="14.4" x14ac:dyDescent="0.3">
      <c r="A15256" s="8">
        <v>3677318</v>
      </c>
      <c r="B15256" s="11">
        <v>44860</v>
      </c>
      <c r="C15256" s="13" t="s">
        <v>3378</v>
      </c>
      <c r="D15256" s="13" t="s">
        <v>3379</v>
      </c>
      <c r="E15256" s="8">
        <v>31311.599999999999</v>
      </c>
      <c r="F15256" s="13" t="s">
        <v>70</v>
      </c>
      <c r="G15256" s="14">
        <v>44868</v>
      </c>
      <c r="H15256" s="13" t="s">
        <v>172</v>
      </c>
    </row>
    <row r="15257" spans="1:8" ht="14.4" x14ac:dyDescent="0.3">
      <c r="A15257" s="8">
        <v>3677320</v>
      </c>
      <c r="B15257" s="11">
        <v>44860</v>
      </c>
      <c r="C15257" s="13" t="s">
        <v>5427</v>
      </c>
      <c r="D15257" s="13" t="s">
        <v>177</v>
      </c>
      <c r="E15257" s="8">
        <v>17000</v>
      </c>
      <c r="F15257" s="13" t="s">
        <v>70</v>
      </c>
      <c r="G15257" s="14">
        <v>44867</v>
      </c>
      <c r="H15257" s="13" t="s">
        <v>172</v>
      </c>
    </row>
    <row r="15258" spans="1:8" ht="14.4" x14ac:dyDescent="0.3">
      <c r="A15258" s="8">
        <v>3677321</v>
      </c>
      <c r="B15258" s="11">
        <v>44860</v>
      </c>
      <c r="C15258" s="13" t="s">
        <v>1193</v>
      </c>
      <c r="D15258" s="13" t="s">
        <v>20011</v>
      </c>
      <c r="E15258" s="8">
        <v>19600</v>
      </c>
      <c r="F15258" s="13" t="s">
        <v>70</v>
      </c>
      <c r="G15258" s="14">
        <v>44876</v>
      </c>
      <c r="H15258" s="13" t="s">
        <v>172</v>
      </c>
    </row>
    <row r="15259" spans="1:8" ht="14.4" x14ac:dyDescent="0.3">
      <c r="A15259" s="8">
        <v>3677322</v>
      </c>
      <c r="B15259" s="11">
        <v>44860</v>
      </c>
      <c r="C15259" s="13" t="s">
        <v>20012</v>
      </c>
      <c r="D15259" s="13" t="s">
        <v>20013</v>
      </c>
      <c r="E15259" s="8">
        <v>14000</v>
      </c>
      <c r="F15259" s="13" t="s">
        <v>70</v>
      </c>
      <c r="G15259" s="14">
        <v>44862</v>
      </c>
      <c r="H15259" s="13" t="s">
        <v>172</v>
      </c>
    </row>
    <row r="15260" spans="1:8" ht="14.4" x14ac:dyDescent="0.3">
      <c r="A15260" s="8">
        <v>3677323</v>
      </c>
      <c r="B15260" s="11">
        <v>44860</v>
      </c>
      <c r="C15260" s="13" t="s">
        <v>20014</v>
      </c>
      <c r="D15260" s="13" t="s">
        <v>20015</v>
      </c>
      <c r="E15260" s="8">
        <v>8000</v>
      </c>
      <c r="F15260" s="13" t="s">
        <v>70</v>
      </c>
      <c r="G15260" s="14">
        <v>44862</v>
      </c>
      <c r="H15260" s="13" t="s">
        <v>172</v>
      </c>
    </row>
    <row r="15261" spans="1:8" ht="14.4" x14ac:dyDescent="0.3">
      <c r="A15261" s="8">
        <v>3677324</v>
      </c>
      <c r="B15261" s="11">
        <v>44860</v>
      </c>
      <c r="C15261" s="13" t="s">
        <v>506</v>
      </c>
      <c r="D15261" s="13" t="s">
        <v>177</v>
      </c>
      <c r="E15261" s="8">
        <v>60490</v>
      </c>
      <c r="F15261" s="13" t="s">
        <v>70</v>
      </c>
      <c r="G15261" s="14">
        <v>44867</v>
      </c>
      <c r="H15261" s="13" t="s">
        <v>172</v>
      </c>
    </row>
    <row r="15262" spans="1:8" ht="14.4" x14ac:dyDescent="0.3">
      <c r="A15262" s="8">
        <v>3677325</v>
      </c>
      <c r="B15262" s="11">
        <v>44860</v>
      </c>
      <c r="C15262" s="13" t="s">
        <v>5538</v>
      </c>
      <c r="D15262" s="13" t="s">
        <v>20016</v>
      </c>
      <c r="E15262" s="8">
        <v>332500</v>
      </c>
      <c r="F15262" s="13" t="s">
        <v>70</v>
      </c>
      <c r="G15262" s="14">
        <v>44860</v>
      </c>
      <c r="H15262" s="13" t="s">
        <v>172</v>
      </c>
    </row>
    <row r="15263" spans="1:8" ht="14.4" x14ac:dyDescent="0.3">
      <c r="A15263" s="8">
        <v>3677326</v>
      </c>
      <c r="B15263" s="11">
        <v>44861</v>
      </c>
      <c r="C15263" s="13" t="s">
        <v>20017</v>
      </c>
      <c r="D15263" s="13" t="s">
        <v>20018</v>
      </c>
      <c r="E15263" s="8">
        <v>1545.28</v>
      </c>
      <c r="F15263" s="13" t="s">
        <v>70</v>
      </c>
      <c r="G15263" s="14">
        <v>44862</v>
      </c>
      <c r="H15263" s="13" t="s">
        <v>172</v>
      </c>
    </row>
    <row r="15264" spans="1:8" ht="14.4" x14ac:dyDescent="0.3">
      <c r="A15264" s="8">
        <v>3677327</v>
      </c>
      <c r="B15264" s="11">
        <v>44861</v>
      </c>
      <c r="C15264" s="13" t="s">
        <v>20019</v>
      </c>
      <c r="D15264" s="13" t="s">
        <v>20020</v>
      </c>
      <c r="E15264" s="8">
        <v>400</v>
      </c>
      <c r="F15264" s="13" t="s">
        <v>70</v>
      </c>
      <c r="G15264" s="14">
        <v>44862</v>
      </c>
      <c r="H15264" s="13" t="s">
        <v>172</v>
      </c>
    </row>
    <row r="15265" spans="1:8" ht="14.4" x14ac:dyDescent="0.3">
      <c r="A15265" s="8">
        <v>3677328</v>
      </c>
      <c r="B15265" s="11">
        <v>44861</v>
      </c>
      <c r="C15265" s="13" t="s">
        <v>188</v>
      </c>
      <c r="D15265" s="13" t="s">
        <v>20021</v>
      </c>
      <c r="E15265" s="8">
        <v>706322.56</v>
      </c>
      <c r="F15265" s="13" t="s">
        <v>70</v>
      </c>
      <c r="G15265" s="14">
        <v>44861</v>
      </c>
      <c r="H15265" s="13" t="s">
        <v>172</v>
      </c>
    </row>
    <row r="15266" spans="1:8" ht="14.4" x14ac:dyDescent="0.3">
      <c r="A15266" s="8">
        <v>3677329</v>
      </c>
      <c r="B15266" s="11">
        <v>44861</v>
      </c>
      <c r="C15266" s="13" t="s">
        <v>20022</v>
      </c>
      <c r="D15266" s="13" t="s">
        <v>20023</v>
      </c>
      <c r="E15266" s="8">
        <v>10000</v>
      </c>
      <c r="F15266" s="13" t="s">
        <v>70</v>
      </c>
      <c r="G15266" s="14">
        <v>44862</v>
      </c>
      <c r="H15266" s="13" t="s">
        <v>172</v>
      </c>
    </row>
    <row r="15267" spans="1:8" ht="14.4" x14ac:dyDescent="0.3">
      <c r="A15267" s="8">
        <v>3677331</v>
      </c>
      <c r="B15267" s="11">
        <v>44861</v>
      </c>
      <c r="C15267" s="13" t="s">
        <v>124</v>
      </c>
      <c r="D15267" s="13" t="s">
        <v>20024</v>
      </c>
      <c r="E15267" s="8">
        <v>557.32000000000005</v>
      </c>
      <c r="F15267" s="13" t="s">
        <v>70</v>
      </c>
      <c r="G15267" s="14">
        <v>44872</v>
      </c>
      <c r="H15267" s="13" t="s">
        <v>172</v>
      </c>
    </row>
    <row r="15268" spans="1:8" ht="14.4" x14ac:dyDescent="0.3">
      <c r="A15268" s="8">
        <v>3677332</v>
      </c>
      <c r="B15268" s="11">
        <v>44861</v>
      </c>
      <c r="C15268" s="13" t="s">
        <v>20025</v>
      </c>
      <c r="D15268" s="13" t="s">
        <v>20026</v>
      </c>
      <c r="E15268" s="8">
        <v>1360.54</v>
      </c>
      <c r="F15268" s="13" t="s">
        <v>70</v>
      </c>
      <c r="G15268" s="14">
        <v>44872</v>
      </c>
      <c r="H15268" s="13" t="s">
        <v>172</v>
      </c>
    </row>
    <row r="15269" spans="1:8" ht="14.4" x14ac:dyDescent="0.3">
      <c r="A15269" s="8">
        <v>3677333</v>
      </c>
      <c r="B15269" s="11">
        <v>44861</v>
      </c>
      <c r="C15269" s="13" t="s">
        <v>5006</v>
      </c>
      <c r="D15269" s="13" t="s">
        <v>20027</v>
      </c>
      <c r="E15269" s="8">
        <v>5000</v>
      </c>
      <c r="F15269" s="13" t="s">
        <v>70</v>
      </c>
      <c r="G15269" s="14">
        <v>44872</v>
      </c>
      <c r="H15269" s="13" t="s">
        <v>172</v>
      </c>
    </row>
    <row r="15270" spans="1:8" ht="14.4" x14ac:dyDescent="0.3">
      <c r="A15270" s="8">
        <v>3677334</v>
      </c>
      <c r="B15270" s="11">
        <v>44861</v>
      </c>
      <c r="C15270" s="13" t="s">
        <v>42</v>
      </c>
      <c r="D15270" s="13" t="s">
        <v>20028</v>
      </c>
      <c r="E15270" s="8">
        <v>2264.62</v>
      </c>
      <c r="F15270" s="13" t="s">
        <v>70</v>
      </c>
      <c r="G15270" s="14">
        <v>44873</v>
      </c>
      <c r="H15270" s="13" t="s">
        <v>172</v>
      </c>
    </row>
    <row r="15271" spans="1:8" ht="14.4" x14ac:dyDescent="0.3">
      <c r="A15271" s="8">
        <v>3677335</v>
      </c>
      <c r="B15271" s="11">
        <v>44861</v>
      </c>
      <c r="C15271" s="13" t="s">
        <v>42</v>
      </c>
      <c r="D15271" s="13" t="s">
        <v>20029</v>
      </c>
      <c r="E15271" s="8">
        <v>5553.65</v>
      </c>
      <c r="F15271" s="13" t="s">
        <v>70</v>
      </c>
      <c r="G15271" s="14">
        <v>44873</v>
      </c>
      <c r="H15271" s="13" t="s">
        <v>172</v>
      </c>
    </row>
    <row r="15272" spans="1:8" ht="14.4" x14ac:dyDescent="0.3">
      <c r="A15272" s="8">
        <v>3677336</v>
      </c>
      <c r="B15272" s="11">
        <v>44861</v>
      </c>
      <c r="C15272" s="13" t="s">
        <v>42</v>
      </c>
      <c r="D15272" s="13" t="s">
        <v>20030</v>
      </c>
      <c r="E15272" s="8">
        <v>6279.78</v>
      </c>
      <c r="F15272" s="13" t="s">
        <v>70</v>
      </c>
      <c r="G15272" s="14">
        <v>44873</v>
      </c>
      <c r="H15272" s="13" t="s">
        <v>172</v>
      </c>
    </row>
    <row r="15273" spans="1:8" ht="14.4" x14ac:dyDescent="0.3">
      <c r="A15273" s="8">
        <v>3677337</v>
      </c>
      <c r="B15273" s="11">
        <v>44861</v>
      </c>
      <c r="C15273" s="13" t="s">
        <v>42</v>
      </c>
      <c r="D15273" s="13" t="s">
        <v>20031</v>
      </c>
      <c r="E15273" s="8">
        <v>2404.87</v>
      </c>
      <c r="F15273" s="13" t="s">
        <v>70</v>
      </c>
      <c r="G15273" s="14">
        <v>44873</v>
      </c>
      <c r="H15273" s="13" t="s">
        <v>172</v>
      </c>
    </row>
    <row r="15274" spans="1:8" ht="14.4" x14ac:dyDescent="0.3">
      <c r="A15274" s="8">
        <v>3677338</v>
      </c>
      <c r="B15274" s="11">
        <v>44861</v>
      </c>
      <c r="C15274" s="13" t="s">
        <v>20032</v>
      </c>
      <c r="D15274" s="13" t="s">
        <v>20033</v>
      </c>
      <c r="E15274" s="8">
        <v>1119.58</v>
      </c>
      <c r="F15274" s="13" t="s">
        <v>70</v>
      </c>
      <c r="G15274" s="14">
        <v>44872</v>
      </c>
      <c r="H15274" s="13" t="s">
        <v>172</v>
      </c>
    </row>
    <row r="15275" spans="1:8" ht="14.4" x14ac:dyDescent="0.3">
      <c r="A15275" s="8">
        <v>3677339</v>
      </c>
      <c r="B15275" s="11">
        <v>44861</v>
      </c>
      <c r="C15275" s="13" t="s">
        <v>19999</v>
      </c>
      <c r="D15275" s="13" t="s">
        <v>20034</v>
      </c>
      <c r="E15275" s="8">
        <v>8528.65</v>
      </c>
      <c r="F15275" s="13" t="s">
        <v>70</v>
      </c>
      <c r="G15275" s="14">
        <v>44872</v>
      </c>
      <c r="H15275" s="13" t="s">
        <v>172</v>
      </c>
    </row>
    <row r="15276" spans="1:8" ht="14.4" x14ac:dyDescent="0.3">
      <c r="A15276" s="8">
        <v>3677340</v>
      </c>
      <c r="B15276" s="11">
        <v>44861</v>
      </c>
      <c r="C15276" s="13" t="s">
        <v>19999</v>
      </c>
      <c r="D15276" s="13" t="s">
        <v>20035</v>
      </c>
      <c r="E15276" s="8">
        <v>362869.66</v>
      </c>
      <c r="F15276" s="13" t="s">
        <v>70</v>
      </c>
      <c r="G15276" s="14">
        <v>44872</v>
      </c>
      <c r="H15276" s="13" t="s">
        <v>172</v>
      </c>
    </row>
    <row r="15277" spans="1:8" ht="14.4" x14ac:dyDescent="0.3">
      <c r="A15277" s="8">
        <v>3677341</v>
      </c>
      <c r="B15277" s="11">
        <v>44861</v>
      </c>
      <c r="C15277" s="13" t="s">
        <v>19999</v>
      </c>
      <c r="D15277" s="13" t="s">
        <v>20036</v>
      </c>
      <c r="E15277" s="8">
        <v>28958.15</v>
      </c>
      <c r="F15277" s="13" t="s">
        <v>70</v>
      </c>
      <c r="G15277" s="14">
        <v>44872</v>
      </c>
      <c r="H15277" s="13" t="s">
        <v>172</v>
      </c>
    </row>
    <row r="15278" spans="1:8" ht="14.4" x14ac:dyDescent="0.3">
      <c r="A15278" s="8">
        <v>3677342</v>
      </c>
      <c r="B15278" s="11">
        <v>44861</v>
      </c>
      <c r="C15278" s="13" t="s">
        <v>19999</v>
      </c>
      <c r="D15278" s="13" t="s">
        <v>20037</v>
      </c>
      <c r="E15278" s="8">
        <v>707700.26</v>
      </c>
      <c r="F15278" s="13" t="s">
        <v>70</v>
      </c>
      <c r="G15278" s="14">
        <v>44872</v>
      </c>
      <c r="H15278" s="13" t="s">
        <v>172</v>
      </c>
    </row>
    <row r="15279" spans="1:8" ht="14.4" x14ac:dyDescent="0.3">
      <c r="A15279" s="8">
        <v>3677343</v>
      </c>
      <c r="B15279" s="11">
        <v>44861</v>
      </c>
      <c r="C15279" s="13" t="s">
        <v>43</v>
      </c>
      <c r="D15279" s="13" t="s">
        <v>20038</v>
      </c>
      <c r="E15279" s="8">
        <v>18785.41</v>
      </c>
      <c r="F15279" s="13" t="s">
        <v>70</v>
      </c>
      <c r="G15279" s="14">
        <v>44869</v>
      </c>
      <c r="H15279" s="13" t="s">
        <v>172</v>
      </c>
    </row>
    <row r="15280" spans="1:8" ht="14.4" x14ac:dyDescent="0.3">
      <c r="A15280" s="8">
        <v>3677344</v>
      </c>
      <c r="B15280" s="11">
        <v>44861</v>
      </c>
      <c r="C15280" s="13" t="s">
        <v>20039</v>
      </c>
      <c r="D15280" s="13" t="s">
        <v>20040</v>
      </c>
      <c r="E15280" s="8">
        <v>10000</v>
      </c>
      <c r="F15280" s="13" t="s">
        <v>70</v>
      </c>
      <c r="G15280" s="14">
        <v>44873</v>
      </c>
      <c r="H15280" s="13" t="s">
        <v>172</v>
      </c>
    </row>
    <row r="15281" spans="1:8" ht="14.4" x14ac:dyDescent="0.3">
      <c r="A15281" s="8">
        <v>3677345</v>
      </c>
      <c r="B15281" s="11">
        <v>44861</v>
      </c>
      <c r="C15281" s="13" t="s">
        <v>32</v>
      </c>
      <c r="D15281" s="13" t="s">
        <v>20041</v>
      </c>
      <c r="E15281" s="8">
        <v>156320.07999999999</v>
      </c>
      <c r="F15281" s="13" t="s">
        <v>70</v>
      </c>
      <c r="G15281" s="14">
        <v>44861</v>
      </c>
      <c r="H15281" s="13" t="s">
        <v>172</v>
      </c>
    </row>
    <row r="15282" spans="1:8" ht="14.4" x14ac:dyDescent="0.3">
      <c r="A15282" s="8">
        <v>3677346</v>
      </c>
      <c r="B15282" s="11">
        <v>44861</v>
      </c>
      <c r="C15282" s="13" t="s">
        <v>20042</v>
      </c>
      <c r="D15282" s="13" t="s">
        <v>20043</v>
      </c>
      <c r="E15282" s="8">
        <v>20000</v>
      </c>
      <c r="F15282" s="13" t="s">
        <v>70</v>
      </c>
      <c r="G15282" s="14">
        <v>44862</v>
      </c>
      <c r="H15282" s="13" t="s">
        <v>172</v>
      </c>
    </row>
    <row r="15283" spans="1:8" ht="14.4" x14ac:dyDescent="0.3">
      <c r="A15283" s="8">
        <v>3677347</v>
      </c>
      <c r="B15283" s="11">
        <v>44861</v>
      </c>
      <c r="C15283" s="13" t="s">
        <v>20044</v>
      </c>
      <c r="D15283" s="13" t="s">
        <v>20045</v>
      </c>
      <c r="E15283" s="8">
        <v>32727.35</v>
      </c>
      <c r="F15283" s="13" t="s">
        <v>70</v>
      </c>
      <c r="G15283" s="14">
        <v>44868</v>
      </c>
      <c r="H15283" s="13" t="s">
        <v>172</v>
      </c>
    </row>
    <row r="15284" spans="1:8" ht="14.4" x14ac:dyDescent="0.3">
      <c r="A15284" s="8">
        <v>3677348</v>
      </c>
      <c r="B15284" s="11">
        <v>44861</v>
      </c>
      <c r="C15284" s="13" t="s">
        <v>4011</v>
      </c>
      <c r="D15284" s="13" t="s">
        <v>20046</v>
      </c>
      <c r="E15284" s="8">
        <v>69215.25</v>
      </c>
      <c r="F15284" s="13" t="s">
        <v>70</v>
      </c>
      <c r="G15284" s="14">
        <v>44867</v>
      </c>
      <c r="H15284" s="13" t="s">
        <v>172</v>
      </c>
    </row>
    <row r="15285" spans="1:8" ht="14.4" x14ac:dyDescent="0.3">
      <c r="A15285" s="8">
        <v>3677349</v>
      </c>
      <c r="B15285" s="11">
        <v>44861</v>
      </c>
      <c r="C15285" s="13" t="s">
        <v>998</v>
      </c>
      <c r="D15285" s="13" t="s">
        <v>20047</v>
      </c>
      <c r="E15285" s="8">
        <v>67658</v>
      </c>
      <c r="F15285" s="13" t="s">
        <v>70</v>
      </c>
      <c r="G15285" s="14">
        <v>44862</v>
      </c>
      <c r="H15285" s="13" t="s">
        <v>172</v>
      </c>
    </row>
    <row r="15286" spans="1:8" ht="14.4" x14ac:dyDescent="0.3">
      <c r="A15286" s="8">
        <v>3677350</v>
      </c>
      <c r="B15286" s="11">
        <v>44861</v>
      </c>
      <c r="C15286" s="13" t="s">
        <v>4011</v>
      </c>
      <c r="D15286" s="13" t="s">
        <v>20048</v>
      </c>
      <c r="E15286" s="8">
        <v>21990</v>
      </c>
      <c r="F15286" s="13" t="s">
        <v>70</v>
      </c>
      <c r="G15286" s="14">
        <v>44867</v>
      </c>
      <c r="H15286" s="13" t="s">
        <v>172</v>
      </c>
    </row>
    <row r="15287" spans="1:8" ht="14.4" x14ac:dyDescent="0.3">
      <c r="A15287" s="8">
        <v>3677352</v>
      </c>
      <c r="B15287" s="11">
        <v>44861</v>
      </c>
      <c r="C15287" s="13" t="s">
        <v>20049</v>
      </c>
      <c r="D15287" s="13" t="s">
        <v>20050</v>
      </c>
      <c r="E15287" s="8">
        <v>150</v>
      </c>
      <c r="F15287" s="13" t="s">
        <v>70</v>
      </c>
      <c r="G15287" s="14">
        <v>44862</v>
      </c>
      <c r="H15287" s="13" t="s">
        <v>172</v>
      </c>
    </row>
    <row r="15288" spans="1:8" ht="14.4" x14ac:dyDescent="0.3">
      <c r="A15288" s="8">
        <v>3677353</v>
      </c>
      <c r="B15288" s="11">
        <v>44861</v>
      </c>
      <c r="C15288" s="13" t="s">
        <v>20049</v>
      </c>
      <c r="D15288" s="13" t="s">
        <v>20051</v>
      </c>
      <c r="E15288" s="8">
        <v>150</v>
      </c>
      <c r="F15288" s="13" t="s">
        <v>70</v>
      </c>
      <c r="G15288" s="14">
        <v>44862</v>
      </c>
      <c r="H15288" s="13" t="s">
        <v>172</v>
      </c>
    </row>
    <row r="15289" spans="1:8" ht="14.4" x14ac:dyDescent="0.3">
      <c r="A15289" s="8">
        <v>3677354</v>
      </c>
      <c r="B15289" s="11">
        <v>44861</v>
      </c>
      <c r="C15289" s="13" t="s">
        <v>697</v>
      </c>
      <c r="D15289" s="13" t="s">
        <v>20052</v>
      </c>
      <c r="E15289" s="8">
        <v>3690.85</v>
      </c>
      <c r="F15289" s="13" t="s">
        <v>70</v>
      </c>
      <c r="G15289" s="14">
        <v>44872</v>
      </c>
      <c r="H15289" s="13" t="s">
        <v>172</v>
      </c>
    </row>
    <row r="15290" spans="1:8" ht="14.4" x14ac:dyDescent="0.3">
      <c r="A15290" s="8">
        <v>3677355</v>
      </c>
      <c r="B15290" s="11">
        <v>44861</v>
      </c>
      <c r="C15290" s="13" t="s">
        <v>20053</v>
      </c>
      <c r="D15290" s="13" t="s">
        <v>20054</v>
      </c>
      <c r="E15290" s="8">
        <v>2198.46</v>
      </c>
      <c r="F15290" s="13" t="s">
        <v>70</v>
      </c>
      <c r="G15290" s="14">
        <v>44868</v>
      </c>
      <c r="H15290" s="13" t="s">
        <v>172</v>
      </c>
    </row>
    <row r="15291" spans="1:8" ht="14.4" x14ac:dyDescent="0.3">
      <c r="A15291" s="8">
        <v>3677356</v>
      </c>
      <c r="B15291" s="11">
        <v>44861</v>
      </c>
      <c r="C15291" s="13" t="s">
        <v>4011</v>
      </c>
      <c r="D15291" s="13" t="s">
        <v>20055</v>
      </c>
      <c r="E15291" s="8">
        <v>9376</v>
      </c>
      <c r="F15291" s="13" t="s">
        <v>70</v>
      </c>
      <c r="G15291" s="14">
        <v>44867</v>
      </c>
      <c r="H15291" s="13" t="s">
        <v>172</v>
      </c>
    </row>
    <row r="15292" spans="1:8" ht="14.4" x14ac:dyDescent="0.3">
      <c r="A15292" s="8">
        <v>3677357</v>
      </c>
      <c r="B15292" s="11">
        <v>44861</v>
      </c>
      <c r="C15292" s="13" t="s">
        <v>4011</v>
      </c>
      <c r="D15292" s="13" t="s">
        <v>20056</v>
      </c>
      <c r="E15292" s="8">
        <v>4000</v>
      </c>
      <c r="F15292" s="13" t="s">
        <v>70</v>
      </c>
      <c r="G15292" s="14">
        <v>44867</v>
      </c>
      <c r="H15292" s="13" t="s">
        <v>172</v>
      </c>
    </row>
    <row r="15293" spans="1:8" ht="14.4" x14ac:dyDescent="0.3">
      <c r="A15293" s="8">
        <v>3677358</v>
      </c>
      <c r="B15293" s="11">
        <v>44861</v>
      </c>
      <c r="C15293" s="13" t="s">
        <v>19999</v>
      </c>
      <c r="D15293" s="13" t="s">
        <v>20057</v>
      </c>
      <c r="E15293" s="8">
        <v>71227.89</v>
      </c>
      <c r="F15293" s="13" t="s">
        <v>70</v>
      </c>
      <c r="G15293" s="14">
        <v>44872</v>
      </c>
      <c r="H15293" s="13" t="s">
        <v>172</v>
      </c>
    </row>
    <row r="15294" spans="1:8" ht="14.4" x14ac:dyDescent="0.3">
      <c r="A15294" s="8">
        <v>3677359</v>
      </c>
      <c r="B15294" s="11">
        <v>44861</v>
      </c>
      <c r="C15294" s="13" t="s">
        <v>19999</v>
      </c>
      <c r="D15294" s="13" t="s">
        <v>20058</v>
      </c>
      <c r="E15294" s="8">
        <v>30001.279999999999</v>
      </c>
      <c r="F15294" s="13" t="s">
        <v>70</v>
      </c>
      <c r="G15294" s="14">
        <v>44872</v>
      </c>
      <c r="H15294" s="13" t="s">
        <v>172</v>
      </c>
    </row>
    <row r="15295" spans="1:8" ht="14.4" x14ac:dyDescent="0.3">
      <c r="A15295" s="8">
        <v>7550801</v>
      </c>
      <c r="B15295" s="11">
        <v>44600</v>
      </c>
      <c r="C15295" s="13" t="s">
        <v>20059</v>
      </c>
      <c r="D15295" s="13" t="s">
        <v>7327</v>
      </c>
      <c r="E15295" s="8">
        <v>11000</v>
      </c>
      <c r="F15295" s="13" t="s">
        <v>70</v>
      </c>
      <c r="G15295" s="14">
        <v>44603</v>
      </c>
      <c r="H15295" s="13" t="s">
        <v>20060</v>
      </c>
    </row>
    <row r="15296" spans="1:8" ht="14.4" x14ac:dyDescent="0.3">
      <c r="A15296" s="8">
        <v>7550802</v>
      </c>
      <c r="B15296" s="11">
        <v>44600</v>
      </c>
      <c r="C15296" s="13" t="s">
        <v>3453</v>
      </c>
      <c r="D15296" s="13" t="s">
        <v>7327</v>
      </c>
      <c r="E15296" s="8">
        <v>11000</v>
      </c>
      <c r="F15296" s="13" t="s">
        <v>70</v>
      </c>
      <c r="G15296" s="14">
        <v>44603</v>
      </c>
      <c r="H15296" s="13" t="s">
        <v>20060</v>
      </c>
    </row>
    <row r="15297" spans="1:8" ht="14.4" x14ac:dyDescent="0.3">
      <c r="A15297" s="8">
        <v>7550803</v>
      </c>
      <c r="B15297" s="11">
        <v>44600</v>
      </c>
      <c r="C15297" s="13" t="s">
        <v>20061</v>
      </c>
      <c r="D15297" s="13" t="s">
        <v>20062</v>
      </c>
      <c r="E15297" s="8">
        <v>12500</v>
      </c>
      <c r="F15297" s="13" t="s">
        <v>70</v>
      </c>
      <c r="G15297" s="14">
        <v>44610</v>
      </c>
      <c r="H15297" s="13" t="s">
        <v>20060</v>
      </c>
    </row>
    <row r="15298" spans="1:8" ht="14.4" x14ac:dyDescent="0.3">
      <c r="A15298" s="8">
        <v>7550804</v>
      </c>
      <c r="B15298" s="11">
        <v>44600</v>
      </c>
      <c r="C15298" s="13" t="s">
        <v>20063</v>
      </c>
      <c r="D15298" s="13" t="s">
        <v>20062</v>
      </c>
      <c r="E15298" s="8">
        <v>12500</v>
      </c>
      <c r="F15298" s="13" t="s">
        <v>70</v>
      </c>
      <c r="G15298" s="14">
        <v>44606</v>
      </c>
      <c r="H15298" s="13" t="s">
        <v>20060</v>
      </c>
    </row>
    <row r="15299" spans="1:8" ht="14.4" x14ac:dyDescent="0.3">
      <c r="A15299" s="8">
        <v>7550805</v>
      </c>
      <c r="B15299" s="11">
        <v>44600</v>
      </c>
      <c r="C15299" s="13" t="s">
        <v>20064</v>
      </c>
      <c r="D15299" s="13" t="s">
        <v>20062</v>
      </c>
      <c r="E15299" s="8">
        <v>12500</v>
      </c>
      <c r="F15299" s="13" t="s">
        <v>70</v>
      </c>
      <c r="G15299" s="14">
        <v>44606</v>
      </c>
      <c r="H15299" s="13" t="s">
        <v>20060</v>
      </c>
    </row>
    <row r="15300" spans="1:8" ht="14.4" x14ac:dyDescent="0.3">
      <c r="A15300" s="8">
        <v>7550806</v>
      </c>
      <c r="B15300" s="11">
        <v>44600</v>
      </c>
      <c r="C15300" s="13" t="s">
        <v>20065</v>
      </c>
      <c r="D15300" s="13" t="s">
        <v>20062</v>
      </c>
      <c r="E15300" s="8">
        <v>12500</v>
      </c>
      <c r="F15300" s="13" t="s">
        <v>70</v>
      </c>
      <c r="G15300" s="14">
        <v>44603</v>
      </c>
      <c r="H15300" s="13" t="s">
        <v>20060</v>
      </c>
    </row>
    <row r="15301" spans="1:8" ht="14.4" x14ac:dyDescent="0.3">
      <c r="A15301" s="8">
        <v>7550807</v>
      </c>
      <c r="B15301" s="11">
        <v>44600</v>
      </c>
      <c r="C15301" s="13" t="s">
        <v>20066</v>
      </c>
      <c r="D15301" s="13" t="s">
        <v>20062</v>
      </c>
      <c r="E15301" s="8">
        <v>12500</v>
      </c>
      <c r="F15301" s="13" t="s">
        <v>70</v>
      </c>
      <c r="G15301" s="14">
        <v>44603</v>
      </c>
      <c r="H15301" s="13" t="s">
        <v>20060</v>
      </c>
    </row>
    <row r="15302" spans="1:8" ht="14.4" x14ac:dyDescent="0.3">
      <c r="A15302" s="8">
        <v>7550808</v>
      </c>
      <c r="B15302" s="11">
        <v>44600</v>
      </c>
      <c r="C15302" s="13" t="s">
        <v>20067</v>
      </c>
      <c r="D15302" s="13" t="s">
        <v>20062</v>
      </c>
      <c r="E15302" s="8">
        <v>12500</v>
      </c>
      <c r="F15302" s="13" t="s">
        <v>70</v>
      </c>
      <c r="G15302" s="14">
        <v>44603</v>
      </c>
      <c r="H15302" s="13" t="s">
        <v>20060</v>
      </c>
    </row>
    <row r="15303" spans="1:8" ht="14.4" x14ac:dyDescent="0.3">
      <c r="A15303" s="8">
        <v>7550809</v>
      </c>
      <c r="B15303" s="11">
        <v>44600</v>
      </c>
      <c r="C15303" s="13" t="s">
        <v>20068</v>
      </c>
      <c r="D15303" s="13" t="s">
        <v>20069</v>
      </c>
      <c r="E15303" s="8">
        <v>11000</v>
      </c>
      <c r="F15303" s="13" t="s">
        <v>70</v>
      </c>
      <c r="G15303" s="14">
        <v>44603</v>
      </c>
      <c r="H15303" s="13" t="s">
        <v>20060</v>
      </c>
    </row>
    <row r="15304" spans="1:8" ht="14.4" x14ac:dyDescent="0.3">
      <c r="A15304" s="8">
        <v>7550810</v>
      </c>
      <c r="B15304" s="11">
        <v>44600</v>
      </c>
      <c r="C15304" s="13" t="s">
        <v>20070</v>
      </c>
      <c r="D15304" s="13" t="s">
        <v>20071</v>
      </c>
      <c r="E15304" s="8">
        <v>11000</v>
      </c>
      <c r="F15304" s="13" t="s">
        <v>70</v>
      </c>
      <c r="G15304" s="14">
        <v>44603</v>
      </c>
      <c r="H15304" s="13" t="s">
        <v>20060</v>
      </c>
    </row>
    <row r="15305" spans="1:8" ht="14.4" x14ac:dyDescent="0.3">
      <c r="A15305" s="8">
        <v>7550811</v>
      </c>
      <c r="B15305" s="11">
        <v>44600</v>
      </c>
      <c r="C15305" s="13" t="s">
        <v>20072</v>
      </c>
      <c r="D15305" s="13" t="s">
        <v>20073</v>
      </c>
      <c r="E15305" s="8">
        <v>11000</v>
      </c>
      <c r="F15305" s="13" t="s">
        <v>70</v>
      </c>
      <c r="G15305" s="14">
        <v>44603</v>
      </c>
      <c r="H15305" s="13" t="s">
        <v>20060</v>
      </c>
    </row>
    <row r="15306" spans="1:8" ht="14.4" x14ac:dyDescent="0.3">
      <c r="A15306" s="8">
        <v>7550812</v>
      </c>
      <c r="B15306" s="11">
        <v>44600</v>
      </c>
      <c r="C15306" s="13" t="s">
        <v>20074</v>
      </c>
      <c r="D15306" s="13" t="s">
        <v>7327</v>
      </c>
      <c r="E15306" s="8">
        <v>11000</v>
      </c>
      <c r="F15306" s="13" t="s">
        <v>70</v>
      </c>
      <c r="G15306" s="14">
        <v>44603</v>
      </c>
      <c r="H15306" s="13" t="s">
        <v>20060</v>
      </c>
    </row>
    <row r="15307" spans="1:8" ht="14.4" x14ac:dyDescent="0.3">
      <c r="A15307" s="8">
        <v>7550813</v>
      </c>
      <c r="B15307" s="11">
        <v>44600</v>
      </c>
      <c r="C15307" s="13" t="s">
        <v>20075</v>
      </c>
      <c r="D15307" s="13" t="s">
        <v>7327</v>
      </c>
      <c r="E15307" s="8">
        <v>11000</v>
      </c>
      <c r="F15307" s="13" t="s">
        <v>70</v>
      </c>
      <c r="G15307" s="14">
        <v>44606</v>
      </c>
      <c r="H15307" s="13" t="s">
        <v>20060</v>
      </c>
    </row>
    <row r="15308" spans="1:8" ht="14.4" x14ac:dyDescent="0.3">
      <c r="A15308" s="8">
        <v>7550814</v>
      </c>
      <c r="B15308" s="11">
        <v>44600</v>
      </c>
      <c r="C15308" s="13" t="s">
        <v>20076</v>
      </c>
      <c r="D15308" s="13" t="s">
        <v>7327</v>
      </c>
      <c r="E15308" s="8">
        <v>11000</v>
      </c>
      <c r="F15308" s="13" t="s">
        <v>70</v>
      </c>
      <c r="G15308" s="14">
        <v>44634</v>
      </c>
      <c r="H15308" s="13" t="s">
        <v>20060</v>
      </c>
    </row>
    <row r="15309" spans="1:8" ht="14.4" x14ac:dyDescent="0.3">
      <c r="A15309" s="8">
        <v>7550815</v>
      </c>
      <c r="B15309" s="11">
        <v>44600</v>
      </c>
      <c r="C15309" s="13" t="s">
        <v>20077</v>
      </c>
      <c r="D15309" s="13" t="s">
        <v>7327</v>
      </c>
      <c r="E15309" s="8">
        <v>11000</v>
      </c>
      <c r="F15309" s="13" t="s">
        <v>70</v>
      </c>
      <c r="G15309" s="14">
        <v>44603</v>
      </c>
      <c r="H15309" s="13" t="s">
        <v>20060</v>
      </c>
    </row>
    <row r="15310" spans="1:8" ht="14.4" x14ac:dyDescent="0.3">
      <c r="A15310" s="8">
        <v>7550816</v>
      </c>
      <c r="B15310" s="11">
        <v>44600</v>
      </c>
      <c r="C15310" s="13" t="s">
        <v>20078</v>
      </c>
      <c r="D15310" s="13" t="s">
        <v>7327</v>
      </c>
      <c r="E15310" s="8">
        <v>11000</v>
      </c>
      <c r="F15310" s="13" t="s">
        <v>70</v>
      </c>
      <c r="G15310" s="14">
        <v>44603</v>
      </c>
      <c r="H15310" s="13" t="s">
        <v>20060</v>
      </c>
    </row>
    <row r="15311" spans="1:8" ht="14.4" x14ac:dyDescent="0.3">
      <c r="A15311" s="8">
        <v>7550817</v>
      </c>
      <c r="B15311" s="11">
        <v>44600</v>
      </c>
      <c r="C15311" s="13" t="s">
        <v>20079</v>
      </c>
      <c r="D15311" s="13" t="s">
        <v>20071</v>
      </c>
      <c r="E15311" s="8">
        <v>11000</v>
      </c>
      <c r="F15311" s="13" t="s">
        <v>70</v>
      </c>
      <c r="G15311" s="14">
        <v>44603</v>
      </c>
      <c r="H15311" s="13" t="s">
        <v>20060</v>
      </c>
    </row>
    <row r="15312" spans="1:8" ht="14.4" x14ac:dyDescent="0.3">
      <c r="A15312" s="8">
        <v>7550818</v>
      </c>
      <c r="B15312" s="11">
        <v>44600</v>
      </c>
      <c r="C15312" s="13" t="s">
        <v>20080</v>
      </c>
      <c r="D15312" s="13" t="s">
        <v>20081</v>
      </c>
      <c r="E15312" s="8">
        <v>12500</v>
      </c>
      <c r="F15312" s="13" t="s">
        <v>70</v>
      </c>
      <c r="G15312" s="14">
        <v>44613</v>
      </c>
      <c r="H15312" s="13" t="s">
        <v>20060</v>
      </c>
    </row>
    <row r="15313" spans="1:8" ht="14.4" x14ac:dyDescent="0.3">
      <c r="A15313" s="8">
        <v>7550819</v>
      </c>
      <c r="B15313" s="11">
        <v>44600</v>
      </c>
      <c r="C15313" s="13" t="s">
        <v>20082</v>
      </c>
      <c r="D15313" s="13" t="s">
        <v>20062</v>
      </c>
      <c r="E15313" s="8">
        <v>12500</v>
      </c>
      <c r="F15313" s="13" t="s">
        <v>70</v>
      </c>
      <c r="G15313" s="14">
        <v>44603</v>
      </c>
      <c r="H15313" s="13" t="s">
        <v>20060</v>
      </c>
    </row>
    <row r="15314" spans="1:8" ht="14.4" x14ac:dyDescent="0.3">
      <c r="A15314" s="8">
        <v>7550820</v>
      </c>
      <c r="B15314" s="11">
        <v>44600</v>
      </c>
      <c r="C15314" s="13" t="s">
        <v>2453</v>
      </c>
      <c r="D15314" s="13" t="s">
        <v>20083</v>
      </c>
      <c r="E15314" s="8">
        <v>85000</v>
      </c>
      <c r="F15314" s="13" t="s">
        <v>70</v>
      </c>
      <c r="G15314" s="14">
        <v>44606</v>
      </c>
      <c r="H15314" s="13" t="s">
        <v>20060</v>
      </c>
    </row>
    <row r="15315" spans="1:8" ht="14.4" x14ac:dyDescent="0.3">
      <c r="A15315" s="8">
        <v>7550821</v>
      </c>
      <c r="B15315" s="11">
        <v>44600</v>
      </c>
      <c r="C15315" s="13" t="s">
        <v>2380</v>
      </c>
      <c r="D15315" s="13" t="s">
        <v>20084</v>
      </c>
      <c r="E15315" s="8">
        <v>300000</v>
      </c>
      <c r="F15315" s="13" t="s">
        <v>70</v>
      </c>
      <c r="G15315" s="14">
        <v>44607</v>
      </c>
      <c r="H15315" s="13" t="s">
        <v>20060</v>
      </c>
    </row>
    <row r="15316" spans="1:8" ht="14.4" x14ac:dyDescent="0.3">
      <c r="A15316" s="8">
        <v>7550822</v>
      </c>
      <c r="B15316" s="11">
        <v>44600</v>
      </c>
      <c r="C15316" s="13" t="s">
        <v>2382</v>
      </c>
      <c r="D15316" s="13" t="s">
        <v>20085</v>
      </c>
      <c r="E15316" s="8">
        <v>88000</v>
      </c>
      <c r="F15316" s="13" t="s">
        <v>70</v>
      </c>
      <c r="G15316" s="14">
        <v>44613</v>
      </c>
      <c r="H15316" s="13" t="s">
        <v>20060</v>
      </c>
    </row>
    <row r="15317" spans="1:8" ht="14.4" x14ac:dyDescent="0.3">
      <c r="A15317" s="8">
        <v>7550823</v>
      </c>
      <c r="B15317" s="11">
        <v>44600</v>
      </c>
      <c r="C15317" s="13" t="s">
        <v>2388</v>
      </c>
      <c r="D15317" s="13" t="s">
        <v>20086</v>
      </c>
      <c r="E15317" s="8">
        <v>66000</v>
      </c>
      <c r="F15317" s="13" t="s">
        <v>70</v>
      </c>
      <c r="G15317" s="14">
        <v>44606</v>
      </c>
      <c r="H15317" s="13" t="s">
        <v>20060</v>
      </c>
    </row>
    <row r="15318" spans="1:8" ht="14.4" x14ac:dyDescent="0.3">
      <c r="A15318" s="8">
        <v>7550824</v>
      </c>
      <c r="B15318" s="11">
        <v>44600</v>
      </c>
      <c r="C15318" s="13" t="s">
        <v>2384</v>
      </c>
      <c r="D15318" s="13" t="s">
        <v>20087</v>
      </c>
      <c r="E15318" s="8">
        <v>117000</v>
      </c>
      <c r="F15318" s="13" t="s">
        <v>70</v>
      </c>
      <c r="G15318" s="14">
        <v>44607</v>
      </c>
      <c r="H15318" s="13" t="s">
        <v>20060</v>
      </c>
    </row>
    <row r="15319" spans="1:8" ht="14.4" x14ac:dyDescent="0.3">
      <c r="A15319" s="8">
        <v>7550825</v>
      </c>
      <c r="B15319" s="11">
        <v>44600</v>
      </c>
      <c r="C15319" s="13" t="s">
        <v>2386</v>
      </c>
      <c r="D15319" s="13" t="s">
        <v>20088</v>
      </c>
      <c r="E15319" s="8">
        <v>112000</v>
      </c>
      <c r="F15319" s="13" t="s">
        <v>70</v>
      </c>
      <c r="G15319" s="14">
        <v>44610</v>
      </c>
      <c r="H15319" s="13" t="s">
        <v>20060</v>
      </c>
    </row>
    <row r="15320" spans="1:8" ht="14.4" x14ac:dyDescent="0.3">
      <c r="A15320" s="8">
        <v>7550826</v>
      </c>
      <c r="B15320" s="11">
        <v>44600</v>
      </c>
      <c r="C15320" s="13" t="s">
        <v>20065</v>
      </c>
      <c r="D15320" s="13" t="s">
        <v>20089</v>
      </c>
      <c r="E15320" s="8">
        <v>12500</v>
      </c>
      <c r="F15320" s="13" t="s">
        <v>70</v>
      </c>
      <c r="G15320" s="14">
        <v>44603</v>
      </c>
      <c r="H15320" s="13" t="s">
        <v>20060</v>
      </c>
    </row>
    <row r="15321" spans="1:8" ht="14.4" x14ac:dyDescent="0.3">
      <c r="A15321" s="8">
        <v>7550827</v>
      </c>
      <c r="B15321" s="11">
        <v>44600</v>
      </c>
      <c r="C15321" s="13" t="s">
        <v>20090</v>
      </c>
      <c r="D15321" s="13" t="s">
        <v>7327</v>
      </c>
      <c r="E15321" s="8">
        <v>11000</v>
      </c>
      <c r="F15321" s="13" t="s">
        <v>70</v>
      </c>
      <c r="G15321" s="14">
        <v>44603</v>
      </c>
      <c r="H15321" s="13" t="s">
        <v>20060</v>
      </c>
    </row>
    <row r="15322" spans="1:8" ht="14.4" x14ac:dyDescent="0.3">
      <c r="A15322" s="8">
        <v>7550828</v>
      </c>
      <c r="B15322" s="11">
        <v>44600</v>
      </c>
      <c r="C15322" s="13" t="s">
        <v>20091</v>
      </c>
      <c r="D15322" s="13" t="s">
        <v>7327</v>
      </c>
      <c r="E15322" s="8">
        <v>11000</v>
      </c>
      <c r="F15322" s="13" t="s">
        <v>70</v>
      </c>
      <c r="G15322" s="14">
        <v>44603</v>
      </c>
      <c r="H15322" s="13" t="s">
        <v>20060</v>
      </c>
    </row>
    <row r="15323" spans="1:8" ht="14.4" x14ac:dyDescent="0.3">
      <c r="A15323" s="8">
        <v>7550829</v>
      </c>
      <c r="B15323" s="11">
        <v>44600</v>
      </c>
      <c r="C15323" s="13" t="s">
        <v>20092</v>
      </c>
      <c r="D15323" s="13" t="s">
        <v>7327</v>
      </c>
      <c r="E15323" s="8">
        <v>11000</v>
      </c>
      <c r="F15323" s="13" t="s">
        <v>70</v>
      </c>
      <c r="G15323" s="14">
        <v>44603</v>
      </c>
      <c r="H15323" s="13" t="s">
        <v>20060</v>
      </c>
    </row>
    <row r="15324" spans="1:8" ht="14.4" x14ac:dyDescent="0.3">
      <c r="A15324" s="8">
        <v>7550830</v>
      </c>
      <c r="B15324" s="11">
        <v>44600</v>
      </c>
      <c r="C15324" s="13" t="s">
        <v>2450</v>
      </c>
      <c r="D15324" s="13" t="s">
        <v>20093</v>
      </c>
      <c r="E15324" s="8">
        <v>158100</v>
      </c>
      <c r="F15324" s="13" t="s">
        <v>70</v>
      </c>
      <c r="G15324" s="14">
        <v>44606</v>
      </c>
      <c r="H15324" s="13" t="s">
        <v>20060</v>
      </c>
    </row>
    <row r="15325" spans="1:8" ht="14.4" x14ac:dyDescent="0.3">
      <c r="A15325" s="8">
        <v>7550831</v>
      </c>
      <c r="B15325" s="11">
        <v>44600</v>
      </c>
      <c r="C15325" s="13" t="s">
        <v>20094</v>
      </c>
      <c r="D15325" s="13" t="s">
        <v>20095</v>
      </c>
      <c r="E15325" s="8">
        <v>5000</v>
      </c>
      <c r="F15325" s="13" t="s">
        <v>70</v>
      </c>
      <c r="G15325" s="14">
        <v>44606</v>
      </c>
      <c r="H15325" s="13" t="s">
        <v>20060</v>
      </c>
    </row>
    <row r="15326" spans="1:8" ht="14.4" x14ac:dyDescent="0.3">
      <c r="A15326" s="8">
        <v>7550832</v>
      </c>
      <c r="B15326" s="11">
        <v>44600</v>
      </c>
      <c r="C15326" s="13" t="s">
        <v>20096</v>
      </c>
      <c r="D15326" s="13" t="s">
        <v>20095</v>
      </c>
      <c r="E15326" s="8">
        <v>5000</v>
      </c>
      <c r="F15326" s="13" t="s">
        <v>70</v>
      </c>
      <c r="G15326" s="14">
        <v>44603</v>
      </c>
      <c r="H15326" s="13" t="s">
        <v>20060</v>
      </c>
    </row>
    <row r="15327" spans="1:8" ht="14.4" x14ac:dyDescent="0.3">
      <c r="A15327" s="8">
        <v>7550833</v>
      </c>
      <c r="B15327" s="11">
        <v>44600</v>
      </c>
      <c r="C15327" s="13" t="s">
        <v>20097</v>
      </c>
      <c r="D15327" s="13" t="s">
        <v>20095</v>
      </c>
      <c r="E15327" s="8">
        <v>5000</v>
      </c>
      <c r="F15327" s="13" t="s">
        <v>70</v>
      </c>
      <c r="G15327" s="14">
        <v>44603</v>
      </c>
      <c r="H15327" s="13" t="s">
        <v>20060</v>
      </c>
    </row>
    <row r="15328" spans="1:8" ht="14.4" x14ac:dyDescent="0.3">
      <c r="A15328" s="8">
        <v>7550834</v>
      </c>
      <c r="B15328" s="11">
        <v>44600</v>
      </c>
      <c r="C15328" s="13" t="s">
        <v>20098</v>
      </c>
      <c r="D15328" s="13" t="s">
        <v>20095</v>
      </c>
      <c r="E15328" s="8">
        <v>5000</v>
      </c>
      <c r="F15328" s="13" t="s">
        <v>70</v>
      </c>
      <c r="G15328" s="14">
        <v>44603</v>
      </c>
      <c r="H15328" s="13" t="s">
        <v>20060</v>
      </c>
    </row>
    <row r="15329" spans="1:8" ht="14.4" x14ac:dyDescent="0.3">
      <c r="A15329" s="8">
        <v>7550835</v>
      </c>
      <c r="B15329" s="11">
        <v>44600</v>
      </c>
      <c r="C15329" s="13" t="s">
        <v>20099</v>
      </c>
      <c r="D15329" s="13" t="s">
        <v>20095</v>
      </c>
      <c r="E15329" s="8">
        <v>5000</v>
      </c>
      <c r="F15329" s="13" t="s">
        <v>70</v>
      </c>
      <c r="G15329" s="14">
        <v>44603</v>
      </c>
      <c r="H15329" s="13" t="s">
        <v>20060</v>
      </c>
    </row>
    <row r="15330" spans="1:8" ht="14.4" x14ac:dyDescent="0.3">
      <c r="A15330" s="8">
        <v>7550837</v>
      </c>
      <c r="B15330" s="11">
        <v>44600</v>
      </c>
      <c r="C15330" s="13" t="s">
        <v>20100</v>
      </c>
      <c r="D15330" s="13" t="s">
        <v>7244</v>
      </c>
      <c r="E15330" s="8">
        <v>5000</v>
      </c>
      <c r="F15330" s="13" t="s">
        <v>70</v>
      </c>
      <c r="G15330" s="14">
        <v>44603</v>
      </c>
      <c r="H15330" s="13" t="s">
        <v>20060</v>
      </c>
    </row>
    <row r="15331" spans="1:8" ht="14.4" x14ac:dyDescent="0.3">
      <c r="A15331" s="8">
        <v>7550838</v>
      </c>
      <c r="B15331" s="11">
        <v>44600</v>
      </c>
      <c r="C15331" s="13" t="s">
        <v>2450</v>
      </c>
      <c r="D15331" s="13" t="s">
        <v>20101</v>
      </c>
      <c r="E15331" s="8">
        <v>214500</v>
      </c>
      <c r="F15331" s="13" t="s">
        <v>70</v>
      </c>
      <c r="G15331" s="14">
        <v>44606</v>
      </c>
      <c r="H15331" s="13" t="s">
        <v>20060</v>
      </c>
    </row>
    <row r="15332" spans="1:8" ht="14.4" x14ac:dyDescent="0.3">
      <c r="A15332" s="8">
        <v>7550839</v>
      </c>
      <c r="B15332" s="11">
        <v>44600</v>
      </c>
      <c r="C15332" s="13" t="s">
        <v>2450</v>
      </c>
      <c r="D15332" s="13" t="s">
        <v>20102</v>
      </c>
      <c r="E15332" s="8">
        <v>364500</v>
      </c>
      <c r="F15332" s="13" t="s">
        <v>70</v>
      </c>
      <c r="G15332" s="14">
        <v>44606</v>
      </c>
      <c r="H15332" s="13" t="s">
        <v>20060</v>
      </c>
    </row>
    <row r="15333" spans="1:8" ht="14.4" x14ac:dyDescent="0.3">
      <c r="A15333" s="8">
        <v>7550840</v>
      </c>
      <c r="B15333" s="11">
        <v>44600</v>
      </c>
      <c r="C15333" s="13" t="s">
        <v>2450</v>
      </c>
      <c r="D15333" s="13" t="s">
        <v>20103</v>
      </c>
      <c r="E15333" s="8">
        <v>448500</v>
      </c>
      <c r="F15333" s="13" t="s">
        <v>70</v>
      </c>
      <c r="G15333" s="14">
        <v>44606</v>
      </c>
      <c r="H15333" s="13" t="s">
        <v>20060</v>
      </c>
    </row>
    <row r="15334" spans="1:8" ht="14.4" x14ac:dyDescent="0.3">
      <c r="A15334" s="8">
        <v>7550841</v>
      </c>
      <c r="B15334" s="11">
        <v>44600</v>
      </c>
      <c r="C15334" s="13" t="s">
        <v>20104</v>
      </c>
      <c r="D15334" s="13" t="s">
        <v>20095</v>
      </c>
      <c r="E15334" s="8">
        <v>5000</v>
      </c>
      <c r="F15334" s="13" t="s">
        <v>70</v>
      </c>
      <c r="G15334" s="14">
        <v>44602</v>
      </c>
      <c r="H15334" s="13" t="s">
        <v>20060</v>
      </c>
    </row>
    <row r="15335" spans="1:8" ht="14.4" x14ac:dyDescent="0.3">
      <c r="A15335" s="8">
        <v>7550842</v>
      </c>
      <c r="B15335" s="11">
        <v>44601</v>
      </c>
      <c r="C15335" s="13" t="s">
        <v>20105</v>
      </c>
      <c r="D15335" s="13" t="s">
        <v>20071</v>
      </c>
      <c r="E15335" s="8">
        <v>11000</v>
      </c>
      <c r="F15335" s="13" t="s">
        <v>70</v>
      </c>
      <c r="G15335" s="14">
        <v>44614</v>
      </c>
      <c r="H15335" s="13" t="s">
        <v>20060</v>
      </c>
    </row>
    <row r="15336" spans="1:8" ht="14.4" x14ac:dyDescent="0.3">
      <c r="A15336" s="8">
        <v>7550843</v>
      </c>
      <c r="B15336" s="11">
        <v>44603</v>
      </c>
      <c r="C15336" s="13" t="s">
        <v>20106</v>
      </c>
      <c r="D15336" s="13" t="s">
        <v>20107</v>
      </c>
      <c r="E15336" s="8">
        <v>5000</v>
      </c>
      <c r="F15336" s="13" t="s">
        <v>70</v>
      </c>
      <c r="G15336" s="14">
        <v>44616</v>
      </c>
      <c r="H15336" s="13" t="s">
        <v>20060</v>
      </c>
    </row>
    <row r="15337" spans="1:8" ht="14.4" x14ac:dyDescent="0.3">
      <c r="A15337" s="8">
        <v>7550844</v>
      </c>
      <c r="B15337" s="11">
        <v>44613</v>
      </c>
      <c r="C15337" s="13" t="s">
        <v>20108</v>
      </c>
      <c r="D15337" s="13" t="s">
        <v>20109</v>
      </c>
      <c r="E15337" s="8">
        <v>11000</v>
      </c>
      <c r="F15337" s="13" t="s">
        <v>70</v>
      </c>
      <c r="G15337" s="14">
        <v>44615</v>
      </c>
      <c r="H15337" s="13" t="s">
        <v>20060</v>
      </c>
    </row>
    <row r="15338" spans="1:8" ht="14.4" x14ac:dyDescent="0.3">
      <c r="A15338" s="8">
        <v>7550845</v>
      </c>
      <c r="B15338" s="11">
        <v>44613</v>
      </c>
      <c r="C15338" s="13" t="s">
        <v>20110</v>
      </c>
      <c r="D15338" s="13" t="s">
        <v>20111</v>
      </c>
      <c r="E15338" s="8">
        <v>11000</v>
      </c>
      <c r="F15338" s="13" t="s">
        <v>70</v>
      </c>
      <c r="G15338" s="14">
        <v>44616</v>
      </c>
      <c r="H15338" s="13" t="s">
        <v>20060</v>
      </c>
    </row>
    <row r="15339" spans="1:8" ht="14.4" x14ac:dyDescent="0.3">
      <c r="A15339" s="8">
        <v>7550846</v>
      </c>
      <c r="B15339" s="11">
        <v>44613</v>
      </c>
      <c r="C15339" s="13" t="s">
        <v>20112</v>
      </c>
      <c r="D15339" s="13" t="s">
        <v>20111</v>
      </c>
      <c r="E15339" s="8">
        <v>11000</v>
      </c>
      <c r="F15339" s="13" t="s">
        <v>70</v>
      </c>
      <c r="G15339" s="14">
        <v>44628</v>
      </c>
      <c r="H15339" s="13" t="s">
        <v>20060</v>
      </c>
    </row>
    <row r="15340" spans="1:8" ht="14.4" x14ac:dyDescent="0.3">
      <c r="A15340" s="8">
        <v>7550847</v>
      </c>
      <c r="B15340" s="11">
        <v>44613</v>
      </c>
      <c r="C15340" s="13" t="s">
        <v>20113</v>
      </c>
      <c r="D15340" s="13" t="s">
        <v>20111</v>
      </c>
      <c r="E15340" s="8">
        <v>11000</v>
      </c>
      <c r="F15340" s="13" t="s">
        <v>70</v>
      </c>
      <c r="G15340" s="14">
        <v>44615</v>
      </c>
      <c r="H15340" s="13" t="s">
        <v>20060</v>
      </c>
    </row>
    <row r="15341" spans="1:8" ht="14.4" x14ac:dyDescent="0.3">
      <c r="A15341" s="8">
        <v>7550848</v>
      </c>
      <c r="B15341" s="11">
        <v>44613</v>
      </c>
      <c r="C15341" s="13" t="s">
        <v>20114</v>
      </c>
      <c r="D15341" s="13" t="s">
        <v>20115</v>
      </c>
      <c r="E15341" s="8">
        <v>12500</v>
      </c>
      <c r="F15341" s="13" t="s">
        <v>70</v>
      </c>
      <c r="G15341" s="14">
        <v>44616</v>
      </c>
      <c r="H15341" s="13" t="s">
        <v>20060</v>
      </c>
    </row>
    <row r="15342" spans="1:8" ht="14.4" x14ac:dyDescent="0.3">
      <c r="A15342" s="8">
        <v>7550849</v>
      </c>
      <c r="B15342" s="11">
        <v>44613</v>
      </c>
      <c r="C15342" s="13" t="s">
        <v>20116</v>
      </c>
      <c r="D15342" s="13" t="s">
        <v>20109</v>
      </c>
      <c r="E15342" s="8">
        <v>11000</v>
      </c>
      <c r="F15342" s="13" t="s">
        <v>70</v>
      </c>
      <c r="G15342" s="14">
        <v>44615</v>
      </c>
      <c r="H15342" s="13" t="s">
        <v>20060</v>
      </c>
    </row>
    <row r="15343" spans="1:8" ht="14.4" x14ac:dyDescent="0.3">
      <c r="A15343" s="8">
        <v>7550850</v>
      </c>
      <c r="B15343" s="11">
        <v>44621</v>
      </c>
      <c r="C15343" s="13" t="s">
        <v>20117</v>
      </c>
      <c r="D15343" s="13" t="s">
        <v>20095</v>
      </c>
      <c r="E15343" s="8">
        <v>5000</v>
      </c>
      <c r="F15343" s="13" t="s">
        <v>70</v>
      </c>
      <c r="G15343" s="14">
        <v>44623</v>
      </c>
      <c r="H15343" s="13" t="s">
        <v>20060</v>
      </c>
    </row>
    <row r="15344" spans="1:8" ht="14.4" x14ac:dyDescent="0.3">
      <c r="A15344" s="8">
        <v>7550851</v>
      </c>
      <c r="B15344" s="11">
        <v>44621</v>
      </c>
      <c r="C15344" s="13" t="s">
        <v>20118</v>
      </c>
      <c r="D15344" s="13" t="s">
        <v>2457</v>
      </c>
      <c r="E15344" s="8">
        <v>5000</v>
      </c>
      <c r="F15344" s="13" t="s">
        <v>70</v>
      </c>
      <c r="G15344" s="14">
        <v>44704</v>
      </c>
      <c r="H15344" s="13" t="s">
        <v>20060</v>
      </c>
    </row>
    <row r="15345" spans="1:8" ht="14.4" x14ac:dyDescent="0.3">
      <c r="A15345" s="8">
        <v>7550852</v>
      </c>
      <c r="B15345" s="11">
        <v>44623</v>
      </c>
      <c r="C15345" s="13" t="s">
        <v>20119</v>
      </c>
      <c r="D15345" s="13" t="s">
        <v>20095</v>
      </c>
      <c r="E15345" s="8">
        <v>5000</v>
      </c>
      <c r="F15345" s="13" t="s">
        <v>70</v>
      </c>
      <c r="G15345" s="14">
        <v>44701</v>
      </c>
      <c r="H15345" s="13" t="s">
        <v>20060</v>
      </c>
    </row>
    <row r="15346" spans="1:8" ht="14.4" x14ac:dyDescent="0.3">
      <c r="A15346" s="8">
        <v>7550853</v>
      </c>
      <c r="B15346" s="11">
        <v>44638</v>
      </c>
      <c r="C15346" s="13" t="s">
        <v>20120</v>
      </c>
      <c r="D15346" s="13" t="s">
        <v>11935</v>
      </c>
      <c r="E15346" s="8">
        <v>5000</v>
      </c>
      <c r="F15346" s="13" t="s">
        <v>70</v>
      </c>
      <c r="G15346" s="14">
        <v>44713</v>
      </c>
      <c r="H15346" s="13" t="s">
        <v>20060</v>
      </c>
    </row>
    <row r="15347" spans="1:8" ht="14.4" x14ac:dyDescent="0.3">
      <c r="A15347" s="8">
        <v>7550854</v>
      </c>
      <c r="B15347" s="11">
        <v>44658</v>
      </c>
      <c r="C15347" s="13" t="s">
        <v>1286</v>
      </c>
      <c r="D15347" s="13" t="s">
        <v>20121</v>
      </c>
      <c r="E15347" s="8">
        <v>5685.2</v>
      </c>
      <c r="F15347" s="13" t="s">
        <v>70</v>
      </c>
      <c r="G15347" s="14">
        <v>44663</v>
      </c>
      <c r="H15347" s="13" t="s">
        <v>20060</v>
      </c>
    </row>
    <row r="15348" spans="1:8" ht="14.4" x14ac:dyDescent="0.3">
      <c r="A15348" s="8">
        <v>7550858</v>
      </c>
      <c r="B15348" s="11">
        <v>44658</v>
      </c>
      <c r="C15348" s="13" t="s">
        <v>20122</v>
      </c>
      <c r="D15348" s="13" t="s">
        <v>20123</v>
      </c>
      <c r="E15348" s="8">
        <v>9569.25</v>
      </c>
      <c r="F15348" s="13" t="s">
        <v>70</v>
      </c>
      <c r="G15348" s="14">
        <v>44664</v>
      </c>
      <c r="H15348" s="13" t="s">
        <v>20060</v>
      </c>
    </row>
    <row r="15349" spans="1:8" ht="14.4" x14ac:dyDescent="0.3">
      <c r="A15349" s="8">
        <v>7550859</v>
      </c>
      <c r="B15349" s="11">
        <v>44658</v>
      </c>
      <c r="C15349" s="13" t="s">
        <v>20124</v>
      </c>
      <c r="D15349" s="13" t="s">
        <v>20123</v>
      </c>
      <c r="E15349" s="8">
        <v>15318.74</v>
      </c>
      <c r="F15349" s="13" t="s">
        <v>70</v>
      </c>
      <c r="G15349" s="14">
        <v>44664</v>
      </c>
      <c r="H15349" s="13" t="s">
        <v>20060</v>
      </c>
    </row>
    <row r="15350" spans="1:8" ht="14.4" x14ac:dyDescent="0.3">
      <c r="A15350" s="8">
        <v>7550860</v>
      </c>
      <c r="B15350" s="11">
        <v>44658</v>
      </c>
      <c r="C15350" s="13" t="s">
        <v>20125</v>
      </c>
      <c r="D15350" s="13" t="s">
        <v>20126</v>
      </c>
      <c r="E15350" s="8">
        <v>18655.150000000001</v>
      </c>
      <c r="F15350" s="13" t="s">
        <v>70</v>
      </c>
      <c r="G15350" s="14">
        <v>44659</v>
      </c>
      <c r="H15350" s="13" t="s">
        <v>20060</v>
      </c>
    </row>
    <row r="15351" spans="1:8" ht="14.4" x14ac:dyDescent="0.3">
      <c r="A15351" s="8">
        <v>7550861</v>
      </c>
      <c r="B15351" s="11">
        <v>44658</v>
      </c>
      <c r="C15351" s="13" t="s">
        <v>20127</v>
      </c>
      <c r="D15351" s="13" t="s">
        <v>20123</v>
      </c>
      <c r="E15351" s="8">
        <v>15318.74</v>
      </c>
      <c r="F15351" s="13" t="s">
        <v>70</v>
      </c>
      <c r="G15351" s="14">
        <v>44659</v>
      </c>
      <c r="H15351" s="13" t="s">
        <v>20060</v>
      </c>
    </row>
    <row r="15352" spans="1:8" ht="14.4" x14ac:dyDescent="0.3">
      <c r="A15352" s="8">
        <v>7550862</v>
      </c>
      <c r="B15352" s="11">
        <v>44658</v>
      </c>
      <c r="C15352" s="13" t="s">
        <v>20128</v>
      </c>
      <c r="D15352" s="13" t="s">
        <v>20123</v>
      </c>
      <c r="E15352" s="8">
        <v>14023.7</v>
      </c>
      <c r="F15352" s="13" t="s">
        <v>70</v>
      </c>
      <c r="G15352" s="14">
        <v>44659</v>
      </c>
      <c r="H15352" s="13" t="s">
        <v>20060</v>
      </c>
    </row>
    <row r="15353" spans="1:8" ht="14.4" x14ac:dyDescent="0.3">
      <c r="A15353" s="8">
        <v>7550863</v>
      </c>
      <c r="B15353" s="11">
        <v>44658</v>
      </c>
      <c r="C15353" s="13" t="s">
        <v>20129</v>
      </c>
      <c r="D15353" s="13" t="s">
        <v>20130</v>
      </c>
      <c r="E15353" s="8">
        <v>18903.21</v>
      </c>
      <c r="F15353" s="13" t="s">
        <v>70</v>
      </c>
      <c r="G15353" s="14">
        <v>44659</v>
      </c>
      <c r="H15353" s="13" t="s">
        <v>20060</v>
      </c>
    </row>
    <row r="15354" spans="1:8" ht="14.4" x14ac:dyDescent="0.3">
      <c r="A15354" s="8">
        <v>7550864</v>
      </c>
      <c r="B15354" s="11">
        <v>44658</v>
      </c>
      <c r="C15354" s="13" t="s">
        <v>20131</v>
      </c>
      <c r="D15354" s="13" t="s">
        <v>20123</v>
      </c>
      <c r="E15354" s="8">
        <v>14932.86</v>
      </c>
      <c r="F15354" s="13" t="s">
        <v>70</v>
      </c>
      <c r="G15354" s="14">
        <v>44659</v>
      </c>
      <c r="H15354" s="13" t="s">
        <v>20060</v>
      </c>
    </row>
    <row r="15355" spans="1:8" ht="14.4" x14ac:dyDescent="0.3">
      <c r="A15355" s="8">
        <v>7550865</v>
      </c>
      <c r="B15355" s="11">
        <v>44658</v>
      </c>
      <c r="C15355" s="13" t="s">
        <v>20132</v>
      </c>
      <c r="D15355" s="13" t="s">
        <v>20123</v>
      </c>
      <c r="E15355" s="8">
        <v>15318.74</v>
      </c>
      <c r="F15355" s="13" t="s">
        <v>70</v>
      </c>
      <c r="G15355" s="14">
        <v>44659</v>
      </c>
      <c r="H15355" s="13" t="s">
        <v>20060</v>
      </c>
    </row>
    <row r="15356" spans="1:8" ht="14.4" x14ac:dyDescent="0.3">
      <c r="A15356" s="8">
        <v>7550866</v>
      </c>
      <c r="B15356" s="11">
        <v>44658</v>
      </c>
      <c r="C15356" s="13" t="s">
        <v>2201</v>
      </c>
      <c r="D15356" s="13" t="s">
        <v>20123</v>
      </c>
      <c r="E15356" s="8">
        <v>15318.74</v>
      </c>
      <c r="F15356" s="13" t="s">
        <v>70</v>
      </c>
      <c r="G15356" s="14">
        <v>44659</v>
      </c>
      <c r="H15356" s="13" t="s">
        <v>20060</v>
      </c>
    </row>
    <row r="15357" spans="1:8" ht="14.4" x14ac:dyDescent="0.3">
      <c r="A15357" s="8">
        <v>7550867</v>
      </c>
      <c r="B15357" s="11">
        <v>44658</v>
      </c>
      <c r="C15357" s="13" t="s">
        <v>20133</v>
      </c>
      <c r="D15357" s="13" t="s">
        <v>20123</v>
      </c>
      <c r="E15357" s="8">
        <v>14883.72</v>
      </c>
      <c r="F15357" s="13" t="s">
        <v>70</v>
      </c>
      <c r="G15357" s="14">
        <v>44659</v>
      </c>
      <c r="H15357" s="13" t="s">
        <v>20060</v>
      </c>
    </row>
    <row r="15358" spans="1:8" ht="14.4" x14ac:dyDescent="0.3">
      <c r="A15358" s="8">
        <v>7550868</v>
      </c>
      <c r="B15358" s="11">
        <v>44658</v>
      </c>
      <c r="C15358" s="13" t="s">
        <v>20134</v>
      </c>
      <c r="D15358" s="13" t="s">
        <v>20126</v>
      </c>
      <c r="E15358" s="8">
        <v>18636.96</v>
      </c>
      <c r="F15358" s="13" t="s">
        <v>70</v>
      </c>
      <c r="G15358" s="14">
        <v>44659</v>
      </c>
      <c r="H15358" s="13" t="s">
        <v>20060</v>
      </c>
    </row>
    <row r="15359" spans="1:8" ht="14.4" x14ac:dyDescent="0.3">
      <c r="A15359" s="8">
        <v>7550869</v>
      </c>
      <c r="B15359" s="11">
        <v>44658</v>
      </c>
      <c r="C15359" s="13" t="s">
        <v>11760</v>
      </c>
      <c r="D15359" s="13" t="s">
        <v>20135</v>
      </c>
      <c r="E15359" s="8">
        <v>15318.74</v>
      </c>
      <c r="F15359" s="13" t="s">
        <v>70</v>
      </c>
      <c r="G15359" s="14">
        <v>44662</v>
      </c>
      <c r="H15359" s="13" t="s">
        <v>20060</v>
      </c>
    </row>
    <row r="15360" spans="1:8" ht="14.4" x14ac:dyDescent="0.3">
      <c r="A15360" s="8">
        <v>7550870</v>
      </c>
      <c r="B15360" s="11">
        <v>44658</v>
      </c>
      <c r="C15360" s="13" t="s">
        <v>87</v>
      </c>
      <c r="D15360" s="13" t="s">
        <v>9696</v>
      </c>
      <c r="E15360" s="8">
        <v>3000</v>
      </c>
      <c r="F15360" s="13" t="s">
        <v>70</v>
      </c>
      <c r="G15360" s="14">
        <v>44676</v>
      </c>
      <c r="H15360" s="13" t="s">
        <v>20060</v>
      </c>
    </row>
    <row r="15361" spans="1:8" ht="14.4" x14ac:dyDescent="0.3">
      <c r="A15361" s="8">
        <v>7550871</v>
      </c>
      <c r="B15361" s="11">
        <v>44658</v>
      </c>
      <c r="C15361" s="13" t="s">
        <v>326</v>
      </c>
      <c r="D15361" s="13" t="s">
        <v>9696</v>
      </c>
      <c r="E15361" s="8">
        <v>3000</v>
      </c>
      <c r="F15361" s="13" t="s">
        <v>70</v>
      </c>
      <c r="G15361" s="14">
        <v>44678</v>
      </c>
      <c r="H15361" s="13" t="s">
        <v>20060</v>
      </c>
    </row>
    <row r="15362" spans="1:8" ht="14.4" x14ac:dyDescent="0.3">
      <c r="A15362" s="8">
        <v>7550872</v>
      </c>
      <c r="B15362" s="11">
        <v>44658</v>
      </c>
      <c r="C15362" s="13" t="s">
        <v>88</v>
      </c>
      <c r="D15362" s="13" t="s">
        <v>9696</v>
      </c>
      <c r="E15362" s="8">
        <v>3000</v>
      </c>
      <c r="F15362" s="13" t="s">
        <v>70</v>
      </c>
      <c r="G15362" s="14">
        <v>44693</v>
      </c>
      <c r="H15362" s="13" t="s">
        <v>20060</v>
      </c>
    </row>
    <row r="15363" spans="1:8" ht="14.4" x14ac:dyDescent="0.3">
      <c r="A15363" s="8">
        <v>7550873</v>
      </c>
      <c r="B15363" s="11">
        <v>44658</v>
      </c>
      <c r="C15363" s="13" t="s">
        <v>90</v>
      </c>
      <c r="D15363" s="13" t="s">
        <v>9696</v>
      </c>
      <c r="E15363" s="8">
        <v>3000</v>
      </c>
      <c r="F15363" s="13" t="s">
        <v>70</v>
      </c>
      <c r="G15363" s="14">
        <v>44676</v>
      </c>
      <c r="H15363" s="13" t="s">
        <v>20060</v>
      </c>
    </row>
    <row r="15364" spans="1:8" ht="14.4" x14ac:dyDescent="0.3">
      <c r="A15364" s="8">
        <v>7550874</v>
      </c>
      <c r="B15364" s="11">
        <v>44658</v>
      </c>
      <c r="C15364" s="13" t="s">
        <v>91</v>
      </c>
      <c r="D15364" s="13" t="s">
        <v>9696</v>
      </c>
      <c r="E15364" s="8">
        <v>3000</v>
      </c>
      <c r="F15364" s="13" t="s">
        <v>70</v>
      </c>
      <c r="G15364" s="14">
        <v>44669</v>
      </c>
      <c r="H15364" s="13" t="s">
        <v>20060</v>
      </c>
    </row>
    <row r="15365" spans="1:8" ht="14.4" x14ac:dyDescent="0.3">
      <c r="A15365" s="8">
        <v>7550875</v>
      </c>
      <c r="B15365" s="11">
        <v>44658</v>
      </c>
      <c r="C15365" s="13" t="s">
        <v>329</v>
      </c>
      <c r="D15365" s="13" t="s">
        <v>9696</v>
      </c>
      <c r="E15365" s="8">
        <v>3000</v>
      </c>
      <c r="F15365" s="13" t="s">
        <v>70</v>
      </c>
      <c r="G15365" s="14">
        <v>44669</v>
      </c>
      <c r="H15365" s="13" t="s">
        <v>20060</v>
      </c>
    </row>
    <row r="15366" spans="1:8" ht="14.4" x14ac:dyDescent="0.3">
      <c r="A15366" s="8">
        <v>7550876</v>
      </c>
      <c r="B15366" s="11">
        <v>44658</v>
      </c>
      <c r="C15366" s="13" t="s">
        <v>92</v>
      </c>
      <c r="D15366" s="13" t="s">
        <v>9696</v>
      </c>
      <c r="E15366" s="8">
        <v>3000</v>
      </c>
      <c r="F15366" s="13" t="s">
        <v>70</v>
      </c>
      <c r="G15366" s="14">
        <v>44669</v>
      </c>
      <c r="H15366" s="13" t="s">
        <v>20060</v>
      </c>
    </row>
    <row r="15367" spans="1:8" ht="14.4" x14ac:dyDescent="0.3">
      <c r="A15367" s="8">
        <v>7550877</v>
      </c>
      <c r="B15367" s="11">
        <v>44658</v>
      </c>
      <c r="C15367" s="13" t="s">
        <v>98</v>
      </c>
      <c r="D15367" s="13" t="s">
        <v>9696</v>
      </c>
      <c r="E15367" s="8">
        <v>3000</v>
      </c>
      <c r="F15367" s="13" t="s">
        <v>70</v>
      </c>
      <c r="G15367" s="14">
        <v>44669</v>
      </c>
      <c r="H15367" s="13" t="s">
        <v>20060</v>
      </c>
    </row>
    <row r="15368" spans="1:8" ht="14.4" x14ac:dyDescent="0.3">
      <c r="A15368" s="8">
        <v>7550878</v>
      </c>
      <c r="B15368" s="11">
        <v>44658</v>
      </c>
      <c r="C15368" s="13" t="s">
        <v>11578</v>
      </c>
      <c r="D15368" s="13" t="s">
        <v>20136</v>
      </c>
      <c r="E15368" s="8">
        <v>17919.61</v>
      </c>
      <c r="F15368" s="13" t="s">
        <v>70</v>
      </c>
      <c r="G15368" s="14">
        <v>44659</v>
      </c>
      <c r="H15368" s="13" t="s">
        <v>20060</v>
      </c>
    </row>
    <row r="15369" spans="1:8" ht="14.4" x14ac:dyDescent="0.3">
      <c r="A15369" s="8">
        <v>7550880</v>
      </c>
      <c r="B15369" s="11">
        <v>44659</v>
      </c>
      <c r="C15369" s="13" t="s">
        <v>20137</v>
      </c>
      <c r="D15369" s="13" t="s">
        <v>20138</v>
      </c>
      <c r="E15369" s="8">
        <v>6688.04</v>
      </c>
      <c r="F15369" s="13" t="s">
        <v>70</v>
      </c>
      <c r="G15369" s="14">
        <v>44662</v>
      </c>
      <c r="H15369" s="13" t="s">
        <v>20060</v>
      </c>
    </row>
    <row r="15370" spans="1:8" ht="14.4" x14ac:dyDescent="0.3">
      <c r="A15370" s="8">
        <v>7550881</v>
      </c>
      <c r="B15370" s="11">
        <v>44659</v>
      </c>
      <c r="C15370" s="13" t="s">
        <v>1566</v>
      </c>
      <c r="D15370" s="13" t="s">
        <v>20139</v>
      </c>
      <c r="E15370" s="8">
        <v>8000</v>
      </c>
      <c r="F15370" s="13" t="s">
        <v>70</v>
      </c>
      <c r="G15370" s="14">
        <v>44680</v>
      </c>
      <c r="H15370" s="13" t="s">
        <v>20060</v>
      </c>
    </row>
    <row r="15371" spans="1:8" ht="14.4" x14ac:dyDescent="0.3">
      <c r="A15371" s="8">
        <v>7550882</v>
      </c>
      <c r="B15371" s="11">
        <v>44659</v>
      </c>
      <c r="C15371" s="13" t="s">
        <v>184</v>
      </c>
      <c r="D15371" s="13" t="s">
        <v>20140</v>
      </c>
      <c r="E15371" s="8">
        <v>159161.92000000001</v>
      </c>
      <c r="F15371" s="13" t="s">
        <v>70</v>
      </c>
      <c r="G15371" s="14">
        <v>44662</v>
      </c>
      <c r="H15371" s="13" t="s">
        <v>20060</v>
      </c>
    </row>
    <row r="15372" spans="1:8" ht="14.4" x14ac:dyDescent="0.3">
      <c r="A15372" s="8">
        <v>7550883</v>
      </c>
      <c r="B15372" s="11">
        <v>44659</v>
      </c>
      <c r="C15372" s="13" t="s">
        <v>184</v>
      </c>
      <c r="D15372" s="13" t="s">
        <v>5919</v>
      </c>
      <c r="E15372" s="8">
        <v>301621.33</v>
      </c>
      <c r="F15372" s="13" t="s">
        <v>70</v>
      </c>
      <c r="G15372" s="14">
        <v>44662</v>
      </c>
      <c r="H15372" s="13" t="s">
        <v>20060</v>
      </c>
    </row>
    <row r="15373" spans="1:8" ht="14.4" x14ac:dyDescent="0.3">
      <c r="A15373" s="8">
        <v>7550884</v>
      </c>
      <c r="B15373" s="11">
        <v>44659</v>
      </c>
      <c r="C15373" s="13" t="s">
        <v>18039</v>
      </c>
      <c r="D15373" s="13" t="s">
        <v>20141</v>
      </c>
      <c r="E15373" s="8">
        <v>3538.99</v>
      </c>
      <c r="F15373" s="13" t="s">
        <v>70</v>
      </c>
      <c r="G15373" s="14">
        <v>44663</v>
      </c>
      <c r="H15373" s="13" t="s">
        <v>20060</v>
      </c>
    </row>
    <row r="15374" spans="1:8" ht="14.4" x14ac:dyDescent="0.3">
      <c r="A15374" s="8">
        <v>7550885</v>
      </c>
      <c r="B15374" s="11">
        <v>44659</v>
      </c>
      <c r="C15374" s="13" t="s">
        <v>20142</v>
      </c>
      <c r="D15374" s="13" t="s">
        <v>20143</v>
      </c>
      <c r="E15374" s="8">
        <v>8269.64</v>
      </c>
      <c r="F15374" s="13" t="s">
        <v>70</v>
      </c>
      <c r="G15374" s="14">
        <v>44662</v>
      </c>
      <c r="H15374" s="13" t="s">
        <v>20060</v>
      </c>
    </row>
    <row r="15375" spans="1:8" ht="14.4" x14ac:dyDescent="0.3">
      <c r="A15375" s="8">
        <v>7550886</v>
      </c>
      <c r="B15375" s="11">
        <v>44659</v>
      </c>
      <c r="C15375" s="13" t="s">
        <v>1976</v>
      </c>
      <c r="D15375" s="13" t="s">
        <v>20144</v>
      </c>
      <c r="E15375" s="8">
        <v>31249.9</v>
      </c>
      <c r="F15375" s="13" t="s">
        <v>70</v>
      </c>
      <c r="G15375" s="14">
        <v>44663</v>
      </c>
      <c r="H15375" s="13" t="s">
        <v>20060</v>
      </c>
    </row>
    <row r="15376" spans="1:8" ht="14.4" x14ac:dyDescent="0.3">
      <c r="A15376" s="8">
        <v>7550887</v>
      </c>
      <c r="B15376" s="11">
        <v>44659</v>
      </c>
      <c r="C15376" s="13" t="s">
        <v>19882</v>
      </c>
      <c r="D15376" s="13" t="s">
        <v>20145</v>
      </c>
      <c r="E15376" s="8">
        <v>24667.91</v>
      </c>
      <c r="F15376" s="13" t="s">
        <v>70</v>
      </c>
      <c r="G15376" s="14">
        <v>44662</v>
      </c>
      <c r="H15376" s="13" t="s">
        <v>20060</v>
      </c>
    </row>
    <row r="15377" spans="1:8" ht="14.4" x14ac:dyDescent="0.3">
      <c r="A15377" s="8">
        <v>7550888</v>
      </c>
      <c r="B15377" s="11">
        <v>44659</v>
      </c>
      <c r="C15377" s="13" t="s">
        <v>11758</v>
      </c>
      <c r="D15377" s="13" t="s">
        <v>20146</v>
      </c>
      <c r="E15377" s="8">
        <v>18903.21</v>
      </c>
      <c r="F15377" s="13" t="s">
        <v>70</v>
      </c>
      <c r="G15377" s="14">
        <v>44662</v>
      </c>
      <c r="H15377" s="13" t="s">
        <v>20060</v>
      </c>
    </row>
    <row r="15378" spans="1:8" ht="14.4" x14ac:dyDescent="0.3">
      <c r="A15378" s="8">
        <v>7550890</v>
      </c>
      <c r="B15378" s="11">
        <v>44659</v>
      </c>
      <c r="C15378" s="13" t="s">
        <v>20147</v>
      </c>
      <c r="D15378" s="13" t="s">
        <v>20148</v>
      </c>
      <c r="E15378" s="8">
        <v>26609.16</v>
      </c>
      <c r="F15378" s="13" t="s">
        <v>70</v>
      </c>
      <c r="G15378" s="14">
        <v>44662</v>
      </c>
      <c r="H15378" s="13" t="s">
        <v>20060</v>
      </c>
    </row>
    <row r="15379" spans="1:8" ht="14.4" x14ac:dyDescent="0.3">
      <c r="A15379" s="8">
        <v>7550891</v>
      </c>
      <c r="B15379" s="11">
        <v>44659</v>
      </c>
      <c r="C15379" s="13" t="s">
        <v>20149</v>
      </c>
      <c r="D15379" s="13" t="s">
        <v>20150</v>
      </c>
      <c r="E15379" s="8">
        <v>24667.91</v>
      </c>
      <c r="F15379" s="13" t="s">
        <v>70</v>
      </c>
      <c r="G15379" s="14">
        <v>44662</v>
      </c>
      <c r="H15379" s="13" t="s">
        <v>20060</v>
      </c>
    </row>
    <row r="15380" spans="1:8" ht="14.4" x14ac:dyDescent="0.3">
      <c r="A15380" s="8">
        <v>7550892</v>
      </c>
      <c r="B15380" s="11">
        <v>44659</v>
      </c>
      <c r="C15380" s="13" t="s">
        <v>20151</v>
      </c>
      <c r="D15380" s="13" t="s">
        <v>20152</v>
      </c>
      <c r="E15380" s="8">
        <v>32049.46</v>
      </c>
      <c r="F15380" s="13" t="s">
        <v>70</v>
      </c>
      <c r="G15380" s="14">
        <v>44663</v>
      </c>
      <c r="H15380" s="13" t="s">
        <v>20060</v>
      </c>
    </row>
    <row r="15381" spans="1:8" ht="14.4" x14ac:dyDescent="0.3">
      <c r="A15381" s="8">
        <v>7550893</v>
      </c>
      <c r="B15381" s="11">
        <v>44659</v>
      </c>
      <c r="C15381" s="13" t="s">
        <v>20153</v>
      </c>
      <c r="D15381" s="13" t="s">
        <v>20154</v>
      </c>
      <c r="E15381" s="8">
        <v>4922.1899999999996</v>
      </c>
      <c r="F15381" s="13" t="s">
        <v>70</v>
      </c>
      <c r="G15381" s="14">
        <v>44662</v>
      </c>
      <c r="H15381" s="13" t="s">
        <v>20060</v>
      </c>
    </row>
    <row r="15382" spans="1:8" ht="14.4" x14ac:dyDescent="0.3">
      <c r="A15382" s="8">
        <v>7550894</v>
      </c>
      <c r="B15382" s="11">
        <v>44659</v>
      </c>
      <c r="C15382" s="13" t="s">
        <v>11759</v>
      </c>
      <c r="D15382" s="13" t="s">
        <v>20155</v>
      </c>
      <c r="E15382" s="8">
        <v>17004.919999999998</v>
      </c>
      <c r="F15382" s="13" t="s">
        <v>70</v>
      </c>
      <c r="G15382" s="14">
        <v>44662</v>
      </c>
      <c r="H15382" s="13" t="s">
        <v>20060</v>
      </c>
    </row>
    <row r="15383" spans="1:8" ht="14.4" x14ac:dyDescent="0.3">
      <c r="A15383" s="8">
        <v>7550895</v>
      </c>
      <c r="B15383" s="11">
        <v>44659</v>
      </c>
      <c r="C15383" s="13" t="s">
        <v>20156</v>
      </c>
      <c r="D15383" s="13" t="s">
        <v>20157</v>
      </c>
      <c r="E15383" s="8">
        <v>804.83</v>
      </c>
      <c r="F15383" s="13" t="s">
        <v>70</v>
      </c>
      <c r="G15383" s="14">
        <v>44669</v>
      </c>
      <c r="H15383" s="13" t="s">
        <v>20060</v>
      </c>
    </row>
    <row r="15384" spans="1:8" ht="14.4" x14ac:dyDescent="0.3">
      <c r="A15384" s="8">
        <v>7550896</v>
      </c>
      <c r="B15384" s="11">
        <v>44659</v>
      </c>
      <c r="C15384" s="13" t="s">
        <v>6725</v>
      </c>
      <c r="D15384" s="13" t="s">
        <v>20158</v>
      </c>
      <c r="E15384" s="8">
        <v>174</v>
      </c>
      <c r="F15384" s="13" t="s">
        <v>70</v>
      </c>
      <c r="G15384" s="14">
        <v>44669</v>
      </c>
      <c r="H15384" s="13" t="s">
        <v>20060</v>
      </c>
    </row>
    <row r="15385" spans="1:8" ht="14.4" x14ac:dyDescent="0.3">
      <c r="A15385" s="8">
        <v>7550897</v>
      </c>
      <c r="B15385" s="11">
        <v>44659</v>
      </c>
      <c r="C15385" s="13" t="s">
        <v>11757</v>
      </c>
      <c r="D15385" s="13" t="s">
        <v>20159</v>
      </c>
      <c r="E15385" s="8">
        <v>18903.21</v>
      </c>
      <c r="F15385" s="13" t="s">
        <v>70</v>
      </c>
      <c r="G15385" s="14">
        <v>44662</v>
      </c>
      <c r="H15385" s="13" t="s">
        <v>20060</v>
      </c>
    </row>
    <row r="15386" spans="1:8" ht="14.4" x14ac:dyDescent="0.3">
      <c r="A15386" s="8">
        <v>7550898</v>
      </c>
      <c r="B15386" s="11">
        <v>44659</v>
      </c>
      <c r="C15386" s="13" t="s">
        <v>4905</v>
      </c>
      <c r="D15386" s="13" t="s">
        <v>20160</v>
      </c>
      <c r="E15386" s="8">
        <v>11000</v>
      </c>
      <c r="F15386" s="13" t="s">
        <v>70</v>
      </c>
      <c r="G15386" s="14">
        <v>44676</v>
      </c>
      <c r="H15386" s="13" t="s">
        <v>20060</v>
      </c>
    </row>
    <row r="15387" spans="1:8" ht="14.4" x14ac:dyDescent="0.3">
      <c r="A15387" s="8">
        <v>7550899</v>
      </c>
      <c r="B15387" s="11">
        <v>44659</v>
      </c>
      <c r="C15387" s="13" t="s">
        <v>4905</v>
      </c>
      <c r="D15387" s="13" t="s">
        <v>20161</v>
      </c>
      <c r="E15387" s="8">
        <v>10000</v>
      </c>
      <c r="F15387" s="13" t="s">
        <v>70</v>
      </c>
      <c r="G15387" s="14">
        <v>44676</v>
      </c>
      <c r="H15387" s="13" t="s">
        <v>20060</v>
      </c>
    </row>
    <row r="15388" spans="1:8" ht="14.4" x14ac:dyDescent="0.3">
      <c r="A15388" s="8">
        <v>7550900</v>
      </c>
      <c r="B15388" s="11">
        <v>44659</v>
      </c>
      <c r="C15388" s="13" t="s">
        <v>563</v>
      </c>
      <c r="D15388" s="13" t="s">
        <v>1671</v>
      </c>
      <c r="E15388" s="8">
        <v>5000</v>
      </c>
      <c r="F15388" s="13" t="s">
        <v>70</v>
      </c>
      <c r="G15388" s="14">
        <v>44673</v>
      </c>
      <c r="H15388" s="13" t="s">
        <v>20060</v>
      </c>
    </row>
    <row r="15389" spans="1:8" ht="14.4" x14ac:dyDescent="0.3">
      <c r="A15389" s="8">
        <v>7753201</v>
      </c>
      <c r="B15389" s="11">
        <v>44664</v>
      </c>
      <c r="C15389" s="13" t="s">
        <v>361</v>
      </c>
      <c r="D15389" s="13" t="s">
        <v>20162</v>
      </c>
      <c r="E15389" s="8">
        <v>37502.269999999997</v>
      </c>
      <c r="F15389" s="13" t="s">
        <v>70</v>
      </c>
      <c r="G15389" s="14">
        <v>44671</v>
      </c>
      <c r="H15389" s="13" t="s">
        <v>20060</v>
      </c>
    </row>
    <row r="15390" spans="1:8" ht="14.4" x14ac:dyDescent="0.3">
      <c r="A15390" s="8">
        <v>7753202</v>
      </c>
      <c r="B15390" s="11">
        <v>44664</v>
      </c>
      <c r="C15390" s="13" t="s">
        <v>748</v>
      </c>
      <c r="D15390" s="13" t="s">
        <v>20163</v>
      </c>
      <c r="E15390" s="8">
        <v>27477.35</v>
      </c>
      <c r="F15390" s="13" t="s">
        <v>70</v>
      </c>
      <c r="G15390" s="14">
        <v>44670</v>
      </c>
      <c r="H15390" s="13" t="s">
        <v>20060</v>
      </c>
    </row>
    <row r="15391" spans="1:8" ht="14.4" x14ac:dyDescent="0.3">
      <c r="A15391" s="8">
        <v>7753203</v>
      </c>
      <c r="B15391" s="11">
        <v>44664</v>
      </c>
      <c r="C15391" s="13" t="s">
        <v>1286</v>
      </c>
      <c r="D15391" s="13" t="s">
        <v>20164</v>
      </c>
      <c r="E15391" s="8">
        <v>7251.93</v>
      </c>
      <c r="F15391" s="13" t="s">
        <v>70</v>
      </c>
      <c r="G15391" s="14">
        <v>44672</v>
      </c>
      <c r="H15391" s="13" t="s">
        <v>20060</v>
      </c>
    </row>
    <row r="15392" spans="1:8" ht="14.4" x14ac:dyDescent="0.3">
      <c r="A15392" s="8">
        <v>7753204</v>
      </c>
      <c r="B15392" s="11">
        <v>44669</v>
      </c>
      <c r="C15392" s="13" t="s">
        <v>10037</v>
      </c>
      <c r="D15392" s="13" t="s">
        <v>20165</v>
      </c>
      <c r="E15392" s="8">
        <v>14698</v>
      </c>
      <c r="F15392" s="13" t="s">
        <v>70</v>
      </c>
      <c r="G15392" s="14">
        <v>44678</v>
      </c>
      <c r="H15392" s="13" t="s">
        <v>20060</v>
      </c>
    </row>
    <row r="15393" spans="1:8" ht="14.4" x14ac:dyDescent="0.3">
      <c r="A15393" s="8">
        <v>7753205</v>
      </c>
      <c r="B15393" s="11">
        <v>44669</v>
      </c>
      <c r="C15393" s="13" t="s">
        <v>1286</v>
      </c>
      <c r="D15393" s="13" t="s">
        <v>20166</v>
      </c>
      <c r="E15393" s="8">
        <v>7122.74</v>
      </c>
      <c r="F15393" s="13" t="s">
        <v>70</v>
      </c>
      <c r="G15393" s="14">
        <v>44672</v>
      </c>
      <c r="H15393" s="13" t="s">
        <v>20060</v>
      </c>
    </row>
    <row r="15394" spans="1:8" ht="14.4" x14ac:dyDescent="0.3">
      <c r="A15394" s="8">
        <v>7753206</v>
      </c>
      <c r="B15394" s="11">
        <v>44669</v>
      </c>
      <c r="C15394" s="13" t="s">
        <v>1286</v>
      </c>
      <c r="D15394" s="13" t="s">
        <v>20167</v>
      </c>
      <c r="E15394" s="8">
        <v>8985.86</v>
      </c>
      <c r="F15394" s="13" t="s">
        <v>70</v>
      </c>
      <c r="G15394" s="14">
        <v>44672</v>
      </c>
      <c r="H15394" s="13" t="s">
        <v>20060</v>
      </c>
    </row>
    <row r="15395" spans="1:8" ht="14.4" x14ac:dyDescent="0.3">
      <c r="A15395" s="8">
        <v>7753207</v>
      </c>
      <c r="B15395" s="11">
        <v>44669</v>
      </c>
      <c r="C15395" s="13" t="s">
        <v>1286</v>
      </c>
      <c r="D15395" s="13" t="s">
        <v>20168</v>
      </c>
      <c r="E15395" s="8">
        <v>8535.49</v>
      </c>
      <c r="F15395" s="13" t="s">
        <v>70</v>
      </c>
      <c r="G15395" s="14">
        <v>44672</v>
      </c>
      <c r="H15395" s="13" t="s">
        <v>20060</v>
      </c>
    </row>
    <row r="15396" spans="1:8" ht="14.4" x14ac:dyDescent="0.3">
      <c r="A15396" s="8">
        <v>7753208</v>
      </c>
      <c r="B15396" s="11">
        <v>44669</v>
      </c>
      <c r="C15396" s="13" t="s">
        <v>44</v>
      </c>
      <c r="D15396" s="13" t="s">
        <v>20169</v>
      </c>
      <c r="E15396" s="8">
        <v>748</v>
      </c>
      <c r="F15396" s="13" t="s">
        <v>70</v>
      </c>
      <c r="G15396" s="14">
        <v>44670</v>
      </c>
      <c r="H15396" s="13" t="s">
        <v>20060</v>
      </c>
    </row>
    <row r="15397" spans="1:8" ht="14.4" x14ac:dyDescent="0.3">
      <c r="A15397" s="8">
        <v>7753209</v>
      </c>
      <c r="B15397" s="11">
        <v>44669</v>
      </c>
      <c r="C15397" s="13" t="s">
        <v>44</v>
      </c>
      <c r="D15397" s="13" t="s">
        <v>20170</v>
      </c>
      <c r="E15397" s="8">
        <v>3795.73</v>
      </c>
      <c r="F15397" s="13" t="s">
        <v>70</v>
      </c>
      <c r="G15397" s="14">
        <v>44670</v>
      </c>
      <c r="H15397" s="13" t="s">
        <v>20060</v>
      </c>
    </row>
    <row r="15398" spans="1:8" ht="14.4" x14ac:dyDescent="0.3">
      <c r="A15398" s="8">
        <v>7753210</v>
      </c>
      <c r="B15398" s="11">
        <v>44669</v>
      </c>
      <c r="C15398" s="13" t="s">
        <v>1286</v>
      </c>
      <c r="D15398" s="13" t="s">
        <v>20171</v>
      </c>
      <c r="E15398" s="8">
        <v>7627.08</v>
      </c>
      <c r="F15398" s="13" t="s">
        <v>70</v>
      </c>
      <c r="G15398" s="14">
        <v>44672</v>
      </c>
      <c r="H15398" s="13" t="s">
        <v>20060</v>
      </c>
    </row>
    <row r="15399" spans="1:8" ht="14.4" x14ac:dyDescent="0.3">
      <c r="A15399" s="8">
        <v>7753211</v>
      </c>
      <c r="B15399" s="11">
        <v>44669</v>
      </c>
      <c r="C15399" s="13" t="s">
        <v>1286</v>
      </c>
      <c r="D15399" s="13" t="s">
        <v>6648</v>
      </c>
      <c r="E15399" s="8">
        <v>9824.9500000000007</v>
      </c>
      <c r="F15399" s="13" t="s">
        <v>70</v>
      </c>
      <c r="G15399" s="14">
        <v>44672</v>
      </c>
      <c r="H15399" s="13" t="s">
        <v>20060</v>
      </c>
    </row>
    <row r="15400" spans="1:8" ht="14.4" x14ac:dyDescent="0.3">
      <c r="A15400" s="8">
        <v>7753212</v>
      </c>
      <c r="B15400" s="11">
        <v>44669</v>
      </c>
      <c r="C15400" s="13" t="s">
        <v>1286</v>
      </c>
      <c r="D15400" s="13" t="s">
        <v>20172</v>
      </c>
      <c r="E15400" s="8">
        <v>6799.88</v>
      </c>
      <c r="F15400" s="13" t="s">
        <v>70</v>
      </c>
      <c r="G15400" s="14">
        <v>44677</v>
      </c>
      <c r="H15400" s="13" t="s">
        <v>20060</v>
      </c>
    </row>
    <row r="15401" spans="1:8" ht="14.4" x14ac:dyDescent="0.3">
      <c r="A15401" s="8">
        <v>7753213</v>
      </c>
      <c r="B15401" s="11">
        <v>44669</v>
      </c>
      <c r="C15401" s="13" t="s">
        <v>1286</v>
      </c>
      <c r="D15401" s="13" t="s">
        <v>20173</v>
      </c>
      <c r="E15401" s="8">
        <v>5100.8599999999997</v>
      </c>
      <c r="F15401" s="13" t="s">
        <v>70</v>
      </c>
      <c r="G15401" s="14">
        <v>44677</v>
      </c>
      <c r="H15401" s="13" t="s">
        <v>20060</v>
      </c>
    </row>
    <row r="15402" spans="1:8" ht="14.4" x14ac:dyDescent="0.3">
      <c r="A15402" s="8">
        <v>7753214</v>
      </c>
      <c r="B15402" s="11">
        <v>44669</v>
      </c>
      <c r="C15402" s="13" t="s">
        <v>1286</v>
      </c>
      <c r="D15402" s="13" t="s">
        <v>20174</v>
      </c>
      <c r="E15402" s="8">
        <v>3939.81</v>
      </c>
      <c r="F15402" s="13" t="s">
        <v>70</v>
      </c>
      <c r="G15402" s="14">
        <v>44677</v>
      </c>
      <c r="H15402" s="13" t="s">
        <v>20060</v>
      </c>
    </row>
    <row r="15403" spans="1:8" ht="14.4" x14ac:dyDescent="0.3">
      <c r="A15403" s="8">
        <v>7753215</v>
      </c>
      <c r="B15403" s="11">
        <v>44669</v>
      </c>
      <c r="C15403" s="13" t="s">
        <v>20175</v>
      </c>
      <c r="D15403" s="13" t="s">
        <v>20176</v>
      </c>
      <c r="E15403" s="8">
        <v>9790</v>
      </c>
      <c r="F15403" s="13" t="s">
        <v>70</v>
      </c>
      <c r="G15403" s="14">
        <v>44706</v>
      </c>
      <c r="H15403" s="13" t="s">
        <v>20060</v>
      </c>
    </row>
    <row r="15404" spans="1:8" ht="14.4" x14ac:dyDescent="0.3">
      <c r="A15404" s="8">
        <v>7753216</v>
      </c>
      <c r="B15404" s="11">
        <v>44669</v>
      </c>
      <c r="C15404" s="13" t="s">
        <v>85</v>
      </c>
      <c r="D15404" s="13" t="s">
        <v>20177</v>
      </c>
      <c r="E15404" s="8">
        <v>3375</v>
      </c>
      <c r="F15404" s="13" t="s">
        <v>70</v>
      </c>
      <c r="G15404" s="14">
        <v>44670</v>
      </c>
      <c r="H15404" s="13" t="s">
        <v>20060</v>
      </c>
    </row>
    <row r="15405" spans="1:8" ht="14.4" x14ac:dyDescent="0.3">
      <c r="A15405" s="8">
        <v>7753217</v>
      </c>
      <c r="B15405" s="11">
        <v>44669</v>
      </c>
      <c r="C15405" s="13" t="s">
        <v>1984</v>
      </c>
      <c r="D15405" s="13" t="s">
        <v>1503</v>
      </c>
      <c r="E15405" s="8">
        <v>40714.550000000003</v>
      </c>
      <c r="F15405" s="13" t="s">
        <v>70</v>
      </c>
      <c r="G15405" s="14">
        <v>44671</v>
      </c>
      <c r="H15405" s="13" t="s">
        <v>20060</v>
      </c>
    </row>
    <row r="15406" spans="1:8" ht="14.4" x14ac:dyDescent="0.3">
      <c r="A15406" s="8">
        <v>7753218</v>
      </c>
      <c r="B15406" s="11">
        <v>44669</v>
      </c>
      <c r="C15406" s="13" t="s">
        <v>1983</v>
      </c>
      <c r="D15406" s="13" t="s">
        <v>1503</v>
      </c>
      <c r="E15406" s="8">
        <v>40714.550000000003</v>
      </c>
      <c r="F15406" s="13" t="s">
        <v>70</v>
      </c>
      <c r="G15406" s="14">
        <v>44671</v>
      </c>
      <c r="H15406" s="13" t="s">
        <v>20060</v>
      </c>
    </row>
    <row r="15407" spans="1:8" ht="14.4" x14ac:dyDescent="0.3">
      <c r="A15407" s="8">
        <v>7753220</v>
      </c>
      <c r="B15407" s="11">
        <v>44669</v>
      </c>
      <c r="C15407" s="13" t="s">
        <v>44</v>
      </c>
      <c r="D15407" s="13" t="s">
        <v>20178</v>
      </c>
      <c r="E15407" s="8">
        <v>12890.62</v>
      </c>
      <c r="F15407" s="13" t="s">
        <v>70</v>
      </c>
      <c r="G15407" s="14">
        <v>44670</v>
      </c>
      <c r="H15407" s="13" t="s">
        <v>20060</v>
      </c>
    </row>
    <row r="15408" spans="1:8" ht="14.4" x14ac:dyDescent="0.3">
      <c r="A15408" s="8">
        <v>7753221</v>
      </c>
      <c r="B15408" s="11">
        <v>44669</v>
      </c>
      <c r="C15408" s="13" t="s">
        <v>3350</v>
      </c>
      <c r="D15408" s="13" t="s">
        <v>20179</v>
      </c>
      <c r="E15408" s="8">
        <v>2343.75</v>
      </c>
      <c r="F15408" s="13" t="s">
        <v>70</v>
      </c>
      <c r="G15408" s="14">
        <v>44701</v>
      </c>
      <c r="H15408" s="13" t="s">
        <v>20060</v>
      </c>
    </row>
    <row r="15409" spans="1:8" ht="14.4" x14ac:dyDescent="0.3">
      <c r="A15409" s="8">
        <v>7753222</v>
      </c>
      <c r="B15409" s="11">
        <v>44669</v>
      </c>
      <c r="C15409" s="13" t="s">
        <v>44</v>
      </c>
      <c r="D15409" s="13" t="s">
        <v>20180</v>
      </c>
      <c r="E15409" s="8">
        <v>3795.73</v>
      </c>
      <c r="F15409" s="13" t="s">
        <v>70</v>
      </c>
      <c r="G15409" s="14">
        <v>44670</v>
      </c>
      <c r="H15409" s="13" t="s">
        <v>20060</v>
      </c>
    </row>
    <row r="15410" spans="1:8" ht="14.4" x14ac:dyDescent="0.3">
      <c r="A15410" s="8">
        <v>7753223</v>
      </c>
      <c r="B15410" s="11">
        <v>44669</v>
      </c>
      <c r="C15410" s="13" t="s">
        <v>1286</v>
      </c>
      <c r="D15410" s="13" t="s">
        <v>20181</v>
      </c>
      <c r="E15410" s="8">
        <v>4365.32</v>
      </c>
      <c r="F15410" s="13" t="s">
        <v>70</v>
      </c>
      <c r="G15410" s="14">
        <v>44677</v>
      </c>
      <c r="H15410" s="13" t="s">
        <v>20060</v>
      </c>
    </row>
    <row r="15411" spans="1:8" ht="14.4" x14ac:dyDescent="0.3">
      <c r="A15411" s="8">
        <v>7753224</v>
      </c>
      <c r="B15411" s="11">
        <v>44669</v>
      </c>
      <c r="C15411" s="13" t="s">
        <v>1286</v>
      </c>
      <c r="D15411" s="13" t="s">
        <v>20182</v>
      </c>
      <c r="E15411" s="8">
        <v>30380.53</v>
      </c>
      <c r="F15411" s="13" t="s">
        <v>70</v>
      </c>
      <c r="G15411" s="14">
        <v>44672</v>
      </c>
      <c r="H15411" s="13" t="s">
        <v>20060</v>
      </c>
    </row>
    <row r="15412" spans="1:8" ht="14.4" x14ac:dyDescent="0.3">
      <c r="A15412" s="8">
        <v>7753225</v>
      </c>
      <c r="B15412" s="11">
        <v>44669</v>
      </c>
      <c r="C15412" s="13" t="s">
        <v>1286</v>
      </c>
      <c r="D15412" s="13" t="s">
        <v>20183</v>
      </c>
      <c r="E15412" s="8">
        <v>21295.88</v>
      </c>
      <c r="F15412" s="13" t="s">
        <v>70</v>
      </c>
      <c r="G15412" s="14">
        <v>44672</v>
      </c>
      <c r="H15412" s="13" t="s">
        <v>20060</v>
      </c>
    </row>
    <row r="15413" spans="1:8" ht="14.4" x14ac:dyDescent="0.3">
      <c r="A15413" s="8">
        <v>7753226</v>
      </c>
      <c r="B15413" s="11">
        <v>44669</v>
      </c>
      <c r="C15413" s="13" t="s">
        <v>1286</v>
      </c>
      <c r="D15413" s="13" t="s">
        <v>20184</v>
      </c>
      <c r="E15413" s="8">
        <v>32933.67</v>
      </c>
      <c r="F15413" s="13" t="s">
        <v>70</v>
      </c>
      <c r="G15413" s="14">
        <v>44672</v>
      </c>
      <c r="H15413" s="13" t="s">
        <v>20060</v>
      </c>
    </row>
    <row r="15414" spans="1:8" ht="14.4" x14ac:dyDescent="0.3">
      <c r="A15414" s="8">
        <v>7753227</v>
      </c>
      <c r="B15414" s="11">
        <v>44669</v>
      </c>
      <c r="C15414" s="13" t="s">
        <v>1286</v>
      </c>
      <c r="D15414" s="13" t="s">
        <v>20185</v>
      </c>
      <c r="E15414" s="8">
        <v>32134.04</v>
      </c>
      <c r="F15414" s="13" t="s">
        <v>70</v>
      </c>
      <c r="G15414" s="14">
        <v>44672</v>
      </c>
      <c r="H15414" s="13" t="s">
        <v>20060</v>
      </c>
    </row>
    <row r="15415" spans="1:8" ht="14.4" x14ac:dyDescent="0.3">
      <c r="A15415" s="8">
        <v>7753228</v>
      </c>
      <c r="B15415" s="11">
        <v>44669</v>
      </c>
      <c r="C15415" s="13" t="s">
        <v>1286</v>
      </c>
      <c r="D15415" s="13" t="s">
        <v>20186</v>
      </c>
      <c r="E15415" s="8">
        <v>5880.99</v>
      </c>
      <c r="F15415" s="13" t="s">
        <v>70</v>
      </c>
      <c r="G15415" s="14">
        <v>44677</v>
      </c>
      <c r="H15415" s="13" t="s">
        <v>20060</v>
      </c>
    </row>
    <row r="15416" spans="1:8" ht="14.4" x14ac:dyDescent="0.3">
      <c r="A15416" s="8">
        <v>7753229</v>
      </c>
      <c r="B15416" s="11">
        <v>44669</v>
      </c>
      <c r="C15416" s="13" t="s">
        <v>1286</v>
      </c>
      <c r="D15416" s="13" t="s">
        <v>20187</v>
      </c>
      <c r="E15416" s="8">
        <v>11446.66</v>
      </c>
      <c r="F15416" s="13" t="s">
        <v>70</v>
      </c>
      <c r="G15416" s="14">
        <v>44672</v>
      </c>
      <c r="H15416" s="13" t="s">
        <v>20060</v>
      </c>
    </row>
    <row r="15417" spans="1:8" ht="14.4" x14ac:dyDescent="0.3">
      <c r="A15417" s="8">
        <v>7753230</v>
      </c>
      <c r="B15417" s="11">
        <v>44669</v>
      </c>
      <c r="C15417" s="13" t="s">
        <v>1286</v>
      </c>
      <c r="D15417" s="13" t="s">
        <v>20188</v>
      </c>
      <c r="E15417" s="8">
        <v>4533.3900000000003</v>
      </c>
      <c r="F15417" s="13" t="s">
        <v>70</v>
      </c>
      <c r="G15417" s="14">
        <v>44677</v>
      </c>
      <c r="H15417" s="13" t="s">
        <v>20060</v>
      </c>
    </row>
    <row r="15418" spans="1:8" ht="14.4" x14ac:dyDescent="0.3">
      <c r="A15418" s="8">
        <v>7753231</v>
      </c>
      <c r="B15418" s="11">
        <v>44669</v>
      </c>
      <c r="C15418" s="13" t="s">
        <v>1286</v>
      </c>
      <c r="D15418" s="13" t="s">
        <v>20189</v>
      </c>
      <c r="E15418" s="8">
        <v>9395.2000000000007</v>
      </c>
      <c r="F15418" s="13" t="s">
        <v>70</v>
      </c>
      <c r="G15418" s="14">
        <v>44677</v>
      </c>
      <c r="H15418" s="13" t="s">
        <v>20060</v>
      </c>
    </row>
    <row r="15419" spans="1:8" ht="14.4" x14ac:dyDescent="0.3">
      <c r="A15419" s="8">
        <v>7753232</v>
      </c>
      <c r="B15419" s="11">
        <v>44669</v>
      </c>
      <c r="C15419" s="13" t="s">
        <v>1286</v>
      </c>
      <c r="D15419" s="13" t="s">
        <v>20190</v>
      </c>
      <c r="E15419" s="8">
        <v>11345.78</v>
      </c>
      <c r="F15419" s="13" t="s">
        <v>70</v>
      </c>
      <c r="G15419" s="14">
        <v>44677</v>
      </c>
      <c r="H15419" s="13" t="s">
        <v>20060</v>
      </c>
    </row>
    <row r="15420" spans="1:8" ht="14.4" x14ac:dyDescent="0.3">
      <c r="A15420" s="8">
        <v>7753233</v>
      </c>
      <c r="B15420" s="11">
        <v>44669</v>
      </c>
      <c r="C15420" s="13" t="s">
        <v>1286</v>
      </c>
      <c r="D15420" s="13" t="s">
        <v>20191</v>
      </c>
      <c r="E15420" s="8">
        <v>5280.37</v>
      </c>
      <c r="F15420" s="13" t="s">
        <v>70</v>
      </c>
      <c r="G15420" s="14">
        <v>44677</v>
      </c>
      <c r="H15420" s="13" t="s">
        <v>20060</v>
      </c>
    </row>
    <row r="15421" spans="1:8" ht="14.4" x14ac:dyDescent="0.3">
      <c r="A15421" s="8">
        <v>7753234</v>
      </c>
      <c r="B15421" s="11">
        <v>44669</v>
      </c>
      <c r="C15421" s="13" t="s">
        <v>1286</v>
      </c>
      <c r="D15421" s="13" t="s">
        <v>20192</v>
      </c>
      <c r="E15421" s="8">
        <v>10770.74</v>
      </c>
      <c r="F15421" s="13" t="s">
        <v>70</v>
      </c>
      <c r="G15421" s="14">
        <v>44672</v>
      </c>
      <c r="H15421" s="13" t="s">
        <v>20060</v>
      </c>
    </row>
    <row r="15422" spans="1:8" ht="14.4" x14ac:dyDescent="0.3">
      <c r="A15422" s="8">
        <v>7753235</v>
      </c>
      <c r="B15422" s="11">
        <v>44669</v>
      </c>
      <c r="C15422" s="13" t="s">
        <v>1286</v>
      </c>
      <c r="D15422" s="13" t="s">
        <v>20193</v>
      </c>
      <c r="E15422" s="8">
        <v>1681.7</v>
      </c>
      <c r="F15422" s="13" t="s">
        <v>70</v>
      </c>
      <c r="G15422" s="14">
        <v>44677</v>
      </c>
      <c r="H15422" s="13" t="s">
        <v>20060</v>
      </c>
    </row>
    <row r="15423" spans="1:8" ht="14.4" x14ac:dyDescent="0.3">
      <c r="A15423" s="8">
        <v>7753236</v>
      </c>
      <c r="B15423" s="11">
        <v>44669</v>
      </c>
      <c r="C15423" s="13" t="s">
        <v>1286</v>
      </c>
      <c r="D15423" s="13" t="s">
        <v>20194</v>
      </c>
      <c r="E15423" s="8">
        <v>5637.12</v>
      </c>
      <c r="F15423" s="13" t="s">
        <v>70</v>
      </c>
      <c r="G15423" s="14">
        <v>44677</v>
      </c>
      <c r="H15423" s="13" t="s">
        <v>20060</v>
      </c>
    </row>
    <row r="15424" spans="1:8" ht="14.4" x14ac:dyDescent="0.3">
      <c r="A15424" s="8">
        <v>7753237</v>
      </c>
      <c r="B15424" s="11">
        <v>44669</v>
      </c>
      <c r="C15424" s="13" t="s">
        <v>1286</v>
      </c>
      <c r="D15424" s="13" t="s">
        <v>20195</v>
      </c>
      <c r="E15424" s="8">
        <v>8541.61</v>
      </c>
      <c r="F15424" s="13" t="s">
        <v>70</v>
      </c>
      <c r="G15424" s="14">
        <v>44672</v>
      </c>
      <c r="H15424" s="13" t="s">
        <v>20060</v>
      </c>
    </row>
    <row r="15425" spans="1:8" ht="14.4" x14ac:dyDescent="0.3">
      <c r="A15425" s="8">
        <v>7753238</v>
      </c>
      <c r="B15425" s="11">
        <v>44669</v>
      </c>
      <c r="C15425" s="13" t="s">
        <v>1286</v>
      </c>
      <c r="D15425" s="13" t="s">
        <v>20196</v>
      </c>
      <c r="E15425" s="8">
        <v>18438.37</v>
      </c>
      <c r="F15425" s="13" t="s">
        <v>70</v>
      </c>
      <c r="G15425" s="14">
        <v>44672</v>
      </c>
      <c r="H15425" s="13" t="s">
        <v>20060</v>
      </c>
    </row>
    <row r="15426" spans="1:8" ht="14.4" x14ac:dyDescent="0.3">
      <c r="A15426" s="8">
        <v>7753239</v>
      </c>
      <c r="B15426" s="11">
        <v>44669</v>
      </c>
      <c r="C15426" s="13" t="s">
        <v>1286</v>
      </c>
      <c r="D15426" s="13" t="s">
        <v>20197</v>
      </c>
      <c r="E15426" s="8">
        <v>10581.6</v>
      </c>
      <c r="F15426" s="13" t="s">
        <v>70</v>
      </c>
      <c r="G15426" s="14">
        <v>44672</v>
      </c>
      <c r="H15426" s="13" t="s">
        <v>20060</v>
      </c>
    </row>
    <row r="15427" spans="1:8" ht="14.4" x14ac:dyDescent="0.3">
      <c r="A15427" s="8">
        <v>7753240</v>
      </c>
      <c r="B15427" s="11">
        <v>44669</v>
      </c>
      <c r="C15427" s="13" t="s">
        <v>1286</v>
      </c>
      <c r="D15427" s="13" t="s">
        <v>20198</v>
      </c>
      <c r="E15427" s="8">
        <v>33634.080000000002</v>
      </c>
      <c r="F15427" s="13" t="s">
        <v>70</v>
      </c>
      <c r="G15427" s="14">
        <v>44672</v>
      </c>
      <c r="H15427" s="13" t="s">
        <v>20060</v>
      </c>
    </row>
    <row r="15428" spans="1:8" ht="14.4" x14ac:dyDescent="0.3">
      <c r="A15428" s="8">
        <v>7753241</v>
      </c>
      <c r="B15428" s="11">
        <v>44669</v>
      </c>
      <c r="C15428" s="13" t="s">
        <v>1286</v>
      </c>
      <c r="D15428" s="13" t="s">
        <v>20199</v>
      </c>
      <c r="E15428" s="8">
        <v>6085.49</v>
      </c>
      <c r="F15428" s="13" t="s">
        <v>70</v>
      </c>
      <c r="G15428" s="14">
        <v>44677</v>
      </c>
      <c r="H15428" s="13" t="s">
        <v>20060</v>
      </c>
    </row>
    <row r="15429" spans="1:8" ht="14.4" x14ac:dyDescent="0.3">
      <c r="A15429" s="8">
        <v>7753242</v>
      </c>
      <c r="B15429" s="11">
        <v>44669</v>
      </c>
      <c r="C15429" s="13" t="s">
        <v>20200</v>
      </c>
      <c r="D15429" s="13" t="s">
        <v>20201</v>
      </c>
      <c r="E15429" s="8">
        <v>1520.75</v>
      </c>
      <c r="F15429" s="13" t="s">
        <v>70</v>
      </c>
      <c r="G15429" s="14">
        <v>44671</v>
      </c>
      <c r="H15429" s="13" t="s">
        <v>20060</v>
      </c>
    </row>
    <row r="15430" spans="1:8" ht="14.4" x14ac:dyDescent="0.3">
      <c r="A15430" s="8">
        <v>7753243</v>
      </c>
      <c r="B15430" s="11">
        <v>44669</v>
      </c>
      <c r="C15430" s="13" t="s">
        <v>20202</v>
      </c>
      <c r="D15430" s="13" t="s">
        <v>20203</v>
      </c>
      <c r="E15430" s="8">
        <v>10364.86</v>
      </c>
      <c r="F15430" s="13" t="s">
        <v>70</v>
      </c>
      <c r="G15430" s="14">
        <v>44672</v>
      </c>
      <c r="H15430" s="13" t="s">
        <v>20060</v>
      </c>
    </row>
    <row r="15431" spans="1:8" ht="14.4" x14ac:dyDescent="0.3">
      <c r="A15431" s="8">
        <v>7753244</v>
      </c>
      <c r="B15431" s="11">
        <v>44669</v>
      </c>
      <c r="C15431" s="13" t="s">
        <v>20204</v>
      </c>
      <c r="D15431" s="13" t="s">
        <v>20205</v>
      </c>
      <c r="E15431" s="8">
        <v>685.73</v>
      </c>
      <c r="F15431" s="13" t="s">
        <v>70</v>
      </c>
      <c r="G15431" s="14">
        <v>44670</v>
      </c>
      <c r="H15431" s="13" t="s">
        <v>20060</v>
      </c>
    </row>
    <row r="15432" spans="1:8" ht="14.4" x14ac:dyDescent="0.3">
      <c r="A15432" s="8">
        <v>7753245</v>
      </c>
      <c r="B15432" s="11">
        <v>44669</v>
      </c>
      <c r="C15432" s="13" t="s">
        <v>20206</v>
      </c>
      <c r="D15432" s="13" t="s">
        <v>20207</v>
      </c>
      <c r="E15432" s="8">
        <v>1736.16</v>
      </c>
      <c r="F15432" s="13" t="s">
        <v>70</v>
      </c>
      <c r="G15432" s="14">
        <v>44672</v>
      </c>
      <c r="H15432" s="13" t="s">
        <v>20060</v>
      </c>
    </row>
    <row r="15433" spans="1:8" ht="14.4" x14ac:dyDescent="0.3">
      <c r="A15433" s="8">
        <v>7753246</v>
      </c>
      <c r="B15433" s="11">
        <v>44669</v>
      </c>
      <c r="C15433" s="13" t="s">
        <v>20208</v>
      </c>
      <c r="D15433" s="13" t="s">
        <v>20207</v>
      </c>
      <c r="E15433" s="8">
        <v>844</v>
      </c>
      <c r="F15433" s="13" t="s">
        <v>70</v>
      </c>
      <c r="G15433" s="14">
        <v>44672</v>
      </c>
      <c r="H15433" s="13" t="s">
        <v>20060</v>
      </c>
    </row>
    <row r="15434" spans="1:8" ht="14.4" x14ac:dyDescent="0.3">
      <c r="A15434" s="8">
        <v>7753247</v>
      </c>
      <c r="B15434" s="11">
        <v>44669</v>
      </c>
      <c r="C15434" s="13" t="s">
        <v>20209</v>
      </c>
      <c r="D15434" s="13" t="s">
        <v>20210</v>
      </c>
      <c r="E15434" s="8">
        <v>907.28</v>
      </c>
      <c r="F15434" s="13" t="s">
        <v>70</v>
      </c>
      <c r="G15434" s="14">
        <v>44670</v>
      </c>
      <c r="H15434" s="13" t="s">
        <v>20060</v>
      </c>
    </row>
    <row r="15435" spans="1:8" ht="14.4" x14ac:dyDescent="0.3">
      <c r="A15435" s="8">
        <v>7753248</v>
      </c>
      <c r="B15435" s="11">
        <v>44669</v>
      </c>
      <c r="C15435" s="13" t="s">
        <v>1985</v>
      </c>
      <c r="D15435" s="13" t="s">
        <v>20211</v>
      </c>
      <c r="E15435" s="8">
        <v>12773.23</v>
      </c>
      <c r="F15435" s="13" t="s">
        <v>70</v>
      </c>
      <c r="G15435" s="14">
        <v>44670</v>
      </c>
      <c r="H15435" s="13" t="s">
        <v>20060</v>
      </c>
    </row>
    <row r="15436" spans="1:8" ht="14.4" x14ac:dyDescent="0.3">
      <c r="A15436" s="8">
        <v>7753249</v>
      </c>
      <c r="B15436" s="11">
        <v>44669</v>
      </c>
      <c r="C15436" s="13" t="s">
        <v>124</v>
      </c>
      <c r="D15436" s="13" t="s">
        <v>20212</v>
      </c>
      <c r="E15436" s="8">
        <v>11293.22</v>
      </c>
      <c r="F15436" s="13" t="s">
        <v>70</v>
      </c>
      <c r="G15436" s="14">
        <v>44692</v>
      </c>
      <c r="H15436" s="13" t="s">
        <v>20060</v>
      </c>
    </row>
    <row r="15437" spans="1:8" ht="14.4" x14ac:dyDescent="0.3">
      <c r="A15437" s="8">
        <v>7753250</v>
      </c>
      <c r="B15437" s="11">
        <v>44669</v>
      </c>
      <c r="C15437" s="13" t="s">
        <v>1286</v>
      </c>
      <c r="D15437" s="13" t="s">
        <v>20213</v>
      </c>
      <c r="E15437" s="8">
        <v>4798.33</v>
      </c>
      <c r="F15437" s="13" t="s">
        <v>70</v>
      </c>
      <c r="G15437" s="14">
        <v>44672</v>
      </c>
      <c r="H15437" s="13" t="s">
        <v>20060</v>
      </c>
    </row>
    <row r="15438" spans="1:8" ht="14.4" x14ac:dyDescent="0.3">
      <c r="A15438" s="8">
        <v>7753251</v>
      </c>
      <c r="B15438" s="11">
        <v>44669</v>
      </c>
      <c r="C15438" s="13" t="s">
        <v>1286</v>
      </c>
      <c r="D15438" s="13" t="s">
        <v>20214</v>
      </c>
      <c r="E15438" s="8">
        <v>4002.96</v>
      </c>
      <c r="F15438" s="13" t="s">
        <v>70</v>
      </c>
      <c r="G15438" s="14">
        <v>44672</v>
      </c>
      <c r="H15438" s="13" t="s">
        <v>20060</v>
      </c>
    </row>
    <row r="15439" spans="1:8" ht="14.4" x14ac:dyDescent="0.3">
      <c r="A15439" s="8">
        <v>7753252</v>
      </c>
      <c r="B15439" s="11">
        <v>44669</v>
      </c>
      <c r="C15439" s="13" t="s">
        <v>1286</v>
      </c>
      <c r="D15439" s="13" t="s">
        <v>20215</v>
      </c>
      <c r="E15439" s="8">
        <v>2534.79</v>
      </c>
      <c r="F15439" s="13" t="s">
        <v>70</v>
      </c>
      <c r="G15439" s="14">
        <v>44672</v>
      </c>
      <c r="H15439" s="13" t="s">
        <v>20060</v>
      </c>
    </row>
    <row r="15440" spans="1:8" ht="14.4" x14ac:dyDescent="0.3">
      <c r="A15440" s="8">
        <v>7753253</v>
      </c>
      <c r="B15440" s="11">
        <v>44669</v>
      </c>
      <c r="C15440" s="13" t="s">
        <v>1286</v>
      </c>
      <c r="D15440" s="13" t="s">
        <v>20216</v>
      </c>
      <c r="E15440" s="8">
        <v>157380.79</v>
      </c>
      <c r="F15440" s="13" t="s">
        <v>70</v>
      </c>
      <c r="G15440" s="14">
        <v>44672</v>
      </c>
      <c r="H15440" s="13" t="s">
        <v>20060</v>
      </c>
    </row>
    <row r="15441" spans="1:8" ht="14.4" x14ac:dyDescent="0.3">
      <c r="A15441" s="8">
        <v>7753254</v>
      </c>
      <c r="B15441" s="11">
        <v>44669</v>
      </c>
      <c r="C15441" s="13" t="s">
        <v>1286</v>
      </c>
      <c r="D15441" s="13" t="s">
        <v>20217</v>
      </c>
      <c r="E15441" s="8">
        <v>185780.55</v>
      </c>
      <c r="F15441" s="13" t="s">
        <v>70</v>
      </c>
      <c r="G15441" s="14">
        <v>44672</v>
      </c>
      <c r="H15441" s="13" t="s">
        <v>20060</v>
      </c>
    </row>
    <row r="15442" spans="1:8" ht="14.4" x14ac:dyDescent="0.3">
      <c r="A15442" s="8">
        <v>7753255</v>
      </c>
      <c r="B15442" s="11">
        <v>44669</v>
      </c>
      <c r="C15442" s="13" t="s">
        <v>1286</v>
      </c>
      <c r="D15442" s="13" t="s">
        <v>20218</v>
      </c>
      <c r="E15442" s="8">
        <v>30431.43</v>
      </c>
      <c r="F15442" s="13" t="s">
        <v>70</v>
      </c>
      <c r="G15442" s="14">
        <v>44672</v>
      </c>
      <c r="H15442" s="13" t="s">
        <v>20060</v>
      </c>
    </row>
    <row r="15443" spans="1:8" ht="14.4" x14ac:dyDescent="0.3">
      <c r="A15443" s="8">
        <v>7753256</v>
      </c>
      <c r="B15443" s="11">
        <v>44669</v>
      </c>
      <c r="C15443" s="13" t="s">
        <v>1286</v>
      </c>
      <c r="D15443" s="13" t="s">
        <v>20219</v>
      </c>
      <c r="E15443" s="8">
        <v>44654.17</v>
      </c>
      <c r="F15443" s="13" t="s">
        <v>70</v>
      </c>
      <c r="G15443" s="14">
        <v>44677</v>
      </c>
      <c r="H15443" s="13" t="s">
        <v>20060</v>
      </c>
    </row>
    <row r="15444" spans="1:8" ht="14.4" x14ac:dyDescent="0.3">
      <c r="A15444" s="8">
        <v>7753257</v>
      </c>
      <c r="B15444" s="11">
        <v>44669</v>
      </c>
      <c r="C15444" s="13" t="s">
        <v>1286</v>
      </c>
      <c r="D15444" s="13" t="s">
        <v>20220</v>
      </c>
      <c r="E15444" s="8">
        <v>159253.62</v>
      </c>
      <c r="F15444" s="13" t="s">
        <v>70</v>
      </c>
      <c r="G15444" s="14">
        <v>44672</v>
      </c>
      <c r="H15444" s="13" t="s">
        <v>20060</v>
      </c>
    </row>
    <row r="15445" spans="1:8" ht="14.4" x14ac:dyDescent="0.3">
      <c r="A15445" s="8">
        <v>7753258</v>
      </c>
      <c r="B15445" s="11">
        <v>44669</v>
      </c>
      <c r="C15445" s="13" t="s">
        <v>20221</v>
      </c>
      <c r="D15445" s="13" t="s">
        <v>20205</v>
      </c>
      <c r="E15445" s="8">
        <v>364.6</v>
      </c>
      <c r="F15445" s="13" t="s">
        <v>70</v>
      </c>
      <c r="G15445" s="14">
        <v>44672</v>
      </c>
      <c r="H15445" s="13" t="s">
        <v>20060</v>
      </c>
    </row>
    <row r="15446" spans="1:8" ht="14.4" x14ac:dyDescent="0.3">
      <c r="A15446" s="8">
        <v>7753259</v>
      </c>
      <c r="B15446" s="11">
        <v>44669</v>
      </c>
      <c r="C15446" s="13" t="s">
        <v>619</v>
      </c>
      <c r="D15446" s="13" t="s">
        <v>20222</v>
      </c>
      <c r="E15446" s="8">
        <v>5000</v>
      </c>
      <c r="F15446" s="13" t="s">
        <v>70</v>
      </c>
      <c r="G15446" s="14">
        <v>44677</v>
      </c>
      <c r="H15446" s="13" t="s">
        <v>20060</v>
      </c>
    </row>
    <row r="15447" spans="1:8" ht="14.4" x14ac:dyDescent="0.3">
      <c r="A15447" s="8">
        <v>7753260</v>
      </c>
      <c r="B15447" s="11">
        <v>44669</v>
      </c>
      <c r="C15447" s="13" t="s">
        <v>1286</v>
      </c>
      <c r="D15447" s="13" t="s">
        <v>8343</v>
      </c>
      <c r="E15447" s="8">
        <v>133284.68</v>
      </c>
      <c r="F15447" s="13" t="s">
        <v>70</v>
      </c>
      <c r="G15447" s="14">
        <v>44672</v>
      </c>
      <c r="H15447" s="13" t="s">
        <v>20060</v>
      </c>
    </row>
    <row r="15448" spans="1:8" ht="14.4" x14ac:dyDescent="0.3">
      <c r="A15448" s="8">
        <v>7753261</v>
      </c>
      <c r="B15448" s="11">
        <v>44669</v>
      </c>
      <c r="C15448" s="13" t="s">
        <v>1286</v>
      </c>
      <c r="D15448" s="13" t="s">
        <v>20223</v>
      </c>
      <c r="E15448" s="8">
        <v>163381.06</v>
      </c>
      <c r="F15448" s="13" t="s">
        <v>70</v>
      </c>
      <c r="G15448" s="14">
        <v>44672</v>
      </c>
      <c r="H15448" s="13" t="s">
        <v>20060</v>
      </c>
    </row>
    <row r="15449" spans="1:8" ht="14.4" x14ac:dyDescent="0.3">
      <c r="A15449" s="8">
        <v>7753263</v>
      </c>
      <c r="B15449" s="11">
        <v>44670</v>
      </c>
      <c r="C15449" s="13" t="s">
        <v>1581</v>
      </c>
      <c r="D15449" s="13" t="s">
        <v>20224</v>
      </c>
      <c r="E15449" s="8">
        <v>7098.22</v>
      </c>
      <c r="F15449" s="13" t="s">
        <v>70</v>
      </c>
      <c r="G15449" s="14">
        <v>44673</v>
      </c>
      <c r="H15449" s="13" t="s">
        <v>20060</v>
      </c>
    </row>
    <row r="15450" spans="1:8" ht="14.4" x14ac:dyDescent="0.3">
      <c r="A15450" s="8">
        <v>7753264</v>
      </c>
      <c r="B15450" s="11">
        <v>44670</v>
      </c>
      <c r="C15450" s="13" t="s">
        <v>265</v>
      </c>
      <c r="D15450" s="13" t="s">
        <v>20225</v>
      </c>
      <c r="E15450" s="8">
        <v>60000</v>
      </c>
      <c r="F15450" s="13" t="s">
        <v>70</v>
      </c>
      <c r="G15450" s="14">
        <v>44672</v>
      </c>
      <c r="H15450" s="13" t="s">
        <v>20060</v>
      </c>
    </row>
    <row r="15451" spans="1:8" ht="14.4" x14ac:dyDescent="0.3">
      <c r="A15451" s="8">
        <v>7753265</v>
      </c>
      <c r="B15451" s="11">
        <v>44670</v>
      </c>
      <c r="C15451" s="13" t="s">
        <v>20226</v>
      </c>
      <c r="D15451" s="13" t="s">
        <v>20227</v>
      </c>
      <c r="E15451" s="8">
        <v>749.78</v>
      </c>
      <c r="F15451" s="13" t="s">
        <v>70</v>
      </c>
      <c r="G15451" s="14">
        <v>44670</v>
      </c>
      <c r="H15451" s="13" t="s">
        <v>20060</v>
      </c>
    </row>
    <row r="15452" spans="1:8" ht="14.4" x14ac:dyDescent="0.3">
      <c r="A15452" s="8">
        <v>7753266</v>
      </c>
      <c r="B15452" s="11">
        <v>44670</v>
      </c>
      <c r="C15452" s="13" t="s">
        <v>20228</v>
      </c>
      <c r="D15452" s="13" t="s">
        <v>20229</v>
      </c>
      <c r="E15452" s="8">
        <v>684.16</v>
      </c>
      <c r="F15452" s="13" t="s">
        <v>70</v>
      </c>
      <c r="G15452" s="14">
        <v>44673</v>
      </c>
      <c r="H15452" s="13" t="s">
        <v>20060</v>
      </c>
    </row>
    <row r="15453" spans="1:8" ht="14.4" x14ac:dyDescent="0.3">
      <c r="A15453" s="8">
        <v>7753267</v>
      </c>
      <c r="B15453" s="11">
        <v>44670</v>
      </c>
      <c r="C15453" s="13" t="s">
        <v>265</v>
      </c>
      <c r="D15453" s="13" t="s">
        <v>20230</v>
      </c>
      <c r="E15453" s="8">
        <v>27980.04</v>
      </c>
      <c r="F15453" s="13" t="s">
        <v>70</v>
      </c>
      <c r="G15453" s="14">
        <v>44672</v>
      </c>
      <c r="H15453" s="13" t="s">
        <v>20060</v>
      </c>
    </row>
    <row r="15454" spans="1:8" ht="14.4" x14ac:dyDescent="0.3">
      <c r="A15454" s="8">
        <v>7753268</v>
      </c>
      <c r="B15454" s="11">
        <v>44670</v>
      </c>
      <c r="C15454" s="13" t="s">
        <v>20231</v>
      </c>
      <c r="D15454" s="13" t="s">
        <v>20232</v>
      </c>
      <c r="E15454" s="8">
        <v>8923.93</v>
      </c>
      <c r="F15454" s="13" t="s">
        <v>70</v>
      </c>
      <c r="G15454" s="14">
        <v>44671</v>
      </c>
      <c r="H15454" s="13" t="s">
        <v>20060</v>
      </c>
    </row>
    <row r="15455" spans="1:8" ht="14.4" x14ac:dyDescent="0.3">
      <c r="A15455" s="8">
        <v>7753269</v>
      </c>
      <c r="B15455" s="11">
        <v>44670</v>
      </c>
      <c r="C15455" s="13" t="s">
        <v>20233</v>
      </c>
      <c r="D15455" s="13" t="s">
        <v>20207</v>
      </c>
      <c r="E15455" s="8">
        <v>482.92</v>
      </c>
      <c r="F15455" s="13" t="s">
        <v>70</v>
      </c>
      <c r="G15455" s="14">
        <v>44680</v>
      </c>
      <c r="H15455" s="13" t="s">
        <v>20060</v>
      </c>
    </row>
    <row r="15456" spans="1:8" ht="14.4" x14ac:dyDescent="0.3">
      <c r="A15456" s="8">
        <v>7753270</v>
      </c>
      <c r="B15456" s="11">
        <v>44670</v>
      </c>
      <c r="C15456" s="13" t="s">
        <v>20234</v>
      </c>
      <c r="D15456" s="13" t="s">
        <v>20235</v>
      </c>
      <c r="E15456" s="8">
        <v>93984</v>
      </c>
      <c r="F15456" s="13" t="s">
        <v>70</v>
      </c>
      <c r="G15456" s="14">
        <v>44672</v>
      </c>
      <c r="H15456" s="13" t="s">
        <v>20060</v>
      </c>
    </row>
    <row r="15457" spans="1:8" ht="14.4" x14ac:dyDescent="0.3">
      <c r="A15457" s="8">
        <v>7753271</v>
      </c>
      <c r="B15457" s="11">
        <v>44670</v>
      </c>
      <c r="C15457" s="13" t="s">
        <v>180</v>
      </c>
      <c r="D15457" s="13" t="s">
        <v>20236</v>
      </c>
      <c r="E15457" s="8">
        <v>101886.14</v>
      </c>
      <c r="F15457" s="13" t="s">
        <v>70</v>
      </c>
      <c r="G15457" s="14">
        <v>44670</v>
      </c>
      <c r="H15457" s="13" t="s">
        <v>20060</v>
      </c>
    </row>
    <row r="15458" spans="1:8" ht="14.4" x14ac:dyDescent="0.3">
      <c r="A15458" s="8">
        <v>7753272</v>
      </c>
      <c r="B15458" s="11">
        <v>44670</v>
      </c>
      <c r="C15458" s="13" t="s">
        <v>44</v>
      </c>
      <c r="D15458" s="13" t="s">
        <v>20237</v>
      </c>
      <c r="E15458" s="8">
        <v>2853.55</v>
      </c>
      <c r="F15458" s="13" t="s">
        <v>70</v>
      </c>
      <c r="G15458" s="14">
        <v>44672</v>
      </c>
      <c r="H15458" s="13" t="s">
        <v>20060</v>
      </c>
    </row>
    <row r="15459" spans="1:8" ht="14.4" x14ac:dyDescent="0.3">
      <c r="A15459" s="8">
        <v>7753273</v>
      </c>
      <c r="B15459" s="11">
        <v>44670</v>
      </c>
      <c r="C15459" s="13" t="s">
        <v>1958</v>
      </c>
      <c r="D15459" s="13" t="s">
        <v>20238</v>
      </c>
      <c r="E15459" s="8">
        <v>1323854.03</v>
      </c>
      <c r="F15459" s="13" t="s">
        <v>70</v>
      </c>
      <c r="G15459" s="14">
        <v>44672</v>
      </c>
      <c r="H15459" s="13" t="s">
        <v>20060</v>
      </c>
    </row>
    <row r="15460" spans="1:8" ht="14.4" x14ac:dyDescent="0.3">
      <c r="A15460" s="8">
        <v>7753274</v>
      </c>
      <c r="B15460" s="11">
        <v>44670</v>
      </c>
      <c r="C15460" s="13" t="s">
        <v>395</v>
      </c>
      <c r="D15460" s="13" t="s">
        <v>20239</v>
      </c>
      <c r="E15460" s="8">
        <v>25000</v>
      </c>
      <c r="F15460" s="13" t="s">
        <v>70</v>
      </c>
      <c r="G15460" s="14">
        <v>44671</v>
      </c>
      <c r="H15460" s="13" t="s">
        <v>20060</v>
      </c>
    </row>
    <row r="15461" spans="1:8" ht="14.4" x14ac:dyDescent="0.3">
      <c r="A15461" s="8">
        <v>7753275</v>
      </c>
      <c r="B15461" s="11">
        <v>44670</v>
      </c>
      <c r="C15461" s="13" t="s">
        <v>3434</v>
      </c>
      <c r="D15461" s="13" t="s">
        <v>20240</v>
      </c>
      <c r="E15461" s="8">
        <v>150</v>
      </c>
      <c r="F15461" s="13" t="s">
        <v>70</v>
      </c>
      <c r="G15461" s="14">
        <v>44680</v>
      </c>
      <c r="H15461" s="13" t="s">
        <v>20060</v>
      </c>
    </row>
    <row r="15462" spans="1:8" ht="14.4" x14ac:dyDescent="0.3">
      <c r="A15462" s="8">
        <v>7753276</v>
      </c>
      <c r="B15462" s="11">
        <v>44670</v>
      </c>
      <c r="C15462" s="13" t="s">
        <v>3434</v>
      </c>
      <c r="D15462" s="13" t="s">
        <v>20241</v>
      </c>
      <c r="E15462" s="8">
        <v>150</v>
      </c>
      <c r="F15462" s="13" t="s">
        <v>70</v>
      </c>
      <c r="G15462" s="14">
        <v>44680</v>
      </c>
      <c r="H15462" s="13" t="s">
        <v>20060</v>
      </c>
    </row>
    <row r="15463" spans="1:8" ht="14.4" x14ac:dyDescent="0.3">
      <c r="A15463" s="8">
        <v>7753277</v>
      </c>
      <c r="B15463" s="11">
        <v>44670</v>
      </c>
      <c r="C15463" s="13" t="s">
        <v>20242</v>
      </c>
      <c r="D15463" s="13" t="s">
        <v>19880</v>
      </c>
      <c r="E15463" s="8">
        <v>25644.54</v>
      </c>
      <c r="F15463" s="13" t="s">
        <v>70</v>
      </c>
      <c r="G15463" s="14">
        <v>44679</v>
      </c>
      <c r="H15463" s="13" t="s">
        <v>20060</v>
      </c>
    </row>
    <row r="15464" spans="1:8" ht="14.4" x14ac:dyDescent="0.3">
      <c r="A15464" s="8">
        <v>7753278</v>
      </c>
      <c r="B15464" s="11">
        <v>44670</v>
      </c>
      <c r="C15464" s="13" t="s">
        <v>26</v>
      </c>
      <c r="D15464" s="13" t="s">
        <v>20243</v>
      </c>
      <c r="E15464" s="8">
        <v>3919.09</v>
      </c>
      <c r="F15464" s="13" t="s">
        <v>70</v>
      </c>
      <c r="G15464" s="14">
        <v>44676</v>
      </c>
      <c r="H15464" s="13" t="s">
        <v>20060</v>
      </c>
    </row>
    <row r="15465" spans="1:8" ht="14.4" x14ac:dyDescent="0.3">
      <c r="A15465" s="8">
        <v>7753280</v>
      </c>
      <c r="B15465" s="11">
        <v>44670</v>
      </c>
      <c r="C15465" s="13" t="s">
        <v>1987</v>
      </c>
      <c r="D15465" s="13" t="s">
        <v>20244</v>
      </c>
      <c r="E15465" s="8">
        <v>18784.23</v>
      </c>
      <c r="F15465" s="13" t="s">
        <v>70</v>
      </c>
      <c r="G15465" s="14">
        <v>44676</v>
      </c>
      <c r="H15465" s="13" t="s">
        <v>20060</v>
      </c>
    </row>
    <row r="15466" spans="1:8" ht="14.4" x14ac:dyDescent="0.3">
      <c r="A15466" s="8">
        <v>7753281</v>
      </c>
      <c r="B15466" s="11">
        <v>44670</v>
      </c>
      <c r="C15466" s="13" t="s">
        <v>189</v>
      </c>
      <c r="D15466" s="13" t="s">
        <v>20245</v>
      </c>
      <c r="E15466" s="8">
        <v>7782.27</v>
      </c>
      <c r="F15466" s="13" t="s">
        <v>70</v>
      </c>
      <c r="G15466" s="14">
        <v>44678</v>
      </c>
      <c r="H15466" s="13" t="s">
        <v>20060</v>
      </c>
    </row>
    <row r="15467" spans="1:8" ht="14.4" x14ac:dyDescent="0.3">
      <c r="A15467" s="8">
        <v>7753282</v>
      </c>
      <c r="B15467" s="11">
        <v>44670</v>
      </c>
      <c r="C15467" s="13" t="s">
        <v>1569</v>
      </c>
      <c r="D15467" s="13" t="s">
        <v>20246</v>
      </c>
      <c r="E15467" s="8">
        <v>10600</v>
      </c>
      <c r="F15467" s="13" t="s">
        <v>70</v>
      </c>
      <c r="G15467" s="14">
        <v>44719</v>
      </c>
      <c r="H15467" s="13" t="s">
        <v>20060</v>
      </c>
    </row>
    <row r="15468" spans="1:8" ht="14.4" x14ac:dyDescent="0.3">
      <c r="A15468" s="8">
        <v>7753283</v>
      </c>
      <c r="B15468" s="11">
        <v>44670</v>
      </c>
      <c r="C15468" s="13" t="s">
        <v>1569</v>
      </c>
      <c r="D15468" s="13" t="s">
        <v>20247</v>
      </c>
      <c r="E15468" s="8">
        <v>76529</v>
      </c>
      <c r="F15468" s="13" t="s">
        <v>70</v>
      </c>
      <c r="G15468" s="14">
        <v>44719</v>
      </c>
      <c r="H15468" s="13" t="s">
        <v>20060</v>
      </c>
    </row>
    <row r="15469" spans="1:8" ht="14.4" x14ac:dyDescent="0.3">
      <c r="A15469" s="8">
        <v>7753284</v>
      </c>
      <c r="B15469" s="11">
        <v>44670</v>
      </c>
      <c r="C15469" s="13" t="s">
        <v>265</v>
      </c>
      <c r="D15469" s="13" t="s">
        <v>20248</v>
      </c>
      <c r="E15469" s="8">
        <v>52626</v>
      </c>
      <c r="F15469" s="13" t="s">
        <v>70</v>
      </c>
      <c r="G15469" s="14">
        <v>44672</v>
      </c>
      <c r="H15469" s="13" t="s">
        <v>20060</v>
      </c>
    </row>
    <row r="15470" spans="1:8" ht="14.4" x14ac:dyDescent="0.3">
      <c r="A15470" s="8">
        <v>7753285</v>
      </c>
      <c r="B15470" s="11">
        <v>44670</v>
      </c>
      <c r="C15470" s="13" t="s">
        <v>20249</v>
      </c>
      <c r="D15470" s="13" t="s">
        <v>24</v>
      </c>
      <c r="E15470" s="8">
        <v>275.7</v>
      </c>
      <c r="F15470" s="13" t="s">
        <v>70</v>
      </c>
      <c r="G15470" s="14">
        <v>44680</v>
      </c>
      <c r="H15470" s="13" t="s">
        <v>20060</v>
      </c>
    </row>
    <row r="15471" spans="1:8" ht="14.4" x14ac:dyDescent="0.3">
      <c r="A15471" s="8">
        <v>7753286</v>
      </c>
      <c r="B15471" s="11">
        <v>44670</v>
      </c>
      <c r="C15471" s="13" t="s">
        <v>7624</v>
      </c>
      <c r="D15471" s="13" t="s">
        <v>3451</v>
      </c>
      <c r="E15471" s="8">
        <v>1826.16</v>
      </c>
      <c r="F15471" s="13" t="s">
        <v>70</v>
      </c>
      <c r="G15471" s="14">
        <v>44672</v>
      </c>
      <c r="H15471" s="13" t="s">
        <v>20060</v>
      </c>
    </row>
    <row r="15472" spans="1:8" ht="14.4" x14ac:dyDescent="0.3">
      <c r="A15472" s="8">
        <v>7753287</v>
      </c>
      <c r="B15472" s="11">
        <v>44670</v>
      </c>
      <c r="C15472" s="13" t="s">
        <v>20250</v>
      </c>
      <c r="D15472" s="13" t="s">
        <v>3451</v>
      </c>
      <c r="E15472" s="8">
        <v>375.18</v>
      </c>
      <c r="F15472" s="13" t="s">
        <v>70</v>
      </c>
      <c r="G15472" s="14">
        <v>44679</v>
      </c>
      <c r="H15472" s="13" t="s">
        <v>20060</v>
      </c>
    </row>
    <row r="15473" spans="1:8" ht="14.4" x14ac:dyDescent="0.3">
      <c r="A15473" s="8">
        <v>7753288</v>
      </c>
      <c r="B15473" s="11">
        <v>44670</v>
      </c>
      <c r="C15473" s="13" t="s">
        <v>20251</v>
      </c>
      <c r="D15473" s="13" t="s">
        <v>20252</v>
      </c>
      <c r="E15473" s="8">
        <v>1852.72</v>
      </c>
      <c r="F15473" s="13" t="s">
        <v>70</v>
      </c>
      <c r="G15473" s="14">
        <v>44707</v>
      </c>
      <c r="H15473" s="13" t="s">
        <v>20060</v>
      </c>
    </row>
    <row r="15474" spans="1:8" ht="14.4" x14ac:dyDescent="0.3">
      <c r="A15474" s="8">
        <v>7753289</v>
      </c>
      <c r="B15474" s="11">
        <v>44670</v>
      </c>
      <c r="C15474" s="13" t="s">
        <v>20253</v>
      </c>
      <c r="D15474" s="13" t="s">
        <v>3451</v>
      </c>
      <c r="E15474" s="8">
        <v>416.79</v>
      </c>
      <c r="F15474" s="13" t="s">
        <v>70</v>
      </c>
      <c r="G15474" s="14">
        <v>44679</v>
      </c>
      <c r="H15474" s="13" t="s">
        <v>20060</v>
      </c>
    </row>
    <row r="15475" spans="1:8" ht="14.4" x14ac:dyDescent="0.3">
      <c r="A15475" s="8">
        <v>7753290</v>
      </c>
      <c r="B15475" s="11">
        <v>44670</v>
      </c>
      <c r="C15475" s="13" t="s">
        <v>20254</v>
      </c>
      <c r="D15475" s="13" t="s">
        <v>3451</v>
      </c>
      <c r="E15475" s="8">
        <v>11632.29</v>
      </c>
      <c r="F15475" s="13" t="s">
        <v>70</v>
      </c>
      <c r="G15475" s="14">
        <v>44673</v>
      </c>
      <c r="H15475" s="13" t="s">
        <v>20060</v>
      </c>
    </row>
    <row r="15476" spans="1:8" ht="14.4" x14ac:dyDescent="0.3">
      <c r="A15476" s="8">
        <v>7753291</v>
      </c>
      <c r="B15476" s="11">
        <v>44671</v>
      </c>
      <c r="C15476" s="13" t="s">
        <v>180</v>
      </c>
      <c r="D15476" s="13" t="s">
        <v>901</v>
      </c>
      <c r="E15476" s="8">
        <v>150075.64000000001</v>
      </c>
      <c r="F15476" s="13" t="s">
        <v>70</v>
      </c>
      <c r="G15476" s="14">
        <v>44671</v>
      </c>
      <c r="H15476" s="13" t="s">
        <v>20060</v>
      </c>
    </row>
    <row r="15477" spans="1:8" ht="14.4" x14ac:dyDescent="0.3">
      <c r="A15477" s="8">
        <v>7753292</v>
      </c>
      <c r="B15477" s="11">
        <v>44671</v>
      </c>
      <c r="C15477" s="13" t="s">
        <v>195</v>
      </c>
      <c r="D15477" s="13" t="s">
        <v>20255</v>
      </c>
      <c r="E15477" s="8">
        <v>39276.78</v>
      </c>
      <c r="F15477" s="13" t="s">
        <v>70</v>
      </c>
      <c r="G15477" s="14">
        <v>44676</v>
      </c>
      <c r="H15477" s="13" t="s">
        <v>20060</v>
      </c>
    </row>
    <row r="15478" spans="1:8" ht="14.4" x14ac:dyDescent="0.3">
      <c r="A15478" s="8">
        <v>7753293</v>
      </c>
      <c r="B15478" s="11">
        <v>44671</v>
      </c>
      <c r="C15478" s="13" t="s">
        <v>152</v>
      </c>
      <c r="D15478" s="13" t="s">
        <v>20256</v>
      </c>
      <c r="E15478" s="8">
        <v>34042.6</v>
      </c>
      <c r="F15478" s="13" t="s">
        <v>70</v>
      </c>
      <c r="G15478" s="14">
        <v>44676</v>
      </c>
      <c r="H15478" s="13" t="s">
        <v>20060</v>
      </c>
    </row>
    <row r="15479" spans="1:8" ht="14.4" x14ac:dyDescent="0.3">
      <c r="A15479" s="8">
        <v>7753294</v>
      </c>
      <c r="B15479" s="11">
        <v>44671</v>
      </c>
      <c r="C15479" s="13" t="s">
        <v>44</v>
      </c>
      <c r="D15479" s="13" t="s">
        <v>20257</v>
      </c>
      <c r="E15479" s="8">
        <v>20227.52</v>
      </c>
      <c r="F15479" s="13" t="s">
        <v>70</v>
      </c>
      <c r="G15479" s="14">
        <v>44676</v>
      </c>
      <c r="H15479" s="13" t="s">
        <v>20060</v>
      </c>
    </row>
    <row r="15480" spans="1:8" ht="14.4" x14ac:dyDescent="0.3">
      <c r="A15480" s="8">
        <v>7753295</v>
      </c>
      <c r="B15480" s="11">
        <v>44671</v>
      </c>
      <c r="C15480" s="13" t="s">
        <v>1569</v>
      </c>
      <c r="D15480" s="13" t="s">
        <v>20258</v>
      </c>
      <c r="E15480" s="8">
        <v>312424</v>
      </c>
      <c r="F15480" s="13" t="s">
        <v>70</v>
      </c>
      <c r="G15480" s="14">
        <v>44678</v>
      </c>
      <c r="H15480" s="13" t="s">
        <v>20060</v>
      </c>
    </row>
    <row r="15481" spans="1:8" ht="14.4" x14ac:dyDescent="0.3">
      <c r="A15481" s="8">
        <v>7753296</v>
      </c>
      <c r="B15481" s="11">
        <v>44671</v>
      </c>
      <c r="C15481" s="13" t="s">
        <v>1286</v>
      </c>
      <c r="D15481" s="13" t="s">
        <v>20259</v>
      </c>
      <c r="E15481" s="8">
        <v>179992.98</v>
      </c>
      <c r="F15481" s="13" t="s">
        <v>70</v>
      </c>
      <c r="G15481" s="14">
        <v>44672</v>
      </c>
      <c r="H15481" s="13" t="s">
        <v>20060</v>
      </c>
    </row>
    <row r="15482" spans="1:8" ht="14.4" x14ac:dyDescent="0.3">
      <c r="A15482" s="8">
        <v>7753297</v>
      </c>
      <c r="B15482" s="11">
        <v>44671</v>
      </c>
      <c r="C15482" s="13" t="s">
        <v>1286</v>
      </c>
      <c r="D15482" s="13" t="s">
        <v>20260</v>
      </c>
      <c r="E15482" s="8">
        <v>105400.06</v>
      </c>
      <c r="F15482" s="13" t="s">
        <v>70</v>
      </c>
      <c r="G15482" s="14">
        <v>44672</v>
      </c>
      <c r="H15482" s="13" t="s">
        <v>20060</v>
      </c>
    </row>
    <row r="15483" spans="1:8" ht="14.4" x14ac:dyDescent="0.3">
      <c r="A15483" s="8">
        <v>7753298</v>
      </c>
      <c r="B15483" s="11">
        <v>44671</v>
      </c>
      <c r="C15483" s="13" t="s">
        <v>1286</v>
      </c>
      <c r="D15483" s="13" t="s">
        <v>20261</v>
      </c>
      <c r="E15483" s="8">
        <v>3435.63</v>
      </c>
      <c r="F15483" s="13" t="s">
        <v>70</v>
      </c>
      <c r="G15483" s="14">
        <v>44677</v>
      </c>
      <c r="H15483" s="13" t="s">
        <v>20060</v>
      </c>
    </row>
    <row r="15484" spans="1:8" ht="14.4" x14ac:dyDescent="0.3">
      <c r="A15484" s="8">
        <v>7753299</v>
      </c>
      <c r="B15484" s="11">
        <v>44671</v>
      </c>
      <c r="C15484" s="13" t="s">
        <v>1286</v>
      </c>
      <c r="D15484" s="13" t="s">
        <v>20262</v>
      </c>
      <c r="E15484" s="8">
        <v>3781.93</v>
      </c>
      <c r="F15484" s="13" t="s">
        <v>70</v>
      </c>
      <c r="G15484" s="14">
        <v>44677</v>
      </c>
      <c r="H15484" s="13" t="s">
        <v>20060</v>
      </c>
    </row>
    <row r="15485" spans="1:8" ht="14.4" x14ac:dyDescent="0.3">
      <c r="A15485" s="8">
        <v>7753301</v>
      </c>
      <c r="B15485" s="11">
        <v>44671</v>
      </c>
      <c r="C15485" s="13" t="s">
        <v>186</v>
      </c>
      <c r="D15485" s="13" t="s">
        <v>20263</v>
      </c>
      <c r="E15485" s="8">
        <v>552</v>
      </c>
      <c r="F15485" s="13" t="s">
        <v>70</v>
      </c>
      <c r="G15485" s="14">
        <v>44673</v>
      </c>
      <c r="H15485" s="13" t="s">
        <v>20060</v>
      </c>
    </row>
    <row r="15486" spans="1:8" ht="14.4" x14ac:dyDescent="0.3">
      <c r="A15486" s="8">
        <v>7753302</v>
      </c>
      <c r="B15486" s="11">
        <v>44671</v>
      </c>
      <c r="C15486" s="13" t="s">
        <v>186</v>
      </c>
      <c r="D15486" s="13" t="s">
        <v>20263</v>
      </c>
      <c r="E15486" s="8">
        <v>552</v>
      </c>
      <c r="F15486" s="13" t="s">
        <v>70</v>
      </c>
      <c r="G15486" s="14">
        <v>44673</v>
      </c>
      <c r="H15486" s="13" t="s">
        <v>20060</v>
      </c>
    </row>
    <row r="15487" spans="1:8" ht="14.4" x14ac:dyDescent="0.3">
      <c r="A15487" s="8">
        <v>7753303</v>
      </c>
      <c r="B15487" s="11">
        <v>44671</v>
      </c>
      <c r="C15487" s="13" t="s">
        <v>1286</v>
      </c>
      <c r="D15487" s="13" t="s">
        <v>20189</v>
      </c>
      <c r="E15487" s="8">
        <v>4661.28</v>
      </c>
      <c r="F15487" s="13" t="s">
        <v>70</v>
      </c>
      <c r="G15487" s="14">
        <v>44677</v>
      </c>
      <c r="H15487" s="13" t="s">
        <v>20060</v>
      </c>
    </row>
    <row r="15488" spans="1:8" ht="14.4" x14ac:dyDescent="0.3">
      <c r="A15488" s="8">
        <v>7753304</v>
      </c>
      <c r="B15488" s="11">
        <v>44671</v>
      </c>
      <c r="C15488" s="13" t="s">
        <v>186</v>
      </c>
      <c r="D15488" s="13" t="s">
        <v>20264</v>
      </c>
      <c r="E15488" s="8">
        <v>552</v>
      </c>
      <c r="F15488" s="13" t="s">
        <v>70</v>
      </c>
      <c r="G15488" s="14">
        <v>44673</v>
      </c>
      <c r="H15488" s="13" t="s">
        <v>20060</v>
      </c>
    </row>
    <row r="15489" spans="1:8" ht="14.4" x14ac:dyDescent="0.3">
      <c r="A15489" s="8">
        <v>7753305</v>
      </c>
      <c r="B15489" s="11">
        <v>44672</v>
      </c>
      <c r="C15489" s="13" t="s">
        <v>405</v>
      </c>
      <c r="D15489" s="13" t="s">
        <v>20265</v>
      </c>
      <c r="E15489" s="8">
        <v>10857.51</v>
      </c>
      <c r="F15489" s="13" t="s">
        <v>70</v>
      </c>
      <c r="G15489" s="14">
        <v>44678</v>
      </c>
      <c r="H15489" s="13" t="s">
        <v>20060</v>
      </c>
    </row>
    <row r="15490" spans="1:8" ht="14.4" x14ac:dyDescent="0.3">
      <c r="A15490" s="8">
        <v>7753306</v>
      </c>
      <c r="B15490" s="11">
        <v>44672</v>
      </c>
      <c r="C15490" s="13" t="s">
        <v>405</v>
      </c>
      <c r="D15490" s="13" t="s">
        <v>20266</v>
      </c>
      <c r="E15490" s="8">
        <v>11891.96</v>
      </c>
      <c r="F15490" s="13" t="s">
        <v>70</v>
      </c>
      <c r="G15490" s="14">
        <v>44678</v>
      </c>
      <c r="H15490" s="13" t="s">
        <v>20060</v>
      </c>
    </row>
    <row r="15491" spans="1:8" ht="14.4" x14ac:dyDescent="0.3">
      <c r="A15491" s="8">
        <v>7753307</v>
      </c>
      <c r="B15491" s="11">
        <v>44672</v>
      </c>
      <c r="C15491" s="13" t="s">
        <v>202</v>
      </c>
      <c r="D15491" s="13" t="s">
        <v>7470</v>
      </c>
      <c r="E15491" s="8">
        <v>158558.9</v>
      </c>
      <c r="F15491" s="13" t="s">
        <v>70</v>
      </c>
      <c r="G15491" s="14">
        <v>44677</v>
      </c>
      <c r="H15491" s="13" t="s">
        <v>20060</v>
      </c>
    </row>
    <row r="15492" spans="1:8" ht="14.4" x14ac:dyDescent="0.3">
      <c r="A15492" s="8">
        <v>7753308</v>
      </c>
      <c r="B15492" s="11">
        <v>44672</v>
      </c>
      <c r="C15492" s="13" t="s">
        <v>1784</v>
      </c>
      <c r="D15492" s="13" t="s">
        <v>20267</v>
      </c>
      <c r="E15492" s="8">
        <v>1400</v>
      </c>
      <c r="F15492" s="13" t="s">
        <v>70</v>
      </c>
      <c r="G15492" s="14">
        <v>44678</v>
      </c>
      <c r="H15492" s="13" t="s">
        <v>20060</v>
      </c>
    </row>
    <row r="15493" spans="1:8" ht="14.4" x14ac:dyDescent="0.3">
      <c r="A15493" s="8">
        <v>7753309</v>
      </c>
      <c r="B15493" s="11">
        <v>44672</v>
      </c>
      <c r="C15493" s="13" t="s">
        <v>259</v>
      </c>
      <c r="D15493" s="13" t="s">
        <v>6716</v>
      </c>
      <c r="E15493" s="8">
        <v>8044.65</v>
      </c>
      <c r="F15493" s="13" t="s">
        <v>70</v>
      </c>
      <c r="G15493" s="14">
        <v>44676</v>
      </c>
      <c r="H15493" s="13" t="s">
        <v>20060</v>
      </c>
    </row>
    <row r="15494" spans="1:8" ht="14.4" x14ac:dyDescent="0.3">
      <c r="A15494" s="8">
        <v>7753310</v>
      </c>
      <c r="B15494" s="11">
        <v>44672</v>
      </c>
      <c r="C15494" s="13" t="s">
        <v>259</v>
      </c>
      <c r="D15494" s="13" t="s">
        <v>20268</v>
      </c>
      <c r="E15494" s="8">
        <v>13780</v>
      </c>
      <c r="F15494" s="13" t="s">
        <v>70</v>
      </c>
      <c r="G15494" s="14">
        <v>44676</v>
      </c>
      <c r="H15494" s="13" t="s">
        <v>20060</v>
      </c>
    </row>
    <row r="15495" spans="1:8" ht="14.4" x14ac:dyDescent="0.3">
      <c r="A15495" s="8">
        <v>7753311</v>
      </c>
      <c r="B15495" s="11">
        <v>44672</v>
      </c>
      <c r="C15495" s="13" t="s">
        <v>127</v>
      </c>
      <c r="D15495" s="13" t="s">
        <v>20269</v>
      </c>
      <c r="E15495" s="8">
        <v>5678.57</v>
      </c>
      <c r="F15495" s="13" t="s">
        <v>70</v>
      </c>
      <c r="G15495" s="14">
        <v>44678</v>
      </c>
      <c r="H15495" s="13" t="s">
        <v>20060</v>
      </c>
    </row>
    <row r="15496" spans="1:8" ht="14.4" x14ac:dyDescent="0.3">
      <c r="A15496" s="8">
        <v>7753312</v>
      </c>
      <c r="B15496" s="11">
        <v>44672</v>
      </c>
      <c r="C15496" s="13" t="s">
        <v>1581</v>
      </c>
      <c r="D15496" s="13" t="s">
        <v>20270</v>
      </c>
      <c r="E15496" s="8">
        <v>8517.85</v>
      </c>
      <c r="F15496" s="13" t="s">
        <v>70</v>
      </c>
      <c r="G15496" s="14">
        <v>44673</v>
      </c>
      <c r="H15496" s="13" t="s">
        <v>20060</v>
      </c>
    </row>
    <row r="15497" spans="1:8" ht="14.4" x14ac:dyDescent="0.3">
      <c r="A15497" s="8">
        <v>7753313</v>
      </c>
      <c r="B15497" s="11">
        <v>44672</v>
      </c>
      <c r="C15497" s="13" t="s">
        <v>127</v>
      </c>
      <c r="D15497" s="13" t="s">
        <v>3173</v>
      </c>
      <c r="E15497" s="8">
        <v>6040.11</v>
      </c>
      <c r="F15497" s="13" t="s">
        <v>70</v>
      </c>
      <c r="G15497" s="14">
        <v>44678</v>
      </c>
      <c r="H15497" s="13" t="s">
        <v>20060</v>
      </c>
    </row>
    <row r="15498" spans="1:8" ht="14.4" x14ac:dyDescent="0.3">
      <c r="A15498" s="8">
        <v>7753314</v>
      </c>
      <c r="B15498" s="11">
        <v>44672</v>
      </c>
      <c r="C15498" s="13" t="s">
        <v>1581</v>
      </c>
      <c r="D15498" s="13" t="s">
        <v>20271</v>
      </c>
      <c r="E15498" s="8">
        <v>31941.96</v>
      </c>
      <c r="F15498" s="13" t="s">
        <v>70</v>
      </c>
      <c r="G15498" s="14">
        <v>44673</v>
      </c>
      <c r="H15498" s="13" t="s">
        <v>20060</v>
      </c>
    </row>
    <row r="15499" spans="1:8" ht="14.4" x14ac:dyDescent="0.3">
      <c r="A15499" s="8">
        <v>7753315</v>
      </c>
      <c r="B15499" s="11">
        <v>44672</v>
      </c>
      <c r="C15499" s="13" t="s">
        <v>1286</v>
      </c>
      <c r="D15499" s="13" t="s">
        <v>20272</v>
      </c>
      <c r="E15499" s="8">
        <v>7685.03</v>
      </c>
      <c r="F15499" s="13" t="s">
        <v>70</v>
      </c>
      <c r="G15499" s="14">
        <v>44677</v>
      </c>
      <c r="H15499" s="13" t="s">
        <v>20060</v>
      </c>
    </row>
    <row r="15500" spans="1:8" ht="14.4" x14ac:dyDescent="0.3">
      <c r="A15500" s="8">
        <v>7753316</v>
      </c>
      <c r="B15500" s="11">
        <v>44672</v>
      </c>
      <c r="C15500" s="13" t="s">
        <v>1286</v>
      </c>
      <c r="D15500" s="13" t="s">
        <v>20273</v>
      </c>
      <c r="E15500" s="8">
        <v>9951.1299999999992</v>
      </c>
      <c r="F15500" s="13" t="s">
        <v>70</v>
      </c>
      <c r="G15500" s="14">
        <v>44677</v>
      </c>
      <c r="H15500" s="13" t="s">
        <v>20060</v>
      </c>
    </row>
    <row r="15501" spans="1:8" ht="14.4" x14ac:dyDescent="0.3">
      <c r="A15501" s="8">
        <v>7753317</v>
      </c>
      <c r="B15501" s="11">
        <v>44672</v>
      </c>
      <c r="C15501" s="13" t="s">
        <v>1286</v>
      </c>
      <c r="D15501" s="13" t="s">
        <v>20274</v>
      </c>
      <c r="E15501" s="8">
        <v>8697.98</v>
      </c>
      <c r="F15501" s="13" t="s">
        <v>70</v>
      </c>
      <c r="G15501" s="14">
        <v>44677</v>
      </c>
      <c r="H15501" s="13" t="s">
        <v>20060</v>
      </c>
    </row>
    <row r="15502" spans="1:8" ht="14.4" x14ac:dyDescent="0.3">
      <c r="A15502" s="8">
        <v>7753318</v>
      </c>
      <c r="B15502" s="11">
        <v>44672</v>
      </c>
      <c r="C15502" s="13" t="s">
        <v>1286</v>
      </c>
      <c r="D15502" s="13" t="s">
        <v>20275</v>
      </c>
      <c r="E15502" s="8">
        <v>9898.27</v>
      </c>
      <c r="F15502" s="13" t="s">
        <v>70</v>
      </c>
      <c r="G15502" s="14">
        <v>44677</v>
      </c>
      <c r="H15502" s="13" t="s">
        <v>20060</v>
      </c>
    </row>
    <row r="15503" spans="1:8" ht="14.4" x14ac:dyDescent="0.3">
      <c r="A15503" s="8">
        <v>7753319</v>
      </c>
      <c r="B15503" s="11">
        <v>44672</v>
      </c>
      <c r="C15503" s="13" t="s">
        <v>211</v>
      </c>
      <c r="D15503" s="13" t="s">
        <v>20276</v>
      </c>
      <c r="E15503" s="8">
        <v>37800</v>
      </c>
      <c r="F15503" s="13" t="s">
        <v>70</v>
      </c>
      <c r="G15503" s="14">
        <v>44680</v>
      </c>
      <c r="H15503" s="13" t="s">
        <v>20060</v>
      </c>
    </row>
    <row r="15504" spans="1:8" ht="14.4" x14ac:dyDescent="0.3">
      <c r="A15504" s="8">
        <v>7753320</v>
      </c>
      <c r="B15504" s="11">
        <v>44672</v>
      </c>
      <c r="C15504" s="13" t="s">
        <v>1581</v>
      </c>
      <c r="D15504" s="13" t="s">
        <v>20277</v>
      </c>
      <c r="E15504" s="8">
        <v>26500</v>
      </c>
      <c r="F15504" s="13" t="s">
        <v>70</v>
      </c>
      <c r="G15504" s="14">
        <v>44673</v>
      </c>
      <c r="H15504" s="13" t="s">
        <v>20060</v>
      </c>
    </row>
    <row r="15505" spans="1:8" ht="14.4" x14ac:dyDescent="0.3">
      <c r="A15505" s="8">
        <v>7753321</v>
      </c>
      <c r="B15505" s="11">
        <v>44672</v>
      </c>
      <c r="C15505" s="13" t="s">
        <v>202</v>
      </c>
      <c r="D15505" s="13" t="s">
        <v>20278</v>
      </c>
      <c r="E15505" s="8">
        <v>812959.46</v>
      </c>
      <c r="F15505" s="13" t="s">
        <v>70</v>
      </c>
      <c r="G15505" s="14">
        <v>44677</v>
      </c>
      <c r="H15505" s="13" t="s">
        <v>20060</v>
      </c>
    </row>
    <row r="15506" spans="1:8" ht="14.4" x14ac:dyDescent="0.3">
      <c r="A15506" s="8">
        <v>7753322</v>
      </c>
      <c r="B15506" s="11">
        <v>44672</v>
      </c>
      <c r="C15506" s="13" t="s">
        <v>20279</v>
      </c>
      <c r="D15506" s="13" t="s">
        <v>20280</v>
      </c>
      <c r="E15506" s="8">
        <v>149251.78</v>
      </c>
      <c r="F15506" s="13" t="s">
        <v>70</v>
      </c>
      <c r="G15506" s="14">
        <v>44678</v>
      </c>
      <c r="H15506" s="13" t="s">
        <v>20060</v>
      </c>
    </row>
    <row r="15507" spans="1:8" ht="14.4" x14ac:dyDescent="0.3">
      <c r="A15507" s="8">
        <v>7753323</v>
      </c>
      <c r="B15507" s="11">
        <v>44672</v>
      </c>
      <c r="C15507" s="13" t="s">
        <v>4191</v>
      </c>
      <c r="D15507" s="13" t="s">
        <v>20281</v>
      </c>
      <c r="E15507" s="8">
        <v>335496.2</v>
      </c>
      <c r="F15507" s="13" t="s">
        <v>70</v>
      </c>
      <c r="G15507" s="14">
        <v>44677</v>
      </c>
      <c r="H15507" s="13" t="s">
        <v>20060</v>
      </c>
    </row>
    <row r="15508" spans="1:8" ht="14.4" x14ac:dyDescent="0.3">
      <c r="A15508" s="8">
        <v>7753324</v>
      </c>
      <c r="B15508" s="11">
        <v>44672</v>
      </c>
      <c r="C15508" s="13" t="s">
        <v>4211</v>
      </c>
      <c r="D15508" s="13" t="s">
        <v>20282</v>
      </c>
      <c r="E15508" s="8">
        <v>31766.240000000002</v>
      </c>
      <c r="F15508" s="13" t="s">
        <v>70</v>
      </c>
      <c r="G15508" s="14">
        <v>44679</v>
      </c>
      <c r="H15508" s="13" t="s">
        <v>20060</v>
      </c>
    </row>
    <row r="15509" spans="1:8" ht="14.4" x14ac:dyDescent="0.3">
      <c r="A15509" s="8">
        <v>7753325</v>
      </c>
      <c r="B15509" s="11">
        <v>44672</v>
      </c>
      <c r="C15509" s="13" t="s">
        <v>4211</v>
      </c>
      <c r="D15509" s="13" t="s">
        <v>20283</v>
      </c>
      <c r="E15509" s="8">
        <v>7888.22</v>
      </c>
      <c r="F15509" s="13" t="s">
        <v>70</v>
      </c>
      <c r="G15509" s="14">
        <v>44679</v>
      </c>
      <c r="H15509" s="13" t="s">
        <v>20060</v>
      </c>
    </row>
    <row r="15510" spans="1:8" ht="14.4" x14ac:dyDescent="0.3">
      <c r="A15510" s="8">
        <v>7753326</v>
      </c>
      <c r="B15510" s="11">
        <v>44672</v>
      </c>
      <c r="C15510" s="13" t="s">
        <v>211</v>
      </c>
      <c r="D15510" s="13" t="s">
        <v>20284</v>
      </c>
      <c r="E15510" s="8">
        <v>18000</v>
      </c>
      <c r="F15510" s="13" t="s">
        <v>70</v>
      </c>
      <c r="G15510" s="14">
        <v>44680</v>
      </c>
      <c r="H15510" s="13" t="s">
        <v>20060</v>
      </c>
    </row>
    <row r="15511" spans="1:8" ht="14.4" x14ac:dyDescent="0.3">
      <c r="A15511" s="8">
        <v>7753327</v>
      </c>
      <c r="B15511" s="11">
        <v>44672</v>
      </c>
      <c r="C15511" s="13" t="s">
        <v>1344</v>
      </c>
      <c r="D15511" s="13" t="s">
        <v>20285</v>
      </c>
      <c r="E15511" s="8">
        <v>25220</v>
      </c>
      <c r="F15511" s="13" t="s">
        <v>70</v>
      </c>
      <c r="G15511" s="14">
        <v>44673</v>
      </c>
      <c r="H15511" s="13" t="s">
        <v>20060</v>
      </c>
    </row>
    <row r="15512" spans="1:8" ht="14.4" x14ac:dyDescent="0.3">
      <c r="A15512" s="8">
        <v>7753328</v>
      </c>
      <c r="B15512" s="11">
        <v>44672</v>
      </c>
      <c r="C15512" s="13" t="s">
        <v>245</v>
      </c>
      <c r="D15512" s="13" t="s">
        <v>20286</v>
      </c>
      <c r="E15512" s="8">
        <v>9498.1</v>
      </c>
      <c r="F15512" s="13" t="s">
        <v>70</v>
      </c>
      <c r="G15512" s="14">
        <v>44673</v>
      </c>
      <c r="H15512" s="13" t="s">
        <v>20060</v>
      </c>
    </row>
    <row r="15513" spans="1:8" ht="14.4" x14ac:dyDescent="0.3">
      <c r="A15513" s="8">
        <v>7753329</v>
      </c>
      <c r="B15513" s="11">
        <v>44672</v>
      </c>
      <c r="C15513" s="13" t="s">
        <v>9343</v>
      </c>
      <c r="D15513" s="13" t="s">
        <v>20287</v>
      </c>
      <c r="E15513" s="8">
        <v>750</v>
      </c>
      <c r="F15513" s="13" t="s">
        <v>70</v>
      </c>
      <c r="G15513" s="14">
        <v>44673</v>
      </c>
      <c r="H15513" s="13" t="s">
        <v>20060</v>
      </c>
    </row>
    <row r="15514" spans="1:8" ht="14.4" x14ac:dyDescent="0.3">
      <c r="A15514" s="8">
        <v>7753330</v>
      </c>
      <c r="B15514" s="11">
        <v>44672</v>
      </c>
      <c r="C15514" s="13" t="s">
        <v>201</v>
      </c>
      <c r="D15514" s="13" t="s">
        <v>20288</v>
      </c>
      <c r="E15514" s="8">
        <v>2834.55</v>
      </c>
      <c r="F15514" s="13" t="s">
        <v>70</v>
      </c>
      <c r="G15514" s="14">
        <v>44680</v>
      </c>
      <c r="H15514" s="13" t="s">
        <v>20060</v>
      </c>
    </row>
    <row r="15515" spans="1:8" ht="14.4" x14ac:dyDescent="0.3">
      <c r="A15515" s="8">
        <v>7753331</v>
      </c>
      <c r="B15515" s="11">
        <v>44672</v>
      </c>
      <c r="C15515" s="13" t="s">
        <v>259</v>
      </c>
      <c r="D15515" s="13" t="s">
        <v>20289</v>
      </c>
      <c r="E15515" s="8">
        <v>34544.65</v>
      </c>
      <c r="F15515" s="13" t="s">
        <v>70</v>
      </c>
      <c r="G15515" s="14">
        <v>44676</v>
      </c>
      <c r="H15515" s="13" t="s">
        <v>20060</v>
      </c>
    </row>
    <row r="15516" spans="1:8" ht="14.4" x14ac:dyDescent="0.3">
      <c r="A15516" s="8">
        <v>7753332</v>
      </c>
      <c r="B15516" s="11">
        <v>44672</v>
      </c>
      <c r="C15516" s="13" t="s">
        <v>201</v>
      </c>
      <c r="D15516" s="13" t="s">
        <v>20290</v>
      </c>
      <c r="E15516" s="8">
        <v>6814.28</v>
      </c>
      <c r="F15516" s="13" t="s">
        <v>70</v>
      </c>
      <c r="G15516" s="14">
        <v>44680</v>
      </c>
      <c r="H15516" s="13" t="s">
        <v>20060</v>
      </c>
    </row>
    <row r="15517" spans="1:8" ht="14.4" x14ac:dyDescent="0.3">
      <c r="A15517" s="8">
        <v>7753333</v>
      </c>
      <c r="B15517" s="11">
        <v>44672</v>
      </c>
      <c r="C15517" s="13" t="s">
        <v>127</v>
      </c>
      <c r="D15517" s="13"/>
      <c r="E15517" s="8">
        <v>13117.5</v>
      </c>
      <c r="F15517" s="13" t="s">
        <v>70</v>
      </c>
      <c r="G15517" s="14">
        <v>44678</v>
      </c>
      <c r="H15517" s="13" t="s">
        <v>20060</v>
      </c>
    </row>
    <row r="15518" spans="1:8" ht="14.4" x14ac:dyDescent="0.3">
      <c r="A15518" s="8">
        <v>7753334</v>
      </c>
      <c r="B15518" s="11">
        <v>44672</v>
      </c>
      <c r="C15518" s="13" t="s">
        <v>1522</v>
      </c>
      <c r="D15518" s="13" t="s">
        <v>20291</v>
      </c>
      <c r="E15518" s="8">
        <v>2450</v>
      </c>
      <c r="F15518" s="13" t="s">
        <v>70</v>
      </c>
      <c r="G15518" s="14">
        <v>44679</v>
      </c>
      <c r="H15518" s="13" t="s">
        <v>20060</v>
      </c>
    </row>
    <row r="15519" spans="1:8" ht="14.4" x14ac:dyDescent="0.3">
      <c r="A15519" s="8">
        <v>7753335</v>
      </c>
      <c r="B15519" s="11">
        <v>44672</v>
      </c>
      <c r="C15519" s="13" t="s">
        <v>1745</v>
      </c>
      <c r="D15519" s="13" t="s">
        <v>20292</v>
      </c>
      <c r="E15519" s="8">
        <v>8439</v>
      </c>
      <c r="F15519" s="13" t="s">
        <v>70</v>
      </c>
      <c r="G15519" s="14">
        <v>44676</v>
      </c>
      <c r="H15519" s="13" t="s">
        <v>20060</v>
      </c>
    </row>
    <row r="15520" spans="1:8" ht="14.4" x14ac:dyDescent="0.3">
      <c r="A15520" s="8">
        <v>7753336</v>
      </c>
      <c r="B15520" s="11">
        <v>44672</v>
      </c>
      <c r="C15520" s="13" t="s">
        <v>201</v>
      </c>
      <c r="D15520" s="13" t="s">
        <v>1779</v>
      </c>
      <c r="E15520" s="8">
        <v>18339.03</v>
      </c>
      <c r="F15520" s="13" t="s">
        <v>70</v>
      </c>
      <c r="G15520" s="14">
        <v>44680</v>
      </c>
      <c r="H15520" s="13" t="s">
        <v>20060</v>
      </c>
    </row>
    <row r="15521" spans="1:8" ht="14.4" x14ac:dyDescent="0.3">
      <c r="A15521" s="8">
        <v>7753337</v>
      </c>
      <c r="B15521" s="11">
        <v>44672</v>
      </c>
      <c r="C15521" s="13" t="s">
        <v>1516</v>
      </c>
      <c r="D15521" s="13" t="s">
        <v>20293</v>
      </c>
      <c r="E15521" s="8">
        <v>15342.95</v>
      </c>
      <c r="F15521" s="13" t="s">
        <v>70</v>
      </c>
      <c r="G15521" s="14">
        <v>44676</v>
      </c>
      <c r="H15521" s="13" t="s">
        <v>20060</v>
      </c>
    </row>
    <row r="15522" spans="1:8" ht="14.4" x14ac:dyDescent="0.3">
      <c r="A15522" s="8">
        <v>7753338</v>
      </c>
      <c r="B15522" s="11">
        <v>44672</v>
      </c>
      <c r="C15522" s="13" t="s">
        <v>1516</v>
      </c>
      <c r="D15522" s="13" t="s">
        <v>20294</v>
      </c>
      <c r="E15522" s="8">
        <v>37310.620000000003</v>
      </c>
      <c r="F15522" s="13" t="s">
        <v>70</v>
      </c>
      <c r="G15522" s="14">
        <v>44676</v>
      </c>
      <c r="H15522" s="13" t="s">
        <v>20060</v>
      </c>
    </row>
    <row r="15523" spans="1:8" ht="14.4" x14ac:dyDescent="0.3">
      <c r="A15523" s="8">
        <v>7753339</v>
      </c>
      <c r="B15523" s="11">
        <v>44672</v>
      </c>
      <c r="C15523" s="13" t="s">
        <v>127</v>
      </c>
      <c r="D15523" s="13" t="s">
        <v>20295</v>
      </c>
      <c r="E15523" s="8">
        <v>4486.07</v>
      </c>
      <c r="F15523" s="13" t="s">
        <v>70</v>
      </c>
      <c r="G15523" s="14">
        <v>44678</v>
      </c>
      <c r="H15523" s="13" t="s">
        <v>20060</v>
      </c>
    </row>
    <row r="15524" spans="1:8" ht="14.4" x14ac:dyDescent="0.3">
      <c r="A15524" s="8">
        <v>7753340</v>
      </c>
      <c r="B15524" s="11">
        <v>44672</v>
      </c>
      <c r="C15524" s="13" t="s">
        <v>3273</v>
      </c>
      <c r="D15524" s="13" t="s">
        <v>20296</v>
      </c>
      <c r="E15524" s="8">
        <v>32928</v>
      </c>
      <c r="F15524" s="13" t="s">
        <v>70</v>
      </c>
      <c r="G15524" s="14">
        <v>44673</v>
      </c>
      <c r="H15524" s="13" t="s">
        <v>20060</v>
      </c>
    </row>
    <row r="15525" spans="1:8" ht="14.4" x14ac:dyDescent="0.3">
      <c r="A15525" s="8">
        <v>7753341</v>
      </c>
      <c r="B15525" s="11">
        <v>44672</v>
      </c>
      <c r="C15525" s="13" t="s">
        <v>1941</v>
      </c>
      <c r="D15525" s="13" t="s">
        <v>20297</v>
      </c>
      <c r="E15525" s="8">
        <v>46713.120000000003</v>
      </c>
      <c r="F15525" s="13" t="s">
        <v>70</v>
      </c>
      <c r="G15525" s="14">
        <v>44679</v>
      </c>
      <c r="H15525" s="13" t="s">
        <v>20060</v>
      </c>
    </row>
    <row r="15526" spans="1:8" ht="14.4" x14ac:dyDescent="0.3">
      <c r="A15526" s="8">
        <v>7753342</v>
      </c>
      <c r="B15526" s="11">
        <v>44672</v>
      </c>
      <c r="C15526" s="13" t="s">
        <v>127</v>
      </c>
      <c r="D15526" s="13" t="s">
        <v>20298</v>
      </c>
      <c r="E15526" s="8">
        <v>8517.85</v>
      </c>
      <c r="F15526" s="13" t="s">
        <v>70</v>
      </c>
      <c r="G15526" s="14">
        <v>44678</v>
      </c>
      <c r="H15526" s="13" t="s">
        <v>20060</v>
      </c>
    </row>
    <row r="15527" spans="1:8" ht="14.4" x14ac:dyDescent="0.3">
      <c r="A15527" s="8">
        <v>7753343</v>
      </c>
      <c r="B15527" s="11">
        <v>44672</v>
      </c>
      <c r="C15527" s="13" t="s">
        <v>1745</v>
      </c>
      <c r="D15527" s="13" t="s">
        <v>20299</v>
      </c>
      <c r="E15527" s="8">
        <v>2940</v>
      </c>
      <c r="F15527" s="13" t="s">
        <v>70</v>
      </c>
      <c r="G15527" s="14">
        <v>44676</v>
      </c>
      <c r="H15527" s="13" t="s">
        <v>20060</v>
      </c>
    </row>
    <row r="15528" spans="1:8" ht="14.4" x14ac:dyDescent="0.3">
      <c r="A15528" s="8">
        <v>7753344</v>
      </c>
      <c r="B15528" s="11">
        <v>44672</v>
      </c>
      <c r="C15528" s="13" t="s">
        <v>1581</v>
      </c>
      <c r="D15528" s="13" t="s">
        <v>20300</v>
      </c>
      <c r="E15528" s="8">
        <v>29812.5</v>
      </c>
      <c r="F15528" s="13" t="s">
        <v>70</v>
      </c>
      <c r="G15528" s="14">
        <v>44673</v>
      </c>
      <c r="H15528" s="13" t="s">
        <v>20060</v>
      </c>
    </row>
    <row r="15529" spans="1:8" ht="14.4" x14ac:dyDescent="0.3">
      <c r="A15529" s="8">
        <v>7753345</v>
      </c>
      <c r="B15529" s="11">
        <v>44672</v>
      </c>
      <c r="C15529" s="13" t="s">
        <v>1516</v>
      </c>
      <c r="D15529" s="13" t="s">
        <v>20301</v>
      </c>
      <c r="E15529" s="8">
        <v>37310.620000000003</v>
      </c>
      <c r="F15529" s="13" t="s">
        <v>70</v>
      </c>
      <c r="G15529" s="14">
        <v>44676</v>
      </c>
      <c r="H15529" s="13" t="s">
        <v>20060</v>
      </c>
    </row>
    <row r="15530" spans="1:8" ht="14.4" x14ac:dyDescent="0.3">
      <c r="A15530" s="8">
        <v>7753346</v>
      </c>
      <c r="B15530" s="11">
        <v>44672</v>
      </c>
      <c r="C15530" s="13" t="s">
        <v>1516</v>
      </c>
      <c r="D15530" s="13" t="s">
        <v>20302</v>
      </c>
      <c r="E15530" s="8">
        <v>4042.05</v>
      </c>
      <c r="F15530" s="13" t="s">
        <v>70</v>
      </c>
      <c r="G15530" s="14">
        <v>44676</v>
      </c>
      <c r="H15530" s="13" t="s">
        <v>20060</v>
      </c>
    </row>
    <row r="15531" spans="1:8" ht="14.4" x14ac:dyDescent="0.3">
      <c r="A15531" s="8">
        <v>7753347</v>
      </c>
      <c r="B15531" s="11">
        <v>44672</v>
      </c>
      <c r="C15531" s="13" t="s">
        <v>1516</v>
      </c>
      <c r="D15531" s="13" t="s">
        <v>20303</v>
      </c>
      <c r="E15531" s="8">
        <v>4136.6899999999996</v>
      </c>
      <c r="F15531" s="13" t="s">
        <v>70</v>
      </c>
      <c r="G15531" s="14">
        <v>44676</v>
      </c>
      <c r="H15531" s="13" t="s">
        <v>20060</v>
      </c>
    </row>
    <row r="15532" spans="1:8" ht="14.4" x14ac:dyDescent="0.3">
      <c r="A15532" s="8">
        <v>7753348</v>
      </c>
      <c r="B15532" s="11">
        <v>44672</v>
      </c>
      <c r="C15532" s="13" t="s">
        <v>1516</v>
      </c>
      <c r="D15532" s="13" t="s">
        <v>20304</v>
      </c>
      <c r="E15532" s="8">
        <v>5917.05</v>
      </c>
      <c r="F15532" s="13" t="s">
        <v>70</v>
      </c>
      <c r="G15532" s="14">
        <v>44676</v>
      </c>
      <c r="H15532" s="13" t="s">
        <v>20060</v>
      </c>
    </row>
    <row r="15533" spans="1:8" ht="14.4" x14ac:dyDescent="0.3">
      <c r="A15533" s="8">
        <v>7753349</v>
      </c>
      <c r="B15533" s="11">
        <v>44672</v>
      </c>
      <c r="C15533" s="13" t="s">
        <v>1924</v>
      </c>
      <c r="D15533" s="13" t="s">
        <v>20305</v>
      </c>
      <c r="E15533" s="8">
        <v>19875</v>
      </c>
      <c r="F15533" s="13" t="s">
        <v>70</v>
      </c>
      <c r="G15533" s="14">
        <v>44677</v>
      </c>
      <c r="H15533" s="13" t="s">
        <v>20060</v>
      </c>
    </row>
    <row r="15534" spans="1:8" ht="14.4" x14ac:dyDescent="0.3">
      <c r="A15534" s="8">
        <v>7753350</v>
      </c>
      <c r="B15534" s="11">
        <v>44672</v>
      </c>
      <c r="C15534" s="13" t="s">
        <v>1745</v>
      </c>
      <c r="D15534" s="13" t="s">
        <v>20306</v>
      </c>
      <c r="E15534" s="8">
        <v>19400</v>
      </c>
      <c r="F15534" s="13" t="s">
        <v>70</v>
      </c>
      <c r="G15534" s="14">
        <v>44676</v>
      </c>
      <c r="H15534" s="13" t="s">
        <v>20060</v>
      </c>
    </row>
    <row r="15535" spans="1:8" ht="14.4" x14ac:dyDescent="0.3">
      <c r="A15535" s="8">
        <v>7753351</v>
      </c>
      <c r="B15535" s="11">
        <v>44672</v>
      </c>
      <c r="C15535" s="13" t="s">
        <v>1516</v>
      </c>
      <c r="D15535" s="13" t="s">
        <v>20307</v>
      </c>
      <c r="E15535" s="8">
        <v>34906.160000000003</v>
      </c>
      <c r="F15535" s="13" t="s">
        <v>70</v>
      </c>
      <c r="G15535" s="14">
        <v>44676</v>
      </c>
      <c r="H15535" s="13" t="s">
        <v>20060</v>
      </c>
    </row>
    <row r="15536" spans="1:8" ht="14.4" x14ac:dyDescent="0.3">
      <c r="A15536" s="8">
        <v>7753352</v>
      </c>
      <c r="B15536" s="11">
        <v>44672</v>
      </c>
      <c r="C15536" s="13" t="s">
        <v>259</v>
      </c>
      <c r="D15536" s="13" t="s">
        <v>20308</v>
      </c>
      <c r="E15536" s="8">
        <v>24985.72</v>
      </c>
      <c r="F15536" s="13" t="s">
        <v>70</v>
      </c>
      <c r="G15536" s="14">
        <v>44676</v>
      </c>
      <c r="H15536" s="13" t="s">
        <v>20060</v>
      </c>
    </row>
    <row r="15537" spans="1:8" ht="14.4" x14ac:dyDescent="0.3">
      <c r="A15537" s="8">
        <v>7753353</v>
      </c>
      <c r="B15537" s="11">
        <v>44672</v>
      </c>
      <c r="C15537" s="13" t="s">
        <v>127</v>
      </c>
      <c r="D15537" s="13" t="s">
        <v>4881</v>
      </c>
      <c r="E15537" s="8">
        <v>7533.57</v>
      </c>
      <c r="F15537" s="13" t="s">
        <v>70</v>
      </c>
      <c r="G15537" s="14">
        <v>44678</v>
      </c>
      <c r="H15537" s="13" t="s">
        <v>20060</v>
      </c>
    </row>
    <row r="15538" spans="1:8" ht="14.4" x14ac:dyDescent="0.3">
      <c r="A15538" s="8">
        <v>7753354</v>
      </c>
      <c r="B15538" s="11">
        <v>44672</v>
      </c>
      <c r="C15538" s="13" t="s">
        <v>259</v>
      </c>
      <c r="D15538" s="13" t="s">
        <v>4327</v>
      </c>
      <c r="E15538" s="8">
        <v>8044.65</v>
      </c>
      <c r="F15538" s="13" t="s">
        <v>70</v>
      </c>
      <c r="G15538" s="14">
        <v>44676</v>
      </c>
      <c r="H15538" s="13" t="s">
        <v>20060</v>
      </c>
    </row>
    <row r="15539" spans="1:8" ht="14.4" x14ac:dyDescent="0.3">
      <c r="A15539" s="8">
        <v>7753355</v>
      </c>
      <c r="B15539" s="11">
        <v>44672</v>
      </c>
      <c r="C15539" s="13" t="s">
        <v>405</v>
      </c>
      <c r="D15539" s="13" t="s">
        <v>20309</v>
      </c>
      <c r="E15539" s="8">
        <v>49110.61</v>
      </c>
      <c r="F15539" s="13" t="s">
        <v>70</v>
      </c>
      <c r="G15539" s="14">
        <v>44678</v>
      </c>
      <c r="H15539" s="13" t="s">
        <v>20060</v>
      </c>
    </row>
    <row r="15540" spans="1:8" ht="14.4" x14ac:dyDescent="0.3">
      <c r="A15540" s="8">
        <v>7753356</v>
      </c>
      <c r="B15540" s="11">
        <v>44672</v>
      </c>
      <c r="C15540" s="13" t="s">
        <v>259</v>
      </c>
      <c r="D15540" s="13" t="s">
        <v>20310</v>
      </c>
      <c r="E15540" s="8">
        <v>16311.7</v>
      </c>
      <c r="F15540" s="13" t="s">
        <v>70</v>
      </c>
      <c r="G15540" s="14">
        <v>44676</v>
      </c>
      <c r="H15540" s="13" t="s">
        <v>20060</v>
      </c>
    </row>
    <row r="15541" spans="1:8" ht="14.4" x14ac:dyDescent="0.3">
      <c r="A15541" s="8">
        <v>7753357</v>
      </c>
      <c r="B15541" s="11">
        <v>44672</v>
      </c>
      <c r="C15541" s="13" t="s">
        <v>127</v>
      </c>
      <c r="D15541" s="13" t="s">
        <v>4844</v>
      </c>
      <c r="E15541" s="8">
        <v>6520.89</v>
      </c>
      <c r="F15541" s="13" t="s">
        <v>70</v>
      </c>
      <c r="G15541" s="14">
        <v>44678</v>
      </c>
      <c r="H15541" s="13" t="s">
        <v>20060</v>
      </c>
    </row>
    <row r="15542" spans="1:8" ht="14.4" x14ac:dyDescent="0.3">
      <c r="A15542" s="8">
        <v>7753358</v>
      </c>
      <c r="B15542" s="11">
        <v>44672</v>
      </c>
      <c r="C15542" s="13" t="s">
        <v>1718</v>
      </c>
      <c r="D15542" s="13" t="s">
        <v>20311</v>
      </c>
      <c r="E15542" s="8">
        <v>6093.75</v>
      </c>
      <c r="F15542" s="13" t="s">
        <v>70</v>
      </c>
      <c r="G15542" s="14">
        <v>44679</v>
      </c>
      <c r="H15542" s="13" t="s">
        <v>20060</v>
      </c>
    </row>
    <row r="15543" spans="1:8" ht="14.4" x14ac:dyDescent="0.3">
      <c r="A15543" s="8">
        <v>7753359</v>
      </c>
      <c r="B15543" s="11">
        <v>44672</v>
      </c>
      <c r="C15543" s="13" t="s">
        <v>1424</v>
      </c>
      <c r="D15543" s="13" t="s">
        <v>1625</v>
      </c>
      <c r="E15543" s="8">
        <v>39111.160000000003</v>
      </c>
      <c r="F15543" s="13" t="s">
        <v>70</v>
      </c>
      <c r="G15543" s="14">
        <v>44678</v>
      </c>
      <c r="H15543" s="13" t="s">
        <v>20060</v>
      </c>
    </row>
    <row r="15544" spans="1:8" ht="14.4" x14ac:dyDescent="0.3">
      <c r="A15544" s="8">
        <v>7753360</v>
      </c>
      <c r="B15544" s="11">
        <v>44672</v>
      </c>
      <c r="C15544" s="13" t="s">
        <v>1344</v>
      </c>
      <c r="D15544" s="13" t="s">
        <v>8040</v>
      </c>
      <c r="E15544" s="8">
        <v>42680</v>
      </c>
      <c r="F15544" s="13" t="s">
        <v>70</v>
      </c>
      <c r="G15544" s="14">
        <v>44673</v>
      </c>
      <c r="H15544" s="13" t="s">
        <v>20060</v>
      </c>
    </row>
    <row r="15545" spans="1:8" ht="14.4" x14ac:dyDescent="0.3">
      <c r="A15545" s="8">
        <v>7753361</v>
      </c>
      <c r="B15545" s="11">
        <v>44672</v>
      </c>
      <c r="C15545" s="13" t="s">
        <v>1728</v>
      </c>
      <c r="D15545" s="13" t="s">
        <v>20312</v>
      </c>
      <c r="E15545" s="8">
        <v>29537.200000000001</v>
      </c>
      <c r="F15545" s="13" t="s">
        <v>70</v>
      </c>
      <c r="G15545" s="14">
        <v>44677</v>
      </c>
      <c r="H15545" s="13" t="s">
        <v>20060</v>
      </c>
    </row>
    <row r="15546" spans="1:8" ht="14.4" x14ac:dyDescent="0.3">
      <c r="A15546" s="8">
        <v>7753362</v>
      </c>
      <c r="B15546" s="11">
        <v>44672</v>
      </c>
      <c r="C15546" s="13" t="s">
        <v>2583</v>
      </c>
      <c r="D15546" s="13" t="s">
        <v>20313</v>
      </c>
      <c r="E15546" s="8">
        <v>26223.75</v>
      </c>
      <c r="F15546" s="13" t="s">
        <v>70</v>
      </c>
      <c r="G15546" s="14">
        <v>44680</v>
      </c>
      <c r="H15546" s="13" t="s">
        <v>20060</v>
      </c>
    </row>
    <row r="15547" spans="1:8" ht="14.4" x14ac:dyDescent="0.3">
      <c r="A15547" s="8">
        <v>7753363</v>
      </c>
      <c r="B15547" s="11">
        <v>44672</v>
      </c>
      <c r="C15547" s="13" t="s">
        <v>1344</v>
      </c>
      <c r="D15547" s="13" t="s">
        <v>20314</v>
      </c>
      <c r="E15547" s="8">
        <v>29100</v>
      </c>
      <c r="F15547" s="13" t="s">
        <v>70</v>
      </c>
      <c r="G15547" s="14">
        <v>44673</v>
      </c>
      <c r="H15547" s="13" t="s">
        <v>20060</v>
      </c>
    </row>
    <row r="15548" spans="1:8" ht="14.4" x14ac:dyDescent="0.3">
      <c r="A15548" s="8">
        <v>7753364</v>
      </c>
      <c r="B15548" s="11">
        <v>44672</v>
      </c>
      <c r="C15548" s="13" t="s">
        <v>20315</v>
      </c>
      <c r="D15548" s="13" t="s">
        <v>2585</v>
      </c>
      <c r="E15548" s="8">
        <v>15284.82</v>
      </c>
      <c r="F15548" s="13" t="s">
        <v>70</v>
      </c>
      <c r="G15548" s="14">
        <v>44678</v>
      </c>
      <c r="H15548" s="13" t="s">
        <v>20060</v>
      </c>
    </row>
    <row r="15549" spans="1:8" ht="14.4" x14ac:dyDescent="0.3">
      <c r="A15549" s="8">
        <v>7753365</v>
      </c>
      <c r="B15549" s="11">
        <v>44672</v>
      </c>
      <c r="C15549" s="13" t="s">
        <v>1596</v>
      </c>
      <c r="D15549" s="13" t="s">
        <v>20316</v>
      </c>
      <c r="E15549" s="8">
        <v>1572.9</v>
      </c>
      <c r="F15549" s="13" t="s">
        <v>70</v>
      </c>
      <c r="G15549" s="14">
        <v>44677</v>
      </c>
      <c r="H15549" s="13" t="s">
        <v>20060</v>
      </c>
    </row>
    <row r="15550" spans="1:8" ht="14.4" x14ac:dyDescent="0.3">
      <c r="A15550" s="8">
        <v>7753366</v>
      </c>
      <c r="B15550" s="11">
        <v>44672</v>
      </c>
      <c r="C15550" s="13" t="s">
        <v>127</v>
      </c>
      <c r="D15550" s="13" t="s">
        <v>1786</v>
      </c>
      <c r="E15550" s="8">
        <v>10032.15</v>
      </c>
      <c r="F15550" s="13" t="s">
        <v>70</v>
      </c>
      <c r="G15550" s="14">
        <v>44678</v>
      </c>
      <c r="H15550" s="13" t="s">
        <v>20060</v>
      </c>
    </row>
    <row r="15551" spans="1:8" ht="14.4" x14ac:dyDescent="0.3">
      <c r="A15551" s="8">
        <v>7753367</v>
      </c>
      <c r="B15551" s="11">
        <v>44672</v>
      </c>
      <c r="C15551" s="13" t="s">
        <v>259</v>
      </c>
      <c r="D15551" s="13" t="s">
        <v>20317</v>
      </c>
      <c r="E15551" s="8">
        <v>16089.28</v>
      </c>
      <c r="F15551" s="13" t="s">
        <v>70</v>
      </c>
      <c r="G15551" s="14">
        <v>44676</v>
      </c>
      <c r="H15551" s="13" t="s">
        <v>20060</v>
      </c>
    </row>
    <row r="15552" spans="1:8" ht="14.4" x14ac:dyDescent="0.3">
      <c r="A15552" s="8">
        <v>7753368</v>
      </c>
      <c r="B15552" s="11">
        <v>44672</v>
      </c>
      <c r="C15552" s="13" t="s">
        <v>259</v>
      </c>
      <c r="D15552" s="13" t="s">
        <v>20318</v>
      </c>
      <c r="E15552" s="8">
        <v>24133.93</v>
      </c>
      <c r="F15552" s="13" t="s">
        <v>70</v>
      </c>
      <c r="G15552" s="14">
        <v>44676</v>
      </c>
      <c r="H15552" s="13" t="s">
        <v>20060</v>
      </c>
    </row>
    <row r="15553" spans="1:8" ht="14.4" x14ac:dyDescent="0.3">
      <c r="A15553" s="8">
        <v>7753369</v>
      </c>
      <c r="B15553" s="11">
        <v>44672</v>
      </c>
      <c r="C15553" s="13" t="s">
        <v>1581</v>
      </c>
      <c r="D15553" s="13" t="s">
        <v>20319</v>
      </c>
      <c r="E15553" s="8">
        <v>14196.43</v>
      </c>
      <c r="F15553" s="13" t="s">
        <v>70</v>
      </c>
      <c r="G15553" s="14">
        <v>44673</v>
      </c>
      <c r="H15553" s="13" t="s">
        <v>20060</v>
      </c>
    </row>
    <row r="15554" spans="1:8" ht="14.4" x14ac:dyDescent="0.3">
      <c r="A15554" s="8">
        <v>7753370</v>
      </c>
      <c r="B15554" s="11">
        <v>44672</v>
      </c>
      <c r="C15554" s="13" t="s">
        <v>20320</v>
      </c>
      <c r="D15554" s="13" t="s">
        <v>20321</v>
      </c>
      <c r="E15554" s="8">
        <v>5906.25</v>
      </c>
      <c r="F15554" s="13" t="s">
        <v>70</v>
      </c>
      <c r="G15554" s="14">
        <v>44680</v>
      </c>
      <c r="H15554" s="13" t="s">
        <v>20060</v>
      </c>
    </row>
    <row r="15555" spans="1:8" ht="14.4" x14ac:dyDescent="0.3">
      <c r="A15555" s="8">
        <v>7753371</v>
      </c>
      <c r="B15555" s="11">
        <v>44672</v>
      </c>
      <c r="C15555" s="13" t="s">
        <v>405</v>
      </c>
      <c r="D15555" s="13" t="s">
        <v>20322</v>
      </c>
      <c r="E15555" s="8">
        <v>12795.22</v>
      </c>
      <c r="F15555" s="13" t="s">
        <v>70</v>
      </c>
      <c r="G15555" s="14">
        <v>44678</v>
      </c>
      <c r="H15555" s="13" t="s">
        <v>20060</v>
      </c>
    </row>
    <row r="15556" spans="1:8" ht="14.4" x14ac:dyDescent="0.3">
      <c r="A15556" s="8">
        <v>7753372</v>
      </c>
      <c r="B15556" s="11">
        <v>44672</v>
      </c>
      <c r="C15556" s="13" t="s">
        <v>1522</v>
      </c>
      <c r="D15556" s="13" t="s">
        <v>20323</v>
      </c>
      <c r="E15556" s="8">
        <v>24413.759999999998</v>
      </c>
      <c r="F15556" s="13" t="s">
        <v>70</v>
      </c>
      <c r="G15556" s="14">
        <v>44679</v>
      </c>
      <c r="H15556" s="13" t="s">
        <v>20060</v>
      </c>
    </row>
    <row r="15557" spans="1:8" ht="14.4" x14ac:dyDescent="0.3">
      <c r="A15557" s="8">
        <v>7753373</v>
      </c>
      <c r="B15557" s="11">
        <v>44672</v>
      </c>
      <c r="C15557" s="13" t="s">
        <v>127</v>
      </c>
      <c r="D15557" s="13" t="s">
        <v>20324</v>
      </c>
      <c r="E15557" s="8">
        <v>1254.02</v>
      </c>
      <c r="F15557" s="13" t="s">
        <v>70</v>
      </c>
      <c r="G15557" s="14">
        <v>44678</v>
      </c>
      <c r="H15557" s="13" t="s">
        <v>20060</v>
      </c>
    </row>
    <row r="15558" spans="1:8" ht="14.4" x14ac:dyDescent="0.3">
      <c r="A15558" s="8">
        <v>7753374</v>
      </c>
      <c r="B15558" s="11">
        <v>44672</v>
      </c>
      <c r="C15558" s="13" t="s">
        <v>25</v>
      </c>
      <c r="D15558" s="13" t="s">
        <v>1818</v>
      </c>
      <c r="E15558" s="8">
        <v>2981.24</v>
      </c>
      <c r="F15558" s="13" t="s">
        <v>70</v>
      </c>
      <c r="G15558" s="14">
        <v>44677</v>
      </c>
      <c r="H15558" s="13" t="s">
        <v>20060</v>
      </c>
    </row>
    <row r="15559" spans="1:8" ht="14.4" x14ac:dyDescent="0.3">
      <c r="A15559" s="8">
        <v>7753375</v>
      </c>
      <c r="B15559" s="11">
        <v>44672</v>
      </c>
      <c r="C15559" s="13" t="s">
        <v>1424</v>
      </c>
      <c r="D15559" s="13" t="s">
        <v>1425</v>
      </c>
      <c r="E15559" s="8">
        <v>24725.45</v>
      </c>
      <c r="F15559" s="13" t="s">
        <v>70</v>
      </c>
      <c r="G15559" s="14">
        <v>44678</v>
      </c>
      <c r="H15559" s="13" t="s">
        <v>20060</v>
      </c>
    </row>
    <row r="15560" spans="1:8" ht="14.4" x14ac:dyDescent="0.3">
      <c r="A15560" s="8">
        <v>7753376</v>
      </c>
      <c r="B15560" s="11">
        <v>44672</v>
      </c>
      <c r="C15560" s="13" t="s">
        <v>64</v>
      </c>
      <c r="D15560" s="13" t="s">
        <v>20325</v>
      </c>
      <c r="E15560" s="8">
        <v>48980.4</v>
      </c>
      <c r="F15560" s="13" t="s">
        <v>70</v>
      </c>
      <c r="G15560" s="14">
        <v>44678</v>
      </c>
      <c r="H15560" s="13" t="s">
        <v>20060</v>
      </c>
    </row>
    <row r="15561" spans="1:8" ht="14.4" x14ac:dyDescent="0.3">
      <c r="A15561" s="8">
        <v>7753377</v>
      </c>
      <c r="B15561" s="11">
        <v>44672</v>
      </c>
      <c r="C15561" s="13" t="s">
        <v>4181</v>
      </c>
      <c r="D15561" s="13" t="s">
        <v>20326</v>
      </c>
      <c r="E15561" s="8">
        <v>10264.02</v>
      </c>
      <c r="F15561" s="13" t="s">
        <v>70</v>
      </c>
      <c r="G15561" s="14">
        <v>44679</v>
      </c>
      <c r="H15561" s="13" t="s">
        <v>20060</v>
      </c>
    </row>
    <row r="15562" spans="1:8" ht="14.4" x14ac:dyDescent="0.3">
      <c r="A15562" s="8">
        <v>7753378</v>
      </c>
      <c r="B15562" s="11">
        <v>44672</v>
      </c>
      <c r="C15562" s="13" t="s">
        <v>245</v>
      </c>
      <c r="D15562" s="13" t="s">
        <v>20327</v>
      </c>
      <c r="E15562" s="8">
        <v>173239.28</v>
      </c>
      <c r="F15562" s="13" t="s">
        <v>70</v>
      </c>
      <c r="G15562" s="14">
        <v>44673</v>
      </c>
      <c r="H15562" s="13" t="s">
        <v>20060</v>
      </c>
    </row>
    <row r="15563" spans="1:8" ht="14.4" x14ac:dyDescent="0.3">
      <c r="A15563" s="8">
        <v>7753379</v>
      </c>
      <c r="B15563" s="11">
        <v>44672</v>
      </c>
      <c r="C15563" s="13" t="s">
        <v>245</v>
      </c>
      <c r="D15563" s="13" t="s">
        <v>20328</v>
      </c>
      <c r="E15563" s="8">
        <v>173239.28</v>
      </c>
      <c r="F15563" s="13" t="s">
        <v>70</v>
      </c>
      <c r="G15563" s="14">
        <v>44673</v>
      </c>
      <c r="H15563" s="13" t="s">
        <v>20060</v>
      </c>
    </row>
    <row r="15564" spans="1:8" ht="14.4" x14ac:dyDescent="0.3">
      <c r="A15564" s="8">
        <v>7753380</v>
      </c>
      <c r="B15564" s="11">
        <v>44672</v>
      </c>
      <c r="C15564" s="13" t="s">
        <v>1286</v>
      </c>
      <c r="D15564" s="13" t="s">
        <v>20329</v>
      </c>
      <c r="E15564" s="8">
        <v>38635.550000000003</v>
      </c>
      <c r="F15564" s="13" t="s">
        <v>70</v>
      </c>
      <c r="G15564" s="14">
        <v>44677</v>
      </c>
      <c r="H15564" s="13" t="s">
        <v>20060</v>
      </c>
    </row>
    <row r="15565" spans="1:8" ht="14.4" x14ac:dyDescent="0.3">
      <c r="A15565" s="8">
        <v>7753381</v>
      </c>
      <c r="B15565" s="11">
        <v>44672</v>
      </c>
      <c r="C15565" s="13" t="s">
        <v>1516</v>
      </c>
      <c r="D15565" s="13" t="s">
        <v>20330</v>
      </c>
      <c r="E15565" s="8">
        <v>37310.620000000003</v>
      </c>
      <c r="F15565" s="13" t="s">
        <v>70</v>
      </c>
      <c r="G15565" s="14">
        <v>44676</v>
      </c>
      <c r="H15565" s="13" t="s">
        <v>20060</v>
      </c>
    </row>
    <row r="15566" spans="1:8" ht="14.4" x14ac:dyDescent="0.3">
      <c r="A15566" s="8">
        <v>7753382</v>
      </c>
      <c r="B15566" s="11">
        <v>44673</v>
      </c>
      <c r="C15566" s="13" t="s">
        <v>20331</v>
      </c>
      <c r="D15566" s="13" t="s">
        <v>20332</v>
      </c>
      <c r="E15566" s="8">
        <v>23364.54</v>
      </c>
      <c r="F15566" s="13" t="s">
        <v>70</v>
      </c>
      <c r="G15566" s="14">
        <v>44676</v>
      </c>
      <c r="H15566" s="13" t="s">
        <v>20060</v>
      </c>
    </row>
    <row r="15567" spans="1:8" ht="14.4" x14ac:dyDescent="0.3">
      <c r="A15567" s="8">
        <v>7753383</v>
      </c>
      <c r="B15567" s="11">
        <v>44673</v>
      </c>
      <c r="C15567" s="13" t="s">
        <v>161</v>
      </c>
      <c r="D15567" s="13" t="s">
        <v>20333</v>
      </c>
      <c r="E15567" s="8">
        <v>6000</v>
      </c>
      <c r="F15567" s="13" t="s">
        <v>70</v>
      </c>
      <c r="G15567" s="14">
        <v>44685</v>
      </c>
      <c r="H15567" s="13" t="s">
        <v>20060</v>
      </c>
    </row>
    <row r="15568" spans="1:8" ht="14.4" x14ac:dyDescent="0.3">
      <c r="A15568" s="8">
        <v>7753384</v>
      </c>
      <c r="B15568" s="11">
        <v>44673</v>
      </c>
      <c r="C15568" s="13" t="s">
        <v>265</v>
      </c>
      <c r="D15568" s="13" t="s">
        <v>20334</v>
      </c>
      <c r="E15568" s="8">
        <v>161356.6</v>
      </c>
      <c r="F15568" s="13" t="s">
        <v>70</v>
      </c>
      <c r="G15568" s="14">
        <v>44677</v>
      </c>
      <c r="H15568" s="13" t="s">
        <v>20060</v>
      </c>
    </row>
    <row r="15569" spans="1:8" ht="14.4" x14ac:dyDescent="0.3">
      <c r="A15569" s="8">
        <v>7753385</v>
      </c>
      <c r="B15569" s="11">
        <v>44673</v>
      </c>
      <c r="C15569" s="13" t="s">
        <v>64</v>
      </c>
      <c r="D15569" s="13" t="s">
        <v>20335</v>
      </c>
      <c r="E15569" s="8">
        <v>120775.2</v>
      </c>
      <c r="F15569" s="13" t="s">
        <v>70</v>
      </c>
      <c r="G15569" s="14">
        <v>44678</v>
      </c>
      <c r="H15569" s="13" t="s">
        <v>20060</v>
      </c>
    </row>
    <row r="15570" spans="1:8" ht="14.4" x14ac:dyDescent="0.3">
      <c r="A15570" s="8">
        <v>7753386</v>
      </c>
      <c r="B15570" s="11">
        <v>44673</v>
      </c>
      <c r="C15570" s="13" t="s">
        <v>152</v>
      </c>
      <c r="D15570" s="13" t="s">
        <v>20336</v>
      </c>
      <c r="E15570" s="8">
        <v>45084.1</v>
      </c>
      <c r="F15570" s="13" t="s">
        <v>70</v>
      </c>
      <c r="G15570" s="14">
        <v>44678</v>
      </c>
      <c r="H15570" s="13" t="s">
        <v>20060</v>
      </c>
    </row>
    <row r="15571" spans="1:8" ht="14.4" x14ac:dyDescent="0.3">
      <c r="A15571" s="8">
        <v>7753387</v>
      </c>
      <c r="B15571" s="11">
        <v>44673</v>
      </c>
      <c r="C15571" s="13" t="s">
        <v>20337</v>
      </c>
      <c r="D15571" s="13" t="s">
        <v>20338</v>
      </c>
      <c r="E15571" s="8">
        <v>90059.38</v>
      </c>
      <c r="F15571" s="13" t="s">
        <v>70</v>
      </c>
      <c r="G15571" s="14">
        <v>44677</v>
      </c>
      <c r="H15571" s="13" t="s">
        <v>20060</v>
      </c>
    </row>
    <row r="15572" spans="1:8" ht="14.4" x14ac:dyDescent="0.3">
      <c r="A15572" s="8">
        <v>7753388</v>
      </c>
      <c r="B15572" s="11">
        <v>44673</v>
      </c>
      <c r="C15572" s="13" t="s">
        <v>20339</v>
      </c>
      <c r="D15572" s="13" t="s">
        <v>20340</v>
      </c>
      <c r="E15572" s="8">
        <v>7089</v>
      </c>
      <c r="F15572" s="13" t="s">
        <v>70</v>
      </c>
      <c r="G15572" s="14">
        <v>44762</v>
      </c>
      <c r="H15572" s="13" t="s">
        <v>20060</v>
      </c>
    </row>
    <row r="15573" spans="1:8" ht="14.4" x14ac:dyDescent="0.3">
      <c r="A15573" s="8">
        <v>7753389</v>
      </c>
      <c r="B15573" s="11">
        <v>44673</v>
      </c>
      <c r="C15573" s="13" t="s">
        <v>245</v>
      </c>
      <c r="D15573" s="13" t="s">
        <v>20341</v>
      </c>
      <c r="E15573" s="8">
        <v>15207.19</v>
      </c>
      <c r="F15573" s="13" t="s">
        <v>70</v>
      </c>
      <c r="G15573" s="14">
        <v>44676</v>
      </c>
      <c r="H15573" s="13" t="s">
        <v>20060</v>
      </c>
    </row>
    <row r="15574" spans="1:8" ht="14.4" x14ac:dyDescent="0.3">
      <c r="A15574" s="8">
        <v>7753390</v>
      </c>
      <c r="B15574" s="11">
        <v>44673</v>
      </c>
      <c r="C15574" s="13" t="s">
        <v>7575</v>
      </c>
      <c r="D15574" s="13" t="s">
        <v>20342</v>
      </c>
      <c r="E15574" s="8">
        <v>9128.61</v>
      </c>
      <c r="F15574" s="13" t="s">
        <v>70</v>
      </c>
      <c r="G15574" s="14">
        <v>44699</v>
      </c>
      <c r="H15574" s="13" t="s">
        <v>20060</v>
      </c>
    </row>
    <row r="15575" spans="1:8" ht="14.4" x14ac:dyDescent="0.3">
      <c r="A15575" s="8">
        <v>7753391</v>
      </c>
      <c r="B15575" s="11">
        <v>44673</v>
      </c>
      <c r="C15575" s="13" t="s">
        <v>3203</v>
      </c>
      <c r="D15575" s="13" t="s">
        <v>20343</v>
      </c>
      <c r="E15575" s="8">
        <v>3927.59</v>
      </c>
      <c r="F15575" s="13" t="s">
        <v>70</v>
      </c>
      <c r="G15575" s="14">
        <v>44796</v>
      </c>
      <c r="H15575" s="13" t="s">
        <v>20060</v>
      </c>
    </row>
    <row r="15576" spans="1:8" ht="14.4" x14ac:dyDescent="0.3">
      <c r="A15576" s="8">
        <v>7753392</v>
      </c>
      <c r="B15576" s="11">
        <v>44673</v>
      </c>
      <c r="C15576" s="13" t="s">
        <v>202</v>
      </c>
      <c r="D15576" s="13" t="s">
        <v>34</v>
      </c>
      <c r="E15576" s="8">
        <v>96805.98</v>
      </c>
      <c r="F15576" s="13" t="s">
        <v>70</v>
      </c>
      <c r="G15576" s="14">
        <v>44677</v>
      </c>
      <c r="H15576" s="13" t="s">
        <v>20060</v>
      </c>
    </row>
    <row r="15577" spans="1:8" ht="14.4" x14ac:dyDescent="0.3">
      <c r="A15577" s="8">
        <v>7753393</v>
      </c>
      <c r="B15577" s="11">
        <v>44673</v>
      </c>
      <c r="C15577" s="13" t="s">
        <v>838</v>
      </c>
      <c r="D15577" s="13" t="s">
        <v>20344</v>
      </c>
      <c r="E15577" s="8">
        <v>10000</v>
      </c>
      <c r="F15577" s="13" t="s">
        <v>70</v>
      </c>
      <c r="G15577" s="14">
        <v>44678</v>
      </c>
      <c r="H15577" s="13" t="s">
        <v>20060</v>
      </c>
    </row>
    <row r="15578" spans="1:8" ht="14.4" x14ac:dyDescent="0.3">
      <c r="A15578" s="8">
        <v>7753394</v>
      </c>
      <c r="B15578" s="11">
        <v>44673</v>
      </c>
      <c r="C15578" s="13" t="s">
        <v>839</v>
      </c>
      <c r="D15578" s="13" t="s">
        <v>1480</v>
      </c>
      <c r="E15578" s="8">
        <v>10000</v>
      </c>
      <c r="F15578" s="13" t="s">
        <v>70</v>
      </c>
      <c r="G15578" s="14">
        <v>44678</v>
      </c>
      <c r="H15578" s="13" t="s">
        <v>20060</v>
      </c>
    </row>
    <row r="15579" spans="1:8" ht="14.4" x14ac:dyDescent="0.3">
      <c r="A15579" s="8">
        <v>7753395</v>
      </c>
      <c r="B15579" s="11">
        <v>44673</v>
      </c>
      <c r="C15579" s="13" t="s">
        <v>1380</v>
      </c>
      <c r="D15579" s="13" t="s">
        <v>20345</v>
      </c>
      <c r="E15579" s="8">
        <v>868.25</v>
      </c>
      <c r="F15579" s="13" t="s">
        <v>70</v>
      </c>
      <c r="G15579" s="14">
        <v>44676</v>
      </c>
      <c r="H15579" s="13" t="s">
        <v>20060</v>
      </c>
    </row>
    <row r="15580" spans="1:8" ht="14.4" x14ac:dyDescent="0.3">
      <c r="A15580" s="8">
        <v>7551004</v>
      </c>
      <c r="B15580" s="11">
        <v>44683</v>
      </c>
      <c r="C15580" s="13" t="s">
        <v>2624</v>
      </c>
      <c r="D15580" s="13" t="s">
        <v>5932</v>
      </c>
      <c r="E15580" s="8">
        <v>347331.25</v>
      </c>
      <c r="F15580" s="13" t="s">
        <v>70</v>
      </c>
      <c r="G15580" s="14">
        <v>44685</v>
      </c>
      <c r="H15580" s="13" t="s">
        <v>20060</v>
      </c>
    </row>
    <row r="15581" spans="1:8" ht="14.4" x14ac:dyDescent="0.3">
      <c r="A15581" s="8">
        <v>7753396</v>
      </c>
      <c r="B15581" s="11">
        <v>44706</v>
      </c>
      <c r="C15581" s="13" t="s">
        <v>275</v>
      </c>
      <c r="D15581" s="13" t="s">
        <v>1089</v>
      </c>
      <c r="E15581" s="8">
        <v>242139.35</v>
      </c>
      <c r="F15581" s="13" t="s">
        <v>70</v>
      </c>
      <c r="G15581" s="14">
        <v>44706</v>
      </c>
      <c r="H15581" s="13" t="s">
        <v>20060</v>
      </c>
    </row>
    <row r="15582" spans="1:8" ht="14.4" x14ac:dyDescent="0.3">
      <c r="A15582" s="8">
        <v>7753397</v>
      </c>
      <c r="B15582" s="11">
        <v>44706</v>
      </c>
      <c r="C15582" s="13" t="s">
        <v>1645</v>
      </c>
      <c r="D15582" s="13" t="s">
        <v>20346</v>
      </c>
      <c r="E15582" s="8">
        <v>1000</v>
      </c>
      <c r="F15582" s="13" t="s">
        <v>70</v>
      </c>
      <c r="G15582" s="14">
        <v>44706</v>
      </c>
      <c r="H15582" s="13" t="s">
        <v>20060</v>
      </c>
    </row>
    <row r="15583" spans="1:8" ht="14.4" x14ac:dyDescent="0.3">
      <c r="A15583" s="8">
        <v>7753398</v>
      </c>
      <c r="B15583" s="11">
        <v>44706</v>
      </c>
      <c r="C15583" s="13" t="s">
        <v>159</v>
      </c>
      <c r="D15583" s="13" t="s">
        <v>3004</v>
      </c>
      <c r="E15583" s="8">
        <v>215900</v>
      </c>
      <c r="F15583" s="13" t="s">
        <v>70</v>
      </c>
      <c r="G15583" s="14">
        <v>44707</v>
      </c>
      <c r="H15583" s="13" t="s">
        <v>20060</v>
      </c>
    </row>
    <row r="15584" spans="1:8" ht="14.4" x14ac:dyDescent="0.3">
      <c r="A15584" s="8">
        <v>7753399</v>
      </c>
      <c r="B15584" s="11">
        <v>44706</v>
      </c>
      <c r="C15584" s="13" t="s">
        <v>180</v>
      </c>
      <c r="D15584" s="13" t="s">
        <v>33</v>
      </c>
      <c r="E15584" s="8">
        <v>78122.789999999994</v>
      </c>
      <c r="F15584" s="13" t="s">
        <v>70</v>
      </c>
      <c r="G15584" s="14">
        <v>44707</v>
      </c>
      <c r="H15584" s="13" t="s">
        <v>20060</v>
      </c>
    </row>
    <row r="15585" spans="1:8" ht="14.4" x14ac:dyDescent="0.3">
      <c r="A15585" s="8">
        <v>7551005</v>
      </c>
      <c r="B15585" s="11">
        <v>44707</v>
      </c>
      <c r="C15585" s="13" t="s">
        <v>2624</v>
      </c>
      <c r="D15585" s="13" t="s">
        <v>15297</v>
      </c>
      <c r="E15585" s="8">
        <v>78837.5</v>
      </c>
      <c r="F15585" s="13" t="s">
        <v>70</v>
      </c>
      <c r="G15585" s="14">
        <v>44707</v>
      </c>
      <c r="H15585" s="13" t="s">
        <v>20060</v>
      </c>
    </row>
    <row r="15586" spans="1:8" ht="14.4" x14ac:dyDescent="0.3">
      <c r="A15586" s="8">
        <v>7753400</v>
      </c>
      <c r="B15586" s="11">
        <v>44708</v>
      </c>
      <c r="C15586" s="13" t="s">
        <v>2624</v>
      </c>
      <c r="D15586" s="13" t="s">
        <v>20347</v>
      </c>
      <c r="E15586" s="8">
        <v>5000000</v>
      </c>
      <c r="F15586" s="13" t="s">
        <v>70</v>
      </c>
      <c r="G15586" s="14">
        <v>44708</v>
      </c>
      <c r="H15586" s="13" t="s">
        <v>20060</v>
      </c>
    </row>
    <row r="15587" spans="1:8" ht="14.4" x14ac:dyDescent="0.3">
      <c r="A15587" s="8">
        <v>7551006</v>
      </c>
      <c r="B15587" s="11">
        <v>44714</v>
      </c>
      <c r="C15587" s="13" t="s">
        <v>2624</v>
      </c>
      <c r="D15587" s="13" t="s">
        <v>5961</v>
      </c>
      <c r="E15587" s="8">
        <v>93318.75</v>
      </c>
      <c r="F15587" s="13" t="s">
        <v>70</v>
      </c>
      <c r="G15587" s="14">
        <v>44715</v>
      </c>
      <c r="H15587" s="13" t="s">
        <v>20060</v>
      </c>
    </row>
    <row r="15588" spans="1:8" ht="14.4" x14ac:dyDescent="0.3">
      <c r="A15588" s="8">
        <v>7551007</v>
      </c>
      <c r="B15588" s="11">
        <v>44747</v>
      </c>
      <c r="C15588" s="13" t="s">
        <v>2624</v>
      </c>
      <c r="D15588" s="13" t="s">
        <v>6016</v>
      </c>
      <c r="E15588" s="8">
        <v>175875.46</v>
      </c>
      <c r="F15588" s="13" t="s">
        <v>70</v>
      </c>
      <c r="G15588" s="14">
        <v>44747</v>
      </c>
      <c r="H15588" s="13" t="s">
        <v>20060</v>
      </c>
    </row>
    <row r="15589" spans="1:8" ht="14.4" x14ac:dyDescent="0.3">
      <c r="A15589" s="8">
        <v>7551001</v>
      </c>
      <c r="B15589" s="11">
        <v>44616</v>
      </c>
      <c r="C15589" s="13" t="s">
        <v>13197</v>
      </c>
      <c r="D15589" s="13" t="s">
        <v>20348</v>
      </c>
      <c r="E15589" s="8">
        <v>7000</v>
      </c>
      <c r="F15589" s="13" t="s">
        <v>70</v>
      </c>
      <c r="G15589" s="14">
        <v>44620</v>
      </c>
      <c r="H15589" s="13" t="s">
        <v>20349</v>
      </c>
    </row>
    <row r="15590" spans="1:8" ht="14.4" x14ac:dyDescent="0.3">
      <c r="A15590" s="8">
        <v>7551002</v>
      </c>
      <c r="B15590" s="11">
        <v>44624</v>
      </c>
      <c r="C15590" s="13" t="s">
        <v>2624</v>
      </c>
      <c r="D15590" s="13" t="s">
        <v>5853</v>
      </c>
      <c r="E15590" s="8">
        <v>3456.25</v>
      </c>
      <c r="F15590" s="13" t="s">
        <v>70</v>
      </c>
      <c r="G15590" s="14">
        <v>44627</v>
      </c>
      <c r="H15590" s="13" t="s">
        <v>20350</v>
      </c>
    </row>
    <row r="15591" spans="1:8" ht="14.4" x14ac:dyDescent="0.3">
      <c r="A15591" s="8">
        <v>7551003</v>
      </c>
      <c r="B15591" s="11">
        <v>44656</v>
      </c>
      <c r="C15591" s="13" t="s">
        <v>2624</v>
      </c>
      <c r="D15591" s="13" t="s">
        <v>7121</v>
      </c>
      <c r="E15591" s="8">
        <v>105831.25</v>
      </c>
      <c r="F15591" s="13" t="s">
        <v>70</v>
      </c>
      <c r="G15591" s="14">
        <v>44657</v>
      </c>
      <c r="H15591" s="13" t="s">
        <v>20350</v>
      </c>
    </row>
    <row r="15592" spans="1:8" ht="14.4" x14ac:dyDescent="0.3">
      <c r="A15592" s="8">
        <v>7551008</v>
      </c>
      <c r="B15592" s="11">
        <v>44774</v>
      </c>
      <c r="C15592" s="13" t="s">
        <v>6335</v>
      </c>
      <c r="D15592" s="13"/>
      <c r="E15592" s="8">
        <v>165768.76</v>
      </c>
      <c r="F15592" s="13" t="s">
        <v>70</v>
      </c>
      <c r="G15592" s="14">
        <v>44775</v>
      </c>
      <c r="H15592" s="13" t="s">
        <v>20350</v>
      </c>
    </row>
    <row r="15593" spans="1:8" ht="14.4" x14ac:dyDescent="0.3">
      <c r="A15593" s="8">
        <v>7551009</v>
      </c>
      <c r="B15593" s="11">
        <v>44806</v>
      </c>
      <c r="C15593" s="13" t="s">
        <v>2624</v>
      </c>
      <c r="D15593" s="13" t="s">
        <v>6170</v>
      </c>
      <c r="E15593" s="8">
        <v>145906.25</v>
      </c>
      <c r="F15593" s="13" t="s">
        <v>70</v>
      </c>
      <c r="G15593" s="14">
        <v>44809</v>
      </c>
      <c r="H15593" s="13" t="s">
        <v>20350</v>
      </c>
    </row>
    <row r="15594" spans="1:8" ht="14.4" x14ac:dyDescent="0.3">
      <c r="A15594" s="8">
        <v>7551011</v>
      </c>
      <c r="B15594" s="11">
        <v>44858</v>
      </c>
      <c r="C15594" s="13" t="s">
        <v>2624</v>
      </c>
      <c r="D15594" s="13" t="s">
        <v>20351</v>
      </c>
      <c r="E15594" s="8">
        <v>155</v>
      </c>
      <c r="F15594" s="13" t="s">
        <v>70</v>
      </c>
      <c r="G15594" s="14">
        <v>44859</v>
      </c>
      <c r="H15594" s="13" t="s">
        <v>20350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95"/>
  <sheetViews>
    <sheetView workbookViewId="0">
      <selection activeCell="S1" sqref="S1:S1048576"/>
    </sheetView>
  </sheetViews>
  <sheetFormatPr defaultColWidth="12.5546875" defaultRowHeight="13.2" x14ac:dyDescent="0.25"/>
  <cols>
    <col min="1" max="1" width="16.33203125" customWidth="1"/>
    <col min="2" max="2" width="16.33203125" style="24" customWidth="1"/>
    <col min="3" max="3" width="37.44140625" customWidth="1"/>
    <col min="4" max="4" width="45.5546875" customWidth="1"/>
    <col min="5" max="6" width="19.33203125" customWidth="1"/>
    <col min="7" max="18" width="19.33203125" hidden="1" customWidth="1"/>
    <col min="19" max="19" width="14.21875" style="24" bestFit="1" customWidth="1"/>
  </cols>
  <sheetData>
    <row r="1" spans="1:19" ht="17.399999999999999" x14ac:dyDescent="0.25">
      <c r="A1" s="2" t="s">
        <v>20353</v>
      </c>
      <c r="B1" s="22" t="str">
        <f ca="1">IFERROR(__xludf.DUMMYFUNCTION("""COMPUTED_VALUE"""),"Date")</f>
        <v>Date</v>
      </c>
      <c r="C1" s="3" t="str">
        <f ca="1">IFERROR(__xludf.DUMMYFUNCTION("""COMPUTED_VALUE"""),"Payee")</f>
        <v>Payee</v>
      </c>
      <c r="D1" s="3" t="str">
        <f ca="1">IFERROR(__xludf.DUMMYFUNCTION("""COMPUTED_VALUE"""),"Particulars")</f>
        <v>Particulars</v>
      </c>
      <c r="E1" s="2" t="str">
        <f ca="1">IFERROR(__xludf.DUMMYFUNCTION("""COMPUTED_VALUE"""),"Amount")</f>
        <v>Amount</v>
      </c>
      <c r="F1" s="3" t="str">
        <f ca="1">IFERROR(__xludf.DUMMYFUNCTION("""COMPUTED_VALUE"""),"Fund")</f>
        <v>Fund</v>
      </c>
      <c r="G1" s="1"/>
      <c r="H1" s="1"/>
      <c r="I1" s="1"/>
      <c r="J1" s="1"/>
      <c r="K1" s="1"/>
      <c r="L1" s="1"/>
      <c r="M1" s="1"/>
      <c r="N1" s="1"/>
      <c r="O1" s="1"/>
      <c r="P1" s="1"/>
      <c r="Q1" s="1"/>
      <c r="R1" s="1"/>
      <c r="S1" s="26"/>
    </row>
    <row r="2" spans="1:19" ht="34.799999999999997" x14ac:dyDescent="0.25">
      <c r="A2" s="4">
        <f ca="1">IFERROR(__xludf.DUMMYFUNCTION("""COMPUTED_VALUE"""),82188520)</f>
        <v>82188520</v>
      </c>
      <c r="B2" s="23">
        <f ca="1">IFERROR(__xludf.DUMMYFUNCTION("""COMPUTED_VALUE"""),44845)</f>
        <v>44845</v>
      </c>
      <c r="C2" s="4" t="str">
        <f ca="1">IFERROR(__xludf.DUMMYFUNCTION("""COMPUTED_VALUE"""),"Cesar C. Dimaala ")</f>
        <v xml:space="preserve">Cesar C. Dimaala </v>
      </c>
      <c r="D2" s="4" t="str">
        <f ca="1">IFERROR(__xludf.DUMMYFUNCTION("""COMPUTED_VALUE"""),"DONATION TO JASMIN DIMAALA FOR HER BURIAL EXPENSES")</f>
        <v>DONATION TO JASMIN DIMAALA FOR HER BURIAL EXPENSES</v>
      </c>
      <c r="E2" s="5">
        <f ca="1">IFERROR(__xludf.DUMMYFUNCTION("""COMPUTED_VALUE"""),7000)</f>
        <v>7000</v>
      </c>
      <c r="F2" s="4" t="str">
        <f ca="1">IFERROR(__xludf.DUMMYFUNCTION("""COMPUTED_VALUE"""),"DBP General")</f>
        <v>DBP General</v>
      </c>
      <c r="G2" s="1"/>
      <c r="H2" s="1"/>
      <c r="I2" s="1"/>
      <c r="J2" s="1"/>
      <c r="K2" s="1"/>
      <c r="L2" s="1"/>
      <c r="M2" s="1"/>
      <c r="N2" s="1"/>
      <c r="O2" s="1"/>
      <c r="P2" s="1"/>
      <c r="Q2" s="1"/>
      <c r="R2" s="1"/>
      <c r="S2" s="23"/>
    </row>
    <row r="3" spans="1:19" ht="34.799999999999997" x14ac:dyDescent="0.25">
      <c r="A3" s="4">
        <f ca="1">IFERROR(__xludf.DUMMYFUNCTION("""COMPUTED_VALUE"""),82188970)</f>
        <v>82188970</v>
      </c>
      <c r="B3" s="23">
        <f ca="1">IFERROR(__xludf.DUMMYFUNCTION("""COMPUTED_VALUE"""),44855)</f>
        <v>44855</v>
      </c>
      <c r="C3" s="4" t="str">
        <f ca="1">IFERROR(__xludf.DUMMYFUNCTION("""COMPUTED_VALUE"""),"St Joseph Memorial Services of Balanga Inc. ")</f>
        <v xml:space="preserve">St Joseph Memorial Services of Balanga Inc. </v>
      </c>
      <c r="D3" s="4" t="str">
        <f ca="1">IFERROR(__xludf.DUMMYFUNCTION("""COMPUTED_VALUE"""),"DONATION TO ROSITA AUSTRIA FOR HER BURIAL EXPENSES")</f>
        <v>DONATION TO ROSITA AUSTRIA FOR HER BURIAL EXPENSES</v>
      </c>
      <c r="E3" s="5">
        <f ca="1">IFERROR(__xludf.DUMMYFUNCTION("""COMPUTED_VALUE"""),21000)</f>
        <v>21000</v>
      </c>
      <c r="F3" s="4" t="str">
        <f ca="1">IFERROR(__xludf.DUMMYFUNCTION("""COMPUTED_VALUE"""),"DBP General")</f>
        <v>DBP General</v>
      </c>
      <c r="G3" s="1"/>
      <c r="H3" s="1"/>
      <c r="I3" s="1"/>
      <c r="J3" s="1"/>
      <c r="K3" s="1"/>
      <c r="L3" s="1"/>
      <c r="M3" s="1"/>
      <c r="N3" s="1"/>
      <c r="O3" s="1"/>
      <c r="P3" s="1"/>
      <c r="Q3" s="1"/>
      <c r="R3" s="1"/>
      <c r="S3" s="23"/>
    </row>
    <row r="4" spans="1:19" ht="34.799999999999997" x14ac:dyDescent="0.25">
      <c r="A4" s="4">
        <f ca="1">IFERROR(__xludf.DUMMYFUNCTION("""COMPUTED_VALUE"""),82188971)</f>
        <v>82188971</v>
      </c>
      <c r="B4" s="23">
        <f ca="1">IFERROR(__xludf.DUMMYFUNCTION("""COMPUTED_VALUE"""),44855)</f>
        <v>44855</v>
      </c>
      <c r="C4" s="4" t="str">
        <f ca="1">IFERROR(__xludf.DUMMYFUNCTION("""COMPUTED_VALUE"""),"Marvin V. Gervacio ")</f>
        <v xml:space="preserve">Marvin V. Gervacio </v>
      </c>
      <c r="D4" s="4" t="str">
        <f ca="1">IFERROR(__xludf.DUMMYFUNCTION("""COMPUTED_VALUE"""),"DONATION TO ELVIRA GERVACIO FOR HER MEDICAL NEEDS")</f>
        <v>DONATION TO ELVIRA GERVACIO FOR HER MEDICAL NEEDS</v>
      </c>
      <c r="E4" s="5">
        <f ca="1">IFERROR(__xludf.DUMMYFUNCTION("""COMPUTED_VALUE"""),27000)</f>
        <v>27000</v>
      </c>
      <c r="F4" s="4" t="str">
        <f ca="1">IFERROR(__xludf.DUMMYFUNCTION("""COMPUTED_VALUE"""),"DBP General")</f>
        <v>DBP General</v>
      </c>
      <c r="G4" s="3"/>
      <c r="H4" s="3"/>
      <c r="I4" s="3"/>
      <c r="J4" s="3"/>
      <c r="K4" s="3"/>
      <c r="L4" s="3"/>
      <c r="M4" s="3"/>
      <c r="N4" s="3"/>
      <c r="O4" s="3"/>
      <c r="P4" s="3"/>
      <c r="Q4" s="3"/>
      <c r="R4" s="3"/>
      <c r="S4" s="23"/>
    </row>
    <row r="5" spans="1:19" ht="52.2" x14ac:dyDescent="0.25">
      <c r="A5" s="4">
        <f ca="1">IFERROR(__xludf.DUMMYFUNCTION("""COMPUTED_VALUE"""),2092194)</f>
        <v>2092194</v>
      </c>
      <c r="B5" s="23">
        <f ca="1">IFERROR(__xludf.DUMMYFUNCTION("""COMPUTED_VALUE"""),44817)</f>
        <v>44817</v>
      </c>
      <c r="C5" s="4" t="str">
        <f ca="1">IFERROR(__xludf.DUMMYFUNCTION("""COMPUTED_VALUE"""),"Erlinda C. Tamundog ")</f>
        <v xml:space="preserve">Erlinda C. Tamundog </v>
      </c>
      <c r="D5" s="4" t="str">
        <f ca="1">IFERROR(__xludf.DUMMYFUNCTION("""COMPUTED_VALUE"""),"DONATION TO REMIGIO TAMUNDOG FOR HIS BURIAL EXPENSES")</f>
        <v>DONATION TO REMIGIO TAMUNDOG FOR HIS BURIAL EXPENSES</v>
      </c>
      <c r="E5" s="5">
        <f ca="1">IFERROR(__xludf.DUMMYFUNCTION("""COMPUTED_VALUE"""),10000)</f>
        <v>10000</v>
      </c>
      <c r="F5" s="4" t="str">
        <f ca="1">IFERROR(__xludf.DUMMYFUNCTION("""COMPUTED_VALUE"""),"LBP General")</f>
        <v>LBP General</v>
      </c>
      <c r="G5" s="4"/>
      <c r="H5" s="4"/>
      <c r="I5" s="4"/>
      <c r="J5" s="4"/>
      <c r="K5" s="4"/>
      <c r="L5" s="4"/>
      <c r="M5" s="4"/>
      <c r="N5" s="4"/>
      <c r="O5" s="4"/>
      <c r="P5" s="4"/>
      <c r="Q5" s="4"/>
      <c r="R5" s="4"/>
      <c r="S5" s="23"/>
    </row>
    <row r="6" spans="1:19" ht="34.799999999999997" x14ac:dyDescent="0.25">
      <c r="A6" s="4">
        <f ca="1">IFERROR(__xludf.DUMMYFUNCTION("""COMPUTED_VALUE"""),2092955)</f>
        <v>2092955</v>
      </c>
      <c r="B6" s="23">
        <f ca="1">IFERROR(__xludf.DUMMYFUNCTION("""COMPUTED_VALUE"""),44867)</f>
        <v>44867</v>
      </c>
      <c r="C6" s="4" t="str">
        <f ca="1">IFERROR(__xludf.DUMMYFUNCTION("""COMPUTED_VALUE"""),"Dexter T. Veluz ")</f>
        <v xml:space="preserve">Dexter T. Veluz </v>
      </c>
      <c r="D6" s="4" t="str">
        <f ca="1">IFERROR(__xludf.DUMMYFUNCTION("""COMPUTED_VALUE"""),"DONATION TO CLIENT FOR HIS MEDICAL NEEDS")</f>
        <v>DONATION TO CLIENT FOR HIS MEDICAL NEEDS</v>
      </c>
      <c r="E6" s="5">
        <f ca="1">IFERROR(__xludf.DUMMYFUNCTION("""COMPUTED_VALUE"""),11000)</f>
        <v>11000</v>
      </c>
      <c r="F6" s="4" t="str">
        <f ca="1">IFERROR(__xludf.DUMMYFUNCTION("""COMPUTED_VALUE"""),"LBP General")</f>
        <v>LBP General</v>
      </c>
      <c r="G6" s="4"/>
      <c r="H6" s="4"/>
      <c r="I6" s="4"/>
      <c r="J6" s="4"/>
      <c r="K6" s="4"/>
      <c r="L6" s="4"/>
      <c r="M6" s="4"/>
      <c r="N6" s="4"/>
      <c r="O6" s="4"/>
      <c r="P6" s="4"/>
      <c r="Q6" s="4"/>
      <c r="R6" s="4"/>
      <c r="S6" s="23"/>
    </row>
    <row r="7" spans="1:19" ht="34.799999999999997" x14ac:dyDescent="0.25">
      <c r="A7" s="4">
        <f ca="1">IFERROR(__xludf.DUMMYFUNCTION("""COMPUTED_VALUE"""),2092973)</f>
        <v>2092973</v>
      </c>
      <c r="B7" s="23">
        <f ca="1">IFERROR(__xludf.DUMMYFUNCTION("""COMPUTED_VALUE"""),44867)</f>
        <v>44867</v>
      </c>
      <c r="C7" s="4" t="str">
        <f ca="1">IFERROR(__xludf.DUMMYFUNCTION("""COMPUTED_VALUE"""),"Zabala Funeral Services ")</f>
        <v xml:space="preserve">Zabala Funeral Services </v>
      </c>
      <c r="D7" s="4" t="str">
        <f ca="1">IFERROR(__xludf.DUMMYFUNCTION("""COMPUTED_VALUE"""),"DONATION TO BENJAMIN TUAZON FOR HIS BURIAL EXPENSES")</f>
        <v>DONATION TO BENJAMIN TUAZON FOR HIS BURIAL EXPENSES</v>
      </c>
      <c r="E7" s="5">
        <f ca="1">IFERROR(__xludf.DUMMYFUNCTION("""COMPUTED_VALUE"""),30000)</f>
        <v>30000</v>
      </c>
      <c r="F7" s="4" t="str">
        <f ca="1">IFERROR(__xludf.DUMMYFUNCTION("""COMPUTED_VALUE"""),"LBP General")</f>
        <v>LBP General</v>
      </c>
      <c r="G7" s="4"/>
      <c r="H7" s="4"/>
      <c r="I7" s="4"/>
      <c r="J7" s="4"/>
      <c r="K7" s="4"/>
      <c r="L7" s="4"/>
      <c r="M7" s="4"/>
      <c r="N7" s="4"/>
      <c r="O7" s="4"/>
      <c r="P7" s="4"/>
      <c r="Q7" s="4"/>
      <c r="R7" s="4"/>
      <c r="S7" s="23"/>
    </row>
    <row r="8" spans="1:19" ht="52.2" x14ac:dyDescent="0.25">
      <c r="A8" s="4">
        <f ca="1">IFERROR(__xludf.DUMMYFUNCTION("""COMPUTED_VALUE"""),2093271)</f>
        <v>2093271</v>
      </c>
      <c r="B8" s="23">
        <f ca="1">IFERROR(__xludf.DUMMYFUNCTION("""COMPUTED_VALUE"""),44873)</f>
        <v>44873</v>
      </c>
      <c r="C8" s="4" t="str">
        <f ca="1">IFERROR(__xludf.DUMMYFUNCTION("""COMPUTED_VALUE"""),"Melba's Funeral Parlor ")</f>
        <v xml:space="preserve">Melba's Funeral Parlor </v>
      </c>
      <c r="D8" s="4" t="str">
        <f ca="1">IFERROR(__xludf.DUMMYFUNCTION("""COMPUTED_VALUE"""),"DONATION TO AMPARO DELA CRUZ FOR HER BURIAL EXPENSES")</f>
        <v>DONATION TO AMPARO DELA CRUZ FOR HER BURIAL EXPENSES</v>
      </c>
      <c r="E8" s="5">
        <f ca="1">IFERROR(__xludf.DUMMYFUNCTION("""COMPUTED_VALUE"""),27000)</f>
        <v>27000</v>
      </c>
      <c r="F8" s="4" t="str">
        <f ca="1">IFERROR(__xludf.DUMMYFUNCTION("""COMPUTED_VALUE"""),"LBP General")</f>
        <v>LBP General</v>
      </c>
      <c r="G8" s="4"/>
      <c r="H8" s="4"/>
      <c r="I8" s="4"/>
      <c r="J8" s="4"/>
      <c r="K8" s="4"/>
      <c r="L8" s="4"/>
      <c r="M8" s="4"/>
      <c r="N8" s="4"/>
      <c r="O8" s="4"/>
      <c r="P8" s="4"/>
      <c r="Q8" s="4"/>
      <c r="R8" s="4"/>
      <c r="S8" s="23"/>
    </row>
    <row r="9" spans="1:19" ht="34.799999999999997" x14ac:dyDescent="0.25">
      <c r="A9" s="4">
        <f ca="1">IFERROR(__xludf.DUMMYFUNCTION("""COMPUTED_VALUE"""),2093277)</f>
        <v>2093277</v>
      </c>
      <c r="B9" s="23">
        <f ca="1">IFERROR(__xludf.DUMMYFUNCTION("""COMPUTED_VALUE"""),44873)</f>
        <v>44873</v>
      </c>
      <c r="C9" s="4" t="str">
        <f ca="1">IFERROR(__xludf.DUMMYFUNCTION("""COMPUTED_VALUE"""),"Julieta Licaros ")</f>
        <v xml:space="preserve">Julieta Licaros </v>
      </c>
      <c r="D9" s="4" t="str">
        <f ca="1">IFERROR(__xludf.DUMMYFUNCTION("""COMPUTED_VALUE"""),"DONATION TO CLIENT FOR FOR HER MEDICAL NEEDS")</f>
        <v>DONATION TO CLIENT FOR FOR HER MEDICAL NEEDS</v>
      </c>
      <c r="E9" s="5">
        <f ca="1">IFERROR(__xludf.DUMMYFUNCTION("""COMPUTED_VALUE"""),14000)</f>
        <v>14000</v>
      </c>
      <c r="F9" s="4" t="str">
        <f ca="1">IFERROR(__xludf.DUMMYFUNCTION("""COMPUTED_VALUE"""),"LBP General")</f>
        <v>LBP General</v>
      </c>
      <c r="G9" s="4"/>
      <c r="H9" s="4"/>
      <c r="I9" s="4"/>
      <c r="J9" s="4"/>
      <c r="K9" s="4"/>
      <c r="L9" s="4"/>
      <c r="M9" s="4"/>
      <c r="N9" s="4"/>
      <c r="O9" s="4"/>
      <c r="P9" s="4"/>
      <c r="Q9" s="4"/>
      <c r="R9" s="4"/>
      <c r="S9" s="23"/>
    </row>
    <row r="10" spans="1:19" ht="52.2" x14ac:dyDescent="0.25">
      <c r="A10" s="4">
        <f ca="1">IFERROR(__xludf.DUMMYFUNCTION("""COMPUTED_VALUE"""),2093316)</f>
        <v>2093316</v>
      </c>
      <c r="B10" s="23">
        <f ca="1">IFERROR(__xludf.DUMMYFUNCTION("""COMPUTED_VALUE"""),44874)</f>
        <v>44874</v>
      </c>
      <c r="C10" s="4" t="str">
        <f ca="1">IFERROR(__xludf.DUMMYFUNCTION("""COMPUTED_VALUE"""),"Bataeño Federation of Senior Citizens of the Philippines - Abucay Chapter ")</f>
        <v xml:space="preserve">Bataeño Federation of Senior Citizens of the Philippines - Abucay Chapter </v>
      </c>
      <c r="D10" s="4" t="str">
        <f ca="1">IFERROR(__xludf.DUMMYFUNCTION("""COMPUTED_VALUE"""),"DONATION TO CESAR GELOMIO AND FRANCISCA GELOMIO FOR THEIR BURIAL EXPENSES")</f>
        <v>DONATION TO CESAR GELOMIO AND FRANCISCA GELOMIO FOR THEIR BURIAL EXPENSES</v>
      </c>
      <c r="E10" s="5">
        <f ca="1">IFERROR(__xludf.DUMMYFUNCTION("""COMPUTED_VALUE"""),8000)</f>
        <v>8000</v>
      </c>
      <c r="F10" s="4" t="str">
        <f ca="1">IFERROR(__xludf.DUMMYFUNCTION("""COMPUTED_VALUE"""),"LBP General")</f>
        <v>LBP General</v>
      </c>
      <c r="G10" s="4"/>
      <c r="H10" s="4"/>
      <c r="I10" s="4"/>
      <c r="J10" s="4"/>
      <c r="K10" s="4"/>
      <c r="L10" s="4"/>
      <c r="M10" s="4"/>
      <c r="N10" s="4"/>
      <c r="O10" s="4"/>
      <c r="P10" s="4"/>
      <c r="Q10" s="4"/>
      <c r="R10" s="4"/>
      <c r="S10" s="23"/>
    </row>
    <row r="11" spans="1:19" ht="34.799999999999997" x14ac:dyDescent="0.25">
      <c r="A11" s="4">
        <f ca="1">IFERROR(__xludf.DUMMYFUNCTION("""COMPUTED_VALUE"""),2093423)</f>
        <v>2093423</v>
      </c>
      <c r="B11" s="23">
        <f ca="1">IFERROR(__xludf.DUMMYFUNCTION("""COMPUTED_VALUE"""),44875)</f>
        <v>44875</v>
      </c>
      <c r="C11" s="4" t="str">
        <f ca="1">IFERROR(__xludf.DUMMYFUNCTION("""COMPUTED_VALUE"""),"Lord Rhayn S. Yao ")</f>
        <v xml:space="preserve">Lord Rhayn S. Yao </v>
      </c>
      <c r="D11" s="4" t="str">
        <f ca="1">IFERROR(__xludf.DUMMYFUNCTION("""COMPUTED_VALUE"""),"DONATION TO RHYCEL SHAYNE YAO FOR HER MEDICAL NEEDS")</f>
        <v>DONATION TO RHYCEL SHAYNE YAO FOR HER MEDICAL NEEDS</v>
      </c>
      <c r="E11" s="5">
        <f ca="1">IFERROR(__xludf.DUMMYFUNCTION("""COMPUTED_VALUE"""),12000)</f>
        <v>12000</v>
      </c>
      <c r="F11" s="4" t="str">
        <f ca="1">IFERROR(__xludf.DUMMYFUNCTION("""COMPUTED_VALUE"""),"LBP General")</f>
        <v>LBP General</v>
      </c>
      <c r="G11" s="4"/>
      <c r="H11" s="4"/>
      <c r="I11" s="4"/>
      <c r="J11" s="4"/>
      <c r="K11" s="4"/>
      <c r="L11" s="4"/>
      <c r="M11" s="4"/>
      <c r="N11" s="4"/>
      <c r="O11" s="4"/>
      <c r="P11" s="4"/>
      <c r="Q11" s="4"/>
      <c r="R11" s="4"/>
      <c r="S11" s="23"/>
    </row>
    <row r="12" spans="1:19" ht="34.799999999999997" x14ac:dyDescent="0.25">
      <c r="A12" s="4">
        <f ca="1">IFERROR(__xludf.DUMMYFUNCTION("""COMPUTED_VALUE"""),2093424)</f>
        <v>2093424</v>
      </c>
      <c r="B12" s="23">
        <f ca="1">IFERROR(__xludf.DUMMYFUNCTION("""COMPUTED_VALUE"""),44875)</f>
        <v>44875</v>
      </c>
      <c r="C12" s="4" t="str">
        <f ca="1">IFERROR(__xludf.DUMMYFUNCTION("""COMPUTED_VALUE"""),"Holylife Funeral Services ")</f>
        <v xml:space="preserve">Holylife Funeral Services </v>
      </c>
      <c r="D12" s="4" t="str">
        <f ca="1">IFERROR(__xludf.DUMMYFUNCTION("""COMPUTED_VALUE"""),"DONATION TO REY PANGILINAN FOR HIS BURIAL EXPENSES")</f>
        <v>DONATION TO REY PANGILINAN FOR HIS BURIAL EXPENSES</v>
      </c>
      <c r="E12" s="5">
        <f ca="1">IFERROR(__xludf.DUMMYFUNCTION("""COMPUTED_VALUE"""),10000)</f>
        <v>10000</v>
      </c>
      <c r="F12" s="4" t="str">
        <f ca="1">IFERROR(__xludf.DUMMYFUNCTION("""COMPUTED_VALUE"""),"LBP General")</f>
        <v>LBP General</v>
      </c>
      <c r="G12" s="4"/>
      <c r="H12" s="4"/>
      <c r="I12" s="4"/>
      <c r="J12" s="4"/>
      <c r="K12" s="4"/>
      <c r="L12" s="4"/>
      <c r="M12" s="4"/>
      <c r="N12" s="4"/>
      <c r="O12" s="4"/>
      <c r="P12" s="4"/>
      <c r="Q12" s="4"/>
      <c r="R12" s="4"/>
      <c r="S12" s="23"/>
    </row>
    <row r="13" spans="1:19" ht="52.2" x14ac:dyDescent="0.25">
      <c r="A13" s="4">
        <f ca="1">IFERROR(__xludf.DUMMYFUNCTION("""COMPUTED_VALUE"""),2093429)</f>
        <v>2093429</v>
      </c>
      <c r="B13" s="23">
        <f ca="1">IFERROR(__xludf.DUMMYFUNCTION("""COMPUTED_VALUE"""),44875)</f>
        <v>44875</v>
      </c>
      <c r="C13" s="4" t="str">
        <f ca="1">IFERROR(__xludf.DUMMYFUNCTION("""COMPUTED_VALUE"""),"J &amp; G Funeral Services ")</f>
        <v xml:space="preserve">J &amp; G Funeral Services </v>
      </c>
      <c r="D13" s="4" t="str">
        <f ca="1">IFERROR(__xludf.DUMMYFUNCTION("""COMPUTED_VALUE"""),"DONATION TO TRINIDAD LOVEDORIAL FOR HER BURIAL EXPENSES")</f>
        <v>DONATION TO TRINIDAD LOVEDORIAL FOR HER BURIAL EXPENSES</v>
      </c>
      <c r="E13" s="5">
        <f ca="1">IFERROR(__xludf.DUMMYFUNCTION("""COMPUTED_VALUE"""),15000)</f>
        <v>15000</v>
      </c>
      <c r="F13" s="4" t="str">
        <f ca="1">IFERROR(__xludf.DUMMYFUNCTION("""COMPUTED_VALUE"""),"LBP General")</f>
        <v>LBP General</v>
      </c>
      <c r="G13" s="4"/>
      <c r="H13" s="4"/>
      <c r="I13" s="4"/>
      <c r="J13" s="4"/>
      <c r="K13" s="4"/>
      <c r="L13" s="4"/>
      <c r="M13" s="4"/>
      <c r="N13" s="4"/>
      <c r="O13" s="4"/>
      <c r="P13" s="4"/>
      <c r="Q13" s="4"/>
      <c r="R13" s="4"/>
      <c r="S13" s="23"/>
    </row>
    <row r="14" spans="1:19" ht="34.799999999999997" x14ac:dyDescent="0.25">
      <c r="A14" s="4">
        <f ca="1">IFERROR(__xludf.DUMMYFUNCTION("""COMPUTED_VALUE"""),2093431)</f>
        <v>2093431</v>
      </c>
      <c r="B14" s="23">
        <f ca="1">IFERROR(__xludf.DUMMYFUNCTION("""COMPUTED_VALUE"""),44875)</f>
        <v>44875</v>
      </c>
      <c r="C14" s="4" t="str">
        <f ca="1">IFERROR(__xludf.DUMMYFUNCTION("""COMPUTED_VALUE"""),"Mary Gina L. Miraflor ")</f>
        <v xml:space="preserve">Mary Gina L. Miraflor </v>
      </c>
      <c r="D14" s="4" t="str">
        <f ca="1">IFERROR(__xludf.DUMMYFUNCTION("""COMPUTED_VALUE"""),"DONATION TO CLIENT FOR HER HOSPITAL BILL")</f>
        <v>DONATION TO CLIENT FOR HER HOSPITAL BILL</v>
      </c>
      <c r="E14" s="5">
        <f ca="1">IFERROR(__xludf.DUMMYFUNCTION("""COMPUTED_VALUE"""),8000)</f>
        <v>8000</v>
      </c>
      <c r="F14" s="4" t="str">
        <f ca="1">IFERROR(__xludf.DUMMYFUNCTION("""COMPUTED_VALUE"""),"LBP General")</f>
        <v>LBP General</v>
      </c>
      <c r="G14" s="4"/>
      <c r="H14" s="4"/>
      <c r="I14" s="4"/>
      <c r="J14" s="4"/>
      <c r="K14" s="4"/>
      <c r="L14" s="4"/>
      <c r="M14" s="4"/>
      <c r="N14" s="4"/>
      <c r="O14" s="4"/>
      <c r="P14" s="4"/>
      <c r="Q14" s="4"/>
      <c r="R14" s="4"/>
      <c r="S14" s="23"/>
    </row>
    <row r="15" spans="1:19" ht="52.2" x14ac:dyDescent="0.25">
      <c r="A15" s="4">
        <f ca="1">IFERROR(__xludf.DUMMYFUNCTION("""COMPUTED_VALUE"""),2093432)</f>
        <v>2093432</v>
      </c>
      <c r="B15" s="23">
        <f ca="1">IFERROR(__xludf.DUMMYFUNCTION("""COMPUTED_VALUE"""),44875)</f>
        <v>44875</v>
      </c>
      <c r="C15" s="4" t="str">
        <f ca="1">IFERROR(__xludf.DUMMYFUNCTION("""COMPUTED_VALUE"""),"Melba's Funeral Parlor ")</f>
        <v xml:space="preserve">Melba's Funeral Parlor </v>
      </c>
      <c r="D15" s="4" t="str">
        <f ca="1">IFERROR(__xludf.DUMMYFUNCTION("""COMPUTED_VALUE"""),"DONATION TO ANTONIO AMBROCIO FOR HIS BURIAL EXPENSES")</f>
        <v>DONATION TO ANTONIO AMBROCIO FOR HIS BURIAL EXPENSES</v>
      </c>
      <c r="E15" s="5">
        <f ca="1">IFERROR(__xludf.DUMMYFUNCTION("""COMPUTED_VALUE"""),50000)</f>
        <v>50000</v>
      </c>
      <c r="F15" s="4" t="str">
        <f ca="1">IFERROR(__xludf.DUMMYFUNCTION("""COMPUTED_VALUE"""),"LBP General")</f>
        <v>LBP General</v>
      </c>
      <c r="G15" s="4"/>
      <c r="H15" s="4"/>
      <c r="I15" s="4"/>
      <c r="J15" s="4"/>
      <c r="K15" s="4"/>
      <c r="L15" s="4"/>
      <c r="M15" s="4"/>
      <c r="N15" s="4"/>
      <c r="O15" s="4"/>
      <c r="P15" s="4"/>
      <c r="Q15" s="4"/>
      <c r="R15" s="4"/>
      <c r="S15" s="23"/>
    </row>
    <row r="16" spans="1:19" ht="34.799999999999997" x14ac:dyDescent="0.25">
      <c r="A16" s="4">
        <f ca="1">IFERROR(__xludf.DUMMYFUNCTION("""COMPUTED_VALUE"""),2093433)</f>
        <v>2093433</v>
      </c>
      <c r="B16" s="23">
        <f ca="1">IFERROR(__xludf.DUMMYFUNCTION("""COMPUTED_VALUE"""),44875)</f>
        <v>44875</v>
      </c>
      <c r="C16" s="4" t="str">
        <f ca="1">IFERROR(__xludf.DUMMYFUNCTION("""COMPUTED_VALUE"""),"Norma C. Banzon ")</f>
        <v xml:space="preserve">Norma C. Banzon </v>
      </c>
      <c r="D16" s="4" t="str">
        <f ca="1">IFERROR(__xludf.DUMMYFUNCTION("""COMPUTED_VALUE"""),"DONATION TO RENATO BANZON FOR HIS BURIAL EXPENSES")</f>
        <v>DONATION TO RENATO BANZON FOR HIS BURIAL EXPENSES</v>
      </c>
      <c r="E16" s="5">
        <f ca="1">IFERROR(__xludf.DUMMYFUNCTION("""COMPUTED_VALUE"""),10000)</f>
        <v>10000</v>
      </c>
      <c r="F16" s="4" t="str">
        <f ca="1">IFERROR(__xludf.DUMMYFUNCTION("""COMPUTED_VALUE"""),"LBP General")</f>
        <v>LBP General</v>
      </c>
      <c r="G16" s="4"/>
      <c r="H16" s="4"/>
      <c r="I16" s="4"/>
      <c r="J16" s="4"/>
      <c r="K16" s="4"/>
      <c r="L16" s="4"/>
      <c r="M16" s="4"/>
      <c r="N16" s="4"/>
      <c r="O16" s="4"/>
      <c r="P16" s="4"/>
      <c r="Q16" s="4"/>
      <c r="R16" s="4"/>
      <c r="S16" s="23"/>
    </row>
    <row r="17" spans="1:19" ht="34.799999999999997" x14ac:dyDescent="0.25">
      <c r="A17" s="4">
        <f ca="1">IFERROR(__xludf.DUMMYFUNCTION("""COMPUTED_VALUE"""),2093434)</f>
        <v>2093434</v>
      </c>
      <c r="B17" s="23">
        <f ca="1">IFERROR(__xludf.DUMMYFUNCTION("""COMPUTED_VALUE"""),44875)</f>
        <v>44875</v>
      </c>
      <c r="C17" s="4" t="str">
        <f ca="1">IFERROR(__xludf.DUMMYFUNCTION("""COMPUTED_VALUE"""),"Maria Regina L. Santos ")</f>
        <v xml:space="preserve">Maria Regina L. Santos </v>
      </c>
      <c r="D17" s="4" t="str">
        <f ca="1">IFERROR(__xludf.DUMMYFUNCTION("""COMPUTED_VALUE"""),"DONATION TO LAZARO SANTOS FOR HIS BURIAL EXPENSES")</f>
        <v>DONATION TO LAZARO SANTOS FOR HIS BURIAL EXPENSES</v>
      </c>
      <c r="E17" s="5">
        <f ca="1">IFERROR(__xludf.DUMMYFUNCTION("""COMPUTED_VALUE"""),10000)</f>
        <v>10000</v>
      </c>
      <c r="F17" s="4" t="str">
        <f ca="1">IFERROR(__xludf.DUMMYFUNCTION("""COMPUTED_VALUE"""),"LBP General")</f>
        <v>LBP General</v>
      </c>
      <c r="G17" s="4"/>
      <c r="H17" s="4"/>
      <c r="I17" s="4"/>
      <c r="J17" s="4"/>
      <c r="K17" s="4"/>
      <c r="L17" s="4"/>
      <c r="M17" s="4"/>
      <c r="N17" s="4"/>
      <c r="O17" s="4"/>
      <c r="P17" s="4"/>
      <c r="Q17" s="4"/>
      <c r="R17" s="4"/>
      <c r="S17" s="23"/>
    </row>
    <row r="18" spans="1:19" ht="34.799999999999997" x14ac:dyDescent="0.25">
      <c r="A18" s="4">
        <f ca="1">IFERROR(__xludf.DUMMYFUNCTION("""COMPUTED_VALUE"""),2093437)</f>
        <v>2093437</v>
      </c>
      <c r="B18" s="23">
        <f ca="1">IFERROR(__xludf.DUMMYFUNCTION("""COMPUTED_VALUE"""),44875)</f>
        <v>44875</v>
      </c>
      <c r="C18" s="4" t="str">
        <f ca="1">IFERROR(__xludf.DUMMYFUNCTION("""COMPUTED_VALUE"""),"Joel C. Puso ")</f>
        <v xml:space="preserve">Joel C. Puso </v>
      </c>
      <c r="D18" s="4" t="str">
        <f ca="1">IFERROR(__xludf.DUMMYFUNCTION("""COMPUTED_VALUE"""),"DONATION TO JESSICA PUSO FOR HER HOSPITAL BILL")</f>
        <v>DONATION TO JESSICA PUSO FOR HER HOSPITAL BILL</v>
      </c>
      <c r="E18" s="5">
        <f ca="1">IFERROR(__xludf.DUMMYFUNCTION("""COMPUTED_VALUE"""),26000)</f>
        <v>26000</v>
      </c>
      <c r="F18" s="4" t="str">
        <f ca="1">IFERROR(__xludf.DUMMYFUNCTION("""COMPUTED_VALUE"""),"LBP General")</f>
        <v>LBP General</v>
      </c>
      <c r="G18" s="4"/>
      <c r="H18" s="4"/>
      <c r="I18" s="4"/>
      <c r="J18" s="4"/>
      <c r="K18" s="4"/>
      <c r="L18" s="4"/>
      <c r="M18" s="4"/>
      <c r="N18" s="4"/>
      <c r="O18" s="4"/>
      <c r="P18" s="4"/>
      <c r="Q18" s="4"/>
      <c r="R18" s="4"/>
      <c r="S18" s="23"/>
    </row>
    <row r="19" spans="1:19" ht="52.2" x14ac:dyDescent="0.25">
      <c r="A19" s="4">
        <f ca="1">IFERROR(__xludf.DUMMYFUNCTION("""COMPUTED_VALUE"""),2093439)</f>
        <v>2093439</v>
      </c>
      <c r="B19" s="23">
        <f ca="1">IFERROR(__xludf.DUMMYFUNCTION("""COMPUTED_VALUE"""),44875)</f>
        <v>44875</v>
      </c>
      <c r="C19" s="4" t="str">
        <f ca="1">IFERROR(__xludf.DUMMYFUNCTION("""COMPUTED_VALUE"""),"Maribel M. Española ")</f>
        <v xml:space="preserve">Maribel M. Española </v>
      </c>
      <c r="D19" s="4" t="str">
        <f ca="1">IFERROR(__xludf.DUMMYFUNCTION("""COMPUTED_VALUE"""),"DONATION TO LEONORA MAGPANTAY FOR HER HOSPITAL BILL")</f>
        <v>DONATION TO LEONORA MAGPANTAY FOR HER HOSPITAL BILL</v>
      </c>
      <c r="E19" s="5">
        <f ca="1">IFERROR(__xludf.DUMMYFUNCTION("""COMPUTED_VALUE"""),25000)</f>
        <v>25000</v>
      </c>
      <c r="F19" s="4" t="str">
        <f ca="1">IFERROR(__xludf.DUMMYFUNCTION("""COMPUTED_VALUE"""),"LBP General")</f>
        <v>LBP General</v>
      </c>
      <c r="G19" s="4"/>
      <c r="H19" s="4"/>
      <c r="I19" s="4"/>
      <c r="J19" s="4"/>
      <c r="K19" s="4"/>
      <c r="L19" s="4"/>
      <c r="M19" s="4"/>
      <c r="N19" s="4"/>
      <c r="O19" s="4"/>
      <c r="P19" s="4"/>
      <c r="Q19" s="4"/>
      <c r="R19" s="4"/>
      <c r="S19" s="23"/>
    </row>
    <row r="20" spans="1:19" ht="52.2" x14ac:dyDescent="0.25">
      <c r="A20" s="4">
        <f ca="1">IFERROR(__xludf.DUMMYFUNCTION("""COMPUTED_VALUE"""),2093443)</f>
        <v>2093443</v>
      </c>
      <c r="B20" s="23">
        <f ca="1">IFERROR(__xludf.DUMMYFUNCTION("""COMPUTED_VALUE"""),44875)</f>
        <v>44875</v>
      </c>
      <c r="C20" s="4" t="str">
        <f ca="1">IFERROR(__xludf.DUMMYFUNCTION("""COMPUTED_VALUE"""),"Louise Mariel T. Dinampo ")</f>
        <v xml:space="preserve">Louise Mariel T. Dinampo </v>
      </c>
      <c r="D20" s="4" t="str">
        <f ca="1">IFERROR(__xludf.DUMMYFUNCTION("""COMPUTED_VALUE"""),"DONATION TO CLIENT AND JACOB LUIZ DINAMPO FOR THEIR HOSPITAL BILLS")</f>
        <v>DONATION TO CLIENT AND JACOB LUIZ DINAMPO FOR THEIR HOSPITAL BILLS</v>
      </c>
      <c r="E20" s="5">
        <f ca="1">IFERROR(__xludf.DUMMYFUNCTION("""COMPUTED_VALUE"""),7000)</f>
        <v>7000</v>
      </c>
      <c r="F20" s="4" t="str">
        <f ca="1">IFERROR(__xludf.DUMMYFUNCTION("""COMPUTED_VALUE"""),"LBP General")</f>
        <v>LBP General</v>
      </c>
      <c r="G20" s="4"/>
      <c r="H20" s="4"/>
      <c r="I20" s="4"/>
      <c r="J20" s="4"/>
      <c r="K20" s="4"/>
      <c r="L20" s="4"/>
      <c r="M20" s="4"/>
      <c r="N20" s="4"/>
      <c r="O20" s="4"/>
      <c r="P20" s="4"/>
      <c r="Q20" s="4"/>
      <c r="R20" s="4"/>
      <c r="S20" s="23"/>
    </row>
    <row r="21" spans="1:19" ht="34.799999999999997" x14ac:dyDescent="0.25">
      <c r="A21" s="4">
        <f ca="1">IFERROR(__xludf.DUMMYFUNCTION("""COMPUTED_VALUE"""),2093447)</f>
        <v>2093447</v>
      </c>
      <c r="B21" s="23">
        <f ca="1">IFERROR(__xludf.DUMMYFUNCTION("""COMPUTED_VALUE"""),44875)</f>
        <v>44875</v>
      </c>
      <c r="C21" s="4" t="str">
        <f ca="1">IFERROR(__xludf.DUMMYFUNCTION("""COMPUTED_VALUE"""),"Rea Rose C. Angeles ")</f>
        <v xml:space="preserve">Rea Rose C. Angeles </v>
      </c>
      <c r="D21" s="4" t="str">
        <f ca="1">IFERROR(__xludf.DUMMYFUNCTION("""COMPUTED_VALUE"""),"DONATION TO CECILIA ANGELES FOR HER HOSPITAL BILL")</f>
        <v>DONATION TO CECILIA ANGELES FOR HER HOSPITAL BILL</v>
      </c>
      <c r="E21" s="5">
        <f ca="1">IFERROR(__xludf.DUMMYFUNCTION("""COMPUTED_VALUE"""),24000)</f>
        <v>24000</v>
      </c>
      <c r="F21" s="4" t="str">
        <f ca="1">IFERROR(__xludf.DUMMYFUNCTION("""COMPUTED_VALUE"""),"LBP General")</f>
        <v>LBP General</v>
      </c>
      <c r="G21" s="4"/>
      <c r="H21" s="4"/>
      <c r="I21" s="4"/>
      <c r="J21" s="4"/>
      <c r="K21" s="4"/>
      <c r="L21" s="4"/>
      <c r="M21" s="4"/>
      <c r="N21" s="4"/>
      <c r="O21" s="4"/>
      <c r="P21" s="4"/>
      <c r="Q21" s="4"/>
      <c r="R21" s="4"/>
      <c r="S21" s="23"/>
    </row>
    <row r="22" spans="1:19" ht="34.799999999999997" x14ac:dyDescent="0.25">
      <c r="A22" s="4">
        <f ca="1">IFERROR(__xludf.DUMMYFUNCTION("""COMPUTED_VALUE"""),2093451)</f>
        <v>2093451</v>
      </c>
      <c r="B22" s="23">
        <f ca="1">IFERROR(__xludf.DUMMYFUNCTION("""COMPUTED_VALUE"""),44875)</f>
        <v>44875</v>
      </c>
      <c r="C22" s="4" t="str">
        <f ca="1">IFERROR(__xludf.DUMMYFUNCTION("""COMPUTED_VALUE"""),"Teresita C. Flores ")</f>
        <v xml:space="preserve">Teresita C. Flores </v>
      </c>
      <c r="D22" s="4" t="str">
        <f ca="1">IFERROR(__xludf.DUMMYFUNCTION("""COMPUTED_VALUE"""),"DONATION TO ERNESTO FLORES FOR HIS HOSPITAL BILL")</f>
        <v>DONATION TO ERNESTO FLORES FOR HIS HOSPITAL BILL</v>
      </c>
      <c r="E22" s="5">
        <f ca="1">IFERROR(__xludf.DUMMYFUNCTION("""COMPUTED_VALUE"""),18000)</f>
        <v>18000</v>
      </c>
      <c r="F22" s="4" t="str">
        <f ca="1">IFERROR(__xludf.DUMMYFUNCTION("""COMPUTED_VALUE"""),"LBP General")</f>
        <v>LBP General</v>
      </c>
      <c r="G22" s="4"/>
      <c r="H22" s="4"/>
      <c r="I22" s="4"/>
      <c r="J22" s="4"/>
      <c r="K22" s="4"/>
      <c r="L22" s="4"/>
      <c r="M22" s="4"/>
      <c r="N22" s="4"/>
      <c r="O22" s="4"/>
      <c r="P22" s="4"/>
      <c r="Q22" s="4"/>
      <c r="R22" s="4"/>
      <c r="S22" s="23"/>
    </row>
    <row r="23" spans="1:19" ht="34.799999999999997" x14ac:dyDescent="0.25">
      <c r="A23" s="4">
        <f ca="1">IFERROR(__xludf.DUMMYFUNCTION("""COMPUTED_VALUE"""),2093452)</f>
        <v>2093452</v>
      </c>
      <c r="B23" s="23">
        <f ca="1">IFERROR(__xludf.DUMMYFUNCTION("""COMPUTED_VALUE"""),44875)</f>
        <v>44875</v>
      </c>
      <c r="C23" s="4" t="str">
        <f ca="1">IFERROR(__xludf.DUMMYFUNCTION("""COMPUTED_VALUE"""),"Emma S. Camiling ")</f>
        <v xml:space="preserve">Emma S. Camiling </v>
      </c>
      <c r="D23" s="4" t="str">
        <f ca="1">IFERROR(__xludf.DUMMYFUNCTION("""COMPUTED_VALUE"""),"DONATION TO FERNANDO SAYAS FOR HIS HOSPITAL BILL")</f>
        <v>DONATION TO FERNANDO SAYAS FOR HIS HOSPITAL BILL</v>
      </c>
      <c r="E23" s="5">
        <f ca="1">IFERROR(__xludf.DUMMYFUNCTION("""COMPUTED_VALUE"""),10950)</f>
        <v>10950</v>
      </c>
      <c r="F23" s="4" t="str">
        <f ca="1">IFERROR(__xludf.DUMMYFUNCTION("""COMPUTED_VALUE"""),"LBP General")</f>
        <v>LBP General</v>
      </c>
      <c r="G23" s="4"/>
      <c r="H23" s="4"/>
      <c r="I23" s="4"/>
      <c r="J23" s="4"/>
      <c r="K23" s="4"/>
      <c r="L23" s="4"/>
      <c r="M23" s="4"/>
      <c r="N23" s="4"/>
      <c r="O23" s="4"/>
      <c r="P23" s="4"/>
      <c r="Q23" s="4"/>
      <c r="R23" s="4"/>
      <c r="S23" s="23"/>
    </row>
    <row r="24" spans="1:19" ht="34.799999999999997" x14ac:dyDescent="0.25">
      <c r="A24" s="4">
        <f ca="1">IFERROR(__xludf.DUMMYFUNCTION("""COMPUTED_VALUE"""),2093504)</f>
        <v>2093504</v>
      </c>
      <c r="B24" s="23">
        <f ca="1">IFERROR(__xludf.DUMMYFUNCTION("""COMPUTED_VALUE"""),44875)</f>
        <v>44875</v>
      </c>
      <c r="C24" s="4" t="str">
        <f ca="1">IFERROR(__xludf.DUMMYFUNCTION("""COMPUTED_VALUE"""),"D.C. Punzalan Funeral Services ")</f>
        <v xml:space="preserve">D.C. Punzalan Funeral Services </v>
      </c>
      <c r="D24" s="4" t="str">
        <f ca="1">IFERROR(__xludf.DUMMYFUNCTION("""COMPUTED_VALUE"""),"DONATION TO MANUEL PAYUYO FOR HIS BURIAL EXPENSES")</f>
        <v>DONATION TO MANUEL PAYUYO FOR HIS BURIAL EXPENSES</v>
      </c>
      <c r="E24" s="5">
        <f ca="1">IFERROR(__xludf.DUMMYFUNCTION("""COMPUTED_VALUE"""),21000)</f>
        <v>21000</v>
      </c>
      <c r="F24" s="4" t="str">
        <f ca="1">IFERROR(__xludf.DUMMYFUNCTION("""COMPUTED_VALUE"""),"LBP General")</f>
        <v>LBP General</v>
      </c>
      <c r="G24" s="4"/>
      <c r="H24" s="4"/>
      <c r="I24" s="4"/>
      <c r="J24" s="4"/>
      <c r="K24" s="4"/>
      <c r="L24" s="4"/>
      <c r="M24" s="4"/>
      <c r="N24" s="4"/>
      <c r="O24" s="4"/>
      <c r="P24" s="4"/>
      <c r="Q24" s="4"/>
      <c r="R24" s="4"/>
      <c r="S24" s="23"/>
    </row>
    <row r="25" spans="1:19" ht="52.2" x14ac:dyDescent="0.25">
      <c r="A25" s="4">
        <f ca="1">IFERROR(__xludf.DUMMYFUNCTION("""COMPUTED_VALUE"""),2093505)</f>
        <v>2093505</v>
      </c>
      <c r="B25" s="23">
        <f ca="1">IFERROR(__xludf.DUMMYFUNCTION("""COMPUTED_VALUE"""),44875)</f>
        <v>44875</v>
      </c>
      <c r="C25" s="4" t="str">
        <f ca="1">IFERROR(__xludf.DUMMYFUNCTION("""COMPUTED_VALUE"""),"Salta Funeral Homes ")</f>
        <v xml:space="preserve">Salta Funeral Homes </v>
      </c>
      <c r="D25" s="4" t="str">
        <f ca="1">IFERROR(__xludf.DUMMYFUNCTION("""COMPUTED_VALUE"""),"DONATION TO JOANA MARIE QUICHO FOR HER BURIAL EXPENSES")</f>
        <v>DONATION TO JOANA MARIE QUICHO FOR HER BURIAL EXPENSES</v>
      </c>
      <c r="E25" s="5">
        <f ca="1">IFERROR(__xludf.DUMMYFUNCTION("""COMPUTED_VALUE"""),15000)</f>
        <v>15000</v>
      </c>
      <c r="F25" s="4" t="str">
        <f ca="1">IFERROR(__xludf.DUMMYFUNCTION("""COMPUTED_VALUE"""),"LBP General")</f>
        <v>LBP General</v>
      </c>
      <c r="G25" s="4"/>
      <c r="H25" s="4"/>
      <c r="I25" s="4"/>
      <c r="J25" s="4"/>
      <c r="K25" s="4"/>
      <c r="L25" s="4"/>
      <c r="M25" s="4"/>
      <c r="N25" s="4"/>
      <c r="O25" s="4"/>
      <c r="P25" s="4"/>
      <c r="Q25" s="4"/>
      <c r="R25" s="4"/>
      <c r="S25" s="23"/>
    </row>
    <row r="26" spans="1:19" ht="34.799999999999997" x14ac:dyDescent="0.25">
      <c r="A26" s="4">
        <f ca="1">IFERROR(__xludf.DUMMYFUNCTION("""COMPUTED_VALUE"""),2093507)</f>
        <v>2093507</v>
      </c>
      <c r="B26" s="23">
        <f ca="1">IFERROR(__xludf.DUMMYFUNCTION("""COMPUTED_VALUE"""),44875)</f>
        <v>44875</v>
      </c>
      <c r="C26" s="4" t="str">
        <f ca="1">IFERROR(__xludf.DUMMYFUNCTION("""COMPUTED_VALUE"""),"Hilda G. Inieto ")</f>
        <v xml:space="preserve">Hilda G. Inieto </v>
      </c>
      <c r="D26" s="4" t="str">
        <f ca="1">IFERROR(__xludf.DUMMYFUNCTION("""COMPUTED_VALUE"""),"DONATION TO EDGARDO JR. INIETO FOR HIS MEDICAL NEEDS")</f>
        <v>DONATION TO EDGARDO JR. INIETO FOR HIS MEDICAL NEEDS</v>
      </c>
      <c r="E26" s="5">
        <f ca="1">IFERROR(__xludf.DUMMYFUNCTION("""COMPUTED_VALUE"""),9000)</f>
        <v>9000</v>
      </c>
      <c r="F26" s="4" t="str">
        <f ca="1">IFERROR(__xludf.DUMMYFUNCTION("""COMPUTED_VALUE"""),"LBP General")</f>
        <v>LBP General</v>
      </c>
      <c r="G26" s="4"/>
      <c r="H26" s="4"/>
      <c r="I26" s="4"/>
      <c r="J26" s="4"/>
      <c r="K26" s="4"/>
      <c r="L26" s="4"/>
      <c r="M26" s="4"/>
      <c r="N26" s="4"/>
      <c r="O26" s="4"/>
      <c r="P26" s="4"/>
      <c r="Q26" s="4"/>
      <c r="R26" s="4"/>
      <c r="S26" s="23"/>
    </row>
    <row r="27" spans="1:19" ht="34.799999999999997" x14ac:dyDescent="0.25">
      <c r="A27" s="4">
        <f ca="1">IFERROR(__xludf.DUMMYFUNCTION("""COMPUTED_VALUE"""),2093539)</f>
        <v>2093539</v>
      </c>
      <c r="B27" s="23">
        <f ca="1">IFERROR(__xludf.DUMMYFUNCTION("""COMPUTED_VALUE"""),44876)</f>
        <v>44876</v>
      </c>
      <c r="C27" s="4" t="str">
        <f ca="1">IFERROR(__xludf.DUMMYFUNCTION("""COMPUTED_VALUE"""),"Rosalie L. Gerio ")</f>
        <v xml:space="preserve">Rosalie L. Gerio </v>
      </c>
      <c r="D27" s="4" t="str">
        <f ca="1">IFERROR(__xludf.DUMMYFUNCTION("""COMPUTED_VALUE"""),"DONATION TO LORETA LEAñO FOR HER BURIAL EXPENSES")</f>
        <v>DONATION TO LORETA LEAñO FOR HER BURIAL EXPENSES</v>
      </c>
      <c r="E27" s="5">
        <f ca="1">IFERROR(__xludf.DUMMYFUNCTION("""COMPUTED_VALUE"""),10000)</f>
        <v>10000</v>
      </c>
      <c r="F27" s="4" t="str">
        <f ca="1">IFERROR(__xludf.DUMMYFUNCTION("""COMPUTED_VALUE"""),"LBP General")</f>
        <v>LBP General</v>
      </c>
      <c r="G27" s="4"/>
      <c r="H27" s="4"/>
      <c r="I27" s="4"/>
      <c r="J27" s="4"/>
      <c r="K27" s="4"/>
      <c r="L27" s="4"/>
      <c r="M27" s="4"/>
      <c r="N27" s="4"/>
      <c r="O27" s="4"/>
      <c r="P27" s="4"/>
      <c r="Q27" s="4"/>
      <c r="R27" s="4"/>
      <c r="S27" s="23"/>
    </row>
    <row r="28" spans="1:19" ht="34.799999999999997" x14ac:dyDescent="0.25">
      <c r="A28" s="4">
        <f ca="1">IFERROR(__xludf.DUMMYFUNCTION("""COMPUTED_VALUE"""),2093540)</f>
        <v>2093540</v>
      </c>
      <c r="B28" s="23">
        <f ca="1">IFERROR(__xludf.DUMMYFUNCTION("""COMPUTED_VALUE"""),44876)</f>
        <v>44876</v>
      </c>
      <c r="C28" s="4" t="str">
        <f ca="1">IFERROR(__xludf.DUMMYFUNCTION("""COMPUTED_VALUE"""),"Jerneth D. Servera ")</f>
        <v xml:space="preserve">Jerneth D. Servera </v>
      </c>
      <c r="D28" s="4" t="str">
        <f ca="1">IFERROR(__xludf.DUMMYFUNCTION("""COMPUTED_VALUE"""),"DONATION TO NENITA SERVERA FOR HER BURIAL EXPENSES")</f>
        <v>DONATION TO NENITA SERVERA FOR HER BURIAL EXPENSES</v>
      </c>
      <c r="E28" s="5">
        <f ca="1">IFERROR(__xludf.DUMMYFUNCTION("""COMPUTED_VALUE"""),10000)</f>
        <v>10000</v>
      </c>
      <c r="F28" s="4" t="str">
        <f ca="1">IFERROR(__xludf.DUMMYFUNCTION("""COMPUTED_VALUE"""),"LBP General")</f>
        <v>LBP General</v>
      </c>
      <c r="G28" s="4"/>
      <c r="H28" s="4"/>
      <c r="I28" s="4"/>
      <c r="J28" s="4"/>
      <c r="K28" s="4"/>
      <c r="L28" s="4"/>
      <c r="M28" s="4"/>
      <c r="N28" s="4"/>
      <c r="O28" s="4"/>
      <c r="P28" s="4"/>
      <c r="Q28" s="4"/>
      <c r="R28" s="4"/>
      <c r="S28" s="23"/>
    </row>
    <row r="29" spans="1:19" ht="34.799999999999997" x14ac:dyDescent="0.25">
      <c r="A29" s="4">
        <f ca="1">IFERROR(__xludf.DUMMYFUNCTION("""COMPUTED_VALUE"""),2093541)</f>
        <v>2093541</v>
      </c>
      <c r="B29" s="23">
        <f ca="1">IFERROR(__xludf.DUMMYFUNCTION("""COMPUTED_VALUE"""),44876)</f>
        <v>44876</v>
      </c>
      <c r="C29" s="4" t="str">
        <f ca="1">IFERROR(__xludf.DUMMYFUNCTION("""COMPUTED_VALUE"""),"Agnes A. Laluna ")</f>
        <v xml:space="preserve">Agnes A. Laluna </v>
      </c>
      <c r="D29" s="4" t="str">
        <f ca="1">IFERROR(__xludf.DUMMYFUNCTION("""COMPUTED_VALUE"""),"DONATION TO ADELMO LALUNA FOR HIS HOSPITAL BILL")</f>
        <v>DONATION TO ADELMO LALUNA FOR HIS HOSPITAL BILL</v>
      </c>
      <c r="E29" s="5">
        <f ca="1">IFERROR(__xludf.DUMMYFUNCTION("""COMPUTED_VALUE"""),38700)</f>
        <v>38700</v>
      </c>
      <c r="F29" s="4" t="str">
        <f ca="1">IFERROR(__xludf.DUMMYFUNCTION("""COMPUTED_VALUE"""),"LBP General")</f>
        <v>LBP General</v>
      </c>
      <c r="G29" s="4"/>
      <c r="H29" s="4"/>
      <c r="I29" s="4"/>
      <c r="J29" s="4"/>
      <c r="K29" s="4"/>
      <c r="L29" s="4"/>
      <c r="M29" s="4"/>
      <c r="N29" s="4"/>
      <c r="O29" s="4"/>
      <c r="P29" s="4"/>
      <c r="Q29" s="4"/>
      <c r="R29" s="4"/>
      <c r="S29" s="23"/>
    </row>
    <row r="30" spans="1:19" ht="34.799999999999997" x14ac:dyDescent="0.25">
      <c r="A30" s="4">
        <f ca="1">IFERROR(__xludf.DUMMYFUNCTION("""COMPUTED_VALUE"""),2093542)</f>
        <v>2093542</v>
      </c>
      <c r="B30" s="23">
        <f ca="1">IFERROR(__xludf.DUMMYFUNCTION("""COMPUTED_VALUE"""),44876)</f>
        <v>44876</v>
      </c>
      <c r="C30" s="4" t="str">
        <f ca="1">IFERROR(__xludf.DUMMYFUNCTION("""COMPUTED_VALUE"""),"Bonielyn C. Santos ")</f>
        <v xml:space="preserve">Bonielyn C. Santos </v>
      </c>
      <c r="D30" s="4" t="str">
        <f ca="1">IFERROR(__xludf.DUMMYFUNCTION("""COMPUTED_VALUE"""),"DONATION TO EVELYN COLUMNA FOR HER HOSPITAL BILL")</f>
        <v>DONATION TO EVELYN COLUMNA FOR HER HOSPITAL BILL</v>
      </c>
      <c r="E30" s="5">
        <f ca="1">IFERROR(__xludf.DUMMYFUNCTION("""COMPUTED_VALUE"""),27000)</f>
        <v>27000</v>
      </c>
      <c r="F30" s="4" t="str">
        <f ca="1">IFERROR(__xludf.DUMMYFUNCTION("""COMPUTED_VALUE"""),"LBP General")</f>
        <v>LBP General</v>
      </c>
      <c r="G30" s="4"/>
      <c r="H30" s="4"/>
      <c r="I30" s="4"/>
      <c r="J30" s="4"/>
      <c r="K30" s="4"/>
      <c r="L30" s="4"/>
      <c r="M30" s="4"/>
      <c r="N30" s="4"/>
      <c r="O30" s="4"/>
      <c r="P30" s="4"/>
      <c r="Q30" s="4"/>
      <c r="R30" s="4"/>
      <c r="S30" s="23"/>
    </row>
    <row r="31" spans="1:19" ht="34.799999999999997" x14ac:dyDescent="0.25">
      <c r="A31" s="4">
        <f ca="1">IFERROR(__xludf.DUMMYFUNCTION("""COMPUTED_VALUE"""),2093543)</f>
        <v>2093543</v>
      </c>
      <c r="B31" s="23">
        <f ca="1">IFERROR(__xludf.DUMMYFUNCTION("""COMPUTED_VALUE"""),44876)</f>
        <v>44876</v>
      </c>
      <c r="C31" s="4" t="str">
        <f ca="1">IFERROR(__xludf.DUMMYFUNCTION("""COMPUTED_VALUE"""),"Marilou C. Calma ")</f>
        <v xml:space="preserve">Marilou C. Calma </v>
      </c>
      <c r="D31" s="4" t="str">
        <f ca="1">IFERROR(__xludf.DUMMYFUNCTION("""COMPUTED_VALUE"""),"DONATION TO ZOSIMO CASTRO FOR HIS HOSPITAL BILL")</f>
        <v>DONATION TO ZOSIMO CASTRO FOR HIS HOSPITAL BILL</v>
      </c>
      <c r="E31" s="5">
        <f ca="1">IFERROR(__xludf.DUMMYFUNCTION("""COMPUTED_VALUE"""),7000)</f>
        <v>7000</v>
      </c>
      <c r="F31" s="4" t="str">
        <f ca="1">IFERROR(__xludf.DUMMYFUNCTION("""COMPUTED_VALUE"""),"LBP General")</f>
        <v>LBP General</v>
      </c>
      <c r="G31" s="4"/>
      <c r="H31" s="4"/>
      <c r="I31" s="4"/>
      <c r="J31" s="4"/>
      <c r="K31" s="4"/>
      <c r="L31" s="4"/>
      <c r="M31" s="4"/>
      <c r="N31" s="4"/>
      <c r="O31" s="4"/>
      <c r="P31" s="4"/>
      <c r="Q31" s="4"/>
      <c r="R31" s="4"/>
      <c r="S31" s="23"/>
    </row>
    <row r="32" spans="1:19" ht="34.799999999999997" x14ac:dyDescent="0.25">
      <c r="A32" s="4">
        <f ca="1">IFERROR(__xludf.DUMMYFUNCTION("""COMPUTED_VALUE"""),2093544)</f>
        <v>2093544</v>
      </c>
      <c r="B32" s="23">
        <f ca="1">IFERROR(__xludf.DUMMYFUNCTION("""COMPUTED_VALUE"""),44876)</f>
        <v>44876</v>
      </c>
      <c r="C32" s="4" t="str">
        <f ca="1">IFERROR(__xludf.DUMMYFUNCTION("""COMPUTED_VALUE"""),"Angelica L. Rosadiño ")</f>
        <v xml:space="preserve">Angelica L. Rosadiño </v>
      </c>
      <c r="D32" s="4" t="str">
        <f ca="1">IFERROR(__xludf.DUMMYFUNCTION("""COMPUTED_VALUE"""),"DONATION TO QUIEL JESSRAEL ROSADIñO FOR HIS HOSPITAL BILL")</f>
        <v>DONATION TO QUIEL JESSRAEL ROSADIñO FOR HIS HOSPITAL BILL</v>
      </c>
      <c r="E32" s="5">
        <f ca="1">IFERROR(__xludf.DUMMYFUNCTION("""COMPUTED_VALUE"""),8000)</f>
        <v>8000</v>
      </c>
      <c r="F32" s="4" t="str">
        <f ca="1">IFERROR(__xludf.DUMMYFUNCTION("""COMPUTED_VALUE"""),"LBP General")</f>
        <v>LBP General</v>
      </c>
      <c r="G32" s="4"/>
      <c r="H32" s="4"/>
      <c r="I32" s="4"/>
      <c r="J32" s="4"/>
      <c r="K32" s="4"/>
      <c r="L32" s="4"/>
      <c r="M32" s="4"/>
      <c r="N32" s="4"/>
      <c r="O32" s="4"/>
      <c r="P32" s="4"/>
      <c r="Q32" s="4"/>
      <c r="R32" s="4"/>
      <c r="S32" s="23"/>
    </row>
    <row r="33" spans="1:19" ht="34.799999999999997" x14ac:dyDescent="0.25">
      <c r="A33" s="4">
        <f ca="1">IFERROR(__xludf.DUMMYFUNCTION("""COMPUTED_VALUE"""),2093545)</f>
        <v>2093545</v>
      </c>
      <c r="B33" s="23">
        <f ca="1">IFERROR(__xludf.DUMMYFUNCTION("""COMPUTED_VALUE"""),44876)</f>
        <v>44876</v>
      </c>
      <c r="C33" s="4" t="str">
        <f ca="1">IFERROR(__xludf.DUMMYFUNCTION("""COMPUTED_VALUE"""),"Suzara P. Rubiano ")</f>
        <v xml:space="preserve">Suzara P. Rubiano </v>
      </c>
      <c r="D33" s="4" t="str">
        <f ca="1">IFERROR(__xludf.DUMMYFUNCTION("""COMPUTED_VALUE"""),"DONATION TO DOMINADOR PRUNA FOR HIS HOSPITAL BILLS")</f>
        <v>DONATION TO DOMINADOR PRUNA FOR HIS HOSPITAL BILLS</v>
      </c>
      <c r="E33" s="5">
        <f ca="1">IFERROR(__xludf.DUMMYFUNCTION("""COMPUTED_VALUE"""),20000)</f>
        <v>20000</v>
      </c>
      <c r="F33" s="4" t="str">
        <f ca="1">IFERROR(__xludf.DUMMYFUNCTION("""COMPUTED_VALUE"""),"LBP General")</f>
        <v>LBP General</v>
      </c>
      <c r="G33" s="4"/>
      <c r="H33" s="4"/>
      <c r="I33" s="4"/>
      <c r="J33" s="4"/>
      <c r="K33" s="4"/>
      <c r="L33" s="4"/>
      <c r="M33" s="4"/>
      <c r="N33" s="4"/>
      <c r="O33" s="4"/>
      <c r="P33" s="4"/>
      <c r="Q33" s="4"/>
      <c r="R33" s="4"/>
      <c r="S33" s="23"/>
    </row>
    <row r="34" spans="1:19" ht="52.2" x14ac:dyDescent="0.25">
      <c r="A34" s="4">
        <f ca="1">IFERROR(__xludf.DUMMYFUNCTION("""COMPUTED_VALUE"""),2093546)</f>
        <v>2093546</v>
      </c>
      <c r="B34" s="23">
        <f ca="1">IFERROR(__xludf.DUMMYFUNCTION("""COMPUTED_VALUE"""),44876)</f>
        <v>44876</v>
      </c>
      <c r="C34" s="4" t="str">
        <f ca="1">IFERROR(__xludf.DUMMYFUNCTION("""COMPUTED_VALUE"""),"Jamie B. Maestre ")</f>
        <v xml:space="preserve">Jamie B. Maestre </v>
      </c>
      <c r="D34" s="4" t="str">
        <f ca="1">IFERROR(__xludf.DUMMYFUNCTION("""COMPUTED_VALUE"""),"DONATION TO TERESITA MAESTRE FOR HER HOSPITAL BILL")</f>
        <v>DONATION TO TERESITA MAESTRE FOR HER HOSPITAL BILL</v>
      </c>
      <c r="E34" s="5">
        <f ca="1">IFERROR(__xludf.DUMMYFUNCTION("""COMPUTED_VALUE"""),8000)</f>
        <v>8000</v>
      </c>
      <c r="F34" s="4" t="str">
        <f ca="1">IFERROR(__xludf.DUMMYFUNCTION("""COMPUTED_VALUE"""),"LBP General")</f>
        <v>LBP General</v>
      </c>
      <c r="G34" s="4"/>
      <c r="H34" s="4"/>
      <c r="I34" s="4"/>
      <c r="J34" s="4"/>
      <c r="K34" s="4"/>
      <c r="L34" s="4"/>
      <c r="M34" s="4"/>
      <c r="N34" s="4"/>
      <c r="O34" s="4"/>
      <c r="P34" s="4"/>
      <c r="Q34" s="4"/>
      <c r="R34" s="4"/>
      <c r="S34" s="23"/>
    </row>
    <row r="35" spans="1:19" ht="34.799999999999997" x14ac:dyDescent="0.25">
      <c r="A35" s="4">
        <f ca="1">IFERROR(__xludf.DUMMYFUNCTION("""COMPUTED_VALUE"""),2093547)</f>
        <v>2093547</v>
      </c>
      <c r="B35" s="23">
        <f ca="1">IFERROR(__xludf.DUMMYFUNCTION("""COMPUTED_VALUE"""),44876)</f>
        <v>44876</v>
      </c>
      <c r="C35" s="4" t="str">
        <f ca="1">IFERROR(__xludf.DUMMYFUNCTION("""COMPUTED_VALUE"""),"Arben R. Cauilan ")</f>
        <v xml:space="preserve">Arben R. Cauilan </v>
      </c>
      <c r="D35" s="4" t="str">
        <f ca="1">IFERROR(__xludf.DUMMYFUNCTION("""COMPUTED_VALUE"""),"DONATION TO CLIENT FOR HIS HOSPITAL BILL")</f>
        <v>DONATION TO CLIENT FOR HIS HOSPITAL BILL</v>
      </c>
      <c r="E35" s="5">
        <f ca="1">IFERROR(__xludf.DUMMYFUNCTION("""COMPUTED_VALUE"""),11000)</f>
        <v>11000</v>
      </c>
      <c r="F35" s="4" t="str">
        <f ca="1">IFERROR(__xludf.DUMMYFUNCTION("""COMPUTED_VALUE"""),"LBP General")</f>
        <v>LBP General</v>
      </c>
      <c r="G35" s="4"/>
      <c r="H35" s="4"/>
      <c r="I35" s="4"/>
      <c r="J35" s="4"/>
      <c r="K35" s="4"/>
      <c r="L35" s="4"/>
      <c r="M35" s="4"/>
      <c r="N35" s="4"/>
      <c r="O35" s="4"/>
      <c r="P35" s="4"/>
      <c r="Q35" s="4"/>
      <c r="R35" s="4"/>
      <c r="S35" s="23"/>
    </row>
    <row r="36" spans="1:19" ht="69.599999999999994" x14ac:dyDescent="0.25">
      <c r="A36" s="4">
        <f ca="1">IFERROR(__xludf.DUMMYFUNCTION("""COMPUTED_VALUE"""),2093548)</f>
        <v>2093548</v>
      </c>
      <c r="B36" s="23">
        <f ca="1">IFERROR(__xludf.DUMMYFUNCTION("""COMPUTED_VALUE"""),44876)</f>
        <v>44876</v>
      </c>
      <c r="C36" s="4" t="str">
        <f ca="1">IFERROR(__xludf.DUMMYFUNCTION("""COMPUTED_VALUE"""),"Mary Rose Y. Mangulabnan ")</f>
        <v xml:space="preserve">Mary Rose Y. Mangulabnan </v>
      </c>
      <c r="D36" s="4" t="str">
        <f ca="1">IFERROR(__xludf.DUMMYFUNCTION("""COMPUTED_VALUE"""),"DONATION TO CLIENT AND ALEXANDER CLAY MANGULABNAN FOR THEIR HOSPITAL BILLS AND PROFESSIONAL FEE")</f>
        <v>DONATION TO CLIENT AND ALEXANDER CLAY MANGULABNAN FOR THEIR HOSPITAL BILLS AND PROFESSIONAL FEE</v>
      </c>
      <c r="E36" s="5">
        <f ca="1">IFERROR(__xludf.DUMMYFUNCTION("""COMPUTED_VALUE"""),11000)</f>
        <v>11000</v>
      </c>
      <c r="F36" s="4" t="str">
        <f ca="1">IFERROR(__xludf.DUMMYFUNCTION("""COMPUTED_VALUE"""),"LBP General")</f>
        <v>LBP General</v>
      </c>
      <c r="G36" s="4"/>
      <c r="H36" s="4"/>
      <c r="I36" s="4"/>
      <c r="J36" s="4"/>
      <c r="K36" s="4"/>
      <c r="L36" s="4"/>
      <c r="M36" s="4"/>
      <c r="N36" s="4"/>
      <c r="O36" s="4"/>
      <c r="P36" s="4"/>
      <c r="Q36" s="4"/>
      <c r="R36" s="4"/>
      <c r="S36" s="23"/>
    </row>
    <row r="37" spans="1:19" ht="52.2" x14ac:dyDescent="0.25">
      <c r="A37" s="4">
        <f ca="1">IFERROR(__xludf.DUMMYFUNCTION("""COMPUTED_VALUE"""),2093549)</f>
        <v>2093549</v>
      </c>
      <c r="B37" s="23">
        <f ca="1">IFERROR(__xludf.DUMMYFUNCTION("""COMPUTED_VALUE"""),44876)</f>
        <v>44876</v>
      </c>
      <c r="C37" s="4" t="str">
        <f ca="1">IFERROR(__xludf.DUMMYFUNCTION("""COMPUTED_VALUE"""),"Evelyn B. Manrique ")</f>
        <v xml:space="preserve">Evelyn B. Manrique </v>
      </c>
      <c r="D37" s="4" t="str">
        <f ca="1">IFERROR(__xludf.DUMMYFUNCTION("""COMPUTED_VALUE"""),"DONATION TO CLIENT FOR HER HOSPITAL BILL AND MEDICAL NEEDS")</f>
        <v>DONATION TO CLIENT FOR HER HOSPITAL BILL AND MEDICAL NEEDS</v>
      </c>
      <c r="E37" s="5">
        <f ca="1">IFERROR(__xludf.DUMMYFUNCTION("""COMPUTED_VALUE"""),22000)</f>
        <v>22000</v>
      </c>
      <c r="F37" s="4" t="str">
        <f ca="1">IFERROR(__xludf.DUMMYFUNCTION("""COMPUTED_VALUE"""),"LBP General")</f>
        <v>LBP General</v>
      </c>
      <c r="G37" s="4"/>
      <c r="H37" s="4"/>
      <c r="I37" s="4"/>
      <c r="J37" s="4"/>
      <c r="K37" s="4"/>
      <c r="L37" s="4"/>
      <c r="M37" s="4"/>
      <c r="N37" s="4"/>
      <c r="O37" s="4"/>
      <c r="P37" s="4"/>
      <c r="Q37" s="4"/>
      <c r="R37" s="4"/>
      <c r="S37" s="23"/>
    </row>
    <row r="38" spans="1:19" ht="34.799999999999997" x14ac:dyDescent="0.25">
      <c r="A38" s="4">
        <f ca="1">IFERROR(__xludf.DUMMYFUNCTION("""COMPUTED_VALUE"""),2093550)</f>
        <v>2093550</v>
      </c>
      <c r="B38" s="23">
        <f ca="1">IFERROR(__xludf.DUMMYFUNCTION("""COMPUTED_VALUE"""),44876)</f>
        <v>44876</v>
      </c>
      <c r="C38" s="4" t="str">
        <f ca="1">IFERROR(__xludf.DUMMYFUNCTION("""COMPUTED_VALUE"""),"Roennie A. Macaranas ")</f>
        <v xml:space="preserve">Roennie A. Macaranas </v>
      </c>
      <c r="D38" s="4" t="str">
        <f ca="1">IFERROR(__xludf.DUMMYFUNCTION("""COMPUTED_VALUE"""),"DONATION TO CLIENT FOR HIS MEDICAL NEEDS")</f>
        <v>DONATION TO CLIENT FOR HIS MEDICAL NEEDS</v>
      </c>
      <c r="E38" s="5">
        <f ca="1">IFERROR(__xludf.DUMMYFUNCTION("""COMPUTED_VALUE"""),37000)</f>
        <v>37000</v>
      </c>
      <c r="F38" s="4" t="str">
        <f ca="1">IFERROR(__xludf.DUMMYFUNCTION("""COMPUTED_VALUE"""),"LBP General")</f>
        <v>LBP General</v>
      </c>
      <c r="G38" s="4"/>
      <c r="H38" s="4"/>
      <c r="I38" s="4"/>
      <c r="J38" s="4"/>
      <c r="K38" s="4"/>
      <c r="L38" s="4"/>
      <c r="M38" s="4"/>
      <c r="N38" s="4"/>
      <c r="O38" s="4"/>
      <c r="P38" s="4"/>
      <c r="Q38" s="4"/>
      <c r="R38" s="4"/>
      <c r="S38" s="23"/>
    </row>
    <row r="39" spans="1:19" ht="34.799999999999997" x14ac:dyDescent="0.25">
      <c r="A39" s="4">
        <f ca="1">IFERROR(__xludf.DUMMYFUNCTION("""COMPUTED_VALUE"""),2093552)</f>
        <v>2093552</v>
      </c>
      <c r="B39" s="23">
        <f ca="1">IFERROR(__xludf.DUMMYFUNCTION("""COMPUTED_VALUE"""),44876)</f>
        <v>44876</v>
      </c>
      <c r="C39" s="4" t="str">
        <f ca="1">IFERROR(__xludf.DUMMYFUNCTION("""COMPUTED_VALUE"""),"Leony L. Laalam ")</f>
        <v xml:space="preserve">Leony L. Laalam </v>
      </c>
      <c r="D39" s="4" t="str">
        <f ca="1">IFERROR(__xludf.DUMMYFUNCTION("""COMPUTED_VALUE"""),"DONATION TO CLIENT FOR HER MEDICAL NEEDS")</f>
        <v>DONATION TO CLIENT FOR HER MEDICAL NEEDS</v>
      </c>
      <c r="E39" s="5">
        <f ca="1">IFERROR(__xludf.DUMMYFUNCTION("""COMPUTED_VALUE"""),15000)</f>
        <v>15000</v>
      </c>
      <c r="F39" s="4" t="str">
        <f ca="1">IFERROR(__xludf.DUMMYFUNCTION("""COMPUTED_VALUE"""),"LBP General")</f>
        <v>LBP General</v>
      </c>
      <c r="G39" s="4"/>
      <c r="H39" s="4"/>
      <c r="I39" s="4"/>
      <c r="J39" s="4"/>
      <c r="K39" s="4"/>
      <c r="L39" s="4"/>
      <c r="M39" s="4"/>
      <c r="N39" s="4"/>
      <c r="O39" s="4"/>
      <c r="P39" s="4"/>
      <c r="Q39" s="4"/>
      <c r="R39" s="4"/>
      <c r="S39" s="23"/>
    </row>
    <row r="40" spans="1:19" ht="17.399999999999999" x14ac:dyDescent="0.25">
      <c r="A40" s="4"/>
      <c r="B40" s="23"/>
      <c r="C40" s="4"/>
      <c r="D40" s="6" t="s">
        <v>0</v>
      </c>
      <c r="E40" s="7">
        <f ca="1">SUM(E2:E39)</f>
        <v>650650</v>
      </c>
      <c r="F40" s="4"/>
      <c r="G40" s="4"/>
      <c r="H40" s="4"/>
      <c r="I40" s="4"/>
      <c r="J40" s="4"/>
      <c r="K40" s="4"/>
      <c r="L40" s="4"/>
      <c r="M40" s="4"/>
      <c r="N40" s="4"/>
      <c r="O40" s="4"/>
      <c r="P40" s="4"/>
      <c r="Q40" s="4"/>
      <c r="R40" s="4"/>
    </row>
    <row r="41" spans="1:19" ht="17.399999999999999" x14ac:dyDescent="0.25">
      <c r="A41" s="4"/>
      <c r="B41" s="23"/>
      <c r="C41" s="4"/>
      <c r="D41" s="4"/>
      <c r="E41" s="5"/>
      <c r="F41" s="4"/>
      <c r="G41" s="4"/>
      <c r="H41" s="4"/>
      <c r="I41" s="4"/>
      <c r="J41" s="4"/>
      <c r="K41" s="4"/>
      <c r="L41" s="4"/>
      <c r="M41" s="4"/>
      <c r="N41" s="4"/>
      <c r="O41" s="4"/>
      <c r="P41" s="4"/>
      <c r="Q41" s="4"/>
      <c r="R41" s="4"/>
    </row>
    <row r="42" spans="1:19" ht="17.399999999999999" x14ac:dyDescent="0.25">
      <c r="A42" s="4"/>
      <c r="B42" s="23"/>
      <c r="C42" s="4"/>
      <c r="D42" s="4"/>
      <c r="E42" s="5"/>
      <c r="F42" s="4"/>
      <c r="G42" s="4"/>
      <c r="H42" s="4"/>
      <c r="I42" s="4"/>
      <c r="J42" s="4"/>
      <c r="K42" s="4"/>
      <c r="L42" s="4"/>
      <c r="M42" s="4"/>
      <c r="N42" s="4"/>
      <c r="O42" s="4"/>
      <c r="P42" s="4"/>
      <c r="Q42" s="4"/>
      <c r="R42" s="4"/>
    </row>
    <row r="43" spans="1:19" ht="17.399999999999999" x14ac:dyDescent="0.25">
      <c r="A43" s="4"/>
      <c r="B43" s="23"/>
      <c r="C43" s="4"/>
      <c r="D43" s="4"/>
      <c r="E43" s="5"/>
      <c r="F43" s="4"/>
      <c r="G43" s="4"/>
      <c r="H43" s="4"/>
      <c r="I43" s="4"/>
      <c r="J43" s="4"/>
      <c r="K43" s="4"/>
      <c r="L43" s="4"/>
      <c r="M43" s="4"/>
      <c r="N43" s="4"/>
      <c r="O43" s="4"/>
      <c r="P43" s="4"/>
      <c r="Q43" s="4"/>
      <c r="R43" s="4"/>
    </row>
    <row r="44" spans="1:19" ht="17.399999999999999" x14ac:dyDescent="0.25">
      <c r="A44" s="4"/>
      <c r="B44" s="23"/>
      <c r="C44" s="4"/>
      <c r="D44" s="4"/>
      <c r="E44" s="5"/>
      <c r="F44" s="4"/>
      <c r="G44" s="4"/>
      <c r="H44" s="4"/>
      <c r="I44" s="4"/>
      <c r="J44" s="4"/>
      <c r="K44" s="4"/>
      <c r="L44" s="4"/>
      <c r="M44" s="4"/>
      <c r="N44" s="4"/>
      <c r="O44" s="4"/>
      <c r="P44" s="4"/>
      <c r="Q44" s="4"/>
      <c r="R44" s="4"/>
    </row>
    <row r="45" spans="1:19" ht="17.399999999999999" x14ac:dyDescent="0.25">
      <c r="A45" s="4"/>
      <c r="B45" s="23"/>
      <c r="C45" s="4"/>
      <c r="D45" s="4"/>
      <c r="E45" s="5"/>
      <c r="F45" s="4"/>
      <c r="G45" s="4"/>
      <c r="H45" s="4"/>
      <c r="I45" s="4"/>
      <c r="J45" s="4"/>
      <c r="K45" s="4"/>
      <c r="L45" s="4"/>
      <c r="M45" s="4"/>
      <c r="N45" s="4"/>
      <c r="O45" s="4"/>
      <c r="P45" s="4"/>
      <c r="Q45" s="4"/>
      <c r="R45" s="4"/>
    </row>
    <row r="46" spans="1:19" ht="17.399999999999999" x14ac:dyDescent="0.25">
      <c r="A46" s="4"/>
      <c r="B46" s="23"/>
      <c r="C46" s="4"/>
      <c r="D46" s="4"/>
      <c r="E46" s="5"/>
      <c r="F46" s="4"/>
      <c r="G46" s="4"/>
      <c r="H46" s="4"/>
      <c r="I46" s="4"/>
      <c r="J46" s="4"/>
      <c r="K46" s="4"/>
      <c r="L46" s="4"/>
      <c r="M46" s="4"/>
      <c r="N46" s="4"/>
      <c r="O46" s="4"/>
      <c r="P46" s="4"/>
      <c r="Q46" s="4"/>
      <c r="R46" s="4"/>
    </row>
    <row r="47" spans="1:19" ht="17.399999999999999" x14ac:dyDescent="0.25">
      <c r="A47" s="4"/>
      <c r="B47" s="23"/>
      <c r="C47" s="4"/>
      <c r="D47" s="4"/>
      <c r="E47" s="5"/>
      <c r="F47" s="4"/>
      <c r="G47" s="4"/>
      <c r="H47" s="4"/>
      <c r="I47" s="4"/>
      <c r="J47" s="4"/>
      <c r="K47" s="4"/>
      <c r="L47" s="4"/>
      <c r="M47" s="4"/>
      <c r="N47" s="4"/>
      <c r="O47" s="4"/>
      <c r="P47" s="4"/>
      <c r="Q47" s="4"/>
      <c r="R47" s="4"/>
    </row>
    <row r="48" spans="1:19" ht="17.399999999999999" x14ac:dyDescent="0.25">
      <c r="A48" s="4"/>
      <c r="B48" s="23"/>
      <c r="C48" s="4"/>
      <c r="D48" s="4"/>
      <c r="E48" s="5"/>
      <c r="F48" s="4"/>
      <c r="G48" s="4"/>
      <c r="H48" s="4"/>
      <c r="I48" s="4"/>
      <c r="J48" s="4"/>
      <c r="K48" s="4"/>
      <c r="L48" s="4"/>
      <c r="M48" s="4"/>
      <c r="N48" s="4"/>
      <c r="O48" s="4"/>
      <c r="P48" s="4"/>
      <c r="Q48" s="4"/>
      <c r="R48" s="4"/>
    </row>
    <row r="49" spans="1:18" ht="17.399999999999999" x14ac:dyDescent="0.25">
      <c r="A49" s="4"/>
      <c r="B49" s="23"/>
      <c r="C49" s="4"/>
      <c r="D49" s="4"/>
      <c r="E49" s="5"/>
      <c r="F49" s="4"/>
      <c r="G49" s="4"/>
      <c r="H49" s="4"/>
      <c r="I49" s="4"/>
      <c r="J49" s="4"/>
      <c r="K49" s="4"/>
      <c r="L49" s="4"/>
      <c r="M49" s="4"/>
      <c r="N49" s="4"/>
      <c r="O49" s="4"/>
      <c r="P49" s="4"/>
      <c r="Q49" s="4"/>
      <c r="R49" s="4"/>
    </row>
    <row r="50" spans="1:18" ht="17.399999999999999" x14ac:dyDescent="0.25">
      <c r="A50" s="4"/>
      <c r="B50" s="23"/>
      <c r="C50" s="4"/>
      <c r="D50" s="4"/>
      <c r="E50" s="5"/>
      <c r="F50" s="4"/>
      <c r="G50" s="4"/>
      <c r="H50" s="4"/>
      <c r="I50" s="4"/>
      <c r="J50" s="4"/>
      <c r="K50" s="4"/>
      <c r="L50" s="4"/>
      <c r="M50" s="4"/>
      <c r="N50" s="4"/>
      <c r="O50" s="4"/>
      <c r="P50" s="4"/>
      <c r="Q50" s="4"/>
      <c r="R50" s="4"/>
    </row>
    <row r="51" spans="1:18" ht="17.399999999999999" x14ac:dyDescent="0.25">
      <c r="A51" s="4"/>
      <c r="B51" s="23"/>
      <c r="C51" s="4"/>
      <c r="D51" s="4"/>
      <c r="E51" s="5"/>
      <c r="F51" s="4"/>
      <c r="G51" s="4"/>
      <c r="H51" s="4"/>
      <c r="I51" s="4"/>
      <c r="J51" s="4"/>
      <c r="K51" s="4"/>
      <c r="L51" s="4"/>
      <c r="M51" s="4"/>
      <c r="N51" s="4"/>
      <c r="O51" s="4"/>
      <c r="P51" s="4"/>
      <c r="Q51" s="4"/>
      <c r="R51" s="4"/>
    </row>
    <row r="52" spans="1:18" ht="17.399999999999999" x14ac:dyDescent="0.25">
      <c r="A52" s="4"/>
      <c r="B52" s="23"/>
      <c r="C52" s="4"/>
      <c r="D52" s="4"/>
      <c r="E52" s="5"/>
      <c r="F52" s="4"/>
      <c r="G52" s="4"/>
      <c r="H52" s="4"/>
      <c r="I52" s="4"/>
      <c r="J52" s="4"/>
      <c r="K52" s="4"/>
      <c r="L52" s="4"/>
      <c r="M52" s="4"/>
      <c r="N52" s="4"/>
      <c r="O52" s="4"/>
      <c r="P52" s="4"/>
      <c r="Q52" s="4"/>
      <c r="R52" s="4"/>
    </row>
    <row r="53" spans="1:18" ht="17.399999999999999" x14ac:dyDescent="0.25">
      <c r="A53" s="4"/>
      <c r="B53" s="23"/>
      <c r="C53" s="4"/>
      <c r="D53" s="4"/>
      <c r="E53" s="5"/>
      <c r="F53" s="4"/>
      <c r="G53" s="4"/>
      <c r="H53" s="4"/>
      <c r="I53" s="4"/>
      <c r="J53" s="4"/>
      <c r="K53" s="4"/>
      <c r="L53" s="4"/>
      <c r="M53" s="4"/>
      <c r="N53" s="4"/>
      <c r="O53" s="4"/>
      <c r="P53" s="4"/>
      <c r="Q53" s="4"/>
      <c r="R53" s="4"/>
    </row>
    <row r="54" spans="1:18" ht="17.399999999999999" x14ac:dyDescent="0.25">
      <c r="A54" s="4"/>
      <c r="B54" s="23"/>
      <c r="C54" s="4"/>
      <c r="D54" s="4"/>
      <c r="E54" s="5"/>
      <c r="F54" s="4"/>
      <c r="G54" s="4"/>
      <c r="H54" s="4"/>
      <c r="I54" s="4"/>
      <c r="J54" s="4"/>
      <c r="K54" s="4"/>
      <c r="L54" s="4"/>
      <c r="M54" s="4"/>
      <c r="N54" s="4"/>
      <c r="O54" s="4"/>
      <c r="P54" s="4"/>
      <c r="Q54" s="4"/>
      <c r="R54" s="4"/>
    </row>
    <row r="55" spans="1:18" ht="17.399999999999999" x14ac:dyDescent="0.25">
      <c r="A55" s="4"/>
      <c r="B55" s="23"/>
      <c r="C55" s="4"/>
      <c r="D55" s="4"/>
      <c r="E55" s="5"/>
      <c r="F55" s="4"/>
      <c r="G55" s="4"/>
      <c r="H55" s="4"/>
      <c r="I55" s="4"/>
      <c r="J55" s="4"/>
      <c r="K55" s="4"/>
      <c r="L55" s="4"/>
      <c r="M55" s="4"/>
      <c r="N55" s="4"/>
      <c r="O55" s="4"/>
      <c r="P55" s="4"/>
      <c r="Q55" s="4"/>
      <c r="R55" s="4"/>
    </row>
    <row r="56" spans="1:18" ht="17.399999999999999" x14ac:dyDescent="0.25">
      <c r="A56" s="4"/>
      <c r="B56" s="23"/>
      <c r="C56" s="4"/>
      <c r="D56" s="4"/>
      <c r="E56" s="5"/>
      <c r="F56" s="4"/>
      <c r="G56" s="4"/>
      <c r="H56" s="4"/>
      <c r="I56" s="4"/>
      <c r="J56" s="4"/>
      <c r="K56" s="4"/>
      <c r="L56" s="4"/>
      <c r="M56" s="4"/>
      <c r="N56" s="4"/>
      <c r="O56" s="4"/>
      <c r="P56" s="4"/>
      <c r="Q56" s="4"/>
      <c r="R56" s="4"/>
    </row>
    <row r="57" spans="1:18" ht="17.399999999999999" x14ac:dyDescent="0.25">
      <c r="A57" s="4"/>
      <c r="B57" s="23"/>
      <c r="C57" s="4"/>
      <c r="D57" s="4"/>
      <c r="E57" s="5"/>
      <c r="F57" s="4"/>
      <c r="G57" s="4"/>
      <c r="H57" s="4"/>
      <c r="I57" s="4"/>
      <c r="J57" s="4"/>
      <c r="K57" s="4"/>
      <c r="L57" s="4"/>
      <c r="M57" s="4"/>
      <c r="N57" s="4"/>
      <c r="O57" s="4"/>
      <c r="P57" s="4"/>
      <c r="Q57" s="4"/>
      <c r="R57" s="4"/>
    </row>
    <row r="58" spans="1:18" ht="17.399999999999999" x14ac:dyDescent="0.25">
      <c r="A58" s="4"/>
      <c r="B58" s="23"/>
      <c r="C58" s="4"/>
      <c r="D58" s="4"/>
      <c r="E58" s="5"/>
      <c r="F58" s="4"/>
      <c r="G58" s="4"/>
      <c r="H58" s="4"/>
      <c r="I58" s="4"/>
      <c r="J58" s="4"/>
      <c r="K58" s="4"/>
      <c r="L58" s="4"/>
      <c r="M58" s="4"/>
      <c r="N58" s="4"/>
      <c r="O58" s="4"/>
      <c r="P58" s="4"/>
      <c r="Q58" s="4"/>
      <c r="R58" s="4"/>
    </row>
    <row r="59" spans="1:18" ht="17.399999999999999" x14ac:dyDescent="0.25">
      <c r="A59" s="4"/>
      <c r="B59" s="23"/>
      <c r="C59" s="4"/>
      <c r="D59" s="4"/>
      <c r="E59" s="5"/>
      <c r="F59" s="4"/>
      <c r="G59" s="4"/>
      <c r="H59" s="4"/>
      <c r="I59" s="4"/>
      <c r="J59" s="4"/>
      <c r="K59" s="4"/>
      <c r="L59" s="4"/>
      <c r="M59" s="4"/>
      <c r="N59" s="4"/>
      <c r="O59" s="4"/>
      <c r="P59" s="4"/>
      <c r="Q59" s="4"/>
      <c r="R59" s="4"/>
    </row>
    <row r="60" spans="1:18" ht="17.399999999999999" x14ac:dyDescent="0.25">
      <c r="A60" s="4"/>
      <c r="B60" s="23"/>
      <c r="C60" s="4"/>
      <c r="D60" s="4"/>
      <c r="E60" s="5"/>
      <c r="F60" s="4"/>
      <c r="G60" s="4"/>
      <c r="H60" s="4"/>
      <c r="I60" s="4"/>
      <c r="J60" s="4"/>
      <c r="K60" s="4"/>
      <c r="L60" s="4"/>
      <c r="M60" s="4"/>
      <c r="N60" s="4"/>
      <c r="O60" s="4"/>
      <c r="P60" s="4"/>
      <c r="Q60" s="4"/>
      <c r="R60" s="4"/>
    </row>
    <row r="61" spans="1:18" ht="17.399999999999999" x14ac:dyDescent="0.25">
      <c r="A61" s="4"/>
      <c r="B61" s="23"/>
      <c r="C61" s="4"/>
      <c r="D61" s="4"/>
      <c r="E61" s="5"/>
      <c r="F61" s="4"/>
      <c r="G61" s="4"/>
      <c r="H61" s="4"/>
      <c r="I61" s="4"/>
      <c r="J61" s="4"/>
      <c r="K61" s="4"/>
      <c r="L61" s="4"/>
      <c r="M61" s="4"/>
      <c r="N61" s="4"/>
      <c r="O61" s="4"/>
      <c r="P61" s="4"/>
      <c r="Q61" s="4"/>
      <c r="R61" s="4"/>
    </row>
    <row r="62" spans="1:18" ht="17.399999999999999" x14ac:dyDescent="0.25">
      <c r="A62" s="4"/>
      <c r="B62" s="23"/>
      <c r="C62" s="4"/>
      <c r="D62" s="4"/>
      <c r="E62" s="5"/>
      <c r="F62" s="4"/>
      <c r="G62" s="4"/>
      <c r="H62" s="4"/>
      <c r="I62" s="4"/>
      <c r="J62" s="4"/>
      <c r="K62" s="4"/>
      <c r="L62" s="4"/>
      <c r="M62" s="4"/>
      <c r="N62" s="4"/>
      <c r="O62" s="4"/>
      <c r="P62" s="4"/>
      <c r="Q62" s="4"/>
      <c r="R62" s="4"/>
    </row>
    <row r="63" spans="1:18" ht="17.399999999999999" x14ac:dyDescent="0.25">
      <c r="A63" s="4"/>
      <c r="B63" s="23"/>
      <c r="C63" s="4"/>
      <c r="D63" s="4"/>
      <c r="E63" s="5"/>
      <c r="F63" s="4"/>
      <c r="G63" s="4"/>
      <c r="H63" s="4"/>
      <c r="I63" s="4"/>
      <c r="J63" s="4"/>
      <c r="K63" s="4"/>
      <c r="L63" s="4"/>
      <c r="M63" s="4"/>
      <c r="N63" s="4"/>
      <c r="O63" s="4"/>
      <c r="P63" s="4"/>
      <c r="Q63" s="4"/>
      <c r="R63" s="4"/>
    </row>
    <row r="64" spans="1:18" ht="17.399999999999999" x14ac:dyDescent="0.25">
      <c r="A64" s="4"/>
      <c r="B64" s="23"/>
      <c r="C64" s="4"/>
      <c r="D64" s="4"/>
      <c r="E64" s="5"/>
      <c r="F64" s="4"/>
      <c r="G64" s="4"/>
      <c r="H64" s="4"/>
      <c r="I64" s="4"/>
      <c r="J64" s="4"/>
      <c r="K64" s="4"/>
      <c r="L64" s="4"/>
      <c r="M64" s="4"/>
      <c r="N64" s="4"/>
      <c r="O64" s="4"/>
      <c r="P64" s="4"/>
      <c r="Q64" s="4"/>
      <c r="R64" s="4"/>
    </row>
    <row r="65" spans="1:18" ht="17.399999999999999" x14ac:dyDescent="0.25">
      <c r="A65" s="4"/>
      <c r="B65" s="23"/>
      <c r="C65" s="4"/>
      <c r="D65" s="4"/>
      <c r="E65" s="5"/>
      <c r="F65" s="4"/>
      <c r="G65" s="4"/>
      <c r="H65" s="4"/>
      <c r="I65" s="4"/>
      <c r="J65" s="4"/>
      <c r="K65" s="4"/>
      <c r="L65" s="4"/>
      <c r="M65" s="4"/>
      <c r="N65" s="4"/>
      <c r="O65" s="4"/>
      <c r="P65" s="4"/>
      <c r="Q65" s="4"/>
      <c r="R65" s="4"/>
    </row>
    <row r="66" spans="1:18" ht="17.399999999999999" x14ac:dyDescent="0.25">
      <c r="A66" s="4"/>
      <c r="B66" s="23"/>
      <c r="C66" s="4"/>
      <c r="D66" s="4"/>
      <c r="E66" s="5"/>
      <c r="F66" s="4"/>
      <c r="G66" s="4"/>
      <c r="H66" s="4"/>
      <c r="I66" s="4"/>
      <c r="J66" s="4"/>
      <c r="K66" s="4"/>
      <c r="L66" s="4"/>
      <c r="M66" s="4"/>
      <c r="N66" s="4"/>
      <c r="O66" s="4"/>
      <c r="P66" s="4"/>
      <c r="Q66" s="4"/>
      <c r="R66" s="4"/>
    </row>
    <row r="67" spans="1:18" ht="17.399999999999999" x14ac:dyDescent="0.25">
      <c r="A67" s="4"/>
      <c r="B67" s="23"/>
      <c r="C67" s="4"/>
      <c r="D67" s="4"/>
      <c r="E67" s="5"/>
      <c r="F67" s="4"/>
      <c r="G67" s="4"/>
      <c r="H67" s="4"/>
      <c r="I67" s="4"/>
      <c r="J67" s="4"/>
      <c r="K67" s="4"/>
      <c r="L67" s="4"/>
      <c r="M67" s="4"/>
      <c r="N67" s="4"/>
      <c r="O67" s="4"/>
      <c r="P67" s="4"/>
      <c r="Q67" s="4"/>
      <c r="R67" s="4"/>
    </row>
    <row r="68" spans="1:18" ht="17.399999999999999" x14ac:dyDescent="0.25">
      <c r="A68" s="4"/>
      <c r="B68" s="23"/>
      <c r="C68" s="4"/>
      <c r="D68" s="4"/>
      <c r="E68" s="5"/>
      <c r="F68" s="4"/>
      <c r="G68" s="4"/>
      <c r="H68" s="4"/>
      <c r="I68" s="4"/>
      <c r="J68" s="4"/>
      <c r="K68" s="4"/>
      <c r="L68" s="4"/>
      <c r="M68" s="4"/>
      <c r="N68" s="4"/>
      <c r="O68" s="4"/>
      <c r="P68" s="4"/>
      <c r="Q68" s="4"/>
      <c r="R68" s="4"/>
    </row>
    <row r="69" spans="1:18" ht="17.399999999999999" x14ac:dyDescent="0.25">
      <c r="A69" s="4"/>
      <c r="B69" s="23"/>
      <c r="C69" s="4"/>
      <c r="D69" s="4"/>
      <c r="E69" s="5"/>
      <c r="F69" s="4"/>
      <c r="G69" s="4"/>
      <c r="H69" s="4"/>
      <c r="I69" s="4"/>
      <c r="J69" s="4"/>
      <c r="K69" s="4"/>
      <c r="L69" s="4"/>
      <c r="M69" s="4"/>
      <c r="N69" s="4"/>
      <c r="O69" s="4"/>
      <c r="P69" s="4"/>
      <c r="Q69" s="4"/>
      <c r="R69" s="4"/>
    </row>
    <row r="70" spans="1:18" ht="17.399999999999999" x14ac:dyDescent="0.25">
      <c r="A70" s="4"/>
      <c r="B70" s="23"/>
      <c r="C70" s="4"/>
      <c r="D70" s="4"/>
      <c r="E70" s="5"/>
      <c r="F70" s="4"/>
      <c r="G70" s="4"/>
      <c r="H70" s="4"/>
      <c r="I70" s="4"/>
      <c r="J70" s="4"/>
      <c r="K70" s="4"/>
      <c r="L70" s="4"/>
      <c r="M70" s="4"/>
      <c r="N70" s="4"/>
      <c r="O70" s="4"/>
      <c r="P70" s="4"/>
      <c r="Q70" s="4"/>
      <c r="R70" s="4"/>
    </row>
    <row r="71" spans="1:18" ht="17.399999999999999" x14ac:dyDescent="0.25">
      <c r="A71" s="4"/>
      <c r="B71" s="23"/>
      <c r="C71" s="4"/>
      <c r="D71" s="4"/>
      <c r="E71" s="5"/>
      <c r="F71" s="4"/>
      <c r="G71" s="4"/>
      <c r="H71" s="4"/>
      <c r="I71" s="4"/>
      <c r="J71" s="4"/>
      <c r="K71" s="4"/>
      <c r="L71" s="4"/>
      <c r="M71" s="4"/>
      <c r="N71" s="4"/>
      <c r="O71" s="4"/>
      <c r="P71" s="4"/>
      <c r="Q71" s="4"/>
      <c r="R71" s="4"/>
    </row>
    <row r="72" spans="1:18" ht="17.399999999999999" x14ac:dyDescent="0.25">
      <c r="A72" s="4"/>
      <c r="B72" s="23"/>
      <c r="C72" s="4"/>
      <c r="D72" s="4"/>
      <c r="E72" s="5"/>
      <c r="F72" s="4"/>
      <c r="G72" s="4"/>
      <c r="H72" s="4"/>
      <c r="I72" s="4"/>
      <c r="J72" s="4"/>
      <c r="K72" s="4"/>
      <c r="L72" s="4"/>
      <c r="M72" s="4"/>
      <c r="N72" s="4"/>
      <c r="O72" s="4"/>
      <c r="P72" s="4"/>
      <c r="Q72" s="4"/>
      <c r="R72" s="4"/>
    </row>
    <row r="73" spans="1:18" ht="17.399999999999999" x14ac:dyDescent="0.25">
      <c r="A73" s="4"/>
      <c r="B73" s="23"/>
      <c r="C73" s="4"/>
      <c r="D73" s="4"/>
      <c r="E73" s="5"/>
      <c r="F73" s="4"/>
      <c r="G73" s="4"/>
      <c r="H73" s="4"/>
      <c r="I73" s="4"/>
      <c r="J73" s="4"/>
      <c r="K73" s="4"/>
      <c r="L73" s="4"/>
      <c r="M73" s="4"/>
      <c r="N73" s="4"/>
      <c r="O73" s="4"/>
      <c r="P73" s="4"/>
      <c r="Q73" s="4"/>
      <c r="R73" s="4"/>
    </row>
    <row r="74" spans="1:18" ht="17.399999999999999" x14ac:dyDescent="0.25">
      <c r="A74" s="4"/>
      <c r="B74" s="23"/>
      <c r="C74" s="4"/>
      <c r="D74" s="4"/>
      <c r="E74" s="5"/>
      <c r="F74" s="4"/>
      <c r="G74" s="4"/>
      <c r="H74" s="4"/>
      <c r="I74" s="4"/>
      <c r="J74" s="4"/>
      <c r="K74" s="4"/>
      <c r="L74" s="4"/>
      <c r="M74" s="4"/>
      <c r="N74" s="4"/>
      <c r="O74" s="4"/>
      <c r="P74" s="4"/>
      <c r="Q74" s="4"/>
      <c r="R74" s="4"/>
    </row>
    <row r="75" spans="1:18" ht="17.399999999999999" x14ac:dyDescent="0.25">
      <c r="A75" s="4"/>
      <c r="B75" s="23"/>
      <c r="C75" s="4"/>
      <c r="D75" s="4"/>
      <c r="E75" s="5"/>
      <c r="F75" s="4"/>
      <c r="G75" s="4"/>
      <c r="H75" s="4"/>
      <c r="I75" s="4"/>
      <c r="J75" s="4"/>
      <c r="K75" s="4"/>
      <c r="L75" s="4"/>
      <c r="M75" s="4"/>
      <c r="N75" s="4"/>
      <c r="O75" s="4"/>
      <c r="P75" s="4"/>
      <c r="Q75" s="4"/>
      <c r="R75" s="4"/>
    </row>
    <row r="76" spans="1:18" ht="17.399999999999999" x14ac:dyDescent="0.25">
      <c r="A76" s="4"/>
      <c r="B76" s="23"/>
      <c r="C76" s="4"/>
      <c r="D76" s="4"/>
      <c r="E76" s="5"/>
      <c r="F76" s="4"/>
      <c r="G76" s="4"/>
      <c r="H76" s="4"/>
      <c r="I76" s="4"/>
      <c r="J76" s="4"/>
      <c r="K76" s="4"/>
      <c r="L76" s="4"/>
      <c r="M76" s="4"/>
      <c r="N76" s="4"/>
      <c r="O76" s="4"/>
      <c r="P76" s="4"/>
      <c r="Q76" s="4"/>
      <c r="R76" s="4"/>
    </row>
    <row r="77" spans="1:18" ht="17.399999999999999" x14ac:dyDescent="0.25">
      <c r="A77" s="4"/>
      <c r="B77" s="23"/>
      <c r="C77" s="4"/>
      <c r="D77" s="4"/>
      <c r="E77" s="5"/>
      <c r="F77" s="4"/>
      <c r="G77" s="4"/>
      <c r="H77" s="4"/>
      <c r="I77" s="4"/>
      <c r="J77" s="4"/>
      <c r="K77" s="4"/>
      <c r="L77" s="4"/>
      <c r="M77" s="4"/>
      <c r="N77" s="4"/>
      <c r="O77" s="4"/>
      <c r="P77" s="4"/>
      <c r="Q77" s="4"/>
      <c r="R77" s="4"/>
    </row>
    <row r="78" spans="1:18" ht="17.399999999999999" x14ac:dyDescent="0.25">
      <c r="A78" s="4"/>
      <c r="B78" s="23"/>
      <c r="C78" s="4"/>
      <c r="D78" s="4"/>
      <c r="E78" s="5"/>
      <c r="F78" s="4"/>
      <c r="G78" s="4"/>
      <c r="H78" s="4"/>
      <c r="I78" s="4"/>
      <c r="J78" s="4"/>
      <c r="K78" s="4"/>
      <c r="L78" s="4"/>
      <c r="M78" s="4"/>
      <c r="N78" s="4"/>
      <c r="O78" s="4"/>
      <c r="P78" s="4"/>
      <c r="Q78" s="4"/>
      <c r="R78" s="4"/>
    </row>
    <row r="79" spans="1:18" ht="17.399999999999999" x14ac:dyDescent="0.25">
      <c r="A79" s="4"/>
      <c r="B79" s="23"/>
      <c r="C79" s="4"/>
      <c r="D79" s="4"/>
      <c r="E79" s="5"/>
      <c r="F79" s="4"/>
      <c r="G79" s="4"/>
      <c r="H79" s="4"/>
      <c r="I79" s="4"/>
      <c r="J79" s="4"/>
      <c r="K79" s="4"/>
      <c r="L79" s="4"/>
      <c r="M79" s="4"/>
      <c r="N79" s="4"/>
      <c r="O79" s="4"/>
      <c r="P79" s="4"/>
      <c r="Q79" s="4"/>
      <c r="R79" s="4"/>
    </row>
    <row r="80" spans="1:18" ht="17.399999999999999" x14ac:dyDescent="0.25">
      <c r="A80" s="4"/>
      <c r="B80" s="23"/>
      <c r="C80" s="4"/>
      <c r="D80" s="4"/>
      <c r="E80" s="5"/>
      <c r="F80" s="4"/>
      <c r="G80" s="4"/>
      <c r="H80" s="4"/>
      <c r="I80" s="4"/>
      <c r="J80" s="4"/>
      <c r="K80" s="4"/>
      <c r="L80" s="4"/>
      <c r="M80" s="4"/>
      <c r="N80" s="4"/>
      <c r="O80" s="4"/>
      <c r="P80" s="4"/>
      <c r="Q80" s="4"/>
      <c r="R80" s="4"/>
    </row>
    <row r="81" spans="1:18" ht="17.399999999999999" x14ac:dyDescent="0.25">
      <c r="A81" s="4"/>
      <c r="B81" s="23"/>
      <c r="C81" s="4"/>
      <c r="D81" s="4"/>
      <c r="E81" s="5"/>
      <c r="F81" s="4"/>
      <c r="G81" s="4"/>
      <c r="H81" s="4"/>
      <c r="I81" s="4"/>
      <c r="J81" s="4"/>
      <c r="K81" s="4"/>
      <c r="L81" s="4"/>
      <c r="M81" s="4"/>
      <c r="N81" s="4"/>
      <c r="O81" s="4"/>
      <c r="P81" s="4"/>
      <c r="Q81" s="4"/>
      <c r="R81" s="4"/>
    </row>
    <row r="82" spans="1:18" ht="17.399999999999999" x14ac:dyDescent="0.25">
      <c r="A82" s="4"/>
      <c r="B82" s="23"/>
      <c r="C82" s="4"/>
      <c r="D82" s="4"/>
      <c r="E82" s="5"/>
      <c r="F82" s="4"/>
      <c r="G82" s="4"/>
      <c r="H82" s="4"/>
      <c r="I82" s="4"/>
      <c r="J82" s="4"/>
      <c r="K82" s="4"/>
      <c r="L82" s="4"/>
      <c r="M82" s="4"/>
      <c r="N82" s="4"/>
      <c r="O82" s="4"/>
      <c r="P82" s="4"/>
      <c r="Q82" s="4"/>
      <c r="R82" s="4"/>
    </row>
    <row r="83" spans="1:18" ht="17.399999999999999" x14ac:dyDescent="0.25">
      <c r="A83" s="4"/>
      <c r="B83" s="23"/>
      <c r="C83" s="4"/>
      <c r="D83" s="4"/>
      <c r="E83" s="5"/>
      <c r="F83" s="4"/>
      <c r="G83" s="4"/>
      <c r="H83" s="4"/>
      <c r="I83" s="4"/>
      <c r="J83" s="4"/>
      <c r="K83" s="4"/>
      <c r="L83" s="4"/>
      <c r="M83" s="4"/>
      <c r="N83" s="4"/>
      <c r="O83" s="4"/>
      <c r="P83" s="4"/>
      <c r="Q83" s="4"/>
      <c r="R83" s="4"/>
    </row>
    <row r="84" spans="1:18" ht="17.399999999999999" x14ac:dyDescent="0.25">
      <c r="A84" s="4"/>
      <c r="B84" s="23"/>
      <c r="C84" s="4"/>
      <c r="D84" s="4"/>
      <c r="E84" s="5"/>
      <c r="F84" s="4"/>
      <c r="G84" s="4"/>
      <c r="H84" s="4"/>
      <c r="I84" s="4"/>
      <c r="J84" s="4"/>
      <c r="K84" s="4"/>
      <c r="L84" s="4"/>
      <c r="M84" s="4"/>
      <c r="N84" s="4"/>
      <c r="O84" s="4"/>
      <c r="P84" s="4"/>
      <c r="Q84" s="4"/>
      <c r="R84" s="4"/>
    </row>
    <row r="85" spans="1:18" ht="17.399999999999999" x14ac:dyDescent="0.25">
      <c r="A85" s="4"/>
      <c r="B85" s="23"/>
      <c r="C85" s="4"/>
      <c r="D85" s="4"/>
      <c r="E85" s="5"/>
      <c r="F85" s="4"/>
      <c r="G85" s="4"/>
      <c r="H85" s="4"/>
      <c r="I85" s="4"/>
      <c r="J85" s="4"/>
      <c r="K85" s="4"/>
      <c r="L85" s="4"/>
      <c r="M85" s="4"/>
      <c r="N85" s="4"/>
      <c r="O85" s="4"/>
      <c r="P85" s="4"/>
      <c r="Q85" s="4"/>
      <c r="R85" s="4"/>
    </row>
    <row r="86" spans="1:18" ht="17.399999999999999" x14ac:dyDescent="0.25">
      <c r="A86" s="4"/>
      <c r="B86" s="23"/>
      <c r="C86" s="4"/>
      <c r="D86" s="4"/>
      <c r="E86" s="5"/>
      <c r="F86" s="4"/>
      <c r="G86" s="4"/>
      <c r="H86" s="4"/>
      <c r="I86" s="4"/>
      <c r="J86" s="4"/>
      <c r="K86" s="4"/>
      <c r="L86" s="4"/>
      <c r="M86" s="4"/>
      <c r="N86" s="4"/>
      <c r="O86" s="4"/>
      <c r="P86" s="4"/>
      <c r="Q86" s="4"/>
      <c r="R86" s="4"/>
    </row>
    <row r="87" spans="1:18" ht="17.399999999999999" x14ac:dyDescent="0.25">
      <c r="A87" s="4"/>
      <c r="B87" s="23"/>
      <c r="C87" s="4"/>
      <c r="D87" s="4"/>
      <c r="E87" s="5"/>
      <c r="F87" s="4"/>
      <c r="G87" s="4"/>
      <c r="H87" s="4"/>
      <c r="I87" s="4"/>
      <c r="J87" s="4"/>
      <c r="K87" s="4"/>
      <c r="L87" s="4"/>
      <c r="M87" s="4"/>
      <c r="N87" s="4"/>
      <c r="O87" s="4"/>
      <c r="P87" s="4"/>
      <c r="Q87" s="4"/>
      <c r="R87" s="4"/>
    </row>
    <row r="88" spans="1:18" ht="17.399999999999999" x14ac:dyDescent="0.25">
      <c r="A88" s="4"/>
      <c r="B88" s="23"/>
      <c r="C88" s="4"/>
      <c r="D88" s="4"/>
      <c r="E88" s="5"/>
      <c r="F88" s="4"/>
      <c r="G88" s="4"/>
      <c r="H88" s="4"/>
      <c r="I88" s="4"/>
      <c r="J88" s="4"/>
      <c r="K88" s="4"/>
      <c r="L88" s="4"/>
      <c r="M88" s="4"/>
      <c r="N88" s="4"/>
      <c r="O88" s="4"/>
      <c r="P88" s="4"/>
      <c r="Q88" s="4"/>
      <c r="R88" s="4"/>
    </row>
    <row r="89" spans="1:18" ht="17.399999999999999" x14ac:dyDescent="0.25">
      <c r="A89" s="4"/>
      <c r="B89" s="23"/>
      <c r="C89" s="4"/>
      <c r="D89" s="4"/>
      <c r="E89" s="5"/>
      <c r="F89" s="4"/>
      <c r="G89" s="4"/>
      <c r="H89" s="4"/>
      <c r="I89" s="4"/>
      <c r="J89" s="4"/>
      <c r="K89" s="4"/>
      <c r="L89" s="4"/>
      <c r="M89" s="4"/>
      <c r="N89" s="4"/>
      <c r="O89" s="4"/>
      <c r="P89" s="4"/>
      <c r="Q89" s="4"/>
      <c r="R89" s="4"/>
    </row>
    <row r="90" spans="1:18" ht="17.399999999999999" x14ac:dyDescent="0.25">
      <c r="A90" s="4"/>
      <c r="B90" s="23"/>
      <c r="C90" s="4"/>
      <c r="D90" s="4"/>
      <c r="E90" s="5"/>
      <c r="F90" s="4"/>
      <c r="G90" s="4"/>
      <c r="H90" s="4"/>
      <c r="I90" s="4"/>
      <c r="J90" s="4"/>
      <c r="K90" s="4"/>
      <c r="L90" s="4"/>
      <c r="M90" s="4"/>
      <c r="N90" s="4"/>
      <c r="O90" s="4"/>
      <c r="P90" s="4"/>
      <c r="Q90" s="4"/>
      <c r="R90" s="4"/>
    </row>
    <row r="91" spans="1:18" ht="17.399999999999999" x14ac:dyDescent="0.25">
      <c r="A91" s="4"/>
      <c r="B91" s="23"/>
      <c r="C91" s="4"/>
      <c r="D91" s="4"/>
      <c r="E91" s="5"/>
      <c r="F91" s="4"/>
      <c r="G91" s="4"/>
      <c r="H91" s="4"/>
      <c r="I91" s="4"/>
      <c r="J91" s="4"/>
      <c r="K91" s="4"/>
      <c r="L91" s="4"/>
      <c r="M91" s="4"/>
      <c r="N91" s="4"/>
      <c r="O91" s="4"/>
      <c r="P91" s="4"/>
      <c r="Q91" s="4"/>
      <c r="R91" s="4"/>
    </row>
    <row r="92" spans="1:18" ht="17.399999999999999" x14ac:dyDescent="0.25">
      <c r="A92" s="4"/>
      <c r="B92" s="23"/>
      <c r="C92" s="4"/>
      <c r="D92" s="4"/>
      <c r="E92" s="5"/>
      <c r="F92" s="4"/>
      <c r="G92" s="4"/>
      <c r="H92" s="4"/>
      <c r="I92" s="4"/>
      <c r="J92" s="4"/>
      <c r="K92" s="4"/>
      <c r="L92" s="4"/>
      <c r="M92" s="4"/>
      <c r="N92" s="4"/>
      <c r="O92" s="4"/>
      <c r="P92" s="4"/>
      <c r="Q92" s="4"/>
      <c r="R92" s="4"/>
    </row>
    <row r="93" spans="1:18" ht="17.399999999999999" x14ac:dyDescent="0.25">
      <c r="A93" s="4"/>
      <c r="B93" s="23"/>
      <c r="C93" s="4"/>
      <c r="D93" s="4"/>
      <c r="E93" s="5"/>
      <c r="F93" s="4"/>
      <c r="G93" s="4"/>
      <c r="H93" s="4"/>
      <c r="I93" s="4"/>
      <c r="J93" s="4"/>
      <c r="K93" s="4"/>
      <c r="L93" s="4"/>
      <c r="M93" s="4"/>
      <c r="N93" s="4"/>
      <c r="O93" s="4"/>
      <c r="P93" s="4"/>
      <c r="Q93" s="4"/>
      <c r="R93" s="4"/>
    </row>
    <row r="94" spans="1:18" ht="17.399999999999999" x14ac:dyDescent="0.25">
      <c r="A94" s="4"/>
      <c r="B94" s="23"/>
      <c r="C94" s="4"/>
      <c r="D94" s="4"/>
      <c r="E94" s="5"/>
      <c r="F94" s="4"/>
      <c r="G94" s="4"/>
      <c r="H94" s="4"/>
      <c r="I94" s="4"/>
      <c r="J94" s="4"/>
      <c r="K94" s="4"/>
      <c r="L94" s="4"/>
      <c r="M94" s="4"/>
      <c r="N94" s="4"/>
      <c r="O94" s="4"/>
      <c r="P94" s="4"/>
      <c r="Q94" s="4"/>
      <c r="R94" s="4"/>
    </row>
    <row r="95" spans="1:18" ht="17.399999999999999" x14ac:dyDescent="0.25">
      <c r="A95" s="4"/>
      <c r="B95" s="23"/>
      <c r="C95" s="4"/>
      <c r="D95" s="4"/>
      <c r="E95" s="5"/>
      <c r="F95" s="4"/>
      <c r="G95" s="4"/>
      <c r="H95" s="4"/>
      <c r="I95" s="4"/>
      <c r="J95" s="4"/>
      <c r="K95" s="4"/>
      <c r="L95" s="4"/>
      <c r="M95" s="4"/>
      <c r="N95" s="4"/>
      <c r="O95" s="4"/>
      <c r="P95" s="4"/>
      <c r="Q95" s="4"/>
      <c r="R95" s="4"/>
    </row>
    <row r="96" spans="1:18" ht="17.399999999999999" x14ac:dyDescent="0.25">
      <c r="A96" s="4"/>
      <c r="B96" s="23"/>
      <c r="C96" s="4"/>
      <c r="D96" s="4"/>
      <c r="E96" s="5"/>
      <c r="F96" s="4"/>
      <c r="G96" s="4"/>
      <c r="H96" s="4"/>
      <c r="I96" s="4"/>
      <c r="J96" s="4"/>
      <c r="K96" s="4"/>
      <c r="L96" s="4"/>
      <c r="M96" s="4"/>
      <c r="N96" s="4"/>
      <c r="O96" s="4"/>
      <c r="P96" s="4"/>
      <c r="Q96" s="4"/>
      <c r="R96" s="4"/>
    </row>
    <row r="97" spans="1:18" ht="17.399999999999999" x14ac:dyDescent="0.25">
      <c r="A97" s="4"/>
      <c r="B97" s="23"/>
      <c r="C97" s="4"/>
      <c r="D97" s="4"/>
      <c r="E97" s="5"/>
      <c r="F97" s="4"/>
      <c r="G97" s="4"/>
      <c r="H97" s="4"/>
      <c r="I97" s="4"/>
      <c r="J97" s="4"/>
      <c r="K97" s="4"/>
      <c r="L97" s="4"/>
      <c r="M97" s="4"/>
      <c r="N97" s="4"/>
      <c r="O97" s="4"/>
      <c r="P97" s="4"/>
      <c r="Q97" s="4"/>
      <c r="R97" s="4"/>
    </row>
    <row r="98" spans="1:18" ht="17.399999999999999" x14ac:dyDescent="0.25">
      <c r="A98" s="4"/>
      <c r="B98" s="23"/>
      <c r="C98" s="4"/>
      <c r="D98" s="4"/>
      <c r="E98" s="5"/>
      <c r="F98" s="4"/>
      <c r="G98" s="4"/>
      <c r="H98" s="4"/>
      <c r="I98" s="4"/>
      <c r="J98" s="4"/>
      <c r="K98" s="4"/>
      <c r="L98" s="4"/>
      <c r="M98" s="4"/>
      <c r="N98" s="4"/>
      <c r="O98" s="4"/>
      <c r="P98" s="4"/>
      <c r="Q98" s="4"/>
      <c r="R98" s="4"/>
    </row>
    <row r="99" spans="1:18" ht="17.399999999999999" x14ac:dyDescent="0.25">
      <c r="A99" s="4"/>
      <c r="B99" s="23"/>
      <c r="C99" s="4"/>
      <c r="D99" s="4"/>
      <c r="E99" s="5"/>
      <c r="F99" s="4"/>
      <c r="G99" s="4"/>
      <c r="H99" s="4"/>
      <c r="I99" s="4"/>
      <c r="J99" s="4"/>
      <c r="K99" s="4"/>
      <c r="L99" s="4"/>
      <c r="M99" s="4"/>
      <c r="N99" s="4"/>
      <c r="O99" s="4"/>
      <c r="P99" s="4"/>
      <c r="Q99" s="4"/>
      <c r="R99" s="4"/>
    </row>
    <row r="100" spans="1:18" ht="17.399999999999999" x14ac:dyDescent="0.25">
      <c r="A100" s="4"/>
      <c r="B100" s="23"/>
      <c r="C100" s="4"/>
      <c r="D100" s="4"/>
      <c r="E100" s="5"/>
      <c r="F100" s="4"/>
      <c r="G100" s="4"/>
      <c r="H100" s="4"/>
      <c r="I100" s="4"/>
      <c r="J100" s="4"/>
      <c r="K100" s="4"/>
      <c r="L100" s="4"/>
      <c r="M100" s="4"/>
      <c r="N100" s="4"/>
      <c r="O100" s="4"/>
      <c r="P100" s="4"/>
      <c r="Q100" s="4"/>
      <c r="R100" s="4"/>
    </row>
    <row r="101" spans="1:18" ht="17.399999999999999" x14ac:dyDescent="0.25">
      <c r="A101" s="4"/>
      <c r="B101" s="23"/>
      <c r="C101" s="4"/>
      <c r="D101" s="4"/>
      <c r="E101" s="5"/>
      <c r="F101" s="4"/>
      <c r="G101" s="4"/>
      <c r="H101" s="4"/>
      <c r="I101" s="4"/>
      <c r="J101" s="4"/>
      <c r="K101" s="4"/>
      <c r="L101" s="4"/>
      <c r="M101" s="4"/>
      <c r="N101" s="4"/>
      <c r="O101" s="4"/>
      <c r="P101" s="4"/>
      <c r="Q101" s="4"/>
      <c r="R101" s="4"/>
    </row>
    <row r="102" spans="1:18" ht="17.399999999999999" x14ac:dyDescent="0.25">
      <c r="A102" s="4"/>
      <c r="B102" s="23"/>
      <c r="C102" s="4"/>
      <c r="D102" s="4"/>
      <c r="E102" s="5"/>
      <c r="F102" s="4"/>
      <c r="G102" s="4"/>
      <c r="H102" s="4"/>
      <c r="I102" s="4"/>
      <c r="J102" s="4"/>
      <c r="K102" s="4"/>
      <c r="L102" s="4"/>
      <c r="M102" s="4"/>
      <c r="N102" s="4"/>
      <c r="O102" s="4"/>
      <c r="P102" s="4"/>
      <c r="Q102" s="4"/>
      <c r="R102" s="4"/>
    </row>
    <row r="103" spans="1:18" ht="17.399999999999999" x14ac:dyDescent="0.25">
      <c r="A103" s="4"/>
      <c r="B103" s="23"/>
      <c r="C103" s="4"/>
      <c r="D103" s="4"/>
      <c r="E103" s="5"/>
      <c r="F103" s="4"/>
      <c r="G103" s="4"/>
      <c r="H103" s="4"/>
      <c r="I103" s="4"/>
      <c r="J103" s="4"/>
      <c r="K103" s="4"/>
      <c r="L103" s="4"/>
      <c r="M103" s="4"/>
      <c r="N103" s="4"/>
      <c r="O103" s="4"/>
      <c r="P103" s="4"/>
      <c r="Q103" s="4"/>
      <c r="R103" s="4"/>
    </row>
    <row r="104" spans="1:18" ht="17.399999999999999" x14ac:dyDescent="0.25">
      <c r="A104" s="4"/>
      <c r="B104" s="23"/>
      <c r="C104" s="4"/>
      <c r="D104" s="4"/>
      <c r="E104" s="5"/>
      <c r="F104" s="4"/>
      <c r="G104" s="4"/>
      <c r="H104" s="4"/>
      <c r="I104" s="4"/>
      <c r="J104" s="4"/>
      <c r="K104" s="4"/>
      <c r="L104" s="4"/>
      <c r="M104" s="4"/>
      <c r="N104" s="4"/>
      <c r="O104" s="4"/>
      <c r="P104" s="4"/>
      <c r="Q104" s="4"/>
      <c r="R104" s="4"/>
    </row>
    <row r="105" spans="1:18" ht="17.399999999999999" x14ac:dyDescent="0.25">
      <c r="A105" s="4"/>
      <c r="B105" s="23"/>
      <c r="C105" s="4"/>
      <c r="D105" s="4"/>
      <c r="E105" s="5"/>
      <c r="F105" s="4"/>
      <c r="G105" s="4"/>
      <c r="H105" s="4"/>
      <c r="I105" s="4"/>
      <c r="J105" s="4"/>
      <c r="K105" s="4"/>
      <c r="L105" s="4"/>
      <c r="M105" s="4"/>
      <c r="N105" s="4"/>
      <c r="O105" s="4"/>
      <c r="P105" s="4"/>
      <c r="Q105" s="4"/>
      <c r="R105" s="4"/>
    </row>
    <row r="106" spans="1:18" ht="17.399999999999999" x14ac:dyDescent="0.25">
      <c r="A106" s="4"/>
      <c r="B106" s="23"/>
      <c r="C106" s="4"/>
      <c r="D106" s="4"/>
      <c r="E106" s="5"/>
      <c r="F106" s="4"/>
      <c r="G106" s="4"/>
      <c r="H106" s="4"/>
      <c r="I106" s="4"/>
      <c r="J106" s="4"/>
      <c r="K106" s="4"/>
      <c r="L106" s="4"/>
      <c r="M106" s="4"/>
      <c r="N106" s="4"/>
      <c r="O106" s="4"/>
      <c r="P106" s="4"/>
      <c r="Q106" s="4"/>
      <c r="R106" s="4"/>
    </row>
    <row r="107" spans="1:18" ht="17.399999999999999" x14ac:dyDescent="0.25">
      <c r="A107" s="4"/>
      <c r="B107" s="23"/>
      <c r="C107" s="4"/>
      <c r="D107" s="4"/>
      <c r="E107" s="5"/>
      <c r="F107" s="4"/>
      <c r="G107" s="4"/>
      <c r="H107" s="4"/>
      <c r="I107" s="4"/>
      <c r="J107" s="4"/>
      <c r="K107" s="4"/>
      <c r="L107" s="4"/>
      <c r="M107" s="4"/>
      <c r="N107" s="4"/>
      <c r="O107" s="4"/>
      <c r="P107" s="4"/>
      <c r="Q107" s="4"/>
      <c r="R107" s="4"/>
    </row>
    <row r="108" spans="1:18" ht="17.399999999999999" x14ac:dyDescent="0.25">
      <c r="A108" s="4"/>
      <c r="B108" s="23"/>
      <c r="C108" s="4"/>
      <c r="D108" s="4"/>
      <c r="E108" s="5"/>
      <c r="F108" s="4"/>
      <c r="G108" s="4"/>
      <c r="H108" s="4"/>
      <c r="I108" s="4"/>
      <c r="J108" s="4"/>
      <c r="K108" s="4"/>
      <c r="L108" s="4"/>
      <c r="M108" s="4"/>
      <c r="N108" s="4"/>
      <c r="O108" s="4"/>
      <c r="P108" s="4"/>
      <c r="Q108" s="4"/>
      <c r="R108" s="4"/>
    </row>
    <row r="109" spans="1:18" ht="17.399999999999999" x14ac:dyDescent="0.25">
      <c r="A109" s="4"/>
      <c r="B109" s="23"/>
      <c r="C109" s="4"/>
      <c r="D109" s="4"/>
      <c r="E109" s="5"/>
      <c r="F109" s="4"/>
      <c r="G109" s="4"/>
      <c r="H109" s="4"/>
      <c r="I109" s="4"/>
      <c r="J109" s="4"/>
      <c r="K109" s="4"/>
      <c r="L109" s="4"/>
      <c r="M109" s="4"/>
      <c r="N109" s="4"/>
      <c r="O109" s="4"/>
      <c r="P109" s="4"/>
      <c r="Q109" s="4"/>
      <c r="R109" s="4"/>
    </row>
    <row r="110" spans="1:18" ht="17.399999999999999" x14ac:dyDescent="0.25">
      <c r="A110" s="4"/>
      <c r="B110" s="23"/>
      <c r="C110" s="4"/>
      <c r="D110" s="4"/>
      <c r="E110" s="5"/>
      <c r="F110" s="4"/>
      <c r="G110" s="4"/>
      <c r="H110" s="4"/>
      <c r="I110" s="4"/>
      <c r="J110" s="4"/>
      <c r="K110" s="4"/>
      <c r="L110" s="4"/>
      <c r="M110" s="4"/>
      <c r="N110" s="4"/>
      <c r="O110" s="4"/>
      <c r="P110" s="4"/>
      <c r="Q110" s="4"/>
      <c r="R110" s="4"/>
    </row>
    <row r="111" spans="1:18" ht="17.399999999999999" x14ac:dyDescent="0.25">
      <c r="A111" s="4"/>
      <c r="B111" s="23"/>
      <c r="C111" s="4"/>
      <c r="D111" s="4"/>
      <c r="E111" s="5"/>
      <c r="F111" s="4"/>
      <c r="G111" s="4"/>
      <c r="H111" s="4"/>
      <c r="I111" s="4"/>
      <c r="J111" s="4"/>
      <c r="K111" s="4"/>
      <c r="L111" s="4"/>
      <c r="M111" s="4"/>
      <c r="N111" s="4"/>
      <c r="O111" s="4"/>
      <c r="P111" s="4"/>
      <c r="Q111" s="4"/>
      <c r="R111" s="4"/>
    </row>
    <row r="112" spans="1:18" ht="17.399999999999999" x14ac:dyDescent="0.25">
      <c r="A112" s="4"/>
      <c r="B112" s="23"/>
      <c r="C112" s="4"/>
      <c r="D112" s="4"/>
      <c r="E112" s="5"/>
      <c r="F112" s="4"/>
      <c r="G112" s="4"/>
      <c r="H112" s="4"/>
      <c r="I112" s="4"/>
      <c r="J112" s="4"/>
      <c r="K112" s="4"/>
      <c r="L112" s="4"/>
      <c r="M112" s="4"/>
      <c r="N112" s="4"/>
      <c r="O112" s="4"/>
      <c r="P112" s="4"/>
      <c r="Q112" s="4"/>
      <c r="R112" s="4"/>
    </row>
    <row r="113" spans="1:18" ht="17.399999999999999" x14ac:dyDescent="0.25">
      <c r="A113" s="4"/>
      <c r="B113" s="23"/>
      <c r="C113" s="4"/>
      <c r="D113" s="4"/>
      <c r="E113" s="5"/>
      <c r="F113" s="4"/>
      <c r="G113" s="4"/>
      <c r="H113" s="4"/>
      <c r="I113" s="4"/>
      <c r="J113" s="4"/>
      <c r="K113" s="4"/>
      <c r="L113" s="4"/>
      <c r="M113" s="4"/>
      <c r="N113" s="4"/>
      <c r="O113" s="4"/>
      <c r="P113" s="4"/>
      <c r="Q113" s="4"/>
      <c r="R113" s="4"/>
    </row>
    <row r="114" spans="1:18" ht="17.399999999999999" x14ac:dyDescent="0.25">
      <c r="A114" s="4"/>
      <c r="B114" s="23"/>
      <c r="C114" s="4"/>
      <c r="D114" s="4"/>
      <c r="E114" s="5"/>
      <c r="F114" s="4"/>
      <c r="G114" s="4"/>
      <c r="H114" s="4"/>
      <c r="I114" s="4"/>
      <c r="J114" s="4"/>
      <c r="K114" s="4"/>
      <c r="L114" s="4"/>
      <c r="M114" s="4"/>
      <c r="N114" s="4"/>
      <c r="O114" s="4"/>
      <c r="P114" s="4"/>
      <c r="Q114" s="4"/>
      <c r="R114" s="4"/>
    </row>
    <row r="115" spans="1:18" ht="17.399999999999999" x14ac:dyDescent="0.25">
      <c r="A115" s="4"/>
      <c r="B115" s="23"/>
      <c r="C115" s="4"/>
      <c r="D115" s="4"/>
      <c r="E115" s="5"/>
      <c r="F115" s="4"/>
      <c r="G115" s="4"/>
      <c r="H115" s="4"/>
      <c r="I115" s="4"/>
      <c r="J115" s="4"/>
      <c r="K115" s="4"/>
      <c r="L115" s="4"/>
      <c r="M115" s="4"/>
      <c r="N115" s="4"/>
      <c r="O115" s="4"/>
      <c r="P115" s="4"/>
      <c r="Q115" s="4"/>
      <c r="R115" s="4"/>
    </row>
    <row r="116" spans="1:18" ht="17.399999999999999" x14ac:dyDescent="0.25">
      <c r="A116" s="4"/>
      <c r="B116" s="23"/>
      <c r="C116" s="4"/>
      <c r="D116" s="4"/>
      <c r="E116" s="5"/>
      <c r="F116" s="4"/>
      <c r="G116" s="4"/>
      <c r="H116" s="4"/>
      <c r="I116" s="4"/>
      <c r="J116" s="4"/>
      <c r="K116" s="4"/>
      <c r="L116" s="4"/>
      <c r="M116" s="4"/>
      <c r="N116" s="4"/>
      <c r="O116" s="4"/>
      <c r="P116" s="4"/>
      <c r="Q116" s="4"/>
      <c r="R116" s="4"/>
    </row>
    <row r="117" spans="1:18" ht="17.399999999999999" x14ac:dyDescent="0.25">
      <c r="A117" s="4"/>
      <c r="B117" s="23"/>
      <c r="C117" s="4"/>
      <c r="D117" s="4"/>
      <c r="E117" s="5"/>
      <c r="F117" s="4"/>
      <c r="G117" s="4"/>
      <c r="H117" s="4"/>
      <c r="I117" s="4"/>
      <c r="J117" s="4"/>
      <c r="K117" s="4"/>
      <c r="L117" s="4"/>
      <c r="M117" s="4"/>
      <c r="N117" s="4"/>
      <c r="O117" s="4"/>
      <c r="P117" s="4"/>
      <c r="Q117" s="4"/>
      <c r="R117" s="4"/>
    </row>
    <row r="118" spans="1:18" ht="17.399999999999999" x14ac:dyDescent="0.25">
      <c r="A118" s="4"/>
      <c r="B118" s="23"/>
      <c r="C118" s="4"/>
      <c r="D118" s="4"/>
      <c r="E118" s="5"/>
      <c r="F118" s="4"/>
      <c r="G118" s="4"/>
      <c r="H118" s="4"/>
      <c r="I118" s="4"/>
      <c r="J118" s="4"/>
      <c r="K118" s="4"/>
      <c r="L118" s="4"/>
      <c r="M118" s="4"/>
      <c r="N118" s="4"/>
      <c r="O118" s="4"/>
      <c r="P118" s="4"/>
      <c r="Q118" s="4"/>
      <c r="R118" s="4"/>
    </row>
    <row r="119" spans="1:18" ht="17.399999999999999" x14ac:dyDescent="0.25">
      <c r="A119" s="4"/>
      <c r="B119" s="23"/>
      <c r="C119" s="4"/>
      <c r="D119" s="4"/>
      <c r="E119" s="5"/>
      <c r="F119" s="4"/>
      <c r="G119" s="4"/>
      <c r="H119" s="4"/>
      <c r="I119" s="4"/>
      <c r="J119" s="4"/>
      <c r="K119" s="4"/>
      <c r="L119" s="4"/>
      <c r="M119" s="4"/>
      <c r="N119" s="4"/>
      <c r="O119" s="4"/>
      <c r="P119" s="4"/>
      <c r="Q119" s="4"/>
      <c r="R119" s="4"/>
    </row>
    <row r="120" spans="1:18" ht="17.399999999999999" x14ac:dyDescent="0.25">
      <c r="A120" s="4"/>
      <c r="B120" s="23"/>
      <c r="C120" s="4"/>
      <c r="D120" s="4"/>
      <c r="E120" s="5"/>
      <c r="F120" s="4"/>
      <c r="G120" s="4"/>
      <c r="H120" s="4"/>
      <c r="I120" s="4"/>
      <c r="J120" s="4"/>
      <c r="K120" s="4"/>
      <c r="L120" s="4"/>
      <c r="M120" s="4"/>
      <c r="N120" s="4"/>
      <c r="O120" s="4"/>
      <c r="P120" s="4"/>
      <c r="Q120" s="4"/>
      <c r="R120" s="4"/>
    </row>
    <row r="121" spans="1:18" ht="17.399999999999999" x14ac:dyDescent="0.25">
      <c r="A121" s="4"/>
      <c r="B121" s="23"/>
      <c r="C121" s="4"/>
      <c r="D121" s="4"/>
      <c r="E121" s="5"/>
      <c r="F121" s="4"/>
      <c r="G121" s="4"/>
      <c r="H121" s="4"/>
      <c r="I121" s="4"/>
      <c r="J121" s="4"/>
      <c r="K121" s="4"/>
      <c r="L121" s="4"/>
      <c r="M121" s="4"/>
      <c r="N121" s="4"/>
      <c r="O121" s="4"/>
      <c r="P121" s="4"/>
      <c r="Q121" s="4"/>
      <c r="R121" s="4"/>
    </row>
    <row r="122" spans="1:18" ht="17.399999999999999" x14ac:dyDescent="0.25">
      <c r="A122" s="4"/>
      <c r="B122" s="23"/>
      <c r="C122" s="4"/>
      <c r="D122" s="4"/>
      <c r="E122" s="5"/>
      <c r="F122" s="4"/>
      <c r="G122" s="4"/>
      <c r="H122" s="4"/>
      <c r="I122" s="4"/>
      <c r="J122" s="4"/>
      <c r="K122" s="4"/>
      <c r="L122" s="4"/>
      <c r="M122" s="4"/>
      <c r="N122" s="4"/>
      <c r="O122" s="4"/>
      <c r="P122" s="4"/>
      <c r="Q122" s="4"/>
      <c r="R122" s="4"/>
    </row>
    <row r="123" spans="1:18" ht="17.399999999999999" x14ac:dyDescent="0.25">
      <c r="A123" s="4"/>
      <c r="B123" s="23"/>
      <c r="C123" s="4"/>
      <c r="D123" s="4"/>
      <c r="E123" s="5"/>
      <c r="F123" s="4"/>
      <c r="G123" s="4"/>
      <c r="H123" s="4"/>
      <c r="I123" s="4"/>
      <c r="J123" s="4"/>
      <c r="K123" s="4"/>
      <c r="L123" s="4"/>
      <c r="M123" s="4"/>
      <c r="N123" s="4"/>
      <c r="O123" s="4"/>
      <c r="P123" s="4"/>
      <c r="Q123" s="4"/>
      <c r="R123" s="4"/>
    </row>
    <row r="124" spans="1:18" ht="17.399999999999999" x14ac:dyDescent="0.25">
      <c r="A124" s="4"/>
      <c r="B124" s="23"/>
      <c r="C124" s="4"/>
      <c r="D124" s="4"/>
      <c r="E124" s="5"/>
      <c r="F124" s="4"/>
      <c r="G124" s="4"/>
      <c r="H124" s="4"/>
      <c r="I124" s="4"/>
      <c r="J124" s="4"/>
      <c r="K124" s="4"/>
      <c r="L124" s="4"/>
      <c r="M124" s="4"/>
      <c r="N124" s="4"/>
      <c r="O124" s="4"/>
      <c r="P124" s="4"/>
      <c r="Q124" s="4"/>
      <c r="R124" s="4"/>
    </row>
    <row r="125" spans="1:18" ht="17.399999999999999" x14ac:dyDescent="0.25">
      <c r="A125" s="4"/>
      <c r="B125" s="23"/>
      <c r="C125" s="4"/>
      <c r="D125" s="4"/>
      <c r="E125" s="5"/>
      <c r="F125" s="4"/>
      <c r="G125" s="4"/>
      <c r="H125" s="4"/>
      <c r="I125" s="4"/>
      <c r="J125" s="4"/>
      <c r="K125" s="4"/>
      <c r="L125" s="4"/>
      <c r="M125" s="4"/>
      <c r="N125" s="4"/>
      <c r="O125" s="4"/>
      <c r="P125" s="4"/>
      <c r="Q125" s="4"/>
      <c r="R125" s="4"/>
    </row>
    <row r="126" spans="1:18" ht="17.399999999999999" x14ac:dyDescent="0.25">
      <c r="A126" s="4"/>
      <c r="B126" s="23"/>
      <c r="C126" s="4"/>
      <c r="D126" s="4"/>
      <c r="E126" s="5"/>
      <c r="F126" s="4"/>
      <c r="G126" s="4"/>
      <c r="H126" s="4"/>
      <c r="I126" s="4"/>
      <c r="J126" s="4"/>
      <c r="K126" s="4"/>
      <c r="L126" s="4"/>
      <c r="M126" s="4"/>
      <c r="N126" s="4"/>
      <c r="O126" s="4"/>
      <c r="P126" s="4"/>
      <c r="Q126" s="4"/>
      <c r="R126" s="4"/>
    </row>
    <row r="127" spans="1:18" ht="17.399999999999999" x14ac:dyDescent="0.25">
      <c r="A127" s="4"/>
      <c r="B127" s="23"/>
      <c r="C127" s="4"/>
      <c r="D127" s="4"/>
      <c r="E127" s="5"/>
      <c r="F127" s="4"/>
      <c r="G127" s="4"/>
      <c r="H127" s="4"/>
      <c r="I127" s="4"/>
      <c r="J127" s="4"/>
      <c r="K127" s="4"/>
      <c r="L127" s="4"/>
      <c r="M127" s="4"/>
      <c r="N127" s="4"/>
      <c r="O127" s="4"/>
      <c r="P127" s="4"/>
      <c r="Q127" s="4"/>
      <c r="R127" s="4"/>
    </row>
    <row r="128" spans="1:18" ht="17.399999999999999" x14ac:dyDescent="0.25">
      <c r="A128" s="4"/>
      <c r="B128" s="23"/>
      <c r="C128" s="4"/>
      <c r="D128" s="4"/>
      <c r="E128" s="5"/>
      <c r="F128" s="4"/>
      <c r="G128" s="4"/>
      <c r="H128" s="4"/>
      <c r="I128" s="4"/>
      <c r="J128" s="4"/>
      <c r="K128" s="4"/>
      <c r="L128" s="4"/>
      <c r="M128" s="4"/>
      <c r="N128" s="4"/>
      <c r="O128" s="4"/>
      <c r="P128" s="4"/>
      <c r="Q128" s="4"/>
      <c r="R128" s="4"/>
    </row>
    <row r="129" spans="1:18" ht="17.399999999999999" x14ac:dyDescent="0.25">
      <c r="A129" s="4"/>
      <c r="B129" s="23"/>
      <c r="C129" s="4"/>
      <c r="D129" s="4"/>
      <c r="E129" s="5"/>
      <c r="F129" s="4"/>
      <c r="G129" s="4"/>
      <c r="H129" s="4"/>
      <c r="I129" s="4"/>
      <c r="J129" s="4"/>
      <c r="K129" s="4"/>
      <c r="L129" s="4"/>
      <c r="M129" s="4"/>
      <c r="N129" s="4"/>
      <c r="O129" s="4"/>
      <c r="P129" s="4"/>
      <c r="Q129" s="4"/>
      <c r="R129" s="4"/>
    </row>
    <row r="130" spans="1:18" ht="17.399999999999999" x14ac:dyDescent="0.25">
      <c r="A130" s="4"/>
      <c r="B130" s="23"/>
      <c r="C130" s="4"/>
      <c r="D130" s="4"/>
      <c r="E130" s="5"/>
      <c r="F130" s="4"/>
      <c r="G130" s="4"/>
      <c r="H130" s="4"/>
      <c r="I130" s="4"/>
      <c r="J130" s="4"/>
      <c r="K130" s="4"/>
      <c r="L130" s="4"/>
      <c r="M130" s="4"/>
      <c r="N130" s="4"/>
      <c r="O130" s="4"/>
      <c r="P130" s="4"/>
      <c r="Q130" s="4"/>
      <c r="R130" s="4"/>
    </row>
    <row r="131" spans="1:18" ht="17.399999999999999" x14ac:dyDescent="0.25">
      <c r="A131" s="4"/>
      <c r="B131" s="23"/>
      <c r="C131" s="4"/>
      <c r="D131" s="4"/>
      <c r="E131" s="5"/>
      <c r="F131" s="4"/>
      <c r="G131" s="4"/>
      <c r="H131" s="4"/>
      <c r="I131" s="4"/>
      <c r="J131" s="4"/>
      <c r="K131" s="4"/>
      <c r="L131" s="4"/>
      <c r="M131" s="4"/>
      <c r="N131" s="4"/>
      <c r="O131" s="4"/>
      <c r="P131" s="4"/>
      <c r="Q131" s="4"/>
      <c r="R131" s="4"/>
    </row>
    <row r="132" spans="1:18" ht="17.399999999999999" x14ac:dyDescent="0.25">
      <c r="A132" s="4"/>
      <c r="B132" s="23"/>
      <c r="C132" s="4"/>
      <c r="D132" s="4"/>
      <c r="E132" s="5"/>
      <c r="F132" s="4"/>
      <c r="G132" s="4"/>
      <c r="H132" s="4"/>
      <c r="I132" s="4"/>
      <c r="J132" s="4"/>
      <c r="K132" s="4"/>
      <c r="L132" s="4"/>
      <c r="M132" s="4"/>
      <c r="N132" s="4"/>
      <c r="O132" s="4"/>
      <c r="P132" s="4"/>
      <c r="Q132" s="4"/>
      <c r="R132" s="4"/>
    </row>
    <row r="133" spans="1:18" ht="17.399999999999999" x14ac:dyDescent="0.25">
      <c r="A133" s="4"/>
      <c r="B133" s="23"/>
      <c r="C133" s="4"/>
      <c r="D133" s="4"/>
      <c r="E133" s="5"/>
      <c r="F133" s="4"/>
      <c r="G133" s="4"/>
      <c r="H133" s="4"/>
      <c r="I133" s="4"/>
      <c r="J133" s="4"/>
      <c r="K133" s="4"/>
      <c r="L133" s="4"/>
      <c r="M133" s="4"/>
      <c r="N133" s="4"/>
      <c r="O133" s="4"/>
      <c r="P133" s="4"/>
      <c r="Q133" s="4"/>
      <c r="R133" s="4"/>
    </row>
    <row r="134" spans="1:18" ht="17.399999999999999" x14ac:dyDescent="0.25">
      <c r="A134" s="4"/>
      <c r="B134" s="23"/>
      <c r="C134" s="4"/>
      <c r="D134" s="4"/>
      <c r="E134" s="5"/>
      <c r="F134" s="4"/>
      <c r="G134" s="4"/>
      <c r="H134" s="4"/>
      <c r="I134" s="4"/>
      <c r="J134" s="4"/>
      <c r="K134" s="4"/>
      <c r="L134" s="4"/>
      <c r="M134" s="4"/>
      <c r="N134" s="4"/>
      <c r="O134" s="4"/>
      <c r="P134" s="4"/>
      <c r="Q134" s="4"/>
      <c r="R134" s="4"/>
    </row>
    <row r="135" spans="1:18" ht="17.399999999999999" x14ac:dyDescent="0.25">
      <c r="A135" s="4"/>
      <c r="B135" s="23"/>
      <c r="C135" s="4"/>
      <c r="D135" s="4"/>
      <c r="E135" s="5"/>
      <c r="F135" s="4"/>
      <c r="G135" s="4"/>
      <c r="H135" s="4"/>
      <c r="I135" s="4"/>
      <c r="J135" s="4"/>
      <c r="K135" s="4"/>
      <c r="L135" s="4"/>
      <c r="M135" s="4"/>
      <c r="N135" s="4"/>
      <c r="O135" s="4"/>
      <c r="P135" s="4"/>
      <c r="Q135" s="4"/>
      <c r="R135" s="4"/>
    </row>
    <row r="136" spans="1:18" ht="17.399999999999999" x14ac:dyDescent="0.25">
      <c r="A136" s="4"/>
      <c r="B136" s="23"/>
      <c r="C136" s="4"/>
      <c r="D136" s="4"/>
      <c r="E136" s="5"/>
      <c r="F136" s="4"/>
      <c r="G136" s="4"/>
      <c r="H136" s="4"/>
      <c r="I136" s="4"/>
      <c r="J136" s="4"/>
      <c r="K136" s="4"/>
      <c r="L136" s="4"/>
      <c r="M136" s="4"/>
      <c r="N136" s="4"/>
      <c r="O136" s="4"/>
      <c r="P136" s="4"/>
      <c r="Q136" s="4"/>
      <c r="R136" s="4"/>
    </row>
    <row r="137" spans="1:18" ht="17.399999999999999" x14ac:dyDescent="0.25">
      <c r="A137" s="4"/>
      <c r="B137" s="23"/>
      <c r="C137" s="4"/>
      <c r="D137" s="4"/>
      <c r="E137" s="5"/>
      <c r="F137" s="4"/>
      <c r="G137" s="4"/>
      <c r="H137" s="4"/>
      <c r="I137" s="4"/>
      <c r="J137" s="4"/>
      <c r="K137" s="4"/>
      <c r="L137" s="4"/>
      <c r="M137" s="4"/>
      <c r="N137" s="4"/>
      <c r="O137" s="4"/>
      <c r="P137" s="4"/>
      <c r="Q137" s="4"/>
      <c r="R137" s="4"/>
    </row>
    <row r="138" spans="1:18" ht="17.399999999999999" x14ac:dyDescent="0.25">
      <c r="A138" s="4"/>
      <c r="B138" s="23"/>
      <c r="C138" s="4"/>
      <c r="D138" s="4"/>
      <c r="E138" s="5"/>
      <c r="F138" s="4"/>
      <c r="G138" s="4"/>
      <c r="H138" s="4"/>
      <c r="I138" s="4"/>
      <c r="J138" s="4"/>
      <c r="K138" s="4"/>
      <c r="L138" s="4"/>
      <c r="M138" s="4"/>
      <c r="N138" s="4"/>
      <c r="O138" s="4"/>
      <c r="P138" s="4"/>
      <c r="Q138" s="4"/>
      <c r="R138" s="4"/>
    </row>
    <row r="139" spans="1:18" ht="17.399999999999999" x14ac:dyDescent="0.25">
      <c r="A139" s="4"/>
      <c r="B139" s="23"/>
      <c r="C139" s="4"/>
      <c r="D139" s="4"/>
      <c r="E139" s="5"/>
      <c r="F139" s="4"/>
      <c r="G139" s="4"/>
      <c r="H139" s="4"/>
      <c r="I139" s="4"/>
      <c r="J139" s="4"/>
      <c r="K139" s="4"/>
      <c r="L139" s="4"/>
      <c r="M139" s="4"/>
      <c r="N139" s="4"/>
      <c r="O139" s="4"/>
      <c r="P139" s="4"/>
      <c r="Q139" s="4"/>
      <c r="R139" s="4"/>
    </row>
    <row r="140" spans="1:18" ht="17.399999999999999" x14ac:dyDescent="0.25">
      <c r="A140" s="4"/>
      <c r="B140" s="23"/>
      <c r="C140" s="4"/>
      <c r="D140" s="4"/>
      <c r="E140" s="5"/>
      <c r="F140" s="4"/>
      <c r="G140" s="4"/>
      <c r="H140" s="4"/>
      <c r="I140" s="4"/>
      <c r="J140" s="4"/>
      <c r="K140" s="4"/>
      <c r="L140" s="4"/>
      <c r="M140" s="4"/>
      <c r="N140" s="4"/>
      <c r="O140" s="4"/>
      <c r="P140" s="4"/>
      <c r="Q140" s="4"/>
      <c r="R140" s="4"/>
    </row>
    <row r="141" spans="1:18" ht="17.399999999999999" x14ac:dyDescent="0.25">
      <c r="A141" s="4"/>
      <c r="B141" s="23"/>
      <c r="C141" s="4"/>
      <c r="D141" s="4"/>
      <c r="E141" s="5"/>
      <c r="F141" s="4"/>
      <c r="G141" s="4"/>
      <c r="H141" s="4"/>
      <c r="I141" s="4"/>
      <c r="J141" s="4"/>
      <c r="K141" s="4"/>
      <c r="L141" s="4"/>
      <c r="M141" s="4"/>
      <c r="N141" s="4"/>
      <c r="O141" s="4"/>
      <c r="P141" s="4"/>
      <c r="Q141" s="4"/>
      <c r="R141" s="4"/>
    </row>
    <row r="142" spans="1:18" ht="17.399999999999999" x14ac:dyDescent="0.25">
      <c r="A142" s="4"/>
      <c r="B142" s="23"/>
      <c r="C142" s="4"/>
      <c r="D142" s="4"/>
      <c r="E142" s="5"/>
      <c r="F142" s="4"/>
      <c r="G142" s="4"/>
      <c r="H142" s="4"/>
      <c r="I142" s="4"/>
      <c r="J142" s="4"/>
      <c r="K142" s="4"/>
      <c r="L142" s="4"/>
      <c r="M142" s="4"/>
      <c r="N142" s="4"/>
      <c r="O142" s="4"/>
      <c r="P142" s="4"/>
      <c r="Q142" s="4"/>
      <c r="R142" s="4"/>
    </row>
    <row r="143" spans="1:18" ht="17.399999999999999" x14ac:dyDescent="0.25">
      <c r="A143" s="4"/>
      <c r="B143" s="23"/>
      <c r="C143" s="4"/>
      <c r="D143" s="4"/>
      <c r="E143" s="5"/>
      <c r="F143" s="4"/>
      <c r="G143" s="4"/>
      <c r="H143" s="4"/>
      <c r="I143" s="4"/>
      <c r="J143" s="4"/>
      <c r="K143" s="4"/>
      <c r="L143" s="4"/>
      <c r="M143" s="4"/>
      <c r="N143" s="4"/>
      <c r="O143" s="4"/>
      <c r="P143" s="4"/>
      <c r="Q143" s="4"/>
      <c r="R143" s="4"/>
    </row>
    <row r="144" spans="1:18" ht="17.399999999999999" x14ac:dyDescent="0.25">
      <c r="A144" s="4"/>
      <c r="B144" s="23"/>
      <c r="C144" s="4"/>
      <c r="D144" s="4"/>
      <c r="E144" s="5"/>
      <c r="F144" s="4"/>
      <c r="G144" s="4"/>
      <c r="H144" s="4"/>
      <c r="I144" s="4"/>
      <c r="J144" s="4"/>
      <c r="K144" s="4"/>
      <c r="L144" s="4"/>
      <c r="M144" s="4"/>
      <c r="N144" s="4"/>
      <c r="O144" s="4"/>
      <c r="P144" s="4"/>
      <c r="Q144" s="4"/>
      <c r="R144" s="4"/>
    </row>
    <row r="145" spans="1:18" ht="17.399999999999999" x14ac:dyDescent="0.25">
      <c r="A145" s="4"/>
      <c r="B145" s="23"/>
      <c r="C145" s="4"/>
      <c r="D145" s="4"/>
      <c r="E145" s="5"/>
      <c r="F145" s="4"/>
      <c r="G145" s="4"/>
      <c r="H145" s="4"/>
      <c r="I145" s="4"/>
      <c r="J145" s="4"/>
      <c r="K145" s="4"/>
      <c r="L145" s="4"/>
      <c r="M145" s="4"/>
      <c r="N145" s="4"/>
      <c r="O145" s="4"/>
      <c r="P145" s="4"/>
      <c r="Q145" s="4"/>
      <c r="R145" s="4"/>
    </row>
    <row r="146" spans="1:18" ht="17.399999999999999" x14ac:dyDescent="0.25">
      <c r="A146" s="4"/>
      <c r="B146" s="23"/>
      <c r="C146" s="4"/>
      <c r="D146" s="4"/>
      <c r="E146" s="5"/>
      <c r="F146" s="4"/>
      <c r="G146" s="4"/>
      <c r="H146" s="4"/>
      <c r="I146" s="4"/>
      <c r="J146" s="4"/>
      <c r="K146" s="4"/>
      <c r="L146" s="4"/>
      <c r="M146" s="4"/>
      <c r="N146" s="4"/>
      <c r="O146" s="4"/>
      <c r="P146" s="4"/>
      <c r="Q146" s="4"/>
      <c r="R146" s="4"/>
    </row>
    <row r="147" spans="1:18" ht="17.399999999999999" x14ac:dyDescent="0.25">
      <c r="A147" s="4"/>
      <c r="B147" s="23"/>
      <c r="C147" s="4"/>
      <c r="D147" s="4"/>
      <c r="E147" s="5"/>
      <c r="F147" s="4"/>
      <c r="G147" s="4"/>
      <c r="H147" s="4"/>
      <c r="I147" s="4"/>
      <c r="J147" s="4"/>
      <c r="K147" s="4"/>
      <c r="L147" s="4"/>
      <c r="M147" s="4"/>
      <c r="N147" s="4"/>
      <c r="O147" s="4"/>
      <c r="P147" s="4"/>
      <c r="Q147" s="4"/>
      <c r="R147" s="4"/>
    </row>
    <row r="148" spans="1:18" ht="17.399999999999999" x14ac:dyDescent="0.25">
      <c r="A148" s="4"/>
      <c r="B148" s="23"/>
      <c r="C148" s="4"/>
      <c r="D148" s="4"/>
      <c r="E148" s="5"/>
      <c r="F148" s="4"/>
      <c r="G148" s="4"/>
      <c r="H148" s="4"/>
      <c r="I148" s="4"/>
      <c r="J148" s="4"/>
      <c r="K148" s="4"/>
      <c r="L148" s="4"/>
      <c r="M148" s="4"/>
      <c r="N148" s="4"/>
      <c r="O148" s="4"/>
      <c r="P148" s="4"/>
      <c r="Q148" s="4"/>
      <c r="R148" s="4"/>
    </row>
    <row r="149" spans="1:18" ht="17.399999999999999" x14ac:dyDescent="0.25">
      <c r="A149" s="4"/>
      <c r="B149" s="23"/>
      <c r="C149" s="4"/>
      <c r="D149" s="4"/>
      <c r="E149" s="5"/>
      <c r="F149" s="4"/>
      <c r="G149" s="4"/>
      <c r="H149" s="4"/>
      <c r="I149" s="4"/>
      <c r="J149" s="4"/>
      <c r="K149" s="4"/>
      <c r="L149" s="4"/>
      <c r="M149" s="4"/>
      <c r="N149" s="4"/>
      <c r="O149" s="4"/>
      <c r="P149" s="4"/>
      <c r="Q149" s="4"/>
      <c r="R149" s="4"/>
    </row>
    <row r="150" spans="1:18" ht="17.399999999999999" x14ac:dyDescent="0.25">
      <c r="A150" s="4"/>
      <c r="B150" s="23"/>
      <c r="C150" s="4"/>
      <c r="D150" s="4"/>
      <c r="E150" s="5"/>
      <c r="F150" s="4"/>
      <c r="G150" s="4"/>
      <c r="H150" s="4"/>
      <c r="I150" s="4"/>
      <c r="J150" s="4"/>
      <c r="K150" s="4"/>
      <c r="L150" s="4"/>
      <c r="M150" s="4"/>
      <c r="N150" s="4"/>
      <c r="O150" s="4"/>
      <c r="P150" s="4"/>
      <c r="Q150" s="4"/>
      <c r="R150" s="4"/>
    </row>
    <row r="151" spans="1:18" ht="17.399999999999999" x14ac:dyDescent="0.25">
      <c r="A151" s="4"/>
      <c r="B151" s="23"/>
      <c r="C151" s="4"/>
      <c r="D151" s="4"/>
      <c r="E151" s="5"/>
      <c r="F151" s="4"/>
      <c r="G151" s="4"/>
      <c r="H151" s="4"/>
      <c r="I151" s="4"/>
      <c r="J151" s="4"/>
      <c r="K151" s="4"/>
      <c r="L151" s="4"/>
      <c r="M151" s="4"/>
      <c r="N151" s="4"/>
      <c r="O151" s="4"/>
      <c r="P151" s="4"/>
      <c r="Q151" s="4"/>
      <c r="R151" s="4"/>
    </row>
    <row r="152" spans="1:18" ht="17.399999999999999" x14ac:dyDescent="0.25">
      <c r="A152" s="4"/>
      <c r="B152" s="23"/>
      <c r="C152" s="4"/>
      <c r="D152" s="4"/>
      <c r="E152" s="5"/>
      <c r="F152" s="4"/>
      <c r="G152" s="4"/>
      <c r="H152" s="4"/>
      <c r="I152" s="4"/>
      <c r="J152" s="4"/>
      <c r="K152" s="4"/>
      <c r="L152" s="4"/>
      <c r="M152" s="4"/>
      <c r="N152" s="4"/>
      <c r="O152" s="4"/>
      <c r="P152" s="4"/>
      <c r="Q152" s="4"/>
      <c r="R152" s="4"/>
    </row>
    <row r="153" spans="1:18" ht="17.399999999999999" x14ac:dyDescent="0.25">
      <c r="A153" s="4"/>
      <c r="B153" s="23"/>
      <c r="C153" s="4"/>
      <c r="D153" s="4"/>
      <c r="E153" s="5"/>
      <c r="F153" s="4"/>
      <c r="G153" s="4"/>
      <c r="H153" s="4"/>
      <c r="I153" s="4"/>
      <c r="J153" s="4"/>
      <c r="K153" s="4"/>
      <c r="L153" s="4"/>
      <c r="M153" s="4"/>
      <c r="N153" s="4"/>
      <c r="O153" s="4"/>
      <c r="P153" s="4"/>
      <c r="Q153" s="4"/>
      <c r="R153" s="4"/>
    </row>
    <row r="154" spans="1:18" ht="17.399999999999999" x14ac:dyDescent="0.25">
      <c r="A154" s="4"/>
      <c r="B154" s="23"/>
      <c r="C154" s="4"/>
      <c r="D154" s="4"/>
      <c r="E154" s="5"/>
      <c r="F154" s="4"/>
      <c r="G154" s="4"/>
      <c r="H154" s="4"/>
      <c r="I154" s="4"/>
      <c r="J154" s="4"/>
      <c r="K154" s="4"/>
      <c r="L154" s="4"/>
      <c r="M154" s="4"/>
      <c r="N154" s="4"/>
      <c r="O154" s="4"/>
      <c r="P154" s="4"/>
      <c r="Q154" s="4"/>
      <c r="R154" s="4"/>
    </row>
    <row r="155" spans="1:18" ht="17.399999999999999" x14ac:dyDescent="0.25">
      <c r="A155" s="4"/>
      <c r="B155" s="23"/>
      <c r="C155" s="4"/>
      <c r="D155" s="4"/>
      <c r="E155" s="5"/>
      <c r="F155" s="4"/>
      <c r="G155" s="4"/>
      <c r="H155" s="4"/>
      <c r="I155" s="4"/>
      <c r="J155" s="4"/>
      <c r="K155" s="4"/>
      <c r="L155" s="4"/>
      <c r="M155" s="4"/>
      <c r="N155" s="4"/>
      <c r="O155" s="4"/>
      <c r="P155" s="4"/>
      <c r="Q155" s="4"/>
      <c r="R155" s="4"/>
    </row>
    <row r="156" spans="1:18" ht="17.399999999999999" x14ac:dyDescent="0.25">
      <c r="A156" s="4"/>
      <c r="B156" s="23"/>
      <c r="C156" s="4"/>
      <c r="D156" s="4"/>
      <c r="E156" s="5"/>
      <c r="F156" s="4"/>
      <c r="G156" s="4"/>
      <c r="H156" s="4"/>
      <c r="I156" s="4"/>
      <c r="J156" s="4"/>
      <c r="K156" s="4"/>
      <c r="L156" s="4"/>
      <c r="M156" s="4"/>
      <c r="N156" s="4"/>
      <c r="O156" s="4"/>
      <c r="P156" s="4"/>
      <c r="Q156" s="4"/>
      <c r="R156" s="4"/>
    </row>
    <row r="157" spans="1:18" ht="17.399999999999999" x14ac:dyDescent="0.25">
      <c r="A157" s="4"/>
      <c r="B157" s="23"/>
      <c r="C157" s="4"/>
      <c r="D157" s="4"/>
      <c r="E157" s="5"/>
      <c r="F157" s="4"/>
      <c r="G157" s="4"/>
      <c r="H157" s="4"/>
      <c r="I157" s="4"/>
      <c r="J157" s="4"/>
      <c r="K157" s="4"/>
      <c r="L157" s="4"/>
      <c r="M157" s="4"/>
      <c r="N157" s="4"/>
      <c r="O157" s="4"/>
      <c r="P157" s="4"/>
      <c r="Q157" s="4"/>
      <c r="R157" s="4"/>
    </row>
    <row r="158" spans="1:18" ht="17.399999999999999" x14ac:dyDescent="0.25">
      <c r="A158" s="4"/>
      <c r="B158" s="23"/>
      <c r="C158" s="4"/>
      <c r="D158" s="4"/>
      <c r="E158" s="5"/>
      <c r="F158" s="4"/>
      <c r="G158" s="4"/>
      <c r="H158" s="4"/>
      <c r="I158" s="4"/>
      <c r="J158" s="4"/>
      <c r="K158" s="4"/>
      <c r="L158" s="4"/>
      <c r="M158" s="4"/>
      <c r="N158" s="4"/>
      <c r="O158" s="4"/>
      <c r="P158" s="4"/>
      <c r="Q158" s="4"/>
      <c r="R158" s="4"/>
    </row>
    <row r="159" spans="1:18" ht="17.399999999999999" x14ac:dyDescent="0.25">
      <c r="A159" s="4"/>
      <c r="B159" s="23"/>
      <c r="C159" s="4"/>
      <c r="D159" s="4"/>
      <c r="E159" s="5"/>
      <c r="F159" s="4"/>
      <c r="G159" s="4"/>
      <c r="H159" s="4"/>
      <c r="I159" s="4"/>
      <c r="J159" s="4"/>
      <c r="K159" s="4"/>
      <c r="L159" s="4"/>
      <c r="M159" s="4"/>
      <c r="N159" s="4"/>
      <c r="O159" s="4"/>
      <c r="P159" s="4"/>
      <c r="Q159" s="4"/>
      <c r="R159" s="4"/>
    </row>
    <row r="160" spans="1:18" ht="17.399999999999999" x14ac:dyDescent="0.25">
      <c r="A160" s="4"/>
      <c r="B160" s="23"/>
      <c r="C160" s="4"/>
      <c r="D160" s="4"/>
      <c r="E160" s="5"/>
      <c r="F160" s="4"/>
      <c r="G160" s="4"/>
      <c r="H160" s="4"/>
      <c r="I160" s="4"/>
      <c r="J160" s="4"/>
      <c r="K160" s="4"/>
      <c r="L160" s="4"/>
      <c r="M160" s="4"/>
      <c r="N160" s="4"/>
      <c r="O160" s="4"/>
      <c r="P160" s="4"/>
      <c r="Q160" s="4"/>
      <c r="R160" s="4"/>
    </row>
    <row r="161" spans="1:18" ht="17.399999999999999" x14ac:dyDescent="0.25">
      <c r="A161" s="4"/>
      <c r="B161" s="23"/>
      <c r="C161" s="4"/>
      <c r="D161" s="4"/>
      <c r="E161" s="5"/>
      <c r="F161" s="4"/>
      <c r="G161" s="4"/>
      <c r="H161" s="4"/>
      <c r="I161" s="4"/>
      <c r="J161" s="4"/>
      <c r="K161" s="4"/>
      <c r="L161" s="4"/>
      <c r="M161" s="4"/>
      <c r="N161" s="4"/>
      <c r="O161" s="4"/>
      <c r="P161" s="4"/>
      <c r="Q161" s="4"/>
      <c r="R161" s="4"/>
    </row>
    <row r="162" spans="1:18" ht="17.399999999999999" x14ac:dyDescent="0.25">
      <c r="A162" s="4"/>
      <c r="B162" s="23"/>
      <c r="C162" s="4"/>
      <c r="D162" s="4"/>
      <c r="E162" s="5"/>
      <c r="F162" s="4"/>
      <c r="G162" s="4"/>
      <c r="H162" s="4"/>
      <c r="I162" s="4"/>
      <c r="J162" s="4"/>
      <c r="K162" s="4"/>
      <c r="L162" s="4"/>
      <c r="M162" s="4"/>
      <c r="N162" s="4"/>
      <c r="O162" s="4"/>
      <c r="P162" s="4"/>
      <c r="Q162" s="4"/>
      <c r="R162" s="4"/>
    </row>
    <row r="163" spans="1:18" ht="17.399999999999999" x14ac:dyDescent="0.25">
      <c r="A163" s="4"/>
      <c r="B163" s="23"/>
      <c r="C163" s="4"/>
      <c r="D163" s="4"/>
      <c r="E163" s="5"/>
      <c r="F163" s="4"/>
      <c r="G163" s="4"/>
      <c r="H163" s="4"/>
      <c r="I163" s="4"/>
      <c r="J163" s="4"/>
      <c r="K163" s="4"/>
      <c r="L163" s="4"/>
      <c r="M163" s="4"/>
      <c r="N163" s="4"/>
      <c r="O163" s="4"/>
      <c r="P163" s="4"/>
      <c r="Q163" s="4"/>
      <c r="R163" s="4"/>
    </row>
    <row r="164" spans="1:18" ht="17.399999999999999" x14ac:dyDescent="0.25">
      <c r="A164" s="4"/>
      <c r="B164" s="23"/>
      <c r="C164" s="4"/>
      <c r="D164" s="4"/>
      <c r="E164" s="5"/>
      <c r="F164" s="4"/>
      <c r="G164" s="4"/>
      <c r="H164" s="4"/>
      <c r="I164" s="4"/>
      <c r="J164" s="4"/>
      <c r="K164" s="4"/>
      <c r="L164" s="4"/>
      <c r="M164" s="4"/>
      <c r="N164" s="4"/>
      <c r="O164" s="4"/>
      <c r="P164" s="4"/>
      <c r="Q164" s="4"/>
      <c r="R164" s="4"/>
    </row>
    <row r="165" spans="1:18" ht="17.399999999999999" x14ac:dyDescent="0.25">
      <c r="A165" s="4"/>
      <c r="B165" s="23"/>
      <c r="C165" s="4"/>
      <c r="D165" s="4"/>
      <c r="E165" s="5"/>
      <c r="F165" s="4"/>
      <c r="G165" s="4"/>
      <c r="H165" s="4"/>
      <c r="I165" s="4"/>
      <c r="J165" s="4"/>
      <c r="K165" s="4"/>
      <c r="L165" s="4"/>
      <c r="M165" s="4"/>
      <c r="N165" s="4"/>
      <c r="O165" s="4"/>
      <c r="P165" s="4"/>
      <c r="Q165" s="4"/>
      <c r="R165" s="4"/>
    </row>
    <row r="166" spans="1:18" ht="17.399999999999999" x14ac:dyDescent="0.25">
      <c r="A166" s="4"/>
      <c r="B166" s="23"/>
      <c r="C166" s="4"/>
      <c r="D166" s="4"/>
      <c r="E166" s="5"/>
      <c r="F166" s="4"/>
      <c r="G166" s="4"/>
      <c r="H166" s="4"/>
      <c r="I166" s="4"/>
      <c r="J166" s="4"/>
      <c r="K166" s="4"/>
      <c r="L166" s="4"/>
      <c r="M166" s="4"/>
      <c r="N166" s="4"/>
      <c r="O166" s="4"/>
      <c r="P166" s="4"/>
      <c r="Q166" s="4"/>
      <c r="R166" s="4"/>
    </row>
    <row r="167" spans="1:18" ht="17.399999999999999" x14ac:dyDescent="0.25">
      <c r="A167" s="4"/>
      <c r="B167" s="23"/>
      <c r="C167" s="4"/>
      <c r="D167" s="4"/>
      <c r="E167" s="5"/>
      <c r="F167" s="4"/>
      <c r="G167" s="4"/>
      <c r="H167" s="4"/>
      <c r="I167" s="4"/>
      <c r="J167" s="4"/>
      <c r="K167" s="4"/>
      <c r="L167" s="4"/>
      <c r="M167" s="4"/>
      <c r="N167" s="4"/>
      <c r="O167" s="4"/>
      <c r="P167" s="4"/>
      <c r="Q167" s="4"/>
      <c r="R167" s="4"/>
    </row>
    <row r="168" spans="1:18" ht="17.399999999999999" x14ac:dyDescent="0.25">
      <c r="A168" s="4"/>
      <c r="B168" s="23"/>
      <c r="C168" s="4"/>
      <c r="D168" s="4"/>
      <c r="E168" s="5"/>
      <c r="F168" s="4"/>
      <c r="G168" s="4"/>
      <c r="H168" s="4"/>
      <c r="I168" s="4"/>
      <c r="J168" s="4"/>
      <c r="K168" s="4"/>
      <c r="L168" s="4"/>
      <c r="M168" s="4"/>
      <c r="N168" s="4"/>
      <c r="O168" s="4"/>
      <c r="P168" s="4"/>
      <c r="Q168" s="4"/>
      <c r="R168" s="4"/>
    </row>
    <row r="169" spans="1:18" ht="17.399999999999999" x14ac:dyDescent="0.25">
      <c r="A169" s="4"/>
      <c r="B169" s="23"/>
      <c r="C169" s="4"/>
      <c r="D169" s="4"/>
      <c r="E169" s="5"/>
      <c r="F169" s="4"/>
      <c r="G169" s="4"/>
      <c r="H169" s="4"/>
      <c r="I169" s="4"/>
      <c r="J169" s="4"/>
      <c r="K169" s="4"/>
      <c r="L169" s="4"/>
      <c r="M169" s="4"/>
      <c r="N169" s="4"/>
      <c r="O169" s="4"/>
      <c r="P169" s="4"/>
      <c r="Q169" s="4"/>
      <c r="R169" s="4"/>
    </row>
    <row r="170" spans="1:18" ht="17.399999999999999" x14ac:dyDescent="0.25">
      <c r="A170" s="4"/>
      <c r="B170" s="23"/>
      <c r="C170" s="4"/>
      <c r="D170" s="4"/>
      <c r="E170" s="5"/>
      <c r="F170" s="4"/>
      <c r="G170" s="4"/>
      <c r="H170" s="4"/>
      <c r="I170" s="4"/>
      <c r="J170" s="4"/>
      <c r="K170" s="4"/>
      <c r="L170" s="4"/>
      <c r="M170" s="4"/>
      <c r="N170" s="4"/>
      <c r="O170" s="4"/>
      <c r="P170" s="4"/>
      <c r="Q170" s="4"/>
      <c r="R170" s="4"/>
    </row>
    <row r="171" spans="1:18" ht="17.399999999999999" x14ac:dyDescent="0.25">
      <c r="A171" s="4"/>
      <c r="B171" s="23"/>
      <c r="C171" s="4"/>
      <c r="D171" s="4"/>
      <c r="E171" s="5"/>
      <c r="F171" s="4"/>
      <c r="G171" s="4"/>
      <c r="H171" s="4"/>
      <c r="I171" s="4"/>
      <c r="J171" s="4"/>
      <c r="K171" s="4"/>
      <c r="L171" s="4"/>
      <c r="M171" s="4"/>
      <c r="N171" s="4"/>
      <c r="O171" s="4"/>
      <c r="P171" s="4"/>
      <c r="Q171" s="4"/>
      <c r="R171" s="4"/>
    </row>
    <row r="172" spans="1:18" ht="17.399999999999999" x14ac:dyDescent="0.25">
      <c r="A172" s="4"/>
      <c r="B172" s="23"/>
      <c r="C172" s="4"/>
      <c r="D172" s="4"/>
      <c r="E172" s="5"/>
      <c r="F172" s="4"/>
      <c r="G172" s="4"/>
      <c r="H172" s="4"/>
      <c r="I172" s="4"/>
      <c r="J172" s="4"/>
      <c r="K172" s="4"/>
      <c r="L172" s="4"/>
      <c r="M172" s="4"/>
      <c r="N172" s="4"/>
      <c r="O172" s="4"/>
      <c r="P172" s="4"/>
      <c r="Q172" s="4"/>
      <c r="R172" s="4"/>
    </row>
    <row r="173" spans="1:18" ht="17.399999999999999" x14ac:dyDescent="0.25">
      <c r="A173" s="4"/>
      <c r="B173" s="23"/>
      <c r="C173" s="4"/>
      <c r="D173" s="4"/>
      <c r="E173" s="5"/>
      <c r="F173" s="4"/>
      <c r="G173" s="4"/>
      <c r="H173" s="4"/>
      <c r="I173" s="4"/>
      <c r="J173" s="4"/>
      <c r="K173" s="4"/>
      <c r="L173" s="4"/>
      <c r="M173" s="4"/>
      <c r="N173" s="4"/>
      <c r="O173" s="4"/>
      <c r="P173" s="4"/>
      <c r="Q173" s="4"/>
      <c r="R173" s="4"/>
    </row>
    <row r="174" spans="1:18" ht="17.399999999999999" x14ac:dyDescent="0.25">
      <c r="A174" s="4"/>
      <c r="B174" s="23"/>
      <c r="C174" s="4"/>
      <c r="D174" s="4"/>
      <c r="E174" s="5"/>
      <c r="F174" s="4"/>
      <c r="G174" s="4"/>
      <c r="H174" s="4"/>
      <c r="I174" s="4"/>
      <c r="J174" s="4"/>
      <c r="K174" s="4"/>
      <c r="L174" s="4"/>
      <c r="M174" s="4"/>
      <c r="N174" s="4"/>
      <c r="O174" s="4"/>
      <c r="P174" s="4"/>
      <c r="Q174" s="4"/>
      <c r="R174" s="4"/>
    </row>
    <row r="175" spans="1:18" ht="17.399999999999999" x14ac:dyDescent="0.25">
      <c r="A175" s="4"/>
      <c r="B175" s="23"/>
      <c r="C175" s="4"/>
      <c r="D175" s="4"/>
      <c r="E175" s="5"/>
      <c r="F175" s="4"/>
      <c r="G175" s="4"/>
      <c r="H175" s="4"/>
      <c r="I175" s="4"/>
      <c r="J175" s="4"/>
      <c r="K175" s="4"/>
      <c r="L175" s="4"/>
      <c r="M175" s="4"/>
      <c r="N175" s="4"/>
      <c r="O175" s="4"/>
      <c r="P175" s="4"/>
      <c r="Q175" s="4"/>
      <c r="R175" s="4"/>
    </row>
    <row r="176" spans="1:18" ht="17.399999999999999" x14ac:dyDescent="0.25">
      <c r="A176" s="4"/>
      <c r="B176" s="23"/>
      <c r="C176" s="4"/>
      <c r="D176" s="4"/>
      <c r="E176" s="5"/>
      <c r="F176" s="4"/>
      <c r="G176" s="4"/>
      <c r="H176" s="4"/>
      <c r="I176" s="4"/>
      <c r="J176" s="4"/>
      <c r="K176" s="4"/>
      <c r="L176" s="4"/>
      <c r="M176" s="4"/>
      <c r="N176" s="4"/>
      <c r="O176" s="4"/>
      <c r="P176" s="4"/>
      <c r="Q176" s="4"/>
      <c r="R176" s="4"/>
    </row>
    <row r="177" spans="1:18" ht="17.399999999999999" x14ac:dyDescent="0.25">
      <c r="A177" s="4"/>
      <c r="B177" s="23"/>
      <c r="C177" s="4"/>
      <c r="D177" s="4"/>
      <c r="E177" s="5"/>
      <c r="F177" s="4"/>
      <c r="G177" s="4"/>
      <c r="H177" s="4"/>
      <c r="I177" s="4"/>
      <c r="J177" s="4"/>
      <c r="K177" s="4"/>
      <c r="L177" s="4"/>
      <c r="M177" s="4"/>
      <c r="N177" s="4"/>
      <c r="O177" s="4"/>
      <c r="P177" s="4"/>
      <c r="Q177" s="4"/>
      <c r="R177" s="4"/>
    </row>
    <row r="178" spans="1:18" ht="17.399999999999999" x14ac:dyDescent="0.25">
      <c r="A178" s="4"/>
      <c r="B178" s="23"/>
      <c r="C178" s="4"/>
      <c r="D178" s="4"/>
      <c r="E178" s="5"/>
      <c r="F178" s="4"/>
      <c r="G178" s="4"/>
      <c r="H178" s="4"/>
      <c r="I178" s="4"/>
      <c r="J178" s="4"/>
      <c r="K178" s="4"/>
      <c r="L178" s="4"/>
      <c r="M178" s="4"/>
      <c r="N178" s="4"/>
      <c r="O178" s="4"/>
      <c r="P178" s="4"/>
      <c r="Q178" s="4"/>
      <c r="R178" s="4"/>
    </row>
    <row r="179" spans="1:18" ht="17.399999999999999" x14ac:dyDescent="0.25">
      <c r="A179" s="4"/>
      <c r="B179" s="23"/>
      <c r="C179" s="4"/>
      <c r="D179" s="4"/>
      <c r="E179" s="5"/>
      <c r="F179" s="4"/>
      <c r="G179" s="4"/>
      <c r="H179" s="4"/>
      <c r="I179" s="4"/>
      <c r="J179" s="4"/>
      <c r="K179" s="4"/>
      <c r="L179" s="4"/>
      <c r="M179" s="4"/>
      <c r="N179" s="4"/>
      <c r="O179" s="4"/>
      <c r="P179" s="4"/>
      <c r="Q179" s="4"/>
      <c r="R179" s="4"/>
    </row>
    <row r="180" spans="1:18" ht="17.399999999999999" x14ac:dyDescent="0.25">
      <c r="A180" s="4"/>
      <c r="B180" s="23"/>
      <c r="C180" s="4"/>
      <c r="D180" s="4"/>
      <c r="E180" s="5"/>
      <c r="F180" s="4"/>
      <c r="G180" s="4"/>
      <c r="H180" s="4"/>
      <c r="I180" s="4"/>
      <c r="J180" s="4"/>
      <c r="K180" s="4"/>
      <c r="L180" s="4"/>
      <c r="M180" s="4"/>
      <c r="N180" s="4"/>
      <c r="O180" s="4"/>
      <c r="P180" s="4"/>
      <c r="Q180" s="4"/>
      <c r="R180" s="4"/>
    </row>
    <row r="181" spans="1:18" ht="17.399999999999999" x14ac:dyDescent="0.25">
      <c r="A181" s="4"/>
      <c r="B181" s="23"/>
      <c r="C181" s="4"/>
      <c r="D181" s="4"/>
      <c r="E181" s="5"/>
      <c r="F181" s="4"/>
      <c r="G181" s="4"/>
      <c r="H181" s="4"/>
      <c r="I181" s="4"/>
      <c r="J181" s="4"/>
      <c r="K181" s="4"/>
      <c r="L181" s="4"/>
      <c r="M181" s="4"/>
      <c r="N181" s="4"/>
      <c r="O181" s="4"/>
      <c r="P181" s="4"/>
      <c r="Q181" s="4"/>
      <c r="R181" s="4"/>
    </row>
    <row r="182" spans="1:18" ht="17.399999999999999" x14ac:dyDescent="0.25">
      <c r="A182" s="4"/>
      <c r="B182" s="23"/>
      <c r="C182" s="4"/>
      <c r="D182" s="4"/>
      <c r="E182" s="5"/>
      <c r="F182" s="4"/>
      <c r="G182" s="4"/>
      <c r="H182" s="4"/>
      <c r="I182" s="4"/>
      <c r="J182" s="4"/>
      <c r="K182" s="4"/>
      <c r="L182" s="4"/>
      <c r="M182" s="4"/>
      <c r="N182" s="4"/>
      <c r="O182" s="4"/>
      <c r="P182" s="4"/>
      <c r="Q182" s="4"/>
      <c r="R182" s="4"/>
    </row>
    <row r="183" spans="1:18" ht="17.399999999999999" x14ac:dyDescent="0.25">
      <c r="A183" s="4"/>
      <c r="B183" s="23"/>
      <c r="C183" s="4"/>
      <c r="D183" s="4"/>
      <c r="E183" s="5"/>
      <c r="F183" s="4"/>
      <c r="G183" s="4"/>
      <c r="H183" s="4"/>
      <c r="I183" s="4"/>
      <c r="J183" s="4"/>
      <c r="K183" s="4"/>
      <c r="L183" s="4"/>
      <c r="M183" s="4"/>
      <c r="N183" s="4"/>
      <c r="O183" s="4"/>
      <c r="P183" s="4"/>
      <c r="Q183" s="4"/>
      <c r="R183" s="4"/>
    </row>
    <row r="184" spans="1:18" ht="17.399999999999999" x14ac:dyDescent="0.25">
      <c r="A184" s="4"/>
      <c r="B184" s="23"/>
      <c r="C184" s="4"/>
      <c r="D184" s="4"/>
      <c r="E184" s="5"/>
      <c r="F184" s="4"/>
      <c r="G184" s="4"/>
      <c r="H184" s="4"/>
      <c r="I184" s="4"/>
      <c r="J184" s="4"/>
      <c r="K184" s="4"/>
      <c r="L184" s="4"/>
      <c r="M184" s="4"/>
      <c r="N184" s="4"/>
      <c r="O184" s="4"/>
      <c r="P184" s="4"/>
      <c r="Q184" s="4"/>
      <c r="R184" s="4"/>
    </row>
    <row r="185" spans="1:18" ht="17.399999999999999" x14ac:dyDescent="0.25">
      <c r="A185" s="4"/>
      <c r="B185" s="23"/>
      <c r="C185" s="4"/>
      <c r="D185" s="4"/>
      <c r="E185" s="5"/>
      <c r="F185" s="4"/>
      <c r="G185" s="4"/>
      <c r="H185" s="4"/>
      <c r="I185" s="4"/>
      <c r="J185" s="4"/>
      <c r="K185" s="4"/>
      <c r="L185" s="4"/>
      <c r="M185" s="4"/>
      <c r="N185" s="4"/>
      <c r="O185" s="4"/>
      <c r="P185" s="4"/>
      <c r="Q185" s="4"/>
      <c r="R185" s="4"/>
    </row>
    <row r="186" spans="1:18" ht="17.399999999999999" x14ac:dyDescent="0.25">
      <c r="A186" s="4"/>
      <c r="B186" s="23"/>
      <c r="C186" s="4"/>
      <c r="D186" s="4"/>
      <c r="E186" s="5"/>
      <c r="F186" s="4"/>
      <c r="G186" s="4"/>
      <c r="H186" s="4"/>
      <c r="I186" s="4"/>
      <c r="J186" s="4"/>
      <c r="K186" s="4"/>
      <c r="L186" s="4"/>
      <c r="M186" s="4"/>
      <c r="N186" s="4"/>
      <c r="O186" s="4"/>
      <c r="P186" s="4"/>
      <c r="Q186" s="4"/>
      <c r="R186" s="4"/>
    </row>
    <row r="187" spans="1:18" ht="17.399999999999999" x14ac:dyDescent="0.25">
      <c r="A187" s="4"/>
      <c r="B187" s="23"/>
      <c r="C187" s="4"/>
      <c r="D187" s="4"/>
      <c r="E187" s="5"/>
      <c r="F187" s="4"/>
      <c r="G187" s="4"/>
      <c r="H187" s="4"/>
      <c r="I187" s="4"/>
      <c r="J187" s="4"/>
      <c r="K187" s="4"/>
      <c r="L187" s="4"/>
      <c r="M187" s="4"/>
      <c r="N187" s="4"/>
      <c r="O187" s="4"/>
      <c r="P187" s="4"/>
      <c r="Q187" s="4"/>
      <c r="R187" s="4"/>
    </row>
    <row r="188" spans="1:18" ht="17.399999999999999" x14ac:dyDescent="0.25">
      <c r="A188" s="4"/>
      <c r="B188" s="23"/>
      <c r="C188" s="4"/>
      <c r="D188" s="4"/>
      <c r="E188" s="5"/>
      <c r="F188" s="4"/>
      <c r="G188" s="4"/>
      <c r="H188" s="4"/>
      <c r="I188" s="4"/>
      <c r="J188" s="4"/>
      <c r="K188" s="4"/>
      <c r="L188" s="4"/>
      <c r="M188" s="4"/>
      <c r="N188" s="4"/>
      <c r="O188" s="4"/>
      <c r="P188" s="4"/>
      <c r="Q188" s="4"/>
      <c r="R188" s="4"/>
    </row>
    <row r="189" spans="1:18" ht="17.399999999999999" x14ac:dyDescent="0.25">
      <c r="A189" s="4"/>
      <c r="B189" s="23"/>
      <c r="C189" s="4"/>
      <c r="D189" s="4"/>
      <c r="E189" s="5"/>
      <c r="F189" s="4"/>
      <c r="G189" s="4"/>
      <c r="H189" s="4"/>
      <c r="I189" s="4"/>
      <c r="J189" s="4"/>
      <c r="K189" s="4"/>
      <c r="L189" s="4"/>
      <c r="M189" s="4"/>
      <c r="N189" s="4"/>
      <c r="O189" s="4"/>
      <c r="P189" s="4"/>
      <c r="Q189" s="4"/>
      <c r="R189" s="4"/>
    </row>
    <row r="190" spans="1:18" ht="17.399999999999999" x14ac:dyDescent="0.25">
      <c r="A190" s="4"/>
      <c r="B190" s="23"/>
      <c r="C190" s="4"/>
      <c r="D190" s="4"/>
      <c r="E190" s="5"/>
      <c r="F190" s="4"/>
      <c r="G190" s="4"/>
      <c r="H190" s="4"/>
      <c r="I190" s="4"/>
      <c r="J190" s="4"/>
      <c r="K190" s="4"/>
      <c r="L190" s="4"/>
      <c r="M190" s="4"/>
      <c r="N190" s="4"/>
      <c r="O190" s="4"/>
      <c r="P190" s="4"/>
      <c r="Q190" s="4"/>
      <c r="R190" s="4"/>
    </row>
    <row r="191" spans="1:18" ht="17.399999999999999" x14ac:dyDescent="0.25">
      <c r="A191" s="4"/>
      <c r="B191" s="23"/>
      <c r="C191" s="4"/>
      <c r="D191" s="4"/>
      <c r="E191" s="5"/>
      <c r="F191" s="4"/>
      <c r="G191" s="4"/>
      <c r="H191" s="4"/>
      <c r="I191" s="4"/>
      <c r="J191" s="4"/>
      <c r="K191" s="4"/>
      <c r="L191" s="4"/>
      <c r="M191" s="4"/>
      <c r="N191" s="4"/>
      <c r="O191" s="4"/>
      <c r="P191" s="4"/>
      <c r="Q191" s="4"/>
      <c r="R191" s="4"/>
    </row>
    <row r="192" spans="1:18" ht="17.399999999999999" x14ac:dyDescent="0.25">
      <c r="A192" s="4"/>
      <c r="B192" s="23"/>
      <c r="C192" s="4"/>
      <c r="D192" s="4"/>
      <c r="E192" s="5"/>
      <c r="F192" s="4"/>
      <c r="G192" s="4"/>
      <c r="H192" s="4"/>
      <c r="I192" s="4"/>
      <c r="J192" s="4"/>
      <c r="K192" s="4"/>
      <c r="L192" s="4"/>
      <c r="M192" s="4"/>
      <c r="N192" s="4"/>
      <c r="O192" s="4"/>
      <c r="P192" s="4"/>
      <c r="Q192" s="4"/>
      <c r="R192" s="4"/>
    </row>
    <row r="193" spans="1:18" ht="17.399999999999999" x14ac:dyDescent="0.25">
      <c r="A193" s="4"/>
      <c r="B193" s="23"/>
      <c r="C193" s="4"/>
      <c r="D193" s="4"/>
      <c r="E193" s="5"/>
      <c r="F193" s="4"/>
      <c r="G193" s="4"/>
      <c r="H193" s="4"/>
      <c r="I193" s="4"/>
      <c r="J193" s="4"/>
      <c r="K193" s="4"/>
      <c r="L193" s="4"/>
      <c r="M193" s="4"/>
      <c r="N193" s="4"/>
      <c r="O193" s="4"/>
      <c r="P193" s="4"/>
      <c r="Q193" s="4"/>
      <c r="R193" s="4"/>
    </row>
    <row r="194" spans="1:18" ht="17.399999999999999" x14ac:dyDescent="0.25">
      <c r="A194" s="4"/>
      <c r="B194" s="23"/>
      <c r="C194" s="4"/>
      <c r="D194" s="4"/>
      <c r="E194" s="5"/>
      <c r="F194" s="4"/>
      <c r="G194" s="4"/>
      <c r="H194" s="4"/>
      <c r="I194" s="4"/>
      <c r="J194" s="4"/>
      <c r="K194" s="4"/>
      <c r="L194" s="4"/>
      <c r="M194" s="4"/>
      <c r="N194" s="4"/>
      <c r="O194" s="4"/>
      <c r="P194" s="4"/>
      <c r="Q194" s="4"/>
      <c r="R194" s="4"/>
    </row>
    <row r="195" spans="1:18" ht="17.399999999999999" x14ac:dyDescent="0.25">
      <c r="A195" s="4"/>
      <c r="B195" s="23"/>
      <c r="C195" s="4"/>
      <c r="D195" s="4"/>
      <c r="E195" s="5"/>
      <c r="F195" s="4"/>
      <c r="G195" s="4"/>
      <c r="H195" s="4"/>
      <c r="I195" s="4"/>
      <c r="J195" s="4"/>
      <c r="K195" s="4"/>
      <c r="L195" s="4"/>
      <c r="M195" s="4"/>
      <c r="N195" s="4"/>
      <c r="O195" s="4"/>
      <c r="P195" s="4"/>
      <c r="Q195" s="4"/>
      <c r="R195" s="4"/>
    </row>
    <row r="196" spans="1:18" ht="17.399999999999999" x14ac:dyDescent="0.25">
      <c r="A196" s="4"/>
      <c r="B196" s="23"/>
      <c r="C196" s="4"/>
      <c r="D196" s="4"/>
      <c r="E196" s="5"/>
      <c r="F196" s="4"/>
      <c r="G196" s="4"/>
      <c r="H196" s="4"/>
      <c r="I196" s="4"/>
      <c r="J196" s="4"/>
      <c r="K196" s="4"/>
      <c r="L196" s="4"/>
      <c r="M196" s="4"/>
      <c r="N196" s="4"/>
      <c r="O196" s="4"/>
      <c r="P196" s="4"/>
      <c r="Q196" s="4"/>
      <c r="R196" s="4"/>
    </row>
    <row r="197" spans="1:18" ht="17.399999999999999" x14ac:dyDescent="0.25">
      <c r="A197" s="4"/>
      <c r="B197" s="23"/>
      <c r="C197" s="4"/>
      <c r="D197" s="4"/>
      <c r="E197" s="5"/>
      <c r="F197" s="4"/>
      <c r="G197" s="4"/>
      <c r="H197" s="4"/>
      <c r="I197" s="4"/>
      <c r="J197" s="4"/>
      <c r="K197" s="4"/>
      <c r="L197" s="4"/>
      <c r="M197" s="4"/>
      <c r="N197" s="4"/>
      <c r="O197" s="4"/>
      <c r="P197" s="4"/>
      <c r="Q197" s="4"/>
      <c r="R197" s="4"/>
    </row>
    <row r="198" spans="1:18" ht="17.399999999999999" x14ac:dyDescent="0.25">
      <c r="A198" s="4"/>
      <c r="B198" s="23"/>
      <c r="C198" s="4"/>
      <c r="D198" s="4"/>
      <c r="E198" s="5"/>
      <c r="F198" s="4"/>
      <c r="G198" s="4"/>
      <c r="H198" s="4"/>
      <c r="I198" s="4"/>
      <c r="J198" s="4"/>
      <c r="K198" s="4"/>
      <c r="L198" s="4"/>
      <c r="M198" s="4"/>
      <c r="N198" s="4"/>
      <c r="O198" s="4"/>
      <c r="P198" s="4"/>
      <c r="Q198" s="4"/>
      <c r="R198" s="4"/>
    </row>
    <row r="199" spans="1:18" ht="17.399999999999999" x14ac:dyDescent="0.25">
      <c r="A199" s="4"/>
      <c r="B199" s="23"/>
      <c r="C199" s="4"/>
      <c r="D199" s="4"/>
      <c r="E199" s="5"/>
      <c r="F199" s="4"/>
      <c r="G199" s="4"/>
      <c r="H199" s="4"/>
      <c r="I199" s="4"/>
      <c r="J199" s="4"/>
      <c r="K199" s="4"/>
      <c r="L199" s="4"/>
      <c r="M199" s="4"/>
      <c r="N199" s="4"/>
      <c r="O199" s="4"/>
      <c r="P199" s="4"/>
      <c r="Q199" s="4"/>
      <c r="R199" s="4"/>
    </row>
    <row r="200" spans="1:18" ht="17.399999999999999" x14ac:dyDescent="0.25">
      <c r="A200" s="4"/>
      <c r="B200" s="23"/>
      <c r="C200" s="4"/>
      <c r="D200" s="4"/>
      <c r="E200" s="5"/>
      <c r="F200" s="4"/>
      <c r="G200" s="4"/>
      <c r="H200" s="4"/>
      <c r="I200" s="4"/>
      <c r="J200" s="4"/>
      <c r="K200" s="4"/>
      <c r="L200" s="4"/>
      <c r="M200" s="4"/>
      <c r="N200" s="4"/>
      <c r="O200" s="4"/>
      <c r="P200" s="4"/>
      <c r="Q200" s="4"/>
      <c r="R200" s="4"/>
    </row>
    <row r="201" spans="1:18" ht="17.399999999999999" x14ac:dyDescent="0.25">
      <c r="A201" s="4"/>
      <c r="B201" s="23"/>
      <c r="C201" s="4"/>
      <c r="D201" s="4"/>
      <c r="E201" s="5"/>
      <c r="F201" s="4"/>
      <c r="G201" s="4"/>
      <c r="H201" s="4"/>
      <c r="I201" s="4"/>
      <c r="J201" s="4"/>
      <c r="K201" s="4"/>
      <c r="L201" s="4"/>
      <c r="M201" s="4"/>
      <c r="N201" s="4"/>
      <c r="O201" s="4"/>
      <c r="P201" s="4"/>
      <c r="Q201" s="4"/>
      <c r="R201" s="4"/>
    </row>
    <row r="202" spans="1:18" ht="17.399999999999999" x14ac:dyDescent="0.25">
      <c r="A202" s="4"/>
      <c r="B202" s="23"/>
      <c r="C202" s="4"/>
      <c r="D202" s="4"/>
      <c r="E202" s="5"/>
      <c r="F202" s="4"/>
      <c r="G202" s="4"/>
      <c r="H202" s="4"/>
      <c r="I202" s="4"/>
      <c r="J202" s="4"/>
      <c r="K202" s="4"/>
      <c r="L202" s="4"/>
      <c r="M202" s="4"/>
      <c r="N202" s="4"/>
      <c r="O202" s="4"/>
      <c r="P202" s="4"/>
      <c r="Q202" s="4"/>
      <c r="R202" s="4"/>
    </row>
    <row r="203" spans="1:18" ht="17.399999999999999" x14ac:dyDescent="0.25">
      <c r="A203" s="4"/>
      <c r="B203" s="23"/>
      <c r="C203" s="4"/>
      <c r="D203" s="4"/>
      <c r="E203" s="5"/>
      <c r="F203" s="4"/>
      <c r="G203" s="4"/>
      <c r="H203" s="4"/>
      <c r="I203" s="4"/>
      <c r="J203" s="4"/>
      <c r="K203" s="4"/>
      <c r="L203" s="4"/>
      <c r="M203" s="4"/>
      <c r="N203" s="4"/>
      <c r="O203" s="4"/>
      <c r="P203" s="4"/>
      <c r="Q203" s="4"/>
      <c r="R203" s="4"/>
    </row>
    <row r="204" spans="1:18" ht="17.399999999999999" x14ac:dyDescent="0.25">
      <c r="A204" s="4"/>
      <c r="B204" s="23"/>
      <c r="C204" s="4"/>
      <c r="D204" s="4"/>
      <c r="E204" s="5"/>
      <c r="F204" s="4"/>
      <c r="G204" s="4"/>
      <c r="H204" s="4"/>
      <c r="I204" s="4"/>
      <c r="J204" s="4"/>
      <c r="K204" s="4"/>
      <c r="L204" s="4"/>
      <c r="M204" s="4"/>
      <c r="N204" s="4"/>
      <c r="O204" s="4"/>
      <c r="P204" s="4"/>
      <c r="Q204" s="4"/>
      <c r="R204" s="4"/>
    </row>
    <row r="205" spans="1:18" ht="17.399999999999999" x14ac:dyDescent="0.25">
      <c r="A205" s="4"/>
      <c r="B205" s="23"/>
      <c r="C205" s="4"/>
      <c r="D205" s="4"/>
      <c r="E205" s="5"/>
      <c r="F205" s="4"/>
      <c r="G205" s="4"/>
      <c r="H205" s="4"/>
      <c r="I205" s="4"/>
      <c r="J205" s="4"/>
      <c r="K205" s="4"/>
      <c r="L205" s="4"/>
      <c r="M205" s="4"/>
      <c r="N205" s="4"/>
      <c r="O205" s="4"/>
      <c r="P205" s="4"/>
      <c r="Q205" s="4"/>
      <c r="R205" s="4"/>
    </row>
    <row r="206" spans="1:18" ht="17.399999999999999" x14ac:dyDescent="0.25">
      <c r="A206" s="4"/>
      <c r="B206" s="23"/>
      <c r="C206" s="4"/>
      <c r="D206" s="4"/>
      <c r="E206" s="5"/>
      <c r="F206" s="4"/>
      <c r="G206" s="4"/>
      <c r="H206" s="4"/>
      <c r="I206" s="4"/>
      <c r="J206" s="4"/>
      <c r="K206" s="4"/>
      <c r="L206" s="4"/>
      <c r="M206" s="4"/>
      <c r="N206" s="4"/>
      <c r="O206" s="4"/>
      <c r="P206" s="4"/>
      <c r="Q206" s="4"/>
      <c r="R206" s="4"/>
    </row>
    <row r="207" spans="1:18" ht="17.399999999999999" x14ac:dyDescent="0.25">
      <c r="A207" s="4"/>
      <c r="B207" s="23"/>
      <c r="C207" s="4"/>
      <c r="D207" s="4"/>
      <c r="E207" s="5"/>
      <c r="F207" s="4"/>
      <c r="G207" s="4"/>
      <c r="H207" s="4"/>
      <c r="I207" s="4"/>
      <c r="J207" s="4"/>
      <c r="K207" s="4"/>
      <c r="L207" s="4"/>
      <c r="M207" s="4"/>
      <c r="N207" s="4"/>
      <c r="O207" s="4"/>
      <c r="P207" s="4"/>
      <c r="Q207" s="4"/>
      <c r="R207" s="4"/>
    </row>
    <row r="208" spans="1:18" ht="17.399999999999999" x14ac:dyDescent="0.25">
      <c r="A208" s="4"/>
      <c r="B208" s="23"/>
      <c r="C208" s="4"/>
      <c r="D208" s="4"/>
      <c r="E208" s="5"/>
      <c r="F208" s="4"/>
      <c r="G208" s="4"/>
      <c r="H208" s="4"/>
      <c r="I208" s="4"/>
      <c r="J208" s="4"/>
      <c r="K208" s="4"/>
      <c r="L208" s="4"/>
      <c r="M208" s="4"/>
      <c r="N208" s="4"/>
      <c r="O208" s="4"/>
      <c r="P208" s="4"/>
      <c r="Q208" s="4"/>
      <c r="R208" s="4"/>
    </row>
    <row r="209" spans="1:18" ht="17.399999999999999" x14ac:dyDescent="0.25">
      <c r="A209" s="4"/>
      <c r="B209" s="23"/>
      <c r="C209" s="4"/>
      <c r="D209" s="4"/>
      <c r="E209" s="5"/>
      <c r="F209" s="4"/>
      <c r="G209" s="4"/>
      <c r="H209" s="4"/>
      <c r="I209" s="4"/>
      <c r="J209" s="4"/>
      <c r="K209" s="4"/>
      <c r="L209" s="4"/>
      <c r="M209" s="4"/>
      <c r="N209" s="4"/>
      <c r="O209" s="4"/>
      <c r="P209" s="4"/>
      <c r="Q209" s="4"/>
      <c r="R209" s="4"/>
    </row>
    <row r="210" spans="1:18" ht="17.399999999999999" x14ac:dyDescent="0.25">
      <c r="A210" s="4"/>
      <c r="B210" s="23"/>
      <c r="C210" s="4"/>
      <c r="D210" s="4"/>
      <c r="E210" s="5"/>
      <c r="F210" s="4"/>
      <c r="G210" s="4"/>
      <c r="H210" s="4"/>
      <c r="I210" s="4"/>
      <c r="J210" s="4"/>
      <c r="K210" s="4"/>
      <c r="L210" s="4"/>
      <c r="M210" s="4"/>
      <c r="N210" s="4"/>
      <c r="O210" s="4"/>
      <c r="P210" s="4"/>
      <c r="Q210" s="4"/>
      <c r="R210" s="4"/>
    </row>
    <row r="211" spans="1:18" ht="17.399999999999999" x14ac:dyDescent="0.25">
      <c r="A211" s="4"/>
      <c r="B211" s="23"/>
      <c r="C211" s="4"/>
      <c r="D211" s="4"/>
      <c r="E211" s="5"/>
      <c r="F211" s="4"/>
      <c r="G211" s="4"/>
      <c r="H211" s="4"/>
      <c r="I211" s="4"/>
      <c r="J211" s="4"/>
      <c r="K211" s="4"/>
      <c r="L211" s="4"/>
      <c r="M211" s="4"/>
      <c r="N211" s="4"/>
      <c r="O211" s="4"/>
      <c r="P211" s="4"/>
      <c r="Q211" s="4"/>
      <c r="R211" s="4"/>
    </row>
    <row r="212" spans="1:18" ht="17.399999999999999" x14ac:dyDescent="0.25">
      <c r="A212" s="4"/>
      <c r="B212" s="23"/>
      <c r="C212" s="4"/>
      <c r="D212" s="4"/>
      <c r="E212" s="5"/>
      <c r="F212" s="4"/>
      <c r="G212" s="4"/>
      <c r="H212" s="4"/>
      <c r="I212" s="4"/>
      <c r="J212" s="4"/>
      <c r="K212" s="4"/>
      <c r="L212" s="4"/>
      <c r="M212" s="4"/>
      <c r="N212" s="4"/>
      <c r="O212" s="4"/>
      <c r="P212" s="4"/>
      <c r="Q212" s="4"/>
      <c r="R212" s="4"/>
    </row>
    <row r="213" spans="1:18" ht="17.399999999999999" x14ac:dyDescent="0.25">
      <c r="A213" s="4"/>
      <c r="B213" s="23"/>
      <c r="C213" s="4"/>
      <c r="D213" s="4"/>
      <c r="E213" s="5"/>
      <c r="F213" s="4"/>
      <c r="G213" s="4"/>
      <c r="H213" s="4"/>
      <c r="I213" s="4"/>
      <c r="J213" s="4"/>
      <c r="K213" s="4"/>
      <c r="L213" s="4"/>
      <c r="M213" s="4"/>
      <c r="N213" s="4"/>
      <c r="O213" s="4"/>
      <c r="P213" s="4"/>
      <c r="Q213" s="4"/>
      <c r="R213" s="4"/>
    </row>
    <row r="214" spans="1:18" ht="17.399999999999999" x14ac:dyDescent="0.25">
      <c r="A214" s="4"/>
      <c r="B214" s="23"/>
      <c r="C214" s="4"/>
      <c r="D214" s="4"/>
      <c r="E214" s="5"/>
      <c r="F214" s="4"/>
      <c r="G214" s="4"/>
      <c r="H214" s="4"/>
      <c r="I214" s="4"/>
      <c r="J214" s="4"/>
      <c r="K214" s="4"/>
      <c r="L214" s="4"/>
      <c r="M214" s="4"/>
      <c r="N214" s="4"/>
      <c r="O214" s="4"/>
      <c r="P214" s="4"/>
      <c r="Q214" s="4"/>
      <c r="R214" s="4"/>
    </row>
    <row r="215" spans="1:18" ht="17.399999999999999" x14ac:dyDescent="0.25">
      <c r="A215" s="4"/>
      <c r="B215" s="23"/>
      <c r="C215" s="4"/>
      <c r="D215" s="4"/>
      <c r="E215" s="5"/>
      <c r="F215" s="4"/>
      <c r="G215" s="4"/>
      <c r="H215" s="4"/>
      <c r="I215" s="4"/>
      <c r="J215" s="4"/>
      <c r="K215" s="4"/>
      <c r="L215" s="4"/>
      <c r="M215" s="4"/>
      <c r="N215" s="4"/>
      <c r="O215" s="4"/>
      <c r="P215" s="4"/>
      <c r="Q215" s="4"/>
      <c r="R215" s="4"/>
    </row>
    <row r="216" spans="1:18" ht="17.399999999999999" x14ac:dyDescent="0.25">
      <c r="A216" s="4"/>
      <c r="B216" s="23"/>
      <c r="C216" s="4"/>
      <c r="D216" s="4"/>
      <c r="E216" s="5"/>
      <c r="F216" s="4"/>
      <c r="G216" s="4"/>
      <c r="H216" s="4"/>
      <c r="I216" s="4"/>
      <c r="J216" s="4"/>
      <c r="K216" s="4"/>
      <c r="L216" s="4"/>
      <c r="M216" s="4"/>
      <c r="N216" s="4"/>
      <c r="O216" s="4"/>
      <c r="P216" s="4"/>
      <c r="Q216" s="4"/>
      <c r="R216" s="4"/>
    </row>
    <row r="217" spans="1:18" ht="17.399999999999999" x14ac:dyDescent="0.25">
      <c r="A217" s="4"/>
      <c r="B217" s="23"/>
      <c r="C217" s="4"/>
      <c r="D217" s="4"/>
      <c r="E217" s="5"/>
      <c r="F217" s="4"/>
      <c r="G217" s="4"/>
      <c r="H217" s="4"/>
      <c r="I217" s="4"/>
      <c r="J217" s="4"/>
      <c r="K217" s="4"/>
      <c r="L217" s="4"/>
      <c r="M217" s="4"/>
      <c r="N217" s="4"/>
      <c r="O217" s="4"/>
      <c r="P217" s="4"/>
      <c r="Q217" s="4"/>
      <c r="R217" s="4"/>
    </row>
    <row r="218" spans="1:18" ht="17.399999999999999" x14ac:dyDescent="0.25">
      <c r="A218" s="4"/>
      <c r="B218" s="23"/>
      <c r="C218" s="4"/>
      <c r="D218" s="4"/>
      <c r="E218" s="5"/>
      <c r="F218" s="4"/>
      <c r="G218" s="4"/>
      <c r="H218" s="4"/>
      <c r="I218" s="4"/>
      <c r="J218" s="4"/>
      <c r="K218" s="4"/>
      <c r="L218" s="4"/>
      <c r="M218" s="4"/>
      <c r="N218" s="4"/>
      <c r="O218" s="4"/>
      <c r="P218" s="4"/>
      <c r="Q218" s="4"/>
      <c r="R218" s="4"/>
    </row>
    <row r="219" spans="1:18" ht="17.399999999999999" x14ac:dyDescent="0.25">
      <c r="A219" s="4"/>
      <c r="B219" s="23"/>
      <c r="C219" s="4"/>
      <c r="D219" s="4"/>
      <c r="E219" s="5"/>
      <c r="F219" s="4"/>
      <c r="G219" s="4"/>
      <c r="H219" s="4"/>
      <c r="I219" s="4"/>
      <c r="J219" s="4"/>
      <c r="K219" s="4"/>
      <c r="L219" s="4"/>
      <c r="M219" s="4"/>
      <c r="N219" s="4"/>
      <c r="O219" s="4"/>
      <c r="P219" s="4"/>
      <c r="Q219" s="4"/>
      <c r="R219" s="4"/>
    </row>
    <row r="220" spans="1:18" ht="17.399999999999999" x14ac:dyDescent="0.25">
      <c r="A220" s="4"/>
      <c r="B220" s="23"/>
      <c r="C220" s="4"/>
      <c r="D220" s="4"/>
      <c r="E220" s="5"/>
      <c r="F220" s="4"/>
      <c r="G220" s="4"/>
      <c r="H220" s="4"/>
      <c r="I220" s="4"/>
      <c r="J220" s="4"/>
      <c r="K220" s="4"/>
      <c r="L220" s="4"/>
      <c r="M220" s="4"/>
      <c r="N220" s="4"/>
      <c r="O220" s="4"/>
      <c r="P220" s="4"/>
      <c r="Q220" s="4"/>
      <c r="R220" s="4"/>
    </row>
    <row r="221" spans="1:18" ht="17.399999999999999" x14ac:dyDescent="0.25">
      <c r="A221" s="4"/>
      <c r="B221" s="23"/>
      <c r="C221" s="4"/>
      <c r="D221" s="4"/>
      <c r="E221" s="5"/>
      <c r="F221" s="4"/>
      <c r="G221" s="4"/>
      <c r="H221" s="4"/>
      <c r="I221" s="4"/>
      <c r="J221" s="4"/>
      <c r="K221" s="4"/>
      <c r="L221" s="4"/>
      <c r="M221" s="4"/>
      <c r="N221" s="4"/>
      <c r="O221" s="4"/>
      <c r="P221" s="4"/>
      <c r="Q221" s="4"/>
      <c r="R221" s="4"/>
    </row>
    <row r="222" spans="1:18" ht="17.399999999999999" x14ac:dyDescent="0.25">
      <c r="A222" s="4"/>
      <c r="B222" s="23"/>
      <c r="C222" s="4"/>
      <c r="D222" s="4"/>
      <c r="E222" s="5"/>
      <c r="F222" s="4"/>
      <c r="G222" s="4"/>
      <c r="H222" s="4"/>
      <c r="I222" s="4"/>
      <c r="J222" s="4"/>
      <c r="K222" s="4"/>
      <c r="L222" s="4"/>
      <c r="M222" s="4"/>
      <c r="N222" s="4"/>
      <c r="O222" s="4"/>
      <c r="P222" s="4"/>
      <c r="Q222" s="4"/>
      <c r="R222" s="4"/>
    </row>
    <row r="223" spans="1:18" ht="17.399999999999999" x14ac:dyDescent="0.25">
      <c r="A223" s="4"/>
      <c r="B223" s="23"/>
      <c r="C223" s="4"/>
      <c r="D223" s="4"/>
      <c r="E223" s="5"/>
      <c r="F223" s="4"/>
      <c r="G223" s="4"/>
      <c r="H223" s="4"/>
      <c r="I223" s="4"/>
      <c r="J223" s="4"/>
      <c r="K223" s="4"/>
      <c r="L223" s="4"/>
      <c r="M223" s="4"/>
      <c r="N223" s="4"/>
      <c r="O223" s="4"/>
      <c r="P223" s="4"/>
      <c r="Q223" s="4"/>
      <c r="R223" s="4"/>
    </row>
    <row r="224" spans="1:18" ht="17.399999999999999" x14ac:dyDescent="0.25">
      <c r="A224" s="4"/>
      <c r="B224" s="23"/>
      <c r="C224" s="4"/>
      <c r="D224" s="4"/>
      <c r="E224" s="5"/>
      <c r="F224" s="4"/>
      <c r="G224" s="4"/>
      <c r="H224" s="4"/>
      <c r="I224" s="4"/>
      <c r="J224" s="4"/>
      <c r="K224" s="4"/>
      <c r="L224" s="4"/>
      <c r="M224" s="4"/>
      <c r="N224" s="4"/>
      <c r="O224" s="4"/>
      <c r="P224" s="4"/>
      <c r="Q224" s="4"/>
      <c r="R224" s="4"/>
    </row>
    <row r="225" spans="1:18" ht="17.399999999999999" x14ac:dyDescent="0.25">
      <c r="A225" s="4"/>
      <c r="B225" s="23"/>
      <c r="C225" s="4"/>
      <c r="D225" s="4"/>
      <c r="E225" s="5"/>
      <c r="F225" s="4"/>
      <c r="G225" s="4"/>
      <c r="H225" s="4"/>
      <c r="I225" s="4"/>
      <c r="J225" s="4"/>
      <c r="K225" s="4"/>
      <c r="L225" s="4"/>
      <c r="M225" s="4"/>
      <c r="N225" s="4"/>
      <c r="O225" s="4"/>
      <c r="P225" s="4"/>
      <c r="Q225" s="4"/>
      <c r="R225" s="4"/>
    </row>
    <row r="226" spans="1:18" ht="17.399999999999999" x14ac:dyDescent="0.25">
      <c r="A226" s="4"/>
      <c r="B226" s="23"/>
      <c r="C226" s="4"/>
      <c r="D226" s="4"/>
      <c r="E226" s="5"/>
      <c r="F226" s="4"/>
      <c r="G226" s="4"/>
      <c r="H226" s="4"/>
      <c r="I226" s="4"/>
      <c r="J226" s="4"/>
      <c r="K226" s="4"/>
      <c r="L226" s="4"/>
      <c r="M226" s="4"/>
      <c r="N226" s="4"/>
      <c r="O226" s="4"/>
      <c r="P226" s="4"/>
      <c r="Q226" s="4"/>
      <c r="R226" s="4"/>
    </row>
    <row r="227" spans="1:18" ht="17.399999999999999" x14ac:dyDescent="0.25">
      <c r="A227" s="4"/>
      <c r="B227" s="23"/>
      <c r="C227" s="4"/>
      <c r="D227" s="4"/>
      <c r="E227" s="5"/>
      <c r="F227" s="4"/>
      <c r="G227" s="4"/>
      <c r="H227" s="4"/>
      <c r="I227" s="4"/>
      <c r="J227" s="4"/>
      <c r="K227" s="4"/>
      <c r="L227" s="4"/>
      <c r="M227" s="4"/>
      <c r="N227" s="4"/>
      <c r="O227" s="4"/>
      <c r="P227" s="4"/>
      <c r="Q227" s="4"/>
      <c r="R227" s="4"/>
    </row>
    <row r="228" spans="1:18" ht="17.399999999999999" x14ac:dyDescent="0.25">
      <c r="A228" s="4"/>
      <c r="B228" s="23"/>
      <c r="C228" s="4"/>
      <c r="D228" s="4"/>
      <c r="E228" s="5"/>
      <c r="F228" s="4"/>
      <c r="G228" s="4"/>
      <c r="H228" s="4"/>
      <c r="I228" s="4"/>
      <c r="J228" s="4"/>
      <c r="K228" s="4"/>
      <c r="L228" s="4"/>
      <c r="M228" s="4"/>
      <c r="N228" s="4"/>
      <c r="O228" s="4"/>
      <c r="P228" s="4"/>
      <c r="Q228" s="4"/>
      <c r="R228" s="4"/>
    </row>
    <row r="229" spans="1:18" ht="17.399999999999999" x14ac:dyDescent="0.25">
      <c r="A229" s="4"/>
      <c r="B229" s="23"/>
      <c r="C229" s="4"/>
      <c r="D229" s="4"/>
      <c r="E229" s="5"/>
      <c r="F229" s="4"/>
      <c r="G229" s="4"/>
      <c r="H229" s="4"/>
      <c r="I229" s="4"/>
      <c r="J229" s="4"/>
      <c r="K229" s="4"/>
      <c r="L229" s="4"/>
      <c r="M229" s="4"/>
      <c r="N229" s="4"/>
      <c r="O229" s="4"/>
      <c r="P229" s="4"/>
      <c r="Q229" s="4"/>
      <c r="R229" s="4"/>
    </row>
    <row r="230" spans="1:18" ht="17.399999999999999" x14ac:dyDescent="0.25">
      <c r="A230" s="4"/>
      <c r="B230" s="23"/>
      <c r="C230" s="4"/>
      <c r="D230" s="4"/>
      <c r="E230" s="5"/>
      <c r="F230" s="4"/>
      <c r="G230" s="4"/>
      <c r="H230" s="4"/>
      <c r="I230" s="4"/>
      <c r="J230" s="4"/>
      <c r="K230" s="4"/>
      <c r="L230" s="4"/>
      <c r="M230" s="4"/>
      <c r="N230" s="4"/>
      <c r="O230" s="4"/>
      <c r="P230" s="4"/>
      <c r="Q230" s="4"/>
      <c r="R230" s="4"/>
    </row>
    <row r="231" spans="1:18" ht="17.399999999999999" x14ac:dyDescent="0.25">
      <c r="A231" s="4"/>
      <c r="B231" s="23"/>
      <c r="C231" s="4"/>
      <c r="D231" s="4"/>
      <c r="E231" s="5"/>
      <c r="F231" s="4"/>
      <c r="G231" s="4"/>
      <c r="H231" s="4"/>
      <c r="I231" s="4"/>
      <c r="J231" s="4"/>
      <c r="K231" s="4"/>
      <c r="L231" s="4"/>
      <c r="M231" s="4"/>
      <c r="N231" s="4"/>
      <c r="O231" s="4"/>
      <c r="P231" s="4"/>
      <c r="Q231" s="4"/>
      <c r="R231" s="4"/>
    </row>
    <row r="232" spans="1:18" ht="17.399999999999999" x14ac:dyDescent="0.25">
      <c r="A232" s="4"/>
      <c r="B232" s="23"/>
      <c r="C232" s="4"/>
      <c r="D232" s="4"/>
      <c r="E232" s="5"/>
      <c r="F232" s="4"/>
      <c r="G232" s="4"/>
      <c r="H232" s="4"/>
      <c r="I232" s="4"/>
      <c r="J232" s="4"/>
      <c r="K232" s="4"/>
      <c r="L232" s="4"/>
      <c r="M232" s="4"/>
      <c r="N232" s="4"/>
      <c r="O232" s="4"/>
      <c r="P232" s="4"/>
      <c r="Q232" s="4"/>
      <c r="R232" s="4"/>
    </row>
    <row r="233" spans="1:18" ht="17.399999999999999" x14ac:dyDescent="0.25">
      <c r="A233" s="4"/>
      <c r="B233" s="23"/>
      <c r="C233" s="4"/>
      <c r="D233" s="4"/>
      <c r="E233" s="5"/>
      <c r="F233" s="4"/>
      <c r="G233" s="4"/>
      <c r="H233" s="4"/>
      <c r="I233" s="4"/>
      <c r="J233" s="4"/>
      <c r="K233" s="4"/>
      <c r="L233" s="4"/>
      <c r="M233" s="4"/>
      <c r="N233" s="4"/>
      <c r="O233" s="4"/>
      <c r="P233" s="4"/>
      <c r="Q233" s="4"/>
      <c r="R233" s="4"/>
    </row>
    <row r="234" spans="1:18" ht="17.399999999999999" x14ac:dyDescent="0.25">
      <c r="A234" s="4"/>
      <c r="B234" s="23"/>
      <c r="C234" s="4"/>
      <c r="D234" s="4"/>
      <c r="E234" s="5"/>
      <c r="F234" s="4"/>
      <c r="G234" s="4"/>
      <c r="H234" s="4"/>
      <c r="I234" s="4"/>
      <c r="J234" s="4"/>
      <c r="K234" s="4"/>
      <c r="L234" s="4"/>
      <c r="M234" s="4"/>
      <c r="N234" s="4"/>
      <c r="O234" s="4"/>
      <c r="P234" s="4"/>
      <c r="Q234" s="4"/>
      <c r="R234" s="4"/>
    </row>
    <row r="235" spans="1:18" ht="17.399999999999999" x14ac:dyDescent="0.25">
      <c r="A235" s="4"/>
      <c r="B235" s="23"/>
      <c r="C235" s="4"/>
      <c r="D235" s="4"/>
      <c r="E235" s="5"/>
      <c r="F235" s="4"/>
      <c r="G235" s="4"/>
      <c r="H235" s="4"/>
      <c r="I235" s="4"/>
      <c r="J235" s="4"/>
      <c r="K235" s="4"/>
      <c r="L235" s="4"/>
      <c r="M235" s="4"/>
      <c r="N235" s="4"/>
      <c r="O235" s="4"/>
      <c r="P235" s="4"/>
      <c r="Q235" s="4"/>
      <c r="R235" s="4"/>
    </row>
    <row r="236" spans="1:18" ht="17.399999999999999" x14ac:dyDescent="0.25">
      <c r="A236" s="4"/>
      <c r="B236" s="23"/>
      <c r="C236" s="4"/>
      <c r="D236" s="4"/>
      <c r="E236" s="5"/>
      <c r="F236" s="4"/>
      <c r="G236" s="4"/>
      <c r="H236" s="4"/>
      <c r="I236" s="4"/>
      <c r="J236" s="4"/>
      <c r="K236" s="4"/>
      <c r="L236" s="4"/>
      <c r="M236" s="4"/>
      <c r="N236" s="4"/>
      <c r="O236" s="4"/>
      <c r="P236" s="4"/>
      <c r="Q236" s="4"/>
      <c r="R236" s="4"/>
    </row>
    <row r="237" spans="1:18" ht="17.399999999999999" x14ac:dyDescent="0.25">
      <c r="A237" s="4"/>
      <c r="B237" s="23"/>
      <c r="C237" s="4"/>
      <c r="D237" s="4"/>
      <c r="E237" s="5"/>
      <c r="F237" s="4"/>
      <c r="G237" s="4"/>
      <c r="H237" s="4"/>
      <c r="I237" s="4"/>
      <c r="J237" s="4"/>
      <c r="K237" s="4"/>
      <c r="L237" s="4"/>
      <c r="M237" s="4"/>
      <c r="N237" s="4"/>
      <c r="O237" s="4"/>
      <c r="P237" s="4"/>
      <c r="Q237" s="4"/>
      <c r="R237" s="4"/>
    </row>
    <row r="238" spans="1:18" ht="17.399999999999999" x14ac:dyDescent="0.25">
      <c r="A238" s="4"/>
      <c r="B238" s="23"/>
      <c r="C238" s="4"/>
      <c r="D238" s="4"/>
      <c r="E238" s="5"/>
      <c r="F238" s="4"/>
      <c r="G238" s="4"/>
      <c r="H238" s="4"/>
      <c r="I238" s="4"/>
      <c r="J238" s="4"/>
      <c r="K238" s="4"/>
      <c r="L238" s="4"/>
      <c r="M238" s="4"/>
      <c r="N238" s="4"/>
      <c r="O238" s="4"/>
      <c r="P238" s="4"/>
      <c r="Q238" s="4"/>
      <c r="R238" s="4"/>
    </row>
    <row r="239" spans="1:18" ht="17.399999999999999" x14ac:dyDescent="0.25">
      <c r="A239" s="4"/>
      <c r="B239" s="23"/>
      <c r="C239" s="4"/>
      <c r="D239" s="4"/>
      <c r="E239" s="5"/>
      <c r="F239" s="4"/>
      <c r="G239" s="4"/>
      <c r="H239" s="4"/>
      <c r="I239" s="4"/>
      <c r="J239" s="4"/>
      <c r="K239" s="4"/>
      <c r="L239" s="4"/>
      <c r="M239" s="4"/>
      <c r="N239" s="4"/>
      <c r="O239" s="4"/>
      <c r="P239" s="4"/>
      <c r="Q239" s="4"/>
      <c r="R239" s="4"/>
    </row>
    <row r="240" spans="1:18" ht="17.399999999999999" x14ac:dyDescent="0.25">
      <c r="A240" s="4"/>
      <c r="B240" s="23"/>
      <c r="C240" s="4"/>
      <c r="D240" s="4"/>
      <c r="E240" s="5"/>
      <c r="F240" s="4"/>
      <c r="G240" s="4"/>
      <c r="H240" s="4"/>
      <c r="I240" s="4"/>
      <c r="J240" s="4"/>
      <c r="K240" s="4"/>
      <c r="L240" s="4"/>
      <c r="M240" s="4"/>
      <c r="N240" s="4"/>
      <c r="O240" s="4"/>
      <c r="P240" s="4"/>
      <c r="Q240" s="4"/>
      <c r="R240" s="4"/>
    </row>
    <row r="241" spans="1:18" ht="17.399999999999999" x14ac:dyDescent="0.25">
      <c r="A241" s="4"/>
      <c r="B241" s="23"/>
      <c r="C241" s="4"/>
      <c r="D241" s="4"/>
      <c r="E241" s="5"/>
      <c r="F241" s="4"/>
      <c r="G241" s="4"/>
      <c r="H241" s="4"/>
      <c r="I241" s="4"/>
      <c r="J241" s="4"/>
      <c r="K241" s="4"/>
      <c r="L241" s="4"/>
      <c r="M241" s="4"/>
      <c r="N241" s="4"/>
      <c r="O241" s="4"/>
      <c r="P241" s="4"/>
      <c r="Q241" s="4"/>
      <c r="R241" s="4"/>
    </row>
    <row r="242" spans="1:18" ht="17.399999999999999" x14ac:dyDescent="0.25">
      <c r="A242" s="4"/>
      <c r="B242" s="23"/>
      <c r="C242" s="4"/>
      <c r="D242" s="4"/>
      <c r="E242" s="5"/>
      <c r="F242" s="4"/>
      <c r="G242" s="4"/>
      <c r="H242" s="4"/>
      <c r="I242" s="4"/>
      <c r="J242" s="4"/>
      <c r="K242" s="4"/>
      <c r="L242" s="4"/>
      <c r="M242" s="4"/>
      <c r="N242" s="4"/>
      <c r="O242" s="4"/>
      <c r="P242" s="4"/>
      <c r="Q242" s="4"/>
      <c r="R242" s="4"/>
    </row>
    <row r="243" spans="1:18" ht="17.399999999999999" x14ac:dyDescent="0.25">
      <c r="A243" s="4"/>
      <c r="B243" s="23"/>
      <c r="C243" s="4"/>
      <c r="D243" s="4"/>
      <c r="E243" s="5"/>
      <c r="F243" s="4"/>
      <c r="G243" s="4"/>
      <c r="H243" s="4"/>
      <c r="I243" s="4"/>
      <c r="J243" s="4"/>
      <c r="K243" s="4"/>
      <c r="L243" s="4"/>
      <c r="M243" s="4"/>
      <c r="N243" s="4"/>
      <c r="O243" s="4"/>
      <c r="P243" s="4"/>
      <c r="Q243" s="4"/>
      <c r="R243" s="4"/>
    </row>
    <row r="244" spans="1:18" ht="17.399999999999999" x14ac:dyDescent="0.25">
      <c r="A244" s="4"/>
      <c r="B244" s="23"/>
      <c r="C244" s="4"/>
      <c r="D244" s="4"/>
      <c r="E244" s="5"/>
      <c r="F244" s="4"/>
      <c r="G244" s="4"/>
      <c r="H244" s="4"/>
      <c r="I244" s="4"/>
      <c r="J244" s="4"/>
      <c r="K244" s="4"/>
      <c r="L244" s="4"/>
      <c r="M244" s="4"/>
      <c r="N244" s="4"/>
      <c r="O244" s="4"/>
      <c r="P244" s="4"/>
      <c r="Q244" s="4"/>
      <c r="R244" s="4"/>
    </row>
    <row r="245" spans="1:18" ht="17.399999999999999" x14ac:dyDescent="0.25">
      <c r="A245" s="4"/>
      <c r="B245" s="23"/>
      <c r="C245" s="4"/>
      <c r="D245" s="4"/>
      <c r="E245" s="5"/>
      <c r="F245" s="4"/>
      <c r="G245" s="4"/>
      <c r="H245" s="4"/>
      <c r="I245" s="4"/>
      <c r="J245" s="4"/>
      <c r="K245" s="4"/>
      <c r="L245" s="4"/>
      <c r="M245" s="4"/>
      <c r="N245" s="4"/>
      <c r="O245" s="4"/>
      <c r="P245" s="4"/>
      <c r="Q245" s="4"/>
      <c r="R245" s="4"/>
    </row>
    <row r="246" spans="1:18" ht="17.399999999999999" x14ac:dyDescent="0.25">
      <c r="A246" s="4"/>
      <c r="B246" s="23"/>
      <c r="C246" s="4"/>
      <c r="D246" s="4"/>
      <c r="E246" s="5"/>
      <c r="F246" s="4"/>
      <c r="G246" s="4"/>
      <c r="H246" s="4"/>
      <c r="I246" s="4"/>
      <c r="J246" s="4"/>
      <c r="K246" s="4"/>
      <c r="L246" s="4"/>
      <c r="M246" s="4"/>
      <c r="N246" s="4"/>
      <c r="O246" s="4"/>
      <c r="P246" s="4"/>
      <c r="Q246" s="4"/>
      <c r="R246" s="4"/>
    </row>
    <row r="247" spans="1:18" ht="17.399999999999999" x14ac:dyDescent="0.25">
      <c r="A247" s="4"/>
      <c r="B247" s="23"/>
      <c r="C247" s="4"/>
      <c r="D247" s="4"/>
      <c r="E247" s="5"/>
      <c r="F247" s="4"/>
      <c r="G247" s="4"/>
      <c r="H247" s="4"/>
      <c r="I247" s="4"/>
      <c r="J247" s="4"/>
      <c r="K247" s="4"/>
      <c r="L247" s="4"/>
      <c r="M247" s="4"/>
      <c r="N247" s="4"/>
      <c r="O247" s="4"/>
      <c r="P247" s="4"/>
      <c r="Q247" s="4"/>
      <c r="R247" s="4"/>
    </row>
    <row r="248" spans="1:18" ht="17.399999999999999" x14ac:dyDescent="0.25">
      <c r="A248" s="4"/>
      <c r="B248" s="23"/>
      <c r="C248" s="4"/>
      <c r="D248" s="4"/>
      <c r="E248" s="5"/>
      <c r="F248" s="4"/>
      <c r="G248" s="4"/>
      <c r="H248" s="4"/>
      <c r="I248" s="4"/>
      <c r="J248" s="4"/>
      <c r="K248" s="4"/>
      <c r="L248" s="4"/>
      <c r="M248" s="4"/>
      <c r="N248" s="4"/>
      <c r="O248" s="4"/>
      <c r="P248" s="4"/>
      <c r="Q248" s="4"/>
      <c r="R248" s="4"/>
    </row>
    <row r="249" spans="1:18" ht="17.399999999999999" x14ac:dyDescent="0.25">
      <c r="A249" s="4"/>
      <c r="B249" s="23"/>
      <c r="C249" s="4"/>
      <c r="D249" s="4"/>
      <c r="E249" s="5"/>
      <c r="F249" s="4"/>
      <c r="G249" s="4"/>
      <c r="H249" s="4"/>
      <c r="I249" s="4"/>
      <c r="J249" s="4"/>
      <c r="K249" s="4"/>
      <c r="L249" s="4"/>
      <c r="M249" s="4"/>
      <c r="N249" s="4"/>
      <c r="O249" s="4"/>
      <c r="P249" s="4"/>
      <c r="Q249" s="4"/>
      <c r="R249" s="4"/>
    </row>
    <row r="250" spans="1:18" ht="17.399999999999999" x14ac:dyDescent="0.25">
      <c r="A250" s="4"/>
      <c r="B250" s="23"/>
      <c r="C250" s="4"/>
      <c r="D250" s="4"/>
      <c r="E250" s="5"/>
      <c r="F250" s="4"/>
      <c r="G250" s="4"/>
      <c r="H250" s="4"/>
      <c r="I250" s="4"/>
      <c r="J250" s="4"/>
      <c r="K250" s="4"/>
      <c r="L250" s="4"/>
      <c r="M250" s="4"/>
      <c r="N250" s="4"/>
      <c r="O250" s="4"/>
      <c r="P250" s="4"/>
      <c r="Q250" s="4"/>
      <c r="R250" s="4"/>
    </row>
    <row r="251" spans="1:18" ht="17.399999999999999" x14ac:dyDescent="0.25">
      <c r="A251" s="4"/>
      <c r="B251" s="23"/>
      <c r="C251" s="4"/>
      <c r="D251" s="4"/>
      <c r="E251" s="5"/>
      <c r="F251" s="4"/>
      <c r="G251" s="4"/>
      <c r="H251" s="4"/>
      <c r="I251" s="4"/>
      <c r="J251" s="4"/>
      <c r="K251" s="4"/>
      <c r="L251" s="4"/>
      <c r="M251" s="4"/>
      <c r="N251" s="4"/>
      <c r="O251" s="4"/>
      <c r="P251" s="4"/>
      <c r="Q251" s="4"/>
      <c r="R251" s="4"/>
    </row>
    <row r="252" spans="1:18" ht="17.399999999999999" x14ac:dyDescent="0.25">
      <c r="A252" s="4"/>
      <c r="B252" s="23"/>
      <c r="C252" s="4"/>
      <c r="D252" s="4"/>
      <c r="E252" s="5"/>
      <c r="F252" s="4"/>
      <c r="G252" s="4"/>
      <c r="H252" s="4"/>
      <c r="I252" s="4"/>
      <c r="J252" s="4"/>
      <c r="K252" s="4"/>
      <c r="L252" s="4"/>
      <c r="M252" s="4"/>
      <c r="N252" s="4"/>
      <c r="O252" s="4"/>
      <c r="P252" s="4"/>
      <c r="Q252" s="4"/>
      <c r="R252" s="4"/>
    </row>
    <row r="253" spans="1:18" ht="17.399999999999999" x14ac:dyDescent="0.25">
      <c r="A253" s="4"/>
      <c r="B253" s="23"/>
      <c r="C253" s="4"/>
      <c r="D253" s="4"/>
      <c r="E253" s="5"/>
      <c r="F253" s="4"/>
      <c r="G253" s="4"/>
      <c r="H253" s="4"/>
      <c r="I253" s="4"/>
      <c r="J253" s="4"/>
      <c r="K253" s="4"/>
      <c r="L253" s="4"/>
      <c r="M253" s="4"/>
      <c r="N253" s="4"/>
      <c r="O253" s="4"/>
      <c r="P253" s="4"/>
      <c r="Q253" s="4"/>
      <c r="R253" s="4"/>
    </row>
    <row r="254" spans="1:18" ht="17.399999999999999" x14ac:dyDescent="0.25">
      <c r="A254" s="4"/>
      <c r="B254" s="23"/>
      <c r="C254" s="4"/>
      <c r="D254" s="4"/>
      <c r="E254" s="5"/>
      <c r="F254" s="4"/>
      <c r="G254" s="4"/>
      <c r="H254" s="4"/>
      <c r="I254" s="4"/>
      <c r="J254" s="4"/>
      <c r="K254" s="4"/>
      <c r="L254" s="4"/>
      <c r="M254" s="4"/>
      <c r="N254" s="4"/>
      <c r="O254" s="4"/>
      <c r="P254" s="4"/>
      <c r="Q254" s="4"/>
      <c r="R254" s="4"/>
    </row>
    <row r="255" spans="1:18" ht="17.399999999999999" x14ac:dyDescent="0.25">
      <c r="A255" s="4"/>
      <c r="B255" s="23"/>
      <c r="C255" s="4"/>
      <c r="D255" s="4"/>
      <c r="E255" s="5"/>
      <c r="F255" s="4"/>
      <c r="G255" s="4"/>
      <c r="H255" s="4"/>
      <c r="I255" s="4"/>
      <c r="J255" s="4"/>
      <c r="K255" s="4"/>
      <c r="L255" s="4"/>
      <c r="M255" s="4"/>
      <c r="N255" s="4"/>
      <c r="O255" s="4"/>
      <c r="P255" s="4"/>
      <c r="Q255" s="4"/>
      <c r="R255" s="4"/>
    </row>
    <row r="256" spans="1:18" ht="17.399999999999999" x14ac:dyDescent="0.25">
      <c r="A256" s="4"/>
      <c r="B256" s="23"/>
      <c r="C256" s="4"/>
      <c r="D256" s="4"/>
      <c r="E256" s="5"/>
      <c r="F256" s="4"/>
      <c r="G256" s="4"/>
      <c r="H256" s="4"/>
      <c r="I256" s="4"/>
      <c r="J256" s="4"/>
      <c r="K256" s="4"/>
      <c r="L256" s="4"/>
      <c r="M256" s="4"/>
      <c r="N256" s="4"/>
      <c r="O256" s="4"/>
      <c r="P256" s="4"/>
      <c r="Q256" s="4"/>
      <c r="R256" s="4"/>
    </row>
    <row r="257" spans="1:18" ht="17.399999999999999" x14ac:dyDescent="0.25">
      <c r="A257" s="4"/>
      <c r="B257" s="23"/>
      <c r="C257" s="4"/>
      <c r="D257" s="4"/>
      <c r="E257" s="5"/>
      <c r="F257" s="4"/>
      <c r="G257" s="4"/>
      <c r="H257" s="4"/>
      <c r="I257" s="4"/>
      <c r="J257" s="4"/>
      <c r="K257" s="4"/>
      <c r="L257" s="4"/>
      <c r="M257" s="4"/>
      <c r="N257" s="4"/>
      <c r="O257" s="4"/>
      <c r="P257" s="4"/>
      <c r="Q257" s="4"/>
      <c r="R257" s="4"/>
    </row>
    <row r="258" spans="1:18" ht="17.399999999999999" x14ac:dyDescent="0.25">
      <c r="A258" s="4"/>
      <c r="B258" s="23"/>
      <c r="C258" s="4"/>
      <c r="D258" s="4"/>
      <c r="E258" s="5"/>
      <c r="F258" s="4"/>
      <c r="G258" s="4"/>
      <c r="H258" s="4"/>
      <c r="I258" s="4"/>
      <c r="J258" s="4"/>
      <c r="K258" s="4"/>
      <c r="L258" s="4"/>
      <c r="M258" s="4"/>
      <c r="N258" s="4"/>
      <c r="O258" s="4"/>
      <c r="P258" s="4"/>
      <c r="Q258" s="4"/>
      <c r="R258" s="4"/>
    </row>
    <row r="259" spans="1:18" ht="17.399999999999999" x14ac:dyDescent="0.25">
      <c r="A259" s="4"/>
      <c r="B259" s="23"/>
      <c r="C259" s="4"/>
      <c r="D259" s="4"/>
      <c r="E259" s="5"/>
      <c r="F259" s="4"/>
      <c r="G259" s="4"/>
      <c r="H259" s="4"/>
      <c r="I259" s="4"/>
      <c r="J259" s="4"/>
      <c r="K259" s="4"/>
      <c r="L259" s="4"/>
      <c r="M259" s="4"/>
      <c r="N259" s="4"/>
      <c r="O259" s="4"/>
      <c r="P259" s="4"/>
      <c r="Q259" s="4"/>
      <c r="R259" s="4"/>
    </row>
    <row r="260" spans="1:18" ht="17.399999999999999" x14ac:dyDescent="0.25">
      <c r="A260" s="4"/>
      <c r="B260" s="23"/>
      <c r="C260" s="4"/>
      <c r="D260" s="4"/>
      <c r="E260" s="5"/>
      <c r="F260" s="4"/>
      <c r="G260" s="4"/>
      <c r="H260" s="4"/>
      <c r="I260" s="4"/>
      <c r="J260" s="4"/>
      <c r="K260" s="4"/>
      <c r="L260" s="4"/>
      <c r="M260" s="4"/>
      <c r="N260" s="4"/>
      <c r="O260" s="4"/>
      <c r="P260" s="4"/>
      <c r="Q260" s="4"/>
      <c r="R260" s="4"/>
    </row>
    <row r="261" spans="1:18" ht="17.399999999999999" x14ac:dyDescent="0.25">
      <c r="A261" s="4"/>
      <c r="B261" s="23"/>
      <c r="C261" s="4"/>
      <c r="D261" s="4"/>
      <c r="E261" s="5"/>
      <c r="F261" s="4"/>
      <c r="G261" s="4"/>
      <c r="H261" s="4"/>
      <c r="I261" s="4"/>
      <c r="J261" s="4"/>
      <c r="K261" s="4"/>
      <c r="L261" s="4"/>
      <c r="M261" s="4"/>
      <c r="N261" s="4"/>
      <c r="O261" s="4"/>
      <c r="P261" s="4"/>
      <c r="Q261" s="4"/>
      <c r="R261" s="4"/>
    </row>
    <row r="262" spans="1:18" ht="17.399999999999999" x14ac:dyDescent="0.25">
      <c r="A262" s="4"/>
      <c r="B262" s="23"/>
      <c r="C262" s="4"/>
      <c r="D262" s="4"/>
      <c r="E262" s="5"/>
      <c r="F262" s="4"/>
      <c r="G262" s="4"/>
      <c r="H262" s="4"/>
      <c r="I262" s="4"/>
      <c r="J262" s="4"/>
      <c r="K262" s="4"/>
      <c r="L262" s="4"/>
      <c r="M262" s="4"/>
      <c r="N262" s="4"/>
      <c r="O262" s="4"/>
      <c r="P262" s="4"/>
      <c r="Q262" s="4"/>
      <c r="R262" s="4"/>
    </row>
    <row r="263" spans="1:18" ht="17.399999999999999" x14ac:dyDescent="0.25">
      <c r="A263" s="4"/>
      <c r="B263" s="23"/>
      <c r="C263" s="4"/>
      <c r="D263" s="4"/>
      <c r="E263" s="5"/>
      <c r="F263" s="4"/>
      <c r="G263" s="4"/>
      <c r="H263" s="4"/>
      <c r="I263" s="4"/>
      <c r="J263" s="4"/>
      <c r="K263" s="4"/>
      <c r="L263" s="4"/>
      <c r="M263" s="4"/>
      <c r="N263" s="4"/>
      <c r="O263" s="4"/>
      <c r="P263" s="4"/>
      <c r="Q263" s="4"/>
      <c r="R263" s="4"/>
    </row>
    <row r="264" spans="1:18" ht="17.399999999999999" x14ac:dyDescent="0.25">
      <c r="A264" s="4"/>
      <c r="B264" s="23"/>
      <c r="C264" s="4"/>
      <c r="D264" s="4"/>
      <c r="E264" s="5"/>
      <c r="F264" s="4"/>
      <c r="G264" s="4"/>
      <c r="H264" s="4"/>
      <c r="I264" s="4"/>
      <c r="J264" s="4"/>
      <c r="K264" s="4"/>
      <c r="L264" s="4"/>
      <c r="M264" s="4"/>
      <c r="N264" s="4"/>
      <c r="O264" s="4"/>
      <c r="P264" s="4"/>
      <c r="Q264" s="4"/>
      <c r="R264" s="4"/>
    </row>
    <row r="265" spans="1:18" ht="17.399999999999999" x14ac:dyDescent="0.25">
      <c r="A265" s="4"/>
      <c r="B265" s="23"/>
      <c r="C265" s="4"/>
      <c r="D265" s="4"/>
      <c r="E265" s="5"/>
      <c r="F265" s="4"/>
      <c r="G265" s="4"/>
      <c r="H265" s="4"/>
      <c r="I265" s="4"/>
      <c r="J265" s="4"/>
      <c r="K265" s="4"/>
      <c r="L265" s="4"/>
      <c r="M265" s="4"/>
      <c r="N265" s="4"/>
      <c r="O265" s="4"/>
      <c r="P265" s="4"/>
      <c r="Q265" s="4"/>
      <c r="R265" s="4"/>
    </row>
    <row r="266" spans="1:18" ht="17.399999999999999" x14ac:dyDescent="0.25">
      <c r="A266" s="4"/>
      <c r="B266" s="23"/>
      <c r="C266" s="4"/>
      <c r="D266" s="4"/>
      <c r="E266" s="5"/>
      <c r="F266" s="4"/>
      <c r="G266" s="4"/>
      <c r="H266" s="4"/>
      <c r="I266" s="4"/>
      <c r="J266" s="4"/>
      <c r="K266" s="4"/>
      <c r="L266" s="4"/>
      <c r="M266" s="4"/>
      <c r="N266" s="4"/>
      <c r="O266" s="4"/>
      <c r="P266" s="4"/>
      <c r="Q266" s="4"/>
      <c r="R266" s="4"/>
    </row>
    <row r="267" spans="1:18" ht="17.399999999999999" x14ac:dyDescent="0.25">
      <c r="A267" s="4"/>
      <c r="B267" s="23"/>
      <c r="C267" s="4"/>
      <c r="D267" s="4"/>
      <c r="E267" s="5"/>
      <c r="F267" s="4"/>
      <c r="G267" s="4"/>
      <c r="H267" s="4"/>
      <c r="I267" s="4"/>
      <c r="J267" s="4"/>
      <c r="K267" s="4"/>
      <c r="L267" s="4"/>
      <c r="M267" s="4"/>
      <c r="N267" s="4"/>
      <c r="O267" s="4"/>
      <c r="P267" s="4"/>
      <c r="Q267" s="4"/>
      <c r="R267" s="4"/>
    </row>
    <row r="268" spans="1:18" ht="17.399999999999999" x14ac:dyDescent="0.25">
      <c r="A268" s="4"/>
      <c r="B268" s="23"/>
      <c r="C268" s="4"/>
      <c r="D268" s="4"/>
      <c r="E268" s="5"/>
      <c r="F268" s="4"/>
      <c r="G268" s="4"/>
      <c r="H268" s="4"/>
      <c r="I268" s="4"/>
      <c r="J268" s="4"/>
      <c r="K268" s="4"/>
      <c r="L268" s="4"/>
      <c r="M268" s="4"/>
      <c r="N268" s="4"/>
      <c r="O268" s="4"/>
      <c r="P268" s="4"/>
      <c r="Q268" s="4"/>
      <c r="R268" s="4"/>
    </row>
    <row r="269" spans="1:18" ht="17.399999999999999" x14ac:dyDescent="0.25">
      <c r="A269" s="4"/>
      <c r="B269" s="23"/>
      <c r="C269" s="4"/>
      <c r="D269" s="4"/>
      <c r="E269" s="5"/>
      <c r="F269" s="4"/>
      <c r="G269" s="4"/>
      <c r="H269" s="4"/>
      <c r="I269" s="4"/>
      <c r="J269" s="4"/>
      <c r="K269" s="4"/>
      <c r="L269" s="4"/>
      <c r="M269" s="4"/>
      <c r="N269" s="4"/>
      <c r="O269" s="4"/>
      <c r="P269" s="4"/>
      <c r="Q269" s="4"/>
      <c r="R269" s="4"/>
    </row>
    <row r="270" spans="1:18" ht="17.399999999999999" x14ac:dyDescent="0.25">
      <c r="A270" s="4"/>
      <c r="B270" s="23"/>
      <c r="C270" s="4"/>
      <c r="D270" s="4"/>
      <c r="E270" s="5"/>
      <c r="F270" s="4"/>
      <c r="G270" s="4"/>
      <c r="H270" s="4"/>
      <c r="I270" s="4"/>
      <c r="J270" s="4"/>
      <c r="K270" s="4"/>
      <c r="L270" s="4"/>
      <c r="M270" s="4"/>
      <c r="N270" s="4"/>
      <c r="O270" s="4"/>
      <c r="P270" s="4"/>
      <c r="Q270" s="4"/>
      <c r="R270" s="4"/>
    </row>
    <row r="271" spans="1:18" ht="17.399999999999999" x14ac:dyDescent="0.25">
      <c r="A271" s="4"/>
      <c r="B271" s="23"/>
      <c r="C271" s="4"/>
      <c r="D271" s="4"/>
      <c r="E271" s="5"/>
      <c r="F271" s="4"/>
      <c r="G271" s="4"/>
      <c r="H271" s="4"/>
      <c r="I271" s="4"/>
      <c r="J271" s="4"/>
      <c r="K271" s="4"/>
      <c r="L271" s="4"/>
      <c r="M271" s="4"/>
      <c r="N271" s="4"/>
      <c r="O271" s="4"/>
      <c r="P271" s="4"/>
      <c r="Q271" s="4"/>
      <c r="R271" s="4"/>
    </row>
    <row r="272" spans="1:18" ht="17.399999999999999" x14ac:dyDescent="0.25">
      <c r="A272" s="4"/>
      <c r="B272" s="23"/>
      <c r="C272" s="4"/>
      <c r="D272" s="4"/>
      <c r="E272" s="5"/>
      <c r="F272" s="4"/>
      <c r="G272" s="4"/>
      <c r="H272" s="4"/>
      <c r="I272" s="4"/>
      <c r="J272" s="4"/>
      <c r="K272" s="4"/>
      <c r="L272" s="4"/>
      <c r="M272" s="4"/>
      <c r="N272" s="4"/>
      <c r="O272" s="4"/>
      <c r="P272" s="4"/>
      <c r="Q272" s="4"/>
      <c r="R272" s="4"/>
    </row>
    <row r="273" spans="1:18" ht="17.399999999999999" x14ac:dyDescent="0.25">
      <c r="A273" s="4"/>
      <c r="B273" s="23"/>
      <c r="C273" s="4"/>
      <c r="D273" s="4"/>
      <c r="E273" s="5"/>
      <c r="F273" s="4"/>
      <c r="G273" s="4"/>
      <c r="H273" s="4"/>
      <c r="I273" s="4"/>
      <c r="J273" s="4"/>
      <c r="K273" s="4"/>
      <c r="L273" s="4"/>
      <c r="M273" s="4"/>
      <c r="N273" s="4"/>
      <c r="O273" s="4"/>
      <c r="P273" s="4"/>
      <c r="Q273" s="4"/>
      <c r="R273" s="4"/>
    </row>
    <row r="274" spans="1:18" ht="17.399999999999999" x14ac:dyDescent="0.25">
      <c r="A274" s="4"/>
      <c r="B274" s="23"/>
      <c r="C274" s="4"/>
      <c r="D274" s="4"/>
      <c r="E274" s="5"/>
      <c r="F274" s="4"/>
      <c r="G274" s="4"/>
      <c r="H274" s="4"/>
      <c r="I274" s="4"/>
      <c r="J274" s="4"/>
      <c r="K274" s="4"/>
      <c r="L274" s="4"/>
      <c r="M274" s="4"/>
      <c r="N274" s="4"/>
      <c r="O274" s="4"/>
      <c r="P274" s="4"/>
      <c r="Q274" s="4"/>
      <c r="R274" s="4"/>
    </row>
    <row r="275" spans="1:18" ht="17.399999999999999" x14ac:dyDescent="0.25">
      <c r="A275" s="4"/>
      <c r="B275" s="23"/>
      <c r="C275" s="4"/>
      <c r="D275" s="4"/>
      <c r="E275" s="5"/>
      <c r="F275" s="4"/>
      <c r="G275" s="4"/>
      <c r="H275" s="4"/>
      <c r="I275" s="4"/>
      <c r="J275" s="4"/>
      <c r="K275" s="4"/>
      <c r="L275" s="4"/>
      <c r="M275" s="4"/>
      <c r="N275" s="4"/>
      <c r="O275" s="4"/>
      <c r="P275" s="4"/>
      <c r="Q275" s="4"/>
      <c r="R275" s="4"/>
    </row>
    <row r="276" spans="1:18" ht="17.399999999999999" x14ac:dyDescent="0.25">
      <c r="A276" s="4"/>
      <c r="B276" s="23"/>
      <c r="C276" s="4"/>
      <c r="D276" s="4"/>
      <c r="E276" s="5"/>
      <c r="F276" s="4"/>
      <c r="G276" s="4"/>
      <c r="H276" s="4"/>
      <c r="I276" s="4"/>
      <c r="J276" s="4"/>
      <c r="K276" s="4"/>
      <c r="L276" s="4"/>
      <c r="M276" s="4"/>
      <c r="N276" s="4"/>
      <c r="O276" s="4"/>
      <c r="P276" s="4"/>
      <c r="Q276" s="4"/>
      <c r="R276" s="4"/>
    </row>
    <row r="277" spans="1:18" ht="17.399999999999999" x14ac:dyDescent="0.25">
      <c r="A277" s="4"/>
      <c r="B277" s="23"/>
      <c r="C277" s="4"/>
      <c r="D277" s="4"/>
      <c r="E277" s="5"/>
      <c r="F277" s="4"/>
      <c r="G277" s="4"/>
      <c r="H277" s="4"/>
      <c r="I277" s="4"/>
      <c r="J277" s="4"/>
      <c r="K277" s="4"/>
      <c r="L277" s="4"/>
      <c r="M277" s="4"/>
      <c r="N277" s="4"/>
      <c r="O277" s="4"/>
      <c r="P277" s="4"/>
      <c r="Q277" s="4"/>
      <c r="R277" s="4"/>
    </row>
    <row r="278" spans="1:18" ht="17.399999999999999" x14ac:dyDescent="0.25">
      <c r="A278" s="4"/>
      <c r="B278" s="23"/>
      <c r="C278" s="4"/>
      <c r="D278" s="4"/>
      <c r="E278" s="5"/>
      <c r="F278" s="4"/>
      <c r="G278" s="4"/>
      <c r="H278" s="4"/>
      <c r="I278" s="4"/>
      <c r="J278" s="4"/>
      <c r="K278" s="4"/>
      <c r="L278" s="4"/>
      <c r="M278" s="4"/>
      <c r="N278" s="4"/>
      <c r="O278" s="4"/>
      <c r="P278" s="4"/>
      <c r="Q278" s="4"/>
      <c r="R278" s="4"/>
    </row>
    <row r="279" spans="1:18" ht="17.399999999999999" x14ac:dyDescent="0.25">
      <c r="A279" s="4"/>
      <c r="B279" s="23"/>
      <c r="C279" s="4"/>
      <c r="D279" s="4"/>
      <c r="E279" s="5"/>
      <c r="F279" s="4"/>
      <c r="G279" s="4"/>
      <c r="H279" s="4"/>
      <c r="I279" s="4"/>
      <c r="J279" s="4"/>
      <c r="K279" s="4"/>
      <c r="L279" s="4"/>
      <c r="M279" s="4"/>
      <c r="N279" s="4"/>
      <c r="O279" s="4"/>
      <c r="P279" s="4"/>
      <c r="Q279" s="4"/>
      <c r="R279" s="4"/>
    </row>
    <row r="280" spans="1:18" ht="17.399999999999999" x14ac:dyDescent="0.25">
      <c r="A280" s="4"/>
      <c r="B280" s="23"/>
      <c r="C280" s="4"/>
      <c r="D280" s="4"/>
      <c r="E280" s="5"/>
      <c r="F280" s="4"/>
      <c r="G280" s="4"/>
      <c r="H280" s="4"/>
      <c r="I280" s="4"/>
      <c r="J280" s="4"/>
      <c r="K280" s="4"/>
      <c r="L280" s="4"/>
      <c r="M280" s="4"/>
      <c r="N280" s="4"/>
      <c r="O280" s="4"/>
      <c r="P280" s="4"/>
      <c r="Q280" s="4"/>
      <c r="R280" s="4"/>
    </row>
    <row r="281" spans="1:18" ht="17.399999999999999" x14ac:dyDescent="0.25">
      <c r="A281" s="4"/>
      <c r="B281" s="23"/>
      <c r="C281" s="4"/>
      <c r="D281" s="4"/>
      <c r="E281" s="5"/>
      <c r="F281" s="4"/>
      <c r="G281" s="4"/>
      <c r="H281" s="4"/>
      <c r="I281" s="4"/>
      <c r="J281" s="4"/>
      <c r="K281" s="4"/>
      <c r="L281" s="4"/>
      <c r="M281" s="4"/>
      <c r="N281" s="4"/>
      <c r="O281" s="4"/>
      <c r="P281" s="4"/>
      <c r="Q281" s="4"/>
      <c r="R281" s="4"/>
    </row>
    <row r="282" spans="1:18" ht="17.399999999999999" x14ac:dyDescent="0.25">
      <c r="A282" s="4"/>
      <c r="B282" s="23"/>
      <c r="C282" s="4"/>
      <c r="D282" s="4"/>
      <c r="E282" s="5"/>
      <c r="F282" s="4"/>
      <c r="G282" s="4"/>
      <c r="H282" s="4"/>
      <c r="I282" s="4"/>
      <c r="J282" s="4"/>
      <c r="K282" s="4"/>
      <c r="L282" s="4"/>
      <c r="M282" s="4"/>
      <c r="N282" s="4"/>
      <c r="O282" s="4"/>
      <c r="P282" s="4"/>
      <c r="Q282" s="4"/>
      <c r="R282" s="4"/>
    </row>
    <row r="283" spans="1:18" ht="17.399999999999999" x14ac:dyDescent="0.25">
      <c r="A283" s="4"/>
      <c r="B283" s="23"/>
      <c r="C283" s="4"/>
      <c r="D283" s="4"/>
      <c r="E283" s="5"/>
      <c r="F283" s="4"/>
      <c r="G283" s="4"/>
      <c r="H283" s="4"/>
      <c r="I283" s="4"/>
      <c r="J283" s="4"/>
      <c r="K283" s="4"/>
      <c r="L283" s="4"/>
      <c r="M283" s="4"/>
      <c r="N283" s="4"/>
      <c r="O283" s="4"/>
      <c r="P283" s="4"/>
      <c r="Q283" s="4"/>
      <c r="R283" s="4"/>
    </row>
    <row r="284" spans="1:18" ht="17.399999999999999" x14ac:dyDescent="0.25">
      <c r="A284" s="4"/>
      <c r="B284" s="23"/>
      <c r="C284" s="4"/>
      <c r="D284" s="4"/>
      <c r="E284" s="5"/>
      <c r="F284" s="4"/>
      <c r="G284" s="4"/>
      <c r="H284" s="4"/>
      <c r="I284" s="4"/>
      <c r="J284" s="4"/>
      <c r="K284" s="4"/>
      <c r="L284" s="4"/>
      <c r="M284" s="4"/>
      <c r="N284" s="4"/>
      <c r="O284" s="4"/>
      <c r="P284" s="4"/>
      <c r="Q284" s="4"/>
      <c r="R284" s="4"/>
    </row>
    <row r="285" spans="1:18" ht="17.399999999999999" x14ac:dyDescent="0.25">
      <c r="A285" s="4"/>
      <c r="B285" s="23"/>
      <c r="C285" s="4"/>
      <c r="D285" s="4"/>
      <c r="E285" s="5"/>
      <c r="F285" s="4"/>
      <c r="G285" s="4"/>
      <c r="H285" s="4"/>
      <c r="I285" s="4"/>
      <c r="J285" s="4"/>
      <c r="K285" s="4"/>
      <c r="L285" s="4"/>
      <c r="M285" s="4"/>
      <c r="N285" s="4"/>
      <c r="O285" s="4"/>
      <c r="P285" s="4"/>
      <c r="Q285" s="4"/>
      <c r="R285" s="4"/>
    </row>
    <row r="286" spans="1:18" ht="17.399999999999999" x14ac:dyDescent="0.25">
      <c r="A286" s="4"/>
      <c r="B286" s="23"/>
      <c r="C286" s="4"/>
      <c r="D286" s="4"/>
      <c r="E286" s="5"/>
      <c r="F286" s="4"/>
      <c r="G286" s="4"/>
      <c r="H286" s="4"/>
      <c r="I286" s="4"/>
      <c r="J286" s="4"/>
      <c r="K286" s="4"/>
      <c r="L286" s="4"/>
      <c r="M286" s="4"/>
      <c r="N286" s="4"/>
      <c r="O286" s="4"/>
      <c r="P286" s="4"/>
      <c r="Q286" s="4"/>
      <c r="R286" s="4"/>
    </row>
    <row r="287" spans="1:18" ht="17.399999999999999" x14ac:dyDescent="0.25">
      <c r="A287" s="4"/>
      <c r="B287" s="23"/>
      <c r="C287" s="4"/>
      <c r="D287" s="4"/>
      <c r="E287" s="5"/>
      <c r="F287" s="4"/>
      <c r="G287" s="4"/>
      <c r="H287" s="4"/>
      <c r="I287" s="4"/>
      <c r="J287" s="4"/>
      <c r="K287" s="4"/>
      <c r="L287" s="4"/>
      <c r="M287" s="4"/>
      <c r="N287" s="4"/>
      <c r="O287" s="4"/>
      <c r="P287" s="4"/>
      <c r="Q287" s="4"/>
      <c r="R287" s="4"/>
    </row>
    <row r="288" spans="1:18" ht="17.399999999999999" x14ac:dyDescent="0.25">
      <c r="A288" s="4"/>
      <c r="B288" s="23"/>
      <c r="C288" s="4"/>
      <c r="D288" s="4"/>
      <c r="E288" s="5"/>
      <c r="F288" s="4"/>
      <c r="G288" s="4"/>
      <c r="H288" s="4"/>
      <c r="I288" s="4"/>
      <c r="J288" s="4"/>
      <c r="K288" s="4"/>
      <c r="L288" s="4"/>
      <c r="M288" s="4"/>
      <c r="N288" s="4"/>
      <c r="O288" s="4"/>
      <c r="P288" s="4"/>
      <c r="Q288" s="4"/>
      <c r="R288" s="4"/>
    </row>
    <row r="289" spans="1:18" ht="17.399999999999999" x14ac:dyDescent="0.25">
      <c r="A289" s="4"/>
      <c r="B289" s="23"/>
      <c r="C289" s="4"/>
      <c r="D289" s="4"/>
      <c r="E289" s="5"/>
      <c r="F289" s="4"/>
      <c r="G289" s="4"/>
      <c r="H289" s="4"/>
      <c r="I289" s="4"/>
      <c r="J289" s="4"/>
      <c r="K289" s="4"/>
      <c r="L289" s="4"/>
      <c r="M289" s="4"/>
      <c r="N289" s="4"/>
      <c r="O289" s="4"/>
      <c r="P289" s="4"/>
      <c r="Q289" s="4"/>
      <c r="R289" s="4"/>
    </row>
    <row r="290" spans="1:18" ht="17.399999999999999" x14ac:dyDescent="0.25">
      <c r="A290" s="4"/>
      <c r="B290" s="23"/>
      <c r="C290" s="4"/>
      <c r="D290" s="4"/>
      <c r="E290" s="5"/>
      <c r="F290" s="4"/>
      <c r="G290" s="4"/>
      <c r="H290" s="4"/>
      <c r="I290" s="4"/>
      <c r="J290" s="4"/>
      <c r="K290" s="4"/>
      <c r="L290" s="4"/>
      <c r="M290" s="4"/>
      <c r="N290" s="4"/>
      <c r="O290" s="4"/>
      <c r="P290" s="4"/>
      <c r="Q290" s="4"/>
      <c r="R290" s="4"/>
    </row>
    <row r="291" spans="1:18" ht="17.399999999999999" x14ac:dyDescent="0.25">
      <c r="A291" s="4"/>
      <c r="B291" s="23"/>
      <c r="C291" s="4"/>
      <c r="D291" s="4"/>
      <c r="E291" s="5"/>
      <c r="F291" s="4"/>
      <c r="G291" s="4"/>
      <c r="H291" s="4"/>
      <c r="I291" s="4"/>
      <c r="J291" s="4"/>
      <c r="K291" s="4"/>
      <c r="L291" s="4"/>
      <c r="M291" s="4"/>
      <c r="N291" s="4"/>
      <c r="O291" s="4"/>
      <c r="P291" s="4"/>
      <c r="Q291" s="4"/>
      <c r="R291" s="4"/>
    </row>
    <row r="292" spans="1:18" ht="17.399999999999999" x14ac:dyDescent="0.25">
      <c r="A292" s="4"/>
      <c r="B292" s="23"/>
      <c r="C292" s="4"/>
      <c r="D292" s="4"/>
      <c r="E292" s="5"/>
      <c r="F292" s="4"/>
      <c r="G292" s="4"/>
      <c r="H292" s="4"/>
      <c r="I292" s="4"/>
      <c r="J292" s="4"/>
      <c r="K292" s="4"/>
      <c r="L292" s="4"/>
      <c r="M292" s="4"/>
      <c r="N292" s="4"/>
      <c r="O292" s="4"/>
      <c r="P292" s="4"/>
      <c r="Q292" s="4"/>
      <c r="R292" s="4"/>
    </row>
    <row r="293" spans="1:18" ht="17.399999999999999" x14ac:dyDescent="0.25">
      <c r="A293" s="4"/>
      <c r="B293" s="23"/>
      <c r="C293" s="4"/>
      <c r="D293" s="4"/>
      <c r="E293" s="5"/>
      <c r="F293" s="4"/>
      <c r="G293" s="4"/>
      <c r="H293" s="4"/>
      <c r="I293" s="4"/>
      <c r="J293" s="4"/>
      <c r="K293" s="4"/>
      <c r="L293" s="4"/>
      <c r="M293" s="4"/>
      <c r="N293" s="4"/>
      <c r="O293" s="4"/>
      <c r="P293" s="4"/>
      <c r="Q293" s="4"/>
      <c r="R293" s="4"/>
    </row>
    <row r="294" spans="1:18" ht="17.399999999999999" x14ac:dyDescent="0.25">
      <c r="A294" s="4"/>
      <c r="B294" s="23"/>
      <c r="C294" s="4"/>
      <c r="D294" s="4"/>
      <c r="E294" s="5"/>
      <c r="F294" s="4"/>
      <c r="G294" s="4"/>
      <c r="H294" s="4"/>
      <c r="I294" s="4"/>
      <c r="J294" s="4"/>
      <c r="K294" s="4"/>
      <c r="L294" s="4"/>
      <c r="M294" s="4"/>
      <c r="N294" s="4"/>
      <c r="O294" s="4"/>
      <c r="P294" s="4"/>
      <c r="Q294" s="4"/>
      <c r="R294" s="4"/>
    </row>
    <row r="295" spans="1:18" ht="17.399999999999999" x14ac:dyDescent="0.25">
      <c r="A295" s="4"/>
      <c r="B295" s="23"/>
      <c r="C295" s="4"/>
      <c r="D295" s="4"/>
      <c r="E295" s="5"/>
      <c r="F295" s="4"/>
      <c r="G295" s="4"/>
      <c r="H295" s="4"/>
      <c r="I295" s="4"/>
      <c r="J295" s="4"/>
      <c r="K295" s="4"/>
      <c r="L295" s="4"/>
      <c r="M295" s="4"/>
      <c r="N295" s="4"/>
      <c r="O295" s="4"/>
      <c r="P295" s="4"/>
      <c r="Q295" s="4"/>
      <c r="R295" s="4"/>
    </row>
    <row r="296" spans="1:18" ht="17.399999999999999" x14ac:dyDescent="0.25">
      <c r="A296" s="4"/>
      <c r="B296" s="23"/>
      <c r="C296" s="4"/>
      <c r="D296" s="4"/>
      <c r="E296" s="5"/>
      <c r="F296" s="4"/>
      <c r="G296" s="4"/>
      <c r="H296" s="4"/>
      <c r="I296" s="4"/>
      <c r="J296" s="4"/>
      <c r="K296" s="4"/>
      <c r="L296" s="4"/>
      <c r="M296" s="4"/>
      <c r="N296" s="4"/>
      <c r="O296" s="4"/>
      <c r="P296" s="4"/>
      <c r="Q296" s="4"/>
      <c r="R296" s="4"/>
    </row>
    <row r="297" spans="1:18" ht="17.399999999999999" x14ac:dyDescent="0.25">
      <c r="A297" s="4"/>
      <c r="B297" s="23"/>
      <c r="C297" s="4"/>
      <c r="D297" s="4"/>
      <c r="E297" s="5"/>
      <c r="F297" s="4"/>
      <c r="G297" s="4"/>
      <c r="H297" s="4"/>
      <c r="I297" s="4"/>
      <c r="J297" s="4"/>
      <c r="K297" s="4"/>
      <c r="L297" s="4"/>
      <c r="M297" s="4"/>
      <c r="N297" s="4"/>
      <c r="O297" s="4"/>
      <c r="P297" s="4"/>
      <c r="Q297" s="4"/>
      <c r="R297" s="4"/>
    </row>
    <row r="298" spans="1:18" ht="17.399999999999999" x14ac:dyDescent="0.25">
      <c r="A298" s="4"/>
      <c r="B298" s="23"/>
      <c r="C298" s="4"/>
      <c r="D298" s="4"/>
      <c r="E298" s="5"/>
      <c r="F298" s="4"/>
      <c r="G298" s="4"/>
      <c r="H298" s="4"/>
      <c r="I298" s="4"/>
      <c r="J298" s="4"/>
      <c r="K298" s="4"/>
      <c r="L298" s="4"/>
      <c r="M298" s="4"/>
      <c r="N298" s="4"/>
      <c r="O298" s="4"/>
      <c r="P298" s="4"/>
      <c r="Q298" s="4"/>
      <c r="R298" s="4"/>
    </row>
    <row r="299" spans="1:18" ht="17.399999999999999" x14ac:dyDescent="0.25">
      <c r="A299" s="4"/>
      <c r="B299" s="23"/>
      <c r="C299" s="4"/>
      <c r="D299" s="4"/>
      <c r="E299" s="5"/>
      <c r="F299" s="4"/>
      <c r="G299" s="4"/>
      <c r="H299" s="4"/>
      <c r="I299" s="4"/>
      <c r="J299" s="4"/>
      <c r="K299" s="4"/>
      <c r="L299" s="4"/>
      <c r="M299" s="4"/>
      <c r="N299" s="4"/>
      <c r="O299" s="4"/>
      <c r="P299" s="4"/>
      <c r="Q299" s="4"/>
      <c r="R299" s="4"/>
    </row>
    <row r="300" spans="1:18" ht="17.399999999999999" x14ac:dyDescent="0.25">
      <c r="A300" s="4"/>
      <c r="B300" s="23"/>
      <c r="C300" s="4"/>
      <c r="D300" s="4"/>
      <c r="E300" s="5"/>
      <c r="F300" s="4"/>
      <c r="G300" s="4"/>
      <c r="H300" s="4"/>
      <c r="I300" s="4"/>
      <c r="J300" s="4"/>
      <c r="K300" s="4"/>
      <c r="L300" s="4"/>
      <c r="M300" s="4"/>
      <c r="N300" s="4"/>
      <c r="O300" s="4"/>
      <c r="P300" s="4"/>
      <c r="Q300" s="4"/>
      <c r="R300" s="4"/>
    </row>
    <row r="301" spans="1:18" ht="17.399999999999999" x14ac:dyDescent="0.25">
      <c r="A301" s="4"/>
      <c r="B301" s="23"/>
      <c r="C301" s="4"/>
      <c r="D301" s="4"/>
      <c r="E301" s="5"/>
      <c r="F301" s="4"/>
      <c r="G301" s="4"/>
      <c r="H301" s="4"/>
      <c r="I301" s="4"/>
      <c r="J301" s="4"/>
      <c r="K301" s="4"/>
      <c r="L301" s="4"/>
      <c r="M301" s="4"/>
      <c r="N301" s="4"/>
      <c r="O301" s="4"/>
      <c r="P301" s="4"/>
      <c r="Q301" s="4"/>
      <c r="R301" s="4"/>
    </row>
    <row r="302" spans="1:18" ht="17.399999999999999" x14ac:dyDescent="0.25">
      <c r="A302" s="4"/>
      <c r="B302" s="23"/>
      <c r="C302" s="4"/>
      <c r="D302" s="4"/>
      <c r="E302" s="5"/>
      <c r="F302" s="4"/>
      <c r="G302" s="4"/>
      <c r="H302" s="4"/>
      <c r="I302" s="4"/>
      <c r="J302" s="4"/>
      <c r="K302" s="4"/>
      <c r="L302" s="4"/>
      <c r="M302" s="4"/>
      <c r="N302" s="4"/>
      <c r="O302" s="4"/>
      <c r="P302" s="4"/>
      <c r="Q302" s="4"/>
      <c r="R302" s="4"/>
    </row>
    <row r="303" spans="1:18" ht="17.399999999999999" x14ac:dyDescent="0.25">
      <c r="A303" s="4"/>
      <c r="B303" s="23"/>
      <c r="C303" s="4"/>
      <c r="D303" s="4"/>
      <c r="E303" s="5"/>
      <c r="F303" s="4"/>
      <c r="G303" s="4"/>
      <c r="H303" s="4"/>
      <c r="I303" s="4"/>
      <c r="J303" s="4"/>
      <c r="K303" s="4"/>
      <c r="L303" s="4"/>
      <c r="M303" s="4"/>
      <c r="N303" s="4"/>
      <c r="O303" s="4"/>
      <c r="P303" s="4"/>
      <c r="Q303" s="4"/>
      <c r="R303" s="4"/>
    </row>
    <row r="304" spans="1:18" ht="17.399999999999999" x14ac:dyDescent="0.25">
      <c r="A304" s="4"/>
      <c r="B304" s="23"/>
      <c r="C304" s="4"/>
      <c r="D304" s="4"/>
      <c r="E304" s="5"/>
      <c r="F304" s="4"/>
      <c r="G304" s="4"/>
      <c r="H304" s="4"/>
      <c r="I304" s="4"/>
      <c r="J304" s="4"/>
      <c r="K304" s="4"/>
      <c r="L304" s="4"/>
      <c r="M304" s="4"/>
      <c r="N304" s="4"/>
      <c r="O304" s="4"/>
      <c r="P304" s="4"/>
      <c r="Q304" s="4"/>
      <c r="R304" s="4"/>
    </row>
    <row r="305" spans="1:18" ht="17.399999999999999" x14ac:dyDescent="0.25">
      <c r="A305" s="4"/>
      <c r="B305" s="23"/>
      <c r="C305" s="4"/>
      <c r="D305" s="4"/>
      <c r="E305" s="5"/>
      <c r="F305" s="4"/>
      <c r="G305" s="4"/>
      <c r="H305" s="4"/>
      <c r="I305" s="4"/>
      <c r="J305" s="4"/>
      <c r="K305" s="4"/>
      <c r="L305" s="4"/>
      <c r="M305" s="4"/>
      <c r="N305" s="4"/>
      <c r="O305" s="4"/>
      <c r="P305" s="4"/>
      <c r="Q305" s="4"/>
      <c r="R305" s="4"/>
    </row>
    <row r="306" spans="1:18" ht="17.399999999999999" x14ac:dyDescent="0.25">
      <c r="A306" s="4"/>
      <c r="B306" s="23"/>
      <c r="C306" s="4"/>
      <c r="D306" s="4"/>
      <c r="E306" s="5"/>
      <c r="F306" s="4"/>
      <c r="G306" s="4"/>
      <c r="H306" s="4"/>
      <c r="I306" s="4"/>
      <c r="J306" s="4"/>
      <c r="K306" s="4"/>
      <c r="L306" s="4"/>
      <c r="M306" s="4"/>
      <c r="N306" s="4"/>
      <c r="O306" s="4"/>
      <c r="P306" s="4"/>
      <c r="Q306" s="4"/>
      <c r="R306" s="4"/>
    </row>
    <row r="307" spans="1:18" ht="17.399999999999999" x14ac:dyDescent="0.25">
      <c r="A307" s="4"/>
      <c r="B307" s="23"/>
      <c r="C307" s="4"/>
      <c r="D307" s="4"/>
      <c r="E307" s="5"/>
      <c r="F307" s="4"/>
      <c r="G307" s="4"/>
      <c r="H307" s="4"/>
      <c r="I307" s="4"/>
      <c r="J307" s="4"/>
      <c r="K307" s="4"/>
      <c r="L307" s="4"/>
      <c r="M307" s="4"/>
      <c r="N307" s="4"/>
      <c r="O307" s="4"/>
      <c r="P307" s="4"/>
      <c r="Q307" s="4"/>
      <c r="R307" s="4"/>
    </row>
    <row r="308" spans="1:18" ht="17.399999999999999" x14ac:dyDescent="0.25">
      <c r="A308" s="4"/>
      <c r="B308" s="23"/>
      <c r="C308" s="4"/>
      <c r="D308" s="4"/>
      <c r="E308" s="5"/>
      <c r="F308" s="4"/>
      <c r="G308" s="4"/>
      <c r="H308" s="4"/>
      <c r="I308" s="4"/>
      <c r="J308" s="4"/>
      <c r="K308" s="4"/>
      <c r="L308" s="4"/>
      <c r="M308" s="4"/>
      <c r="N308" s="4"/>
      <c r="O308" s="4"/>
      <c r="P308" s="4"/>
      <c r="Q308" s="4"/>
      <c r="R308" s="4"/>
    </row>
    <row r="309" spans="1:18" ht="17.399999999999999" x14ac:dyDescent="0.25">
      <c r="A309" s="4"/>
      <c r="B309" s="23"/>
      <c r="C309" s="4"/>
      <c r="D309" s="4"/>
      <c r="E309" s="5"/>
      <c r="F309" s="4"/>
      <c r="G309" s="4"/>
      <c r="H309" s="4"/>
      <c r="I309" s="4"/>
      <c r="J309" s="4"/>
      <c r="K309" s="4"/>
      <c r="L309" s="4"/>
      <c r="M309" s="4"/>
      <c r="N309" s="4"/>
      <c r="O309" s="4"/>
      <c r="P309" s="4"/>
      <c r="Q309" s="4"/>
      <c r="R309" s="4"/>
    </row>
    <row r="310" spans="1:18" ht="17.399999999999999" x14ac:dyDescent="0.25">
      <c r="A310" s="4"/>
      <c r="B310" s="23"/>
      <c r="C310" s="4"/>
      <c r="D310" s="4"/>
      <c r="E310" s="5"/>
      <c r="F310" s="4"/>
      <c r="G310" s="4"/>
      <c r="H310" s="4"/>
      <c r="I310" s="4"/>
      <c r="J310" s="4"/>
      <c r="K310" s="4"/>
      <c r="L310" s="4"/>
      <c r="M310" s="4"/>
      <c r="N310" s="4"/>
      <c r="O310" s="4"/>
      <c r="P310" s="4"/>
      <c r="Q310" s="4"/>
      <c r="R310" s="4"/>
    </row>
    <row r="311" spans="1:18" ht="17.399999999999999" x14ac:dyDescent="0.25">
      <c r="A311" s="4"/>
      <c r="B311" s="23"/>
      <c r="C311" s="4"/>
      <c r="D311" s="4"/>
      <c r="E311" s="5"/>
      <c r="F311" s="4"/>
      <c r="G311" s="4"/>
      <c r="H311" s="4"/>
      <c r="I311" s="4"/>
      <c r="J311" s="4"/>
      <c r="K311" s="4"/>
      <c r="L311" s="4"/>
      <c r="M311" s="4"/>
      <c r="N311" s="4"/>
      <c r="O311" s="4"/>
      <c r="P311" s="4"/>
      <c r="Q311" s="4"/>
      <c r="R311" s="4"/>
    </row>
    <row r="312" spans="1:18" ht="17.399999999999999" x14ac:dyDescent="0.25">
      <c r="A312" s="4"/>
      <c r="B312" s="23"/>
      <c r="C312" s="4"/>
      <c r="D312" s="4"/>
      <c r="E312" s="5"/>
      <c r="F312" s="4"/>
      <c r="G312" s="4"/>
      <c r="H312" s="4"/>
      <c r="I312" s="4"/>
      <c r="J312" s="4"/>
      <c r="K312" s="4"/>
      <c r="L312" s="4"/>
      <c r="M312" s="4"/>
      <c r="N312" s="4"/>
      <c r="O312" s="4"/>
      <c r="P312" s="4"/>
      <c r="Q312" s="4"/>
      <c r="R312" s="4"/>
    </row>
    <row r="313" spans="1:18" ht="17.399999999999999" x14ac:dyDescent="0.25">
      <c r="A313" s="4"/>
      <c r="B313" s="23"/>
      <c r="C313" s="4"/>
      <c r="D313" s="4"/>
      <c r="E313" s="5"/>
      <c r="F313" s="4"/>
      <c r="G313" s="4"/>
      <c r="H313" s="4"/>
      <c r="I313" s="4"/>
      <c r="J313" s="4"/>
      <c r="K313" s="4"/>
      <c r="L313" s="4"/>
      <c r="M313" s="4"/>
      <c r="N313" s="4"/>
      <c r="O313" s="4"/>
      <c r="P313" s="4"/>
      <c r="Q313" s="4"/>
      <c r="R313" s="4"/>
    </row>
    <row r="314" spans="1:18" ht="17.399999999999999" x14ac:dyDescent="0.25">
      <c r="A314" s="4"/>
      <c r="B314" s="23"/>
      <c r="C314" s="4"/>
      <c r="D314" s="4"/>
      <c r="E314" s="5"/>
      <c r="F314" s="4"/>
      <c r="G314" s="4"/>
      <c r="H314" s="4"/>
      <c r="I314" s="4"/>
      <c r="J314" s="4"/>
      <c r="K314" s="4"/>
      <c r="L314" s="4"/>
      <c r="M314" s="4"/>
      <c r="N314" s="4"/>
      <c r="O314" s="4"/>
      <c r="P314" s="4"/>
      <c r="Q314" s="4"/>
      <c r="R314" s="4"/>
    </row>
    <row r="315" spans="1:18" ht="17.399999999999999" x14ac:dyDescent="0.25">
      <c r="A315" s="4"/>
      <c r="B315" s="23"/>
      <c r="C315" s="4"/>
      <c r="D315" s="4"/>
      <c r="E315" s="5"/>
      <c r="F315" s="4"/>
      <c r="G315" s="4"/>
      <c r="H315" s="4"/>
      <c r="I315" s="4"/>
      <c r="J315" s="4"/>
      <c r="K315" s="4"/>
      <c r="L315" s="4"/>
      <c r="M315" s="4"/>
      <c r="N315" s="4"/>
      <c r="O315" s="4"/>
      <c r="P315" s="4"/>
      <c r="Q315" s="4"/>
      <c r="R315" s="4"/>
    </row>
    <row r="316" spans="1:18" ht="17.399999999999999" x14ac:dyDescent="0.25">
      <c r="A316" s="4"/>
      <c r="B316" s="23"/>
      <c r="C316" s="4"/>
      <c r="D316" s="4"/>
      <c r="E316" s="5"/>
      <c r="F316" s="4"/>
      <c r="G316" s="4"/>
      <c r="H316" s="4"/>
      <c r="I316" s="4"/>
      <c r="J316" s="4"/>
      <c r="K316" s="4"/>
      <c r="L316" s="4"/>
      <c r="M316" s="4"/>
      <c r="N316" s="4"/>
      <c r="O316" s="4"/>
      <c r="P316" s="4"/>
      <c r="Q316" s="4"/>
      <c r="R316" s="4"/>
    </row>
    <row r="317" spans="1:18" ht="17.399999999999999" x14ac:dyDescent="0.25">
      <c r="A317" s="4"/>
      <c r="B317" s="23"/>
      <c r="C317" s="4"/>
      <c r="D317" s="4"/>
      <c r="E317" s="5"/>
      <c r="F317" s="4"/>
      <c r="G317" s="4"/>
      <c r="H317" s="4"/>
      <c r="I317" s="4"/>
      <c r="J317" s="4"/>
      <c r="K317" s="4"/>
      <c r="L317" s="4"/>
      <c r="M317" s="4"/>
      <c r="N317" s="4"/>
      <c r="O317" s="4"/>
      <c r="P317" s="4"/>
      <c r="Q317" s="4"/>
      <c r="R317" s="4"/>
    </row>
    <row r="318" spans="1:18" ht="17.399999999999999" x14ac:dyDescent="0.25">
      <c r="A318" s="4"/>
      <c r="B318" s="23"/>
      <c r="C318" s="4"/>
      <c r="D318" s="4"/>
      <c r="E318" s="5"/>
      <c r="F318" s="4"/>
      <c r="G318" s="4"/>
      <c r="H318" s="4"/>
      <c r="I318" s="4"/>
      <c r="J318" s="4"/>
      <c r="K318" s="4"/>
      <c r="L318" s="4"/>
      <c r="M318" s="4"/>
      <c r="N318" s="4"/>
      <c r="O318" s="4"/>
      <c r="P318" s="4"/>
      <c r="Q318" s="4"/>
      <c r="R318" s="4"/>
    </row>
    <row r="319" spans="1:18" ht="17.399999999999999" x14ac:dyDescent="0.25">
      <c r="A319" s="4"/>
      <c r="B319" s="23"/>
      <c r="C319" s="4"/>
      <c r="D319" s="4"/>
      <c r="E319" s="5"/>
      <c r="F319" s="4"/>
      <c r="G319" s="4"/>
      <c r="H319" s="4"/>
      <c r="I319" s="4"/>
      <c r="J319" s="4"/>
      <c r="K319" s="4"/>
      <c r="L319" s="4"/>
      <c r="M319" s="4"/>
      <c r="N319" s="4"/>
      <c r="O319" s="4"/>
      <c r="P319" s="4"/>
      <c r="Q319" s="4"/>
      <c r="R319" s="4"/>
    </row>
    <row r="320" spans="1:18" ht="17.399999999999999" x14ac:dyDescent="0.25">
      <c r="A320" s="4"/>
      <c r="B320" s="23"/>
      <c r="C320" s="4"/>
      <c r="D320" s="4"/>
      <c r="E320" s="5"/>
      <c r="F320" s="4"/>
      <c r="G320" s="4"/>
      <c r="H320" s="4"/>
      <c r="I320" s="4"/>
      <c r="J320" s="4"/>
      <c r="K320" s="4"/>
      <c r="L320" s="4"/>
      <c r="M320" s="4"/>
      <c r="N320" s="4"/>
      <c r="O320" s="4"/>
      <c r="P320" s="4"/>
      <c r="Q320" s="4"/>
      <c r="R320" s="4"/>
    </row>
    <row r="321" spans="1:18" ht="17.399999999999999" x14ac:dyDescent="0.25">
      <c r="A321" s="4"/>
      <c r="B321" s="23"/>
      <c r="C321" s="4"/>
      <c r="D321" s="4"/>
      <c r="E321" s="5"/>
      <c r="F321" s="4"/>
      <c r="G321" s="4"/>
      <c r="H321" s="4"/>
      <c r="I321" s="4"/>
      <c r="J321" s="4"/>
      <c r="K321" s="4"/>
      <c r="L321" s="4"/>
      <c r="M321" s="4"/>
      <c r="N321" s="4"/>
      <c r="O321" s="4"/>
      <c r="P321" s="4"/>
      <c r="Q321" s="4"/>
      <c r="R321" s="4"/>
    </row>
    <row r="322" spans="1:18" ht="17.399999999999999" x14ac:dyDescent="0.25">
      <c r="A322" s="4"/>
      <c r="B322" s="23"/>
      <c r="C322" s="4"/>
      <c r="D322" s="4"/>
      <c r="E322" s="5"/>
      <c r="F322" s="4"/>
      <c r="G322" s="4"/>
      <c r="H322" s="4"/>
      <c r="I322" s="4"/>
      <c r="J322" s="4"/>
      <c r="K322" s="4"/>
      <c r="L322" s="4"/>
      <c r="M322" s="4"/>
      <c r="N322" s="4"/>
      <c r="O322" s="4"/>
      <c r="P322" s="4"/>
      <c r="Q322" s="4"/>
      <c r="R322" s="4"/>
    </row>
    <row r="323" spans="1:18" ht="17.399999999999999" x14ac:dyDescent="0.25">
      <c r="A323" s="4"/>
      <c r="B323" s="23"/>
      <c r="C323" s="4"/>
      <c r="D323" s="4"/>
      <c r="E323" s="5"/>
      <c r="F323" s="4"/>
      <c r="G323" s="4"/>
      <c r="H323" s="4"/>
      <c r="I323" s="4"/>
      <c r="J323" s="4"/>
      <c r="K323" s="4"/>
      <c r="L323" s="4"/>
      <c r="M323" s="4"/>
      <c r="N323" s="4"/>
      <c r="O323" s="4"/>
      <c r="P323" s="4"/>
      <c r="Q323" s="4"/>
      <c r="R323" s="4"/>
    </row>
    <row r="324" spans="1:18" ht="17.399999999999999" x14ac:dyDescent="0.25">
      <c r="A324" s="4"/>
      <c r="B324" s="23"/>
      <c r="C324" s="4"/>
      <c r="D324" s="4"/>
      <c r="E324" s="5"/>
      <c r="F324" s="4"/>
      <c r="G324" s="4"/>
      <c r="H324" s="4"/>
      <c r="I324" s="4"/>
      <c r="J324" s="4"/>
      <c r="K324" s="4"/>
      <c r="L324" s="4"/>
      <c r="M324" s="4"/>
      <c r="N324" s="4"/>
      <c r="O324" s="4"/>
      <c r="P324" s="4"/>
      <c r="Q324" s="4"/>
      <c r="R324" s="4"/>
    </row>
    <row r="325" spans="1:18" ht="17.399999999999999" x14ac:dyDescent="0.25">
      <c r="A325" s="4"/>
      <c r="B325" s="23"/>
      <c r="C325" s="4"/>
      <c r="D325" s="4"/>
      <c r="E325" s="5"/>
      <c r="F325" s="4"/>
      <c r="G325" s="4"/>
      <c r="H325" s="4"/>
      <c r="I325" s="4"/>
      <c r="J325" s="4"/>
      <c r="K325" s="4"/>
      <c r="L325" s="4"/>
      <c r="M325" s="4"/>
      <c r="N325" s="4"/>
      <c r="O325" s="4"/>
      <c r="P325" s="4"/>
      <c r="Q325" s="4"/>
      <c r="R325" s="4"/>
    </row>
    <row r="326" spans="1:18" ht="17.399999999999999" x14ac:dyDescent="0.25">
      <c r="A326" s="4"/>
      <c r="B326" s="23"/>
      <c r="C326" s="4"/>
      <c r="D326" s="4"/>
      <c r="E326" s="5"/>
      <c r="F326" s="4"/>
      <c r="G326" s="4"/>
      <c r="H326" s="4"/>
      <c r="I326" s="4"/>
      <c r="J326" s="4"/>
      <c r="K326" s="4"/>
      <c r="L326" s="4"/>
      <c r="M326" s="4"/>
      <c r="N326" s="4"/>
      <c r="O326" s="4"/>
      <c r="P326" s="4"/>
      <c r="Q326" s="4"/>
      <c r="R326" s="4"/>
    </row>
    <row r="327" spans="1:18" ht="17.399999999999999" x14ac:dyDescent="0.25">
      <c r="A327" s="4"/>
      <c r="B327" s="23"/>
      <c r="C327" s="4"/>
      <c r="D327" s="4"/>
      <c r="E327" s="5"/>
      <c r="F327" s="4"/>
      <c r="G327" s="4"/>
      <c r="H327" s="4"/>
      <c r="I327" s="4"/>
      <c r="J327" s="4"/>
      <c r="K327" s="4"/>
      <c r="L327" s="4"/>
      <c r="M327" s="4"/>
      <c r="N327" s="4"/>
      <c r="O327" s="4"/>
      <c r="P327" s="4"/>
      <c r="Q327" s="4"/>
      <c r="R327" s="4"/>
    </row>
    <row r="328" spans="1:18" ht="17.399999999999999" x14ac:dyDescent="0.25">
      <c r="A328" s="4"/>
      <c r="B328" s="23"/>
      <c r="C328" s="4"/>
      <c r="D328" s="4"/>
      <c r="E328" s="5"/>
      <c r="F328" s="4"/>
      <c r="G328" s="4"/>
      <c r="H328" s="4"/>
      <c r="I328" s="4"/>
      <c r="J328" s="4"/>
      <c r="K328" s="4"/>
      <c r="L328" s="4"/>
      <c r="M328" s="4"/>
      <c r="N328" s="4"/>
      <c r="O328" s="4"/>
      <c r="P328" s="4"/>
      <c r="Q328" s="4"/>
      <c r="R328" s="4"/>
    </row>
    <row r="329" spans="1:18" ht="17.399999999999999" x14ac:dyDescent="0.25">
      <c r="A329" s="4"/>
      <c r="B329" s="23"/>
      <c r="C329" s="4"/>
      <c r="D329" s="4"/>
      <c r="E329" s="5"/>
      <c r="F329" s="4"/>
      <c r="G329" s="4"/>
      <c r="H329" s="4"/>
      <c r="I329" s="4"/>
      <c r="J329" s="4"/>
      <c r="K329" s="4"/>
      <c r="L329" s="4"/>
      <c r="M329" s="4"/>
      <c r="N329" s="4"/>
      <c r="O329" s="4"/>
      <c r="P329" s="4"/>
      <c r="Q329" s="4"/>
      <c r="R329" s="4"/>
    </row>
    <row r="330" spans="1:18" ht="17.399999999999999" x14ac:dyDescent="0.25">
      <c r="A330" s="4"/>
      <c r="B330" s="23"/>
      <c r="C330" s="4"/>
      <c r="D330" s="4"/>
      <c r="E330" s="5"/>
      <c r="F330" s="4"/>
      <c r="G330" s="4"/>
      <c r="H330" s="4"/>
      <c r="I330" s="4"/>
      <c r="J330" s="4"/>
      <c r="K330" s="4"/>
      <c r="L330" s="4"/>
      <c r="M330" s="4"/>
      <c r="N330" s="4"/>
      <c r="O330" s="4"/>
      <c r="P330" s="4"/>
      <c r="Q330" s="4"/>
      <c r="R330" s="4"/>
    </row>
    <row r="331" spans="1:18" ht="17.399999999999999" x14ac:dyDescent="0.25">
      <c r="A331" s="4"/>
      <c r="B331" s="23"/>
      <c r="C331" s="4"/>
      <c r="D331" s="4"/>
      <c r="E331" s="5"/>
      <c r="F331" s="4"/>
      <c r="G331" s="4"/>
      <c r="H331" s="4"/>
      <c r="I331" s="4"/>
      <c r="J331" s="4"/>
      <c r="K331" s="4"/>
      <c r="L331" s="4"/>
      <c r="M331" s="4"/>
      <c r="N331" s="4"/>
      <c r="O331" s="4"/>
      <c r="P331" s="4"/>
      <c r="Q331" s="4"/>
      <c r="R331" s="4"/>
    </row>
    <row r="332" spans="1:18" ht="17.399999999999999" x14ac:dyDescent="0.25">
      <c r="A332" s="4"/>
      <c r="B332" s="23"/>
      <c r="C332" s="4"/>
      <c r="D332" s="4"/>
      <c r="E332" s="5"/>
      <c r="F332" s="4"/>
      <c r="G332" s="4"/>
      <c r="H332" s="4"/>
      <c r="I332" s="4"/>
      <c r="J332" s="4"/>
      <c r="K332" s="4"/>
      <c r="L332" s="4"/>
      <c r="M332" s="4"/>
      <c r="N332" s="4"/>
      <c r="O332" s="4"/>
      <c r="P332" s="4"/>
      <c r="Q332" s="4"/>
      <c r="R332" s="4"/>
    </row>
    <row r="333" spans="1:18" ht="17.399999999999999" x14ac:dyDescent="0.25">
      <c r="A333" s="4"/>
      <c r="B333" s="23"/>
      <c r="C333" s="4"/>
      <c r="D333" s="4"/>
      <c r="E333" s="5"/>
      <c r="F333" s="4"/>
      <c r="G333" s="4"/>
      <c r="H333" s="4"/>
      <c r="I333" s="4"/>
      <c r="J333" s="4"/>
      <c r="K333" s="4"/>
      <c r="L333" s="4"/>
      <c r="M333" s="4"/>
      <c r="N333" s="4"/>
      <c r="O333" s="4"/>
      <c r="P333" s="4"/>
      <c r="Q333" s="4"/>
      <c r="R333" s="4"/>
    </row>
    <row r="334" spans="1:18" ht="17.399999999999999" x14ac:dyDescent="0.25">
      <c r="A334" s="4"/>
      <c r="B334" s="23"/>
      <c r="C334" s="4"/>
      <c r="D334" s="4"/>
      <c r="E334" s="5"/>
      <c r="F334" s="4"/>
      <c r="G334" s="4"/>
      <c r="H334" s="4"/>
      <c r="I334" s="4"/>
      <c r="J334" s="4"/>
      <c r="K334" s="4"/>
      <c r="L334" s="4"/>
      <c r="M334" s="4"/>
      <c r="N334" s="4"/>
      <c r="O334" s="4"/>
      <c r="P334" s="4"/>
      <c r="Q334" s="4"/>
      <c r="R334" s="4"/>
    </row>
    <row r="335" spans="1:18" ht="17.399999999999999" x14ac:dyDescent="0.25">
      <c r="A335" s="4"/>
      <c r="B335" s="23"/>
      <c r="C335" s="4"/>
      <c r="D335" s="4"/>
      <c r="E335" s="5"/>
      <c r="F335" s="4"/>
      <c r="G335" s="4"/>
      <c r="H335" s="4"/>
      <c r="I335" s="4"/>
      <c r="J335" s="4"/>
      <c r="K335" s="4"/>
      <c r="L335" s="4"/>
      <c r="M335" s="4"/>
      <c r="N335" s="4"/>
      <c r="O335" s="4"/>
      <c r="P335" s="4"/>
      <c r="Q335" s="4"/>
      <c r="R335" s="4"/>
    </row>
    <row r="336" spans="1:18" ht="17.399999999999999" x14ac:dyDescent="0.25">
      <c r="A336" s="4"/>
      <c r="B336" s="23"/>
      <c r="C336" s="4"/>
      <c r="D336" s="4"/>
      <c r="E336" s="5"/>
      <c r="F336" s="4"/>
      <c r="G336" s="4"/>
      <c r="H336" s="4"/>
      <c r="I336" s="4"/>
      <c r="J336" s="4"/>
      <c r="K336" s="4"/>
      <c r="L336" s="4"/>
      <c r="M336" s="4"/>
      <c r="N336" s="4"/>
      <c r="O336" s="4"/>
      <c r="P336" s="4"/>
      <c r="Q336" s="4"/>
      <c r="R336" s="4"/>
    </row>
    <row r="337" spans="1:18" ht="17.399999999999999" x14ac:dyDescent="0.25">
      <c r="A337" s="4"/>
      <c r="B337" s="23"/>
      <c r="C337" s="4"/>
      <c r="D337" s="4"/>
      <c r="E337" s="5"/>
      <c r="F337" s="4"/>
      <c r="G337" s="4"/>
      <c r="H337" s="4"/>
      <c r="I337" s="4"/>
      <c r="J337" s="4"/>
      <c r="K337" s="4"/>
      <c r="L337" s="4"/>
      <c r="M337" s="4"/>
      <c r="N337" s="4"/>
      <c r="O337" s="4"/>
      <c r="P337" s="4"/>
      <c r="Q337" s="4"/>
      <c r="R337" s="4"/>
    </row>
    <row r="338" spans="1:18" ht="17.399999999999999" x14ac:dyDescent="0.25">
      <c r="A338" s="4"/>
      <c r="B338" s="23"/>
      <c r="C338" s="4"/>
      <c r="D338" s="4"/>
      <c r="E338" s="5"/>
      <c r="F338" s="4"/>
      <c r="G338" s="4"/>
      <c r="H338" s="4"/>
      <c r="I338" s="4"/>
      <c r="J338" s="4"/>
      <c r="K338" s="4"/>
      <c r="L338" s="4"/>
      <c r="M338" s="4"/>
      <c r="N338" s="4"/>
      <c r="O338" s="4"/>
      <c r="P338" s="4"/>
      <c r="Q338" s="4"/>
      <c r="R338" s="4"/>
    </row>
    <row r="339" spans="1:18" ht="17.399999999999999" x14ac:dyDescent="0.25">
      <c r="A339" s="4"/>
      <c r="B339" s="23"/>
      <c r="C339" s="4"/>
      <c r="D339" s="4"/>
      <c r="E339" s="5"/>
      <c r="F339" s="4"/>
      <c r="G339" s="4"/>
      <c r="H339" s="4"/>
      <c r="I339" s="4"/>
      <c r="J339" s="4"/>
      <c r="K339" s="4"/>
      <c r="L339" s="4"/>
      <c r="M339" s="4"/>
      <c r="N339" s="4"/>
      <c r="O339" s="4"/>
      <c r="P339" s="4"/>
      <c r="Q339" s="4"/>
      <c r="R339" s="4"/>
    </row>
    <row r="340" spans="1:18" ht="17.399999999999999" x14ac:dyDescent="0.25">
      <c r="A340" s="4"/>
      <c r="B340" s="23"/>
      <c r="C340" s="4"/>
      <c r="D340" s="4"/>
      <c r="E340" s="5"/>
      <c r="F340" s="4"/>
      <c r="G340" s="4"/>
      <c r="H340" s="4"/>
      <c r="I340" s="4"/>
      <c r="J340" s="4"/>
      <c r="K340" s="4"/>
      <c r="L340" s="4"/>
      <c r="M340" s="4"/>
      <c r="N340" s="4"/>
      <c r="O340" s="4"/>
      <c r="P340" s="4"/>
      <c r="Q340" s="4"/>
      <c r="R340" s="4"/>
    </row>
    <row r="341" spans="1:18" ht="17.399999999999999" x14ac:dyDescent="0.25">
      <c r="A341" s="4"/>
      <c r="B341" s="23"/>
      <c r="C341" s="4"/>
      <c r="D341" s="4"/>
      <c r="E341" s="5"/>
      <c r="F341" s="4"/>
      <c r="G341" s="4"/>
      <c r="H341" s="4"/>
      <c r="I341" s="4"/>
      <c r="J341" s="4"/>
      <c r="K341" s="4"/>
      <c r="L341" s="4"/>
      <c r="M341" s="4"/>
      <c r="N341" s="4"/>
      <c r="O341" s="4"/>
      <c r="P341" s="4"/>
      <c r="Q341" s="4"/>
      <c r="R341" s="4"/>
    </row>
    <row r="342" spans="1:18" ht="17.399999999999999" x14ac:dyDescent="0.25">
      <c r="A342" s="4"/>
      <c r="B342" s="23"/>
      <c r="C342" s="4"/>
      <c r="D342" s="4"/>
      <c r="E342" s="5"/>
      <c r="F342" s="4"/>
      <c r="G342" s="4"/>
      <c r="H342" s="4"/>
      <c r="I342" s="4"/>
      <c r="J342" s="4"/>
      <c r="K342" s="4"/>
      <c r="L342" s="4"/>
      <c r="M342" s="4"/>
      <c r="N342" s="4"/>
      <c r="O342" s="4"/>
      <c r="P342" s="4"/>
      <c r="Q342" s="4"/>
      <c r="R342" s="4"/>
    </row>
    <row r="343" spans="1:18" ht="17.399999999999999" x14ac:dyDescent="0.25">
      <c r="A343" s="4"/>
      <c r="B343" s="23"/>
      <c r="C343" s="4"/>
      <c r="D343" s="4"/>
      <c r="E343" s="5"/>
      <c r="F343" s="4"/>
      <c r="G343" s="4"/>
      <c r="H343" s="4"/>
      <c r="I343" s="4"/>
      <c r="J343" s="4"/>
      <c r="K343" s="4"/>
      <c r="L343" s="4"/>
      <c r="M343" s="4"/>
      <c r="N343" s="4"/>
      <c r="O343" s="4"/>
      <c r="P343" s="4"/>
      <c r="Q343" s="4"/>
      <c r="R343" s="4"/>
    </row>
    <row r="344" spans="1:18" ht="17.399999999999999" x14ac:dyDescent="0.25">
      <c r="A344" s="4"/>
      <c r="B344" s="23"/>
      <c r="C344" s="4"/>
      <c r="D344" s="4"/>
      <c r="E344" s="5"/>
      <c r="F344" s="4"/>
      <c r="G344" s="4"/>
      <c r="H344" s="4"/>
      <c r="I344" s="4"/>
      <c r="J344" s="4"/>
      <c r="K344" s="4"/>
      <c r="L344" s="4"/>
      <c r="M344" s="4"/>
      <c r="N344" s="4"/>
      <c r="O344" s="4"/>
      <c r="P344" s="4"/>
      <c r="Q344" s="4"/>
      <c r="R344" s="4"/>
    </row>
    <row r="345" spans="1:18" ht="17.399999999999999" x14ac:dyDescent="0.25">
      <c r="A345" s="4"/>
      <c r="B345" s="23"/>
      <c r="C345" s="4"/>
      <c r="D345" s="4"/>
      <c r="E345" s="5"/>
      <c r="F345" s="4"/>
      <c r="G345" s="4"/>
      <c r="H345" s="4"/>
      <c r="I345" s="4"/>
      <c r="J345" s="4"/>
      <c r="K345" s="4"/>
      <c r="L345" s="4"/>
      <c r="M345" s="4"/>
      <c r="N345" s="4"/>
      <c r="O345" s="4"/>
      <c r="P345" s="4"/>
      <c r="Q345" s="4"/>
      <c r="R345" s="4"/>
    </row>
    <row r="346" spans="1:18" ht="17.399999999999999" x14ac:dyDescent="0.25">
      <c r="A346" s="4"/>
      <c r="B346" s="23"/>
      <c r="C346" s="4"/>
      <c r="D346" s="4"/>
      <c r="E346" s="5"/>
      <c r="F346" s="4"/>
      <c r="G346" s="4"/>
      <c r="H346" s="4"/>
      <c r="I346" s="4"/>
      <c r="J346" s="4"/>
      <c r="K346" s="4"/>
      <c r="L346" s="4"/>
      <c r="M346" s="4"/>
      <c r="N346" s="4"/>
      <c r="O346" s="4"/>
      <c r="P346" s="4"/>
      <c r="Q346" s="4"/>
      <c r="R346" s="4"/>
    </row>
    <row r="347" spans="1:18" ht="17.399999999999999" x14ac:dyDescent="0.25">
      <c r="A347" s="4"/>
      <c r="B347" s="23"/>
      <c r="C347" s="4"/>
      <c r="D347" s="4"/>
      <c r="E347" s="5"/>
      <c r="F347" s="4"/>
      <c r="G347" s="4"/>
      <c r="H347" s="4"/>
      <c r="I347" s="4"/>
      <c r="J347" s="4"/>
      <c r="K347" s="4"/>
      <c r="L347" s="4"/>
      <c r="M347" s="4"/>
      <c r="N347" s="4"/>
      <c r="O347" s="4"/>
      <c r="P347" s="4"/>
      <c r="Q347" s="4"/>
      <c r="R347" s="4"/>
    </row>
    <row r="348" spans="1:18" ht="17.399999999999999" x14ac:dyDescent="0.25">
      <c r="A348" s="4"/>
      <c r="B348" s="23"/>
      <c r="C348" s="4"/>
      <c r="D348" s="4"/>
      <c r="E348" s="5"/>
      <c r="F348" s="4"/>
      <c r="G348" s="4"/>
      <c r="H348" s="4"/>
      <c r="I348" s="4"/>
      <c r="J348" s="4"/>
      <c r="K348" s="4"/>
      <c r="L348" s="4"/>
      <c r="M348" s="4"/>
      <c r="N348" s="4"/>
      <c r="O348" s="4"/>
      <c r="P348" s="4"/>
      <c r="Q348" s="4"/>
      <c r="R348" s="4"/>
    </row>
    <row r="349" spans="1:18" ht="17.399999999999999" x14ac:dyDescent="0.25">
      <c r="A349" s="4"/>
      <c r="B349" s="23"/>
      <c r="C349" s="4"/>
      <c r="D349" s="4"/>
      <c r="E349" s="5"/>
      <c r="F349" s="4"/>
      <c r="G349" s="4"/>
      <c r="H349" s="4"/>
      <c r="I349" s="4"/>
      <c r="J349" s="4"/>
      <c r="K349" s="4"/>
      <c r="L349" s="4"/>
      <c r="M349" s="4"/>
      <c r="N349" s="4"/>
      <c r="O349" s="4"/>
      <c r="P349" s="4"/>
      <c r="Q349" s="4"/>
      <c r="R349" s="4"/>
    </row>
    <row r="350" spans="1:18" ht="17.399999999999999" x14ac:dyDescent="0.25">
      <c r="A350" s="4"/>
      <c r="B350" s="23"/>
      <c r="C350" s="4"/>
      <c r="D350" s="4"/>
      <c r="E350" s="5"/>
      <c r="F350" s="4"/>
      <c r="G350" s="4"/>
      <c r="H350" s="4"/>
      <c r="I350" s="4"/>
      <c r="J350" s="4"/>
      <c r="K350" s="4"/>
      <c r="L350" s="4"/>
      <c r="M350" s="4"/>
      <c r="N350" s="4"/>
      <c r="O350" s="4"/>
      <c r="P350" s="4"/>
      <c r="Q350" s="4"/>
      <c r="R350" s="4"/>
    </row>
    <row r="351" spans="1:18" ht="17.399999999999999" x14ac:dyDescent="0.25">
      <c r="A351" s="4"/>
      <c r="B351" s="23"/>
      <c r="C351" s="4"/>
      <c r="D351" s="4"/>
      <c r="E351" s="5"/>
      <c r="F351" s="4"/>
      <c r="G351" s="4"/>
      <c r="H351" s="4"/>
      <c r="I351" s="4"/>
      <c r="J351" s="4"/>
      <c r="K351" s="4"/>
      <c r="L351" s="4"/>
      <c r="M351" s="4"/>
      <c r="N351" s="4"/>
      <c r="O351" s="4"/>
      <c r="P351" s="4"/>
      <c r="Q351" s="4"/>
      <c r="R351" s="4"/>
    </row>
    <row r="352" spans="1:18" ht="17.399999999999999" x14ac:dyDescent="0.25">
      <c r="A352" s="4"/>
      <c r="B352" s="23"/>
      <c r="C352" s="4"/>
      <c r="D352" s="4"/>
      <c r="E352" s="5"/>
      <c r="F352" s="4"/>
      <c r="G352" s="4"/>
      <c r="H352" s="4"/>
      <c r="I352" s="4"/>
      <c r="J352" s="4"/>
      <c r="K352" s="4"/>
      <c r="L352" s="4"/>
      <c r="M352" s="4"/>
      <c r="N352" s="4"/>
      <c r="O352" s="4"/>
      <c r="P352" s="4"/>
      <c r="Q352" s="4"/>
      <c r="R352" s="4"/>
    </row>
    <row r="353" spans="1:18" ht="17.399999999999999" x14ac:dyDescent="0.25">
      <c r="A353" s="4"/>
      <c r="B353" s="23"/>
      <c r="C353" s="4"/>
      <c r="D353" s="4"/>
      <c r="E353" s="5"/>
      <c r="F353" s="4"/>
      <c r="G353" s="4"/>
      <c r="H353" s="4"/>
      <c r="I353" s="4"/>
      <c r="J353" s="4"/>
      <c r="K353" s="4"/>
      <c r="L353" s="4"/>
      <c r="M353" s="4"/>
      <c r="N353" s="4"/>
      <c r="O353" s="4"/>
      <c r="P353" s="4"/>
      <c r="Q353" s="4"/>
      <c r="R353" s="4"/>
    </row>
    <row r="354" spans="1:18" ht="17.399999999999999" x14ac:dyDescent="0.25">
      <c r="A354" s="4"/>
      <c r="B354" s="23"/>
      <c r="C354" s="4"/>
      <c r="D354" s="4"/>
      <c r="E354" s="5"/>
      <c r="F354" s="4"/>
      <c r="G354" s="4"/>
      <c r="H354" s="4"/>
      <c r="I354" s="4"/>
      <c r="J354" s="4"/>
      <c r="K354" s="4"/>
      <c r="L354" s="4"/>
      <c r="M354" s="4"/>
      <c r="N354" s="4"/>
      <c r="O354" s="4"/>
      <c r="P354" s="4"/>
      <c r="Q354" s="4"/>
      <c r="R354" s="4"/>
    </row>
    <row r="355" spans="1:18" ht="17.399999999999999" x14ac:dyDescent="0.25">
      <c r="A355" s="4"/>
      <c r="B355" s="23"/>
      <c r="C355" s="4"/>
      <c r="D355" s="4"/>
      <c r="E355" s="5"/>
      <c r="F355" s="4"/>
      <c r="G355" s="4"/>
      <c r="H355" s="4"/>
      <c r="I355" s="4"/>
      <c r="J355" s="4"/>
      <c r="K355" s="4"/>
      <c r="L355" s="4"/>
      <c r="M355" s="4"/>
      <c r="N355" s="4"/>
      <c r="O355" s="4"/>
      <c r="P355" s="4"/>
      <c r="Q355" s="4"/>
      <c r="R355" s="4"/>
    </row>
    <row r="356" spans="1:18" ht="17.399999999999999" x14ac:dyDescent="0.25">
      <c r="A356" s="4"/>
      <c r="B356" s="23"/>
      <c r="C356" s="4"/>
      <c r="D356" s="4"/>
      <c r="E356" s="5"/>
      <c r="F356" s="4"/>
      <c r="G356" s="4"/>
      <c r="H356" s="4"/>
      <c r="I356" s="4"/>
      <c r="J356" s="4"/>
      <c r="K356" s="4"/>
      <c r="L356" s="4"/>
      <c r="M356" s="4"/>
      <c r="N356" s="4"/>
      <c r="O356" s="4"/>
      <c r="P356" s="4"/>
      <c r="Q356" s="4"/>
      <c r="R356" s="4"/>
    </row>
    <row r="357" spans="1:18" ht="17.399999999999999" x14ac:dyDescent="0.25">
      <c r="A357" s="4"/>
      <c r="B357" s="23"/>
      <c r="C357" s="4"/>
      <c r="D357" s="4"/>
      <c r="E357" s="5"/>
      <c r="F357" s="4"/>
      <c r="G357" s="4"/>
      <c r="H357" s="4"/>
      <c r="I357" s="4"/>
      <c r="J357" s="4"/>
      <c r="K357" s="4"/>
      <c r="L357" s="4"/>
      <c r="M357" s="4"/>
      <c r="N357" s="4"/>
      <c r="O357" s="4"/>
      <c r="P357" s="4"/>
      <c r="Q357" s="4"/>
      <c r="R357" s="4"/>
    </row>
    <row r="358" spans="1:18" ht="17.399999999999999" x14ac:dyDescent="0.25">
      <c r="A358" s="4"/>
      <c r="B358" s="23"/>
      <c r="C358" s="4"/>
      <c r="D358" s="4"/>
      <c r="E358" s="5"/>
      <c r="F358" s="4"/>
      <c r="G358" s="4"/>
      <c r="H358" s="4"/>
      <c r="I358" s="4"/>
      <c r="J358" s="4"/>
      <c r="K358" s="4"/>
      <c r="L358" s="4"/>
      <c r="M358" s="4"/>
      <c r="N358" s="4"/>
      <c r="O358" s="4"/>
      <c r="P358" s="4"/>
      <c r="Q358" s="4"/>
      <c r="R358" s="4"/>
    </row>
    <row r="359" spans="1:18" ht="17.399999999999999" x14ac:dyDescent="0.25">
      <c r="A359" s="4"/>
      <c r="B359" s="23"/>
      <c r="C359" s="4"/>
      <c r="D359" s="4"/>
      <c r="E359" s="5"/>
      <c r="F359" s="4"/>
      <c r="G359" s="4"/>
      <c r="H359" s="4"/>
      <c r="I359" s="4"/>
      <c r="J359" s="4"/>
      <c r="K359" s="4"/>
      <c r="L359" s="4"/>
      <c r="M359" s="4"/>
      <c r="N359" s="4"/>
      <c r="O359" s="4"/>
      <c r="P359" s="4"/>
      <c r="Q359" s="4"/>
      <c r="R359" s="4"/>
    </row>
    <row r="360" spans="1:18" ht="17.399999999999999" x14ac:dyDescent="0.25">
      <c r="A360" s="4"/>
      <c r="B360" s="23"/>
      <c r="C360" s="4"/>
      <c r="D360" s="4"/>
      <c r="E360" s="5"/>
      <c r="F360" s="4"/>
      <c r="G360" s="4"/>
      <c r="H360" s="4"/>
      <c r="I360" s="4"/>
      <c r="J360" s="4"/>
      <c r="K360" s="4"/>
      <c r="L360" s="4"/>
      <c r="M360" s="4"/>
      <c r="N360" s="4"/>
      <c r="O360" s="4"/>
      <c r="P360" s="4"/>
      <c r="Q360" s="4"/>
      <c r="R360" s="4"/>
    </row>
    <row r="361" spans="1:18" ht="17.399999999999999" x14ac:dyDescent="0.25">
      <c r="A361" s="4"/>
      <c r="B361" s="23"/>
      <c r="C361" s="4"/>
      <c r="D361" s="4"/>
      <c r="E361" s="5"/>
      <c r="F361" s="4"/>
      <c r="G361" s="4"/>
      <c r="H361" s="4"/>
      <c r="I361" s="4"/>
      <c r="J361" s="4"/>
      <c r="K361" s="4"/>
      <c r="L361" s="4"/>
      <c r="M361" s="4"/>
      <c r="N361" s="4"/>
      <c r="O361" s="4"/>
      <c r="P361" s="4"/>
      <c r="Q361" s="4"/>
      <c r="R361" s="4"/>
    </row>
    <row r="362" spans="1:18" ht="17.399999999999999" x14ac:dyDescent="0.25">
      <c r="A362" s="4"/>
      <c r="B362" s="23"/>
      <c r="C362" s="4"/>
      <c r="D362" s="4"/>
      <c r="E362" s="5"/>
      <c r="F362" s="4"/>
      <c r="G362" s="4"/>
      <c r="H362" s="4"/>
      <c r="I362" s="4"/>
      <c r="J362" s="4"/>
      <c r="K362" s="4"/>
      <c r="L362" s="4"/>
      <c r="M362" s="4"/>
      <c r="N362" s="4"/>
      <c r="O362" s="4"/>
      <c r="P362" s="4"/>
      <c r="Q362" s="4"/>
      <c r="R362" s="4"/>
    </row>
    <row r="363" spans="1:18" ht="17.399999999999999" x14ac:dyDescent="0.25">
      <c r="A363" s="4"/>
      <c r="B363" s="23"/>
      <c r="C363" s="4"/>
      <c r="D363" s="4"/>
      <c r="E363" s="5"/>
      <c r="F363" s="4"/>
      <c r="G363" s="4"/>
      <c r="H363" s="4"/>
      <c r="I363" s="4"/>
      <c r="J363" s="4"/>
      <c r="K363" s="4"/>
      <c r="L363" s="4"/>
      <c r="M363" s="4"/>
      <c r="N363" s="4"/>
      <c r="O363" s="4"/>
      <c r="P363" s="4"/>
      <c r="Q363" s="4"/>
      <c r="R363" s="4"/>
    </row>
    <row r="364" spans="1:18" ht="17.399999999999999" x14ac:dyDescent="0.25">
      <c r="A364" s="4"/>
      <c r="B364" s="23"/>
      <c r="C364" s="4"/>
      <c r="D364" s="4"/>
      <c r="E364" s="5"/>
      <c r="F364" s="4"/>
      <c r="G364" s="4"/>
      <c r="H364" s="4"/>
      <c r="I364" s="4"/>
      <c r="J364" s="4"/>
      <c r="K364" s="4"/>
      <c r="L364" s="4"/>
      <c r="M364" s="4"/>
      <c r="N364" s="4"/>
      <c r="O364" s="4"/>
      <c r="P364" s="4"/>
      <c r="Q364" s="4"/>
      <c r="R364" s="4"/>
    </row>
    <row r="365" spans="1:18" ht="17.399999999999999" x14ac:dyDescent="0.25">
      <c r="A365" s="4"/>
      <c r="B365" s="23"/>
      <c r="C365" s="4"/>
      <c r="D365" s="4"/>
      <c r="E365" s="5"/>
      <c r="F365" s="4"/>
      <c r="G365" s="4"/>
      <c r="H365" s="4"/>
      <c r="I365" s="4"/>
      <c r="J365" s="4"/>
      <c r="K365" s="4"/>
      <c r="L365" s="4"/>
      <c r="M365" s="4"/>
      <c r="N365" s="4"/>
      <c r="O365" s="4"/>
      <c r="P365" s="4"/>
      <c r="Q365" s="4"/>
      <c r="R365" s="4"/>
    </row>
    <row r="366" spans="1:18" ht="17.399999999999999" x14ac:dyDescent="0.25">
      <c r="A366" s="4"/>
      <c r="B366" s="23"/>
      <c r="C366" s="4"/>
      <c r="D366" s="4"/>
      <c r="E366" s="5"/>
      <c r="F366" s="4"/>
      <c r="G366" s="4"/>
      <c r="H366" s="4"/>
      <c r="I366" s="4"/>
      <c r="J366" s="4"/>
      <c r="K366" s="4"/>
      <c r="L366" s="4"/>
      <c r="M366" s="4"/>
      <c r="N366" s="4"/>
      <c r="O366" s="4"/>
      <c r="P366" s="4"/>
      <c r="Q366" s="4"/>
      <c r="R366" s="4"/>
    </row>
    <row r="367" spans="1:18" ht="17.399999999999999" x14ac:dyDescent="0.25">
      <c r="A367" s="4"/>
      <c r="B367" s="23"/>
      <c r="C367" s="4"/>
      <c r="D367" s="4"/>
      <c r="E367" s="5"/>
      <c r="F367" s="4"/>
      <c r="G367" s="4"/>
      <c r="H367" s="4"/>
      <c r="I367" s="4"/>
      <c r="J367" s="4"/>
      <c r="K367" s="4"/>
      <c r="L367" s="4"/>
      <c r="M367" s="4"/>
      <c r="N367" s="4"/>
      <c r="O367" s="4"/>
      <c r="P367" s="4"/>
      <c r="Q367" s="4"/>
      <c r="R367" s="4"/>
    </row>
    <row r="368" spans="1:18" ht="17.399999999999999" x14ac:dyDescent="0.25">
      <c r="A368" s="4"/>
      <c r="B368" s="23"/>
      <c r="C368" s="4"/>
      <c r="D368" s="4"/>
      <c r="E368" s="5"/>
      <c r="F368" s="4"/>
      <c r="G368" s="4"/>
      <c r="H368" s="4"/>
      <c r="I368" s="4"/>
      <c r="J368" s="4"/>
      <c r="K368" s="4"/>
      <c r="L368" s="4"/>
      <c r="M368" s="4"/>
      <c r="N368" s="4"/>
      <c r="O368" s="4"/>
      <c r="P368" s="4"/>
      <c r="Q368" s="4"/>
      <c r="R368" s="4"/>
    </row>
    <row r="369" spans="1:18" ht="17.399999999999999" x14ac:dyDescent="0.25">
      <c r="A369" s="4"/>
      <c r="B369" s="23"/>
      <c r="C369" s="4"/>
      <c r="D369" s="4"/>
      <c r="E369" s="5"/>
      <c r="F369" s="4"/>
      <c r="G369" s="4"/>
      <c r="H369" s="4"/>
      <c r="I369" s="4"/>
      <c r="J369" s="4"/>
      <c r="K369" s="4"/>
      <c r="L369" s="4"/>
      <c r="M369" s="4"/>
      <c r="N369" s="4"/>
      <c r="O369" s="4"/>
      <c r="P369" s="4"/>
      <c r="Q369" s="4"/>
      <c r="R369" s="4"/>
    </row>
    <row r="370" spans="1:18" ht="17.399999999999999" x14ac:dyDescent="0.25">
      <c r="A370" s="4"/>
      <c r="B370" s="23"/>
      <c r="C370" s="4"/>
      <c r="D370" s="4"/>
      <c r="E370" s="5"/>
      <c r="F370" s="4"/>
      <c r="G370" s="4"/>
      <c r="H370" s="4"/>
      <c r="I370" s="4"/>
      <c r="J370" s="4"/>
      <c r="K370" s="4"/>
      <c r="L370" s="4"/>
      <c r="M370" s="4"/>
      <c r="N370" s="4"/>
      <c r="O370" s="4"/>
      <c r="P370" s="4"/>
      <c r="Q370" s="4"/>
      <c r="R370" s="4"/>
    </row>
    <row r="371" spans="1:18" ht="17.399999999999999" x14ac:dyDescent="0.25">
      <c r="A371" s="4"/>
      <c r="B371" s="23"/>
      <c r="C371" s="4"/>
      <c r="D371" s="4"/>
      <c r="E371" s="5"/>
      <c r="F371" s="4"/>
      <c r="G371" s="4"/>
      <c r="H371" s="4"/>
      <c r="I371" s="4"/>
      <c r="J371" s="4"/>
      <c r="K371" s="4"/>
      <c r="L371" s="4"/>
      <c r="M371" s="4"/>
      <c r="N371" s="4"/>
      <c r="O371" s="4"/>
      <c r="P371" s="4"/>
      <c r="Q371" s="4"/>
      <c r="R371" s="4"/>
    </row>
    <row r="372" spans="1:18" ht="17.399999999999999" x14ac:dyDescent="0.25">
      <c r="A372" s="4"/>
      <c r="B372" s="23"/>
      <c r="C372" s="4"/>
      <c r="D372" s="4"/>
      <c r="E372" s="5"/>
      <c r="F372" s="4"/>
      <c r="G372" s="4"/>
      <c r="H372" s="4"/>
      <c r="I372" s="4"/>
      <c r="J372" s="4"/>
      <c r="K372" s="4"/>
      <c r="L372" s="4"/>
      <c r="M372" s="4"/>
      <c r="N372" s="4"/>
      <c r="O372" s="4"/>
      <c r="P372" s="4"/>
      <c r="Q372" s="4"/>
      <c r="R372" s="4"/>
    </row>
    <row r="373" spans="1:18" ht="17.399999999999999" x14ac:dyDescent="0.25">
      <c r="A373" s="4"/>
      <c r="B373" s="23"/>
      <c r="C373" s="4"/>
      <c r="D373" s="4"/>
      <c r="E373" s="5"/>
      <c r="F373" s="4"/>
      <c r="G373" s="4"/>
      <c r="H373" s="4"/>
      <c r="I373" s="4"/>
      <c r="J373" s="4"/>
      <c r="K373" s="4"/>
      <c r="L373" s="4"/>
      <c r="M373" s="4"/>
      <c r="N373" s="4"/>
      <c r="O373" s="4"/>
      <c r="P373" s="4"/>
      <c r="Q373" s="4"/>
      <c r="R373" s="4"/>
    </row>
    <row r="374" spans="1:18" ht="17.399999999999999" x14ac:dyDescent="0.25">
      <c r="A374" s="4"/>
      <c r="B374" s="23"/>
      <c r="C374" s="4"/>
      <c r="D374" s="4"/>
      <c r="E374" s="5"/>
      <c r="F374" s="4"/>
      <c r="G374" s="4"/>
      <c r="H374" s="4"/>
      <c r="I374" s="4"/>
      <c r="J374" s="4"/>
      <c r="K374" s="4"/>
      <c r="L374" s="4"/>
      <c r="M374" s="4"/>
      <c r="N374" s="4"/>
      <c r="O374" s="4"/>
      <c r="P374" s="4"/>
      <c r="Q374" s="4"/>
      <c r="R374" s="4"/>
    </row>
    <row r="375" spans="1:18" ht="17.399999999999999" x14ac:dyDescent="0.25">
      <c r="A375" s="4"/>
      <c r="B375" s="23"/>
      <c r="C375" s="4"/>
      <c r="D375" s="4"/>
      <c r="E375" s="5"/>
      <c r="F375" s="4"/>
      <c r="G375" s="4"/>
      <c r="H375" s="4"/>
      <c r="I375" s="4"/>
      <c r="J375" s="4"/>
      <c r="K375" s="4"/>
      <c r="L375" s="4"/>
      <c r="M375" s="4"/>
      <c r="N375" s="4"/>
      <c r="O375" s="4"/>
      <c r="P375" s="4"/>
      <c r="Q375" s="4"/>
      <c r="R375" s="4"/>
    </row>
    <row r="376" spans="1:18" ht="17.399999999999999" x14ac:dyDescent="0.25">
      <c r="A376" s="4"/>
      <c r="B376" s="23"/>
      <c r="C376" s="4"/>
      <c r="D376" s="4"/>
      <c r="E376" s="5"/>
      <c r="F376" s="4"/>
      <c r="G376" s="4"/>
      <c r="H376" s="4"/>
      <c r="I376" s="4"/>
      <c r="J376" s="4"/>
      <c r="K376" s="4"/>
      <c r="L376" s="4"/>
      <c r="M376" s="4"/>
      <c r="N376" s="4"/>
      <c r="O376" s="4"/>
      <c r="P376" s="4"/>
      <c r="Q376" s="4"/>
      <c r="R376" s="4"/>
    </row>
    <row r="377" spans="1:18" ht="17.399999999999999" x14ac:dyDescent="0.25">
      <c r="A377" s="4"/>
      <c r="B377" s="23"/>
      <c r="C377" s="4"/>
      <c r="D377" s="4"/>
      <c r="E377" s="5"/>
      <c r="F377" s="4"/>
      <c r="G377" s="4"/>
      <c r="H377" s="4"/>
      <c r="I377" s="4"/>
      <c r="J377" s="4"/>
      <c r="K377" s="4"/>
      <c r="L377" s="4"/>
      <c r="M377" s="4"/>
      <c r="N377" s="4"/>
      <c r="O377" s="4"/>
      <c r="P377" s="4"/>
      <c r="Q377" s="4"/>
      <c r="R377" s="4"/>
    </row>
    <row r="378" spans="1:18" ht="17.399999999999999" x14ac:dyDescent="0.25">
      <c r="A378" s="4"/>
      <c r="B378" s="23"/>
      <c r="C378" s="4"/>
      <c r="D378" s="4"/>
      <c r="E378" s="5"/>
      <c r="F378" s="4"/>
      <c r="G378" s="4"/>
      <c r="H378" s="4"/>
      <c r="I378" s="4"/>
      <c r="J378" s="4"/>
      <c r="K378" s="4"/>
      <c r="L378" s="4"/>
      <c r="M378" s="4"/>
      <c r="N378" s="4"/>
      <c r="O378" s="4"/>
      <c r="P378" s="4"/>
      <c r="Q378" s="4"/>
      <c r="R378" s="4"/>
    </row>
    <row r="379" spans="1:18" ht="17.399999999999999" x14ac:dyDescent="0.25">
      <c r="A379" s="4"/>
      <c r="B379" s="23"/>
      <c r="C379" s="4"/>
      <c r="D379" s="4"/>
      <c r="E379" s="5"/>
      <c r="F379" s="4"/>
      <c r="G379" s="4"/>
      <c r="H379" s="4"/>
      <c r="I379" s="4"/>
      <c r="J379" s="4"/>
      <c r="K379" s="4"/>
      <c r="L379" s="4"/>
      <c r="M379" s="4"/>
      <c r="N379" s="4"/>
      <c r="O379" s="4"/>
      <c r="P379" s="4"/>
      <c r="Q379" s="4"/>
      <c r="R379" s="4"/>
    </row>
    <row r="380" spans="1:18" ht="17.399999999999999" x14ac:dyDescent="0.25">
      <c r="A380" s="4"/>
      <c r="B380" s="23"/>
      <c r="C380" s="4"/>
      <c r="D380" s="4"/>
      <c r="E380" s="5"/>
      <c r="F380" s="4"/>
      <c r="G380" s="4"/>
      <c r="H380" s="4"/>
      <c r="I380" s="4"/>
      <c r="J380" s="4"/>
      <c r="K380" s="4"/>
      <c r="L380" s="4"/>
      <c r="M380" s="4"/>
      <c r="N380" s="4"/>
      <c r="O380" s="4"/>
      <c r="P380" s="4"/>
      <c r="Q380" s="4"/>
      <c r="R380" s="4"/>
    </row>
    <row r="381" spans="1:18" ht="17.399999999999999" x14ac:dyDescent="0.25">
      <c r="A381" s="4"/>
      <c r="B381" s="23"/>
      <c r="C381" s="4"/>
      <c r="D381" s="4"/>
      <c r="E381" s="5"/>
      <c r="F381" s="4"/>
      <c r="G381" s="4"/>
      <c r="H381" s="4"/>
      <c r="I381" s="4"/>
      <c r="J381" s="4"/>
      <c r="K381" s="4"/>
      <c r="L381" s="4"/>
      <c r="M381" s="4"/>
      <c r="N381" s="4"/>
      <c r="O381" s="4"/>
      <c r="P381" s="4"/>
      <c r="Q381" s="4"/>
      <c r="R381" s="4"/>
    </row>
    <row r="382" spans="1:18" ht="17.399999999999999" x14ac:dyDescent="0.25">
      <c r="A382" s="4"/>
      <c r="B382" s="23"/>
      <c r="C382" s="4"/>
      <c r="D382" s="4"/>
      <c r="E382" s="5"/>
      <c r="F382" s="4"/>
      <c r="G382" s="4"/>
      <c r="H382" s="4"/>
      <c r="I382" s="4"/>
      <c r="J382" s="4"/>
      <c r="K382" s="4"/>
      <c r="L382" s="4"/>
      <c r="M382" s="4"/>
      <c r="N382" s="4"/>
      <c r="O382" s="4"/>
      <c r="P382" s="4"/>
      <c r="Q382" s="4"/>
      <c r="R382" s="4"/>
    </row>
    <row r="383" spans="1:18" ht="17.399999999999999" x14ac:dyDescent="0.25">
      <c r="A383" s="4"/>
      <c r="B383" s="23"/>
      <c r="C383" s="4"/>
      <c r="D383" s="4"/>
      <c r="E383" s="5"/>
      <c r="F383" s="4"/>
      <c r="G383" s="4"/>
      <c r="H383" s="4"/>
      <c r="I383" s="4"/>
      <c r="J383" s="4"/>
      <c r="K383" s="4"/>
      <c r="L383" s="4"/>
      <c r="M383" s="4"/>
      <c r="N383" s="4"/>
      <c r="O383" s="4"/>
      <c r="P383" s="4"/>
      <c r="Q383" s="4"/>
      <c r="R383" s="4"/>
    </row>
    <row r="384" spans="1:18" ht="17.399999999999999" x14ac:dyDescent="0.25">
      <c r="A384" s="4"/>
      <c r="B384" s="23"/>
      <c r="C384" s="4"/>
      <c r="D384" s="4"/>
      <c r="E384" s="5"/>
      <c r="F384" s="4"/>
      <c r="G384" s="4"/>
      <c r="H384" s="4"/>
      <c r="I384" s="4"/>
      <c r="J384" s="4"/>
      <c r="K384" s="4"/>
      <c r="L384" s="4"/>
      <c r="M384" s="4"/>
      <c r="N384" s="4"/>
      <c r="O384" s="4"/>
      <c r="P384" s="4"/>
      <c r="Q384" s="4"/>
      <c r="R384" s="4"/>
    </row>
    <row r="385" spans="1:18" ht="17.399999999999999" x14ac:dyDescent="0.25">
      <c r="A385" s="4"/>
      <c r="B385" s="23"/>
      <c r="C385" s="4"/>
      <c r="D385" s="4"/>
      <c r="E385" s="5"/>
      <c r="F385" s="4"/>
      <c r="G385" s="4"/>
      <c r="H385" s="4"/>
      <c r="I385" s="4"/>
      <c r="J385" s="4"/>
      <c r="K385" s="4"/>
      <c r="L385" s="4"/>
      <c r="M385" s="4"/>
      <c r="N385" s="4"/>
      <c r="O385" s="4"/>
      <c r="P385" s="4"/>
      <c r="Q385" s="4"/>
      <c r="R385" s="4"/>
    </row>
    <row r="386" spans="1:18" ht="17.399999999999999" x14ac:dyDescent="0.25">
      <c r="A386" s="4"/>
      <c r="B386" s="23"/>
      <c r="C386" s="4"/>
      <c r="D386" s="4"/>
      <c r="E386" s="5"/>
      <c r="F386" s="4"/>
      <c r="G386" s="4"/>
      <c r="H386" s="4"/>
      <c r="I386" s="4"/>
      <c r="J386" s="4"/>
      <c r="K386" s="4"/>
      <c r="L386" s="4"/>
      <c r="M386" s="4"/>
      <c r="N386" s="4"/>
      <c r="O386" s="4"/>
      <c r="P386" s="4"/>
      <c r="Q386" s="4"/>
      <c r="R386" s="4"/>
    </row>
    <row r="387" spans="1:18" ht="17.399999999999999" x14ac:dyDescent="0.25">
      <c r="A387" s="4"/>
      <c r="B387" s="23"/>
      <c r="C387" s="4"/>
      <c r="D387" s="4"/>
      <c r="E387" s="5"/>
      <c r="F387" s="4"/>
      <c r="G387" s="4"/>
      <c r="H387" s="4"/>
      <c r="I387" s="4"/>
      <c r="J387" s="4"/>
      <c r="K387" s="4"/>
      <c r="L387" s="4"/>
      <c r="M387" s="4"/>
      <c r="N387" s="4"/>
      <c r="O387" s="4"/>
      <c r="P387" s="4"/>
      <c r="Q387" s="4"/>
      <c r="R387" s="4"/>
    </row>
    <row r="388" spans="1:18" ht="17.399999999999999" x14ac:dyDescent="0.25">
      <c r="A388" s="4"/>
      <c r="B388" s="23"/>
      <c r="C388" s="4"/>
      <c r="D388" s="4"/>
      <c r="E388" s="5"/>
      <c r="F388" s="4"/>
      <c r="G388" s="4"/>
      <c r="H388" s="4"/>
      <c r="I388" s="4"/>
      <c r="J388" s="4"/>
      <c r="K388" s="4"/>
      <c r="L388" s="4"/>
      <c r="M388" s="4"/>
      <c r="N388" s="4"/>
      <c r="O388" s="4"/>
      <c r="P388" s="4"/>
      <c r="Q388" s="4"/>
      <c r="R388" s="4"/>
    </row>
    <row r="389" spans="1:18" ht="17.399999999999999" x14ac:dyDescent="0.25">
      <c r="A389" s="4"/>
      <c r="B389" s="23"/>
      <c r="C389" s="4"/>
      <c r="D389" s="4"/>
      <c r="E389" s="5"/>
      <c r="F389" s="4"/>
      <c r="G389" s="4"/>
      <c r="H389" s="4"/>
      <c r="I389" s="4"/>
      <c r="J389" s="4"/>
      <c r="K389" s="4"/>
      <c r="L389" s="4"/>
      <c r="M389" s="4"/>
      <c r="N389" s="4"/>
      <c r="O389" s="4"/>
      <c r="P389" s="4"/>
      <c r="Q389" s="4"/>
      <c r="R389" s="4"/>
    </row>
    <row r="390" spans="1:18" ht="17.399999999999999" x14ac:dyDescent="0.25">
      <c r="A390" s="4"/>
      <c r="B390" s="23"/>
      <c r="C390" s="4"/>
      <c r="D390" s="4"/>
      <c r="E390" s="5"/>
      <c r="F390" s="4"/>
      <c r="G390" s="4"/>
      <c r="H390" s="4"/>
      <c r="I390" s="4"/>
      <c r="J390" s="4"/>
      <c r="K390" s="4"/>
      <c r="L390" s="4"/>
      <c r="M390" s="4"/>
      <c r="N390" s="4"/>
      <c r="O390" s="4"/>
      <c r="P390" s="4"/>
      <c r="Q390" s="4"/>
      <c r="R390" s="4"/>
    </row>
    <row r="391" spans="1:18" ht="17.399999999999999" x14ac:dyDescent="0.25">
      <c r="A391" s="4"/>
      <c r="B391" s="23"/>
      <c r="C391" s="4"/>
      <c r="D391" s="4"/>
      <c r="E391" s="5"/>
      <c r="F391" s="4"/>
      <c r="G391" s="4"/>
      <c r="H391" s="4"/>
      <c r="I391" s="4"/>
      <c r="J391" s="4"/>
      <c r="K391" s="4"/>
      <c r="L391" s="4"/>
      <c r="M391" s="4"/>
      <c r="N391" s="4"/>
      <c r="O391" s="4"/>
      <c r="P391" s="4"/>
      <c r="Q391" s="4"/>
      <c r="R391" s="4"/>
    </row>
    <row r="392" spans="1:18" ht="17.399999999999999" x14ac:dyDescent="0.25">
      <c r="A392" s="4"/>
      <c r="B392" s="23"/>
      <c r="C392" s="4"/>
      <c r="D392" s="4"/>
      <c r="E392" s="5"/>
      <c r="F392" s="4"/>
      <c r="G392" s="4"/>
      <c r="H392" s="4"/>
      <c r="I392" s="4"/>
      <c r="J392" s="4"/>
      <c r="K392" s="4"/>
      <c r="L392" s="4"/>
      <c r="M392" s="4"/>
      <c r="N392" s="4"/>
      <c r="O392" s="4"/>
      <c r="P392" s="4"/>
      <c r="Q392" s="4"/>
      <c r="R392" s="4"/>
    </row>
    <row r="393" spans="1:18" ht="17.399999999999999" x14ac:dyDescent="0.25">
      <c r="A393" s="4"/>
      <c r="B393" s="23"/>
      <c r="C393" s="4"/>
      <c r="D393" s="4"/>
      <c r="E393" s="5"/>
      <c r="F393" s="4"/>
      <c r="G393" s="4"/>
      <c r="H393" s="4"/>
      <c r="I393" s="4"/>
      <c r="J393" s="4"/>
      <c r="K393" s="4"/>
      <c r="L393" s="4"/>
      <c r="M393" s="4"/>
      <c r="N393" s="4"/>
      <c r="O393" s="4"/>
      <c r="P393" s="4"/>
      <c r="Q393" s="4"/>
      <c r="R393" s="4"/>
    </row>
    <row r="394" spans="1:18" ht="17.399999999999999" x14ac:dyDescent="0.25">
      <c r="A394" s="4"/>
      <c r="B394" s="23"/>
      <c r="C394" s="4"/>
      <c r="D394" s="4"/>
      <c r="E394" s="5"/>
      <c r="F394" s="4"/>
      <c r="G394" s="4"/>
      <c r="H394" s="4"/>
      <c r="I394" s="4"/>
      <c r="J394" s="4"/>
      <c r="K394" s="4"/>
      <c r="L394" s="4"/>
      <c r="M394" s="4"/>
      <c r="N394" s="4"/>
      <c r="O394" s="4"/>
      <c r="P394" s="4"/>
      <c r="Q394" s="4"/>
      <c r="R394" s="4"/>
    </row>
    <row r="395" spans="1:18" ht="17.399999999999999" x14ac:dyDescent="0.25">
      <c r="A395" s="4"/>
      <c r="B395" s="23"/>
      <c r="C395" s="4"/>
      <c r="D395" s="4"/>
      <c r="E395" s="5"/>
      <c r="F395" s="4"/>
      <c r="G395" s="4"/>
      <c r="H395" s="4"/>
      <c r="I395" s="4"/>
      <c r="J395" s="4"/>
      <c r="K395" s="4"/>
      <c r="L395" s="4"/>
      <c r="M395" s="4"/>
      <c r="N395" s="4"/>
      <c r="O395" s="4"/>
      <c r="P395" s="4"/>
      <c r="Q395" s="4"/>
      <c r="R395" s="4"/>
    </row>
    <row r="396" spans="1:18" ht="17.399999999999999" x14ac:dyDescent="0.25">
      <c r="A396" s="4"/>
      <c r="B396" s="23"/>
      <c r="C396" s="4"/>
      <c r="D396" s="4"/>
      <c r="E396" s="5"/>
      <c r="F396" s="4"/>
      <c r="G396" s="4"/>
      <c r="H396" s="4"/>
      <c r="I396" s="4"/>
      <c r="J396" s="4"/>
      <c r="K396" s="4"/>
      <c r="L396" s="4"/>
      <c r="M396" s="4"/>
      <c r="N396" s="4"/>
      <c r="O396" s="4"/>
      <c r="P396" s="4"/>
      <c r="Q396" s="4"/>
      <c r="R396" s="4"/>
    </row>
    <row r="397" spans="1:18" ht="17.399999999999999" x14ac:dyDescent="0.25">
      <c r="A397" s="4"/>
      <c r="B397" s="23"/>
      <c r="C397" s="4"/>
      <c r="D397" s="4"/>
      <c r="E397" s="5"/>
      <c r="F397" s="4"/>
      <c r="G397" s="4"/>
      <c r="H397" s="4"/>
      <c r="I397" s="4"/>
      <c r="J397" s="4"/>
      <c r="K397" s="4"/>
      <c r="L397" s="4"/>
      <c r="M397" s="4"/>
      <c r="N397" s="4"/>
      <c r="O397" s="4"/>
      <c r="P397" s="4"/>
      <c r="Q397" s="4"/>
      <c r="R397" s="4"/>
    </row>
    <row r="398" spans="1:18" ht="17.399999999999999" x14ac:dyDescent="0.25">
      <c r="A398" s="4"/>
      <c r="B398" s="23"/>
      <c r="C398" s="4"/>
      <c r="D398" s="4"/>
      <c r="E398" s="5"/>
      <c r="F398" s="4"/>
      <c r="G398" s="4"/>
      <c r="H398" s="4"/>
      <c r="I398" s="4"/>
      <c r="J398" s="4"/>
      <c r="K398" s="4"/>
      <c r="L398" s="4"/>
      <c r="M398" s="4"/>
      <c r="N398" s="4"/>
      <c r="O398" s="4"/>
      <c r="P398" s="4"/>
      <c r="Q398" s="4"/>
      <c r="R398" s="4"/>
    </row>
    <row r="399" spans="1:18" ht="17.399999999999999" x14ac:dyDescent="0.25">
      <c r="A399" s="4"/>
      <c r="B399" s="23"/>
      <c r="C399" s="4"/>
      <c r="D399" s="4"/>
      <c r="E399" s="5"/>
      <c r="F399" s="4"/>
      <c r="G399" s="4"/>
      <c r="H399" s="4"/>
      <c r="I399" s="4"/>
      <c r="J399" s="4"/>
      <c r="K399" s="4"/>
      <c r="L399" s="4"/>
      <c r="M399" s="4"/>
      <c r="N399" s="4"/>
      <c r="O399" s="4"/>
      <c r="P399" s="4"/>
      <c r="Q399" s="4"/>
      <c r="R399" s="4"/>
    </row>
    <row r="400" spans="1:18" ht="17.399999999999999" x14ac:dyDescent="0.25">
      <c r="A400" s="4"/>
      <c r="B400" s="23"/>
      <c r="C400" s="4"/>
      <c r="D400" s="4"/>
      <c r="E400" s="5"/>
      <c r="F400" s="4"/>
      <c r="G400" s="4"/>
      <c r="H400" s="4"/>
      <c r="I400" s="4"/>
      <c r="J400" s="4"/>
      <c r="K400" s="4"/>
      <c r="L400" s="4"/>
      <c r="M400" s="4"/>
      <c r="N400" s="4"/>
      <c r="O400" s="4"/>
      <c r="P400" s="4"/>
      <c r="Q400" s="4"/>
      <c r="R400" s="4"/>
    </row>
    <row r="401" spans="1:18" ht="17.399999999999999" x14ac:dyDescent="0.25">
      <c r="A401" s="4"/>
      <c r="B401" s="23"/>
      <c r="C401" s="4"/>
      <c r="D401" s="4"/>
      <c r="E401" s="5"/>
      <c r="F401" s="4"/>
      <c r="G401" s="4"/>
      <c r="H401" s="4"/>
      <c r="I401" s="4"/>
      <c r="J401" s="4"/>
      <c r="K401" s="4"/>
      <c r="L401" s="4"/>
      <c r="M401" s="4"/>
      <c r="N401" s="4"/>
      <c r="O401" s="4"/>
      <c r="P401" s="4"/>
      <c r="Q401" s="4"/>
      <c r="R401" s="4"/>
    </row>
    <row r="402" spans="1:18" ht="17.399999999999999" x14ac:dyDescent="0.25">
      <c r="A402" s="4"/>
      <c r="B402" s="23"/>
      <c r="C402" s="4"/>
      <c r="D402" s="4"/>
      <c r="E402" s="5"/>
      <c r="F402" s="4"/>
      <c r="G402" s="4"/>
      <c r="H402" s="4"/>
      <c r="I402" s="4"/>
      <c r="J402" s="4"/>
      <c r="K402" s="4"/>
      <c r="L402" s="4"/>
      <c r="M402" s="4"/>
      <c r="N402" s="4"/>
      <c r="O402" s="4"/>
      <c r="P402" s="4"/>
      <c r="Q402" s="4"/>
      <c r="R402" s="4"/>
    </row>
    <row r="403" spans="1:18" ht="17.399999999999999" x14ac:dyDescent="0.25">
      <c r="A403" s="4"/>
      <c r="B403" s="23"/>
      <c r="C403" s="4"/>
      <c r="D403" s="4"/>
      <c r="E403" s="5"/>
      <c r="F403" s="4"/>
      <c r="G403" s="4"/>
      <c r="H403" s="4"/>
      <c r="I403" s="4"/>
      <c r="J403" s="4"/>
      <c r="K403" s="4"/>
      <c r="L403" s="4"/>
      <c r="M403" s="4"/>
      <c r="N403" s="4"/>
      <c r="O403" s="4"/>
      <c r="P403" s="4"/>
      <c r="Q403" s="4"/>
      <c r="R403" s="4"/>
    </row>
    <row r="404" spans="1:18" ht="17.399999999999999" x14ac:dyDescent="0.25">
      <c r="A404" s="4"/>
      <c r="B404" s="23"/>
      <c r="C404" s="4"/>
      <c r="D404" s="4"/>
      <c r="E404" s="5"/>
      <c r="F404" s="4"/>
      <c r="G404" s="4"/>
      <c r="H404" s="4"/>
      <c r="I404" s="4"/>
      <c r="J404" s="4"/>
      <c r="K404" s="4"/>
      <c r="L404" s="4"/>
      <c r="M404" s="4"/>
      <c r="N404" s="4"/>
      <c r="O404" s="4"/>
      <c r="P404" s="4"/>
      <c r="Q404" s="4"/>
      <c r="R404" s="4"/>
    </row>
    <row r="405" spans="1:18" ht="17.399999999999999" x14ac:dyDescent="0.25">
      <c r="A405" s="4"/>
      <c r="B405" s="23"/>
      <c r="C405" s="4"/>
      <c r="D405" s="4"/>
      <c r="E405" s="5"/>
      <c r="F405" s="4"/>
      <c r="G405" s="4"/>
      <c r="H405" s="4"/>
      <c r="I405" s="4"/>
      <c r="J405" s="4"/>
      <c r="K405" s="4"/>
      <c r="L405" s="4"/>
      <c r="M405" s="4"/>
      <c r="N405" s="4"/>
      <c r="O405" s="4"/>
      <c r="P405" s="4"/>
      <c r="Q405" s="4"/>
      <c r="R405" s="4"/>
    </row>
    <row r="406" spans="1:18" ht="17.399999999999999" x14ac:dyDescent="0.25">
      <c r="A406" s="4"/>
      <c r="B406" s="23"/>
      <c r="C406" s="4"/>
      <c r="D406" s="4"/>
      <c r="E406" s="5"/>
      <c r="F406" s="4"/>
      <c r="G406" s="4"/>
      <c r="H406" s="4"/>
      <c r="I406" s="4"/>
      <c r="J406" s="4"/>
      <c r="K406" s="4"/>
      <c r="L406" s="4"/>
      <c r="M406" s="4"/>
      <c r="N406" s="4"/>
      <c r="O406" s="4"/>
      <c r="P406" s="4"/>
      <c r="Q406" s="4"/>
      <c r="R406" s="4"/>
    </row>
    <row r="407" spans="1:18" ht="17.399999999999999" x14ac:dyDescent="0.25">
      <c r="A407" s="4"/>
      <c r="B407" s="23"/>
      <c r="C407" s="4"/>
      <c r="D407" s="4"/>
      <c r="E407" s="5"/>
      <c r="F407" s="4"/>
      <c r="G407" s="4"/>
      <c r="H407" s="4"/>
      <c r="I407" s="4"/>
      <c r="J407" s="4"/>
      <c r="K407" s="4"/>
      <c r="L407" s="4"/>
      <c r="M407" s="4"/>
      <c r="N407" s="4"/>
      <c r="O407" s="4"/>
      <c r="P407" s="4"/>
      <c r="Q407" s="4"/>
      <c r="R407" s="4"/>
    </row>
    <row r="408" spans="1:18" ht="17.399999999999999" x14ac:dyDescent="0.25">
      <c r="A408" s="4"/>
      <c r="B408" s="23"/>
      <c r="C408" s="4"/>
      <c r="D408" s="4"/>
      <c r="E408" s="5"/>
      <c r="F408" s="4"/>
      <c r="G408" s="4"/>
      <c r="H408" s="4"/>
      <c r="I408" s="4"/>
      <c r="J408" s="4"/>
      <c r="K408" s="4"/>
      <c r="L408" s="4"/>
      <c r="M408" s="4"/>
      <c r="N408" s="4"/>
      <c r="O408" s="4"/>
      <c r="P408" s="4"/>
      <c r="Q408" s="4"/>
      <c r="R408" s="4"/>
    </row>
    <row r="409" spans="1:18" ht="17.399999999999999" x14ac:dyDescent="0.25">
      <c r="A409" s="4"/>
      <c r="B409" s="23"/>
      <c r="C409" s="4"/>
      <c r="D409" s="4"/>
      <c r="E409" s="5"/>
      <c r="F409" s="4"/>
      <c r="G409" s="4"/>
      <c r="H409" s="4"/>
      <c r="I409" s="4"/>
      <c r="J409" s="4"/>
      <c r="K409" s="4"/>
      <c r="L409" s="4"/>
      <c r="M409" s="4"/>
      <c r="N409" s="4"/>
      <c r="O409" s="4"/>
      <c r="P409" s="4"/>
      <c r="Q409" s="4"/>
      <c r="R409" s="4"/>
    </row>
    <row r="410" spans="1:18" ht="17.399999999999999" x14ac:dyDescent="0.25">
      <c r="A410" s="4"/>
      <c r="B410" s="23"/>
      <c r="C410" s="4"/>
      <c r="D410" s="4"/>
      <c r="E410" s="5"/>
      <c r="F410" s="4"/>
      <c r="G410" s="4"/>
      <c r="H410" s="4"/>
      <c r="I410" s="4"/>
      <c r="J410" s="4"/>
      <c r="K410" s="4"/>
      <c r="L410" s="4"/>
      <c r="M410" s="4"/>
      <c r="N410" s="4"/>
      <c r="O410" s="4"/>
      <c r="P410" s="4"/>
      <c r="Q410" s="4"/>
      <c r="R410" s="4"/>
    </row>
    <row r="411" spans="1:18" ht="17.399999999999999" x14ac:dyDescent="0.25">
      <c r="A411" s="4"/>
      <c r="B411" s="23"/>
      <c r="C411" s="4"/>
      <c r="D411" s="4"/>
      <c r="E411" s="5"/>
      <c r="F411" s="4"/>
      <c r="G411" s="4"/>
      <c r="H411" s="4"/>
      <c r="I411" s="4"/>
      <c r="J411" s="4"/>
      <c r="K411" s="4"/>
      <c r="L411" s="4"/>
      <c r="M411" s="4"/>
      <c r="N411" s="4"/>
      <c r="O411" s="4"/>
      <c r="P411" s="4"/>
      <c r="Q411" s="4"/>
      <c r="R411" s="4"/>
    </row>
    <row r="412" spans="1:18" ht="17.399999999999999" x14ac:dyDescent="0.25">
      <c r="A412" s="4"/>
      <c r="B412" s="23"/>
      <c r="C412" s="4"/>
      <c r="D412" s="4"/>
      <c r="E412" s="5"/>
      <c r="F412" s="4"/>
      <c r="G412" s="4"/>
      <c r="H412" s="4"/>
      <c r="I412" s="4"/>
      <c r="J412" s="4"/>
      <c r="K412" s="4"/>
      <c r="L412" s="4"/>
      <c r="M412" s="4"/>
      <c r="N412" s="4"/>
      <c r="O412" s="4"/>
      <c r="P412" s="4"/>
      <c r="Q412" s="4"/>
      <c r="R412" s="4"/>
    </row>
    <row r="413" spans="1:18" ht="17.399999999999999" x14ac:dyDescent="0.25">
      <c r="A413" s="4"/>
      <c r="B413" s="23"/>
      <c r="C413" s="4"/>
      <c r="D413" s="4"/>
      <c r="E413" s="5"/>
      <c r="F413" s="4"/>
      <c r="G413" s="4"/>
      <c r="H413" s="4"/>
      <c r="I413" s="4"/>
      <c r="J413" s="4"/>
      <c r="K413" s="4"/>
      <c r="L413" s="4"/>
      <c r="M413" s="4"/>
      <c r="N413" s="4"/>
      <c r="O413" s="4"/>
      <c r="P413" s="4"/>
      <c r="Q413" s="4"/>
      <c r="R413" s="4"/>
    </row>
    <row r="414" spans="1:18" ht="17.399999999999999" x14ac:dyDescent="0.25">
      <c r="A414" s="4"/>
      <c r="B414" s="23"/>
      <c r="C414" s="4"/>
      <c r="D414" s="4"/>
      <c r="E414" s="5"/>
      <c r="F414" s="4"/>
      <c r="G414" s="4"/>
      <c r="H414" s="4"/>
      <c r="I414" s="4"/>
      <c r="J414" s="4"/>
      <c r="K414" s="4"/>
      <c r="L414" s="4"/>
      <c r="M414" s="4"/>
      <c r="N414" s="4"/>
      <c r="O414" s="4"/>
      <c r="P414" s="4"/>
      <c r="Q414" s="4"/>
      <c r="R414" s="4"/>
    </row>
    <row r="415" spans="1:18" ht="17.399999999999999" x14ac:dyDescent="0.25">
      <c r="A415" s="4"/>
      <c r="B415" s="23"/>
      <c r="C415" s="4"/>
      <c r="D415" s="4"/>
      <c r="E415" s="5"/>
      <c r="F415" s="4"/>
      <c r="G415" s="4"/>
      <c r="H415" s="4"/>
      <c r="I415" s="4"/>
      <c r="J415" s="4"/>
      <c r="K415" s="4"/>
      <c r="L415" s="4"/>
      <c r="M415" s="4"/>
      <c r="N415" s="4"/>
      <c r="O415" s="4"/>
      <c r="P415" s="4"/>
      <c r="Q415" s="4"/>
      <c r="R415" s="4"/>
    </row>
    <row r="416" spans="1:18" ht="17.399999999999999" x14ac:dyDescent="0.25">
      <c r="A416" s="4"/>
      <c r="B416" s="23"/>
      <c r="C416" s="4"/>
      <c r="D416" s="4"/>
      <c r="E416" s="5"/>
      <c r="F416" s="4"/>
      <c r="G416" s="4"/>
      <c r="H416" s="4"/>
      <c r="I416" s="4"/>
      <c r="J416" s="4"/>
      <c r="K416" s="4"/>
      <c r="L416" s="4"/>
      <c r="M416" s="4"/>
      <c r="N416" s="4"/>
      <c r="O416" s="4"/>
      <c r="P416" s="4"/>
      <c r="Q416" s="4"/>
      <c r="R416" s="4"/>
    </row>
    <row r="417" spans="1:18" ht="17.399999999999999" x14ac:dyDescent="0.25">
      <c r="A417" s="4"/>
      <c r="B417" s="23"/>
      <c r="C417" s="4"/>
      <c r="D417" s="4"/>
      <c r="E417" s="5"/>
      <c r="F417" s="4"/>
      <c r="G417" s="4"/>
      <c r="H417" s="4"/>
      <c r="I417" s="4"/>
      <c r="J417" s="4"/>
      <c r="K417" s="4"/>
      <c r="L417" s="4"/>
      <c r="M417" s="4"/>
      <c r="N417" s="4"/>
      <c r="O417" s="4"/>
      <c r="P417" s="4"/>
      <c r="Q417" s="4"/>
      <c r="R417" s="4"/>
    </row>
    <row r="418" spans="1:18" ht="17.399999999999999" x14ac:dyDescent="0.25">
      <c r="A418" s="4"/>
      <c r="B418" s="23"/>
      <c r="C418" s="4"/>
      <c r="D418" s="4"/>
      <c r="E418" s="5"/>
      <c r="F418" s="4"/>
      <c r="G418" s="4"/>
      <c r="H418" s="4"/>
      <c r="I418" s="4"/>
      <c r="J418" s="4"/>
      <c r="K418" s="4"/>
      <c r="L418" s="4"/>
      <c r="M418" s="4"/>
      <c r="N418" s="4"/>
      <c r="O418" s="4"/>
      <c r="P418" s="4"/>
      <c r="Q418" s="4"/>
      <c r="R418" s="4"/>
    </row>
    <row r="419" spans="1:18" ht="17.399999999999999" x14ac:dyDescent="0.25">
      <c r="A419" s="4"/>
      <c r="B419" s="23"/>
      <c r="C419" s="4"/>
      <c r="D419" s="4"/>
      <c r="E419" s="5"/>
      <c r="F419" s="4"/>
      <c r="G419" s="4"/>
      <c r="H419" s="4"/>
      <c r="I419" s="4"/>
      <c r="J419" s="4"/>
      <c r="K419" s="4"/>
      <c r="L419" s="4"/>
      <c r="M419" s="4"/>
      <c r="N419" s="4"/>
      <c r="O419" s="4"/>
      <c r="P419" s="4"/>
      <c r="Q419" s="4"/>
      <c r="R419" s="4"/>
    </row>
    <row r="420" spans="1:18" ht="17.399999999999999" x14ac:dyDescent="0.25">
      <c r="A420" s="4"/>
      <c r="B420" s="23"/>
      <c r="C420" s="4"/>
      <c r="D420" s="4"/>
      <c r="E420" s="5"/>
      <c r="F420" s="4"/>
      <c r="G420" s="4"/>
      <c r="H420" s="4"/>
      <c r="I420" s="4"/>
      <c r="J420" s="4"/>
      <c r="K420" s="4"/>
      <c r="L420" s="4"/>
      <c r="M420" s="4"/>
      <c r="N420" s="4"/>
      <c r="O420" s="4"/>
      <c r="P420" s="4"/>
      <c r="Q420" s="4"/>
      <c r="R420" s="4"/>
    </row>
    <row r="421" spans="1:18" ht="17.399999999999999" x14ac:dyDescent="0.25">
      <c r="A421" s="4"/>
      <c r="B421" s="23"/>
      <c r="C421" s="4"/>
      <c r="D421" s="4"/>
      <c r="E421" s="5"/>
      <c r="F421" s="4"/>
      <c r="G421" s="4"/>
      <c r="H421" s="4"/>
      <c r="I421" s="4"/>
      <c r="J421" s="4"/>
      <c r="K421" s="4"/>
      <c r="L421" s="4"/>
      <c r="M421" s="4"/>
      <c r="N421" s="4"/>
      <c r="O421" s="4"/>
      <c r="P421" s="4"/>
      <c r="Q421" s="4"/>
      <c r="R421" s="4"/>
    </row>
    <row r="422" spans="1:18" ht="17.399999999999999" x14ac:dyDescent="0.25">
      <c r="A422" s="4"/>
      <c r="B422" s="23"/>
      <c r="C422" s="4"/>
      <c r="D422" s="4"/>
      <c r="E422" s="5"/>
      <c r="F422" s="4"/>
      <c r="G422" s="4"/>
      <c r="H422" s="4"/>
      <c r="I422" s="4"/>
      <c r="J422" s="4"/>
      <c r="K422" s="4"/>
      <c r="L422" s="4"/>
      <c r="M422" s="4"/>
      <c r="N422" s="4"/>
      <c r="O422" s="4"/>
      <c r="P422" s="4"/>
      <c r="Q422" s="4"/>
      <c r="R422" s="4"/>
    </row>
    <row r="423" spans="1:18" ht="17.399999999999999" x14ac:dyDescent="0.25">
      <c r="A423" s="4"/>
      <c r="B423" s="23"/>
      <c r="C423" s="4"/>
      <c r="D423" s="4"/>
      <c r="E423" s="5"/>
      <c r="F423" s="4"/>
      <c r="G423" s="4"/>
      <c r="H423" s="4"/>
      <c r="I423" s="4"/>
      <c r="J423" s="4"/>
      <c r="K423" s="4"/>
      <c r="L423" s="4"/>
      <c r="M423" s="4"/>
      <c r="N423" s="4"/>
      <c r="O423" s="4"/>
      <c r="P423" s="4"/>
      <c r="Q423" s="4"/>
      <c r="R423" s="4"/>
    </row>
    <row r="424" spans="1:18" ht="17.399999999999999" x14ac:dyDescent="0.25">
      <c r="A424" s="4"/>
      <c r="B424" s="23"/>
      <c r="C424" s="4"/>
      <c r="D424" s="4"/>
      <c r="E424" s="5"/>
      <c r="F424" s="4"/>
      <c r="G424" s="4"/>
      <c r="H424" s="4"/>
      <c r="I424" s="4"/>
      <c r="J424" s="4"/>
      <c r="K424" s="4"/>
      <c r="L424" s="4"/>
      <c r="M424" s="4"/>
      <c r="N424" s="4"/>
      <c r="O424" s="4"/>
      <c r="P424" s="4"/>
      <c r="Q424" s="4"/>
      <c r="R424" s="4"/>
    </row>
    <row r="425" spans="1:18" ht="17.399999999999999" x14ac:dyDescent="0.25">
      <c r="A425" s="4"/>
      <c r="B425" s="23"/>
      <c r="C425" s="4"/>
      <c r="D425" s="4"/>
      <c r="E425" s="5"/>
      <c r="F425" s="4"/>
      <c r="G425" s="4"/>
      <c r="H425" s="4"/>
      <c r="I425" s="4"/>
      <c r="J425" s="4"/>
      <c r="K425" s="4"/>
      <c r="L425" s="4"/>
      <c r="M425" s="4"/>
      <c r="N425" s="4"/>
      <c r="O425" s="4"/>
      <c r="P425" s="4"/>
      <c r="Q425" s="4"/>
      <c r="R425" s="4"/>
    </row>
    <row r="426" spans="1:18" ht="17.399999999999999" x14ac:dyDescent="0.25">
      <c r="A426" s="4"/>
      <c r="B426" s="23"/>
      <c r="C426" s="4"/>
      <c r="D426" s="4"/>
      <c r="E426" s="5"/>
      <c r="F426" s="4"/>
      <c r="G426" s="4"/>
      <c r="H426" s="4"/>
      <c r="I426" s="4"/>
      <c r="J426" s="4"/>
      <c r="K426" s="4"/>
      <c r="L426" s="4"/>
      <c r="M426" s="4"/>
      <c r="N426" s="4"/>
      <c r="O426" s="4"/>
      <c r="P426" s="4"/>
      <c r="Q426" s="4"/>
      <c r="R426" s="4"/>
    </row>
    <row r="427" spans="1:18" ht="17.399999999999999" x14ac:dyDescent="0.25">
      <c r="A427" s="4"/>
      <c r="B427" s="23"/>
      <c r="C427" s="4"/>
      <c r="D427" s="4"/>
      <c r="E427" s="5"/>
      <c r="F427" s="4"/>
      <c r="G427" s="4"/>
      <c r="H427" s="4"/>
      <c r="I427" s="4"/>
      <c r="J427" s="4"/>
      <c r="K427" s="4"/>
      <c r="L427" s="4"/>
      <c r="M427" s="4"/>
      <c r="N427" s="4"/>
      <c r="O427" s="4"/>
      <c r="P427" s="4"/>
      <c r="Q427" s="4"/>
      <c r="R427" s="4"/>
    </row>
    <row r="428" spans="1:18" ht="17.399999999999999" x14ac:dyDescent="0.25">
      <c r="A428" s="4"/>
      <c r="B428" s="23"/>
      <c r="C428" s="4"/>
      <c r="D428" s="4"/>
      <c r="E428" s="5"/>
      <c r="F428" s="4"/>
      <c r="G428" s="4"/>
      <c r="H428" s="4"/>
      <c r="I428" s="4"/>
      <c r="J428" s="4"/>
      <c r="K428" s="4"/>
      <c r="L428" s="4"/>
      <c r="M428" s="4"/>
      <c r="N428" s="4"/>
      <c r="O428" s="4"/>
      <c r="P428" s="4"/>
      <c r="Q428" s="4"/>
      <c r="R428" s="4"/>
    </row>
    <row r="429" spans="1:18" ht="17.399999999999999" x14ac:dyDescent="0.25">
      <c r="A429" s="4"/>
      <c r="B429" s="23"/>
      <c r="C429" s="4"/>
      <c r="D429" s="4"/>
      <c r="E429" s="5"/>
      <c r="F429" s="4"/>
      <c r="G429" s="4"/>
      <c r="H429" s="4"/>
      <c r="I429" s="4"/>
      <c r="J429" s="4"/>
      <c r="K429" s="4"/>
      <c r="L429" s="4"/>
      <c r="M429" s="4"/>
      <c r="N429" s="4"/>
      <c r="O429" s="4"/>
      <c r="P429" s="4"/>
      <c r="Q429" s="4"/>
      <c r="R429" s="4"/>
    </row>
    <row r="430" spans="1:18" ht="17.399999999999999" x14ac:dyDescent="0.25">
      <c r="A430" s="4"/>
      <c r="B430" s="23"/>
      <c r="C430" s="4"/>
      <c r="D430" s="4"/>
      <c r="E430" s="5"/>
      <c r="F430" s="4"/>
      <c r="G430" s="4"/>
      <c r="H430" s="4"/>
      <c r="I430" s="4"/>
      <c r="J430" s="4"/>
      <c r="K430" s="4"/>
      <c r="L430" s="4"/>
      <c r="M430" s="4"/>
      <c r="N430" s="4"/>
      <c r="O430" s="4"/>
      <c r="P430" s="4"/>
      <c r="Q430" s="4"/>
      <c r="R430" s="4"/>
    </row>
    <row r="431" spans="1:18" ht="17.399999999999999" x14ac:dyDescent="0.25">
      <c r="A431" s="4"/>
      <c r="B431" s="23"/>
      <c r="C431" s="4"/>
      <c r="D431" s="4"/>
      <c r="E431" s="5"/>
      <c r="F431" s="4"/>
      <c r="G431" s="4"/>
      <c r="H431" s="4"/>
      <c r="I431" s="4"/>
      <c r="J431" s="4"/>
      <c r="K431" s="4"/>
      <c r="L431" s="4"/>
      <c r="M431" s="4"/>
      <c r="N431" s="4"/>
      <c r="O431" s="4"/>
      <c r="P431" s="4"/>
      <c r="Q431" s="4"/>
      <c r="R431" s="4"/>
    </row>
    <row r="432" spans="1:18" ht="17.399999999999999" x14ac:dyDescent="0.25">
      <c r="A432" s="4"/>
      <c r="B432" s="23"/>
      <c r="C432" s="4"/>
      <c r="D432" s="4"/>
      <c r="E432" s="5"/>
      <c r="F432" s="4"/>
      <c r="G432" s="4"/>
      <c r="H432" s="4"/>
      <c r="I432" s="4"/>
      <c r="J432" s="4"/>
      <c r="K432" s="4"/>
      <c r="L432" s="4"/>
      <c r="M432" s="4"/>
      <c r="N432" s="4"/>
      <c r="O432" s="4"/>
      <c r="P432" s="4"/>
      <c r="Q432" s="4"/>
      <c r="R432" s="4"/>
    </row>
    <row r="433" spans="1:18" ht="17.399999999999999" x14ac:dyDescent="0.25">
      <c r="A433" s="4"/>
      <c r="B433" s="23"/>
      <c r="C433" s="4"/>
      <c r="D433" s="4"/>
      <c r="E433" s="5"/>
      <c r="F433" s="4"/>
      <c r="G433" s="4"/>
      <c r="H433" s="4"/>
      <c r="I433" s="4"/>
      <c r="J433" s="4"/>
      <c r="K433" s="4"/>
      <c r="L433" s="4"/>
      <c r="M433" s="4"/>
      <c r="N433" s="4"/>
      <c r="O433" s="4"/>
      <c r="P433" s="4"/>
      <c r="Q433" s="4"/>
      <c r="R433" s="4"/>
    </row>
    <row r="434" spans="1:18" ht="17.399999999999999" x14ac:dyDescent="0.25">
      <c r="A434" s="4"/>
      <c r="B434" s="23"/>
      <c r="C434" s="4"/>
      <c r="D434" s="4"/>
      <c r="E434" s="5"/>
      <c r="F434" s="4"/>
      <c r="G434" s="4"/>
      <c r="H434" s="4"/>
      <c r="I434" s="4"/>
      <c r="J434" s="4"/>
      <c r="K434" s="4"/>
      <c r="L434" s="4"/>
      <c r="M434" s="4"/>
      <c r="N434" s="4"/>
      <c r="O434" s="4"/>
      <c r="P434" s="4"/>
      <c r="Q434" s="4"/>
      <c r="R434" s="4"/>
    </row>
    <row r="435" spans="1:18" ht="17.399999999999999" x14ac:dyDescent="0.25">
      <c r="A435" s="4"/>
      <c r="B435" s="23"/>
      <c r="C435" s="4"/>
      <c r="D435" s="4"/>
      <c r="E435" s="5"/>
      <c r="F435" s="4"/>
      <c r="G435" s="4"/>
      <c r="H435" s="4"/>
      <c r="I435" s="4"/>
      <c r="J435" s="4"/>
      <c r="K435" s="4"/>
      <c r="L435" s="4"/>
      <c r="M435" s="4"/>
      <c r="N435" s="4"/>
      <c r="O435" s="4"/>
      <c r="P435" s="4"/>
      <c r="Q435" s="4"/>
      <c r="R435" s="4"/>
    </row>
    <row r="436" spans="1:18" ht="17.399999999999999" x14ac:dyDescent="0.25">
      <c r="A436" s="4"/>
      <c r="B436" s="23"/>
      <c r="C436" s="4"/>
      <c r="D436" s="4"/>
      <c r="E436" s="5"/>
      <c r="F436" s="4"/>
      <c r="G436" s="4"/>
      <c r="H436" s="4"/>
      <c r="I436" s="4"/>
      <c r="J436" s="4"/>
      <c r="K436" s="4"/>
      <c r="L436" s="4"/>
      <c r="M436" s="4"/>
      <c r="N436" s="4"/>
      <c r="O436" s="4"/>
      <c r="P436" s="4"/>
      <c r="Q436" s="4"/>
      <c r="R436" s="4"/>
    </row>
    <row r="437" spans="1:18" ht="17.399999999999999" x14ac:dyDescent="0.25">
      <c r="A437" s="4"/>
      <c r="B437" s="23"/>
      <c r="C437" s="4"/>
      <c r="D437" s="4"/>
      <c r="E437" s="5"/>
      <c r="F437" s="4"/>
      <c r="G437" s="4"/>
      <c r="H437" s="4"/>
      <c r="I437" s="4"/>
      <c r="J437" s="4"/>
      <c r="K437" s="4"/>
      <c r="L437" s="4"/>
      <c r="M437" s="4"/>
      <c r="N437" s="4"/>
      <c r="O437" s="4"/>
      <c r="P437" s="4"/>
      <c r="Q437" s="4"/>
      <c r="R437" s="4"/>
    </row>
    <row r="438" spans="1:18" ht="17.399999999999999" x14ac:dyDescent="0.25">
      <c r="A438" s="4"/>
      <c r="B438" s="23"/>
      <c r="C438" s="4"/>
      <c r="D438" s="4"/>
      <c r="E438" s="5"/>
      <c r="F438" s="4"/>
      <c r="G438" s="4"/>
      <c r="H438" s="4"/>
      <c r="I438" s="4"/>
      <c r="J438" s="4"/>
      <c r="K438" s="4"/>
      <c r="L438" s="4"/>
      <c r="M438" s="4"/>
      <c r="N438" s="4"/>
      <c r="O438" s="4"/>
      <c r="P438" s="4"/>
      <c r="Q438" s="4"/>
      <c r="R438" s="4"/>
    </row>
    <row r="439" spans="1:18" ht="17.399999999999999" x14ac:dyDescent="0.25">
      <c r="A439" s="4"/>
      <c r="B439" s="23"/>
      <c r="C439" s="4"/>
      <c r="D439" s="4"/>
      <c r="E439" s="5"/>
      <c r="F439" s="4"/>
      <c r="G439" s="4"/>
      <c r="H439" s="4"/>
      <c r="I439" s="4"/>
      <c r="J439" s="4"/>
      <c r="K439" s="4"/>
      <c r="L439" s="4"/>
      <c r="M439" s="4"/>
      <c r="N439" s="4"/>
      <c r="O439" s="4"/>
      <c r="P439" s="4"/>
      <c r="Q439" s="4"/>
      <c r="R439" s="4"/>
    </row>
    <row r="440" spans="1:18" ht="17.399999999999999" x14ac:dyDescent="0.25">
      <c r="A440" s="4"/>
      <c r="B440" s="23"/>
      <c r="C440" s="4"/>
      <c r="D440" s="4"/>
      <c r="E440" s="5"/>
      <c r="F440" s="4"/>
      <c r="G440" s="4"/>
      <c r="H440" s="4"/>
      <c r="I440" s="4"/>
      <c r="J440" s="4"/>
      <c r="K440" s="4"/>
      <c r="L440" s="4"/>
      <c r="M440" s="4"/>
      <c r="N440" s="4"/>
      <c r="O440" s="4"/>
      <c r="P440" s="4"/>
      <c r="Q440" s="4"/>
      <c r="R440" s="4"/>
    </row>
    <row r="441" spans="1:18" ht="17.399999999999999" x14ac:dyDescent="0.25">
      <c r="A441" s="4"/>
      <c r="B441" s="23"/>
      <c r="C441" s="4"/>
      <c r="D441" s="4"/>
      <c r="E441" s="5"/>
      <c r="F441" s="4"/>
      <c r="G441" s="4"/>
      <c r="H441" s="4"/>
      <c r="I441" s="4"/>
      <c r="J441" s="4"/>
      <c r="K441" s="4"/>
      <c r="L441" s="4"/>
      <c r="M441" s="4"/>
      <c r="N441" s="4"/>
      <c r="O441" s="4"/>
      <c r="P441" s="4"/>
      <c r="Q441" s="4"/>
      <c r="R441" s="4"/>
    </row>
    <row r="442" spans="1:18" ht="17.399999999999999" x14ac:dyDescent="0.25">
      <c r="A442" s="4"/>
      <c r="B442" s="23"/>
      <c r="C442" s="4"/>
      <c r="D442" s="4"/>
      <c r="E442" s="5"/>
      <c r="F442" s="4"/>
      <c r="G442" s="4"/>
      <c r="H442" s="4"/>
      <c r="I442" s="4"/>
      <c r="J442" s="4"/>
      <c r="K442" s="4"/>
      <c r="L442" s="4"/>
      <c r="M442" s="4"/>
      <c r="N442" s="4"/>
      <c r="O442" s="4"/>
      <c r="P442" s="4"/>
      <c r="Q442" s="4"/>
      <c r="R442" s="4"/>
    </row>
    <row r="443" spans="1:18" ht="17.399999999999999" x14ac:dyDescent="0.25">
      <c r="A443" s="4"/>
      <c r="B443" s="23"/>
      <c r="C443" s="4"/>
      <c r="D443" s="4"/>
      <c r="E443" s="5"/>
      <c r="F443" s="4"/>
      <c r="G443" s="4"/>
      <c r="H443" s="4"/>
      <c r="I443" s="4"/>
      <c r="J443" s="4"/>
      <c r="K443" s="4"/>
      <c r="L443" s="4"/>
      <c r="M443" s="4"/>
      <c r="N443" s="4"/>
      <c r="O443" s="4"/>
      <c r="P443" s="4"/>
      <c r="Q443" s="4"/>
      <c r="R443" s="4"/>
    </row>
    <row r="444" spans="1:18" ht="17.399999999999999" x14ac:dyDescent="0.25">
      <c r="A444" s="4"/>
      <c r="B444" s="23"/>
      <c r="C444" s="4"/>
      <c r="D444" s="4"/>
      <c r="E444" s="5"/>
      <c r="F444" s="4"/>
      <c r="G444" s="4"/>
      <c r="H444" s="4"/>
      <c r="I444" s="4"/>
      <c r="J444" s="4"/>
      <c r="K444" s="4"/>
      <c r="L444" s="4"/>
      <c r="M444" s="4"/>
      <c r="N444" s="4"/>
      <c r="O444" s="4"/>
      <c r="P444" s="4"/>
      <c r="Q444" s="4"/>
      <c r="R444" s="4"/>
    </row>
    <row r="445" spans="1:18" ht="17.399999999999999" x14ac:dyDescent="0.25">
      <c r="A445" s="4"/>
      <c r="B445" s="23"/>
      <c r="C445" s="4"/>
      <c r="D445" s="4"/>
      <c r="E445" s="5"/>
      <c r="F445" s="4"/>
      <c r="G445" s="4"/>
      <c r="H445" s="4"/>
      <c r="I445" s="4"/>
      <c r="J445" s="4"/>
      <c r="K445" s="4"/>
      <c r="L445" s="4"/>
      <c r="M445" s="4"/>
      <c r="N445" s="4"/>
      <c r="O445" s="4"/>
      <c r="P445" s="4"/>
      <c r="Q445" s="4"/>
      <c r="R445" s="4"/>
    </row>
    <row r="446" spans="1:18" ht="17.399999999999999" x14ac:dyDescent="0.25">
      <c r="A446" s="4"/>
      <c r="B446" s="23"/>
      <c r="C446" s="4"/>
      <c r="D446" s="4"/>
      <c r="E446" s="5"/>
      <c r="F446" s="4"/>
      <c r="G446" s="4"/>
      <c r="H446" s="4"/>
      <c r="I446" s="4"/>
      <c r="J446" s="4"/>
      <c r="K446" s="4"/>
      <c r="L446" s="4"/>
      <c r="M446" s="4"/>
      <c r="N446" s="4"/>
      <c r="O446" s="4"/>
      <c r="P446" s="4"/>
      <c r="Q446" s="4"/>
      <c r="R446" s="4"/>
    </row>
    <row r="447" spans="1:18" ht="17.399999999999999" x14ac:dyDescent="0.25">
      <c r="A447" s="4"/>
      <c r="B447" s="23"/>
      <c r="C447" s="4"/>
      <c r="D447" s="4"/>
      <c r="E447" s="5"/>
      <c r="F447" s="4"/>
      <c r="G447" s="4"/>
      <c r="H447" s="4"/>
      <c r="I447" s="4"/>
      <c r="J447" s="4"/>
      <c r="K447" s="4"/>
      <c r="L447" s="4"/>
      <c r="M447" s="4"/>
      <c r="N447" s="4"/>
      <c r="O447" s="4"/>
      <c r="P447" s="4"/>
      <c r="Q447" s="4"/>
      <c r="R447" s="4"/>
    </row>
    <row r="448" spans="1:18" ht="17.399999999999999" x14ac:dyDescent="0.25">
      <c r="A448" s="4"/>
      <c r="B448" s="23"/>
      <c r="C448" s="4"/>
      <c r="D448" s="4"/>
      <c r="E448" s="5"/>
      <c r="F448" s="4"/>
      <c r="G448" s="4"/>
      <c r="H448" s="4"/>
      <c r="I448" s="4"/>
      <c r="J448" s="4"/>
      <c r="K448" s="4"/>
      <c r="L448" s="4"/>
      <c r="M448" s="4"/>
      <c r="N448" s="4"/>
      <c r="O448" s="4"/>
      <c r="P448" s="4"/>
      <c r="Q448" s="4"/>
      <c r="R448" s="4"/>
    </row>
    <row r="449" spans="1:18" ht="17.399999999999999" x14ac:dyDescent="0.25">
      <c r="A449" s="4"/>
      <c r="B449" s="23"/>
      <c r="C449" s="4"/>
      <c r="D449" s="4"/>
      <c r="E449" s="5"/>
      <c r="F449" s="4"/>
      <c r="G449" s="4"/>
      <c r="H449" s="4"/>
      <c r="I449" s="4"/>
      <c r="J449" s="4"/>
      <c r="K449" s="4"/>
      <c r="L449" s="4"/>
      <c r="M449" s="4"/>
      <c r="N449" s="4"/>
      <c r="O449" s="4"/>
      <c r="P449" s="4"/>
      <c r="Q449" s="4"/>
      <c r="R449" s="4"/>
    </row>
    <row r="450" spans="1:18" ht="17.399999999999999" x14ac:dyDescent="0.25">
      <c r="A450" s="4"/>
      <c r="B450" s="23"/>
      <c r="C450" s="4"/>
      <c r="D450" s="4"/>
      <c r="E450" s="5"/>
      <c r="F450" s="4"/>
      <c r="G450" s="4"/>
      <c r="H450" s="4"/>
      <c r="I450" s="4"/>
      <c r="J450" s="4"/>
      <c r="K450" s="4"/>
      <c r="L450" s="4"/>
      <c r="M450" s="4"/>
      <c r="N450" s="4"/>
      <c r="O450" s="4"/>
      <c r="P450" s="4"/>
      <c r="Q450" s="4"/>
      <c r="R450" s="4"/>
    </row>
    <row r="451" spans="1:18" ht="17.399999999999999" x14ac:dyDescent="0.25">
      <c r="A451" s="4"/>
      <c r="B451" s="23"/>
      <c r="C451" s="4"/>
      <c r="D451" s="4"/>
      <c r="E451" s="5"/>
      <c r="F451" s="4"/>
      <c r="G451" s="4"/>
      <c r="H451" s="4"/>
      <c r="I451" s="4"/>
      <c r="J451" s="4"/>
      <c r="K451" s="4"/>
      <c r="L451" s="4"/>
      <c r="M451" s="4"/>
      <c r="N451" s="4"/>
      <c r="O451" s="4"/>
      <c r="P451" s="4"/>
      <c r="Q451" s="4"/>
      <c r="R451" s="4"/>
    </row>
    <row r="452" spans="1:18" ht="17.399999999999999" x14ac:dyDescent="0.25">
      <c r="A452" s="4"/>
      <c r="B452" s="23"/>
      <c r="C452" s="4"/>
      <c r="D452" s="4"/>
      <c r="E452" s="5"/>
      <c r="F452" s="4"/>
      <c r="G452" s="4"/>
      <c r="H452" s="4"/>
      <c r="I452" s="4"/>
      <c r="J452" s="4"/>
      <c r="K452" s="4"/>
      <c r="L452" s="4"/>
      <c r="M452" s="4"/>
      <c r="N452" s="4"/>
      <c r="O452" s="4"/>
      <c r="P452" s="4"/>
      <c r="Q452" s="4"/>
      <c r="R452" s="4"/>
    </row>
    <row r="453" spans="1:18" ht="17.399999999999999" x14ac:dyDescent="0.25">
      <c r="A453" s="4"/>
      <c r="B453" s="23"/>
      <c r="C453" s="4"/>
      <c r="D453" s="4"/>
      <c r="E453" s="5"/>
      <c r="F453" s="4"/>
      <c r="G453" s="4"/>
      <c r="H453" s="4"/>
      <c r="I453" s="4"/>
      <c r="J453" s="4"/>
      <c r="K453" s="4"/>
      <c r="L453" s="4"/>
      <c r="M453" s="4"/>
      <c r="N453" s="4"/>
      <c r="O453" s="4"/>
      <c r="P453" s="4"/>
      <c r="Q453" s="4"/>
      <c r="R453" s="4"/>
    </row>
    <row r="454" spans="1:18" ht="17.399999999999999" x14ac:dyDescent="0.25">
      <c r="A454" s="4"/>
      <c r="B454" s="23"/>
      <c r="C454" s="4"/>
      <c r="D454" s="4"/>
      <c r="E454" s="5"/>
      <c r="F454" s="4"/>
      <c r="G454" s="4"/>
      <c r="H454" s="4"/>
      <c r="I454" s="4"/>
      <c r="J454" s="4"/>
      <c r="K454" s="4"/>
      <c r="L454" s="4"/>
      <c r="M454" s="4"/>
      <c r="N454" s="4"/>
      <c r="O454" s="4"/>
      <c r="P454" s="4"/>
      <c r="Q454" s="4"/>
      <c r="R454" s="4"/>
    </row>
    <row r="455" spans="1:18" ht="17.399999999999999" x14ac:dyDescent="0.25">
      <c r="A455" s="4"/>
      <c r="B455" s="23"/>
      <c r="C455" s="4"/>
      <c r="D455" s="4"/>
      <c r="E455" s="5"/>
      <c r="F455" s="4"/>
      <c r="G455" s="4"/>
      <c r="H455" s="4"/>
      <c r="I455" s="4"/>
      <c r="J455" s="4"/>
      <c r="K455" s="4"/>
      <c r="L455" s="4"/>
      <c r="M455" s="4"/>
      <c r="N455" s="4"/>
      <c r="O455" s="4"/>
      <c r="P455" s="4"/>
      <c r="Q455" s="4"/>
      <c r="R455" s="4"/>
    </row>
    <row r="456" spans="1:18" ht="17.399999999999999" x14ac:dyDescent="0.25">
      <c r="A456" s="4"/>
      <c r="B456" s="23"/>
      <c r="C456" s="4"/>
      <c r="D456" s="4"/>
      <c r="E456" s="5"/>
      <c r="F456" s="4"/>
      <c r="G456" s="4"/>
      <c r="H456" s="4"/>
      <c r="I456" s="4"/>
      <c r="J456" s="4"/>
      <c r="K456" s="4"/>
      <c r="L456" s="4"/>
      <c r="M456" s="4"/>
      <c r="N456" s="4"/>
      <c r="O456" s="4"/>
      <c r="P456" s="4"/>
      <c r="Q456" s="4"/>
      <c r="R456" s="4"/>
    </row>
    <row r="457" spans="1:18" ht="17.399999999999999" x14ac:dyDescent="0.25">
      <c r="A457" s="4"/>
      <c r="B457" s="23"/>
      <c r="C457" s="4"/>
      <c r="D457" s="4"/>
      <c r="E457" s="5"/>
      <c r="F457" s="4"/>
      <c r="G457" s="4"/>
      <c r="H457" s="4"/>
      <c r="I457" s="4"/>
      <c r="J457" s="4"/>
      <c r="K457" s="4"/>
      <c r="L457" s="4"/>
      <c r="M457" s="4"/>
      <c r="N457" s="4"/>
      <c r="O457" s="4"/>
      <c r="P457" s="4"/>
      <c r="Q457" s="4"/>
      <c r="R457" s="4"/>
    </row>
    <row r="458" spans="1:18" ht="17.399999999999999" x14ac:dyDescent="0.25">
      <c r="A458" s="4"/>
      <c r="B458" s="23"/>
      <c r="C458" s="4"/>
      <c r="D458" s="4"/>
      <c r="E458" s="5"/>
      <c r="F458" s="4"/>
      <c r="G458" s="4"/>
      <c r="H458" s="4"/>
      <c r="I458" s="4"/>
      <c r="J458" s="4"/>
      <c r="K458" s="4"/>
      <c r="L458" s="4"/>
      <c r="M458" s="4"/>
      <c r="N458" s="4"/>
      <c r="O458" s="4"/>
      <c r="P458" s="4"/>
      <c r="Q458" s="4"/>
      <c r="R458" s="4"/>
    </row>
    <row r="459" spans="1:18" ht="17.399999999999999" x14ac:dyDescent="0.25">
      <c r="A459" s="4"/>
      <c r="B459" s="23"/>
      <c r="C459" s="4"/>
      <c r="D459" s="4"/>
      <c r="E459" s="5"/>
      <c r="F459" s="4"/>
      <c r="G459" s="4"/>
      <c r="H459" s="4"/>
      <c r="I459" s="4"/>
      <c r="J459" s="4"/>
      <c r="K459" s="4"/>
      <c r="L459" s="4"/>
      <c r="M459" s="4"/>
      <c r="N459" s="4"/>
      <c r="O459" s="4"/>
      <c r="P459" s="4"/>
      <c r="Q459" s="4"/>
      <c r="R459" s="4"/>
    </row>
    <row r="460" spans="1:18" ht="17.399999999999999" x14ac:dyDescent="0.25">
      <c r="A460" s="4"/>
      <c r="B460" s="23"/>
      <c r="C460" s="4"/>
      <c r="D460" s="4"/>
      <c r="E460" s="5"/>
      <c r="F460" s="4"/>
      <c r="G460" s="4"/>
      <c r="H460" s="4"/>
      <c r="I460" s="4"/>
      <c r="J460" s="4"/>
      <c r="K460" s="4"/>
      <c r="L460" s="4"/>
      <c r="M460" s="4"/>
      <c r="N460" s="4"/>
      <c r="O460" s="4"/>
      <c r="P460" s="4"/>
      <c r="Q460" s="4"/>
      <c r="R460" s="4"/>
    </row>
    <row r="461" spans="1:18" ht="17.399999999999999" x14ac:dyDescent="0.25">
      <c r="A461" s="4"/>
      <c r="B461" s="23"/>
      <c r="C461" s="4"/>
      <c r="D461" s="4"/>
      <c r="E461" s="5"/>
      <c r="F461" s="4"/>
      <c r="G461" s="4"/>
      <c r="H461" s="4"/>
      <c r="I461" s="4"/>
      <c r="J461" s="4"/>
      <c r="K461" s="4"/>
      <c r="L461" s="4"/>
      <c r="M461" s="4"/>
      <c r="N461" s="4"/>
      <c r="O461" s="4"/>
      <c r="P461" s="4"/>
      <c r="Q461" s="4"/>
      <c r="R461" s="4"/>
    </row>
    <row r="462" spans="1:18" ht="17.399999999999999" x14ac:dyDescent="0.25">
      <c r="A462" s="4"/>
      <c r="B462" s="23"/>
      <c r="C462" s="4"/>
      <c r="D462" s="4"/>
      <c r="E462" s="5"/>
      <c r="F462" s="4"/>
      <c r="G462" s="4"/>
      <c r="H462" s="4"/>
      <c r="I462" s="4"/>
      <c r="J462" s="4"/>
      <c r="K462" s="4"/>
      <c r="L462" s="4"/>
      <c r="M462" s="4"/>
      <c r="N462" s="4"/>
      <c r="O462" s="4"/>
      <c r="P462" s="4"/>
      <c r="Q462" s="4"/>
      <c r="R462" s="4"/>
    </row>
    <row r="463" spans="1:18" ht="17.399999999999999" x14ac:dyDescent="0.25">
      <c r="A463" s="4"/>
      <c r="B463" s="23"/>
      <c r="C463" s="4"/>
      <c r="D463" s="4"/>
      <c r="E463" s="5"/>
      <c r="F463" s="4"/>
      <c r="G463" s="4"/>
      <c r="H463" s="4"/>
      <c r="I463" s="4"/>
      <c r="J463" s="4"/>
      <c r="K463" s="4"/>
      <c r="L463" s="4"/>
      <c r="M463" s="4"/>
      <c r="N463" s="4"/>
      <c r="O463" s="4"/>
      <c r="P463" s="4"/>
      <c r="Q463" s="4"/>
      <c r="R463" s="4"/>
    </row>
    <row r="464" spans="1:18" ht="17.399999999999999" x14ac:dyDescent="0.25">
      <c r="A464" s="4"/>
      <c r="B464" s="23"/>
      <c r="C464" s="4"/>
      <c r="D464" s="4"/>
      <c r="E464" s="5"/>
      <c r="F464" s="4"/>
      <c r="G464" s="4"/>
      <c r="H464" s="4"/>
      <c r="I464" s="4"/>
      <c r="J464" s="4"/>
      <c r="K464" s="4"/>
      <c r="L464" s="4"/>
      <c r="M464" s="4"/>
      <c r="N464" s="4"/>
      <c r="O464" s="4"/>
      <c r="P464" s="4"/>
      <c r="Q464" s="4"/>
      <c r="R464" s="4"/>
    </row>
    <row r="465" spans="1:18" ht="17.399999999999999" x14ac:dyDescent="0.25">
      <c r="A465" s="4"/>
      <c r="B465" s="23"/>
      <c r="C465" s="4"/>
      <c r="D465" s="4"/>
      <c r="E465" s="5"/>
      <c r="F465" s="4"/>
      <c r="G465" s="4"/>
      <c r="H465" s="4"/>
      <c r="I465" s="4"/>
      <c r="J465" s="4"/>
      <c r="K465" s="4"/>
      <c r="L465" s="4"/>
      <c r="M465" s="4"/>
      <c r="N465" s="4"/>
      <c r="O465" s="4"/>
      <c r="P465" s="4"/>
      <c r="Q465" s="4"/>
      <c r="R465" s="4"/>
    </row>
    <row r="466" spans="1:18" ht="17.399999999999999" x14ac:dyDescent="0.25">
      <c r="A466" s="4"/>
      <c r="B466" s="23"/>
      <c r="C466" s="4"/>
      <c r="D466" s="4"/>
      <c r="E466" s="5"/>
      <c r="F466" s="4"/>
      <c r="G466" s="4"/>
      <c r="H466" s="4"/>
      <c r="I466" s="4"/>
      <c r="J466" s="4"/>
      <c r="K466" s="4"/>
      <c r="L466" s="4"/>
      <c r="M466" s="4"/>
      <c r="N466" s="4"/>
      <c r="O466" s="4"/>
      <c r="P466" s="4"/>
      <c r="Q466" s="4"/>
      <c r="R466" s="4"/>
    </row>
    <row r="467" spans="1:18" ht="17.399999999999999" x14ac:dyDescent="0.25">
      <c r="A467" s="4"/>
      <c r="B467" s="23"/>
      <c r="C467" s="4"/>
      <c r="D467" s="4"/>
      <c r="E467" s="5"/>
      <c r="F467" s="4"/>
      <c r="G467" s="4"/>
      <c r="H467" s="4"/>
      <c r="I467" s="4"/>
      <c r="J467" s="4"/>
      <c r="K467" s="4"/>
      <c r="L467" s="4"/>
      <c r="M467" s="4"/>
      <c r="N467" s="4"/>
      <c r="O467" s="4"/>
      <c r="P467" s="4"/>
      <c r="Q467" s="4"/>
      <c r="R467" s="4"/>
    </row>
    <row r="468" spans="1:18" ht="17.399999999999999" x14ac:dyDescent="0.25">
      <c r="A468" s="4"/>
      <c r="B468" s="23"/>
      <c r="C468" s="4"/>
      <c r="D468" s="4"/>
      <c r="E468" s="5"/>
      <c r="F468" s="4"/>
      <c r="G468" s="4"/>
      <c r="H468" s="4"/>
      <c r="I468" s="4"/>
      <c r="J468" s="4"/>
      <c r="K468" s="4"/>
      <c r="L468" s="4"/>
      <c r="M468" s="4"/>
      <c r="N468" s="4"/>
      <c r="O468" s="4"/>
      <c r="P468" s="4"/>
      <c r="Q468" s="4"/>
      <c r="R468" s="4"/>
    </row>
    <row r="469" spans="1:18" ht="17.399999999999999" x14ac:dyDescent="0.25">
      <c r="A469" s="4"/>
      <c r="B469" s="23"/>
      <c r="C469" s="4"/>
      <c r="D469" s="4"/>
      <c r="E469" s="5"/>
      <c r="F469" s="4"/>
      <c r="G469" s="4"/>
      <c r="H469" s="4"/>
      <c r="I469" s="4"/>
      <c r="J469" s="4"/>
      <c r="K469" s="4"/>
      <c r="L469" s="4"/>
      <c r="M469" s="4"/>
      <c r="N469" s="4"/>
      <c r="O469" s="4"/>
      <c r="P469" s="4"/>
      <c r="Q469" s="4"/>
      <c r="R469" s="4"/>
    </row>
    <row r="470" spans="1:18" ht="17.399999999999999" x14ac:dyDescent="0.25">
      <c r="A470" s="4"/>
      <c r="B470" s="23"/>
      <c r="C470" s="4"/>
      <c r="D470" s="4"/>
      <c r="E470" s="5"/>
      <c r="F470" s="4"/>
      <c r="G470" s="4"/>
      <c r="H470" s="4"/>
      <c r="I470" s="4"/>
      <c r="J470" s="4"/>
      <c r="K470" s="4"/>
      <c r="L470" s="4"/>
      <c r="M470" s="4"/>
      <c r="N470" s="4"/>
      <c r="O470" s="4"/>
      <c r="P470" s="4"/>
      <c r="Q470" s="4"/>
      <c r="R470" s="4"/>
    </row>
    <row r="471" spans="1:18" ht="17.399999999999999" x14ac:dyDescent="0.25">
      <c r="A471" s="4"/>
      <c r="B471" s="23"/>
      <c r="C471" s="4"/>
      <c r="D471" s="4"/>
      <c r="E471" s="5"/>
      <c r="F471" s="4"/>
      <c r="G471" s="4"/>
      <c r="H471" s="4"/>
      <c r="I471" s="4"/>
      <c r="J471" s="4"/>
      <c r="K471" s="4"/>
      <c r="L471" s="4"/>
      <c r="M471" s="4"/>
      <c r="N471" s="4"/>
      <c r="O471" s="4"/>
      <c r="P471" s="4"/>
      <c r="Q471" s="4"/>
      <c r="R471" s="4"/>
    </row>
    <row r="472" spans="1:18" ht="17.399999999999999" x14ac:dyDescent="0.25">
      <c r="A472" s="4"/>
      <c r="B472" s="23"/>
      <c r="C472" s="4"/>
      <c r="D472" s="4"/>
      <c r="E472" s="5"/>
      <c r="F472" s="4"/>
      <c r="G472" s="4"/>
      <c r="H472" s="4"/>
      <c r="I472" s="4"/>
      <c r="J472" s="4"/>
      <c r="K472" s="4"/>
      <c r="L472" s="4"/>
      <c r="M472" s="4"/>
      <c r="N472" s="4"/>
      <c r="O472" s="4"/>
      <c r="P472" s="4"/>
      <c r="Q472" s="4"/>
      <c r="R472" s="4"/>
    </row>
    <row r="473" spans="1:18" ht="17.399999999999999" x14ac:dyDescent="0.25">
      <c r="A473" s="4"/>
      <c r="B473" s="23"/>
      <c r="C473" s="4"/>
      <c r="D473" s="4"/>
      <c r="E473" s="5"/>
      <c r="F473" s="4"/>
      <c r="G473" s="4"/>
      <c r="H473" s="4"/>
      <c r="I473" s="4"/>
      <c r="J473" s="4"/>
      <c r="K473" s="4"/>
      <c r="L473" s="4"/>
      <c r="M473" s="4"/>
      <c r="N473" s="4"/>
      <c r="O473" s="4"/>
      <c r="P473" s="4"/>
      <c r="Q473" s="4"/>
      <c r="R473" s="4"/>
    </row>
    <row r="474" spans="1:18" ht="17.399999999999999" x14ac:dyDescent="0.25">
      <c r="A474" s="4"/>
      <c r="B474" s="23"/>
      <c r="C474" s="4"/>
      <c r="D474" s="4"/>
      <c r="E474" s="5"/>
      <c r="F474" s="4"/>
      <c r="G474" s="4"/>
      <c r="H474" s="4"/>
      <c r="I474" s="4"/>
      <c r="J474" s="4"/>
      <c r="K474" s="4"/>
      <c r="L474" s="4"/>
      <c r="M474" s="4"/>
      <c r="N474" s="4"/>
      <c r="O474" s="4"/>
      <c r="P474" s="4"/>
      <c r="Q474" s="4"/>
      <c r="R474" s="4"/>
    </row>
    <row r="475" spans="1:18" ht="17.399999999999999" x14ac:dyDescent="0.25">
      <c r="A475" s="4"/>
      <c r="B475" s="23"/>
      <c r="C475" s="4"/>
      <c r="D475" s="4"/>
      <c r="E475" s="5"/>
      <c r="F475" s="4"/>
      <c r="G475" s="4"/>
      <c r="H475" s="4"/>
      <c r="I475" s="4"/>
      <c r="J475" s="4"/>
      <c r="K475" s="4"/>
      <c r="L475" s="4"/>
      <c r="M475" s="4"/>
      <c r="N475" s="4"/>
      <c r="O475" s="4"/>
      <c r="P475" s="4"/>
      <c r="Q475" s="4"/>
      <c r="R475" s="4"/>
    </row>
    <row r="476" spans="1:18" ht="17.399999999999999" x14ac:dyDescent="0.25">
      <c r="A476" s="4"/>
      <c r="B476" s="23"/>
      <c r="C476" s="4"/>
      <c r="D476" s="4"/>
      <c r="E476" s="5"/>
      <c r="F476" s="4"/>
      <c r="G476" s="4"/>
      <c r="H476" s="4"/>
      <c r="I476" s="4"/>
      <c r="J476" s="4"/>
      <c r="K476" s="4"/>
      <c r="L476" s="4"/>
      <c r="M476" s="4"/>
      <c r="N476" s="4"/>
      <c r="O476" s="4"/>
      <c r="P476" s="4"/>
      <c r="Q476" s="4"/>
      <c r="R476" s="4"/>
    </row>
    <row r="477" spans="1:18" ht="17.399999999999999" x14ac:dyDescent="0.25">
      <c r="A477" s="4"/>
      <c r="B477" s="23"/>
      <c r="C477" s="4"/>
      <c r="D477" s="4"/>
      <c r="E477" s="5"/>
      <c r="F477" s="4"/>
      <c r="G477" s="4"/>
      <c r="H477" s="4"/>
      <c r="I477" s="4"/>
      <c r="J477" s="4"/>
      <c r="K477" s="4"/>
      <c r="L477" s="4"/>
      <c r="M477" s="4"/>
      <c r="N477" s="4"/>
      <c r="O477" s="4"/>
      <c r="P477" s="4"/>
      <c r="Q477" s="4"/>
      <c r="R477" s="4"/>
    </row>
    <row r="478" spans="1:18" ht="17.399999999999999" x14ac:dyDescent="0.25">
      <c r="A478" s="4"/>
      <c r="B478" s="23"/>
      <c r="C478" s="4"/>
      <c r="D478" s="4"/>
      <c r="E478" s="5"/>
      <c r="F478" s="4"/>
      <c r="G478" s="4"/>
      <c r="H478" s="4"/>
      <c r="I478" s="4"/>
      <c r="J478" s="4"/>
      <c r="K478" s="4"/>
      <c r="L478" s="4"/>
      <c r="M478" s="4"/>
      <c r="N478" s="4"/>
      <c r="O478" s="4"/>
      <c r="P478" s="4"/>
      <c r="Q478" s="4"/>
      <c r="R478" s="4"/>
    </row>
    <row r="479" spans="1:18" ht="17.399999999999999" x14ac:dyDescent="0.25">
      <c r="A479" s="4"/>
      <c r="B479" s="23"/>
      <c r="C479" s="4"/>
      <c r="D479" s="4"/>
      <c r="E479" s="5"/>
      <c r="F479" s="4"/>
      <c r="G479" s="4"/>
      <c r="H479" s="4"/>
      <c r="I479" s="4"/>
      <c r="J479" s="4"/>
      <c r="K479" s="4"/>
      <c r="L479" s="4"/>
      <c r="M479" s="4"/>
      <c r="N479" s="4"/>
      <c r="O479" s="4"/>
      <c r="P479" s="4"/>
      <c r="Q479" s="4"/>
      <c r="R479" s="4"/>
    </row>
    <row r="480" spans="1:18" ht="17.399999999999999" x14ac:dyDescent="0.25">
      <c r="A480" s="4"/>
      <c r="B480" s="23"/>
      <c r="C480" s="4"/>
      <c r="D480" s="4"/>
      <c r="E480" s="5"/>
      <c r="F480" s="4"/>
      <c r="G480" s="4"/>
      <c r="H480" s="4"/>
      <c r="I480" s="4"/>
      <c r="J480" s="4"/>
      <c r="K480" s="4"/>
      <c r="L480" s="4"/>
      <c r="M480" s="4"/>
      <c r="N480" s="4"/>
      <c r="O480" s="4"/>
      <c r="P480" s="4"/>
      <c r="Q480" s="4"/>
      <c r="R480" s="4"/>
    </row>
    <row r="481" spans="1:18" ht="17.399999999999999" x14ac:dyDescent="0.25">
      <c r="A481" s="4"/>
      <c r="B481" s="23"/>
      <c r="C481" s="4"/>
      <c r="D481" s="4"/>
      <c r="E481" s="5"/>
      <c r="F481" s="4"/>
      <c r="G481" s="4"/>
      <c r="H481" s="4"/>
      <c r="I481" s="4"/>
      <c r="J481" s="4"/>
      <c r="K481" s="4"/>
      <c r="L481" s="4"/>
      <c r="M481" s="4"/>
      <c r="N481" s="4"/>
      <c r="O481" s="4"/>
      <c r="P481" s="4"/>
      <c r="Q481" s="4"/>
      <c r="R481" s="4"/>
    </row>
    <row r="482" spans="1:18" ht="17.399999999999999" x14ac:dyDescent="0.25">
      <c r="A482" s="4"/>
      <c r="B482" s="23"/>
      <c r="C482" s="4"/>
      <c r="D482" s="4"/>
      <c r="E482" s="5"/>
      <c r="F482" s="4"/>
      <c r="G482" s="4"/>
      <c r="H482" s="4"/>
      <c r="I482" s="4"/>
      <c r="J482" s="4"/>
      <c r="K482" s="4"/>
      <c r="L482" s="4"/>
      <c r="M482" s="4"/>
      <c r="N482" s="4"/>
      <c r="O482" s="4"/>
      <c r="P482" s="4"/>
      <c r="Q482" s="4"/>
      <c r="R482" s="4"/>
    </row>
    <row r="483" spans="1:18" ht="17.399999999999999" x14ac:dyDescent="0.25">
      <c r="A483" s="4"/>
      <c r="B483" s="23"/>
      <c r="C483" s="4"/>
      <c r="D483" s="4"/>
      <c r="E483" s="5"/>
      <c r="F483" s="4"/>
      <c r="G483" s="4"/>
      <c r="H483" s="4"/>
      <c r="I483" s="4"/>
      <c r="J483" s="4"/>
      <c r="K483" s="4"/>
      <c r="L483" s="4"/>
      <c r="M483" s="4"/>
      <c r="N483" s="4"/>
      <c r="O483" s="4"/>
      <c r="P483" s="4"/>
      <c r="Q483" s="4"/>
      <c r="R483" s="4"/>
    </row>
    <row r="484" spans="1:18" ht="17.399999999999999" x14ac:dyDescent="0.25">
      <c r="A484" s="4"/>
      <c r="B484" s="23"/>
      <c r="C484" s="4"/>
      <c r="D484" s="4"/>
      <c r="E484" s="5"/>
      <c r="F484" s="4"/>
      <c r="G484" s="4"/>
      <c r="H484" s="4"/>
      <c r="I484" s="4"/>
      <c r="J484" s="4"/>
      <c r="K484" s="4"/>
      <c r="L484" s="4"/>
      <c r="M484" s="4"/>
      <c r="N484" s="4"/>
      <c r="O484" s="4"/>
      <c r="P484" s="4"/>
      <c r="Q484" s="4"/>
      <c r="R484" s="4"/>
    </row>
    <row r="485" spans="1:18" ht="17.399999999999999" x14ac:dyDescent="0.25">
      <c r="A485" s="4"/>
      <c r="B485" s="23"/>
      <c r="C485" s="4"/>
      <c r="D485" s="4"/>
      <c r="E485" s="5"/>
      <c r="F485" s="4"/>
      <c r="G485" s="4"/>
      <c r="H485" s="4"/>
      <c r="I485" s="4"/>
      <c r="J485" s="4"/>
      <c r="K485" s="4"/>
      <c r="L485" s="4"/>
      <c r="M485" s="4"/>
      <c r="N485" s="4"/>
      <c r="O485" s="4"/>
      <c r="P485" s="4"/>
      <c r="Q485" s="4"/>
      <c r="R485" s="4"/>
    </row>
    <row r="486" spans="1:18" ht="17.399999999999999" x14ac:dyDescent="0.25">
      <c r="A486" s="4"/>
      <c r="B486" s="23"/>
      <c r="C486" s="4"/>
      <c r="D486" s="4"/>
      <c r="E486" s="5"/>
      <c r="F486" s="4"/>
      <c r="G486" s="4"/>
      <c r="H486" s="4"/>
      <c r="I486" s="4"/>
      <c r="J486" s="4"/>
      <c r="K486" s="4"/>
      <c r="L486" s="4"/>
      <c r="M486" s="4"/>
      <c r="N486" s="4"/>
      <c r="O486" s="4"/>
      <c r="P486" s="4"/>
      <c r="Q486" s="4"/>
      <c r="R486" s="4"/>
    </row>
    <row r="487" spans="1:18" ht="17.399999999999999" x14ac:dyDescent="0.25">
      <c r="A487" s="4"/>
      <c r="B487" s="23"/>
      <c r="C487" s="4"/>
      <c r="D487" s="4"/>
      <c r="E487" s="5"/>
      <c r="F487" s="4"/>
      <c r="G487" s="4"/>
      <c r="H487" s="4"/>
      <c r="I487" s="4"/>
      <c r="J487" s="4"/>
      <c r="K487" s="4"/>
      <c r="L487" s="4"/>
      <c r="M487" s="4"/>
      <c r="N487" s="4"/>
      <c r="O487" s="4"/>
      <c r="P487" s="4"/>
      <c r="Q487" s="4"/>
      <c r="R487" s="4"/>
    </row>
    <row r="488" spans="1:18" ht="17.399999999999999" x14ac:dyDescent="0.25">
      <c r="A488" s="4"/>
      <c r="B488" s="23"/>
      <c r="C488" s="4"/>
      <c r="D488" s="4"/>
      <c r="E488" s="5"/>
      <c r="F488" s="4"/>
      <c r="G488" s="4"/>
      <c r="H488" s="4"/>
      <c r="I488" s="4"/>
      <c r="J488" s="4"/>
      <c r="K488" s="4"/>
      <c r="L488" s="4"/>
      <c r="M488" s="4"/>
      <c r="N488" s="4"/>
      <c r="O488" s="4"/>
      <c r="P488" s="4"/>
      <c r="Q488" s="4"/>
      <c r="R488" s="4"/>
    </row>
    <row r="489" spans="1:18" ht="17.399999999999999" x14ac:dyDescent="0.25">
      <c r="A489" s="4"/>
      <c r="B489" s="23"/>
      <c r="C489" s="4"/>
      <c r="D489" s="4"/>
      <c r="E489" s="5"/>
      <c r="F489" s="4"/>
      <c r="G489" s="4"/>
      <c r="H489" s="4"/>
      <c r="I489" s="4"/>
      <c r="J489" s="4"/>
      <c r="K489" s="4"/>
      <c r="L489" s="4"/>
      <c r="M489" s="4"/>
      <c r="N489" s="4"/>
      <c r="O489" s="4"/>
      <c r="P489" s="4"/>
      <c r="Q489" s="4"/>
      <c r="R489" s="4"/>
    </row>
    <row r="490" spans="1:18" ht="17.399999999999999" x14ac:dyDescent="0.25">
      <c r="A490" s="4"/>
      <c r="B490" s="23"/>
      <c r="C490" s="4"/>
      <c r="D490" s="4"/>
      <c r="E490" s="5"/>
      <c r="F490" s="4"/>
      <c r="G490" s="4"/>
      <c r="H490" s="4"/>
      <c r="I490" s="4"/>
      <c r="J490" s="4"/>
      <c r="K490" s="4"/>
      <c r="L490" s="4"/>
      <c r="M490" s="4"/>
      <c r="N490" s="4"/>
      <c r="O490" s="4"/>
      <c r="P490" s="4"/>
      <c r="Q490" s="4"/>
      <c r="R490" s="4"/>
    </row>
    <row r="491" spans="1:18" ht="17.399999999999999" x14ac:dyDescent="0.25">
      <c r="A491" s="4"/>
      <c r="B491" s="23"/>
      <c r="C491" s="4"/>
      <c r="D491" s="4"/>
      <c r="E491" s="5"/>
      <c r="F491" s="4"/>
      <c r="G491" s="4"/>
      <c r="H491" s="4"/>
      <c r="I491" s="4"/>
      <c r="J491" s="4"/>
      <c r="K491" s="4"/>
      <c r="L491" s="4"/>
      <c r="M491" s="4"/>
      <c r="N491" s="4"/>
      <c r="O491" s="4"/>
      <c r="P491" s="4"/>
      <c r="Q491" s="4"/>
      <c r="R491" s="4"/>
    </row>
    <row r="492" spans="1:18" ht="17.399999999999999" x14ac:dyDescent="0.25">
      <c r="A492" s="4"/>
      <c r="B492" s="23"/>
      <c r="C492" s="4"/>
      <c r="D492" s="4"/>
      <c r="E492" s="5"/>
      <c r="F492" s="4"/>
      <c r="G492" s="4"/>
      <c r="H492" s="4"/>
      <c r="I492" s="4"/>
      <c r="J492" s="4"/>
      <c r="K492" s="4"/>
      <c r="L492" s="4"/>
      <c r="M492" s="4"/>
      <c r="N492" s="4"/>
      <c r="O492" s="4"/>
      <c r="P492" s="4"/>
      <c r="Q492" s="4"/>
      <c r="R492" s="4"/>
    </row>
    <row r="493" spans="1:18" ht="17.399999999999999" x14ac:dyDescent="0.25">
      <c r="A493" s="4"/>
      <c r="B493" s="23"/>
      <c r="C493" s="4"/>
      <c r="D493" s="4"/>
      <c r="E493" s="5"/>
      <c r="F493" s="4"/>
      <c r="G493" s="4"/>
      <c r="H493" s="4"/>
      <c r="I493" s="4"/>
      <c r="J493" s="4"/>
      <c r="K493" s="4"/>
      <c r="L493" s="4"/>
      <c r="M493" s="4"/>
      <c r="N493" s="4"/>
      <c r="O493" s="4"/>
      <c r="P493" s="4"/>
      <c r="Q493" s="4"/>
      <c r="R493" s="4"/>
    </row>
    <row r="494" spans="1:18" ht="17.399999999999999" x14ac:dyDescent="0.25">
      <c r="A494" s="4"/>
      <c r="B494" s="23"/>
      <c r="C494" s="4"/>
      <c r="D494" s="4"/>
      <c r="E494" s="5"/>
      <c r="F494" s="4"/>
      <c r="G494" s="4"/>
      <c r="H494" s="4"/>
      <c r="I494" s="4"/>
      <c r="J494" s="4"/>
      <c r="K494" s="4"/>
      <c r="L494" s="4"/>
      <c r="M494" s="4"/>
      <c r="N494" s="4"/>
      <c r="O494" s="4"/>
      <c r="P494" s="4"/>
      <c r="Q494" s="4"/>
      <c r="R494" s="4"/>
    </row>
    <row r="495" spans="1:18" ht="17.399999999999999" x14ac:dyDescent="0.25">
      <c r="A495" s="4"/>
      <c r="B495" s="23"/>
      <c r="C495" s="4"/>
      <c r="D495" s="4"/>
      <c r="E495" s="5"/>
      <c r="F495" s="4"/>
      <c r="G495" s="4"/>
      <c r="H495" s="4"/>
      <c r="I495" s="4"/>
      <c r="J495" s="4"/>
      <c r="K495" s="4"/>
      <c r="L495" s="4"/>
      <c r="M495" s="4"/>
      <c r="N495" s="4"/>
      <c r="O495" s="4"/>
      <c r="P495" s="4"/>
      <c r="Q495" s="4"/>
      <c r="R495" s="4"/>
    </row>
    <row r="496" spans="1:18" ht="17.399999999999999" x14ac:dyDescent="0.25">
      <c r="A496" s="4"/>
      <c r="B496" s="23"/>
      <c r="C496" s="4"/>
      <c r="D496" s="4"/>
      <c r="E496" s="5"/>
      <c r="F496" s="4"/>
      <c r="G496" s="4"/>
      <c r="H496" s="4"/>
      <c r="I496" s="4"/>
      <c r="J496" s="4"/>
      <c r="K496" s="4"/>
      <c r="L496" s="4"/>
      <c r="M496" s="4"/>
      <c r="N496" s="4"/>
      <c r="O496" s="4"/>
      <c r="P496" s="4"/>
      <c r="Q496" s="4"/>
      <c r="R496" s="4"/>
    </row>
    <row r="497" spans="1:18" ht="17.399999999999999" x14ac:dyDescent="0.25">
      <c r="A497" s="4"/>
      <c r="B497" s="23"/>
      <c r="C497" s="4"/>
      <c r="D497" s="4"/>
      <c r="E497" s="5"/>
      <c r="F497" s="4"/>
      <c r="G497" s="4"/>
      <c r="H497" s="4"/>
      <c r="I497" s="4"/>
      <c r="J497" s="4"/>
      <c r="K497" s="4"/>
      <c r="L497" s="4"/>
      <c r="M497" s="4"/>
      <c r="N497" s="4"/>
      <c r="O497" s="4"/>
      <c r="P497" s="4"/>
      <c r="Q497" s="4"/>
      <c r="R497" s="4"/>
    </row>
    <row r="498" spans="1:18" ht="17.399999999999999" x14ac:dyDescent="0.25">
      <c r="A498" s="4"/>
      <c r="B498" s="23"/>
      <c r="C498" s="4"/>
      <c r="D498" s="4"/>
      <c r="E498" s="5"/>
      <c r="F498" s="4"/>
      <c r="G498" s="4"/>
      <c r="H498" s="4"/>
      <c r="I498" s="4"/>
      <c r="J498" s="4"/>
      <c r="K498" s="4"/>
      <c r="L498" s="4"/>
      <c r="M498" s="4"/>
      <c r="N498" s="4"/>
      <c r="O498" s="4"/>
      <c r="P498" s="4"/>
      <c r="Q498" s="4"/>
      <c r="R498" s="4"/>
    </row>
    <row r="499" spans="1:18" ht="17.399999999999999" x14ac:dyDescent="0.25">
      <c r="A499" s="4"/>
      <c r="B499" s="23"/>
      <c r="C499" s="4"/>
      <c r="D499" s="4"/>
      <c r="E499" s="5"/>
      <c r="F499" s="4"/>
      <c r="G499" s="4"/>
      <c r="H499" s="4"/>
      <c r="I499" s="4"/>
      <c r="J499" s="4"/>
      <c r="K499" s="4"/>
      <c r="L499" s="4"/>
      <c r="M499" s="4"/>
      <c r="N499" s="4"/>
      <c r="O499" s="4"/>
      <c r="P499" s="4"/>
      <c r="Q499" s="4"/>
      <c r="R499" s="4"/>
    </row>
    <row r="500" spans="1:18" ht="17.399999999999999" x14ac:dyDescent="0.25">
      <c r="A500" s="4"/>
      <c r="B500" s="23"/>
      <c r="C500" s="4"/>
      <c r="D500" s="4"/>
      <c r="E500" s="5"/>
      <c r="F500" s="4"/>
      <c r="G500" s="4"/>
      <c r="H500" s="4"/>
      <c r="I500" s="4"/>
      <c r="J500" s="4"/>
      <c r="K500" s="4"/>
      <c r="L500" s="4"/>
      <c r="M500" s="4"/>
      <c r="N500" s="4"/>
      <c r="O500" s="4"/>
      <c r="P500" s="4"/>
      <c r="Q500" s="4"/>
      <c r="R500" s="4"/>
    </row>
    <row r="501" spans="1:18" ht="17.399999999999999" x14ac:dyDescent="0.25">
      <c r="A501" s="4"/>
      <c r="B501" s="23"/>
      <c r="C501" s="4"/>
      <c r="D501" s="4"/>
      <c r="E501" s="5"/>
      <c r="F501" s="4"/>
      <c r="G501" s="4"/>
      <c r="H501" s="4"/>
      <c r="I501" s="4"/>
      <c r="J501" s="4"/>
      <c r="K501" s="4"/>
      <c r="L501" s="4"/>
      <c r="M501" s="4"/>
      <c r="N501" s="4"/>
      <c r="O501" s="4"/>
      <c r="P501" s="4"/>
      <c r="Q501" s="4"/>
      <c r="R501" s="4"/>
    </row>
    <row r="502" spans="1:18" ht="17.399999999999999" x14ac:dyDescent="0.25">
      <c r="A502" s="4"/>
      <c r="B502" s="23"/>
      <c r="C502" s="4"/>
      <c r="D502" s="4"/>
      <c r="E502" s="5"/>
      <c r="F502" s="4"/>
      <c r="G502" s="4"/>
      <c r="H502" s="4"/>
      <c r="I502" s="4"/>
      <c r="J502" s="4"/>
      <c r="K502" s="4"/>
      <c r="L502" s="4"/>
      <c r="M502" s="4"/>
      <c r="N502" s="4"/>
      <c r="O502" s="4"/>
      <c r="P502" s="4"/>
      <c r="Q502" s="4"/>
      <c r="R502" s="4"/>
    </row>
    <row r="503" spans="1:18" ht="17.399999999999999" x14ac:dyDescent="0.25">
      <c r="A503" s="4"/>
      <c r="B503" s="23"/>
      <c r="C503" s="4"/>
      <c r="D503" s="4"/>
      <c r="E503" s="5"/>
      <c r="F503" s="4"/>
      <c r="G503" s="4"/>
      <c r="H503" s="4"/>
      <c r="I503" s="4"/>
      <c r="J503" s="4"/>
      <c r="K503" s="4"/>
      <c r="L503" s="4"/>
      <c r="M503" s="4"/>
      <c r="N503" s="4"/>
      <c r="O503" s="4"/>
      <c r="P503" s="4"/>
      <c r="Q503" s="4"/>
      <c r="R503" s="4"/>
    </row>
    <row r="504" spans="1:18" ht="17.399999999999999" x14ac:dyDescent="0.25">
      <c r="A504" s="4"/>
      <c r="B504" s="23"/>
      <c r="C504" s="4"/>
      <c r="D504" s="4"/>
      <c r="E504" s="5"/>
      <c r="F504" s="4"/>
      <c r="G504" s="4"/>
      <c r="H504" s="4"/>
      <c r="I504" s="4"/>
      <c r="J504" s="4"/>
      <c r="K504" s="4"/>
      <c r="L504" s="4"/>
      <c r="M504" s="4"/>
      <c r="N504" s="4"/>
      <c r="O504" s="4"/>
      <c r="P504" s="4"/>
      <c r="Q504" s="4"/>
      <c r="R504" s="4"/>
    </row>
    <row r="505" spans="1:18" ht="17.399999999999999" x14ac:dyDescent="0.25">
      <c r="A505" s="4"/>
      <c r="B505" s="23"/>
      <c r="C505" s="4"/>
      <c r="D505" s="4"/>
      <c r="E505" s="5"/>
      <c r="F505" s="4"/>
      <c r="G505" s="4"/>
      <c r="H505" s="4"/>
      <c r="I505" s="4"/>
      <c r="J505" s="4"/>
      <c r="K505" s="4"/>
      <c r="L505" s="4"/>
      <c r="M505" s="4"/>
      <c r="N505" s="4"/>
      <c r="O505" s="4"/>
      <c r="P505" s="4"/>
      <c r="Q505" s="4"/>
      <c r="R505" s="4"/>
    </row>
    <row r="506" spans="1:18" ht="17.399999999999999" x14ac:dyDescent="0.25">
      <c r="A506" s="4"/>
      <c r="B506" s="23"/>
      <c r="C506" s="4"/>
      <c r="D506" s="4"/>
      <c r="E506" s="5"/>
      <c r="F506" s="4"/>
      <c r="G506" s="4"/>
      <c r="H506" s="4"/>
      <c r="I506" s="4"/>
      <c r="J506" s="4"/>
      <c r="K506" s="4"/>
      <c r="L506" s="4"/>
      <c r="M506" s="4"/>
      <c r="N506" s="4"/>
      <c r="O506" s="4"/>
      <c r="P506" s="4"/>
      <c r="Q506" s="4"/>
      <c r="R506" s="4"/>
    </row>
    <row r="507" spans="1:18" ht="17.399999999999999" x14ac:dyDescent="0.25">
      <c r="A507" s="4"/>
      <c r="B507" s="23"/>
      <c r="C507" s="4"/>
      <c r="D507" s="4"/>
      <c r="E507" s="5"/>
      <c r="F507" s="4"/>
      <c r="G507" s="4"/>
      <c r="H507" s="4"/>
      <c r="I507" s="4"/>
      <c r="J507" s="4"/>
      <c r="K507" s="4"/>
      <c r="L507" s="4"/>
      <c r="M507" s="4"/>
      <c r="N507" s="4"/>
      <c r="O507" s="4"/>
      <c r="P507" s="4"/>
      <c r="Q507" s="4"/>
      <c r="R507" s="4"/>
    </row>
    <row r="508" spans="1:18" ht="17.399999999999999" x14ac:dyDescent="0.25">
      <c r="A508" s="4"/>
      <c r="B508" s="23"/>
      <c r="C508" s="4"/>
      <c r="D508" s="4"/>
      <c r="E508" s="5"/>
      <c r="F508" s="4"/>
      <c r="G508" s="4"/>
      <c r="H508" s="4"/>
      <c r="I508" s="4"/>
      <c r="J508" s="4"/>
      <c r="K508" s="4"/>
      <c r="L508" s="4"/>
      <c r="M508" s="4"/>
      <c r="N508" s="4"/>
      <c r="O508" s="4"/>
      <c r="P508" s="4"/>
      <c r="Q508" s="4"/>
      <c r="R508" s="4"/>
    </row>
    <row r="509" spans="1:18" ht="17.399999999999999" x14ac:dyDescent="0.25">
      <c r="A509" s="4"/>
      <c r="B509" s="23"/>
      <c r="C509" s="4"/>
      <c r="D509" s="4"/>
      <c r="E509" s="5"/>
      <c r="F509" s="4"/>
      <c r="G509" s="4"/>
      <c r="H509" s="4"/>
      <c r="I509" s="4"/>
      <c r="J509" s="4"/>
      <c r="K509" s="4"/>
      <c r="L509" s="4"/>
      <c r="M509" s="4"/>
      <c r="N509" s="4"/>
      <c r="O509" s="4"/>
      <c r="P509" s="4"/>
      <c r="Q509" s="4"/>
      <c r="R509" s="4"/>
    </row>
    <row r="510" spans="1:18" ht="17.399999999999999" x14ac:dyDescent="0.25">
      <c r="A510" s="4"/>
      <c r="B510" s="23"/>
      <c r="C510" s="4"/>
      <c r="D510" s="4"/>
      <c r="E510" s="5"/>
      <c r="F510" s="4"/>
      <c r="G510" s="4"/>
      <c r="H510" s="4"/>
      <c r="I510" s="4"/>
      <c r="J510" s="4"/>
      <c r="K510" s="4"/>
      <c r="L510" s="4"/>
      <c r="M510" s="4"/>
      <c r="N510" s="4"/>
      <c r="O510" s="4"/>
      <c r="P510" s="4"/>
      <c r="Q510" s="4"/>
      <c r="R510" s="4"/>
    </row>
    <row r="511" spans="1:18" ht="17.399999999999999" x14ac:dyDescent="0.25">
      <c r="A511" s="4"/>
      <c r="B511" s="23"/>
      <c r="C511" s="4"/>
      <c r="D511" s="4"/>
      <c r="E511" s="5"/>
      <c r="F511" s="4"/>
      <c r="G511" s="4"/>
      <c r="H511" s="4"/>
      <c r="I511" s="4"/>
      <c r="J511" s="4"/>
      <c r="K511" s="4"/>
      <c r="L511" s="4"/>
      <c r="M511" s="4"/>
      <c r="N511" s="4"/>
      <c r="O511" s="4"/>
      <c r="P511" s="4"/>
      <c r="Q511" s="4"/>
      <c r="R511" s="4"/>
    </row>
    <row r="512" spans="1:18" ht="17.399999999999999" x14ac:dyDescent="0.25">
      <c r="A512" s="4"/>
      <c r="B512" s="23"/>
      <c r="C512" s="4"/>
      <c r="D512" s="4"/>
      <c r="E512" s="5"/>
      <c r="F512" s="4"/>
      <c r="G512" s="4"/>
      <c r="H512" s="4"/>
      <c r="I512" s="4"/>
      <c r="J512" s="4"/>
      <c r="K512" s="4"/>
      <c r="L512" s="4"/>
      <c r="M512" s="4"/>
      <c r="N512" s="4"/>
      <c r="O512" s="4"/>
      <c r="P512" s="4"/>
      <c r="Q512" s="4"/>
      <c r="R512" s="4"/>
    </row>
    <row r="513" spans="1:18" ht="17.399999999999999" x14ac:dyDescent="0.25">
      <c r="A513" s="4"/>
      <c r="B513" s="23"/>
      <c r="C513" s="4"/>
      <c r="D513" s="4"/>
      <c r="E513" s="5"/>
      <c r="F513" s="4"/>
      <c r="G513" s="4"/>
      <c r="H513" s="4"/>
      <c r="I513" s="4"/>
      <c r="J513" s="4"/>
      <c r="K513" s="4"/>
      <c r="L513" s="4"/>
      <c r="M513" s="4"/>
      <c r="N513" s="4"/>
      <c r="O513" s="4"/>
      <c r="P513" s="4"/>
      <c r="Q513" s="4"/>
      <c r="R513" s="4"/>
    </row>
    <row r="514" spans="1:18" ht="17.399999999999999" x14ac:dyDescent="0.25">
      <c r="A514" s="4"/>
      <c r="B514" s="23"/>
      <c r="C514" s="4"/>
      <c r="D514" s="4"/>
      <c r="E514" s="5"/>
      <c r="F514" s="4"/>
      <c r="G514" s="4"/>
      <c r="H514" s="4"/>
      <c r="I514" s="4"/>
      <c r="J514" s="4"/>
      <c r="K514" s="4"/>
      <c r="L514" s="4"/>
      <c r="M514" s="4"/>
      <c r="N514" s="4"/>
      <c r="O514" s="4"/>
      <c r="P514" s="4"/>
      <c r="Q514" s="4"/>
      <c r="R514" s="4"/>
    </row>
    <row r="515" spans="1:18" ht="17.399999999999999" x14ac:dyDescent="0.25">
      <c r="A515" s="4"/>
      <c r="B515" s="23"/>
      <c r="C515" s="4"/>
      <c r="D515" s="4"/>
      <c r="E515" s="5"/>
      <c r="F515" s="4"/>
      <c r="G515" s="4"/>
      <c r="H515" s="4"/>
      <c r="I515" s="4"/>
      <c r="J515" s="4"/>
      <c r="K515" s="4"/>
      <c r="L515" s="4"/>
      <c r="M515" s="4"/>
      <c r="N515" s="4"/>
      <c r="O515" s="4"/>
      <c r="P515" s="4"/>
      <c r="Q515" s="4"/>
      <c r="R515" s="4"/>
    </row>
    <row r="516" spans="1:18" ht="17.399999999999999" x14ac:dyDescent="0.25">
      <c r="A516" s="4"/>
      <c r="B516" s="23"/>
      <c r="C516" s="4"/>
      <c r="D516" s="4"/>
      <c r="E516" s="5"/>
      <c r="F516" s="4"/>
      <c r="G516" s="4"/>
      <c r="H516" s="4"/>
      <c r="I516" s="4"/>
      <c r="J516" s="4"/>
      <c r="K516" s="4"/>
      <c r="L516" s="4"/>
      <c r="M516" s="4"/>
      <c r="N516" s="4"/>
      <c r="O516" s="4"/>
      <c r="P516" s="4"/>
      <c r="Q516" s="4"/>
      <c r="R516" s="4"/>
    </row>
    <row r="517" spans="1:18" ht="17.399999999999999" x14ac:dyDescent="0.25">
      <c r="A517" s="4"/>
      <c r="B517" s="23"/>
      <c r="C517" s="4"/>
      <c r="D517" s="4"/>
      <c r="E517" s="5"/>
      <c r="F517" s="4"/>
      <c r="G517" s="4"/>
      <c r="H517" s="4"/>
      <c r="I517" s="4"/>
      <c r="J517" s="4"/>
      <c r="K517" s="4"/>
      <c r="L517" s="4"/>
      <c r="M517" s="4"/>
      <c r="N517" s="4"/>
      <c r="O517" s="4"/>
      <c r="P517" s="4"/>
      <c r="Q517" s="4"/>
      <c r="R517" s="4"/>
    </row>
    <row r="518" spans="1:18" ht="17.399999999999999" x14ac:dyDescent="0.25">
      <c r="A518" s="4"/>
      <c r="B518" s="23"/>
      <c r="C518" s="4"/>
      <c r="D518" s="4"/>
      <c r="E518" s="5"/>
      <c r="F518" s="4"/>
      <c r="G518" s="4"/>
      <c r="H518" s="4"/>
      <c r="I518" s="4"/>
      <c r="J518" s="4"/>
      <c r="K518" s="4"/>
      <c r="L518" s="4"/>
      <c r="M518" s="4"/>
      <c r="N518" s="4"/>
      <c r="O518" s="4"/>
      <c r="P518" s="4"/>
      <c r="Q518" s="4"/>
      <c r="R518" s="4"/>
    </row>
    <row r="519" spans="1:18" ht="17.399999999999999" x14ac:dyDescent="0.25">
      <c r="A519" s="4"/>
      <c r="B519" s="23"/>
      <c r="C519" s="4"/>
      <c r="D519" s="4"/>
      <c r="E519" s="5"/>
      <c r="F519" s="4"/>
      <c r="G519" s="4"/>
      <c r="H519" s="4"/>
      <c r="I519" s="4"/>
      <c r="J519" s="4"/>
      <c r="K519" s="4"/>
      <c r="L519" s="4"/>
      <c r="M519" s="4"/>
      <c r="N519" s="4"/>
      <c r="O519" s="4"/>
      <c r="P519" s="4"/>
      <c r="Q519" s="4"/>
      <c r="R519" s="4"/>
    </row>
    <row r="520" spans="1:18" ht="17.399999999999999" x14ac:dyDescent="0.25">
      <c r="A520" s="4"/>
      <c r="B520" s="23"/>
      <c r="C520" s="4"/>
      <c r="D520" s="4"/>
      <c r="E520" s="5"/>
      <c r="F520" s="4"/>
      <c r="G520" s="4"/>
      <c r="H520" s="4"/>
      <c r="I520" s="4"/>
      <c r="J520" s="4"/>
      <c r="K520" s="4"/>
      <c r="L520" s="4"/>
      <c r="M520" s="4"/>
      <c r="N520" s="4"/>
      <c r="O520" s="4"/>
      <c r="P520" s="4"/>
      <c r="Q520" s="4"/>
      <c r="R520" s="4"/>
    </row>
    <row r="521" spans="1:18" ht="17.399999999999999" x14ac:dyDescent="0.25">
      <c r="A521" s="4"/>
      <c r="B521" s="23"/>
      <c r="C521" s="4"/>
      <c r="D521" s="4"/>
      <c r="E521" s="5"/>
      <c r="F521" s="4"/>
      <c r="G521" s="4"/>
      <c r="H521" s="4"/>
      <c r="I521" s="4"/>
      <c r="J521" s="4"/>
      <c r="K521" s="4"/>
      <c r="L521" s="4"/>
      <c r="M521" s="4"/>
      <c r="N521" s="4"/>
      <c r="O521" s="4"/>
      <c r="P521" s="4"/>
      <c r="Q521" s="4"/>
      <c r="R521" s="4"/>
    </row>
    <row r="522" spans="1:18" ht="17.399999999999999" x14ac:dyDescent="0.25">
      <c r="A522" s="4"/>
      <c r="B522" s="23"/>
      <c r="C522" s="4"/>
      <c r="D522" s="4"/>
      <c r="E522" s="5"/>
      <c r="F522" s="4"/>
      <c r="G522" s="4"/>
      <c r="H522" s="4"/>
      <c r="I522" s="4"/>
      <c r="J522" s="4"/>
      <c r="K522" s="4"/>
      <c r="L522" s="4"/>
      <c r="M522" s="4"/>
      <c r="N522" s="4"/>
      <c r="O522" s="4"/>
      <c r="P522" s="4"/>
      <c r="Q522" s="4"/>
      <c r="R522" s="4"/>
    </row>
    <row r="523" spans="1:18" ht="17.399999999999999" x14ac:dyDescent="0.25">
      <c r="A523" s="4"/>
      <c r="B523" s="23"/>
      <c r="C523" s="4"/>
      <c r="D523" s="4"/>
      <c r="E523" s="5"/>
      <c r="F523" s="4"/>
      <c r="G523" s="4"/>
      <c r="H523" s="4"/>
      <c r="I523" s="4"/>
      <c r="J523" s="4"/>
      <c r="K523" s="4"/>
      <c r="L523" s="4"/>
      <c r="M523" s="4"/>
      <c r="N523" s="4"/>
      <c r="O523" s="4"/>
      <c r="P523" s="4"/>
      <c r="Q523" s="4"/>
      <c r="R523" s="4"/>
    </row>
    <row r="524" spans="1:18" ht="17.399999999999999" x14ac:dyDescent="0.25">
      <c r="A524" s="4"/>
      <c r="B524" s="23"/>
      <c r="C524" s="4"/>
      <c r="D524" s="4"/>
      <c r="E524" s="5"/>
      <c r="F524" s="4"/>
      <c r="G524" s="4"/>
      <c r="H524" s="4"/>
      <c r="I524" s="4"/>
      <c r="J524" s="4"/>
      <c r="K524" s="4"/>
      <c r="L524" s="4"/>
      <c r="M524" s="4"/>
      <c r="N524" s="4"/>
      <c r="O524" s="4"/>
      <c r="P524" s="4"/>
      <c r="Q524" s="4"/>
      <c r="R524" s="4"/>
    </row>
    <row r="525" spans="1:18" ht="17.399999999999999" x14ac:dyDescent="0.25">
      <c r="A525" s="4"/>
      <c r="B525" s="23"/>
      <c r="C525" s="4"/>
      <c r="D525" s="4"/>
      <c r="E525" s="5"/>
      <c r="F525" s="4"/>
      <c r="G525" s="4"/>
      <c r="H525" s="4"/>
      <c r="I525" s="4"/>
      <c r="J525" s="4"/>
      <c r="K525" s="4"/>
      <c r="L525" s="4"/>
      <c r="M525" s="4"/>
      <c r="N525" s="4"/>
      <c r="O525" s="4"/>
      <c r="P525" s="4"/>
      <c r="Q525" s="4"/>
      <c r="R525" s="4"/>
    </row>
    <row r="526" spans="1:18" ht="17.399999999999999" x14ac:dyDescent="0.25">
      <c r="A526" s="4"/>
      <c r="B526" s="23"/>
      <c r="C526" s="4"/>
      <c r="D526" s="4"/>
      <c r="E526" s="5"/>
      <c r="F526" s="4"/>
      <c r="G526" s="4"/>
      <c r="H526" s="4"/>
      <c r="I526" s="4"/>
      <c r="J526" s="4"/>
      <c r="K526" s="4"/>
      <c r="L526" s="4"/>
      <c r="M526" s="4"/>
      <c r="N526" s="4"/>
      <c r="O526" s="4"/>
      <c r="P526" s="4"/>
      <c r="Q526" s="4"/>
      <c r="R526" s="4"/>
    </row>
    <row r="527" spans="1:18" ht="17.399999999999999" x14ac:dyDescent="0.25">
      <c r="A527" s="4"/>
      <c r="B527" s="23"/>
      <c r="C527" s="4"/>
      <c r="D527" s="4"/>
      <c r="E527" s="5"/>
      <c r="F527" s="4"/>
      <c r="G527" s="4"/>
      <c r="H527" s="4"/>
      <c r="I527" s="4"/>
      <c r="J527" s="4"/>
      <c r="K527" s="4"/>
      <c r="L527" s="4"/>
      <c r="M527" s="4"/>
      <c r="N527" s="4"/>
      <c r="O527" s="4"/>
      <c r="P527" s="4"/>
      <c r="Q527" s="4"/>
      <c r="R527" s="4"/>
    </row>
    <row r="528" spans="1:18" ht="17.399999999999999" x14ac:dyDescent="0.25">
      <c r="A528" s="4"/>
      <c r="B528" s="23"/>
      <c r="C528" s="4"/>
      <c r="D528" s="4"/>
      <c r="E528" s="5"/>
      <c r="F528" s="4"/>
      <c r="G528" s="4"/>
      <c r="H528" s="4"/>
      <c r="I528" s="4"/>
      <c r="J528" s="4"/>
      <c r="K528" s="4"/>
      <c r="L528" s="4"/>
      <c r="M528" s="4"/>
      <c r="N528" s="4"/>
      <c r="O528" s="4"/>
      <c r="P528" s="4"/>
      <c r="Q528" s="4"/>
      <c r="R528" s="4"/>
    </row>
    <row r="529" spans="1:18" ht="17.399999999999999" x14ac:dyDescent="0.25">
      <c r="A529" s="4"/>
      <c r="B529" s="23"/>
      <c r="C529" s="4"/>
      <c r="D529" s="4"/>
      <c r="E529" s="5"/>
      <c r="F529" s="4"/>
      <c r="G529" s="4"/>
      <c r="H529" s="4"/>
      <c r="I529" s="4"/>
      <c r="J529" s="4"/>
      <c r="K529" s="4"/>
      <c r="L529" s="4"/>
      <c r="M529" s="4"/>
      <c r="N529" s="4"/>
      <c r="O529" s="4"/>
      <c r="P529" s="4"/>
      <c r="Q529" s="4"/>
      <c r="R529" s="4"/>
    </row>
    <row r="530" spans="1:18" ht="17.399999999999999" x14ac:dyDescent="0.25">
      <c r="A530" s="4"/>
      <c r="B530" s="23"/>
      <c r="C530" s="4"/>
      <c r="D530" s="4"/>
      <c r="E530" s="5"/>
      <c r="F530" s="4"/>
      <c r="G530" s="4"/>
      <c r="H530" s="4"/>
      <c r="I530" s="4"/>
      <c r="J530" s="4"/>
      <c r="K530" s="4"/>
      <c r="L530" s="4"/>
      <c r="M530" s="4"/>
      <c r="N530" s="4"/>
      <c r="O530" s="4"/>
      <c r="P530" s="4"/>
      <c r="Q530" s="4"/>
      <c r="R530" s="4"/>
    </row>
    <row r="531" spans="1:18" ht="17.399999999999999" x14ac:dyDescent="0.25">
      <c r="A531" s="4"/>
      <c r="B531" s="23"/>
      <c r="C531" s="4"/>
      <c r="D531" s="4"/>
      <c r="E531" s="5"/>
      <c r="F531" s="4"/>
      <c r="G531" s="4"/>
      <c r="H531" s="4"/>
      <c r="I531" s="4"/>
      <c r="J531" s="4"/>
      <c r="K531" s="4"/>
      <c r="L531" s="4"/>
      <c r="M531" s="4"/>
      <c r="N531" s="4"/>
      <c r="O531" s="4"/>
      <c r="P531" s="4"/>
      <c r="Q531" s="4"/>
      <c r="R531" s="4"/>
    </row>
    <row r="532" spans="1:18" ht="17.399999999999999" x14ac:dyDescent="0.25">
      <c r="A532" s="4"/>
      <c r="B532" s="23"/>
      <c r="C532" s="4"/>
      <c r="D532" s="4"/>
      <c r="E532" s="5"/>
      <c r="F532" s="4"/>
      <c r="G532" s="4"/>
      <c r="H532" s="4"/>
      <c r="I532" s="4"/>
      <c r="J532" s="4"/>
      <c r="K532" s="4"/>
      <c r="L532" s="4"/>
      <c r="M532" s="4"/>
      <c r="N532" s="4"/>
      <c r="O532" s="4"/>
      <c r="P532" s="4"/>
      <c r="Q532" s="4"/>
      <c r="R532" s="4"/>
    </row>
    <row r="533" spans="1:18" ht="17.399999999999999" x14ac:dyDescent="0.25">
      <c r="A533" s="4"/>
      <c r="B533" s="23"/>
      <c r="C533" s="4"/>
      <c r="D533" s="4"/>
      <c r="E533" s="5"/>
      <c r="F533" s="4"/>
      <c r="G533" s="4"/>
      <c r="H533" s="4"/>
      <c r="I533" s="4"/>
      <c r="J533" s="4"/>
      <c r="K533" s="4"/>
      <c r="L533" s="4"/>
      <c r="M533" s="4"/>
      <c r="N533" s="4"/>
      <c r="O533" s="4"/>
      <c r="P533" s="4"/>
      <c r="Q533" s="4"/>
      <c r="R533" s="4"/>
    </row>
    <row r="534" spans="1:18" ht="17.399999999999999" x14ac:dyDescent="0.25">
      <c r="A534" s="4"/>
      <c r="B534" s="23"/>
      <c r="C534" s="4"/>
      <c r="D534" s="4"/>
      <c r="E534" s="5"/>
      <c r="F534" s="4"/>
      <c r="G534" s="4"/>
      <c r="H534" s="4"/>
      <c r="I534" s="4"/>
      <c r="J534" s="4"/>
      <c r="K534" s="4"/>
      <c r="L534" s="4"/>
      <c r="M534" s="4"/>
      <c r="N534" s="4"/>
      <c r="O534" s="4"/>
      <c r="P534" s="4"/>
      <c r="Q534" s="4"/>
      <c r="R534" s="4"/>
    </row>
    <row r="535" spans="1:18" ht="17.399999999999999" x14ac:dyDescent="0.25">
      <c r="A535" s="4"/>
      <c r="B535" s="23"/>
      <c r="C535" s="4"/>
      <c r="D535" s="4"/>
      <c r="E535" s="5"/>
      <c r="F535" s="4"/>
      <c r="G535" s="4"/>
      <c r="H535" s="4"/>
      <c r="I535" s="4"/>
      <c r="J535" s="4"/>
      <c r="K535" s="4"/>
      <c r="L535" s="4"/>
      <c r="M535" s="4"/>
      <c r="N535" s="4"/>
      <c r="O535" s="4"/>
      <c r="P535" s="4"/>
      <c r="Q535" s="4"/>
      <c r="R535" s="4"/>
    </row>
    <row r="536" spans="1:18" ht="17.399999999999999" x14ac:dyDescent="0.25">
      <c r="A536" s="4"/>
      <c r="B536" s="23"/>
      <c r="C536" s="4"/>
      <c r="D536" s="4"/>
      <c r="E536" s="5"/>
      <c r="F536" s="4"/>
      <c r="G536" s="4"/>
      <c r="H536" s="4"/>
      <c r="I536" s="4"/>
      <c r="J536" s="4"/>
      <c r="K536" s="4"/>
      <c r="L536" s="4"/>
      <c r="M536" s="4"/>
      <c r="N536" s="4"/>
      <c r="O536" s="4"/>
      <c r="P536" s="4"/>
      <c r="Q536" s="4"/>
      <c r="R536" s="4"/>
    </row>
    <row r="537" spans="1:18" ht="17.399999999999999" x14ac:dyDescent="0.25">
      <c r="A537" s="4"/>
      <c r="B537" s="23"/>
      <c r="C537" s="4"/>
      <c r="D537" s="4"/>
      <c r="E537" s="5"/>
      <c r="F537" s="4"/>
      <c r="G537" s="4"/>
      <c r="H537" s="4"/>
      <c r="I537" s="4"/>
      <c r="J537" s="4"/>
      <c r="K537" s="4"/>
      <c r="L537" s="4"/>
      <c r="M537" s="4"/>
      <c r="N537" s="4"/>
      <c r="O537" s="4"/>
      <c r="P537" s="4"/>
      <c r="Q537" s="4"/>
      <c r="R537" s="4"/>
    </row>
    <row r="538" spans="1:18" ht="17.399999999999999" x14ac:dyDescent="0.25">
      <c r="A538" s="4"/>
      <c r="B538" s="23"/>
      <c r="C538" s="4"/>
      <c r="D538" s="4"/>
      <c r="E538" s="5"/>
      <c r="F538" s="4"/>
      <c r="G538" s="4"/>
      <c r="H538" s="4"/>
      <c r="I538" s="4"/>
      <c r="J538" s="4"/>
      <c r="K538" s="4"/>
      <c r="L538" s="4"/>
      <c r="M538" s="4"/>
      <c r="N538" s="4"/>
      <c r="O538" s="4"/>
      <c r="P538" s="4"/>
      <c r="Q538" s="4"/>
      <c r="R538" s="4"/>
    </row>
    <row r="539" spans="1:18" ht="17.399999999999999" x14ac:dyDescent="0.25">
      <c r="A539" s="4"/>
      <c r="B539" s="23"/>
      <c r="C539" s="4"/>
      <c r="D539" s="4"/>
      <c r="E539" s="5"/>
      <c r="F539" s="4"/>
      <c r="G539" s="4"/>
      <c r="H539" s="4"/>
      <c r="I539" s="4"/>
      <c r="J539" s="4"/>
      <c r="K539" s="4"/>
      <c r="L539" s="4"/>
      <c r="M539" s="4"/>
      <c r="N539" s="4"/>
      <c r="O539" s="4"/>
      <c r="P539" s="4"/>
      <c r="Q539" s="4"/>
      <c r="R539" s="4"/>
    </row>
    <row r="540" spans="1:18" ht="17.399999999999999" x14ac:dyDescent="0.25">
      <c r="A540" s="4"/>
      <c r="B540" s="23"/>
      <c r="C540" s="4"/>
      <c r="D540" s="4"/>
      <c r="E540" s="5"/>
      <c r="F540" s="4"/>
      <c r="G540" s="4"/>
      <c r="H540" s="4"/>
      <c r="I540" s="4"/>
      <c r="J540" s="4"/>
      <c r="K540" s="4"/>
      <c r="L540" s="4"/>
      <c r="M540" s="4"/>
      <c r="N540" s="4"/>
      <c r="O540" s="4"/>
      <c r="P540" s="4"/>
      <c r="Q540" s="4"/>
      <c r="R540" s="4"/>
    </row>
    <row r="541" spans="1:18" ht="17.399999999999999" x14ac:dyDescent="0.25">
      <c r="A541" s="4"/>
      <c r="B541" s="23"/>
      <c r="C541" s="4"/>
      <c r="D541" s="4"/>
      <c r="E541" s="5"/>
      <c r="F541" s="4"/>
      <c r="G541" s="4"/>
      <c r="H541" s="4"/>
      <c r="I541" s="4"/>
      <c r="J541" s="4"/>
      <c r="K541" s="4"/>
      <c r="L541" s="4"/>
      <c r="M541" s="4"/>
      <c r="N541" s="4"/>
      <c r="O541" s="4"/>
      <c r="P541" s="4"/>
      <c r="Q541" s="4"/>
      <c r="R541" s="4"/>
    </row>
    <row r="542" spans="1:18" ht="17.399999999999999" x14ac:dyDescent="0.25">
      <c r="A542" s="4"/>
      <c r="B542" s="23"/>
      <c r="C542" s="4"/>
      <c r="D542" s="4"/>
      <c r="E542" s="5"/>
      <c r="F542" s="4"/>
      <c r="G542" s="4"/>
      <c r="H542" s="4"/>
      <c r="I542" s="4"/>
      <c r="J542" s="4"/>
      <c r="K542" s="4"/>
      <c r="L542" s="4"/>
      <c r="M542" s="4"/>
      <c r="N542" s="4"/>
      <c r="O542" s="4"/>
      <c r="P542" s="4"/>
      <c r="Q542" s="4"/>
      <c r="R542" s="4"/>
    </row>
    <row r="543" spans="1:18" ht="17.399999999999999" x14ac:dyDescent="0.25">
      <c r="A543" s="4"/>
      <c r="B543" s="23"/>
      <c r="C543" s="4"/>
      <c r="D543" s="4"/>
      <c r="E543" s="5"/>
      <c r="F543" s="4"/>
      <c r="G543" s="4"/>
      <c r="H543" s="4"/>
      <c r="I543" s="4"/>
      <c r="J543" s="4"/>
      <c r="K543" s="4"/>
      <c r="L543" s="4"/>
      <c r="M543" s="4"/>
      <c r="N543" s="4"/>
      <c r="O543" s="4"/>
      <c r="P543" s="4"/>
      <c r="Q543" s="4"/>
      <c r="R543" s="4"/>
    </row>
    <row r="544" spans="1:18" ht="17.399999999999999" x14ac:dyDescent="0.25">
      <c r="A544" s="4"/>
      <c r="B544" s="23"/>
      <c r="C544" s="4"/>
      <c r="D544" s="4"/>
      <c r="E544" s="5"/>
      <c r="F544" s="4"/>
      <c r="G544" s="4"/>
      <c r="H544" s="4"/>
      <c r="I544" s="4"/>
      <c r="J544" s="4"/>
      <c r="K544" s="4"/>
      <c r="L544" s="4"/>
      <c r="M544" s="4"/>
      <c r="N544" s="4"/>
      <c r="O544" s="4"/>
      <c r="P544" s="4"/>
      <c r="Q544" s="4"/>
      <c r="R544" s="4"/>
    </row>
    <row r="545" spans="1:18" ht="17.399999999999999" x14ac:dyDescent="0.25">
      <c r="A545" s="4"/>
      <c r="B545" s="23"/>
      <c r="C545" s="4"/>
      <c r="D545" s="4"/>
      <c r="E545" s="5"/>
      <c r="F545" s="4"/>
      <c r="G545" s="4"/>
      <c r="H545" s="4"/>
      <c r="I545" s="4"/>
      <c r="J545" s="4"/>
      <c r="K545" s="4"/>
      <c r="L545" s="4"/>
      <c r="M545" s="4"/>
      <c r="N545" s="4"/>
      <c r="O545" s="4"/>
      <c r="P545" s="4"/>
      <c r="Q545" s="4"/>
      <c r="R545" s="4"/>
    </row>
    <row r="546" spans="1:18" ht="17.399999999999999" x14ac:dyDescent="0.25">
      <c r="A546" s="4"/>
      <c r="B546" s="23"/>
      <c r="C546" s="4"/>
      <c r="D546" s="4"/>
      <c r="E546" s="5"/>
      <c r="F546" s="4"/>
      <c r="G546" s="4"/>
      <c r="H546" s="4"/>
      <c r="I546" s="4"/>
      <c r="J546" s="4"/>
      <c r="K546" s="4"/>
      <c r="L546" s="4"/>
      <c r="M546" s="4"/>
      <c r="N546" s="4"/>
      <c r="O546" s="4"/>
      <c r="P546" s="4"/>
      <c r="Q546" s="4"/>
      <c r="R546" s="4"/>
    </row>
    <row r="547" spans="1:18" ht="17.399999999999999" x14ac:dyDescent="0.25">
      <c r="A547" s="4"/>
      <c r="B547" s="23"/>
      <c r="C547" s="4"/>
      <c r="D547" s="4"/>
      <c r="E547" s="5"/>
      <c r="F547" s="4"/>
      <c r="G547" s="4"/>
      <c r="H547" s="4"/>
      <c r="I547" s="4"/>
      <c r="J547" s="4"/>
      <c r="K547" s="4"/>
      <c r="L547" s="4"/>
      <c r="M547" s="4"/>
      <c r="N547" s="4"/>
      <c r="O547" s="4"/>
      <c r="P547" s="4"/>
      <c r="Q547" s="4"/>
      <c r="R547" s="4"/>
    </row>
    <row r="548" spans="1:18" ht="17.399999999999999" x14ac:dyDescent="0.25">
      <c r="A548" s="4"/>
      <c r="B548" s="23"/>
      <c r="C548" s="4"/>
      <c r="D548" s="4"/>
      <c r="E548" s="5"/>
      <c r="F548" s="4"/>
      <c r="G548" s="4"/>
      <c r="H548" s="4"/>
      <c r="I548" s="4"/>
      <c r="J548" s="4"/>
      <c r="K548" s="4"/>
      <c r="L548" s="4"/>
      <c r="M548" s="4"/>
      <c r="N548" s="4"/>
      <c r="O548" s="4"/>
      <c r="P548" s="4"/>
      <c r="Q548" s="4"/>
      <c r="R548" s="4"/>
    </row>
    <row r="549" spans="1:18" ht="17.399999999999999" x14ac:dyDescent="0.25">
      <c r="A549" s="4"/>
      <c r="B549" s="23"/>
      <c r="C549" s="4"/>
      <c r="D549" s="4"/>
      <c r="E549" s="5"/>
      <c r="F549" s="4"/>
      <c r="G549" s="4"/>
      <c r="H549" s="4"/>
      <c r="I549" s="4"/>
      <c r="J549" s="4"/>
      <c r="K549" s="4"/>
      <c r="L549" s="4"/>
      <c r="M549" s="4"/>
      <c r="N549" s="4"/>
      <c r="O549" s="4"/>
      <c r="P549" s="4"/>
      <c r="Q549" s="4"/>
      <c r="R549" s="4"/>
    </row>
    <row r="550" spans="1:18" ht="17.399999999999999" x14ac:dyDescent="0.25">
      <c r="A550" s="4"/>
      <c r="B550" s="23"/>
      <c r="C550" s="4"/>
      <c r="D550" s="4"/>
      <c r="E550" s="5"/>
      <c r="F550" s="4"/>
      <c r="G550" s="4"/>
      <c r="H550" s="4"/>
      <c r="I550" s="4"/>
      <c r="J550" s="4"/>
      <c r="K550" s="4"/>
      <c r="L550" s="4"/>
      <c r="M550" s="4"/>
      <c r="N550" s="4"/>
      <c r="O550" s="4"/>
      <c r="P550" s="4"/>
      <c r="Q550" s="4"/>
      <c r="R550" s="4"/>
    </row>
    <row r="551" spans="1:18" ht="17.399999999999999" x14ac:dyDescent="0.25">
      <c r="A551" s="4"/>
      <c r="B551" s="23"/>
      <c r="C551" s="4"/>
      <c r="D551" s="4"/>
      <c r="E551" s="5"/>
      <c r="F551" s="4"/>
      <c r="G551" s="4"/>
      <c r="H551" s="4"/>
      <c r="I551" s="4"/>
      <c r="J551" s="4"/>
      <c r="K551" s="4"/>
      <c r="L551" s="4"/>
      <c r="M551" s="4"/>
      <c r="N551" s="4"/>
      <c r="O551" s="4"/>
      <c r="P551" s="4"/>
      <c r="Q551" s="4"/>
      <c r="R551" s="4"/>
    </row>
    <row r="552" spans="1:18" ht="17.399999999999999" x14ac:dyDescent="0.25">
      <c r="A552" s="4"/>
      <c r="B552" s="23"/>
      <c r="C552" s="4"/>
      <c r="D552" s="4"/>
      <c r="E552" s="5"/>
      <c r="F552" s="4"/>
      <c r="G552" s="4"/>
      <c r="H552" s="4"/>
      <c r="I552" s="4"/>
      <c r="J552" s="4"/>
      <c r="K552" s="4"/>
      <c r="L552" s="4"/>
      <c r="M552" s="4"/>
      <c r="N552" s="4"/>
      <c r="O552" s="4"/>
      <c r="P552" s="4"/>
      <c r="Q552" s="4"/>
      <c r="R552" s="4"/>
    </row>
    <row r="553" spans="1:18" ht="17.399999999999999" x14ac:dyDescent="0.25">
      <c r="A553" s="4"/>
      <c r="B553" s="23"/>
      <c r="C553" s="4"/>
      <c r="D553" s="4"/>
      <c r="E553" s="5"/>
      <c r="F553" s="4"/>
      <c r="G553" s="4"/>
      <c r="H553" s="4"/>
      <c r="I553" s="4"/>
      <c r="J553" s="4"/>
      <c r="K553" s="4"/>
      <c r="L553" s="4"/>
      <c r="M553" s="4"/>
      <c r="N553" s="4"/>
      <c r="O553" s="4"/>
      <c r="P553" s="4"/>
      <c r="Q553" s="4"/>
      <c r="R553" s="4"/>
    </row>
    <row r="554" spans="1:18" ht="17.399999999999999" x14ac:dyDescent="0.25">
      <c r="A554" s="4"/>
      <c r="B554" s="23"/>
      <c r="C554" s="4"/>
      <c r="D554" s="4"/>
      <c r="E554" s="5"/>
      <c r="F554" s="4"/>
      <c r="G554" s="4"/>
      <c r="H554" s="4"/>
      <c r="I554" s="4"/>
      <c r="J554" s="4"/>
      <c r="K554" s="4"/>
      <c r="L554" s="4"/>
      <c r="M554" s="4"/>
      <c r="N554" s="4"/>
      <c r="O554" s="4"/>
      <c r="P554" s="4"/>
      <c r="Q554" s="4"/>
      <c r="R554" s="4"/>
    </row>
    <row r="555" spans="1:18" ht="17.399999999999999" x14ac:dyDescent="0.25">
      <c r="A555" s="4"/>
      <c r="B555" s="23"/>
      <c r="C555" s="4"/>
      <c r="D555" s="4"/>
      <c r="E555" s="5"/>
      <c r="F555" s="4"/>
      <c r="G555" s="4"/>
      <c r="H555" s="4"/>
      <c r="I555" s="4"/>
      <c r="J555" s="4"/>
      <c r="K555" s="4"/>
      <c r="L555" s="4"/>
      <c r="M555" s="4"/>
      <c r="N555" s="4"/>
      <c r="O555" s="4"/>
      <c r="P555" s="4"/>
      <c r="Q555" s="4"/>
      <c r="R555" s="4"/>
    </row>
    <row r="556" spans="1:18" ht="17.399999999999999" x14ac:dyDescent="0.25">
      <c r="A556" s="4"/>
      <c r="B556" s="23"/>
      <c r="C556" s="4"/>
      <c r="D556" s="4"/>
      <c r="E556" s="5"/>
      <c r="F556" s="4"/>
      <c r="G556" s="4"/>
      <c r="H556" s="4"/>
      <c r="I556" s="4"/>
      <c r="J556" s="4"/>
      <c r="K556" s="4"/>
      <c r="L556" s="4"/>
      <c r="M556" s="4"/>
      <c r="N556" s="4"/>
      <c r="O556" s="4"/>
      <c r="P556" s="4"/>
      <c r="Q556" s="4"/>
      <c r="R556" s="4"/>
    </row>
    <row r="557" spans="1:18" ht="17.399999999999999" x14ac:dyDescent="0.25">
      <c r="A557" s="4"/>
      <c r="B557" s="23"/>
      <c r="C557" s="4"/>
      <c r="D557" s="4"/>
      <c r="E557" s="5"/>
      <c r="F557" s="4"/>
      <c r="G557" s="4"/>
      <c r="H557" s="4"/>
      <c r="I557" s="4"/>
      <c r="J557" s="4"/>
      <c r="K557" s="4"/>
      <c r="L557" s="4"/>
      <c r="M557" s="4"/>
      <c r="N557" s="4"/>
      <c r="O557" s="4"/>
      <c r="P557" s="4"/>
      <c r="Q557" s="4"/>
      <c r="R557" s="4"/>
    </row>
    <row r="558" spans="1:18" ht="17.399999999999999" x14ac:dyDescent="0.25">
      <c r="A558" s="4"/>
      <c r="B558" s="23"/>
      <c r="C558" s="4"/>
      <c r="D558" s="4"/>
      <c r="E558" s="5"/>
      <c r="F558" s="4"/>
      <c r="G558" s="4"/>
      <c r="H558" s="4"/>
      <c r="I558" s="4"/>
      <c r="J558" s="4"/>
      <c r="K558" s="4"/>
      <c r="L558" s="4"/>
      <c r="M558" s="4"/>
      <c r="N558" s="4"/>
      <c r="O558" s="4"/>
      <c r="P558" s="4"/>
      <c r="Q558" s="4"/>
      <c r="R558" s="4"/>
    </row>
    <row r="559" spans="1:18" ht="17.399999999999999" x14ac:dyDescent="0.25">
      <c r="A559" s="4"/>
      <c r="B559" s="23"/>
      <c r="C559" s="4"/>
      <c r="D559" s="4"/>
      <c r="E559" s="5"/>
      <c r="F559" s="4"/>
      <c r="G559" s="4"/>
      <c r="H559" s="4"/>
      <c r="I559" s="4"/>
      <c r="J559" s="4"/>
      <c r="K559" s="4"/>
      <c r="L559" s="4"/>
      <c r="M559" s="4"/>
      <c r="N559" s="4"/>
      <c r="O559" s="4"/>
      <c r="P559" s="4"/>
      <c r="Q559" s="4"/>
      <c r="R559" s="4"/>
    </row>
    <row r="560" spans="1:18" ht="17.399999999999999" x14ac:dyDescent="0.25">
      <c r="A560" s="4"/>
      <c r="B560" s="23"/>
      <c r="C560" s="4"/>
      <c r="D560" s="4"/>
      <c r="E560" s="5"/>
      <c r="F560" s="4"/>
      <c r="G560" s="4"/>
      <c r="H560" s="4"/>
      <c r="I560" s="4"/>
      <c r="J560" s="4"/>
      <c r="K560" s="4"/>
      <c r="L560" s="4"/>
      <c r="M560" s="4"/>
      <c r="N560" s="4"/>
      <c r="O560" s="4"/>
      <c r="P560" s="4"/>
      <c r="Q560" s="4"/>
      <c r="R560" s="4"/>
    </row>
    <row r="561" spans="1:18" ht="17.399999999999999" x14ac:dyDescent="0.25">
      <c r="A561" s="4"/>
      <c r="B561" s="23"/>
      <c r="C561" s="4"/>
      <c r="D561" s="4"/>
      <c r="E561" s="5"/>
      <c r="F561" s="4"/>
      <c r="G561" s="4"/>
      <c r="H561" s="4"/>
      <c r="I561" s="4"/>
      <c r="J561" s="4"/>
      <c r="K561" s="4"/>
      <c r="L561" s="4"/>
      <c r="M561" s="4"/>
      <c r="N561" s="4"/>
      <c r="O561" s="4"/>
      <c r="P561" s="4"/>
      <c r="Q561" s="4"/>
      <c r="R561" s="4"/>
    </row>
    <row r="562" spans="1:18" ht="17.399999999999999" x14ac:dyDescent="0.25">
      <c r="A562" s="4"/>
      <c r="B562" s="23"/>
      <c r="C562" s="4"/>
      <c r="D562" s="4"/>
      <c r="E562" s="5"/>
      <c r="F562" s="4"/>
      <c r="G562" s="4"/>
      <c r="H562" s="4"/>
      <c r="I562" s="4"/>
      <c r="J562" s="4"/>
      <c r="K562" s="4"/>
      <c r="L562" s="4"/>
      <c r="M562" s="4"/>
      <c r="N562" s="4"/>
      <c r="O562" s="4"/>
      <c r="P562" s="4"/>
      <c r="Q562" s="4"/>
      <c r="R562" s="4"/>
    </row>
    <row r="563" spans="1:18" ht="17.399999999999999" x14ac:dyDescent="0.25">
      <c r="A563" s="4"/>
      <c r="B563" s="23"/>
      <c r="C563" s="4"/>
      <c r="D563" s="4"/>
      <c r="E563" s="5"/>
      <c r="F563" s="4"/>
      <c r="G563" s="4"/>
      <c r="H563" s="4"/>
      <c r="I563" s="4"/>
      <c r="J563" s="4"/>
      <c r="K563" s="4"/>
      <c r="L563" s="4"/>
      <c r="M563" s="4"/>
      <c r="N563" s="4"/>
      <c r="O563" s="4"/>
      <c r="P563" s="4"/>
      <c r="Q563" s="4"/>
      <c r="R563" s="4"/>
    </row>
    <row r="564" spans="1:18" ht="17.399999999999999" x14ac:dyDescent="0.25">
      <c r="A564" s="4"/>
      <c r="B564" s="23"/>
      <c r="C564" s="4"/>
      <c r="D564" s="4"/>
      <c r="E564" s="5"/>
      <c r="F564" s="4"/>
      <c r="G564" s="4"/>
      <c r="H564" s="4"/>
      <c r="I564" s="4"/>
      <c r="J564" s="4"/>
      <c r="K564" s="4"/>
      <c r="L564" s="4"/>
      <c r="M564" s="4"/>
      <c r="N564" s="4"/>
      <c r="O564" s="4"/>
      <c r="P564" s="4"/>
      <c r="Q564" s="4"/>
      <c r="R564" s="4"/>
    </row>
    <row r="565" spans="1:18" ht="17.399999999999999" x14ac:dyDescent="0.25">
      <c r="A565" s="4"/>
      <c r="B565" s="23"/>
      <c r="C565" s="4"/>
      <c r="D565" s="4"/>
      <c r="E565" s="5"/>
      <c r="F565" s="4"/>
      <c r="G565" s="4"/>
      <c r="H565" s="4"/>
      <c r="I565" s="4"/>
      <c r="J565" s="4"/>
      <c r="K565" s="4"/>
      <c r="L565" s="4"/>
      <c r="M565" s="4"/>
      <c r="N565" s="4"/>
      <c r="O565" s="4"/>
      <c r="P565" s="4"/>
      <c r="Q565" s="4"/>
      <c r="R565" s="4"/>
    </row>
    <row r="566" spans="1:18" ht="17.399999999999999" x14ac:dyDescent="0.25">
      <c r="A566" s="4"/>
      <c r="B566" s="23"/>
      <c r="C566" s="4"/>
      <c r="D566" s="4"/>
      <c r="E566" s="5"/>
      <c r="F566" s="4"/>
      <c r="G566" s="4"/>
      <c r="H566" s="4"/>
      <c r="I566" s="4"/>
      <c r="J566" s="4"/>
      <c r="K566" s="4"/>
      <c r="L566" s="4"/>
      <c r="M566" s="4"/>
      <c r="N566" s="4"/>
      <c r="O566" s="4"/>
      <c r="P566" s="4"/>
      <c r="Q566" s="4"/>
      <c r="R566" s="4"/>
    </row>
    <row r="567" spans="1:18" ht="17.399999999999999" x14ac:dyDescent="0.25">
      <c r="A567" s="4"/>
      <c r="B567" s="23"/>
      <c r="C567" s="4"/>
      <c r="D567" s="4"/>
      <c r="E567" s="5"/>
      <c r="F567" s="4"/>
      <c r="G567" s="4"/>
      <c r="H567" s="4"/>
      <c r="I567" s="4"/>
      <c r="J567" s="4"/>
      <c r="K567" s="4"/>
      <c r="L567" s="4"/>
      <c r="M567" s="4"/>
      <c r="N567" s="4"/>
      <c r="O567" s="4"/>
      <c r="P567" s="4"/>
      <c r="Q567" s="4"/>
      <c r="R567" s="4"/>
    </row>
    <row r="568" spans="1:18" ht="17.399999999999999" x14ac:dyDescent="0.25">
      <c r="A568" s="4"/>
      <c r="B568" s="23"/>
      <c r="C568" s="4"/>
      <c r="D568" s="4"/>
      <c r="E568" s="5"/>
      <c r="F568" s="4"/>
      <c r="G568" s="4"/>
      <c r="H568" s="4"/>
      <c r="I568" s="4"/>
      <c r="J568" s="4"/>
      <c r="K568" s="4"/>
      <c r="L568" s="4"/>
      <c r="M568" s="4"/>
      <c r="N568" s="4"/>
      <c r="O568" s="4"/>
      <c r="P568" s="4"/>
      <c r="Q568" s="4"/>
      <c r="R568" s="4"/>
    </row>
    <row r="569" spans="1:18" ht="17.399999999999999" x14ac:dyDescent="0.25">
      <c r="A569" s="4"/>
      <c r="B569" s="23"/>
      <c r="C569" s="4"/>
      <c r="D569" s="4"/>
      <c r="E569" s="5"/>
      <c r="F569" s="4"/>
      <c r="G569" s="4"/>
      <c r="H569" s="4"/>
      <c r="I569" s="4"/>
      <c r="J569" s="4"/>
      <c r="K569" s="4"/>
      <c r="L569" s="4"/>
      <c r="M569" s="4"/>
      <c r="N569" s="4"/>
      <c r="O569" s="4"/>
      <c r="P569" s="4"/>
      <c r="Q569" s="4"/>
      <c r="R569" s="4"/>
    </row>
    <row r="570" spans="1:18" ht="17.399999999999999" x14ac:dyDescent="0.25">
      <c r="A570" s="4"/>
      <c r="B570" s="23"/>
      <c r="C570" s="4"/>
      <c r="D570" s="4"/>
      <c r="E570" s="5"/>
      <c r="F570" s="4"/>
      <c r="G570" s="4"/>
      <c r="H570" s="4"/>
      <c r="I570" s="4"/>
      <c r="J570" s="4"/>
      <c r="K570" s="4"/>
      <c r="L570" s="4"/>
      <c r="M570" s="4"/>
      <c r="N570" s="4"/>
      <c r="O570" s="4"/>
      <c r="P570" s="4"/>
      <c r="Q570" s="4"/>
      <c r="R570" s="4"/>
    </row>
    <row r="571" spans="1:18" ht="17.399999999999999" x14ac:dyDescent="0.25">
      <c r="A571" s="4"/>
      <c r="B571" s="23"/>
      <c r="C571" s="4"/>
      <c r="D571" s="4"/>
      <c r="E571" s="5"/>
      <c r="F571" s="4"/>
      <c r="G571" s="4"/>
      <c r="H571" s="4"/>
      <c r="I571" s="4"/>
      <c r="J571" s="4"/>
      <c r="K571" s="4"/>
      <c r="L571" s="4"/>
      <c r="M571" s="4"/>
      <c r="N571" s="4"/>
      <c r="O571" s="4"/>
      <c r="P571" s="4"/>
      <c r="Q571" s="4"/>
      <c r="R571" s="4"/>
    </row>
    <row r="572" spans="1:18" ht="17.399999999999999" x14ac:dyDescent="0.25">
      <c r="A572" s="4"/>
      <c r="B572" s="23"/>
      <c r="C572" s="4"/>
      <c r="D572" s="4"/>
      <c r="E572" s="5"/>
      <c r="F572" s="4"/>
      <c r="G572" s="4"/>
      <c r="H572" s="4"/>
      <c r="I572" s="4"/>
      <c r="J572" s="4"/>
      <c r="K572" s="4"/>
      <c r="L572" s="4"/>
      <c r="M572" s="4"/>
      <c r="N572" s="4"/>
      <c r="O572" s="4"/>
      <c r="P572" s="4"/>
      <c r="Q572" s="4"/>
      <c r="R572" s="4"/>
    </row>
    <row r="573" spans="1:18" ht="17.399999999999999" x14ac:dyDescent="0.25">
      <c r="A573" s="4"/>
      <c r="B573" s="23"/>
      <c r="C573" s="4"/>
      <c r="D573" s="4"/>
      <c r="E573" s="5"/>
      <c r="F573" s="4"/>
      <c r="G573" s="4"/>
      <c r="H573" s="4"/>
      <c r="I573" s="4"/>
      <c r="J573" s="4"/>
      <c r="K573" s="4"/>
      <c r="L573" s="4"/>
      <c r="M573" s="4"/>
      <c r="N573" s="4"/>
      <c r="O573" s="4"/>
      <c r="P573" s="4"/>
      <c r="Q573" s="4"/>
      <c r="R573" s="4"/>
    </row>
    <row r="574" spans="1:18" ht="17.399999999999999" x14ac:dyDescent="0.25">
      <c r="A574" s="4"/>
      <c r="B574" s="23"/>
      <c r="C574" s="4"/>
      <c r="D574" s="4"/>
      <c r="E574" s="5"/>
      <c r="F574" s="4"/>
      <c r="G574" s="4"/>
      <c r="H574" s="4"/>
      <c r="I574" s="4"/>
      <c r="J574" s="4"/>
      <c r="K574" s="4"/>
      <c r="L574" s="4"/>
      <c r="M574" s="4"/>
      <c r="N574" s="4"/>
      <c r="O574" s="4"/>
      <c r="P574" s="4"/>
      <c r="Q574" s="4"/>
      <c r="R574" s="4"/>
    </row>
    <row r="575" spans="1:18" ht="17.399999999999999" x14ac:dyDescent="0.25">
      <c r="A575" s="4"/>
      <c r="B575" s="23"/>
      <c r="C575" s="4"/>
      <c r="D575" s="4"/>
      <c r="E575" s="5"/>
      <c r="F575" s="4"/>
      <c r="G575" s="4"/>
      <c r="H575" s="4"/>
      <c r="I575" s="4"/>
      <c r="J575" s="4"/>
      <c r="K575" s="4"/>
      <c r="L575" s="4"/>
      <c r="M575" s="4"/>
      <c r="N575" s="4"/>
      <c r="O575" s="4"/>
      <c r="P575" s="4"/>
      <c r="Q575" s="4"/>
      <c r="R575" s="4"/>
    </row>
    <row r="576" spans="1:18" ht="17.399999999999999" x14ac:dyDescent="0.25">
      <c r="A576" s="4"/>
      <c r="B576" s="23"/>
      <c r="C576" s="4"/>
      <c r="D576" s="4"/>
      <c r="E576" s="5"/>
      <c r="F576" s="4"/>
      <c r="G576" s="4"/>
      <c r="H576" s="4"/>
      <c r="I576" s="4"/>
      <c r="J576" s="4"/>
      <c r="K576" s="4"/>
      <c r="L576" s="4"/>
      <c r="M576" s="4"/>
      <c r="N576" s="4"/>
      <c r="O576" s="4"/>
      <c r="P576" s="4"/>
      <c r="Q576" s="4"/>
      <c r="R576" s="4"/>
    </row>
    <row r="577" spans="1:18" ht="17.399999999999999" x14ac:dyDescent="0.25">
      <c r="A577" s="4"/>
      <c r="B577" s="23"/>
      <c r="C577" s="4"/>
      <c r="D577" s="4"/>
      <c r="E577" s="5"/>
      <c r="F577" s="4"/>
      <c r="G577" s="4"/>
      <c r="H577" s="4"/>
      <c r="I577" s="4"/>
      <c r="J577" s="4"/>
      <c r="K577" s="4"/>
      <c r="L577" s="4"/>
      <c r="M577" s="4"/>
      <c r="N577" s="4"/>
      <c r="O577" s="4"/>
      <c r="P577" s="4"/>
      <c r="Q577" s="4"/>
      <c r="R577" s="4"/>
    </row>
    <row r="578" spans="1:18" ht="17.399999999999999" x14ac:dyDescent="0.25">
      <c r="A578" s="4"/>
      <c r="B578" s="23"/>
      <c r="C578" s="4"/>
      <c r="D578" s="4"/>
      <c r="E578" s="5"/>
      <c r="F578" s="4"/>
      <c r="G578" s="4"/>
      <c r="H578" s="4"/>
      <c r="I578" s="4"/>
      <c r="J578" s="4"/>
      <c r="K578" s="4"/>
      <c r="L578" s="4"/>
      <c r="M578" s="4"/>
      <c r="N578" s="4"/>
      <c r="O578" s="4"/>
      <c r="P578" s="4"/>
      <c r="Q578" s="4"/>
      <c r="R578" s="4"/>
    </row>
    <row r="579" spans="1:18" ht="17.399999999999999" x14ac:dyDescent="0.25">
      <c r="A579" s="4"/>
      <c r="B579" s="23"/>
      <c r="C579" s="4"/>
      <c r="D579" s="4"/>
      <c r="E579" s="5"/>
      <c r="F579" s="4"/>
      <c r="G579" s="4"/>
      <c r="H579" s="4"/>
      <c r="I579" s="4"/>
      <c r="J579" s="4"/>
      <c r="K579" s="4"/>
      <c r="L579" s="4"/>
      <c r="M579" s="4"/>
      <c r="N579" s="4"/>
      <c r="O579" s="4"/>
      <c r="P579" s="4"/>
      <c r="Q579" s="4"/>
      <c r="R579" s="4"/>
    </row>
    <row r="580" spans="1:18" ht="17.399999999999999" x14ac:dyDescent="0.25">
      <c r="A580" s="4"/>
      <c r="B580" s="23"/>
      <c r="C580" s="4"/>
      <c r="D580" s="4"/>
      <c r="E580" s="5"/>
      <c r="F580" s="4"/>
      <c r="G580" s="4"/>
      <c r="H580" s="4"/>
      <c r="I580" s="4"/>
      <c r="J580" s="4"/>
      <c r="K580" s="4"/>
      <c r="L580" s="4"/>
      <c r="M580" s="4"/>
      <c r="N580" s="4"/>
      <c r="O580" s="4"/>
      <c r="P580" s="4"/>
      <c r="Q580" s="4"/>
      <c r="R580" s="4"/>
    </row>
    <row r="581" spans="1:18" ht="17.399999999999999" x14ac:dyDescent="0.25">
      <c r="A581" s="4"/>
      <c r="B581" s="23"/>
      <c r="C581" s="4"/>
      <c r="D581" s="4"/>
      <c r="E581" s="5"/>
      <c r="F581" s="4"/>
      <c r="G581" s="4"/>
      <c r="H581" s="4"/>
      <c r="I581" s="4"/>
      <c r="J581" s="4"/>
      <c r="K581" s="4"/>
      <c r="L581" s="4"/>
      <c r="M581" s="4"/>
      <c r="N581" s="4"/>
      <c r="O581" s="4"/>
      <c r="P581" s="4"/>
      <c r="Q581" s="4"/>
      <c r="R581" s="4"/>
    </row>
    <row r="582" spans="1:18" ht="17.399999999999999" x14ac:dyDescent="0.25">
      <c r="A582" s="4"/>
      <c r="B582" s="23"/>
      <c r="C582" s="4"/>
      <c r="D582" s="4"/>
      <c r="E582" s="5"/>
      <c r="F582" s="4"/>
      <c r="G582" s="4"/>
      <c r="H582" s="4"/>
      <c r="I582" s="4"/>
      <c r="J582" s="4"/>
      <c r="K582" s="4"/>
      <c r="L582" s="4"/>
      <c r="M582" s="4"/>
      <c r="N582" s="4"/>
      <c r="O582" s="4"/>
      <c r="P582" s="4"/>
      <c r="Q582" s="4"/>
      <c r="R582" s="4"/>
    </row>
    <row r="583" spans="1:18" ht="17.399999999999999" x14ac:dyDescent="0.25">
      <c r="A583" s="4"/>
      <c r="B583" s="23"/>
      <c r="C583" s="4"/>
      <c r="D583" s="4"/>
      <c r="E583" s="5"/>
      <c r="F583" s="4"/>
      <c r="G583" s="4"/>
      <c r="H583" s="4"/>
      <c r="I583" s="4"/>
      <c r="J583" s="4"/>
      <c r="K583" s="4"/>
      <c r="L583" s="4"/>
      <c r="M583" s="4"/>
      <c r="N583" s="4"/>
      <c r="O583" s="4"/>
      <c r="P583" s="4"/>
      <c r="Q583" s="4"/>
      <c r="R583" s="4"/>
    </row>
    <row r="584" spans="1:18" ht="17.399999999999999" x14ac:dyDescent="0.25">
      <c r="A584" s="4"/>
      <c r="B584" s="23"/>
      <c r="C584" s="4"/>
      <c r="D584" s="4"/>
      <c r="E584" s="5"/>
      <c r="F584" s="4"/>
      <c r="G584" s="4"/>
      <c r="H584" s="4"/>
      <c r="I584" s="4"/>
      <c r="J584" s="4"/>
      <c r="K584" s="4"/>
      <c r="L584" s="4"/>
      <c r="M584" s="4"/>
      <c r="N584" s="4"/>
      <c r="O584" s="4"/>
      <c r="P584" s="4"/>
      <c r="Q584" s="4"/>
      <c r="R584" s="4"/>
    </row>
    <row r="585" spans="1:18" ht="17.399999999999999" x14ac:dyDescent="0.25">
      <c r="A585" s="4"/>
      <c r="B585" s="23"/>
      <c r="C585" s="4"/>
      <c r="D585" s="4"/>
      <c r="E585" s="5"/>
      <c r="F585" s="4"/>
      <c r="G585" s="4"/>
      <c r="H585" s="4"/>
      <c r="I585" s="4"/>
      <c r="J585" s="4"/>
      <c r="K585" s="4"/>
      <c r="L585" s="4"/>
      <c r="M585" s="4"/>
      <c r="N585" s="4"/>
      <c r="O585" s="4"/>
      <c r="P585" s="4"/>
      <c r="Q585" s="4"/>
      <c r="R585" s="4"/>
    </row>
    <row r="586" spans="1:18" ht="17.399999999999999" x14ac:dyDescent="0.25">
      <c r="A586" s="4"/>
      <c r="B586" s="23"/>
      <c r="C586" s="4"/>
      <c r="D586" s="4"/>
      <c r="E586" s="5"/>
      <c r="F586" s="4"/>
      <c r="G586" s="4"/>
      <c r="H586" s="4"/>
      <c r="I586" s="4"/>
      <c r="J586" s="4"/>
      <c r="K586" s="4"/>
      <c r="L586" s="4"/>
      <c r="M586" s="4"/>
      <c r="N586" s="4"/>
      <c r="O586" s="4"/>
      <c r="P586" s="4"/>
      <c r="Q586" s="4"/>
      <c r="R586" s="4"/>
    </row>
    <row r="587" spans="1:18" ht="17.399999999999999" x14ac:dyDescent="0.25">
      <c r="A587" s="4"/>
      <c r="B587" s="23"/>
      <c r="C587" s="4"/>
      <c r="D587" s="4"/>
      <c r="E587" s="5"/>
      <c r="F587" s="4"/>
      <c r="G587" s="4"/>
      <c r="H587" s="4"/>
      <c r="I587" s="4"/>
      <c r="J587" s="4"/>
      <c r="K587" s="4"/>
      <c r="L587" s="4"/>
      <c r="M587" s="4"/>
      <c r="N587" s="4"/>
      <c r="O587" s="4"/>
      <c r="P587" s="4"/>
      <c r="Q587" s="4"/>
      <c r="R587" s="4"/>
    </row>
    <row r="588" spans="1:18" ht="17.399999999999999" x14ac:dyDescent="0.25">
      <c r="A588" s="4"/>
      <c r="B588" s="23"/>
      <c r="C588" s="4"/>
      <c r="D588" s="4"/>
      <c r="E588" s="5"/>
      <c r="F588" s="4"/>
      <c r="G588" s="4"/>
      <c r="H588" s="4"/>
      <c r="I588" s="4"/>
      <c r="J588" s="4"/>
      <c r="K588" s="4"/>
      <c r="L588" s="4"/>
      <c r="M588" s="4"/>
      <c r="N588" s="4"/>
      <c r="O588" s="4"/>
      <c r="P588" s="4"/>
      <c r="Q588" s="4"/>
      <c r="R588" s="4"/>
    </row>
    <row r="589" spans="1:18" ht="17.399999999999999" x14ac:dyDescent="0.25">
      <c r="A589" s="4"/>
      <c r="B589" s="23"/>
      <c r="C589" s="4"/>
      <c r="D589" s="4"/>
      <c r="E589" s="5"/>
      <c r="F589" s="4"/>
      <c r="G589" s="4"/>
      <c r="H589" s="4"/>
      <c r="I589" s="4"/>
      <c r="J589" s="4"/>
      <c r="K589" s="4"/>
      <c r="L589" s="4"/>
      <c r="M589" s="4"/>
      <c r="N589" s="4"/>
      <c r="O589" s="4"/>
      <c r="P589" s="4"/>
      <c r="Q589" s="4"/>
      <c r="R589" s="4"/>
    </row>
    <row r="590" spans="1:18" ht="17.399999999999999" x14ac:dyDescent="0.25">
      <c r="A590" s="4"/>
      <c r="B590" s="23"/>
      <c r="C590" s="4"/>
      <c r="D590" s="4"/>
      <c r="E590" s="5"/>
      <c r="F590" s="4"/>
      <c r="G590" s="4"/>
      <c r="H590" s="4"/>
      <c r="I590" s="4"/>
      <c r="J590" s="4"/>
      <c r="K590" s="4"/>
      <c r="L590" s="4"/>
      <c r="M590" s="4"/>
      <c r="N590" s="4"/>
      <c r="O590" s="4"/>
      <c r="P590" s="4"/>
      <c r="Q590" s="4"/>
      <c r="R590" s="4"/>
    </row>
    <row r="591" spans="1:18" ht="17.399999999999999" x14ac:dyDescent="0.25">
      <c r="A591" s="4"/>
      <c r="B591" s="23"/>
      <c r="C591" s="4"/>
      <c r="D591" s="4"/>
      <c r="E591" s="5"/>
      <c r="F591" s="4"/>
      <c r="G591" s="4"/>
      <c r="H591" s="4"/>
      <c r="I591" s="4"/>
      <c r="J591" s="4"/>
      <c r="K591" s="4"/>
      <c r="L591" s="4"/>
      <c r="M591" s="4"/>
      <c r="N591" s="4"/>
      <c r="O591" s="4"/>
      <c r="P591" s="4"/>
      <c r="Q591" s="4"/>
      <c r="R591" s="4"/>
    </row>
    <row r="592" spans="1:18" ht="17.399999999999999" x14ac:dyDescent="0.25">
      <c r="A592" s="4"/>
      <c r="B592" s="23"/>
      <c r="C592" s="4"/>
      <c r="D592" s="4"/>
      <c r="E592" s="5"/>
      <c r="F592" s="4"/>
      <c r="G592" s="4"/>
      <c r="H592" s="4"/>
      <c r="I592" s="4"/>
      <c r="J592" s="4"/>
      <c r="K592" s="4"/>
      <c r="L592" s="4"/>
      <c r="M592" s="4"/>
      <c r="N592" s="4"/>
      <c r="O592" s="4"/>
      <c r="P592" s="4"/>
      <c r="Q592" s="4"/>
      <c r="R592" s="4"/>
    </row>
    <row r="593" spans="1:18" ht="17.399999999999999" x14ac:dyDescent="0.25">
      <c r="A593" s="4"/>
      <c r="B593" s="23"/>
      <c r="C593" s="4"/>
      <c r="D593" s="4"/>
      <c r="E593" s="5"/>
      <c r="F593" s="4"/>
      <c r="G593" s="4"/>
      <c r="H593" s="4"/>
      <c r="I593" s="4"/>
      <c r="J593" s="4"/>
      <c r="K593" s="4"/>
      <c r="L593" s="4"/>
      <c r="M593" s="4"/>
      <c r="N593" s="4"/>
      <c r="O593" s="4"/>
      <c r="P593" s="4"/>
      <c r="Q593" s="4"/>
      <c r="R593" s="4"/>
    </row>
    <row r="594" spans="1:18" ht="17.399999999999999" x14ac:dyDescent="0.25">
      <c r="A594" s="4"/>
      <c r="B594" s="23"/>
      <c r="C594" s="4"/>
      <c r="D594" s="4"/>
      <c r="E594" s="5"/>
      <c r="F594" s="4"/>
      <c r="G594" s="4"/>
      <c r="H594" s="4"/>
      <c r="I594" s="4"/>
      <c r="J594" s="4"/>
      <c r="K594" s="4"/>
      <c r="L594" s="4"/>
      <c r="M594" s="4"/>
      <c r="N594" s="4"/>
      <c r="O594" s="4"/>
      <c r="P594" s="4"/>
      <c r="Q594" s="4"/>
      <c r="R594" s="4"/>
    </row>
    <row r="595" spans="1:18" ht="17.399999999999999" x14ac:dyDescent="0.25">
      <c r="A595" s="4"/>
      <c r="B595" s="23"/>
      <c r="C595" s="4"/>
      <c r="D595" s="4"/>
      <c r="E595" s="5"/>
      <c r="F595" s="4"/>
      <c r="G595" s="4"/>
      <c r="H595" s="4"/>
      <c r="I595" s="4"/>
      <c r="J595" s="4"/>
      <c r="K595" s="4"/>
      <c r="L595" s="4"/>
      <c r="M595" s="4"/>
      <c r="N595" s="4"/>
      <c r="O595" s="4"/>
      <c r="P595" s="4"/>
      <c r="Q595" s="4"/>
      <c r="R595" s="4"/>
    </row>
    <row r="596" spans="1:18" ht="17.399999999999999" x14ac:dyDescent="0.25">
      <c r="A596" s="4"/>
      <c r="B596" s="23"/>
      <c r="C596" s="4"/>
      <c r="D596" s="4"/>
      <c r="E596" s="5"/>
      <c r="F596" s="4"/>
      <c r="G596" s="4"/>
      <c r="H596" s="4"/>
      <c r="I596" s="4"/>
      <c r="J596" s="4"/>
      <c r="K596" s="4"/>
      <c r="L596" s="4"/>
      <c r="M596" s="4"/>
      <c r="N596" s="4"/>
      <c r="O596" s="4"/>
      <c r="P596" s="4"/>
      <c r="Q596" s="4"/>
      <c r="R596" s="4"/>
    </row>
    <row r="597" spans="1:18" ht="17.399999999999999" x14ac:dyDescent="0.25">
      <c r="A597" s="4"/>
      <c r="B597" s="23"/>
      <c r="C597" s="4"/>
      <c r="D597" s="4"/>
      <c r="E597" s="5"/>
      <c r="F597" s="4"/>
      <c r="G597" s="4"/>
      <c r="H597" s="4"/>
      <c r="I597" s="4"/>
      <c r="J597" s="4"/>
      <c r="K597" s="4"/>
      <c r="L597" s="4"/>
      <c r="M597" s="4"/>
      <c r="N597" s="4"/>
      <c r="O597" s="4"/>
      <c r="P597" s="4"/>
      <c r="Q597" s="4"/>
      <c r="R597" s="4"/>
    </row>
    <row r="598" spans="1:18" ht="17.399999999999999" x14ac:dyDescent="0.25">
      <c r="A598" s="4"/>
      <c r="B598" s="23"/>
      <c r="C598" s="4"/>
      <c r="D598" s="4"/>
      <c r="E598" s="5"/>
      <c r="F598" s="4"/>
      <c r="G598" s="4"/>
      <c r="H598" s="4"/>
      <c r="I598" s="4"/>
      <c r="J598" s="4"/>
      <c r="K598" s="4"/>
      <c r="L598" s="4"/>
      <c r="M598" s="4"/>
      <c r="N598" s="4"/>
      <c r="O598" s="4"/>
      <c r="P598" s="4"/>
      <c r="Q598" s="4"/>
      <c r="R598" s="4"/>
    </row>
    <row r="599" spans="1:18" ht="17.399999999999999" x14ac:dyDescent="0.25">
      <c r="A599" s="4"/>
      <c r="B599" s="23"/>
      <c r="C599" s="4"/>
      <c r="D599" s="4"/>
      <c r="E599" s="5"/>
      <c r="F599" s="4"/>
      <c r="G599" s="4"/>
      <c r="H599" s="4"/>
      <c r="I599" s="4"/>
      <c r="J599" s="4"/>
      <c r="K599" s="4"/>
      <c r="L599" s="4"/>
      <c r="M599" s="4"/>
      <c r="N599" s="4"/>
      <c r="O599" s="4"/>
      <c r="P599" s="4"/>
      <c r="Q599" s="4"/>
      <c r="R599" s="4"/>
    </row>
    <row r="600" spans="1:18" ht="17.399999999999999" x14ac:dyDescent="0.25">
      <c r="A600" s="4"/>
      <c r="B600" s="23"/>
      <c r="C600" s="4"/>
      <c r="D600" s="4"/>
      <c r="E600" s="5"/>
      <c r="F600" s="4"/>
      <c r="G600" s="4"/>
      <c r="H600" s="4"/>
      <c r="I600" s="4"/>
      <c r="J600" s="4"/>
      <c r="K600" s="4"/>
      <c r="L600" s="4"/>
      <c r="M600" s="4"/>
      <c r="N600" s="4"/>
      <c r="O600" s="4"/>
      <c r="P600" s="4"/>
      <c r="Q600" s="4"/>
      <c r="R600" s="4"/>
    </row>
    <row r="601" spans="1:18" ht="17.399999999999999" x14ac:dyDescent="0.25">
      <c r="A601" s="4"/>
      <c r="B601" s="23"/>
      <c r="C601" s="4"/>
      <c r="D601" s="4"/>
      <c r="E601" s="5"/>
      <c r="F601" s="4"/>
      <c r="G601" s="4"/>
      <c r="H601" s="4"/>
      <c r="I601" s="4"/>
      <c r="J601" s="4"/>
      <c r="K601" s="4"/>
      <c r="L601" s="4"/>
      <c r="M601" s="4"/>
      <c r="N601" s="4"/>
      <c r="O601" s="4"/>
      <c r="P601" s="4"/>
      <c r="Q601" s="4"/>
      <c r="R601" s="4"/>
    </row>
    <row r="602" spans="1:18" ht="17.399999999999999" x14ac:dyDescent="0.25">
      <c r="A602" s="4"/>
      <c r="B602" s="23"/>
      <c r="C602" s="4"/>
      <c r="D602" s="4"/>
      <c r="E602" s="5"/>
      <c r="F602" s="4"/>
      <c r="G602" s="4"/>
      <c r="H602" s="4"/>
      <c r="I602" s="4"/>
      <c r="J602" s="4"/>
      <c r="K602" s="4"/>
      <c r="L602" s="4"/>
      <c r="M602" s="4"/>
      <c r="N602" s="4"/>
      <c r="O602" s="4"/>
      <c r="P602" s="4"/>
      <c r="Q602" s="4"/>
      <c r="R602" s="4"/>
    </row>
    <row r="603" spans="1:18" ht="17.399999999999999" x14ac:dyDescent="0.25">
      <c r="A603" s="4"/>
      <c r="B603" s="23"/>
      <c r="C603" s="4"/>
      <c r="D603" s="4"/>
      <c r="E603" s="5"/>
      <c r="F603" s="4"/>
      <c r="G603" s="4"/>
      <c r="H603" s="4"/>
      <c r="I603" s="4"/>
      <c r="J603" s="4"/>
      <c r="K603" s="4"/>
      <c r="L603" s="4"/>
      <c r="M603" s="4"/>
      <c r="N603" s="4"/>
      <c r="O603" s="4"/>
      <c r="P603" s="4"/>
      <c r="Q603" s="4"/>
      <c r="R603" s="4"/>
    </row>
    <row r="604" spans="1:18" ht="17.399999999999999" x14ac:dyDescent="0.25">
      <c r="A604" s="4"/>
      <c r="B604" s="23"/>
      <c r="C604" s="4"/>
      <c r="D604" s="4"/>
      <c r="E604" s="5"/>
      <c r="F604" s="4"/>
      <c r="G604" s="4"/>
      <c r="H604" s="4"/>
      <c r="I604" s="4"/>
      <c r="J604" s="4"/>
      <c r="K604" s="4"/>
      <c r="L604" s="4"/>
      <c r="M604" s="4"/>
      <c r="N604" s="4"/>
      <c r="O604" s="4"/>
      <c r="P604" s="4"/>
      <c r="Q604" s="4"/>
      <c r="R604" s="4"/>
    </row>
    <row r="605" spans="1:18" ht="17.399999999999999" x14ac:dyDescent="0.25">
      <c r="A605" s="4"/>
      <c r="B605" s="23"/>
      <c r="C605" s="4"/>
      <c r="D605" s="4"/>
      <c r="E605" s="5"/>
      <c r="F605" s="4"/>
      <c r="G605" s="4"/>
      <c r="H605" s="4"/>
      <c r="I605" s="4"/>
      <c r="J605" s="4"/>
      <c r="K605" s="4"/>
      <c r="L605" s="4"/>
      <c r="M605" s="4"/>
      <c r="N605" s="4"/>
      <c r="O605" s="4"/>
      <c r="P605" s="4"/>
      <c r="Q605" s="4"/>
      <c r="R605" s="4"/>
    </row>
    <row r="606" spans="1:18" ht="17.399999999999999" x14ac:dyDescent="0.25">
      <c r="A606" s="4"/>
      <c r="B606" s="23"/>
      <c r="C606" s="4"/>
      <c r="D606" s="4"/>
      <c r="E606" s="5"/>
      <c r="F606" s="4"/>
      <c r="G606" s="4"/>
      <c r="H606" s="4"/>
      <c r="I606" s="4"/>
      <c r="J606" s="4"/>
      <c r="K606" s="4"/>
      <c r="L606" s="4"/>
      <c r="M606" s="4"/>
      <c r="N606" s="4"/>
      <c r="O606" s="4"/>
      <c r="P606" s="4"/>
      <c r="Q606" s="4"/>
      <c r="R606" s="4"/>
    </row>
    <row r="607" spans="1:18" ht="17.399999999999999" x14ac:dyDescent="0.25">
      <c r="A607" s="4"/>
      <c r="B607" s="23"/>
      <c r="C607" s="4"/>
      <c r="D607" s="4"/>
      <c r="E607" s="5"/>
      <c r="F607" s="4"/>
      <c r="G607" s="4"/>
      <c r="H607" s="4"/>
      <c r="I607" s="4"/>
      <c r="J607" s="4"/>
      <c r="K607" s="4"/>
      <c r="L607" s="4"/>
      <c r="M607" s="4"/>
      <c r="N607" s="4"/>
      <c r="O607" s="4"/>
      <c r="P607" s="4"/>
      <c r="Q607" s="4"/>
      <c r="R607" s="4"/>
    </row>
    <row r="608" spans="1:18" ht="17.399999999999999" x14ac:dyDescent="0.25">
      <c r="A608" s="4"/>
      <c r="B608" s="23"/>
      <c r="C608" s="4"/>
      <c r="D608" s="4"/>
      <c r="E608" s="5"/>
      <c r="F608" s="4"/>
      <c r="G608" s="4"/>
      <c r="H608" s="4"/>
      <c r="I608" s="4"/>
      <c r="J608" s="4"/>
      <c r="K608" s="4"/>
      <c r="L608" s="4"/>
      <c r="M608" s="4"/>
      <c r="N608" s="4"/>
      <c r="O608" s="4"/>
      <c r="P608" s="4"/>
      <c r="Q608" s="4"/>
      <c r="R608" s="4"/>
    </row>
    <row r="609" spans="1:18" ht="17.399999999999999" x14ac:dyDescent="0.25">
      <c r="A609" s="4"/>
      <c r="B609" s="23"/>
      <c r="C609" s="4"/>
      <c r="D609" s="4"/>
      <c r="E609" s="5"/>
      <c r="F609" s="4"/>
      <c r="G609" s="4"/>
      <c r="H609" s="4"/>
      <c r="I609" s="4"/>
      <c r="J609" s="4"/>
      <c r="K609" s="4"/>
      <c r="L609" s="4"/>
      <c r="M609" s="4"/>
      <c r="N609" s="4"/>
      <c r="O609" s="4"/>
      <c r="P609" s="4"/>
      <c r="Q609" s="4"/>
      <c r="R609" s="4"/>
    </row>
    <row r="610" spans="1:18" ht="17.399999999999999" x14ac:dyDescent="0.25">
      <c r="A610" s="4"/>
      <c r="B610" s="23"/>
      <c r="C610" s="4"/>
      <c r="D610" s="4"/>
      <c r="E610" s="5"/>
      <c r="F610" s="4"/>
      <c r="G610" s="4"/>
      <c r="H610" s="4"/>
      <c r="I610" s="4"/>
      <c r="J610" s="4"/>
      <c r="K610" s="4"/>
      <c r="L610" s="4"/>
      <c r="M610" s="4"/>
      <c r="N610" s="4"/>
      <c r="O610" s="4"/>
      <c r="P610" s="4"/>
      <c r="Q610" s="4"/>
      <c r="R610" s="4"/>
    </row>
    <row r="611" spans="1:18" ht="17.399999999999999" x14ac:dyDescent="0.25">
      <c r="A611" s="4"/>
      <c r="B611" s="23"/>
      <c r="C611" s="4"/>
      <c r="D611" s="4"/>
      <c r="E611" s="5"/>
      <c r="F611" s="4"/>
      <c r="G611" s="4"/>
      <c r="H611" s="4"/>
      <c r="I611" s="4"/>
      <c r="J611" s="4"/>
      <c r="K611" s="4"/>
      <c r="L611" s="4"/>
      <c r="M611" s="4"/>
      <c r="N611" s="4"/>
      <c r="O611" s="4"/>
      <c r="P611" s="4"/>
      <c r="Q611" s="4"/>
      <c r="R611" s="4"/>
    </row>
    <row r="612" spans="1:18" ht="17.399999999999999" x14ac:dyDescent="0.25">
      <c r="A612" s="4"/>
      <c r="B612" s="23"/>
      <c r="C612" s="4"/>
      <c r="D612" s="4"/>
      <c r="E612" s="5"/>
      <c r="F612" s="4"/>
      <c r="G612" s="4"/>
      <c r="H612" s="4"/>
      <c r="I612" s="4"/>
      <c r="J612" s="4"/>
      <c r="K612" s="4"/>
      <c r="L612" s="4"/>
      <c r="M612" s="4"/>
      <c r="N612" s="4"/>
      <c r="O612" s="4"/>
      <c r="P612" s="4"/>
      <c r="Q612" s="4"/>
      <c r="R612" s="4"/>
    </row>
    <row r="613" spans="1:18" ht="17.399999999999999" x14ac:dyDescent="0.25">
      <c r="A613" s="4"/>
      <c r="B613" s="23"/>
      <c r="C613" s="4"/>
      <c r="D613" s="4"/>
      <c r="E613" s="5"/>
      <c r="F613" s="4"/>
      <c r="G613" s="4"/>
      <c r="H613" s="4"/>
      <c r="I613" s="4"/>
      <c r="J613" s="4"/>
      <c r="K613" s="4"/>
      <c r="L613" s="4"/>
      <c r="M613" s="4"/>
      <c r="N613" s="4"/>
      <c r="O613" s="4"/>
      <c r="P613" s="4"/>
      <c r="Q613" s="4"/>
      <c r="R613" s="4"/>
    </row>
    <row r="614" spans="1:18" ht="17.399999999999999" x14ac:dyDescent="0.25">
      <c r="A614" s="4"/>
      <c r="B614" s="23"/>
      <c r="C614" s="4"/>
      <c r="D614" s="4"/>
      <c r="E614" s="5"/>
      <c r="F614" s="4"/>
      <c r="G614" s="4"/>
      <c r="H614" s="4"/>
      <c r="I614" s="4"/>
      <c r="J614" s="4"/>
      <c r="K614" s="4"/>
      <c r="L614" s="4"/>
      <c r="M614" s="4"/>
      <c r="N614" s="4"/>
      <c r="O614" s="4"/>
      <c r="P614" s="4"/>
      <c r="Q614" s="4"/>
      <c r="R614" s="4"/>
    </row>
    <row r="615" spans="1:18" ht="17.399999999999999" x14ac:dyDescent="0.25">
      <c r="A615" s="4"/>
      <c r="B615" s="23"/>
      <c r="C615" s="4"/>
      <c r="D615" s="4"/>
      <c r="E615" s="5"/>
      <c r="F615" s="4"/>
      <c r="G615" s="4"/>
      <c r="H615" s="4"/>
      <c r="I615" s="4"/>
      <c r="J615" s="4"/>
      <c r="K615" s="4"/>
      <c r="L615" s="4"/>
      <c r="M615" s="4"/>
      <c r="N615" s="4"/>
      <c r="O615" s="4"/>
      <c r="P615" s="4"/>
      <c r="Q615" s="4"/>
      <c r="R615" s="4"/>
    </row>
    <row r="616" spans="1:18" ht="17.399999999999999" x14ac:dyDescent="0.25">
      <c r="A616" s="4"/>
      <c r="B616" s="23"/>
      <c r="C616" s="4"/>
      <c r="D616" s="4"/>
      <c r="E616" s="5"/>
      <c r="F616" s="4"/>
      <c r="G616" s="4"/>
      <c r="H616" s="4"/>
      <c r="I616" s="4"/>
      <c r="J616" s="4"/>
      <c r="K616" s="4"/>
      <c r="L616" s="4"/>
      <c r="M616" s="4"/>
      <c r="N616" s="4"/>
      <c r="O616" s="4"/>
      <c r="P616" s="4"/>
      <c r="Q616" s="4"/>
      <c r="R616" s="4"/>
    </row>
    <row r="617" spans="1:18" ht="17.399999999999999" x14ac:dyDescent="0.25">
      <c r="A617" s="4"/>
      <c r="B617" s="23"/>
      <c r="C617" s="4"/>
      <c r="D617" s="4"/>
      <c r="E617" s="5"/>
      <c r="F617" s="4"/>
      <c r="G617" s="4"/>
      <c r="H617" s="4"/>
      <c r="I617" s="4"/>
      <c r="J617" s="4"/>
      <c r="K617" s="4"/>
      <c r="L617" s="4"/>
      <c r="M617" s="4"/>
      <c r="N617" s="4"/>
      <c r="O617" s="4"/>
      <c r="P617" s="4"/>
      <c r="Q617" s="4"/>
      <c r="R617" s="4"/>
    </row>
    <row r="618" spans="1:18" ht="17.399999999999999" x14ac:dyDescent="0.25">
      <c r="A618" s="4"/>
      <c r="B618" s="23"/>
      <c r="C618" s="4"/>
      <c r="D618" s="4"/>
      <c r="E618" s="5"/>
      <c r="F618" s="4"/>
      <c r="G618" s="4"/>
      <c r="H618" s="4"/>
      <c r="I618" s="4"/>
      <c r="J618" s="4"/>
      <c r="K618" s="4"/>
      <c r="L618" s="4"/>
      <c r="M618" s="4"/>
      <c r="N618" s="4"/>
      <c r="O618" s="4"/>
      <c r="P618" s="4"/>
      <c r="Q618" s="4"/>
      <c r="R618" s="4"/>
    </row>
    <row r="619" spans="1:18" ht="17.399999999999999" x14ac:dyDescent="0.25">
      <c r="A619" s="4"/>
      <c r="B619" s="23"/>
      <c r="C619" s="4"/>
      <c r="D619" s="4"/>
      <c r="E619" s="5"/>
      <c r="F619" s="4"/>
      <c r="G619" s="4"/>
      <c r="H619" s="4"/>
      <c r="I619" s="4"/>
      <c r="J619" s="4"/>
      <c r="K619" s="4"/>
      <c r="L619" s="4"/>
      <c r="M619" s="4"/>
      <c r="N619" s="4"/>
      <c r="O619" s="4"/>
      <c r="P619" s="4"/>
      <c r="Q619" s="4"/>
      <c r="R619" s="4"/>
    </row>
    <row r="620" spans="1:18" ht="17.399999999999999" x14ac:dyDescent="0.25">
      <c r="A620" s="4"/>
      <c r="B620" s="23"/>
      <c r="C620" s="4"/>
      <c r="D620" s="4"/>
      <c r="E620" s="5"/>
      <c r="F620" s="4"/>
      <c r="G620" s="4"/>
      <c r="H620" s="4"/>
      <c r="I620" s="4"/>
      <c r="J620" s="4"/>
      <c r="K620" s="4"/>
      <c r="L620" s="4"/>
      <c r="M620" s="4"/>
      <c r="N620" s="4"/>
      <c r="O620" s="4"/>
      <c r="P620" s="4"/>
      <c r="Q620" s="4"/>
      <c r="R620" s="4"/>
    </row>
    <row r="621" spans="1:18" ht="17.399999999999999" x14ac:dyDescent="0.25">
      <c r="A621" s="4"/>
      <c r="B621" s="23"/>
      <c r="C621" s="4"/>
      <c r="D621" s="4"/>
      <c r="E621" s="5"/>
      <c r="F621" s="4"/>
      <c r="G621" s="4"/>
      <c r="H621" s="4"/>
      <c r="I621" s="4"/>
      <c r="J621" s="4"/>
      <c r="K621" s="4"/>
      <c r="L621" s="4"/>
      <c r="M621" s="4"/>
      <c r="N621" s="4"/>
      <c r="O621" s="4"/>
      <c r="P621" s="4"/>
      <c r="Q621" s="4"/>
      <c r="R621" s="4"/>
    </row>
    <row r="622" spans="1:18" ht="17.399999999999999" x14ac:dyDescent="0.25">
      <c r="A622" s="4"/>
      <c r="B622" s="23"/>
      <c r="C622" s="4"/>
      <c r="D622" s="4"/>
      <c r="E622" s="5"/>
      <c r="F622" s="4"/>
      <c r="G622" s="4"/>
      <c r="H622" s="4"/>
      <c r="I622" s="4"/>
      <c r="J622" s="4"/>
      <c r="K622" s="4"/>
      <c r="L622" s="4"/>
      <c r="M622" s="4"/>
      <c r="N622" s="4"/>
      <c r="O622" s="4"/>
      <c r="P622" s="4"/>
      <c r="Q622" s="4"/>
      <c r="R622" s="4"/>
    </row>
    <row r="623" spans="1:18" ht="17.399999999999999" x14ac:dyDescent="0.25">
      <c r="A623" s="4"/>
      <c r="B623" s="23"/>
      <c r="C623" s="4"/>
      <c r="D623" s="4"/>
      <c r="E623" s="5"/>
      <c r="F623" s="4"/>
      <c r="G623" s="4"/>
      <c r="H623" s="4"/>
      <c r="I623" s="4"/>
      <c r="J623" s="4"/>
      <c r="K623" s="4"/>
      <c r="L623" s="4"/>
      <c r="M623" s="4"/>
      <c r="N623" s="4"/>
      <c r="O623" s="4"/>
      <c r="P623" s="4"/>
      <c r="Q623" s="4"/>
      <c r="R623" s="4"/>
    </row>
    <row r="624" spans="1:18" ht="17.399999999999999" x14ac:dyDescent="0.25">
      <c r="A624" s="4"/>
      <c r="B624" s="23"/>
      <c r="C624" s="4"/>
      <c r="D624" s="4"/>
      <c r="E624" s="5"/>
      <c r="F624" s="4"/>
      <c r="G624" s="4"/>
      <c r="H624" s="4"/>
      <c r="I624" s="4"/>
      <c r="J624" s="4"/>
      <c r="K624" s="4"/>
      <c r="L624" s="4"/>
      <c r="M624" s="4"/>
      <c r="N624" s="4"/>
      <c r="O624" s="4"/>
      <c r="P624" s="4"/>
      <c r="Q624" s="4"/>
      <c r="R624" s="4"/>
    </row>
    <row r="625" spans="1:18" ht="17.399999999999999" x14ac:dyDescent="0.25">
      <c r="A625" s="4"/>
      <c r="B625" s="23"/>
      <c r="C625" s="4"/>
      <c r="D625" s="4"/>
      <c r="E625" s="5"/>
      <c r="F625" s="4"/>
      <c r="G625" s="4"/>
      <c r="H625" s="4"/>
      <c r="I625" s="4"/>
      <c r="J625" s="4"/>
      <c r="K625" s="4"/>
      <c r="L625" s="4"/>
      <c r="M625" s="4"/>
      <c r="N625" s="4"/>
      <c r="O625" s="4"/>
      <c r="P625" s="4"/>
      <c r="Q625" s="4"/>
      <c r="R625" s="4"/>
    </row>
    <row r="626" spans="1:18" ht="17.399999999999999" x14ac:dyDescent="0.25">
      <c r="A626" s="4"/>
      <c r="B626" s="23"/>
      <c r="C626" s="4"/>
      <c r="D626" s="4"/>
      <c r="E626" s="5"/>
      <c r="F626" s="4"/>
      <c r="G626" s="4"/>
      <c r="H626" s="4"/>
      <c r="I626" s="4"/>
      <c r="J626" s="4"/>
      <c r="K626" s="4"/>
      <c r="L626" s="4"/>
      <c r="M626" s="4"/>
      <c r="N626" s="4"/>
      <c r="O626" s="4"/>
      <c r="P626" s="4"/>
      <c r="Q626" s="4"/>
      <c r="R626" s="4"/>
    </row>
    <row r="627" spans="1:18" ht="17.399999999999999" x14ac:dyDescent="0.25">
      <c r="A627" s="4"/>
      <c r="B627" s="23"/>
      <c r="C627" s="4"/>
      <c r="D627" s="4"/>
      <c r="E627" s="5"/>
      <c r="F627" s="4"/>
      <c r="G627" s="4"/>
      <c r="H627" s="4"/>
      <c r="I627" s="4"/>
      <c r="J627" s="4"/>
      <c r="K627" s="4"/>
      <c r="L627" s="4"/>
      <c r="M627" s="4"/>
      <c r="N627" s="4"/>
      <c r="O627" s="4"/>
      <c r="P627" s="4"/>
      <c r="Q627" s="4"/>
      <c r="R627" s="4"/>
    </row>
    <row r="628" spans="1:18" ht="17.399999999999999" x14ac:dyDescent="0.25">
      <c r="A628" s="4"/>
      <c r="B628" s="23"/>
      <c r="C628" s="4"/>
      <c r="D628" s="4"/>
      <c r="E628" s="5"/>
      <c r="F628" s="4"/>
      <c r="G628" s="4"/>
      <c r="H628" s="4"/>
      <c r="I628" s="4"/>
      <c r="J628" s="4"/>
      <c r="K628" s="4"/>
      <c r="L628" s="4"/>
      <c r="M628" s="4"/>
      <c r="N628" s="4"/>
      <c r="O628" s="4"/>
      <c r="P628" s="4"/>
      <c r="Q628" s="4"/>
      <c r="R628" s="4"/>
    </row>
    <row r="629" spans="1:18" ht="17.399999999999999" x14ac:dyDescent="0.25">
      <c r="A629" s="4"/>
      <c r="B629" s="23"/>
      <c r="C629" s="4"/>
      <c r="D629" s="4"/>
      <c r="E629" s="5"/>
      <c r="F629" s="4"/>
      <c r="G629" s="4"/>
      <c r="H629" s="4"/>
      <c r="I629" s="4"/>
      <c r="J629" s="4"/>
      <c r="K629" s="4"/>
      <c r="L629" s="4"/>
      <c r="M629" s="4"/>
      <c r="N629" s="4"/>
      <c r="O629" s="4"/>
      <c r="P629" s="4"/>
      <c r="Q629" s="4"/>
      <c r="R629" s="4"/>
    </row>
    <row r="630" spans="1:18" ht="17.399999999999999" x14ac:dyDescent="0.25">
      <c r="A630" s="4"/>
      <c r="B630" s="23"/>
      <c r="C630" s="4"/>
      <c r="D630" s="4"/>
      <c r="E630" s="5"/>
      <c r="F630" s="4"/>
      <c r="G630" s="4"/>
      <c r="H630" s="4"/>
      <c r="I630" s="4"/>
      <c r="J630" s="4"/>
      <c r="K630" s="4"/>
      <c r="L630" s="4"/>
      <c r="M630" s="4"/>
      <c r="N630" s="4"/>
      <c r="O630" s="4"/>
      <c r="P630" s="4"/>
      <c r="Q630" s="4"/>
      <c r="R630" s="4"/>
    </row>
    <row r="631" spans="1:18" ht="17.399999999999999" x14ac:dyDescent="0.25">
      <c r="A631" s="4"/>
      <c r="B631" s="23"/>
      <c r="C631" s="4"/>
      <c r="D631" s="4"/>
      <c r="E631" s="5"/>
      <c r="F631" s="4"/>
      <c r="G631" s="4"/>
      <c r="H631" s="4"/>
      <c r="I631" s="4"/>
      <c r="J631" s="4"/>
      <c r="K631" s="4"/>
      <c r="L631" s="4"/>
      <c r="M631" s="4"/>
      <c r="N631" s="4"/>
      <c r="O631" s="4"/>
      <c r="P631" s="4"/>
      <c r="Q631" s="4"/>
      <c r="R631" s="4"/>
    </row>
    <row r="632" spans="1:18" ht="17.399999999999999" x14ac:dyDescent="0.25">
      <c r="A632" s="4"/>
      <c r="B632" s="23"/>
      <c r="C632" s="4"/>
      <c r="D632" s="4"/>
      <c r="E632" s="5"/>
      <c r="F632" s="4"/>
      <c r="G632" s="4"/>
      <c r="H632" s="4"/>
      <c r="I632" s="4"/>
      <c r="J632" s="4"/>
      <c r="K632" s="4"/>
      <c r="L632" s="4"/>
      <c r="M632" s="4"/>
      <c r="N632" s="4"/>
      <c r="O632" s="4"/>
      <c r="P632" s="4"/>
      <c r="Q632" s="4"/>
      <c r="R632" s="4"/>
    </row>
    <row r="633" spans="1:18" ht="17.399999999999999" x14ac:dyDescent="0.25">
      <c r="A633" s="4"/>
      <c r="B633" s="23"/>
      <c r="C633" s="4"/>
      <c r="D633" s="4"/>
      <c r="E633" s="5"/>
      <c r="F633" s="4"/>
      <c r="G633" s="4"/>
      <c r="H633" s="4"/>
      <c r="I633" s="4"/>
      <c r="J633" s="4"/>
      <c r="K633" s="4"/>
      <c r="L633" s="4"/>
      <c r="M633" s="4"/>
      <c r="N633" s="4"/>
      <c r="O633" s="4"/>
      <c r="P633" s="4"/>
      <c r="Q633" s="4"/>
      <c r="R633" s="4"/>
    </row>
    <row r="634" spans="1:18" ht="17.399999999999999" x14ac:dyDescent="0.25">
      <c r="A634" s="4"/>
      <c r="B634" s="23"/>
      <c r="C634" s="4"/>
      <c r="D634" s="4"/>
      <c r="E634" s="5"/>
      <c r="F634" s="4"/>
      <c r="G634" s="4"/>
      <c r="H634" s="4"/>
      <c r="I634" s="4"/>
      <c r="J634" s="4"/>
      <c r="K634" s="4"/>
      <c r="L634" s="4"/>
      <c r="M634" s="4"/>
      <c r="N634" s="4"/>
      <c r="O634" s="4"/>
      <c r="P634" s="4"/>
      <c r="Q634" s="4"/>
      <c r="R634" s="4"/>
    </row>
    <row r="635" spans="1:18" ht="17.399999999999999" x14ac:dyDescent="0.25">
      <c r="A635" s="4"/>
      <c r="B635" s="23"/>
      <c r="C635" s="4"/>
      <c r="D635" s="4"/>
      <c r="E635" s="5"/>
      <c r="F635" s="4"/>
      <c r="G635" s="4"/>
      <c r="H635" s="4"/>
      <c r="I635" s="4"/>
      <c r="J635" s="4"/>
      <c r="K635" s="4"/>
      <c r="L635" s="4"/>
      <c r="M635" s="4"/>
      <c r="N635" s="4"/>
      <c r="O635" s="4"/>
      <c r="P635" s="4"/>
      <c r="Q635" s="4"/>
      <c r="R635" s="4"/>
    </row>
    <row r="636" spans="1:18" ht="17.399999999999999" x14ac:dyDescent="0.25">
      <c r="A636" s="4"/>
      <c r="B636" s="23"/>
      <c r="C636" s="4"/>
      <c r="D636" s="4"/>
      <c r="E636" s="5"/>
      <c r="F636" s="4"/>
      <c r="G636" s="4"/>
      <c r="H636" s="4"/>
      <c r="I636" s="4"/>
      <c r="J636" s="4"/>
      <c r="K636" s="4"/>
      <c r="L636" s="4"/>
      <c r="M636" s="4"/>
      <c r="N636" s="4"/>
      <c r="O636" s="4"/>
      <c r="P636" s="4"/>
      <c r="Q636" s="4"/>
      <c r="R636" s="4"/>
    </row>
    <row r="637" spans="1:18" ht="17.399999999999999" x14ac:dyDescent="0.25">
      <c r="A637" s="4"/>
      <c r="B637" s="23"/>
      <c r="C637" s="4"/>
      <c r="D637" s="4"/>
      <c r="E637" s="5"/>
      <c r="F637" s="4"/>
      <c r="G637" s="4"/>
      <c r="H637" s="4"/>
      <c r="I637" s="4"/>
      <c r="J637" s="4"/>
      <c r="K637" s="4"/>
      <c r="L637" s="4"/>
      <c r="M637" s="4"/>
      <c r="N637" s="4"/>
      <c r="O637" s="4"/>
      <c r="P637" s="4"/>
      <c r="Q637" s="4"/>
      <c r="R637" s="4"/>
    </row>
    <row r="638" spans="1:18" ht="17.399999999999999" x14ac:dyDescent="0.25">
      <c r="A638" s="4"/>
      <c r="B638" s="23"/>
      <c r="C638" s="4"/>
      <c r="D638" s="4"/>
      <c r="E638" s="5"/>
      <c r="F638" s="4"/>
      <c r="G638" s="4"/>
      <c r="H638" s="4"/>
      <c r="I638" s="4"/>
      <c r="J638" s="4"/>
      <c r="K638" s="4"/>
      <c r="L638" s="4"/>
      <c r="M638" s="4"/>
      <c r="N638" s="4"/>
      <c r="O638" s="4"/>
      <c r="P638" s="4"/>
      <c r="Q638" s="4"/>
      <c r="R638" s="4"/>
    </row>
    <row r="639" spans="1:18" ht="17.399999999999999" x14ac:dyDescent="0.25">
      <c r="A639" s="4"/>
      <c r="B639" s="23"/>
      <c r="C639" s="4"/>
      <c r="D639" s="4"/>
      <c r="E639" s="5"/>
      <c r="F639" s="4"/>
      <c r="G639" s="4"/>
      <c r="H639" s="4"/>
      <c r="I639" s="4"/>
      <c r="J639" s="4"/>
      <c r="K639" s="4"/>
      <c r="L639" s="4"/>
      <c r="M639" s="4"/>
      <c r="N639" s="4"/>
      <c r="O639" s="4"/>
      <c r="P639" s="4"/>
      <c r="Q639" s="4"/>
      <c r="R639" s="4"/>
    </row>
    <row r="640" spans="1:18" ht="17.399999999999999" x14ac:dyDescent="0.25">
      <c r="A640" s="4"/>
      <c r="B640" s="23"/>
      <c r="C640" s="4"/>
      <c r="D640" s="4"/>
      <c r="E640" s="5"/>
      <c r="F640" s="4"/>
      <c r="G640" s="4"/>
      <c r="H640" s="4"/>
      <c r="I640" s="4"/>
      <c r="J640" s="4"/>
      <c r="K640" s="4"/>
      <c r="L640" s="4"/>
      <c r="M640" s="4"/>
      <c r="N640" s="4"/>
      <c r="O640" s="4"/>
      <c r="P640" s="4"/>
      <c r="Q640" s="4"/>
      <c r="R640" s="4"/>
    </row>
    <row r="641" spans="1:18" ht="17.399999999999999" x14ac:dyDescent="0.25">
      <c r="A641" s="4"/>
      <c r="B641" s="23"/>
      <c r="C641" s="4"/>
      <c r="D641" s="4"/>
      <c r="E641" s="5"/>
      <c r="F641" s="4"/>
      <c r="G641" s="4"/>
      <c r="H641" s="4"/>
      <c r="I641" s="4"/>
      <c r="J641" s="4"/>
      <c r="K641" s="4"/>
      <c r="L641" s="4"/>
      <c r="M641" s="4"/>
      <c r="N641" s="4"/>
      <c r="O641" s="4"/>
      <c r="P641" s="4"/>
      <c r="Q641" s="4"/>
      <c r="R641" s="4"/>
    </row>
    <row r="642" spans="1:18" ht="17.399999999999999" x14ac:dyDescent="0.25">
      <c r="A642" s="4"/>
      <c r="B642" s="23"/>
      <c r="C642" s="4"/>
      <c r="D642" s="4"/>
      <c r="E642" s="5"/>
      <c r="F642" s="4"/>
      <c r="G642" s="4"/>
      <c r="H642" s="4"/>
      <c r="I642" s="4"/>
      <c r="J642" s="4"/>
      <c r="K642" s="4"/>
      <c r="L642" s="4"/>
      <c r="M642" s="4"/>
      <c r="N642" s="4"/>
      <c r="O642" s="4"/>
      <c r="P642" s="4"/>
      <c r="Q642" s="4"/>
      <c r="R642" s="4"/>
    </row>
    <row r="643" spans="1:18" ht="17.399999999999999" x14ac:dyDescent="0.25">
      <c r="A643" s="4"/>
      <c r="B643" s="23"/>
      <c r="C643" s="4"/>
      <c r="D643" s="4"/>
      <c r="E643" s="5"/>
      <c r="F643" s="4"/>
      <c r="G643" s="4"/>
      <c r="H643" s="4"/>
      <c r="I643" s="4"/>
      <c r="J643" s="4"/>
      <c r="K643" s="4"/>
      <c r="L643" s="4"/>
      <c r="M643" s="4"/>
      <c r="N643" s="4"/>
      <c r="O643" s="4"/>
      <c r="P643" s="4"/>
      <c r="Q643" s="4"/>
      <c r="R643" s="4"/>
    </row>
    <row r="644" spans="1:18" ht="17.399999999999999" x14ac:dyDescent="0.25">
      <c r="A644" s="4"/>
      <c r="B644" s="23"/>
      <c r="C644" s="4"/>
      <c r="D644" s="4"/>
      <c r="E644" s="5"/>
      <c r="F644" s="4"/>
      <c r="G644" s="4"/>
      <c r="H644" s="4"/>
      <c r="I644" s="4"/>
      <c r="J644" s="4"/>
      <c r="K644" s="4"/>
      <c r="L644" s="4"/>
      <c r="M644" s="4"/>
      <c r="N644" s="4"/>
      <c r="O644" s="4"/>
      <c r="P644" s="4"/>
      <c r="Q644" s="4"/>
      <c r="R644" s="4"/>
    </row>
    <row r="645" spans="1:18" ht="17.399999999999999" x14ac:dyDescent="0.25">
      <c r="A645" s="4"/>
      <c r="B645" s="23"/>
      <c r="C645" s="4"/>
      <c r="D645" s="4"/>
      <c r="E645" s="5"/>
      <c r="F645" s="4"/>
      <c r="G645" s="4"/>
      <c r="H645" s="4"/>
      <c r="I645" s="4"/>
      <c r="J645" s="4"/>
      <c r="K645" s="4"/>
      <c r="L645" s="4"/>
      <c r="M645" s="4"/>
      <c r="N645" s="4"/>
      <c r="O645" s="4"/>
      <c r="P645" s="4"/>
      <c r="Q645" s="4"/>
      <c r="R645" s="4"/>
    </row>
    <row r="646" spans="1:18" ht="17.399999999999999" x14ac:dyDescent="0.25">
      <c r="A646" s="4"/>
      <c r="B646" s="23"/>
      <c r="C646" s="4"/>
      <c r="D646" s="4"/>
      <c r="E646" s="5"/>
      <c r="F646" s="4"/>
      <c r="G646" s="4"/>
      <c r="H646" s="4"/>
      <c r="I646" s="4"/>
      <c r="J646" s="4"/>
      <c r="K646" s="4"/>
      <c r="L646" s="4"/>
      <c r="M646" s="4"/>
      <c r="N646" s="4"/>
      <c r="O646" s="4"/>
      <c r="P646" s="4"/>
      <c r="Q646" s="4"/>
      <c r="R646" s="4"/>
    </row>
    <row r="647" spans="1:18" ht="17.399999999999999" x14ac:dyDescent="0.25">
      <c r="A647" s="4"/>
      <c r="B647" s="23"/>
      <c r="C647" s="4"/>
      <c r="D647" s="4"/>
      <c r="E647" s="5"/>
      <c r="F647" s="4"/>
      <c r="G647" s="4"/>
      <c r="H647" s="4"/>
      <c r="I647" s="4"/>
      <c r="J647" s="4"/>
      <c r="K647" s="4"/>
      <c r="L647" s="4"/>
      <c r="M647" s="4"/>
      <c r="N647" s="4"/>
      <c r="O647" s="4"/>
      <c r="P647" s="4"/>
      <c r="Q647" s="4"/>
      <c r="R647" s="4"/>
    </row>
    <row r="648" spans="1:18" ht="17.399999999999999" x14ac:dyDescent="0.25">
      <c r="A648" s="4"/>
      <c r="B648" s="23"/>
      <c r="C648" s="4"/>
      <c r="D648" s="4"/>
      <c r="E648" s="5"/>
      <c r="F648" s="4"/>
      <c r="G648" s="4"/>
      <c r="H648" s="4"/>
      <c r="I648" s="4"/>
      <c r="J648" s="4"/>
      <c r="K648" s="4"/>
      <c r="L648" s="4"/>
      <c r="M648" s="4"/>
      <c r="N648" s="4"/>
      <c r="O648" s="4"/>
      <c r="P648" s="4"/>
      <c r="Q648" s="4"/>
      <c r="R648" s="4"/>
    </row>
    <row r="649" spans="1:18" ht="17.399999999999999" x14ac:dyDescent="0.25">
      <c r="A649" s="4"/>
      <c r="B649" s="23"/>
      <c r="C649" s="4"/>
      <c r="D649" s="4"/>
      <c r="E649" s="5"/>
      <c r="F649" s="4"/>
      <c r="G649" s="4"/>
      <c r="H649" s="4"/>
      <c r="I649" s="4"/>
      <c r="J649" s="4"/>
      <c r="K649" s="4"/>
      <c r="L649" s="4"/>
      <c r="M649" s="4"/>
      <c r="N649" s="4"/>
      <c r="O649" s="4"/>
      <c r="P649" s="4"/>
      <c r="Q649" s="4"/>
      <c r="R649" s="4"/>
    </row>
    <row r="650" spans="1:18" ht="17.399999999999999" x14ac:dyDescent="0.25">
      <c r="A650" s="4"/>
      <c r="B650" s="23"/>
      <c r="C650" s="4"/>
      <c r="D650" s="4"/>
      <c r="E650" s="5"/>
      <c r="F650" s="4"/>
      <c r="G650" s="4"/>
      <c r="H650" s="4"/>
      <c r="I650" s="4"/>
      <c r="J650" s="4"/>
      <c r="K650" s="4"/>
      <c r="L650" s="4"/>
      <c r="M650" s="4"/>
      <c r="N650" s="4"/>
      <c r="O650" s="4"/>
      <c r="P650" s="4"/>
      <c r="Q650" s="4"/>
      <c r="R650" s="4"/>
    </row>
    <row r="651" spans="1:18" ht="17.399999999999999" x14ac:dyDescent="0.25">
      <c r="A651" s="4"/>
      <c r="B651" s="23"/>
      <c r="C651" s="4"/>
      <c r="D651" s="4"/>
      <c r="E651" s="5"/>
      <c r="F651" s="4"/>
      <c r="G651" s="4"/>
      <c r="H651" s="4"/>
      <c r="I651" s="4"/>
      <c r="J651" s="4"/>
      <c r="K651" s="4"/>
      <c r="L651" s="4"/>
      <c r="M651" s="4"/>
      <c r="N651" s="4"/>
      <c r="O651" s="4"/>
      <c r="P651" s="4"/>
      <c r="Q651" s="4"/>
      <c r="R651" s="4"/>
    </row>
    <row r="652" spans="1:18" ht="17.399999999999999" x14ac:dyDescent="0.25">
      <c r="A652" s="4"/>
      <c r="B652" s="23"/>
      <c r="C652" s="4"/>
      <c r="D652" s="4"/>
      <c r="E652" s="5"/>
      <c r="F652" s="4"/>
      <c r="G652" s="4"/>
      <c r="H652" s="4"/>
      <c r="I652" s="4"/>
      <c r="J652" s="4"/>
      <c r="K652" s="4"/>
      <c r="L652" s="4"/>
      <c r="M652" s="4"/>
      <c r="N652" s="4"/>
      <c r="O652" s="4"/>
      <c r="P652" s="4"/>
      <c r="Q652" s="4"/>
      <c r="R652" s="4"/>
    </row>
    <row r="653" spans="1:18" ht="17.399999999999999" x14ac:dyDescent="0.25">
      <c r="A653" s="4"/>
      <c r="B653" s="23"/>
      <c r="C653" s="4"/>
      <c r="D653" s="4"/>
      <c r="E653" s="5"/>
      <c r="F653" s="4"/>
      <c r="G653" s="4"/>
      <c r="H653" s="4"/>
      <c r="I653" s="4"/>
      <c r="J653" s="4"/>
      <c r="K653" s="4"/>
      <c r="L653" s="4"/>
      <c r="M653" s="4"/>
      <c r="N653" s="4"/>
      <c r="O653" s="4"/>
      <c r="P653" s="4"/>
      <c r="Q653" s="4"/>
      <c r="R653" s="4"/>
    </row>
    <row r="654" spans="1:18" ht="17.399999999999999" x14ac:dyDescent="0.25">
      <c r="A654" s="4"/>
      <c r="B654" s="23"/>
      <c r="C654" s="4"/>
      <c r="D654" s="4"/>
      <c r="E654" s="5"/>
      <c r="F654" s="4"/>
      <c r="G654" s="4"/>
      <c r="H654" s="4"/>
      <c r="I654" s="4"/>
      <c r="J654" s="4"/>
      <c r="K654" s="4"/>
      <c r="L654" s="4"/>
      <c r="M654" s="4"/>
      <c r="N654" s="4"/>
      <c r="O654" s="4"/>
      <c r="P654" s="4"/>
      <c r="Q654" s="4"/>
      <c r="R654" s="4"/>
    </row>
    <row r="655" spans="1:18" ht="17.399999999999999" x14ac:dyDescent="0.25">
      <c r="A655" s="4"/>
      <c r="B655" s="23"/>
      <c r="C655" s="4"/>
      <c r="D655" s="4"/>
      <c r="E655" s="5"/>
      <c r="F655" s="4"/>
      <c r="G655" s="4"/>
      <c r="H655" s="4"/>
      <c r="I655" s="4"/>
      <c r="J655" s="4"/>
      <c r="K655" s="4"/>
      <c r="L655" s="4"/>
      <c r="M655" s="4"/>
      <c r="N655" s="4"/>
      <c r="O655" s="4"/>
      <c r="P655" s="4"/>
      <c r="Q655" s="4"/>
      <c r="R655" s="4"/>
    </row>
    <row r="656" spans="1:18" ht="17.399999999999999" x14ac:dyDescent="0.25">
      <c r="A656" s="4"/>
      <c r="B656" s="23"/>
      <c r="C656" s="4"/>
      <c r="D656" s="4"/>
      <c r="E656" s="5"/>
      <c r="F656" s="4"/>
      <c r="G656" s="4"/>
      <c r="H656" s="4"/>
      <c r="I656" s="4"/>
      <c r="J656" s="4"/>
      <c r="K656" s="4"/>
      <c r="L656" s="4"/>
      <c r="M656" s="4"/>
      <c r="N656" s="4"/>
      <c r="O656" s="4"/>
      <c r="P656" s="4"/>
      <c r="Q656" s="4"/>
      <c r="R656" s="4"/>
    </row>
    <row r="657" spans="1:18" ht="17.399999999999999" x14ac:dyDescent="0.25">
      <c r="A657" s="4"/>
      <c r="B657" s="23"/>
      <c r="C657" s="4"/>
      <c r="D657" s="4"/>
      <c r="E657" s="5"/>
      <c r="F657" s="4"/>
      <c r="G657" s="4"/>
      <c r="H657" s="4"/>
      <c r="I657" s="4"/>
      <c r="J657" s="4"/>
      <c r="K657" s="4"/>
      <c r="L657" s="4"/>
      <c r="M657" s="4"/>
      <c r="N657" s="4"/>
      <c r="O657" s="4"/>
      <c r="P657" s="4"/>
      <c r="Q657" s="4"/>
      <c r="R657" s="4"/>
    </row>
    <row r="658" spans="1:18" ht="17.399999999999999" x14ac:dyDescent="0.25">
      <c r="A658" s="4"/>
      <c r="B658" s="23"/>
      <c r="C658" s="4"/>
      <c r="D658" s="4"/>
      <c r="E658" s="5"/>
      <c r="F658" s="4"/>
      <c r="G658" s="4"/>
      <c r="H658" s="4"/>
      <c r="I658" s="4"/>
      <c r="J658" s="4"/>
      <c r="K658" s="4"/>
      <c r="L658" s="4"/>
      <c r="M658" s="4"/>
      <c r="N658" s="4"/>
      <c r="O658" s="4"/>
      <c r="P658" s="4"/>
      <c r="Q658" s="4"/>
      <c r="R658" s="4"/>
    </row>
    <row r="659" spans="1:18" ht="17.399999999999999" x14ac:dyDescent="0.25">
      <c r="A659" s="4"/>
      <c r="B659" s="23"/>
      <c r="C659" s="4"/>
      <c r="D659" s="4"/>
      <c r="E659" s="5"/>
      <c r="F659" s="4"/>
      <c r="G659" s="4"/>
      <c r="H659" s="4"/>
      <c r="I659" s="4"/>
      <c r="J659" s="4"/>
      <c r="K659" s="4"/>
      <c r="L659" s="4"/>
      <c r="M659" s="4"/>
      <c r="N659" s="4"/>
      <c r="O659" s="4"/>
      <c r="P659" s="4"/>
      <c r="Q659" s="4"/>
      <c r="R659" s="4"/>
    </row>
    <row r="660" spans="1:18" ht="17.399999999999999" x14ac:dyDescent="0.25">
      <c r="A660" s="4"/>
      <c r="B660" s="23"/>
      <c r="C660" s="4"/>
      <c r="D660" s="4"/>
      <c r="E660" s="5"/>
      <c r="F660" s="4"/>
      <c r="G660" s="4"/>
      <c r="H660" s="4"/>
      <c r="I660" s="4"/>
      <c r="J660" s="4"/>
      <c r="K660" s="4"/>
      <c r="L660" s="4"/>
      <c r="M660" s="4"/>
      <c r="N660" s="4"/>
      <c r="O660" s="4"/>
      <c r="P660" s="4"/>
      <c r="Q660" s="4"/>
      <c r="R660" s="4"/>
    </row>
    <row r="661" spans="1:18" ht="17.399999999999999" x14ac:dyDescent="0.25">
      <c r="A661" s="4"/>
      <c r="B661" s="23"/>
      <c r="C661" s="4"/>
      <c r="D661" s="4"/>
      <c r="E661" s="5"/>
      <c r="F661" s="4"/>
      <c r="G661" s="4"/>
      <c r="H661" s="4"/>
      <c r="I661" s="4"/>
      <c r="J661" s="4"/>
      <c r="K661" s="4"/>
      <c r="L661" s="4"/>
      <c r="M661" s="4"/>
      <c r="N661" s="4"/>
      <c r="O661" s="4"/>
      <c r="P661" s="4"/>
      <c r="Q661" s="4"/>
      <c r="R661" s="4"/>
    </row>
    <row r="662" spans="1:18" ht="17.399999999999999" x14ac:dyDescent="0.25">
      <c r="A662" s="4"/>
      <c r="B662" s="23"/>
      <c r="C662" s="4"/>
      <c r="D662" s="4"/>
      <c r="E662" s="5"/>
      <c r="F662" s="4"/>
      <c r="G662" s="4"/>
      <c r="H662" s="4"/>
      <c r="I662" s="4"/>
      <c r="J662" s="4"/>
      <c r="K662" s="4"/>
      <c r="L662" s="4"/>
      <c r="M662" s="4"/>
      <c r="N662" s="4"/>
      <c r="O662" s="4"/>
      <c r="P662" s="4"/>
      <c r="Q662" s="4"/>
      <c r="R662" s="4"/>
    </row>
    <row r="663" spans="1:18" ht="17.399999999999999" x14ac:dyDescent="0.25">
      <c r="A663" s="4"/>
      <c r="B663" s="23"/>
      <c r="C663" s="4"/>
      <c r="D663" s="4"/>
      <c r="E663" s="5"/>
      <c r="F663" s="4"/>
      <c r="G663" s="4"/>
      <c r="H663" s="4"/>
      <c r="I663" s="4"/>
      <c r="J663" s="4"/>
      <c r="K663" s="4"/>
      <c r="L663" s="4"/>
      <c r="M663" s="4"/>
      <c r="N663" s="4"/>
      <c r="O663" s="4"/>
      <c r="P663" s="4"/>
      <c r="Q663" s="4"/>
      <c r="R663" s="4"/>
    </row>
    <row r="664" spans="1:18" ht="17.399999999999999" x14ac:dyDescent="0.25">
      <c r="A664" s="4"/>
      <c r="B664" s="23"/>
      <c r="C664" s="4"/>
      <c r="D664" s="4"/>
      <c r="E664" s="5"/>
      <c r="F664" s="4"/>
      <c r="G664" s="4"/>
      <c r="H664" s="4"/>
      <c r="I664" s="4"/>
      <c r="J664" s="4"/>
      <c r="K664" s="4"/>
      <c r="L664" s="4"/>
      <c r="M664" s="4"/>
      <c r="N664" s="4"/>
      <c r="O664" s="4"/>
      <c r="P664" s="4"/>
      <c r="Q664" s="4"/>
      <c r="R664" s="4"/>
    </row>
    <row r="665" spans="1:18" ht="17.399999999999999" x14ac:dyDescent="0.25">
      <c r="A665" s="4"/>
      <c r="B665" s="23"/>
      <c r="C665" s="4"/>
      <c r="D665" s="4"/>
      <c r="E665" s="5"/>
      <c r="F665" s="4"/>
      <c r="G665" s="4"/>
      <c r="H665" s="4"/>
      <c r="I665" s="4"/>
      <c r="J665" s="4"/>
      <c r="K665" s="4"/>
      <c r="L665" s="4"/>
      <c r="M665" s="4"/>
      <c r="N665" s="4"/>
      <c r="O665" s="4"/>
      <c r="P665" s="4"/>
      <c r="Q665" s="4"/>
      <c r="R665" s="4"/>
    </row>
    <row r="666" spans="1:18" ht="17.399999999999999" x14ac:dyDescent="0.25">
      <c r="A666" s="4"/>
      <c r="B666" s="23"/>
      <c r="C666" s="4"/>
      <c r="D666" s="4"/>
      <c r="E666" s="5"/>
      <c r="F666" s="4"/>
      <c r="G666" s="4"/>
      <c r="H666" s="4"/>
      <c r="I666" s="4"/>
      <c r="J666" s="4"/>
      <c r="K666" s="4"/>
      <c r="L666" s="4"/>
      <c r="M666" s="4"/>
      <c r="N666" s="4"/>
      <c r="O666" s="4"/>
      <c r="P666" s="4"/>
      <c r="Q666" s="4"/>
      <c r="R666" s="4"/>
    </row>
    <row r="667" spans="1:18" ht="17.399999999999999" x14ac:dyDescent="0.25">
      <c r="A667" s="4"/>
      <c r="B667" s="23"/>
      <c r="C667" s="4"/>
      <c r="D667" s="4"/>
      <c r="E667" s="5"/>
      <c r="F667" s="4"/>
      <c r="G667" s="4"/>
      <c r="H667" s="4"/>
      <c r="I667" s="4"/>
      <c r="J667" s="4"/>
      <c r="K667" s="4"/>
      <c r="L667" s="4"/>
      <c r="M667" s="4"/>
      <c r="N667" s="4"/>
      <c r="O667" s="4"/>
      <c r="P667" s="4"/>
      <c r="Q667" s="4"/>
      <c r="R667" s="4"/>
    </row>
    <row r="668" spans="1:18" ht="17.399999999999999" x14ac:dyDescent="0.25">
      <c r="A668" s="4"/>
      <c r="B668" s="23"/>
      <c r="C668" s="4"/>
      <c r="D668" s="4"/>
      <c r="E668" s="5"/>
      <c r="F668" s="4"/>
      <c r="G668" s="4"/>
      <c r="H668" s="4"/>
      <c r="I668" s="4"/>
      <c r="J668" s="4"/>
      <c r="K668" s="4"/>
      <c r="L668" s="4"/>
      <c r="M668" s="4"/>
      <c r="N668" s="4"/>
      <c r="O668" s="4"/>
      <c r="P668" s="4"/>
      <c r="Q668" s="4"/>
      <c r="R668" s="4"/>
    </row>
    <row r="669" spans="1:18" ht="17.399999999999999" x14ac:dyDescent="0.25">
      <c r="A669" s="4"/>
      <c r="B669" s="23"/>
      <c r="C669" s="4"/>
      <c r="D669" s="4"/>
      <c r="E669" s="5"/>
      <c r="F669" s="4"/>
      <c r="G669" s="4"/>
      <c r="H669" s="4"/>
      <c r="I669" s="4"/>
      <c r="J669" s="4"/>
      <c r="K669" s="4"/>
      <c r="L669" s="4"/>
      <c r="M669" s="4"/>
      <c r="N669" s="4"/>
      <c r="O669" s="4"/>
      <c r="P669" s="4"/>
      <c r="Q669" s="4"/>
      <c r="R669" s="4"/>
    </row>
    <row r="670" spans="1:18" ht="17.399999999999999" x14ac:dyDescent="0.25">
      <c r="A670" s="4"/>
      <c r="B670" s="23"/>
      <c r="C670" s="4"/>
      <c r="D670" s="4"/>
      <c r="E670" s="5"/>
      <c r="F670" s="4"/>
      <c r="G670" s="4"/>
      <c r="H670" s="4"/>
      <c r="I670" s="4"/>
      <c r="J670" s="4"/>
      <c r="K670" s="4"/>
      <c r="L670" s="4"/>
      <c r="M670" s="4"/>
      <c r="N670" s="4"/>
      <c r="O670" s="4"/>
      <c r="P670" s="4"/>
      <c r="Q670" s="4"/>
      <c r="R670" s="4"/>
    </row>
    <row r="671" spans="1:18" ht="17.399999999999999" x14ac:dyDescent="0.25">
      <c r="A671" s="4"/>
      <c r="B671" s="23"/>
      <c r="C671" s="4"/>
      <c r="D671" s="4"/>
      <c r="E671" s="5"/>
      <c r="F671" s="4"/>
      <c r="G671" s="4"/>
      <c r="H671" s="4"/>
      <c r="I671" s="4"/>
      <c r="J671" s="4"/>
      <c r="K671" s="4"/>
      <c r="L671" s="4"/>
      <c r="M671" s="4"/>
      <c r="N671" s="4"/>
      <c r="O671" s="4"/>
      <c r="P671" s="4"/>
      <c r="Q671" s="4"/>
      <c r="R671" s="4"/>
    </row>
    <row r="672" spans="1:18" ht="17.399999999999999" x14ac:dyDescent="0.25">
      <c r="A672" s="4"/>
      <c r="B672" s="23"/>
      <c r="C672" s="4"/>
      <c r="D672" s="4"/>
      <c r="E672" s="5"/>
      <c r="F672" s="4"/>
      <c r="G672" s="4"/>
      <c r="H672" s="4"/>
      <c r="I672" s="4"/>
      <c r="J672" s="4"/>
      <c r="K672" s="4"/>
      <c r="L672" s="4"/>
      <c r="M672" s="4"/>
      <c r="N672" s="4"/>
      <c r="O672" s="4"/>
      <c r="P672" s="4"/>
      <c r="Q672" s="4"/>
      <c r="R672" s="4"/>
    </row>
    <row r="673" spans="1:18" ht="17.399999999999999" x14ac:dyDescent="0.25">
      <c r="A673" s="4"/>
      <c r="B673" s="23"/>
      <c r="C673" s="4"/>
      <c r="D673" s="4"/>
      <c r="E673" s="5"/>
      <c r="F673" s="4"/>
      <c r="G673" s="4"/>
      <c r="H673" s="4"/>
      <c r="I673" s="4"/>
      <c r="J673" s="4"/>
      <c r="K673" s="4"/>
      <c r="L673" s="4"/>
      <c r="M673" s="4"/>
      <c r="N673" s="4"/>
      <c r="O673" s="4"/>
      <c r="P673" s="4"/>
      <c r="Q673" s="4"/>
      <c r="R673" s="4"/>
    </row>
    <row r="674" spans="1:18" ht="17.399999999999999" x14ac:dyDescent="0.25">
      <c r="A674" s="4"/>
      <c r="B674" s="23"/>
      <c r="C674" s="4"/>
      <c r="D674" s="4"/>
      <c r="E674" s="5"/>
      <c r="F674" s="4"/>
      <c r="G674" s="4"/>
      <c r="H674" s="4"/>
      <c r="I674" s="4"/>
      <c r="J674" s="4"/>
      <c r="K674" s="4"/>
      <c r="L674" s="4"/>
      <c r="M674" s="4"/>
      <c r="N674" s="4"/>
      <c r="O674" s="4"/>
      <c r="P674" s="4"/>
      <c r="Q674" s="4"/>
      <c r="R674" s="4"/>
    </row>
    <row r="675" spans="1:18" ht="17.399999999999999" x14ac:dyDescent="0.25">
      <c r="A675" s="4"/>
      <c r="B675" s="23"/>
      <c r="C675" s="4"/>
      <c r="D675" s="4"/>
      <c r="E675" s="5"/>
      <c r="F675" s="4"/>
      <c r="G675" s="4"/>
      <c r="H675" s="4"/>
      <c r="I675" s="4"/>
      <c r="J675" s="4"/>
      <c r="K675" s="4"/>
      <c r="L675" s="4"/>
      <c r="M675" s="4"/>
      <c r="N675" s="4"/>
      <c r="O675" s="4"/>
      <c r="P675" s="4"/>
      <c r="Q675" s="4"/>
      <c r="R675" s="4"/>
    </row>
    <row r="676" spans="1:18" ht="17.399999999999999" x14ac:dyDescent="0.25">
      <c r="A676" s="4"/>
      <c r="B676" s="23"/>
      <c r="C676" s="4"/>
      <c r="D676" s="4"/>
      <c r="E676" s="5"/>
      <c r="F676" s="4"/>
      <c r="G676" s="4"/>
      <c r="H676" s="4"/>
      <c r="I676" s="4"/>
      <c r="J676" s="4"/>
      <c r="K676" s="4"/>
      <c r="L676" s="4"/>
      <c r="M676" s="4"/>
      <c r="N676" s="4"/>
      <c r="O676" s="4"/>
      <c r="P676" s="4"/>
      <c r="Q676" s="4"/>
      <c r="R676" s="4"/>
    </row>
    <row r="677" spans="1:18" ht="17.399999999999999" x14ac:dyDescent="0.25">
      <c r="A677" s="4"/>
      <c r="B677" s="23"/>
      <c r="C677" s="4"/>
      <c r="D677" s="4"/>
      <c r="E677" s="5"/>
      <c r="F677" s="4"/>
      <c r="G677" s="4"/>
      <c r="H677" s="4"/>
      <c r="I677" s="4"/>
      <c r="J677" s="4"/>
      <c r="K677" s="4"/>
      <c r="L677" s="4"/>
      <c r="M677" s="4"/>
      <c r="N677" s="4"/>
      <c r="O677" s="4"/>
      <c r="P677" s="4"/>
      <c r="Q677" s="4"/>
      <c r="R677" s="4"/>
    </row>
    <row r="678" spans="1:18" ht="17.399999999999999" x14ac:dyDescent="0.25">
      <c r="A678" s="4"/>
      <c r="B678" s="23"/>
      <c r="C678" s="4"/>
      <c r="D678" s="4"/>
      <c r="E678" s="5"/>
      <c r="F678" s="4"/>
      <c r="G678" s="4"/>
      <c r="H678" s="4"/>
      <c r="I678" s="4"/>
      <c r="J678" s="4"/>
      <c r="K678" s="4"/>
      <c r="L678" s="4"/>
      <c r="M678" s="4"/>
      <c r="N678" s="4"/>
      <c r="O678" s="4"/>
      <c r="P678" s="4"/>
      <c r="Q678" s="4"/>
      <c r="R678" s="4"/>
    </row>
    <row r="679" spans="1:18" ht="17.399999999999999" x14ac:dyDescent="0.25">
      <c r="A679" s="4"/>
      <c r="B679" s="23"/>
      <c r="C679" s="4"/>
      <c r="D679" s="4"/>
      <c r="E679" s="5"/>
      <c r="F679" s="4"/>
      <c r="G679" s="4"/>
      <c r="H679" s="4"/>
      <c r="I679" s="4"/>
      <c r="J679" s="4"/>
      <c r="K679" s="4"/>
      <c r="L679" s="4"/>
      <c r="M679" s="4"/>
      <c r="N679" s="4"/>
      <c r="O679" s="4"/>
      <c r="P679" s="4"/>
      <c r="Q679" s="4"/>
      <c r="R679" s="4"/>
    </row>
    <row r="680" spans="1:18" ht="17.399999999999999" x14ac:dyDescent="0.25">
      <c r="A680" s="4"/>
      <c r="B680" s="23"/>
      <c r="C680" s="4"/>
      <c r="D680" s="4"/>
      <c r="E680" s="5"/>
      <c r="F680" s="4"/>
      <c r="G680" s="4"/>
      <c r="H680" s="4"/>
      <c r="I680" s="4"/>
      <c r="J680" s="4"/>
      <c r="K680" s="4"/>
      <c r="L680" s="4"/>
      <c r="M680" s="4"/>
      <c r="N680" s="4"/>
      <c r="O680" s="4"/>
      <c r="P680" s="4"/>
      <c r="Q680" s="4"/>
      <c r="R680" s="4"/>
    </row>
    <row r="681" spans="1:18" ht="17.399999999999999" x14ac:dyDescent="0.25">
      <c r="A681" s="4"/>
      <c r="B681" s="23"/>
      <c r="C681" s="4"/>
      <c r="D681" s="4"/>
      <c r="E681" s="5"/>
      <c r="F681" s="4"/>
      <c r="G681" s="4"/>
      <c r="H681" s="4"/>
      <c r="I681" s="4"/>
      <c r="J681" s="4"/>
      <c r="K681" s="4"/>
      <c r="L681" s="4"/>
      <c r="M681" s="4"/>
      <c r="N681" s="4"/>
      <c r="O681" s="4"/>
      <c r="P681" s="4"/>
      <c r="Q681" s="4"/>
      <c r="R681" s="4"/>
    </row>
    <row r="682" spans="1:18" ht="17.399999999999999" x14ac:dyDescent="0.25">
      <c r="A682" s="4"/>
      <c r="B682" s="23"/>
      <c r="C682" s="4"/>
      <c r="D682" s="4"/>
      <c r="E682" s="5"/>
      <c r="F682" s="4"/>
      <c r="G682" s="4"/>
      <c r="H682" s="4"/>
      <c r="I682" s="4"/>
      <c r="J682" s="4"/>
      <c r="K682" s="4"/>
      <c r="L682" s="4"/>
      <c r="M682" s="4"/>
      <c r="N682" s="4"/>
      <c r="O682" s="4"/>
      <c r="P682" s="4"/>
      <c r="Q682" s="4"/>
      <c r="R682" s="4"/>
    </row>
    <row r="683" spans="1:18" ht="17.399999999999999" x14ac:dyDescent="0.25">
      <c r="A683" s="4"/>
      <c r="B683" s="23"/>
      <c r="C683" s="4"/>
      <c r="D683" s="4"/>
      <c r="E683" s="5"/>
      <c r="F683" s="4"/>
      <c r="G683" s="4"/>
      <c r="H683" s="4"/>
      <c r="I683" s="4"/>
      <c r="J683" s="4"/>
      <c r="K683" s="4"/>
      <c r="L683" s="4"/>
      <c r="M683" s="4"/>
      <c r="N683" s="4"/>
      <c r="O683" s="4"/>
      <c r="P683" s="4"/>
      <c r="Q683" s="4"/>
      <c r="R683" s="4"/>
    </row>
    <row r="684" spans="1:18" ht="17.399999999999999" x14ac:dyDescent="0.25">
      <c r="A684" s="4"/>
      <c r="B684" s="23"/>
      <c r="C684" s="4"/>
      <c r="D684" s="4"/>
      <c r="E684" s="5"/>
      <c r="F684" s="4"/>
      <c r="G684" s="4"/>
      <c r="H684" s="4"/>
      <c r="I684" s="4"/>
      <c r="J684" s="4"/>
      <c r="K684" s="4"/>
      <c r="L684" s="4"/>
      <c r="M684" s="4"/>
      <c r="N684" s="4"/>
      <c r="O684" s="4"/>
      <c r="P684" s="4"/>
      <c r="Q684" s="4"/>
      <c r="R684" s="4"/>
    </row>
    <row r="685" spans="1:18" ht="17.399999999999999" x14ac:dyDescent="0.25">
      <c r="A685" s="4"/>
      <c r="B685" s="23"/>
      <c r="C685" s="4"/>
      <c r="D685" s="4"/>
      <c r="E685" s="5"/>
      <c r="F685" s="4"/>
      <c r="G685" s="4"/>
      <c r="H685" s="4"/>
      <c r="I685" s="4"/>
      <c r="J685" s="4"/>
      <c r="K685" s="4"/>
      <c r="L685" s="4"/>
      <c r="M685" s="4"/>
      <c r="N685" s="4"/>
      <c r="O685" s="4"/>
      <c r="P685" s="4"/>
      <c r="Q685" s="4"/>
      <c r="R685" s="4"/>
    </row>
    <row r="686" spans="1:18" ht="17.399999999999999" x14ac:dyDescent="0.25">
      <c r="A686" s="4"/>
      <c r="B686" s="23"/>
      <c r="C686" s="4"/>
      <c r="D686" s="4"/>
      <c r="E686" s="5"/>
      <c r="F686" s="4"/>
      <c r="G686" s="4"/>
      <c r="H686" s="4"/>
      <c r="I686" s="4"/>
      <c r="J686" s="4"/>
      <c r="K686" s="4"/>
      <c r="L686" s="4"/>
      <c r="M686" s="4"/>
      <c r="N686" s="4"/>
      <c r="O686" s="4"/>
      <c r="P686" s="4"/>
      <c r="Q686" s="4"/>
      <c r="R686" s="4"/>
    </row>
    <row r="687" spans="1:18" ht="17.399999999999999" x14ac:dyDescent="0.25">
      <c r="A687" s="4"/>
      <c r="B687" s="23"/>
      <c r="C687" s="4"/>
      <c r="D687" s="4"/>
      <c r="E687" s="5"/>
      <c r="F687" s="4"/>
      <c r="G687" s="4"/>
      <c r="H687" s="4"/>
      <c r="I687" s="4"/>
      <c r="J687" s="4"/>
      <c r="K687" s="4"/>
      <c r="L687" s="4"/>
      <c r="M687" s="4"/>
      <c r="N687" s="4"/>
      <c r="O687" s="4"/>
      <c r="P687" s="4"/>
      <c r="Q687" s="4"/>
      <c r="R687" s="4"/>
    </row>
    <row r="688" spans="1:18" ht="17.399999999999999" x14ac:dyDescent="0.25">
      <c r="A688" s="4"/>
      <c r="B688" s="23"/>
      <c r="C688" s="4"/>
      <c r="D688" s="4"/>
      <c r="E688" s="5"/>
      <c r="F688" s="4"/>
      <c r="G688" s="4"/>
      <c r="H688" s="4"/>
      <c r="I688" s="4"/>
      <c r="J688" s="4"/>
      <c r="K688" s="4"/>
      <c r="L688" s="4"/>
      <c r="M688" s="4"/>
      <c r="N688" s="4"/>
      <c r="O688" s="4"/>
      <c r="P688" s="4"/>
      <c r="Q688" s="4"/>
      <c r="R688" s="4"/>
    </row>
    <row r="689" spans="1:18" ht="17.399999999999999" x14ac:dyDescent="0.25">
      <c r="A689" s="4"/>
      <c r="B689" s="23"/>
      <c r="C689" s="4"/>
      <c r="D689" s="4"/>
      <c r="E689" s="5"/>
      <c r="F689" s="4"/>
      <c r="G689" s="4"/>
      <c r="H689" s="4"/>
      <c r="I689" s="4"/>
      <c r="J689" s="4"/>
      <c r="K689" s="4"/>
      <c r="L689" s="4"/>
      <c r="M689" s="4"/>
      <c r="N689" s="4"/>
      <c r="O689" s="4"/>
      <c r="P689" s="4"/>
      <c r="Q689" s="4"/>
      <c r="R689" s="4"/>
    </row>
    <row r="690" spans="1:18" ht="17.399999999999999" x14ac:dyDescent="0.25">
      <c r="A690" s="4"/>
      <c r="B690" s="23"/>
      <c r="C690" s="4"/>
      <c r="D690" s="4"/>
      <c r="E690" s="5"/>
      <c r="F690" s="4"/>
      <c r="G690" s="4"/>
      <c r="H690" s="4"/>
      <c r="I690" s="4"/>
      <c r="J690" s="4"/>
      <c r="K690" s="4"/>
      <c r="L690" s="4"/>
      <c r="M690" s="4"/>
      <c r="N690" s="4"/>
      <c r="O690" s="4"/>
      <c r="P690" s="4"/>
      <c r="Q690" s="4"/>
      <c r="R690" s="4"/>
    </row>
    <row r="691" spans="1:18" ht="17.399999999999999" x14ac:dyDescent="0.25">
      <c r="A691" s="4"/>
      <c r="B691" s="23"/>
      <c r="C691" s="4"/>
      <c r="D691" s="4"/>
      <c r="E691" s="5"/>
      <c r="F691" s="4"/>
      <c r="G691" s="4"/>
      <c r="H691" s="4"/>
      <c r="I691" s="4"/>
      <c r="J691" s="4"/>
      <c r="K691" s="4"/>
      <c r="L691" s="4"/>
      <c r="M691" s="4"/>
      <c r="N691" s="4"/>
      <c r="O691" s="4"/>
      <c r="P691" s="4"/>
      <c r="Q691" s="4"/>
      <c r="R691" s="4"/>
    </row>
    <row r="692" spans="1:18" ht="17.399999999999999" x14ac:dyDescent="0.25">
      <c r="A692" s="4"/>
      <c r="B692" s="23"/>
      <c r="C692" s="4"/>
      <c r="D692" s="4"/>
      <c r="E692" s="5"/>
      <c r="F692" s="4"/>
      <c r="G692" s="4"/>
      <c r="H692" s="4"/>
      <c r="I692" s="4"/>
      <c r="J692" s="4"/>
      <c r="K692" s="4"/>
      <c r="L692" s="4"/>
      <c r="M692" s="4"/>
      <c r="N692" s="4"/>
      <c r="O692" s="4"/>
      <c r="P692" s="4"/>
      <c r="Q692" s="4"/>
      <c r="R692" s="4"/>
    </row>
    <row r="693" spans="1:18" ht="17.399999999999999" x14ac:dyDescent="0.25">
      <c r="A693" s="4"/>
      <c r="B693" s="23"/>
      <c r="C693" s="4"/>
      <c r="D693" s="4"/>
      <c r="E693" s="5"/>
      <c r="F693" s="4"/>
      <c r="G693" s="4"/>
      <c r="H693" s="4"/>
      <c r="I693" s="4"/>
      <c r="J693" s="4"/>
      <c r="K693" s="4"/>
      <c r="L693" s="4"/>
      <c r="M693" s="4"/>
      <c r="N693" s="4"/>
      <c r="O693" s="4"/>
      <c r="P693" s="4"/>
      <c r="Q693" s="4"/>
      <c r="R693" s="4"/>
    </row>
    <row r="694" spans="1:18" ht="17.399999999999999" x14ac:dyDescent="0.25">
      <c r="A694" s="4"/>
      <c r="B694" s="23"/>
      <c r="C694" s="4"/>
      <c r="D694" s="4"/>
      <c r="E694" s="5"/>
      <c r="F694" s="4"/>
      <c r="G694" s="4"/>
      <c r="H694" s="4"/>
      <c r="I694" s="4"/>
      <c r="J694" s="4"/>
      <c r="K694" s="4"/>
      <c r="L694" s="4"/>
      <c r="M694" s="4"/>
      <c r="N694" s="4"/>
      <c r="O694" s="4"/>
      <c r="P694" s="4"/>
      <c r="Q694" s="4"/>
      <c r="R694" s="4"/>
    </row>
    <row r="695" spans="1:18" ht="17.399999999999999" x14ac:dyDescent="0.25">
      <c r="A695" s="4"/>
      <c r="B695" s="23"/>
      <c r="C695" s="4"/>
      <c r="D695" s="4"/>
      <c r="E695" s="5"/>
      <c r="F695" s="4"/>
      <c r="G695" s="4"/>
      <c r="H695" s="4"/>
      <c r="I695" s="4"/>
      <c r="J695" s="4"/>
      <c r="K695" s="4"/>
      <c r="L695" s="4"/>
      <c r="M695" s="4"/>
      <c r="N695" s="4"/>
      <c r="O695" s="4"/>
      <c r="P695" s="4"/>
      <c r="Q695" s="4"/>
      <c r="R695" s="4"/>
    </row>
    <row r="696" spans="1:18" ht="17.399999999999999" x14ac:dyDescent="0.25">
      <c r="A696" s="4"/>
      <c r="B696" s="23"/>
      <c r="C696" s="4"/>
      <c r="D696" s="4"/>
      <c r="E696" s="5"/>
      <c r="F696" s="4"/>
      <c r="G696" s="4"/>
      <c r="H696" s="4"/>
      <c r="I696" s="4"/>
      <c r="J696" s="4"/>
      <c r="K696" s="4"/>
      <c r="L696" s="4"/>
      <c r="M696" s="4"/>
      <c r="N696" s="4"/>
      <c r="O696" s="4"/>
      <c r="P696" s="4"/>
      <c r="Q696" s="4"/>
      <c r="R696" s="4"/>
    </row>
    <row r="697" spans="1:18" ht="17.399999999999999" x14ac:dyDescent="0.25">
      <c r="A697" s="4"/>
      <c r="B697" s="23"/>
      <c r="C697" s="4"/>
      <c r="D697" s="4"/>
      <c r="E697" s="5"/>
      <c r="F697" s="4"/>
      <c r="G697" s="4"/>
      <c r="H697" s="4"/>
      <c r="I697" s="4"/>
      <c r="J697" s="4"/>
      <c r="K697" s="4"/>
      <c r="L697" s="4"/>
      <c r="M697" s="4"/>
      <c r="N697" s="4"/>
      <c r="O697" s="4"/>
      <c r="P697" s="4"/>
      <c r="Q697" s="4"/>
      <c r="R697" s="4"/>
    </row>
    <row r="698" spans="1:18" ht="17.399999999999999" x14ac:dyDescent="0.25">
      <c r="A698" s="4"/>
      <c r="B698" s="23"/>
      <c r="C698" s="4"/>
      <c r="D698" s="4"/>
      <c r="E698" s="5"/>
      <c r="F698" s="4"/>
      <c r="G698" s="4"/>
      <c r="H698" s="4"/>
      <c r="I698" s="4"/>
      <c r="J698" s="4"/>
      <c r="K698" s="4"/>
      <c r="L698" s="4"/>
      <c r="M698" s="4"/>
      <c r="N698" s="4"/>
      <c r="O698" s="4"/>
      <c r="P698" s="4"/>
      <c r="Q698" s="4"/>
      <c r="R698" s="4"/>
    </row>
    <row r="699" spans="1:18" ht="17.399999999999999" x14ac:dyDescent="0.25">
      <c r="A699" s="4"/>
      <c r="B699" s="23"/>
      <c r="C699" s="4"/>
      <c r="D699" s="4"/>
      <c r="E699" s="5"/>
      <c r="F699" s="4"/>
      <c r="G699" s="4"/>
      <c r="H699" s="4"/>
      <c r="I699" s="4"/>
      <c r="J699" s="4"/>
      <c r="K699" s="4"/>
      <c r="L699" s="4"/>
      <c r="M699" s="4"/>
      <c r="N699" s="4"/>
      <c r="O699" s="4"/>
      <c r="P699" s="4"/>
      <c r="Q699" s="4"/>
      <c r="R699" s="4"/>
    </row>
    <row r="700" spans="1:18" ht="17.399999999999999" x14ac:dyDescent="0.25">
      <c r="A700" s="4"/>
      <c r="B700" s="23"/>
      <c r="C700" s="4"/>
      <c r="D700" s="4"/>
      <c r="E700" s="5"/>
      <c r="F700" s="4"/>
      <c r="G700" s="4"/>
      <c r="H700" s="4"/>
      <c r="I700" s="4"/>
      <c r="J700" s="4"/>
      <c r="K700" s="4"/>
      <c r="L700" s="4"/>
      <c r="M700" s="4"/>
      <c r="N700" s="4"/>
      <c r="O700" s="4"/>
      <c r="P700" s="4"/>
      <c r="Q700" s="4"/>
      <c r="R700" s="4"/>
    </row>
    <row r="701" spans="1:18" ht="17.399999999999999" x14ac:dyDescent="0.25">
      <c r="A701" s="4"/>
      <c r="B701" s="23"/>
      <c r="C701" s="4"/>
      <c r="D701" s="4"/>
      <c r="E701" s="5"/>
      <c r="F701" s="4"/>
      <c r="G701" s="4"/>
      <c r="H701" s="4"/>
      <c r="I701" s="4"/>
      <c r="J701" s="4"/>
      <c r="K701" s="4"/>
      <c r="L701" s="4"/>
      <c r="M701" s="4"/>
      <c r="N701" s="4"/>
      <c r="O701" s="4"/>
      <c r="P701" s="4"/>
      <c r="Q701" s="4"/>
      <c r="R701" s="4"/>
    </row>
    <row r="702" spans="1:18" ht="17.399999999999999" x14ac:dyDescent="0.25">
      <c r="A702" s="4"/>
      <c r="B702" s="23"/>
      <c r="C702" s="4"/>
      <c r="D702" s="4"/>
      <c r="E702" s="5"/>
      <c r="F702" s="4"/>
      <c r="G702" s="4"/>
      <c r="H702" s="4"/>
      <c r="I702" s="4"/>
      <c r="J702" s="4"/>
      <c r="K702" s="4"/>
      <c r="L702" s="4"/>
      <c r="M702" s="4"/>
      <c r="N702" s="4"/>
      <c r="O702" s="4"/>
      <c r="P702" s="4"/>
      <c r="Q702" s="4"/>
      <c r="R702" s="4"/>
    </row>
    <row r="703" spans="1:18" ht="17.399999999999999" x14ac:dyDescent="0.25">
      <c r="A703" s="4"/>
      <c r="B703" s="23"/>
      <c r="C703" s="4"/>
      <c r="D703" s="4"/>
      <c r="E703" s="5"/>
      <c r="F703" s="4"/>
      <c r="G703" s="4"/>
      <c r="H703" s="4"/>
      <c r="I703" s="4"/>
      <c r="J703" s="4"/>
      <c r="K703" s="4"/>
      <c r="L703" s="4"/>
      <c r="M703" s="4"/>
      <c r="N703" s="4"/>
      <c r="O703" s="4"/>
      <c r="P703" s="4"/>
      <c r="Q703" s="4"/>
      <c r="R703" s="4"/>
    </row>
    <row r="704" spans="1:18" ht="17.399999999999999" x14ac:dyDescent="0.25">
      <c r="A704" s="4"/>
      <c r="B704" s="23"/>
      <c r="C704" s="4"/>
      <c r="D704" s="4"/>
      <c r="E704" s="5"/>
      <c r="F704" s="4"/>
      <c r="G704" s="4"/>
      <c r="H704" s="4"/>
      <c r="I704" s="4"/>
      <c r="J704" s="4"/>
      <c r="K704" s="4"/>
      <c r="L704" s="4"/>
      <c r="M704" s="4"/>
      <c r="N704" s="4"/>
      <c r="O704" s="4"/>
      <c r="P704" s="4"/>
      <c r="Q704" s="4"/>
      <c r="R704" s="4"/>
    </row>
    <row r="705" spans="1:18" ht="17.399999999999999" x14ac:dyDescent="0.25">
      <c r="A705" s="4"/>
      <c r="B705" s="23"/>
      <c r="C705" s="4"/>
      <c r="D705" s="4"/>
      <c r="E705" s="5"/>
      <c r="F705" s="4"/>
      <c r="G705" s="4"/>
      <c r="H705" s="4"/>
      <c r="I705" s="4"/>
      <c r="J705" s="4"/>
      <c r="K705" s="4"/>
      <c r="L705" s="4"/>
      <c r="M705" s="4"/>
      <c r="N705" s="4"/>
      <c r="O705" s="4"/>
      <c r="P705" s="4"/>
      <c r="Q705" s="4"/>
      <c r="R705" s="4"/>
    </row>
    <row r="706" spans="1:18" ht="17.399999999999999" x14ac:dyDescent="0.25">
      <c r="A706" s="4"/>
      <c r="B706" s="23"/>
      <c r="C706" s="4"/>
      <c r="D706" s="4"/>
      <c r="E706" s="5"/>
      <c r="F706" s="4"/>
      <c r="G706" s="4"/>
      <c r="H706" s="4"/>
      <c r="I706" s="4"/>
      <c r="J706" s="4"/>
      <c r="K706" s="4"/>
      <c r="L706" s="4"/>
      <c r="M706" s="4"/>
      <c r="N706" s="4"/>
      <c r="O706" s="4"/>
      <c r="P706" s="4"/>
      <c r="Q706" s="4"/>
      <c r="R706" s="4"/>
    </row>
    <row r="707" spans="1:18" ht="17.399999999999999" x14ac:dyDescent="0.25">
      <c r="A707" s="4"/>
      <c r="B707" s="23"/>
      <c r="C707" s="4"/>
      <c r="D707" s="4"/>
      <c r="E707" s="5"/>
      <c r="F707" s="4"/>
      <c r="G707" s="4"/>
      <c r="H707" s="4"/>
      <c r="I707" s="4"/>
      <c r="J707" s="4"/>
      <c r="K707" s="4"/>
      <c r="L707" s="4"/>
      <c r="M707" s="4"/>
      <c r="N707" s="4"/>
      <c r="O707" s="4"/>
      <c r="P707" s="4"/>
      <c r="Q707" s="4"/>
      <c r="R707" s="4"/>
    </row>
    <row r="708" spans="1:18" ht="17.399999999999999" x14ac:dyDescent="0.25">
      <c r="A708" s="4"/>
      <c r="B708" s="23"/>
      <c r="C708" s="4"/>
      <c r="D708" s="4"/>
      <c r="E708" s="5"/>
      <c r="F708" s="4"/>
      <c r="G708" s="4"/>
      <c r="H708" s="4"/>
      <c r="I708" s="4"/>
      <c r="J708" s="4"/>
      <c r="K708" s="4"/>
      <c r="L708" s="4"/>
      <c r="M708" s="4"/>
      <c r="N708" s="4"/>
      <c r="O708" s="4"/>
      <c r="P708" s="4"/>
      <c r="Q708" s="4"/>
      <c r="R708" s="4"/>
    </row>
    <row r="709" spans="1:18" ht="17.399999999999999" x14ac:dyDescent="0.25">
      <c r="A709" s="4"/>
      <c r="B709" s="23"/>
      <c r="C709" s="4"/>
      <c r="D709" s="4"/>
      <c r="E709" s="5"/>
      <c r="F709" s="4"/>
      <c r="G709" s="4"/>
      <c r="H709" s="4"/>
      <c r="I709" s="4"/>
      <c r="J709" s="4"/>
      <c r="K709" s="4"/>
      <c r="L709" s="4"/>
      <c r="M709" s="4"/>
      <c r="N709" s="4"/>
      <c r="O709" s="4"/>
      <c r="P709" s="4"/>
      <c r="Q709" s="4"/>
      <c r="R709" s="4"/>
    </row>
    <row r="710" spans="1:18" ht="17.399999999999999" x14ac:dyDescent="0.25">
      <c r="A710" s="4"/>
      <c r="B710" s="23"/>
      <c r="C710" s="4"/>
      <c r="D710" s="4"/>
      <c r="E710" s="5"/>
      <c r="F710" s="4"/>
      <c r="G710" s="4"/>
      <c r="H710" s="4"/>
      <c r="I710" s="4"/>
      <c r="J710" s="4"/>
      <c r="K710" s="4"/>
      <c r="L710" s="4"/>
      <c r="M710" s="4"/>
      <c r="N710" s="4"/>
      <c r="O710" s="4"/>
      <c r="P710" s="4"/>
      <c r="Q710" s="4"/>
      <c r="R710" s="4"/>
    </row>
    <row r="711" spans="1:18" ht="17.399999999999999" x14ac:dyDescent="0.25">
      <c r="A711" s="4"/>
      <c r="B711" s="23"/>
      <c r="C711" s="4"/>
      <c r="D711" s="4"/>
      <c r="E711" s="5"/>
      <c r="F711" s="4"/>
      <c r="G711" s="4"/>
      <c r="H711" s="4"/>
      <c r="I711" s="4"/>
      <c r="J711" s="4"/>
      <c r="K711" s="4"/>
      <c r="L711" s="4"/>
      <c r="M711" s="4"/>
      <c r="N711" s="4"/>
      <c r="O711" s="4"/>
      <c r="P711" s="4"/>
      <c r="Q711" s="4"/>
      <c r="R711" s="4"/>
    </row>
    <row r="712" spans="1:18" ht="17.399999999999999" x14ac:dyDescent="0.25">
      <c r="A712" s="4"/>
      <c r="B712" s="23"/>
      <c r="C712" s="4"/>
      <c r="D712" s="4"/>
      <c r="E712" s="5"/>
      <c r="F712" s="4"/>
      <c r="G712" s="4"/>
      <c r="H712" s="4"/>
      <c r="I712" s="4"/>
      <c r="J712" s="4"/>
      <c r="K712" s="4"/>
      <c r="L712" s="4"/>
      <c r="M712" s="4"/>
      <c r="N712" s="4"/>
      <c r="O712" s="4"/>
      <c r="P712" s="4"/>
      <c r="Q712" s="4"/>
      <c r="R712" s="4"/>
    </row>
    <row r="713" spans="1:18" ht="17.399999999999999" x14ac:dyDescent="0.25">
      <c r="A713" s="4"/>
      <c r="B713" s="23"/>
      <c r="C713" s="4"/>
      <c r="D713" s="4"/>
      <c r="E713" s="5"/>
      <c r="F713" s="4"/>
      <c r="G713" s="4"/>
      <c r="H713" s="4"/>
      <c r="I713" s="4"/>
      <c r="J713" s="4"/>
      <c r="K713" s="4"/>
      <c r="L713" s="4"/>
      <c r="M713" s="4"/>
      <c r="N713" s="4"/>
      <c r="O713" s="4"/>
      <c r="P713" s="4"/>
      <c r="Q713" s="4"/>
      <c r="R713" s="4"/>
    </row>
    <row r="714" spans="1:18" ht="17.399999999999999" x14ac:dyDescent="0.25">
      <c r="A714" s="4"/>
      <c r="B714" s="23"/>
      <c r="C714" s="4"/>
      <c r="D714" s="4"/>
      <c r="E714" s="5"/>
      <c r="F714" s="4"/>
      <c r="G714" s="4"/>
      <c r="H714" s="4"/>
      <c r="I714" s="4"/>
      <c r="J714" s="4"/>
      <c r="K714" s="4"/>
      <c r="L714" s="4"/>
      <c r="M714" s="4"/>
      <c r="N714" s="4"/>
      <c r="O714" s="4"/>
      <c r="P714" s="4"/>
      <c r="Q714" s="4"/>
      <c r="R714" s="4"/>
    </row>
    <row r="715" spans="1:18" ht="17.399999999999999" x14ac:dyDescent="0.25">
      <c r="A715" s="4"/>
      <c r="B715" s="23"/>
      <c r="C715" s="4"/>
      <c r="D715" s="4"/>
      <c r="E715" s="5"/>
      <c r="F715" s="4"/>
      <c r="G715" s="4"/>
      <c r="H715" s="4"/>
      <c r="I715" s="4"/>
      <c r="J715" s="4"/>
      <c r="K715" s="4"/>
      <c r="L715" s="4"/>
      <c r="M715" s="4"/>
      <c r="N715" s="4"/>
      <c r="O715" s="4"/>
      <c r="P715" s="4"/>
      <c r="Q715" s="4"/>
      <c r="R715" s="4"/>
    </row>
    <row r="716" spans="1:18" ht="17.399999999999999" x14ac:dyDescent="0.25">
      <c r="A716" s="4"/>
      <c r="B716" s="23"/>
      <c r="C716" s="4"/>
      <c r="D716" s="4"/>
      <c r="E716" s="5"/>
      <c r="F716" s="4"/>
      <c r="G716" s="4"/>
      <c r="H716" s="4"/>
      <c r="I716" s="4"/>
      <c r="J716" s="4"/>
      <c r="K716" s="4"/>
      <c r="L716" s="4"/>
      <c r="M716" s="4"/>
      <c r="N716" s="4"/>
      <c r="O716" s="4"/>
      <c r="P716" s="4"/>
      <c r="Q716" s="4"/>
      <c r="R716" s="4"/>
    </row>
    <row r="717" spans="1:18" ht="17.399999999999999" x14ac:dyDescent="0.25">
      <c r="A717" s="4"/>
      <c r="B717" s="23"/>
      <c r="C717" s="4"/>
      <c r="D717" s="4"/>
      <c r="E717" s="5"/>
      <c r="F717" s="4"/>
      <c r="G717" s="4"/>
      <c r="H717" s="4"/>
      <c r="I717" s="4"/>
      <c r="J717" s="4"/>
      <c r="K717" s="4"/>
      <c r="L717" s="4"/>
      <c r="M717" s="4"/>
      <c r="N717" s="4"/>
      <c r="O717" s="4"/>
      <c r="P717" s="4"/>
      <c r="Q717" s="4"/>
      <c r="R717" s="4"/>
    </row>
    <row r="718" spans="1:18" ht="17.399999999999999" x14ac:dyDescent="0.25">
      <c r="A718" s="4"/>
      <c r="B718" s="23"/>
      <c r="C718" s="4"/>
      <c r="D718" s="4"/>
      <c r="E718" s="5"/>
      <c r="F718" s="4"/>
      <c r="G718" s="4"/>
      <c r="H718" s="4"/>
      <c r="I718" s="4"/>
      <c r="J718" s="4"/>
      <c r="K718" s="4"/>
      <c r="L718" s="4"/>
      <c r="M718" s="4"/>
      <c r="N718" s="4"/>
      <c r="O718" s="4"/>
      <c r="P718" s="4"/>
      <c r="Q718" s="4"/>
      <c r="R718" s="4"/>
    </row>
    <row r="719" spans="1:18" ht="17.399999999999999" x14ac:dyDescent="0.25">
      <c r="A719" s="4"/>
      <c r="B719" s="23"/>
      <c r="C719" s="4"/>
      <c r="D719" s="4"/>
      <c r="E719" s="5"/>
      <c r="F719" s="4"/>
      <c r="G719" s="4"/>
      <c r="H719" s="4"/>
      <c r="I719" s="4"/>
      <c r="J719" s="4"/>
      <c r="K719" s="4"/>
      <c r="L719" s="4"/>
      <c r="M719" s="4"/>
      <c r="N719" s="4"/>
      <c r="O719" s="4"/>
      <c r="P719" s="4"/>
      <c r="Q719" s="4"/>
      <c r="R719" s="4"/>
    </row>
    <row r="720" spans="1:18" ht="17.399999999999999" x14ac:dyDescent="0.25">
      <c r="A720" s="4"/>
      <c r="B720" s="23"/>
      <c r="C720" s="4"/>
      <c r="D720" s="4"/>
      <c r="E720" s="5"/>
      <c r="F720" s="4"/>
      <c r="G720" s="4"/>
      <c r="H720" s="4"/>
      <c r="I720" s="4"/>
      <c r="J720" s="4"/>
      <c r="K720" s="4"/>
      <c r="L720" s="4"/>
      <c r="M720" s="4"/>
      <c r="N720" s="4"/>
      <c r="O720" s="4"/>
      <c r="P720" s="4"/>
      <c r="Q720" s="4"/>
      <c r="R720" s="4"/>
    </row>
    <row r="721" spans="1:18" ht="17.399999999999999" x14ac:dyDescent="0.25">
      <c r="A721" s="4"/>
      <c r="B721" s="23"/>
      <c r="C721" s="4"/>
      <c r="D721" s="4"/>
      <c r="E721" s="5"/>
      <c r="F721" s="4"/>
      <c r="G721" s="4"/>
      <c r="H721" s="4"/>
      <c r="I721" s="4"/>
      <c r="J721" s="4"/>
      <c r="K721" s="4"/>
      <c r="L721" s="4"/>
      <c r="M721" s="4"/>
      <c r="N721" s="4"/>
      <c r="O721" s="4"/>
      <c r="P721" s="4"/>
      <c r="Q721" s="4"/>
      <c r="R721" s="4"/>
    </row>
    <row r="722" spans="1:18" ht="17.399999999999999" x14ac:dyDescent="0.25">
      <c r="A722" s="4"/>
      <c r="B722" s="23"/>
      <c r="C722" s="4"/>
      <c r="D722" s="4"/>
      <c r="E722" s="5"/>
      <c r="F722" s="4"/>
      <c r="G722" s="4"/>
      <c r="H722" s="4"/>
      <c r="I722" s="4"/>
      <c r="J722" s="4"/>
      <c r="K722" s="4"/>
      <c r="L722" s="4"/>
      <c r="M722" s="4"/>
      <c r="N722" s="4"/>
      <c r="O722" s="4"/>
      <c r="P722" s="4"/>
      <c r="Q722" s="4"/>
      <c r="R722" s="4"/>
    </row>
    <row r="723" spans="1:18" ht="17.399999999999999" x14ac:dyDescent="0.25">
      <c r="A723" s="4"/>
      <c r="B723" s="23"/>
      <c r="C723" s="4"/>
      <c r="D723" s="4"/>
      <c r="E723" s="5"/>
      <c r="F723" s="4"/>
      <c r="G723" s="4"/>
      <c r="H723" s="4"/>
      <c r="I723" s="4"/>
      <c r="J723" s="4"/>
      <c r="K723" s="4"/>
      <c r="L723" s="4"/>
      <c r="M723" s="4"/>
      <c r="N723" s="4"/>
      <c r="O723" s="4"/>
      <c r="P723" s="4"/>
      <c r="Q723" s="4"/>
      <c r="R723" s="4"/>
    </row>
    <row r="724" spans="1:18" ht="17.399999999999999" x14ac:dyDescent="0.25">
      <c r="A724" s="4"/>
      <c r="B724" s="23"/>
      <c r="C724" s="4"/>
      <c r="D724" s="4"/>
      <c r="E724" s="5"/>
      <c r="F724" s="4"/>
      <c r="G724" s="4"/>
      <c r="H724" s="4"/>
      <c r="I724" s="4"/>
      <c r="J724" s="4"/>
      <c r="K724" s="4"/>
      <c r="L724" s="4"/>
      <c r="M724" s="4"/>
      <c r="N724" s="4"/>
      <c r="O724" s="4"/>
      <c r="P724" s="4"/>
      <c r="Q724" s="4"/>
      <c r="R724" s="4"/>
    </row>
    <row r="725" spans="1:18" ht="17.399999999999999" x14ac:dyDescent="0.25">
      <c r="A725" s="4"/>
      <c r="B725" s="23"/>
      <c r="C725" s="4"/>
      <c r="D725" s="4"/>
      <c r="E725" s="5"/>
      <c r="F725" s="4"/>
      <c r="G725" s="4"/>
      <c r="H725" s="4"/>
      <c r="I725" s="4"/>
      <c r="J725" s="4"/>
      <c r="K725" s="4"/>
      <c r="L725" s="4"/>
      <c r="M725" s="4"/>
      <c r="N725" s="4"/>
      <c r="O725" s="4"/>
      <c r="P725" s="4"/>
      <c r="Q725" s="4"/>
      <c r="R725" s="4"/>
    </row>
    <row r="726" spans="1:18" ht="17.399999999999999" x14ac:dyDescent="0.25">
      <c r="A726" s="4"/>
      <c r="B726" s="23"/>
      <c r="C726" s="4"/>
      <c r="D726" s="4"/>
      <c r="E726" s="5"/>
      <c r="F726" s="4"/>
      <c r="G726" s="4"/>
      <c r="H726" s="4"/>
      <c r="I726" s="4"/>
      <c r="J726" s="4"/>
      <c r="K726" s="4"/>
      <c r="L726" s="4"/>
      <c r="M726" s="4"/>
      <c r="N726" s="4"/>
      <c r="O726" s="4"/>
      <c r="P726" s="4"/>
      <c r="Q726" s="4"/>
      <c r="R726" s="4"/>
    </row>
    <row r="727" spans="1:18" ht="17.399999999999999" x14ac:dyDescent="0.25">
      <c r="A727" s="4"/>
      <c r="B727" s="23"/>
      <c r="C727" s="4"/>
      <c r="D727" s="4"/>
      <c r="E727" s="5"/>
      <c r="F727" s="4"/>
      <c r="G727" s="4"/>
      <c r="H727" s="4"/>
      <c r="I727" s="4"/>
      <c r="J727" s="4"/>
      <c r="K727" s="4"/>
      <c r="L727" s="4"/>
      <c r="M727" s="4"/>
      <c r="N727" s="4"/>
      <c r="O727" s="4"/>
      <c r="P727" s="4"/>
      <c r="Q727" s="4"/>
      <c r="R727" s="4"/>
    </row>
    <row r="728" spans="1:18" ht="17.399999999999999" x14ac:dyDescent="0.25">
      <c r="A728" s="4"/>
      <c r="B728" s="23"/>
      <c r="C728" s="4"/>
      <c r="D728" s="4"/>
      <c r="E728" s="5"/>
      <c r="F728" s="4"/>
      <c r="G728" s="4"/>
      <c r="H728" s="4"/>
      <c r="I728" s="4"/>
      <c r="J728" s="4"/>
      <c r="K728" s="4"/>
      <c r="L728" s="4"/>
      <c r="M728" s="4"/>
      <c r="N728" s="4"/>
      <c r="O728" s="4"/>
      <c r="P728" s="4"/>
      <c r="Q728" s="4"/>
      <c r="R728" s="4"/>
    </row>
    <row r="729" spans="1:18" ht="17.399999999999999" x14ac:dyDescent="0.25">
      <c r="A729" s="4"/>
      <c r="B729" s="23"/>
      <c r="C729" s="4"/>
      <c r="D729" s="4"/>
      <c r="E729" s="5"/>
      <c r="F729" s="4"/>
      <c r="G729" s="4"/>
      <c r="H729" s="4"/>
      <c r="I729" s="4"/>
      <c r="J729" s="4"/>
      <c r="K729" s="4"/>
      <c r="L729" s="4"/>
      <c r="M729" s="4"/>
      <c r="N729" s="4"/>
      <c r="O729" s="4"/>
      <c r="P729" s="4"/>
      <c r="Q729" s="4"/>
      <c r="R729" s="4"/>
    </row>
    <row r="730" spans="1:18" ht="17.399999999999999" x14ac:dyDescent="0.25">
      <c r="A730" s="4"/>
      <c r="B730" s="23"/>
      <c r="C730" s="4"/>
      <c r="D730" s="4"/>
      <c r="E730" s="5"/>
      <c r="F730" s="4"/>
      <c r="G730" s="4"/>
      <c r="H730" s="4"/>
      <c r="I730" s="4"/>
      <c r="J730" s="4"/>
      <c r="K730" s="4"/>
      <c r="L730" s="4"/>
      <c r="M730" s="4"/>
      <c r="N730" s="4"/>
      <c r="O730" s="4"/>
      <c r="P730" s="4"/>
      <c r="Q730" s="4"/>
      <c r="R730" s="4"/>
    </row>
    <row r="731" spans="1:18" ht="17.399999999999999" x14ac:dyDescent="0.25">
      <c r="A731" s="4"/>
      <c r="B731" s="23"/>
      <c r="C731" s="4"/>
      <c r="D731" s="4"/>
      <c r="E731" s="5"/>
      <c r="F731" s="4"/>
      <c r="G731" s="4"/>
      <c r="H731" s="4"/>
      <c r="I731" s="4"/>
      <c r="J731" s="4"/>
      <c r="K731" s="4"/>
      <c r="L731" s="4"/>
      <c r="M731" s="4"/>
      <c r="N731" s="4"/>
      <c r="O731" s="4"/>
      <c r="P731" s="4"/>
      <c r="Q731" s="4"/>
      <c r="R731" s="4"/>
    </row>
    <row r="732" spans="1:18" ht="17.399999999999999" x14ac:dyDescent="0.25">
      <c r="A732" s="4"/>
      <c r="B732" s="23"/>
      <c r="C732" s="4"/>
      <c r="D732" s="4"/>
      <c r="E732" s="5"/>
      <c r="F732" s="4"/>
      <c r="G732" s="4"/>
      <c r="H732" s="4"/>
      <c r="I732" s="4"/>
      <c r="J732" s="4"/>
      <c r="K732" s="4"/>
      <c r="L732" s="4"/>
      <c r="M732" s="4"/>
      <c r="N732" s="4"/>
      <c r="O732" s="4"/>
      <c r="P732" s="4"/>
      <c r="Q732" s="4"/>
      <c r="R732" s="4"/>
    </row>
    <row r="733" spans="1:18" ht="17.399999999999999" x14ac:dyDescent="0.25">
      <c r="A733" s="4"/>
      <c r="B733" s="23"/>
      <c r="C733" s="4"/>
      <c r="D733" s="4"/>
      <c r="E733" s="5"/>
      <c r="F733" s="4"/>
      <c r="G733" s="4"/>
      <c r="H733" s="4"/>
      <c r="I733" s="4"/>
      <c r="J733" s="4"/>
      <c r="K733" s="4"/>
      <c r="L733" s="4"/>
      <c r="M733" s="4"/>
      <c r="N733" s="4"/>
      <c r="O733" s="4"/>
      <c r="P733" s="4"/>
      <c r="Q733" s="4"/>
      <c r="R733" s="4"/>
    </row>
    <row r="734" spans="1:18" ht="17.399999999999999" x14ac:dyDescent="0.25">
      <c r="A734" s="4"/>
      <c r="B734" s="23"/>
      <c r="C734" s="4"/>
      <c r="D734" s="4"/>
      <c r="E734" s="5"/>
      <c r="F734" s="4"/>
      <c r="G734" s="4"/>
      <c r="H734" s="4"/>
      <c r="I734" s="4"/>
      <c r="J734" s="4"/>
      <c r="K734" s="4"/>
      <c r="L734" s="4"/>
      <c r="M734" s="4"/>
      <c r="N734" s="4"/>
      <c r="O734" s="4"/>
      <c r="P734" s="4"/>
      <c r="Q734" s="4"/>
      <c r="R734" s="4"/>
    </row>
    <row r="735" spans="1:18" ht="17.399999999999999" x14ac:dyDescent="0.25">
      <c r="A735" s="4"/>
      <c r="B735" s="23"/>
      <c r="C735" s="4"/>
      <c r="D735" s="4"/>
      <c r="E735" s="5"/>
      <c r="F735" s="4"/>
      <c r="G735" s="4"/>
      <c r="H735" s="4"/>
      <c r="I735" s="4"/>
      <c r="J735" s="4"/>
      <c r="K735" s="4"/>
      <c r="L735" s="4"/>
      <c r="M735" s="4"/>
      <c r="N735" s="4"/>
      <c r="O735" s="4"/>
      <c r="P735" s="4"/>
      <c r="Q735" s="4"/>
      <c r="R735" s="4"/>
    </row>
    <row r="736" spans="1:18" ht="17.399999999999999" x14ac:dyDescent="0.25">
      <c r="A736" s="4"/>
      <c r="B736" s="23"/>
      <c r="C736" s="4"/>
      <c r="D736" s="4"/>
      <c r="E736" s="5"/>
      <c r="F736" s="4"/>
      <c r="G736" s="4"/>
      <c r="H736" s="4"/>
      <c r="I736" s="4"/>
      <c r="J736" s="4"/>
      <c r="K736" s="4"/>
      <c r="L736" s="4"/>
      <c r="M736" s="4"/>
      <c r="N736" s="4"/>
      <c r="O736" s="4"/>
      <c r="P736" s="4"/>
      <c r="Q736" s="4"/>
      <c r="R736" s="4"/>
    </row>
    <row r="737" spans="1:18" ht="17.399999999999999" x14ac:dyDescent="0.25">
      <c r="A737" s="4"/>
      <c r="B737" s="23"/>
      <c r="C737" s="4"/>
      <c r="D737" s="4"/>
      <c r="E737" s="5"/>
      <c r="F737" s="4"/>
      <c r="G737" s="4"/>
      <c r="H737" s="4"/>
      <c r="I737" s="4"/>
      <c r="J737" s="4"/>
      <c r="K737" s="4"/>
      <c r="L737" s="4"/>
      <c r="M737" s="4"/>
      <c r="N737" s="4"/>
      <c r="O737" s="4"/>
      <c r="P737" s="4"/>
      <c r="Q737" s="4"/>
      <c r="R737" s="4"/>
    </row>
    <row r="738" spans="1:18" ht="17.399999999999999" x14ac:dyDescent="0.25">
      <c r="A738" s="4"/>
      <c r="B738" s="23"/>
      <c r="C738" s="4"/>
      <c r="D738" s="4"/>
      <c r="E738" s="5"/>
      <c r="F738" s="4"/>
      <c r="G738" s="4"/>
      <c r="H738" s="4"/>
      <c r="I738" s="4"/>
      <c r="J738" s="4"/>
      <c r="K738" s="4"/>
      <c r="L738" s="4"/>
      <c r="M738" s="4"/>
      <c r="N738" s="4"/>
      <c r="O738" s="4"/>
      <c r="P738" s="4"/>
      <c r="Q738" s="4"/>
      <c r="R738" s="4"/>
    </row>
    <row r="739" spans="1:18" ht="17.399999999999999" x14ac:dyDescent="0.25">
      <c r="A739" s="4"/>
      <c r="B739" s="23"/>
      <c r="C739" s="4"/>
      <c r="D739" s="4"/>
      <c r="E739" s="5"/>
      <c r="F739" s="4"/>
      <c r="G739" s="4"/>
      <c r="H739" s="4"/>
      <c r="I739" s="4"/>
      <c r="J739" s="4"/>
      <c r="K739" s="4"/>
      <c r="L739" s="4"/>
      <c r="M739" s="4"/>
      <c r="N739" s="4"/>
      <c r="O739" s="4"/>
      <c r="P739" s="4"/>
      <c r="Q739" s="4"/>
      <c r="R739" s="4"/>
    </row>
    <row r="740" spans="1:18" ht="17.399999999999999" x14ac:dyDescent="0.25">
      <c r="A740" s="4"/>
      <c r="B740" s="23"/>
      <c r="C740" s="4"/>
      <c r="D740" s="4"/>
      <c r="E740" s="5"/>
      <c r="F740" s="4"/>
      <c r="G740" s="4"/>
      <c r="H740" s="4"/>
      <c r="I740" s="4"/>
      <c r="J740" s="4"/>
      <c r="K740" s="4"/>
      <c r="L740" s="4"/>
      <c r="M740" s="4"/>
      <c r="N740" s="4"/>
      <c r="O740" s="4"/>
      <c r="P740" s="4"/>
      <c r="Q740" s="4"/>
      <c r="R740" s="4"/>
    </row>
    <row r="741" spans="1:18" ht="17.399999999999999" x14ac:dyDescent="0.25">
      <c r="A741" s="4"/>
      <c r="B741" s="23"/>
      <c r="C741" s="4"/>
      <c r="D741" s="4"/>
      <c r="E741" s="5"/>
      <c r="F741" s="4"/>
      <c r="G741" s="4"/>
      <c r="H741" s="4"/>
      <c r="I741" s="4"/>
      <c r="J741" s="4"/>
      <c r="K741" s="4"/>
      <c r="L741" s="4"/>
      <c r="M741" s="4"/>
      <c r="N741" s="4"/>
      <c r="O741" s="4"/>
      <c r="P741" s="4"/>
      <c r="Q741" s="4"/>
      <c r="R741" s="4"/>
    </row>
    <row r="742" spans="1:18" ht="17.399999999999999" x14ac:dyDescent="0.25">
      <c r="A742" s="4"/>
      <c r="B742" s="23"/>
      <c r="C742" s="4"/>
      <c r="D742" s="4"/>
      <c r="E742" s="5"/>
      <c r="F742" s="4"/>
      <c r="G742" s="4"/>
      <c r="H742" s="4"/>
      <c r="I742" s="4"/>
      <c r="J742" s="4"/>
      <c r="K742" s="4"/>
      <c r="L742" s="4"/>
      <c r="M742" s="4"/>
      <c r="N742" s="4"/>
      <c r="O742" s="4"/>
      <c r="P742" s="4"/>
      <c r="Q742" s="4"/>
      <c r="R742" s="4"/>
    </row>
    <row r="743" spans="1:18" ht="17.399999999999999" x14ac:dyDescent="0.25">
      <c r="A743" s="4"/>
      <c r="B743" s="23"/>
      <c r="C743" s="4"/>
      <c r="D743" s="4"/>
      <c r="E743" s="5"/>
      <c r="F743" s="4"/>
      <c r="G743" s="4"/>
      <c r="H743" s="4"/>
      <c r="I743" s="4"/>
      <c r="J743" s="4"/>
      <c r="K743" s="4"/>
      <c r="L743" s="4"/>
      <c r="M743" s="4"/>
      <c r="N743" s="4"/>
      <c r="O743" s="4"/>
      <c r="P743" s="4"/>
      <c r="Q743" s="4"/>
      <c r="R743" s="4"/>
    </row>
    <row r="744" spans="1:18" ht="17.399999999999999" x14ac:dyDescent="0.25">
      <c r="A744" s="4"/>
      <c r="B744" s="23"/>
      <c r="C744" s="4"/>
      <c r="D744" s="4"/>
      <c r="E744" s="5"/>
      <c r="F744" s="4"/>
      <c r="G744" s="4"/>
      <c r="H744" s="4"/>
      <c r="I744" s="4"/>
      <c r="J744" s="4"/>
      <c r="K744" s="4"/>
      <c r="L744" s="4"/>
      <c r="M744" s="4"/>
      <c r="N744" s="4"/>
      <c r="O744" s="4"/>
      <c r="P744" s="4"/>
      <c r="Q744" s="4"/>
      <c r="R744" s="4"/>
    </row>
    <row r="745" spans="1:18" ht="17.399999999999999" x14ac:dyDescent="0.25">
      <c r="A745" s="4"/>
      <c r="B745" s="23"/>
      <c r="C745" s="4"/>
      <c r="D745" s="4"/>
      <c r="E745" s="5"/>
      <c r="F745" s="4"/>
      <c r="G745" s="4"/>
      <c r="H745" s="4"/>
      <c r="I745" s="4"/>
      <c r="J745" s="4"/>
      <c r="K745" s="4"/>
      <c r="L745" s="4"/>
      <c r="M745" s="4"/>
      <c r="N745" s="4"/>
      <c r="O745" s="4"/>
      <c r="P745" s="4"/>
      <c r="Q745" s="4"/>
      <c r="R745" s="4"/>
    </row>
    <row r="746" spans="1:18" ht="17.399999999999999" x14ac:dyDescent="0.25">
      <c r="A746" s="4"/>
      <c r="B746" s="23"/>
      <c r="C746" s="4"/>
      <c r="D746" s="4"/>
      <c r="E746" s="5"/>
      <c r="F746" s="4"/>
      <c r="G746" s="4"/>
      <c r="H746" s="4"/>
      <c r="I746" s="4"/>
      <c r="J746" s="4"/>
      <c r="K746" s="4"/>
      <c r="L746" s="4"/>
      <c r="M746" s="4"/>
      <c r="N746" s="4"/>
      <c r="O746" s="4"/>
      <c r="P746" s="4"/>
      <c r="Q746" s="4"/>
      <c r="R746" s="4"/>
    </row>
    <row r="747" spans="1:18" ht="17.399999999999999" x14ac:dyDescent="0.25">
      <c r="A747" s="4"/>
      <c r="B747" s="23"/>
      <c r="C747" s="4"/>
      <c r="D747" s="4"/>
      <c r="E747" s="5"/>
      <c r="F747" s="4"/>
      <c r="G747" s="4"/>
      <c r="H747" s="4"/>
      <c r="I747" s="4"/>
      <c r="J747" s="4"/>
      <c r="K747" s="4"/>
      <c r="L747" s="4"/>
      <c r="M747" s="4"/>
      <c r="N747" s="4"/>
      <c r="O747" s="4"/>
      <c r="P747" s="4"/>
      <c r="Q747" s="4"/>
      <c r="R747" s="4"/>
    </row>
    <row r="748" spans="1:18" ht="17.399999999999999" x14ac:dyDescent="0.25">
      <c r="A748" s="4"/>
      <c r="B748" s="23"/>
      <c r="C748" s="4"/>
      <c r="D748" s="4"/>
      <c r="E748" s="5"/>
      <c r="F748" s="4"/>
      <c r="G748" s="4"/>
      <c r="H748" s="4"/>
      <c r="I748" s="4"/>
      <c r="J748" s="4"/>
      <c r="K748" s="4"/>
      <c r="L748" s="4"/>
      <c r="M748" s="4"/>
      <c r="N748" s="4"/>
      <c r="O748" s="4"/>
      <c r="P748" s="4"/>
      <c r="Q748" s="4"/>
      <c r="R748" s="4"/>
    </row>
    <row r="749" spans="1:18" ht="17.399999999999999" x14ac:dyDescent="0.25">
      <c r="A749" s="4"/>
      <c r="B749" s="23"/>
      <c r="C749" s="4"/>
      <c r="D749" s="4"/>
      <c r="E749" s="5"/>
      <c r="F749" s="4"/>
      <c r="G749" s="4"/>
      <c r="H749" s="4"/>
      <c r="I749" s="4"/>
      <c r="J749" s="4"/>
      <c r="K749" s="4"/>
      <c r="L749" s="4"/>
      <c r="M749" s="4"/>
      <c r="N749" s="4"/>
      <c r="O749" s="4"/>
      <c r="P749" s="4"/>
      <c r="Q749" s="4"/>
      <c r="R749" s="4"/>
    </row>
    <row r="750" spans="1:18" ht="17.399999999999999" x14ac:dyDescent="0.25">
      <c r="A750" s="4"/>
      <c r="B750" s="23"/>
      <c r="C750" s="4"/>
      <c r="D750" s="4"/>
      <c r="E750" s="5"/>
      <c r="F750" s="4"/>
      <c r="G750" s="4"/>
      <c r="H750" s="4"/>
      <c r="I750" s="4"/>
      <c r="J750" s="4"/>
      <c r="K750" s="4"/>
      <c r="L750" s="4"/>
      <c r="M750" s="4"/>
      <c r="N750" s="4"/>
      <c r="O750" s="4"/>
      <c r="P750" s="4"/>
      <c r="Q750" s="4"/>
      <c r="R750" s="4"/>
    </row>
    <row r="751" spans="1:18" ht="17.399999999999999" x14ac:dyDescent="0.25">
      <c r="A751" s="4"/>
      <c r="B751" s="23"/>
      <c r="C751" s="4"/>
      <c r="D751" s="4"/>
      <c r="E751" s="5"/>
      <c r="F751" s="4"/>
      <c r="G751" s="4"/>
      <c r="H751" s="4"/>
      <c r="I751" s="4"/>
      <c r="J751" s="4"/>
      <c r="K751" s="4"/>
      <c r="L751" s="4"/>
      <c r="M751" s="4"/>
      <c r="N751" s="4"/>
      <c r="O751" s="4"/>
      <c r="P751" s="4"/>
      <c r="Q751" s="4"/>
      <c r="R751" s="4"/>
    </row>
    <row r="752" spans="1:18" ht="17.399999999999999" x14ac:dyDescent="0.25">
      <c r="A752" s="4"/>
      <c r="B752" s="23"/>
      <c r="C752" s="4"/>
      <c r="D752" s="4"/>
      <c r="E752" s="5"/>
      <c r="F752" s="4"/>
      <c r="G752" s="4"/>
      <c r="H752" s="4"/>
      <c r="I752" s="4"/>
      <c r="J752" s="4"/>
      <c r="K752" s="4"/>
      <c r="L752" s="4"/>
      <c r="M752" s="4"/>
      <c r="N752" s="4"/>
      <c r="O752" s="4"/>
      <c r="P752" s="4"/>
      <c r="Q752" s="4"/>
      <c r="R752" s="4"/>
    </row>
    <row r="753" spans="1:18" ht="17.399999999999999" x14ac:dyDescent="0.25">
      <c r="A753" s="4"/>
      <c r="B753" s="23"/>
      <c r="C753" s="4"/>
      <c r="D753" s="4"/>
      <c r="E753" s="5"/>
      <c r="F753" s="4"/>
      <c r="G753" s="4"/>
      <c r="H753" s="4"/>
      <c r="I753" s="4"/>
      <c r="J753" s="4"/>
      <c r="K753" s="4"/>
      <c r="L753" s="4"/>
      <c r="M753" s="4"/>
      <c r="N753" s="4"/>
      <c r="O753" s="4"/>
      <c r="P753" s="4"/>
      <c r="Q753" s="4"/>
      <c r="R753" s="4"/>
    </row>
    <row r="754" spans="1:18" ht="17.399999999999999" x14ac:dyDescent="0.25">
      <c r="A754" s="4"/>
      <c r="B754" s="23"/>
      <c r="C754" s="4"/>
      <c r="D754" s="4"/>
      <c r="E754" s="5"/>
      <c r="F754" s="4"/>
      <c r="G754" s="4"/>
      <c r="H754" s="4"/>
      <c r="I754" s="4"/>
      <c r="J754" s="4"/>
      <c r="K754" s="4"/>
      <c r="L754" s="4"/>
      <c r="M754" s="4"/>
      <c r="N754" s="4"/>
      <c r="O754" s="4"/>
      <c r="P754" s="4"/>
      <c r="Q754" s="4"/>
      <c r="R754" s="4"/>
    </row>
    <row r="755" spans="1:18" ht="17.399999999999999" x14ac:dyDescent="0.25">
      <c r="A755" s="4"/>
      <c r="B755" s="23"/>
      <c r="C755" s="4"/>
      <c r="D755" s="4"/>
      <c r="E755" s="5"/>
      <c r="F755" s="4"/>
      <c r="G755" s="4"/>
      <c r="H755" s="4"/>
      <c r="I755" s="4"/>
      <c r="J755" s="4"/>
      <c r="K755" s="4"/>
      <c r="L755" s="4"/>
      <c r="M755" s="4"/>
      <c r="N755" s="4"/>
      <c r="O755" s="4"/>
      <c r="P755" s="4"/>
      <c r="Q755" s="4"/>
      <c r="R755" s="4"/>
    </row>
    <row r="756" spans="1:18" ht="17.399999999999999" x14ac:dyDescent="0.25">
      <c r="A756" s="4"/>
      <c r="B756" s="23"/>
      <c r="C756" s="4"/>
      <c r="D756" s="4"/>
      <c r="E756" s="5"/>
      <c r="F756" s="4"/>
      <c r="G756" s="4"/>
      <c r="H756" s="4"/>
      <c r="I756" s="4"/>
      <c r="J756" s="4"/>
      <c r="K756" s="4"/>
      <c r="L756" s="4"/>
      <c r="M756" s="4"/>
      <c r="N756" s="4"/>
      <c r="O756" s="4"/>
      <c r="P756" s="4"/>
      <c r="Q756" s="4"/>
      <c r="R756" s="4"/>
    </row>
    <row r="757" spans="1:18" ht="17.399999999999999" x14ac:dyDescent="0.25">
      <c r="A757" s="4"/>
      <c r="B757" s="23"/>
      <c r="C757" s="4"/>
      <c r="D757" s="4"/>
      <c r="E757" s="5"/>
      <c r="F757" s="4"/>
      <c r="G757" s="4"/>
      <c r="H757" s="4"/>
      <c r="I757" s="4"/>
      <c r="J757" s="4"/>
      <c r="K757" s="4"/>
      <c r="L757" s="4"/>
      <c r="M757" s="4"/>
      <c r="N757" s="4"/>
      <c r="O757" s="4"/>
      <c r="P757" s="4"/>
      <c r="Q757" s="4"/>
      <c r="R757" s="4"/>
    </row>
    <row r="758" spans="1:18" ht="17.399999999999999" x14ac:dyDescent="0.25">
      <c r="A758" s="4"/>
      <c r="B758" s="23"/>
      <c r="C758" s="4"/>
      <c r="D758" s="4"/>
      <c r="E758" s="5"/>
      <c r="F758" s="4"/>
      <c r="G758" s="4"/>
      <c r="H758" s="4"/>
      <c r="I758" s="4"/>
      <c r="J758" s="4"/>
      <c r="K758" s="4"/>
      <c r="L758" s="4"/>
      <c r="M758" s="4"/>
      <c r="N758" s="4"/>
      <c r="O758" s="4"/>
      <c r="P758" s="4"/>
      <c r="Q758" s="4"/>
      <c r="R758" s="4"/>
    </row>
    <row r="759" spans="1:18" ht="17.399999999999999" x14ac:dyDescent="0.25">
      <c r="A759" s="4"/>
      <c r="B759" s="23"/>
      <c r="C759" s="4"/>
      <c r="D759" s="4"/>
      <c r="E759" s="5"/>
      <c r="F759" s="4"/>
      <c r="G759" s="4"/>
      <c r="H759" s="4"/>
      <c r="I759" s="4"/>
      <c r="J759" s="4"/>
      <c r="K759" s="4"/>
      <c r="L759" s="4"/>
      <c r="M759" s="4"/>
      <c r="N759" s="4"/>
      <c r="O759" s="4"/>
      <c r="P759" s="4"/>
      <c r="Q759" s="4"/>
      <c r="R759" s="4"/>
    </row>
    <row r="760" spans="1:18" ht="17.399999999999999" x14ac:dyDescent="0.25">
      <c r="A760" s="4"/>
      <c r="B760" s="23"/>
      <c r="C760" s="4"/>
      <c r="D760" s="4"/>
      <c r="E760" s="5"/>
      <c r="F760" s="4"/>
      <c r="G760" s="4"/>
      <c r="H760" s="4"/>
      <c r="I760" s="4"/>
      <c r="J760" s="4"/>
      <c r="K760" s="4"/>
      <c r="L760" s="4"/>
      <c r="M760" s="4"/>
      <c r="N760" s="4"/>
      <c r="O760" s="4"/>
      <c r="P760" s="4"/>
      <c r="Q760" s="4"/>
      <c r="R760" s="4"/>
    </row>
    <row r="761" spans="1:18" ht="17.399999999999999" x14ac:dyDescent="0.25">
      <c r="A761" s="4"/>
      <c r="B761" s="23"/>
      <c r="C761" s="4"/>
      <c r="D761" s="4"/>
      <c r="E761" s="5"/>
      <c r="F761" s="4"/>
      <c r="G761" s="4"/>
      <c r="H761" s="4"/>
      <c r="I761" s="4"/>
      <c r="J761" s="4"/>
      <c r="K761" s="4"/>
      <c r="L761" s="4"/>
      <c r="M761" s="4"/>
      <c r="N761" s="4"/>
      <c r="O761" s="4"/>
      <c r="P761" s="4"/>
      <c r="Q761" s="4"/>
      <c r="R761" s="4"/>
    </row>
    <row r="762" spans="1:18" ht="17.399999999999999" x14ac:dyDescent="0.25">
      <c r="A762" s="4"/>
      <c r="B762" s="23"/>
      <c r="C762" s="4"/>
      <c r="D762" s="4"/>
      <c r="E762" s="5"/>
      <c r="F762" s="4"/>
      <c r="G762" s="4"/>
      <c r="H762" s="4"/>
      <c r="I762" s="4"/>
      <c r="J762" s="4"/>
      <c r="K762" s="4"/>
      <c r="L762" s="4"/>
      <c r="M762" s="4"/>
      <c r="N762" s="4"/>
      <c r="O762" s="4"/>
      <c r="P762" s="4"/>
      <c r="Q762" s="4"/>
      <c r="R762" s="4"/>
    </row>
    <row r="763" spans="1:18" ht="17.399999999999999" x14ac:dyDescent="0.25">
      <c r="A763" s="4"/>
      <c r="B763" s="23"/>
      <c r="C763" s="4"/>
      <c r="D763" s="4"/>
      <c r="E763" s="5"/>
      <c r="F763" s="4"/>
      <c r="G763" s="4"/>
      <c r="H763" s="4"/>
      <c r="I763" s="4"/>
      <c r="J763" s="4"/>
      <c r="K763" s="4"/>
      <c r="L763" s="4"/>
      <c r="M763" s="4"/>
      <c r="N763" s="4"/>
      <c r="O763" s="4"/>
      <c r="P763" s="4"/>
      <c r="Q763" s="4"/>
      <c r="R763" s="4"/>
    </row>
    <row r="764" spans="1:18" ht="17.399999999999999" x14ac:dyDescent="0.25">
      <c r="A764" s="4"/>
      <c r="B764" s="23"/>
      <c r="C764" s="4"/>
      <c r="D764" s="4"/>
      <c r="E764" s="5"/>
      <c r="F764" s="4"/>
      <c r="G764" s="4"/>
      <c r="H764" s="4"/>
      <c r="I764" s="4"/>
      <c r="J764" s="4"/>
      <c r="K764" s="4"/>
      <c r="L764" s="4"/>
      <c r="M764" s="4"/>
      <c r="N764" s="4"/>
      <c r="O764" s="4"/>
      <c r="P764" s="4"/>
      <c r="Q764" s="4"/>
      <c r="R764" s="4"/>
    </row>
    <row r="765" spans="1:18" ht="17.399999999999999" x14ac:dyDescent="0.25">
      <c r="A765" s="4"/>
      <c r="B765" s="23"/>
      <c r="C765" s="4"/>
      <c r="D765" s="4"/>
      <c r="E765" s="5"/>
      <c r="F765" s="4"/>
      <c r="G765" s="4"/>
      <c r="H765" s="4"/>
      <c r="I765" s="4"/>
      <c r="J765" s="4"/>
      <c r="K765" s="4"/>
      <c r="L765" s="4"/>
      <c r="M765" s="4"/>
      <c r="N765" s="4"/>
      <c r="O765" s="4"/>
      <c r="P765" s="4"/>
      <c r="Q765" s="4"/>
      <c r="R765" s="4"/>
    </row>
    <row r="766" spans="1:18" ht="17.399999999999999" x14ac:dyDescent="0.25">
      <c r="A766" s="4"/>
      <c r="B766" s="23"/>
      <c r="C766" s="4"/>
      <c r="D766" s="4"/>
      <c r="E766" s="5"/>
      <c r="F766" s="4"/>
      <c r="G766" s="4"/>
      <c r="H766" s="4"/>
      <c r="I766" s="4"/>
      <c r="J766" s="4"/>
      <c r="K766" s="4"/>
      <c r="L766" s="4"/>
      <c r="M766" s="4"/>
      <c r="N766" s="4"/>
      <c r="O766" s="4"/>
      <c r="P766" s="4"/>
      <c r="Q766" s="4"/>
      <c r="R766" s="4"/>
    </row>
    <row r="767" spans="1:18" ht="17.399999999999999" x14ac:dyDescent="0.25">
      <c r="A767" s="4"/>
      <c r="B767" s="23"/>
      <c r="C767" s="4"/>
      <c r="D767" s="4"/>
      <c r="E767" s="5"/>
      <c r="F767" s="4"/>
      <c r="G767" s="4"/>
      <c r="H767" s="4"/>
      <c r="I767" s="4"/>
      <c r="J767" s="4"/>
      <c r="K767" s="4"/>
      <c r="L767" s="4"/>
      <c r="M767" s="4"/>
      <c r="N767" s="4"/>
      <c r="O767" s="4"/>
      <c r="P767" s="4"/>
      <c r="Q767" s="4"/>
      <c r="R767" s="4"/>
    </row>
    <row r="768" spans="1:18" ht="17.399999999999999" x14ac:dyDescent="0.25">
      <c r="A768" s="4"/>
      <c r="B768" s="23"/>
      <c r="C768" s="4"/>
      <c r="D768" s="4"/>
      <c r="E768" s="5"/>
      <c r="F768" s="4"/>
      <c r="G768" s="4"/>
      <c r="H768" s="4"/>
      <c r="I768" s="4"/>
      <c r="J768" s="4"/>
      <c r="K768" s="4"/>
      <c r="L768" s="4"/>
      <c r="M768" s="4"/>
      <c r="N768" s="4"/>
      <c r="O768" s="4"/>
      <c r="P768" s="4"/>
      <c r="Q768" s="4"/>
      <c r="R768" s="4"/>
    </row>
    <row r="769" spans="1:18" ht="17.399999999999999" x14ac:dyDescent="0.25">
      <c r="A769" s="4"/>
      <c r="B769" s="23"/>
      <c r="C769" s="4"/>
      <c r="D769" s="4"/>
      <c r="E769" s="5"/>
      <c r="F769" s="4"/>
      <c r="G769" s="4"/>
      <c r="H769" s="4"/>
      <c r="I769" s="4"/>
      <c r="J769" s="4"/>
      <c r="K769" s="4"/>
      <c r="L769" s="4"/>
      <c r="M769" s="4"/>
      <c r="N769" s="4"/>
      <c r="O769" s="4"/>
      <c r="P769" s="4"/>
      <c r="Q769" s="4"/>
      <c r="R769" s="4"/>
    </row>
    <row r="770" spans="1:18" ht="17.399999999999999" x14ac:dyDescent="0.25">
      <c r="A770" s="4"/>
      <c r="B770" s="23"/>
      <c r="C770" s="4"/>
      <c r="D770" s="4"/>
      <c r="E770" s="5"/>
      <c r="F770" s="4"/>
      <c r="G770" s="4"/>
      <c r="H770" s="4"/>
      <c r="I770" s="4"/>
      <c r="J770" s="4"/>
      <c r="K770" s="4"/>
      <c r="L770" s="4"/>
      <c r="M770" s="4"/>
      <c r="N770" s="4"/>
      <c r="O770" s="4"/>
      <c r="P770" s="4"/>
      <c r="Q770" s="4"/>
      <c r="R770" s="4"/>
    </row>
    <row r="771" spans="1:18" ht="17.399999999999999" x14ac:dyDescent="0.25">
      <c r="A771" s="4"/>
      <c r="B771" s="23"/>
      <c r="C771" s="4"/>
      <c r="D771" s="4"/>
      <c r="E771" s="5"/>
      <c r="F771" s="4"/>
      <c r="G771" s="4"/>
      <c r="H771" s="4"/>
      <c r="I771" s="4"/>
      <c r="J771" s="4"/>
      <c r="K771" s="4"/>
      <c r="L771" s="4"/>
      <c r="M771" s="4"/>
      <c r="N771" s="4"/>
      <c r="O771" s="4"/>
      <c r="P771" s="4"/>
      <c r="Q771" s="4"/>
      <c r="R771" s="4"/>
    </row>
    <row r="772" spans="1:18" ht="17.399999999999999" x14ac:dyDescent="0.25">
      <c r="A772" s="4"/>
      <c r="B772" s="23"/>
      <c r="C772" s="4"/>
      <c r="D772" s="4"/>
      <c r="E772" s="5"/>
      <c r="F772" s="4"/>
      <c r="G772" s="4"/>
      <c r="H772" s="4"/>
      <c r="I772" s="4"/>
      <c r="J772" s="4"/>
      <c r="K772" s="4"/>
      <c r="L772" s="4"/>
      <c r="M772" s="4"/>
      <c r="N772" s="4"/>
      <c r="O772" s="4"/>
      <c r="P772" s="4"/>
      <c r="Q772" s="4"/>
      <c r="R772" s="4"/>
    </row>
    <row r="773" spans="1:18" ht="17.399999999999999" x14ac:dyDescent="0.25">
      <c r="A773" s="4"/>
      <c r="B773" s="23"/>
      <c r="C773" s="4"/>
      <c r="D773" s="4"/>
      <c r="E773" s="5"/>
      <c r="F773" s="4"/>
      <c r="G773" s="4"/>
      <c r="H773" s="4"/>
      <c r="I773" s="4"/>
      <c r="J773" s="4"/>
      <c r="K773" s="4"/>
      <c r="L773" s="4"/>
      <c r="M773" s="4"/>
      <c r="N773" s="4"/>
      <c r="O773" s="4"/>
      <c r="P773" s="4"/>
      <c r="Q773" s="4"/>
      <c r="R773" s="4"/>
    </row>
    <row r="774" spans="1:18" ht="17.399999999999999" x14ac:dyDescent="0.25">
      <c r="A774" s="4"/>
      <c r="B774" s="23"/>
      <c r="C774" s="4"/>
      <c r="D774" s="4"/>
      <c r="E774" s="5"/>
      <c r="F774" s="4"/>
      <c r="G774" s="4"/>
      <c r="H774" s="4"/>
      <c r="I774" s="4"/>
      <c r="J774" s="4"/>
      <c r="K774" s="4"/>
      <c r="L774" s="4"/>
      <c r="M774" s="4"/>
      <c r="N774" s="4"/>
      <c r="O774" s="4"/>
      <c r="P774" s="4"/>
      <c r="Q774" s="4"/>
      <c r="R774" s="4"/>
    </row>
    <row r="775" spans="1:18" ht="17.399999999999999" x14ac:dyDescent="0.25">
      <c r="A775" s="4"/>
      <c r="B775" s="23"/>
      <c r="C775" s="4"/>
      <c r="D775" s="4"/>
      <c r="E775" s="5"/>
      <c r="F775" s="4"/>
      <c r="G775" s="4"/>
      <c r="H775" s="4"/>
      <c r="I775" s="4"/>
      <c r="J775" s="4"/>
      <c r="K775" s="4"/>
      <c r="L775" s="4"/>
      <c r="M775" s="4"/>
      <c r="N775" s="4"/>
      <c r="O775" s="4"/>
      <c r="P775" s="4"/>
      <c r="Q775" s="4"/>
      <c r="R775" s="4"/>
    </row>
    <row r="776" spans="1:18" ht="17.399999999999999" x14ac:dyDescent="0.25">
      <c r="A776" s="4"/>
      <c r="B776" s="23"/>
      <c r="C776" s="4"/>
      <c r="D776" s="4"/>
      <c r="E776" s="5"/>
      <c r="F776" s="4"/>
      <c r="G776" s="4"/>
      <c r="H776" s="4"/>
      <c r="I776" s="4"/>
      <c r="J776" s="4"/>
      <c r="K776" s="4"/>
      <c r="L776" s="4"/>
      <c r="M776" s="4"/>
      <c r="N776" s="4"/>
      <c r="O776" s="4"/>
      <c r="P776" s="4"/>
      <c r="Q776" s="4"/>
      <c r="R776" s="4"/>
    </row>
    <row r="777" spans="1:18" ht="17.399999999999999" x14ac:dyDescent="0.25">
      <c r="A777" s="4"/>
      <c r="B777" s="23"/>
      <c r="C777" s="4"/>
      <c r="D777" s="4"/>
      <c r="E777" s="5"/>
      <c r="F777" s="4"/>
      <c r="G777" s="4"/>
      <c r="H777" s="4"/>
      <c r="I777" s="4"/>
      <c r="J777" s="4"/>
      <c r="K777" s="4"/>
      <c r="L777" s="4"/>
      <c r="M777" s="4"/>
      <c r="N777" s="4"/>
      <c r="O777" s="4"/>
      <c r="P777" s="4"/>
      <c r="Q777" s="4"/>
      <c r="R777" s="4"/>
    </row>
    <row r="778" spans="1:18" ht="17.399999999999999" x14ac:dyDescent="0.25">
      <c r="A778" s="4"/>
      <c r="B778" s="23"/>
      <c r="C778" s="4"/>
      <c r="D778" s="4"/>
      <c r="E778" s="5"/>
      <c r="F778" s="4"/>
      <c r="G778" s="4"/>
      <c r="H778" s="4"/>
      <c r="I778" s="4"/>
      <c r="J778" s="4"/>
      <c r="K778" s="4"/>
      <c r="L778" s="4"/>
      <c r="M778" s="4"/>
      <c r="N778" s="4"/>
      <c r="O778" s="4"/>
      <c r="P778" s="4"/>
      <c r="Q778" s="4"/>
      <c r="R778" s="4"/>
    </row>
    <row r="779" spans="1:18" ht="17.399999999999999" x14ac:dyDescent="0.25">
      <c r="A779" s="4"/>
      <c r="B779" s="23"/>
      <c r="C779" s="4"/>
      <c r="D779" s="4"/>
      <c r="E779" s="5"/>
      <c r="F779" s="4"/>
      <c r="G779" s="4"/>
      <c r="H779" s="4"/>
      <c r="I779" s="4"/>
      <c r="J779" s="4"/>
      <c r="K779" s="4"/>
      <c r="L779" s="4"/>
      <c r="M779" s="4"/>
      <c r="N779" s="4"/>
      <c r="O779" s="4"/>
      <c r="P779" s="4"/>
      <c r="Q779" s="4"/>
      <c r="R779" s="4"/>
    </row>
    <row r="780" spans="1:18" ht="17.399999999999999" x14ac:dyDescent="0.25">
      <c r="A780" s="4"/>
      <c r="B780" s="23"/>
      <c r="C780" s="4"/>
      <c r="D780" s="4"/>
      <c r="E780" s="5"/>
      <c r="F780" s="4"/>
      <c r="G780" s="4"/>
      <c r="H780" s="4"/>
      <c r="I780" s="4"/>
      <c r="J780" s="4"/>
      <c r="K780" s="4"/>
      <c r="L780" s="4"/>
      <c r="M780" s="4"/>
      <c r="N780" s="4"/>
      <c r="O780" s="4"/>
      <c r="P780" s="4"/>
      <c r="Q780" s="4"/>
      <c r="R780" s="4"/>
    </row>
    <row r="781" spans="1:18" ht="17.399999999999999" x14ac:dyDescent="0.25">
      <c r="A781" s="4"/>
      <c r="B781" s="23"/>
      <c r="C781" s="4"/>
      <c r="D781" s="4"/>
      <c r="E781" s="5"/>
      <c r="F781" s="4"/>
      <c r="G781" s="4"/>
      <c r="H781" s="4"/>
      <c r="I781" s="4"/>
      <c r="J781" s="4"/>
      <c r="K781" s="4"/>
      <c r="L781" s="4"/>
      <c r="M781" s="4"/>
      <c r="N781" s="4"/>
      <c r="O781" s="4"/>
      <c r="P781" s="4"/>
      <c r="Q781" s="4"/>
      <c r="R781" s="4"/>
    </row>
    <row r="782" spans="1:18" ht="17.399999999999999" x14ac:dyDescent="0.25">
      <c r="A782" s="4"/>
      <c r="B782" s="23"/>
      <c r="C782" s="4"/>
      <c r="D782" s="4"/>
      <c r="E782" s="5"/>
      <c r="F782" s="4"/>
      <c r="G782" s="4"/>
      <c r="H782" s="4"/>
      <c r="I782" s="4"/>
      <c r="J782" s="4"/>
      <c r="K782" s="4"/>
      <c r="L782" s="4"/>
      <c r="M782" s="4"/>
      <c r="N782" s="4"/>
      <c r="O782" s="4"/>
      <c r="P782" s="4"/>
      <c r="Q782" s="4"/>
      <c r="R782" s="4"/>
    </row>
    <row r="783" spans="1:18" ht="17.399999999999999" x14ac:dyDescent="0.25">
      <c r="A783" s="4"/>
      <c r="B783" s="23"/>
      <c r="C783" s="4"/>
      <c r="D783" s="4"/>
      <c r="E783" s="5"/>
      <c r="F783" s="4"/>
      <c r="G783" s="4"/>
      <c r="H783" s="4"/>
      <c r="I783" s="4"/>
      <c r="J783" s="4"/>
      <c r="K783" s="4"/>
      <c r="L783" s="4"/>
      <c r="M783" s="4"/>
      <c r="N783" s="4"/>
      <c r="O783" s="4"/>
      <c r="P783" s="4"/>
      <c r="Q783" s="4"/>
      <c r="R783" s="4"/>
    </row>
    <row r="784" spans="1:18" ht="17.399999999999999" x14ac:dyDescent="0.25">
      <c r="A784" s="4"/>
      <c r="B784" s="23"/>
      <c r="C784" s="4"/>
      <c r="D784" s="4"/>
      <c r="E784" s="5"/>
      <c r="F784" s="4"/>
      <c r="G784" s="4"/>
      <c r="H784" s="4"/>
      <c r="I784" s="4"/>
      <c r="J784" s="4"/>
      <c r="K784" s="4"/>
      <c r="L784" s="4"/>
      <c r="M784" s="4"/>
      <c r="N784" s="4"/>
      <c r="O784" s="4"/>
      <c r="P784" s="4"/>
      <c r="Q784" s="4"/>
      <c r="R784" s="4"/>
    </row>
    <row r="785" spans="1:18" ht="17.399999999999999" x14ac:dyDescent="0.25">
      <c r="A785" s="4"/>
      <c r="B785" s="23"/>
      <c r="C785" s="4"/>
      <c r="D785" s="4"/>
      <c r="E785" s="5"/>
      <c r="F785" s="4"/>
      <c r="G785" s="4"/>
      <c r="H785" s="4"/>
      <c r="I785" s="4"/>
      <c r="J785" s="4"/>
      <c r="K785" s="4"/>
      <c r="L785" s="4"/>
      <c r="M785" s="4"/>
      <c r="N785" s="4"/>
      <c r="O785" s="4"/>
      <c r="P785" s="4"/>
      <c r="Q785" s="4"/>
      <c r="R785" s="4"/>
    </row>
    <row r="786" spans="1:18" ht="17.399999999999999" x14ac:dyDescent="0.25">
      <c r="A786" s="4"/>
      <c r="B786" s="23"/>
      <c r="C786" s="4"/>
      <c r="D786" s="4"/>
      <c r="E786" s="5"/>
      <c r="F786" s="4"/>
      <c r="G786" s="4"/>
      <c r="H786" s="4"/>
      <c r="I786" s="4"/>
      <c r="J786" s="4"/>
      <c r="K786" s="4"/>
      <c r="L786" s="4"/>
      <c r="M786" s="4"/>
      <c r="N786" s="4"/>
      <c r="O786" s="4"/>
      <c r="P786" s="4"/>
      <c r="Q786" s="4"/>
      <c r="R786" s="4"/>
    </row>
    <row r="787" spans="1:18" ht="17.399999999999999" x14ac:dyDescent="0.25">
      <c r="A787" s="4"/>
      <c r="B787" s="23"/>
      <c r="C787" s="4"/>
      <c r="D787" s="4"/>
      <c r="E787" s="5"/>
      <c r="F787" s="4"/>
      <c r="G787" s="4"/>
      <c r="H787" s="4"/>
      <c r="I787" s="4"/>
      <c r="J787" s="4"/>
      <c r="K787" s="4"/>
      <c r="L787" s="4"/>
      <c r="M787" s="4"/>
      <c r="N787" s="4"/>
      <c r="O787" s="4"/>
      <c r="P787" s="4"/>
      <c r="Q787" s="4"/>
      <c r="R787" s="4"/>
    </row>
    <row r="788" spans="1:18" ht="17.399999999999999" x14ac:dyDescent="0.25">
      <c r="A788" s="4"/>
      <c r="B788" s="23"/>
      <c r="C788" s="4"/>
      <c r="D788" s="4"/>
      <c r="E788" s="5"/>
      <c r="F788" s="4"/>
      <c r="G788" s="4"/>
      <c r="H788" s="4"/>
      <c r="I788" s="4"/>
      <c r="J788" s="4"/>
      <c r="K788" s="4"/>
      <c r="L788" s="4"/>
      <c r="M788" s="4"/>
      <c r="N788" s="4"/>
      <c r="O788" s="4"/>
      <c r="P788" s="4"/>
      <c r="Q788" s="4"/>
      <c r="R788" s="4"/>
    </row>
    <row r="789" spans="1:18" ht="17.399999999999999" x14ac:dyDescent="0.25">
      <c r="A789" s="4"/>
      <c r="B789" s="23"/>
      <c r="C789" s="4"/>
      <c r="D789" s="4"/>
      <c r="E789" s="5"/>
      <c r="F789" s="4"/>
      <c r="G789" s="4"/>
      <c r="H789" s="4"/>
      <c r="I789" s="4"/>
      <c r="J789" s="4"/>
      <c r="K789" s="4"/>
      <c r="L789" s="4"/>
      <c r="M789" s="4"/>
      <c r="N789" s="4"/>
      <c r="O789" s="4"/>
      <c r="P789" s="4"/>
      <c r="Q789" s="4"/>
      <c r="R789" s="4"/>
    </row>
    <row r="790" spans="1:18" ht="17.399999999999999" x14ac:dyDescent="0.25">
      <c r="A790" s="4"/>
      <c r="B790" s="23"/>
      <c r="C790" s="4"/>
      <c r="D790" s="4"/>
      <c r="E790" s="5"/>
      <c r="F790" s="4"/>
      <c r="G790" s="4"/>
      <c r="H790" s="4"/>
      <c r="I790" s="4"/>
      <c r="J790" s="4"/>
      <c r="K790" s="4"/>
      <c r="L790" s="4"/>
      <c r="M790" s="4"/>
      <c r="N790" s="4"/>
      <c r="O790" s="4"/>
      <c r="P790" s="4"/>
      <c r="Q790" s="4"/>
      <c r="R790" s="4"/>
    </row>
    <row r="791" spans="1:18" ht="17.399999999999999" x14ac:dyDescent="0.25">
      <c r="A791" s="4"/>
      <c r="B791" s="23"/>
      <c r="C791" s="4"/>
      <c r="D791" s="4"/>
      <c r="E791" s="5"/>
      <c r="F791" s="4"/>
      <c r="G791" s="4"/>
      <c r="H791" s="4"/>
      <c r="I791" s="4"/>
      <c r="J791" s="4"/>
      <c r="K791" s="4"/>
      <c r="L791" s="4"/>
      <c r="M791" s="4"/>
      <c r="N791" s="4"/>
      <c r="O791" s="4"/>
      <c r="P791" s="4"/>
      <c r="Q791" s="4"/>
      <c r="R791" s="4"/>
    </row>
    <row r="792" spans="1:18" ht="17.399999999999999" x14ac:dyDescent="0.25">
      <c r="A792" s="4"/>
      <c r="B792" s="23"/>
      <c r="C792" s="4"/>
      <c r="D792" s="4"/>
      <c r="E792" s="5"/>
      <c r="F792" s="4"/>
      <c r="G792" s="4"/>
      <c r="H792" s="4"/>
      <c r="I792" s="4"/>
      <c r="J792" s="4"/>
      <c r="K792" s="4"/>
      <c r="L792" s="4"/>
      <c r="M792" s="4"/>
      <c r="N792" s="4"/>
      <c r="O792" s="4"/>
      <c r="P792" s="4"/>
      <c r="Q792" s="4"/>
      <c r="R792" s="4"/>
    </row>
    <row r="793" spans="1:18" ht="17.399999999999999" x14ac:dyDescent="0.25">
      <c r="A793" s="4"/>
      <c r="B793" s="23"/>
      <c r="C793" s="4"/>
      <c r="D793" s="4"/>
      <c r="E793" s="5"/>
      <c r="F793" s="4"/>
      <c r="G793" s="4"/>
      <c r="H793" s="4"/>
      <c r="I793" s="4"/>
      <c r="J793" s="4"/>
      <c r="K793" s="4"/>
      <c r="L793" s="4"/>
      <c r="M793" s="4"/>
      <c r="N793" s="4"/>
      <c r="O793" s="4"/>
      <c r="P793" s="4"/>
      <c r="Q793" s="4"/>
      <c r="R793" s="4"/>
    </row>
    <row r="794" spans="1:18" ht="17.399999999999999" x14ac:dyDescent="0.25">
      <c r="A794" s="4"/>
      <c r="B794" s="23"/>
      <c r="C794" s="4"/>
      <c r="D794" s="4"/>
      <c r="E794" s="5"/>
      <c r="F794" s="4"/>
      <c r="G794" s="4"/>
      <c r="H794" s="4"/>
      <c r="I794" s="4"/>
      <c r="J794" s="4"/>
      <c r="K794" s="4"/>
      <c r="L794" s="4"/>
      <c r="M794" s="4"/>
      <c r="N794" s="4"/>
      <c r="O794" s="4"/>
      <c r="P794" s="4"/>
      <c r="Q794" s="4"/>
      <c r="R794" s="4"/>
    </row>
    <row r="795" spans="1:18" ht="17.399999999999999" x14ac:dyDescent="0.25">
      <c r="A795" s="4"/>
      <c r="B795" s="23"/>
      <c r="C795" s="4"/>
      <c r="D795" s="4"/>
      <c r="E795" s="5"/>
      <c r="F795" s="4"/>
      <c r="G795" s="4"/>
      <c r="H795" s="4"/>
      <c r="I795" s="4"/>
      <c r="J795" s="4"/>
      <c r="K795" s="4"/>
      <c r="L795" s="4"/>
      <c r="M795" s="4"/>
      <c r="N795" s="4"/>
      <c r="O795" s="4"/>
      <c r="P795" s="4"/>
      <c r="Q795" s="4"/>
      <c r="R795" s="4"/>
    </row>
    <row r="796" spans="1:18" ht="17.399999999999999" x14ac:dyDescent="0.25">
      <c r="A796" s="4"/>
      <c r="B796" s="23"/>
      <c r="C796" s="4"/>
      <c r="D796" s="4"/>
      <c r="E796" s="5"/>
      <c r="F796" s="4"/>
      <c r="G796" s="4"/>
      <c r="H796" s="4"/>
      <c r="I796" s="4"/>
      <c r="J796" s="4"/>
      <c r="K796" s="4"/>
      <c r="L796" s="4"/>
      <c r="M796" s="4"/>
      <c r="N796" s="4"/>
      <c r="O796" s="4"/>
      <c r="P796" s="4"/>
      <c r="Q796" s="4"/>
      <c r="R796" s="4"/>
    </row>
    <row r="797" spans="1:18" ht="17.399999999999999" x14ac:dyDescent="0.25">
      <c r="A797" s="4"/>
      <c r="B797" s="23"/>
      <c r="C797" s="4"/>
      <c r="D797" s="4"/>
      <c r="E797" s="5"/>
      <c r="F797" s="4"/>
      <c r="G797" s="4"/>
      <c r="H797" s="4"/>
      <c r="I797" s="4"/>
      <c r="J797" s="4"/>
      <c r="K797" s="4"/>
      <c r="L797" s="4"/>
      <c r="M797" s="4"/>
      <c r="N797" s="4"/>
      <c r="O797" s="4"/>
      <c r="P797" s="4"/>
      <c r="Q797" s="4"/>
      <c r="R797" s="4"/>
    </row>
    <row r="798" spans="1:18" ht="17.399999999999999" x14ac:dyDescent="0.25">
      <c r="A798" s="4"/>
      <c r="B798" s="23"/>
      <c r="C798" s="4"/>
      <c r="D798" s="4"/>
      <c r="E798" s="5"/>
      <c r="F798" s="4"/>
      <c r="G798" s="4"/>
      <c r="H798" s="4"/>
      <c r="I798" s="4"/>
      <c r="J798" s="4"/>
      <c r="K798" s="4"/>
      <c r="L798" s="4"/>
      <c r="M798" s="4"/>
      <c r="N798" s="4"/>
      <c r="O798" s="4"/>
      <c r="P798" s="4"/>
      <c r="Q798" s="4"/>
      <c r="R798" s="4"/>
    </row>
    <row r="799" spans="1:18" ht="17.399999999999999" x14ac:dyDescent="0.25">
      <c r="A799" s="4"/>
      <c r="B799" s="23"/>
      <c r="C799" s="4"/>
      <c r="D799" s="4"/>
      <c r="E799" s="5"/>
      <c r="F799" s="4"/>
      <c r="G799" s="4"/>
      <c r="H799" s="4"/>
      <c r="I799" s="4"/>
      <c r="J799" s="4"/>
      <c r="K799" s="4"/>
      <c r="L799" s="4"/>
      <c r="M799" s="4"/>
      <c r="N799" s="4"/>
      <c r="O799" s="4"/>
      <c r="P799" s="4"/>
      <c r="Q799" s="4"/>
      <c r="R799" s="4"/>
    </row>
    <row r="800" spans="1:18" ht="17.399999999999999" x14ac:dyDescent="0.25">
      <c r="A800" s="4"/>
      <c r="B800" s="23"/>
      <c r="C800" s="4"/>
      <c r="D800" s="4"/>
      <c r="E800" s="5"/>
      <c r="F800" s="4"/>
      <c r="G800" s="4"/>
      <c r="H800" s="4"/>
      <c r="I800" s="4"/>
      <c r="J800" s="4"/>
      <c r="K800" s="4"/>
      <c r="L800" s="4"/>
      <c r="M800" s="4"/>
      <c r="N800" s="4"/>
      <c r="O800" s="4"/>
      <c r="P800" s="4"/>
      <c r="Q800" s="4"/>
      <c r="R800" s="4"/>
    </row>
    <row r="801" spans="1:18" ht="17.399999999999999" x14ac:dyDescent="0.25">
      <c r="A801" s="4"/>
      <c r="B801" s="23"/>
      <c r="C801" s="4"/>
      <c r="D801" s="4"/>
      <c r="E801" s="5"/>
      <c r="F801" s="4"/>
      <c r="G801" s="4"/>
      <c r="H801" s="4"/>
      <c r="I801" s="4"/>
      <c r="J801" s="4"/>
      <c r="K801" s="4"/>
      <c r="L801" s="4"/>
      <c r="M801" s="4"/>
      <c r="N801" s="4"/>
      <c r="O801" s="4"/>
      <c r="P801" s="4"/>
      <c r="Q801" s="4"/>
      <c r="R801" s="4"/>
    </row>
    <row r="802" spans="1:18" ht="17.399999999999999" x14ac:dyDescent="0.25">
      <c r="A802" s="4"/>
      <c r="B802" s="23"/>
      <c r="C802" s="4"/>
      <c r="D802" s="4"/>
      <c r="E802" s="5"/>
      <c r="F802" s="4"/>
      <c r="G802" s="4"/>
      <c r="H802" s="4"/>
      <c r="I802" s="4"/>
      <c r="J802" s="4"/>
      <c r="K802" s="4"/>
      <c r="L802" s="4"/>
      <c r="M802" s="4"/>
      <c r="N802" s="4"/>
      <c r="O802" s="4"/>
      <c r="P802" s="4"/>
      <c r="Q802" s="4"/>
      <c r="R802" s="4"/>
    </row>
    <row r="803" spans="1:18" ht="17.399999999999999" x14ac:dyDescent="0.25">
      <c r="A803" s="4"/>
      <c r="B803" s="23"/>
      <c r="C803" s="4"/>
      <c r="D803" s="4"/>
      <c r="E803" s="5"/>
      <c r="F803" s="4"/>
      <c r="G803" s="4"/>
      <c r="H803" s="4"/>
      <c r="I803" s="4"/>
      <c r="J803" s="4"/>
      <c r="K803" s="4"/>
      <c r="L803" s="4"/>
      <c r="M803" s="4"/>
      <c r="N803" s="4"/>
      <c r="O803" s="4"/>
      <c r="P803" s="4"/>
      <c r="Q803" s="4"/>
      <c r="R803" s="4"/>
    </row>
    <row r="804" spans="1:18" ht="17.399999999999999" x14ac:dyDescent="0.25">
      <c r="A804" s="4"/>
      <c r="B804" s="23"/>
      <c r="C804" s="4"/>
      <c r="D804" s="4"/>
      <c r="E804" s="5"/>
      <c r="F804" s="4"/>
      <c r="G804" s="4"/>
      <c r="H804" s="4"/>
      <c r="I804" s="4"/>
      <c r="J804" s="4"/>
      <c r="K804" s="4"/>
      <c r="L804" s="4"/>
      <c r="M804" s="4"/>
      <c r="N804" s="4"/>
      <c r="O804" s="4"/>
      <c r="P804" s="4"/>
      <c r="Q804" s="4"/>
      <c r="R804" s="4"/>
    </row>
    <row r="805" spans="1:18" ht="17.399999999999999" x14ac:dyDescent="0.25">
      <c r="A805" s="4"/>
      <c r="B805" s="23"/>
      <c r="C805" s="4"/>
      <c r="D805" s="4"/>
      <c r="E805" s="5"/>
      <c r="F805" s="4"/>
      <c r="G805" s="4"/>
      <c r="H805" s="4"/>
      <c r="I805" s="4"/>
      <c r="J805" s="4"/>
      <c r="K805" s="4"/>
      <c r="L805" s="4"/>
      <c r="M805" s="4"/>
      <c r="N805" s="4"/>
      <c r="O805" s="4"/>
      <c r="P805" s="4"/>
      <c r="Q805" s="4"/>
      <c r="R805" s="4"/>
    </row>
    <row r="806" spans="1:18" ht="17.399999999999999" x14ac:dyDescent="0.25">
      <c r="A806" s="4"/>
      <c r="B806" s="23"/>
      <c r="C806" s="4"/>
      <c r="D806" s="4"/>
      <c r="E806" s="5"/>
      <c r="F806" s="4"/>
      <c r="G806" s="4"/>
      <c r="H806" s="4"/>
      <c r="I806" s="4"/>
      <c r="J806" s="4"/>
      <c r="K806" s="4"/>
      <c r="L806" s="4"/>
      <c r="M806" s="4"/>
      <c r="N806" s="4"/>
      <c r="O806" s="4"/>
      <c r="P806" s="4"/>
      <c r="Q806" s="4"/>
      <c r="R806" s="4"/>
    </row>
    <row r="807" spans="1:18" ht="17.399999999999999" x14ac:dyDescent="0.25">
      <c r="A807" s="4"/>
      <c r="B807" s="23"/>
      <c r="C807" s="4"/>
      <c r="D807" s="4"/>
      <c r="E807" s="5"/>
      <c r="F807" s="4"/>
      <c r="G807" s="4"/>
      <c r="H807" s="4"/>
      <c r="I807" s="4"/>
      <c r="J807" s="4"/>
      <c r="K807" s="4"/>
      <c r="L807" s="4"/>
      <c r="M807" s="4"/>
      <c r="N807" s="4"/>
      <c r="O807" s="4"/>
      <c r="P807" s="4"/>
      <c r="Q807" s="4"/>
      <c r="R807" s="4"/>
    </row>
    <row r="808" spans="1:18" ht="17.399999999999999" x14ac:dyDescent="0.25">
      <c r="A808" s="4"/>
      <c r="B808" s="23"/>
      <c r="C808" s="4"/>
      <c r="D808" s="4"/>
      <c r="E808" s="5"/>
      <c r="F808" s="4"/>
      <c r="G808" s="4"/>
      <c r="H808" s="4"/>
      <c r="I808" s="4"/>
      <c r="J808" s="4"/>
      <c r="K808" s="4"/>
      <c r="L808" s="4"/>
      <c r="M808" s="4"/>
      <c r="N808" s="4"/>
      <c r="O808" s="4"/>
      <c r="P808" s="4"/>
      <c r="Q808" s="4"/>
      <c r="R808" s="4"/>
    </row>
    <row r="809" spans="1:18" ht="17.399999999999999" x14ac:dyDescent="0.25">
      <c r="A809" s="4"/>
      <c r="B809" s="23"/>
      <c r="C809" s="4"/>
      <c r="D809" s="4"/>
      <c r="E809" s="5"/>
      <c r="F809" s="4"/>
      <c r="G809" s="4"/>
      <c r="H809" s="4"/>
      <c r="I809" s="4"/>
      <c r="J809" s="4"/>
      <c r="K809" s="4"/>
      <c r="L809" s="4"/>
      <c r="M809" s="4"/>
      <c r="N809" s="4"/>
      <c r="O809" s="4"/>
      <c r="P809" s="4"/>
      <c r="Q809" s="4"/>
      <c r="R809" s="4"/>
    </row>
    <row r="810" spans="1:18" ht="17.399999999999999" x14ac:dyDescent="0.25">
      <c r="A810" s="4"/>
      <c r="B810" s="23"/>
      <c r="C810" s="4"/>
      <c r="D810" s="4"/>
      <c r="E810" s="5"/>
      <c r="F810" s="4"/>
      <c r="G810" s="4"/>
      <c r="H810" s="4"/>
      <c r="I810" s="4"/>
      <c r="J810" s="4"/>
      <c r="K810" s="4"/>
      <c r="L810" s="4"/>
      <c r="M810" s="4"/>
      <c r="N810" s="4"/>
      <c r="O810" s="4"/>
      <c r="P810" s="4"/>
      <c r="Q810" s="4"/>
      <c r="R810" s="4"/>
    </row>
    <row r="811" spans="1:18" ht="17.399999999999999" x14ac:dyDescent="0.25">
      <c r="A811" s="4"/>
      <c r="B811" s="23"/>
      <c r="C811" s="4"/>
      <c r="D811" s="4"/>
      <c r="E811" s="5"/>
      <c r="F811" s="4"/>
      <c r="G811" s="4"/>
      <c r="H811" s="4"/>
      <c r="I811" s="4"/>
      <c r="J811" s="4"/>
      <c r="K811" s="4"/>
      <c r="L811" s="4"/>
      <c r="M811" s="4"/>
      <c r="N811" s="4"/>
      <c r="O811" s="4"/>
      <c r="P811" s="4"/>
      <c r="Q811" s="4"/>
      <c r="R811" s="4"/>
    </row>
    <row r="812" spans="1:18" ht="17.399999999999999" x14ac:dyDescent="0.25">
      <c r="A812" s="4"/>
      <c r="B812" s="23"/>
      <c r="C812" s="4"/>
      <c r="D812" s="4"/>
      <c r="E812" s="5"/>
      <c r="F812" s="4"/>
      <c r="G812" s="4"/>
      <c r="H812" s="4"/>
      <c r="I812" s="4"/>
      <c r="J812" s="4"/>
      <c r="K812" s="4"/>
      <c r="L812" s="4"/>
      <c r="M812" s="4"/>
      <c r="N812" s="4"/>
      <c r="O812" s="4"/>
      <c r="P812" s="4"/>
      <c r="Q812" s="4"/>
      <c r="R812" s="4"/>
    </row>
    <row r="813" spans="1:18" ht="17.399999999999999" x14ac:dyDescent="0.25">
      <c r="A813" s="4"/>
      <c r="B813" s="23"/>
      <c r="C813" s="4"/>
      <c r="D813" s="4"/>
      <c r="E813" s="5"/>
      <c r="F813" s="4"/>
      <c r="G813" s="4"/>
      <c r="H813" s="4"/>
      <c r="I813" s="4"/>
      <c r="J813" s="4"/>
      <c r="K813" s="4"/>
      <c r="L813" s="4"/>
      <c r="M813" s="4"/>
      <c r="N813" s="4"/>
      <c r="O813" s="4"/>
      <c r="P813" s="4"/>
      <c r="Q813" s="4"/>
      <c r="R813" s="4"/>
    </row>
    <row r="814" spans="1:18" ht="17.399999999999999" x14ac:dyDescent="0.25">
      <c r="A814" s="4"/>
      <c r="B814" s="23"/>
      <c r="C814" s="4"/>
      <c r="D814" s="4"/>
      <c r="E814" s="5"/>
      <c r="F814" s="4"/>
      <c r="G814" s="4"/>
      <c r="H814" s="4"/>
      <c r="I814" s="4"/>
      <c r="J814" s="4"/>
      <c r="K814" s="4"/>
      <c r="L814" s="4"/>
      <c r="M814" s="4"/>
      <c r="N814" s="4"/>
      <c r="O814" s="4"/>
      <c r="P814" s="4"/>
      <c r="Q814" s="4"/>
      <c r="R814" s="4"/>
    </row>
    <row r="815" spans="1:18" ht="17.399999999999999" x14ac:dyDescent="0.25">
      <c r="A815" s="4"/>
      <c r="B815" s="23"/>
      <c r="C815" s="4"/>
      <c r="D815" s="4"/>
      <c r="E815" s="5"/>
      <c r="F815" s="4"/>
      <c r="G815" s="4"/>
      <c r="H815" s="4"/>
      <c r="I815" s="4"/>
      <c r="J815" s="4"/>
      <c r="K815" s="4"/>
      <c r="L815" s="4"/>
      <c r="M815" s="4"/>
      <c r="N815" s="4"/>
      <c r="O815" s="4"/>
      <c r="P815" s="4"/>
      <c r="Q815" s="4"/>
      <c r="R815" s="4"/>
    </row>
    <row r="816" spans="1:18" ht="17.399999999999999" x14ac:dyDescent="0.25">
      <c r="A816" s="4"/>
      <c r="B816" s="23"/>
      <c r="C816" s="4"/>
      <c r="D816" s="4"/>
      <c r="E816" s="5"/>
      <c r="F816" s="4"/>
      <c r="G816" s="4"/>
      <c r="H816" s="4"/>
      <c r="I816" s="4"/>
      <c r="J816" s="4"/>
      <c r="K816" s="4"/>
      <c r="L816" s="4"/>
      <c r="M816" s="4"/>
      <c r="N816" s="4"/>
      <c r="O816" s="4"/>
      <c r="P816" s="4"/>
      <c r="Q816" s="4"/>
      <c r="R816" s="4"/>
    </row>
    <row r="817" spans="1:18" ht="17.399999999999999" x14ac:dyDescent="0.25">
      <c r="A817" s="4"/>
      <c r="B817" s="23"/>
      <c r="C817" s="4"/>
      <c r="D817" s="4"/>
      <c r="E817" s="5"/>
      <c r="F817" s="4"/>
      <c r="G817" s="4"/>
      <c r="H817" s="4"/>
      <c r="I817" s="4"/>
      <c r="J817" s="4"/>
      <c r="K817" s="4"/>
      <c r="L817" s="4"/>
      <c r="M817" s="4"/>
      <c r="N817" s="4"/>
      <c r="O817" s="4"/>
      <c r="P817" s="4"/>
      <c r="Q817" s="4"/>
      <c r="R817" s="4"/>
    </row>
    <row r="818" spans="1:18" ht="17.399999999999999" x14ac:dyDescent="0.25">
      <c r="A818" s="4"/>
      <c r="B818" s="23"/>
      <c r="C818" s="4"/>
      <c r="D818" s="4"/>
      <c r="E818" s="5"/>
      <c r="F818" s="4"/>
      <c r="G818" s="4"/>
      <c r="H818" s="4"/>
      <c r="I818" s="4"/>
      <c r="J818" s="4"/>
      <c r="K818" s="4"/>
      <c r="L818" s="4"/>
      <c r="M818" s="4"/>
      <c r="N818" s="4"/>
      <c r="O818" s="4"/>
      <c r="P818" s="4"/>
      <c r="Q818" s="4"/>
      <c r="R818" s="4"/>
    </row>
    <row r="819" spans="1:18" ht="17.399999999999999" x14ac:dyDescent="0.25">
      <c r="A819" s="4"/>
      <c r="B819" s="23"/>
      <c r="C819" s="4"/>
      <c r="D819" s="4"/>
      <c r="E819" s="5"/>
      <c r="F819" s="4"/>
      <c r="G819" s="4"/>
      <c r="H819" s="4"/>
      <c r="I819" s="4"/>
      <c r="J819" s="4"/>
      <c r="K819" s="4"/>
      <c r="L819" s="4"/>
      <c r="M819" s="4"/>
      <c r="N819" s="4"/>
      <c r="O819" s="4"/>
      <c r="P819" s="4"/>
      <c r="Q819" s="4"/>
      <c r="R819" s="4"/>
    </row>
    <row r="820" spans="1:18" ht="17.399999999999999" x14ac:dyDescent="0.25">
      <c r="A820" s="4"/>
      <c r="B820" s="23"/>
      <c r="C820" s="4"/>
      <c r="D820" s="4"/>
      <c r="E820" s="5"/>
      <c r="F820" s="4"/>
      <c r="G820" s="4"/>
      <c r="H820" s="4"/>
      <c r="I820" s="4"/>
      <c r="J820" s="4"/>
      <c r="K820" s="4"/>
      <c r="L820" s="4"/>
      <c r="M820" s="4"/>
      <c r="N820" s="4"/>
      <c r="O820" s="4"/>
      <c r="P820" s="4"/>
      <c r="Q820" s="4"/>
      <c r="R820" s="4"/>
    </row>
    <row r="821" spans="1:18" ht="17.399999999999999" x14ac:dyDescent="0.25">
      <c r="A821" s="4"/>
      <c r="B821" s="23"/>
      <c r="C821" s="4"/>
      <c r="D821" s="4"/>
      <c r="E821" s="5"/>
      <c r="F821" s="4"/>
      <c r="G821" s="4"/>
      <c r="H821" s="4"/>
      <c r="I821" s="4"/>
      <c r="J821" s="4"/>
      <c r="K821" s="4"/>
      <c r="L821" s="4"/>
      <c r="M821" s="4"/>
      <c r="N821" s="4"/>
      <c r="O821" s="4"/>
      <c r="P821" s="4"/>
      <c r="Q821" s="4"/>
      <c r="R821" s="4"/>
    </row>
    <row r="822" spans="1:18" ht="17.399999999999999" x14ac:dyDescent="0.25">
      <c r="A822" s="4"/>
      <c r="B822" s="23"/>
      <c r="C822" s="4"/>
      <c r="D822" s="4"/>
      <c r="E822" s="5"/>
      <c r="F822" s="4"/>
      <c r="G822" s="4"/>
      <c r="H822" s="4"/>
      <c r="I822" s="4"/>
      <c r="J822" s="4"/>
      <c r="K822" s="4"/>
      <c r="L822" s="4"/>
      <c r="M822" s="4"/>
      <c r="N822" s="4"/>
      <c r="O822" s="4"/>
      <c r="P822" s="4"/>
      <c r="Q822" s="4"/>
      <c r="R822" s="4"/>
    </row>
    <row r="823" spans="1:18" ht="17.399999999999999" x14ac:dyDescent="0.25">
      <c r="A823" s="4"/>
      <c r="B823" s="23"/>
      <c r="C823" s="4"/>
      <c r="D823" s="4"/>
      <c r="E823" s="5"/>
      <c r="F823" s="4"/>
      <c r="G823" s="4"/>
      <c r="H823" s="4"/>
      <c r="I823" s="4"/>
      <c r="J823" s="4"/>
      <c r="K823" s="4"/>
      <c r="L823" s="4"/>
      <c r="M823" s="4"/>
      <c r="N823" s="4"/>
      <c r="O823" s="4"/>
      <c r="P823" s="4"/>
      <c r="Q823" s="4"/>
      <c r="R823" s="4"/>
    </row>
    <row r="824" spans="1:18" ht="17.399999999999999" x14ac:dyDescent="0.25">
      <c r="A824" s="4"/>
      <c r="B824" s="23"/>
      <c r="C824" s="4"/>
      <c r="D824" s="4"/>
      <c r="E824" s="5"/>
      <c r="F824" s="4"/>
      <c r="G824" s="4"/>
      <c r="H824" s="4"/>
      <c r="I824" s="4"/>
      <c r="J824" s="4"/>
      <c r="K824" s="4"/>
      <c r="L824" s="4"/>
      <c r="M824" s="4"/>
      <c r="N824" s="4"/>
      <c r="O824" s="4"/>
      <c r="P824" s="4"/>
      <c r="Q824" s="4"/>
      <c r="R824" s="4"/>
    </row>
    <row r="825" spans="1:18" ht="17.399999999999999" x14ac:dyDescent="0.25">
      <c r="A825" s="4"/>
      <c r="B825" s="23"/>
      <c r="C825" s="4"/>
      <c r="D825" s="4"/>
      <c r="E825" s="5"/>
      <c r="F825" s="4"/>
      <c r="G825" s="4"/>
      <c r="H825" s="4"/>
      <c r="I825" s="4"/>
      <c r="J825" s="4"/>
      <c r="K825" s="4"/>
      <c r="L825" s="4"/>
      <c r="M825" s="4"/>
      <c r="N825" s="4"/>
      <c r="O825" s="4"/>
      <c r="P825" s="4"/>
      <c r="Q825" s="4"/>
      <c r="R825" s="4"/>
    </row>
    <row r="826" spans="1:18" ht="17.399999999999999" x14ac:dyDescent="0.25">
      <c r="A826" s="4"/>
      <c r="B826" s="23"/>
      <c r="C826" s="4"/>
      <c r="D826" s="4"/>
      <c r="E826" s="5"/>
      <c r="F826" s="4"/>
      <c r="G826" s="4"/>
      <c r="H826" s="4"/>
      <c r="I826" s="4"/>
      <c r="J826" s="4"/>
      <c r="K826" s="4"/>
      <c r="L826" s="4"/>
      <c r="M826" s="4"/>
      <c r="N826" s="4"/>
      <c r="O826" s="4"/>
      <c r="P826" s="4"/>
      <c r="Q826" s="4"/>
      <c r="R826" s="4"/>
    </row>
    <row r="827" spans="1:18" ht="17.399999999999999" x14ac:dyDescent="0.25">
      <c r="A827" s="4"/>
      <c r="B827" s="23"/>
      <c r="C827" s="4"/>
      <c r="D827" s="4"/>
      <c r="E827" s="5"/>
      <c r="F827" s="4"/>
      <c r="G827" s="4"/>
      <c r="H827" s="4"/>
      <c r="I827" s="4"/>
      <c r="J827" s="4"/>
      <c r="K827" s="4"/>
      <c r="L827" s="4"/>
      <c r="M827" s="4"/>
      <c r="N827" s="4"/>
      <c r="O827" s="4"/>
      <c r="P827" s="4"/>
      <c r="Q827" s="4"/>
      <c r="R827" s="4"/>
    </row>
    <row r="828" spans="1:18" ht="17.399999999999999" x14ac:dyDescent="0.25">
      <c r="A828" s="4"/>
      <c r="B828" s="23"/>
      <c r="C828" s="4"/>
      <c r="D828" s="4"/>
      <c r="E828" s="5"/>
      <c r="F828" s="4"/>
      <c r="G828" s="4"/>
      <c r="H828" s="4"/>
      <c r="I828" s="4"/>
      <c r="J828" s="4"/>
      <c r="K828" s="4"/>
      <c r="L828" s="4"/>
      <c r="M828" s="4"/>
      <c r="N828" s="4"/>
      <c r="O828" s="4"/>
      <c r="P828" s="4"/>
      <c r="Q828" s="4"/>
      <c r="R828" s="4"/>
    </row>
    <row r="829" spans="1:18" ht="17.399999999999999" x14ac:dyDescent="0.25">
      <c r="A829" s="4"/>
      <c r="B829" s="23"/>
      <c r="C829" s="4"/>
      <c r="D829" s="4"/>
      <c r="E829" s="5"/>
      <c r="F829" s="4"/>
      <c r="G829" s="4"/>
      <c r="H829" s="4"/>
      <c r="I829" s="4"/>
      <c r="J829" s="4"/>
      <c r="K829" s="4"/>
      <c r="L829" s="4"/>
      <c r="M829" s="4"/>
      <c r="N829" s="4"/>
      <c r="O829" s="4"/>
      <c r="P829" s="4"/>
      <c r="Q829" s="4"/>
      <c r="R829" s="4"/>
    </row>
    <row r="830" spans="1:18" ht="17.399999999999999" x14ac:dyDescent="0.25">
      <c r="A830" s="4"/>
      <c r="B830" s="23"/>
      <c r="C830" s="4"/>
      <c r="D830" s="4"/>
      <c r="E830" s="5"/>
      <c r="F830" s="4"/>
      <c r="G830" s="4"/>
      <c r="H830" s="4"/>
      <c r="I830" s="4"/>
      <c r="J830" s="4"/>
      <c r="K830" s="4"/>
      <c r="L830" s="4"/>
      <c r="M830" s="4"/>
      <c r="N830" s="4"/>
      <c r="O830" s="4"/>
      <c r="P830" s="4"/>
      <c r="Q830" s="4"/>
      <c r="R830" s="4"/>
    </row>
    <row r="831" spans="1:18" ht="17.399999999999999" x14ac:dyDescent="0.25">
      <c r="A831" s="4"/>
      <c r="B831" s="23"/>
      <c r="C831" s="4"/>
      <c r="D831" s="4"/>
      <c r="E831" s="5"/>
      <c r="F831" s="4"/>
      <c r="G831" s="4"/>
      <c r="H831" s="4"/>
      <c r="I831" s="4"/>
      <c r="J831" s="4"/>
      <c r="K831" s="4"/>
      <c r="L831" s="4"/>
      <c r="M831" s="4"/>
      <c r="N831" s="4"/>
      <c r="O831" s="4"/>
      <c r="P831" s="4"/>
      <c r="Q831" s="4"/>
      <c r="R831" s="4"/>
    </row>
    <row r="832" spans="1:18" ht="17.399999999999999" x14ac:dyDescent="0.25">
      <c r="A832" s="4"/>
      <c r="B832" s="23"/>
      <c r="C832" s="4"/>
      <c r="D832" s="4"/>
      <c r="E832" s="5"/>
      <c r="F832" s="4"/>
      <c r="G832" s="4"/>
      <c r="H832" s="4"/>
      <c r="I832" s="4"/>
      <c r="J832" s="4"/>
      <c r="K832" s="4"/>
      <c r="L832" s="4"/>
      <c r="M832" s="4"/>
      <c r="N832" s="4"/>
      <c r="O832" s="4"/>
      <c r="P832" s="4"/>
      <c r="Q832" s="4"/>
      <c r="R832" s="4"/>
    </row>
    <row r="833" spans="1:18" ht="17.399999999999999" x14ac:dyDescent="0.25">
      <c r="A833" s="4"/>
      <c r="B833" s="23"/>
      <c r="C833" s="4"/>
      <c r="D833" s="4"/>
      <c r="E833" s="5"/>
      <c r="F833" s="4"/>
      <c r="G833" s="4"/>
      <c r="H833" s="4"/>
      <c r="I833" s="4"/>
      <c r="J833" s="4"/>
      <c r="K833" s="4"/>
      <c r="L833" s="4"/>
      <c r="M833" s="4"/>
      <c r="N833" s="4"/>
      <c r="O833" s="4"/>
      <c r="P833" s="4"/>
      <c r="Q833" s="4"/>
      <c r="R833" s="4"/>
    </row>
    <row r="834" spans="1:18" ht="17.399999999999999" x14ac:dyDescent="0.25">
      <c r="A834" s="4"/>
      <c r="B834" s="23"/>
      <c r="C834" s="4"/>
      <c r="D834" s="4"/>
      <c r="E834" s="5"/>
      <c r="F834" s="4"/>
      <c r="G834" s="4"/>
      <c r="H834" s="4"/>
      <c r="I834" s="4"/>
      <c r="J834" s="4"/>
      <c r="K834" s="4"/>
      <c r="L834" s="4"/>
      <c r="M834" s="4"/>
      <c r="N834" s="4"/>
      <c r="O834" s="4"/>
      <c r="P834" s="4"/>
      <c r="Q834" s="4"/>
      <c r="R834" s="4"/>
    </row>
    <row r="835" spans="1:18" ht="17.399999999999999" x14ac:dyDescent="0.25">
      <c r="A835" s="4"/>
      <c r="B835" s="23"/>
      <c r="C835" s="4"/>
      <c r="D835" s="4"/>
      <c r="E835" s="5"/>
      <c r="F835" s="4"/>
      <c r="G835" s="4"/>
      <c r="H835" s="4"/>
      <c r="I835" s="4"/>
      <c r="J835" s="4"/>
      <c r="K835" s="4"/>
      <c r="L835" s="4"/>
      <c r="M835" s="4"/>
      <c r="N835" s="4"/>
      <c r="O835" s="4"/>
      <c r="P835" s="4"/>
      <c r="Q835" s="4"/>
      <c r="R835" s="4"/>
    </row>
    <row r="836" spans="1:18" ht="17.399999999999999" x14ac:dyDescent="0.25">
      <c r="A836" s="4"/>
      <c r="B836" s="23"/>
      <c r="C836" s="4"/>
      <c r="D836" s="4"/>
      <c r="E836" s="5"/>
      <c r="F836" s="4"/>
      <c r="G836" s="4"/>
      <c r="H836" s="4"/>
      <c r="I836" s="4"/>
      <c r="J836" s="4"/>
      <c r="K836" s="4"/>
      <c r="L836" s="4"/>
      <c r="M836" s="4"/>
      <c r="N836" s="4"/>
      <c r="O836" s="4"/>
      <c r="P836" s="4"/>
      <c r="Q836" s="4"/>
      <c r="R836" s="4"/>
    </row>
    <row r="837" spans="1:18" ht="17.399999999999999" x14ac:dyDescent="0.25">
      <c r="A837" s="4"/>
      <c r="B837" s="23"/>
      <c r="C837" s="4"/>
      <c r="D837" s="4"/>
      <c r="E837" s="5"/>
      <c r="F837" s="4"/>
      <c r="G837" s="4"/>
      <c r="H837" s="4"/>
      <c r="I837" s="4"/>
      <c r="J837" s="4"/>
      <c r="K837" s="4"/>
      <c r="L837" s="4"/>
      <c r="M837" s="4"/>
      <c r="N837" s="4"/>
      <c r="O837" s="4"/>
      <c r="P837" s="4"/>
      <c r="Q837" s="4"/>
      <c r="R837" s="4"/>
    </row>
    <row r="838" spans="1:18" ht="17.399999999999999" x14ac:dyDescent="0.25">
      <c r="A838" s="4"/>
      <c r="B838" s="23"/>
      <c r="C838" s="4"/>
      <c r="D838" s="4"/>
      <c r="E838" s="5"/>
      <c r="F838" s="4"/>
      <c r="G838" s="4"/>
      <c r="H838" s="4"/>
      <c r="I838" s="4"/>
      <c r="J838" s="4"/>
      <c r="K838" s="4"/>
      <c r="L838" s="4"/>
      <c r="M838" s="4"/>
      <c r="N838" s="4"/>
      <c r="O838" s="4"/>
      <c r="P838" s="4"/>
      <c r="Q838" s="4"/>
      <c r="R838" s="4"/>
    </row>
    <row r="839" spans="1:18" ht="17.399999999999999" x14ac:dyDescent="0.25">
      <c r="A839" s="4"/>
      <c r="B839" s="23"/>
      <c r="C839" s="4"/>
      <c r="D839" s="4"/>
      <c r="E839" s="5"/>
      <c r="F839" s="4"/>
      <c r="G839" s="4"/>
      <c r="H839" s="4"/>
      <c r="I839" s="4"/>
      <c r="J839" s="4"/>
      <c r="K839" s="4"/>
      <c r="L839" s="4"/>
      <c r="M839" s="4"/>
      <c r="N839" s="4"/>
      <c r="O839" s="4"/>
      <c r="P839" s="4"/>
      <c r="Q839" s="4"/>
      <c r="R839" s="4"/>
    </row>
    <row r="840" spans="1:18" ht="17.399999999999999" x14ac:dyDescent="0.25">
      <c r="A840" s="4"/>
      <c r="B840" s="23"/>
      <c r="C840" s="4"/>
      <c r="D840" s="4"/>
      <c r="E840" s="5"/>
      <c r="F840" s="4"/>
      <c r="G840" s="4"/>
      <c r="H840" s="4"/>
      <c r="I840" s="4"/>
      <c r="J840" s="4"/>
      <c r="K840" s="4"/>
      <c r="L840" s="4"/>
      <c r="M840" s="4"/>
      <c r="N840" s="4"/>
      <c r="O840" s="4"/>
      <c r="P840" s="4"/>
      <c r="Q840" s="4"/>
      <c r="R840" s="4"/>
    </row>
    <row r="841" spans="1:18" ht="17.399999999999999" x14ac:dyDescent="0.25">
      <c r="A841" s="4"/>
      <c r="B841" s="23"/>
      <c r="C841" s="4"/>
      <c r="D841" s="4"/>
      <c r="E841" s="5"/>
      <c r="F841" s="4"/>
      <c r="G841" s="4"/>
      <c r="H841" s="4"/>
      <c r="I841" s="4"/>
      <c r="J841" s="4"/>
      <c r="K841" s="4"/>
      <c r="L841" s="4"/>
      <c r="M841" s="4"/>
      <c r="N841" s="4"/>
      <c r="O841" s="4"/>
      <c r="P841" s="4"/>
      <c r="Q841" s="4"/>
      <c r="R841" s="4"/>
    </row>
    <row r="842" spans="1:18" ht="17.399999999999999" x14ac:dyDescent="0.25">
      <c r="A842" s="4"/>
      <c r="B842" s="23"/>
      <c r="C842" s="4"/>
      <c r="D842" s="4"/>
      <c r="E842" s="5"/>
      <c r="F842" s="4"/>
      <c r="G842" s="4"/>
      <c r="H842" s="4"/>
      <c r="I842" s="4"/>
      <c r="J842" s="4"/>
      <c r="K842" s="4"/>
      <c r="L842" s="4"/>
      <c r="M842" s="4"/>
      <c r="N842" s="4"/>
      <c r="O842" s="4"/>
      <c r="P842" s="4"/>
      <c r="Q842" s="4"/>
      <c r="R842" s="4"/>
    </row>
    <row r="843" spans="1:18" ht="17.399999999999999" x14ac:dyDescent="0.25">
      <c r="A843" s="4"/>
      <c r="B843" s="23"/>
      <c r="C843" s="4"/>
      <c r="D843" s="4"/>
      <c r="E843" s="5"/>
      <c r="F843" s="4"/>
      <c r="G843" s="4"/>
      <c r="H843" s="4"/>
      <c r="I843" s="4"/>
      <c r="J843" s="4"/>
      <c r="K843" s="4"/>
      <c r="L843" s="4"/>
      <c r="M843" s="4"/>
      <c r="N843" s="4"/>
      <c r="O843" s="4"/>
      <c r="P843" s="4"/>
      <c r="Q843" s="4"/>
      <c r="R843" s="4"/>
    </row>
    <row r="844" spans="1:18" ht="17.399999999999999" x14ac:dyDescent="0.25">
      <c r="A844" s="4"/>
      <c r="B844" s="23"/>
      <c r="C844" s="4"/>
      <c r="D844" s="4"/>
      <c r="E844" s="5"/>
      <c r="F844" s="4"/>
      <c r="G844" s="4"/>
      <c r="H844" s="4"/>
      <c r="I844" s="4"/>
      <c r="J844" s="4"/>
      <c r="K844" s="4"/>
      <c r="L844" s="4"/>
      <c r="M844" s="4"/>
      <c r="N844" s="4"/>
      <c r="O844" s="4"/>
      <c r="P844" s="4"/>
      <c r="Q844" s="4"/>
      <c r="R844" s="4"/>
    </row>
    <row r="845" spans="1:18" ht="17.399999999999999" x14ac:dyDescent="0.25">
      <c r="A845" s="4"/>
      <c r="B845" s="23"/>
      <c r="C845" s="4"/>
      <c r="D845" s="4"/>
      <c r="E845" s="5"/>
      <c r="F845" s="4"/>
      <c r="G845" s="4"/>
      <c r="H845" s="4"/>
      <c r="I845" s="4"/>
      <c r="J845" s="4"/>
      <c r="K845" s="4"/>
      <c r="L845" s="4"/>
      <c r="M845" s="4"/>
      <c r="N845" s="4"/>
      <c r="O845" s="4"/>
      <c r="P845" s="4"/>
      <c r="Q845" s="4"/>
      <c r="R845" s="4"/>
    </row>
    <row r="846" spans="1:18" ht="17.399999999999999" x14ac:dyDescent="0.25">
      <c r="A846" s="4"/>
      <c r="B846" s="23"/>
      <c r="C846" s="4"/>
      <c r="D846" s="4"/>
      <c r="E846" s="5"/>
      <c r="F846" s="4"/>
      <c r="G846" s="4"/>
      <c r="H846" s="4"/>
      <c r="I846" s="4"/>
      <c r="J846" s="4"/>
      <c r="K846" s="4"/>
      <c r="L846" s="4"/>
      <c r="M846" s="4"/>
      <c r="N846" s="4"/>
      <c r="O846" s="4"/>
      <c r="P846" s="4"/>
      <c r="Q846" s="4"/>
      <c r="R846" s="4"/>
    </row>
    <row r="847" spans="1:18" ht="17.399999999999999" x14ac:dyDescent="0.25">
      <c r="A847" s="4"/>
      <c r="B847" s="23"/>
      <c r="C847" s="4"/>
      <c r="D847" s="4"/>
      <c r="E847" s="5"/>
      <c r="F847" s="4"/>
      <c r="G847" s="4"/>
      <c r="H847" s="4"/>
      <c r="I847" s="4"/>
      <c r="J847" s="4"/>
      <c r="K847" s="4"/>
      <c r="L847" s="4"/>
      <c r="M847" s="4"/>
      <c r="N847" s="4"/>
      <c r="O847" s="4"/>
      <c r="P847" s="4"/>
      <c r="Q847" s="4"/>
      <c r="R847" s="4"/>
    </row>
    <row r="848" spans="1:18" ht="17.399999999999999" x14ac:dyDescent="0.25">
      <c r="A848" s="4"/>
      <c r="B848" s="23"/>
      <c r="C848" s="4"/>
      <c r="D848" s="4"/>
      <c r="E848" s="5"/>
      <c r="F848" s="4"/>
      <c r="G848" s="4"/>
      <c r="H848" s="4"/>
      <c r="I848" s="4"/>
      <c r="J848" s="4"/>
      <c r="K848" s="4"/>
      <c r="L848" s="4"/>
      <c r="M848" s="4"/>
      <c r="N848" s="4"/>
      <c r="O848" s="4"/>
      <c r="P848" s="4"/>
      <c r="Q848" s="4"/>
      <c r="R848" s="4"/>
    </row>
    <row r="849" spans="1:18" ht="17.399999999999999" x14ac:dyDescent="0.25">
      <c r="A849" s="4"/>
      <c r="B849" s="23"/>
      <c r="C849" s="4"/>
      <c r="D849" s="4"/>
      <c r="E849" s="5"/>
      <c r="F849" s="4"/>
      <c r="G849" s="4"/>
      <c r="H849" s="4"/>
      <c r="I849" s="4"/>
      <c r="J849" s="4"/>
      <c r="K849" s="4"/>
      <c r="L849" s="4"/>
      <c r="M849" s="4"/>
      <c r="N849" s="4"/>
      <c r="O849" s="4"/>
      <c r="P849" s="4"/>
      <c r="Q849" s="4"/>
      <c r="R849" s="4"/>
    </row>
    <row r="850" spans="1:18" ht="17.399999999999999" x14ac:dyDescent="0.25">
      <c r="A850" s="4"/>
      <c r="B850" s="23"/>
      <c r="C850" s="4"/>
      <c r="D850" s="4"/>
      <c r="E850" s="5"/>
      <c r="F850" s="4"/>
      <c r="G850" s="4"/>
      <c r="H850" s="4"/>
      <c r="I850" s="4"/>
      <c r="J850" s="4"/>
      <c r="K850" s="4"/>
      <c r="L850" s="4"/>
      <c r="M850" s="4"/>
      <c r="N850" s="4"/>
      <c r="O850" s="4"/>
      <c r="P850" s="4"/>
      <c r="Q850" s="4"/>
      <c r="R850" s="4"/>
    </row>
    <row r="851" spans="1:18" ht="17.399999999999999" x14ac:dyDescent="0.25">
      <c r="A851" s="4"/>
      <c r="B851" s="23"/>
      <c r="C851" s="4"/>
      <c r="D851" s="4"/>
      <c r="E851" s="5"/>
      <c r="F851" s="4"/>
      <c r="G851" s="4"/>
      <c r="H851" s="4"/>
      <c r="I851" s="4"/>
      <c r="J851" s="4"/>
      <c r="K851" s="4"/>
      <c r="L851" s="4"/>
      <c r="M851" s="4"/>
      <c r="N851" s="4"/>
      <c r="O851" s="4"/>
      <c r="P851" s="4"/>
      <c r="Q851" s="4"/>
      <c r="R851" s="4"/>
    </row>
    <row r="852" spans="1:18" ht="17.399999999999999" x14ac:dyDescent="0.25">
      <c r="A852" s="4"/>
      <c r="B852" s="23"/>
      <c r="C852" s="4"/>
      <c r="D852" s="4"/>
      <c r="E852" s="5"/>
      <c r="F852" s="4"/>
      <c r="G852" s="4"/>
      <c r="H852" s="4"/>
      <c r="I852" s="4"/>
      <c r="J852" s="4"/>
      <c r="K852" s="4"/>
      <c r="L852" s="4"/>
      <c r="M852" s="4"/>
      <c r="N852" s="4"/>
      <c r="O852" s="4"/>
      <c r="P852" s="4"/>
      <c r="Q852" s="4"/>
      <c r="R852" s="4"/>
    </row>
    <row r="853" spans="1:18" ht="17.399999999999999" x14ac:dyDescent="0.25">
      <c r="A853" s="4"/>
      <c r="B853" s="23"/>
      <c r="C853" s="4"/>
      <c r="D853" s="4"/>
      <c r="E853" s="5"/>
      <c r="F853" s="4"/>
      <c r="G853" s="4"/>
      <c r="H853" s="4"/>
      <c r="I853" s="4"/>
      <c r="J853" s="4"/>
      <c r="K853" s="4"/>
      <c r="L853" s="4"/>
      <c r="M853" s="4"/>
      <c r="N853" s="4"/>
      <c r="O853" s="4"/>
      <c r="P853" s="4"/>
      <c r="Q853" s="4"/>
      <c r="R853" s="4"/>
    </row>
    <row r="854" spans="1:18" ht="17.399999999999999" x14ac:dyDescent="0.25">
      <c r="A854" s="4"/>
      <c r="B854" s="23"/>
      <c r="C854" s="4"/>
      <c r="D854" s="4"/>
      <c r="E854" s="5"/>
      <c r="F854" s="4"/>
      <c r="G854" s="4"/>
      <c r="H854" s="4"/>
      <c r="I854" s="4"/>
      <c r="J854" s="4"/>
      <c r="K854" s="4"/>
      <c r="L854" s="4"/>
      <c r="M854" s="4"/>
      <c r="N854" s="4"/>
      <c r="O854" s="4"/>
      <c r="P854" s="4"/>
      <c r="Q854" s="4"/>
      <c r="R854" s="4"/>
    </row>
    <row r="855" spans="1:18" ht="17.399999999999999" x14ac:dyDescent="0.25">
      <c r="A855" s="4"/>
      <c r="B855" s="23"/>
      <c r="C855" s="4"/>
      <c r="D855" s="4"/>
      <c r="E855" s="5"/>
      <c r="F855" s="4"/>
      <c r="G855" s="4"/>
      <c r="H855" s="4"/>
      <c r="I855" s="4"/>
      <c r="J855" s="4"/>
      <c r="K855" s="4"/>
      <c r="L855" s="4"/>
      <c r="M855" s="4"/>
      <c r="N855" s="4"/>
      <c r="O855" s="4"/>
      <c r="P855" s="4"/>
      <c r="Q855" s="4"/>
      <c r="R855" s="4"/>
    </row>
    <row r="856" spans="1:18" ht="17.399999999999999" x14ac:dyDescent="0.25">
      <c r="A856" s="4"/>
      <c r="B856" s="23"/>
      <c r="C856" s="4"/>
      <c r="D856" s="4"/>
      <c r="E856" s="5"/>
      <c r="F856" s="4"/>
      <c r="G856" s="4"/>
      <c r="H856" s="4"/>
      <c r="I856" s="4"/>
      <c r="J856" s="4"/>
      <c r="K856" s="4"/>
      <c r="L856" s="4"/>
      <c r="M856" s="4"/>
      <c r="N856" s="4"/>
      <c r="O856" s="4"/>
      <c r="P856" s="4"/>
      <c r="Q856" s="4"/>
      <c r="R856" s="4"/>
    </row>
    <row r="857" spans="1:18" ht="17.399999999999999" x14ac:dyDescent="0.25">
      <c r="A857" s="4"/>
      <c r="B857" s="23"/>
      <c r="C857" s="4"/>
      <c r="D857" s="4"/>
      <c r="E857" s="5"/>
      <c r="F857" s="4"/>
      <c r="G857" s="4"/>
      <c r="H857" s="4"/>
      <c r="I857" s="4"/>
      <c r="J857" s="4"/>
      <c r="K857" s="4"/>
      <c r="L857" s="4"/>
      <c r="M857" s="4"/>
      <c r="N857" s="4"/>
      <c r="O857" s="4"/>
      <c r="P857" s="4"/>
      <c r="Q857" s="4"/>
      <c r="R857" s="4"/>
    </row>
    <row r="858" spans="1:18" ht="17.399999999999999" x14ac:dyDescent="0.25">
      <c r="A858" s="4"/>
      <c r="B858" s="23"/>
      <c r="C858" s="4"/>
      <c r="D858" s="4"/>
      <c r="E858" s="5"/>
      <c r="F858" s="4"/>
      <c r="G858" s="4"/>
      <c r="H858" s="4"/>
      <c r="I858" s="4"/>
      <c r="J858" s="4"/>
      <c r="K858" s="4"/>
      <c r="L858" s="4"/>
      <c r="M858" s="4"/>
      <c r="N858" s="4"/>
      <c r="O858" s="4"/>
      <c r="P858" s="4"/>
      <c r="Q858" s="4"/>
      <c r="R858" s="4"/>
    </row>
    <row r="859" spans="1:18" ht="17.399999999999999" x14ac:dyDescent="0.25">
      <c r="A859" s="4"/>
      <c r="B859" s="23"/>
      <c r="C859" s="4"/>
      <c r="D859" s="4"/>
      <c r="E859" s="5"/>
      <c r="F859" s="4"/>
      <c r="G859" s="4"/>
      <c r="H859" s="4"/>
      <c r="I859" s="4"/>
      <c r="J859" s="4"/>
      <c r="K859" s="4"/>
      <c r="L859" s="4"/>
      <c r="M859" s="4"/>
      <c r="N859" s="4"/>
      <c r="O859" s="4"/>
      <c r="P859" s="4"/>
      <c r="Q859" s="4"/>
      <c r="R859" s="4"/>
    </row>
    <row r="860" spans="1:18" ht="17.399999999999999" x14ac:dyDescent="0.25">
      <c r="A860" s="4"/>
      <c r="B860" s="23"/>
      <c r="C860" s="4"/>
      <c r="D860" s="4"/>
      <c r="E860" s="5"/>
      <c r="F860" s="4"/>
      <c r="G860" s="4"/>
      <c r="H860" s="4"/>
      <c r="I860" s="4"/>
      <c r="J860" s="4"/>
      <c r="K860" s="4"/>
      <c r="L860" s="4"/>
      <c r="M860" s="4"/>
      <c r="N860" s="4"/>
      <c r="O860" s="4"/>
      <c r="P860" s="4"/>
      <c r="Q860" s="4"/>
      <c r="R860" s="4"/>
    </row>
    <row r="861" spans="1:18" ht="17.399999999999999" x14ac:dyDescent="0.25">
      <c r="A861" s="4"/>
      <c r="B861" s="23"/>
      <c r="C861" s="4"/>
      <c r="D861" s="4"/>
      <c r="E861" s="5"/>
      <c r="F861" s="4"/>
      <c r="G861" s="4"/>
      <c r="H861" s="4"/>
      <c r="I861" s="4"/>
      <c r="J861" s="4"/>
      <c r="K861" s="4"/>
      <c r="L861" s="4"/>
      <c r="M861" s="4"/>
      <c r="N861" s="4"/>
      <c r="O861" s="4"/>
      <c r="P861" s="4"/>
      <c r="Q861" s="4"/>
      <c r="R861" s="4"/>
    </row>
    <row r="862" spans="1:18" ht="17.399999999999999" x14ac:dyDescent="0.25">
      <c r="A862" s="4"/>
      <c r="B862" s="23"/>
      <c r="C862" s="4"/>
      <c r="D862" s="4"/>
      <c r="E862" s="5"/>
      <c r="F862" s="4"/>
      <c r="G862" s="4"/>
      <c r="H862" s="4"/>
      <c r="I862" s="4"/>
      <c r="J862" s="4"/>
      <c r="K862" s="4"/>
      <c r="L862" s="4"/>
      <c r="M862" s="4"/>
      <c r="N862" s="4"/>
      <c r="O862" s="4"/>
      <c r="P862" s="4"/>
      <c r="Q862" s="4"/>
      <c r="R862" s="4"/>
    </row>
    <row r="863" spans="1:18" ht="17.399999999999999" x14ac:dyDescent="0.25">
      <c r="A863" s="4"/>
      <c r="B863" s="23"/>
      <c r="C863" s="4"/>
      <c r="D863" s="4"/>
      <c r="E863" s="5"/>
      <c r="F863" s="4"/>
      <c r="G863" s="4"/>
      <c r="H863" s="4"/>
      <c r="I863" s="4"/>
      <c r="J863" s="4"/>
      <c r="K863" s="4"/>
      <c r="L863" s="4"/>
      <c r="M863" s="4"/>
      <c r="N863" s="4"/>
      <c r="O863" s="4"/>
      <c r="P863" s="4"/>
      <c r="Q863" s="4"/>
      <c r="R863" s="4"/>
    </row>
    <row r="864" spans="1:18" ht="17.399999999999999" x14ac:dyDescent="0.25">
      <c r="A864" s="4"/>
      <c r="B864" s="23"/>
      <c r="C864" s="4"/>
      <c r="D864" s="4"/>
      <c r="E864" s="5"/>
      <c r="F864" s="4"/>
      <c r="G864" s="4"/>
      <c r="H864" s="4"/>
      <c r="I864" s="4"/>
      <c r="J864" s="4"/>
      <c r="K864" s="4"/>
      <c r="L864" s="4"/>
      <c r="M864" s="4"/>
      <c r="N864" s="4"/>
      <c r="O864" s="4"/>
      <c r="P864" s="4"/>
      <c r="Q864" s="4"/>
      <c r="R864" s="4"/>
    </row>
    <row r="865" spans="1:18" ht="17.399999999999999" x14ac:dyDescent="0.25">
      <c r="A865" s="4"/>
      <c r="B865" s="23"/>
      <c r="C865" s="4"/>
      <c r="D865" s="4"/>
      <c r="E865" s="5"/>
      <c r="F865" s="4"/>
      <c r="G865" s="4"/>
      <c r="H865" s="4"/>
      <c r="I865" s="4"/>
      <c r="J865" s="4"/>
      <c r="K865" s="4"/>
      <c r="L865" s="4"/>
      <c r="M865" s="4"/>
      <c r="N865" s="4"/>
      <c r="O865" s="4"/>
      <c r="P865" s="4"/>
      <c r="Q865" s="4"/>
      <c r="R865" s="4"/>
    </row>
    <row r="866" spans="1:18" ht="17.399999999999999" x14ac:dyDescent="0.25">
      <c r="A866" s="4"/>
      <c r="B866" s="23"/>
      <c r="C866" s="4"/>
      <c r="D866" s="4"/>
      <c r="E866" s="5"/>
      <c r="F866" s="4"/>
      <c r="G866" s="4"/>
      <c r="H866" s="4"/>
      <c r="I866" s="4"/>
      <c r="J866" s="4"/>
      <c r="K866" s="4"/>
      <c r="L866" s="4"/>
      <c r="M866" s="4"/>
      <c r="N866" s="4"/>
      <c r="O866" s="4"/>
      <c r="P866" s="4"/>
      <c r="Q866" s="4"/>
      <c r="R866" s="4"/>
    </row>
    <row r="867" spans="1:18" ht="17.399999999999999" x14ac:dyDescent="0.25">
      <c r="A867" s="4"/>
      <c r="B867" s="23"/>
      <c r="C867" s="4"/>
      <c r="D867" s="4"/>
      <c r="E867" s="5"/>
      <c r="F867" s="4"/>
      <c r="G867" s="4"/>
      <c r="H867" s="4"/>
      <c r="I867" s="4"/>
      <c r="J867" s="4"/>
      <c r="K867" s="4"/>
      <c r="L867" s="4"/>
      <c r="M867" s="4"/>
      <c r="N867" s="4"/>
      <c r="O867" s="4"/>
      <c r="P867" s="4"/>
      <c r="Q867" s="4"/>
      <c r="R867" s="4"/>
    </row>
    <row r="868" spans="1:18" ht="17.399999999999999" x14ac:dyDescent="0.25">
      <c r="A868" s="4"/>
      <c r="B868" s="23"/>
      <c r="C868" s="4"/>
      <c r="D868" s="4"/>
      <c r="E868" s="5"/>
      <c r="F868" s="4"/>
      <c r="G868" s="4"/>
      <c r="H868" s="4"/>
      <c r="I868" s="4"/>
      <c r="J868" s="4"/>
      <c r="K868" s="4"/>
      <c r="L868" s="4"/>
      <c r="M868" s="4"/>
      <c r="N868" s="4"/>
      <c r="O868" s="4"/>
      <c r="P868" s="4"/>
      <c r="Q868" s="4"/>
      <c r="R868" s="4"/>
    </row>
    <row r="869" spans="1:18" ht="17.399999999999999" x14ac:dyDescent="0.25">
      <c r="A869" s="4"/>
      <c r="B869" s="23"/>
      <c r="C869" s="4"/>
      <c r="D869" s="4"/>
      <c r="E869" s="5"/>
      <c r="F869" s="4"/>
      <c r="G869" s="4"/>
      <c r="H869" s="4"/>
      <c r="I869" s="4"/>
      <c r="J869" s="4"/>
      <c r="K869" s="4"/>
      <c r="L869" s="4"/>
      <c r="M869" s="4"/>
      <c r="N869" s="4"/>
      <c r="O869" s="4"/>
      <c r="P869" s="4"/>
      <c r="Q869" s="4"/>
      <c r="R869" s="4"/>
    </row>
    <row r="870" spans="1:18" ht="17.399999999999999" x14ac:dyDescent="0.25">
      <c r="A870" s="4"/>
      <c r="B870" s="23"/>
      <c r="C870" s="4"/>
      <c r="D870" s="4"/>
      <c r="E870" s="5"/>
      <c r="F870" s="4"/>
      <c r="G870" s="4"/>
      <c r="H870" s="4"/>
      <c r="I870" s="4"/>
      <c r="J870" s="4"/>
      <c r="K870" s="4"/>
      <c r="L870" s="4"/>
      <c r="M870" s="4"/>
      <c r="N870" s="4"/>
      <c r="O870" s="4"/>
      <c r="P870" s="4"/>
      <c r="Q870" s="4"/>
      <c r="R870" s="4"/>
    </row>
    <row r="871" spans="1:18" ht="17.399999999999999" x14ac:dyDescent="0.25">
      <c r="A871" s="4"/>
      <c r="B871" s="23"/>
      <c r="C871" s="4"/>
      <c r="D871" s="4"/>
      <c r="E871" s="5"/>
      <c r="F871" s="4"/>
      <c r="G871" s="4"/>
      <c r="H871" s="4"/>
      <c r="I871" s="4"/>
      <c r="J871" s="4"/>
      <c r="K871" s="4"/>
      <c r="L871" s="4"/>
      <c r="M871" s="4"/>
      <c r="N871" s="4"/>
      <c r="O871" s="4"/>
      <c r="P871" s="4"/>
      <c r="Q871" s="4"/>
      <c r="R871" s="4"/>
    </row>
    <row r="872" spans="1:18" ht="17.399999999999999" x14ac:dyDescent="0.25">
      <c r="A872" s="4"/>
      <c r="B872" s="23"/>
      <c r="C872" s="4"/>
      <c r="D872" s="4"/>
      <c r="E872" s="5"/>
      <c r="F872" s="4"/>
      <c r="G872" s="4"/>
      <c r="H872" s="4"/>
      <c r="I872" s="4"/>
      <c r="J872" s="4"/>
      <c r="K872" s="4"/>
      <c r="L872" s="4"/>
      <c r="M872" s="4"/>
      <c r="N872" s="4"/>
      <c r="O872" s="4"/>
      <c r="P872" s="4"/>
      <c r="Q872" s="4"/>
      <c r="R872" s="4"/>
    </row>
    <row r="873" spans="1:18" ht="17.399999999999999" x14ac:dyDescent="0.25">
      <c r="A873" s="4"/>
      <c r="B873" s="23"/>
      <c r="C873" s="4"/>
      <c r="D873" s="4"/>
      <c r="E873" s="5"/>
      <c r="F873" s="4"/>
      <c r="G873" s="4"/>
      <c r="H873" s="4"/>
      <c r="I873" s="4"/>
      <c r="J873" s="4"/>
      <c r="K873" s="4"/>
      <c r="L873" s="4"/>
      <c r="M873" s="4"/>
      <c r="N873" s="4"/>
      <c r="O873" s="4"/>
      <c r="P873" s="4"/>
      <c r="Q873" s="4"/>
      <c r="R873" s="4"/>
    </row>
    <row r="874" spans="1:18" ht="17.399999999999999" x14ac:dyDescent="0.25">
      <c r="A874" s="4"/>
      <c r="B874" s="23"/>
      <c r="C874" s="4"/>
      <c r="D874" s="4"/>
      <c r="E874" s="5"/>
      <c r="F874" s="4"/>
      <c r="G874" s="4"/>
      <c r="H874" s="4"/>
      <c r="I874" s="4"/>
      <c r="J874" s="4"/>
      <c r="K874" s="4"/>
      <c r="L874" s="4"/>
      <c r="M874" s="4"/>
      <c r="N874" s="4"/>
      <c r="O874" s="4"/>
      <c r="P874" s="4"/>
      <c r="Q874" s="4"/>
      <c r="R874" s="4"/>
    </row>
    <row r="875" spans="1:18" ht="17.399999999999999" x14ac:dyDescent="0.25">
      <c r="A875" s="4"/>
      <c r="B875" s="23"/>
      <c r="C875" s="4"/>
      <c r="D875" s="4"/>
      <c r="E875" s="5"/>
      <c r="F875" s="4"/>
      <c r="G875" s="4"/>
      <c r="H875" s="4"/>
      <c r="I875" s="4"/>
      <c r="J875" s="4"/>
      <c r="K875" s="4"/>
      <c r="L875" s="4"/>
      <c r="M875" s="4"/>
      <c r="N875" s="4"/>
      <c r="O875" s="4"/>
      <c r="P875" s="4"/>
      <c r="Q875" s="4"/>
      <c r="R875" s="4"/>
    </row>
    <row r="876" spans="1:18" ht="17.399999999999999" x14ac:dyDescent="0.25">
      <c r="A876" s="4"/>
      <c r="B876" s="23"/>
      <c r="C876" s="4"/>
      <c r="D876" s="4"/>
      <c r="E876" s="5"/>
      <c r="F876" s="4"/>
      <c r="G876" s="4"/>
      <c r="H876" s="4"/>
      <c r="I876" s="4"/>
      <c r="J876" s="4"/>
      <c r="K876" s="4"/>
      <c r="L876" s="4"/>
      <c r="M876" s="4"/>
      <c r="N876" s="4"/>
      <c r="O876" s="4"/>
      <c r="P876" s="4"/>
      <c r="Q876" s="4"/>
      <c r="R876" s="4"/>
    </row>
    <row r="877" spans="1:18" ht="17.399999999999999" x14ac:dyDescent="0.25">
      <c r="A877" s="4"/>
      <c r="B877" s="23"/>
      <c r="C877" s="4"/>
      <c r="D877" s="4"/>
      <c r="E877" s="5"/>
      <c r="F877" s="4"/>
      <c r="G877" s="4"/>
      <c r="H877" s="4"/>
      <c r="I877" s="4"/>
      <c r="J877" s="4"/>
      <c r="K877" s="4"/>
      <c r="L877" s="4"/>
      <c r="M877" s="4"/>
      <c r="N877" s="4"/>
      <c r="O877" s="4"/>
      <c r="P877" s="4"/>
      <c r="Q877" s="4"/>
      <c r="R877" s="4"/>
    </row>
    <row r="878" spans="1:18" ht="17.399999999999999" x14ac:dyDescent="0.25">
      <c r="A878" s="4"/>
      <c r="B878" s="23"/>
      <c r="C878" s="4"/>
      <c r="D878" s="4"/>
      <c r="E878" s="5"/>
      <c r="F878" s="4"/>
      <c r="G878" s="4"/>
      <c r="H878" s="4"/>
      <c r="I878" s="4"/>
      <c r="J878" s="4"/>
      <c r="K878" s="4"/>
      <c r="L878" s="4"/>
      <c r="M878" s="4"/>
      <c r="N878" s="4"/>
      <c r="O878" s="4"/>
      <c r="P878" s="4"/>
      <c r="Q878" s="4"/>
      <c r="R878" s="4"/>
    </row>
    <row r="879" spans="1:18" ht="17.399999999999999" x14ac:dyDescent="0.25">
      <c r="A879" s="4"/>
      <c r="B879" s="23"/>
      <c r="C879" s="4"/>
      <c r="D879" s="4"/>
      <c r="E879" s="5"/>
      <c r="F879" s="4"/>
      <c r="G879" s="4"/>
      <c r="H879" s="4"/>
      <c r="I879" s="4"/>
      <c r="J879" s="4"/>
      <c r="K879" s="4"/>
      <c r="L879" s="4"/>
      <c r="M879" s="4"/>
      <c r="N879" s="4"/>
      <c r="O879" s="4"/>
      <c r="P879" s="4"/>
      <c r="Q879" s="4"/>
      <c r="R879" s="4"/>
    </row>
    <row r="880" spans="1:18" ht="17.399999999999999" x14ac:dyDescent="0.25">
      <c r="A880" s="4"/>
      <c r="B880" s="23"/>
      <c r="C880" s="4"/>
      <c r="D880" s="4"/>
      <c r="E880" s="5"/>
      <c r="F880" s="4"/>
      <c r="G880" s="4"/>
      <c r="H880" s="4"/>
      <c r="I880" s="4"/>
      <c r="J880" s="4"/>
      <c r="K880" s="4"/>
      <c r="L880" s="4"/>
      <c r="M880" s="4"/>
      <c r="N880" s="4"/>
      <c r="O880" s="4"/>
      <c r="P880" s="4"/>
      <c r="Q880" s="4"/>
      <c r="R880" s="4"/>
    </row>
    <row r="881" spans="1:18" ht="17.399999999999999" x14ac:dyDescent="0.25">
      <c r="A881" s="4"/>
      <c r="B881" s="23"/>
      <c r="C881" s="4"/>
      <c r="D881" s="4"/>
      <c r="E881" s="5"/>
      <c r="F881" s="4"/>
      <c r="G881" s="4"/>
      <c r="H881" s="4"/>
      <c r="I881" s="4"/>
      <c r="J881" s="4"/>
      <c r="K881" s="4"/>
      <c r="L881" s="4"/>
      <c r="M881" s="4"/>
      <c r="N881" s="4"/>
      <c r="O881" s="4"/>
      <c r="P881" s="4"/>
      <c r="Q881" s="4"/>
      <c r="R881" s="4"/>
    </row>
    <row r="882" spans="1:18" ht="17.399999999999999" x14ac:dyDescent="0.25">
      <c r="A882" s="4"/>
      <c r="B882" s="23"/>
      <c r="C882" s="4"/>
      <c r="D882" s="4"/>
      <c r="E882" s="5"/>
      <c r="F882" s="4"/>
      <c r="G882" s="4"/>
      <c r="H882" s="4"/>
      <c r="I882" s="4"/>
      <c r="J882" s="4"/>
      <c r="K882" s="4"/>
      <c r="L882" s="4"/>
      <c r="M882" s="4"/>
      <c r="N882" s="4"/>
      <c r="O882" s="4"/>
      <c r="P882" s="4"/>
      <c r="Q882" s="4"/>
      <c r="R882" s="4"/>
    </row>
    <row r="883" spans="1:18" ht="17.399999999999999" x14ac:dyDescent="0.25">
      <c r="A883" s="4"/>
      <c r="B883" s="23"/>
      <c r="C883" s="4"/>
      <c r="D883" s="4"/>
      <c r="E883" s="5"/>
      <c r="F883" s="4"/>
      <c r="G883" s="4"/>
      <c r="H883" s="4"/>
      <c r="I883" s="4"/>
      <c r="J883" s="4"/>
      <c r="K883" s="4"/>
      <c r="L883" s="4"/>
      <c r="M883" s="4"/>
      <c r="N883" s="4"/>
      <c r="O883" s="4"/>
      <c r="P883" s="4"/>
      <c r="Q883" s="4"/>
      <c r="R883" s="4"/>
    </row>
    <row r="884" spans="1:18" ht="17.399999999999999" x14ac:dyDescent="0.25">
      <c r="A884" s="4"/>
      <c r="B884" s="23"/>
      <c r="C884" s="4"/>
      <c r="D884" s="4"/>
      <c r="E884" s="5"/>
      <c r="F884" s="4"/>
      <c r="G884" s="4"/>
      <c r="H884" s="4"/>
      <c r="I884" s="4"/>
      <c r="J884" s="4"/>
      <c r="K884" s="4"/>
      <c r="L884" s="4"/>
      <c r="M884" s="4"/>
      <c r="N884" s="4"/>
      <c r="O884" s="4"/>
      <c r="P884" s="4"/>
      <c r="Q884" s="4"/>
      <c r="R884" s="4"/>
    </row>
    <row r="885" spans="1:18" ht="17.399999999999999" x14ac:dyDescent="0.25">
      <c r="A885" s="4"/>
      <c r="B885" s="23"/>
      <c r="C885" s="4"/>
      <c r="D885" s="4"/>
      <c r="E885" s="5"/>
      <c r="F885" s="4"/>
      <c r="G885" s="4"/>
      <c r="H885" s="4"/>
      <c r="I885" s="4"/>
      <c r="J885" s="4"/>
      <c r="K885" s="4"/>
      <c r="L885" s="4"/>
      <c r="M885" s="4"/>
      <c r="N885" s="4"/>
      <c r="O885" s="4"/>
      <c r="P885" s="4"/>
      <c r="Q885" s="4"/>
      <c r="R885" s="4"/>
    </row>
    <row r="886" spans="1:18" ht="17.399999999999999" x14ac:dyDescent="0.25">
      <c r="A886" s="4"/>
      <c r="B886" s="23"/>
      <c r="C886" s="4"/>
      <c r="D886" s="4"/>
      <c r="E886" s="5"/>
      <c r="F886" s="4"/>
      <c r="G886" s="4"/>
      <c r="H886" s="4"/>
      <c r="I886" s="4"/>
      <c r="J886" s="4"/>
      <c r="K886" s="4"/>
      <c r="L886" s="4"/>
      <c r="M886" s="4"/>
      <c r="N886" s="4"/>
      <c r="O886" s="4"/>
      <c r="P886" s="4"/>
      <c r="Q886" s="4"/>
      <c r="R886" s="4"/>
    </row>
    <row r="887" spans="1:18" ht="17.399999999999999" x14ac:dyDescent="0.25">
      <c r="A887" s="4"/>
      <c r="B887" s="23"/>
      <c r="C887" s="4"/>
      <c r="D887" s="4"/>
      <c r="E887" s="5"/>
      <c r="F887" s="4"/>
      <c r="G887" s="4"/>
      <c r="H887" s="4"/>
      <c r="I887" s="4"/>
      <c r="J887" s="4"/>
      <c r="K887" s="4"/>
      <c r="L887" s="4"/>
      <c r="M887" s="4"/>
      <c r="N887" s="4"/>
      <c r="O887" s="4"/>
      <c r="P887" s="4"/>
      <c r="Q887" s="4"/>
      <c r="R887" s="4"/>
    </row>
    <row r="888" spans="1:18" ht="17.399999999999999" x14ac:dyDescent="0.25">
      <c r="A888" s="4"/>
      <c r="B888" s="23"/>
      <c r="C888" s="4"/>
      <c r="D888" s="4"/>
      <c r="E888" s="5"/>
      <c r="F888" s="4"/>
      <c r="G888" s="4"/>
      <c r="H888" s="4"/>
      <c r="I888" s="4"/>
      <c r="J888" s="4"/>
      <c r="K888" s="4"/>
      <c r="L888" s="4"/>
      <c r="M888" s="4"/>
      <c r="N888" s="4"/>
      <c r="O888" s="4"/>
      <c r="P888" s="4"/>
      <c r="Q888" s="4"/>
      <c r="R888" s="4"/>
    </row>
    <row r="889" spans="1:18" ht="17.399999999999999" x14ac:dyDescent="0.25">
      <c r="A889" s="4"/>
      <c r="B889" s="23"/>
      <c r="C889" s="4"/>
      <c r="D889" s="4"/>
      <c r="E889" s="5"/>
      <c r="F889" s="4"/>
      <c r="G889" s="4"/>
      <c r="H889" s="4"/>
      <c r="I889" s="4"/>
      <c r="J889" s="4"/>
      <c r="K889" s="4"/>
      <c r="L889" s="4"/>
      <c r="M889" s="4"/>
      <c r="N889" s="4"/>
      <c r="O889" s="4"/>
      <c r="P889" s="4"/>
      <c r="Q889" s="4"/>
      <c r="R889" s="4"/>
    </row>
    <row r="890" spans="1:18" ht="17.399999999999999" x14ac:dyDescent="0.25">
      <c r="A890" s="4"/>
      <c r="B890" s="23"/>
      <c r="C890" s="4"/>
      <c r="D890" s="4"/>
      <c r="E890" s="5"/>
      <c r="F890" s="4"/>
      <c r="G890" s="4"/>
      <c r="H890" s="4"/>
      <c r="I890" s="4"/>
      <c r="J890" s="4"/>
      <c r="K890" s="4"/>
      <c r="L890" s="4"/>
      <c r="M890" s="4"/>
      <c r="N890" s="4"/>
      <c r="O890" s="4"/>
      <c r="P890" s="4"/>
      <c r="Q890" s="4"/>
      <c r="R890" s="4"/>
    </row>
    <row r="891" spans="1:18" ht="17.399999999999999" x14ac:dyDescent="0.25">
      <c r="A891" s="4"/>
      <c r="B891" s="23"/>
      <c r="C891" s="4"/>
      <c r="D891" s="4"/>
      <c r="E891" s="5"/>
      <c r="F891" s="4"/>
      <c r="G891" s="4"/>
      <c r="H891" s="4"/>
      <c r="I891" s="4"/>
      <c r="J891" s="4"/>
      <c r="K891" s="4"/>
      <c r="L891" s="4"/>
      <c r="M891" s="4"/>
      <c r="N891" s="4"/>
      <c r="O891" s="4"/>
      <c r="P891" s="4"/>
      <c r="Q891" s="4"/>
      <c r="R891" s="4"/>
    </row>
    <row r="892" spans="1:18" ht="17.399999999999999" x14ac:dyDescent="0.25">
      <c r="A892" s="4"/>
      <c r="B892" s="23"/>
      <c r="C892" s="4"/>
      <c r="D892" s="4"/>
      <c r="E892" s="5"/>
      <c r="F892" s="4"/>
      <c r="G892" s="4"/>
      <c r="H892" s="4"/>
      <c r="I892" s="4"/>
      <c r="J892" s="4"/>
      <c r="K892" s="4"/>
      <c r="L892" s="4"/>
      <c r="M892" s="4"/>
      <c r="N892" s="4"/>
      <c r="O892" s="4"/>
      <c r="P892" s="4"/>
      <c r="Q892" s="4"/>
      <c r="R892" s="4"/>
    </row>
    <row r="893" spans="1:18" ht="17.399999999999999" x14ac:dyDescent="0.25">
      <c r="A893" s="4"/>
      <c r="B893" s="23"/>
      <c r="C893" s="4"/>
      <c r="D893" s="4"/>
      <c r="E893" s="5"/>
      <c r="F893" s="4"/>
      <c r="G893" s="4"/>
      <c r="H893" s="4"/>
      <c r="I893" s="4"/>
      <c r="J893" s="4"/>
      <c r="K893" s="4"/>
      <c r="L893" s="4"/>
      <c r="M893" s="4"/>
      <c r="N893" s="4"/>
      <c r="O893" s="4"/>
      <c r="P893" s="4"/>
      <c r="Q893" s="4"/>
      <c r="R893" s="4"/>
    </row>
    <row r="894" spans="1:18" ht="17.399999999999999" x14ac:dyDescent="0.25">
      <c r="A894" s="4"/>
      <c r="B894" s="23"/>
      <c r="C894" s="4"/>
      <c r="D894" s="4"/>
      <c r="E894" s="5"/>
      <c r="F894" s="4"/>
      <c r="G894" s="4"/>
      <c r="H894" s="4"/>
      <c r="I894" s="4"/>
      <c r="J894" s="4"/>
      <c r="K894" s="4"/>
      <c r="L894" s="4"/>
      <c r="M894" s="4"/>
      <c r="N894" s="4"/>
      <c r="O894" s="4"/>
      <c r="P894" s="4"/>
      <c r="Q894" s="4"/>
      <c r="R894" s="4"/>
    </row>
    <row r="895" spans="1:18" ht="17.399999999999999" x14ac:dyDescent="0.25">
      <c r="A895" s="4"/>
      <c r="B895" s="23"/>
      <c r="C895" s="4"/>
      <c r="D895" s="4"/>
      <c r="E895" s="5"/>
      <c r="F895" s="4"/>
      <c r="G895" s="4"/>
      <c r="H895" s="4"/>
      <c r="I895" s="4"/>
      <c r="J895" s="4"/>
      <c r="K895" s="4"/>
      <c r="L895" s="4"/>
      <c r="M895" s="4"/>
      <c r="N895" s="4"/>
      <c r="O895" s="4"/>
      <c r="P895" s="4"/>
      <c r="Q895" s="4"/>
      <c r="R895" s="4"/>
    </row>
    <row r="896" spans="1:18" ht="17.399999999999999" x14ac:dyDescent="0.25">
      <c r="A896" s="4"/>
      <c r="B896" s="23"/>
      <c r="C896" s="4"/>
      <c r="D896" s="4"/>
      <c r="E896" s="5"/>
      <c r="F896" s="4"/>
      <c r="G896" s="4"/>
      <c r="H896" s="4"/>
      <c r="I896" s="4"/>
      <c r="J896" s="4"/>
      <c r="K896" s="4"/>
      <c r="L896" s="4"/>
      <c r="M896" s="4"/>
      <c r="N896" s="4"/>
      <c r="O896" s="4"/>
      <c r="P896" s="4"/>
      <c r="Q896" s="4"/>
      <c r="R896" s="4"/>
    </row>
    <row r="897" spans="1:18" ht="17.399999999999999" x14ac:dyDescent="0.25">
      <c r="A897" s="4"/>
      <c r="B897" s="23"/>
      <c r="C897" s="4"/>
      <c r="D897" s="4"/>
      <c r="E897" s="5"/>
      <c r="F897" s="4"/>
      <c r="G897" s="4"/>
      <c r="H897" s="4"/>
      <c r="I897" s="4"/>
      <c r="J897" s="4"/>
      <c r="K897" s="4"/>
      <c r="L897" s="4"/>
      <c r="M897" s="4"/>
      <c r="N897" s="4"/>
      <c r="O897" s="4"/>
      <c r="P897" s="4"/>
      <c r="Q897" s="4"/>
      <c r="R897" s="4"/>
    </row>
    <row r="898" spans="1:18" ht="17.399999999999999" x14ac:dyDescent="0.25">
      <c r="A898" s="4"/>
      <c r="B898" s="23"/>
      <c r="C898" s="4"/>
      <c r="D898" s="4"/>
      <c r="E898" s="5"/>
      <c r="F898" s="4"/>
      <c r="G898" s="4"/>
      <c r="H898" s="4"/>
      <c r="I898" s="4"/>
      <c r="J898" s="4"/>
      <c r="K898" s="4"/>
      <c r="L898" s="4"/>
      <c r="M898" s="4"/>
      <c r="N898" s="4"/>
      <c r="O898" s="4"/>
      <c r="P898" s="4"/>
      <c r="Q898" s="4"/>
      <c r="R898" s="4"/>
    </row>
    <row r="899" spans="1:18" ht="17.399999999999999" x14ac:dyDescent="0.25">
      <c r="A899" s="4"/>
      <c r="B899" s="23"/>
      <c r="C899" s="4"/>
      <c r="D899" s="4"/>
      <c r="E899" s="5"/>
      <c r="F899" s="4"/>
      <c r="G899" s="4"/>
      <c r="H899" s="4"/>
      <c r="I899" s="4"/>
      <c r="J899" s="4"/>
      <c r="K899" s="4"/>
      <c r="L899" s="4"/>
      <c r="M899" s="4"/>
      <c r="N899" s="4"/>
      <c r="O899" s="4"/>
      <c r="P899" s="4"/>
      <c r="Q899" s="4"/>
      <c r="R899" s="4"/>
    </row>
    <row r="900" spans="1:18" ht="17.399999999999999" x14ac:dyDescent="0.25">
      <c r="A900" s="4"/>
      <c r="B900" s="23"/>
      <c r="C900" s="4"/>
      <c r="D900" s="4"/>
      <c r="E900" s="5"/>
      <c r="F900" s="4"/>
      <c r="G900" s="4"/>
      <c r="H900" s="4"/>
      <c r="I900" s="4"/>
      <c r="J900" s="4"/>
      <c r="K900" s="4"/>
      <c r="L900" s="4"/>
      <c r="M900" s="4"/>
      <c r="N900" s="4"/>
      <c r="O900" s="4"/>
      <c r="P900" s="4"/>
      <c r="Q900" s="4"/>
      <c r="R900" s="4"/>
    </row>
    <row r="901" spans="1:18" ht="17.399999999999999" x14ac:dyDescent="0.25">
      <c r="A901" s="4"/>
      <c r="B901" s="23"/>
      <c r="C901" s="4"/>
      <c r="D901" s="4"/>
      <c r="E901" s="5"/>
      <c r="F901" s="4"/>
      <c r="G901" s="4"/>
      <c r="H901" s="4"/>
      <c r="I901" s="4"/>
      <c r="J901" s="4"/>
      <c r="K901" s="4"/>
      <c r="L901" s="4"/>
      <c r="M901" s="4"/>
      <c r="N901" s="4"/>
      <c r="O901" s="4"/>
      <c r="P901" s="4"/>
      <c r="Q901" s="4"/>
      <c r="R901" s="4"/>
    </row>
    <row r="902" spans="1:18" ht="17.399999999999999" x14ac:dyDescent="0.25">
      <c r="A902" s="4"/>
      <c r="B902" s="23"/>
      <c r="C902" s="4"/>
      <c r="D902" s="4"/>
      <c r="E902" s="5"/>
      <c r="F902" s="4"/>
      <c r="G902" s="4"/>
      <c r="H902" s="4"/>
      <c r="I902" s="4"/>
      <c r="J902" s="4"/>
      <c r="K902" s="4"/>
      <c r="L902" s="4"/>
      <c r="M902" s="4"/>
      <c r="N902" s="4"/>
      <c r="O902" s="4"/>
      <c r="P902" s="4"/>
      <c r="Q902" s="4"/>
      <c r="R902" s="4"/>
    </row>
    <row r="903" spans="1:18" ht="17.399999999999999" x14ac:dyDescent="0.25">
      <c r="A903" s="4"/>
      <c r="B903" s="23"/>
      <c r="C903" s="4"/>
      <c r="D903" s="4"/>
      <c r="E903" s="5"/>
      <c r="F903" s="4"/>
      <c r="G903" s="4"/>
      <c r="H903" s="4"/>
      <c r="I903" s="4"/>
      <c r="J903" s="4"/>
      <c r="K903" s="4"/>
      <c r="L903" s="4"/>
      <c r="M903" s="4"/>
      <c r="N903" s="4"/>
      <c r="O903" s="4"/>
      <c r="P903" s="4"/>
      <c r="Q903" s="4"/>
      <c r="R903" s="4"/>
    </row>
    <row r="904" spans="1:18" ht="17.399999999999999" x14ac:dyDescent="0.25">
      <c r="A904" s="4"/>
      <c r="B904" s="23"/>
      <c r="C904" s="4"/>
      <c r="D904" s="4"/>
      <c r="E904" s="5"/>
      <c r="F904" s="4"/>
      <c r="G904" s="4"/>
      <c r="H904" s="4"/>
      <c r="I904" s="4"/>
      <c r="J904" s="4"/>
      <c r="K904" s="4"/>
      <c r="L904" s="4"/>
      <c r="M904" s="4"/>
      <c r="N904" s="4"/>
      <c r="O904" s="4"/>
      <c r="P904" s="4"/>
      <c r="Q904" s="4"/>
      <c r="R904" s="4"/>
    </row>
    <row r="905" spans="1:18" ht="17.399999999999999" x14ac:dyDescent="0.25">
      <c r="A905" s="4"/>
      <c r="B905" s="23"/>
      <c r="C905" s="4"/>
      <c r="D905" s="4"/>
      <c r="E905" s="5"/>
      <c r="F905" s="4"/>
      <c r="G905" s="4"/>
      <c r="H905" s="4"/>
      <c r="I905" s="4"/>
      <c r="J905" s="4"/>
      <c r="K905" s="4"/>
      <c r="L905" s="4"/>
      <c r="M905" s="4"/>
      <c r="N905" s="4"/>
      <c r="O905" s="4"/>
      <c r="P905" s="4"/>
      <c r="Q905" s="4"/>
      <c r="R905" s="4"/>
    </row>
    <row r="906" spans="1:18" ht="17.399999999999999" x14ac:dyDescent="0.25">
      <c r="A906" s="4"/>
      <c r="B906" s="23"/>
      <c r="C906" s="4"/>
      <c r="D906" s="4"/>
      <c r="E906" s="5"/>
      <c r="F906" s="4"/>
      <c r="G906" s="4"/>
      <c r="H906" s="4"/>
      <c r="I906" s="4"/>
      <c r="J906" s="4"/>
      <c r="K906" s="4"/>
      <c r="L906" s="4"/>
      <c r="M906" s="4"/>
      <c r="N906" s="4"/>
      <c r="O906" s="4"/>
      <c r="P906" s="4"/>
      <c r="Q906" s="4"/>
      <c r="R906" s="4"/>
    </row>
    <row r="907" spans="1:18" ht="17.399999999999999" x14ac:dyDescent="0.25">
      <c r="A907" s="4"/>
      <c r="B907" s="23"/>
      <c r="C907" s="4"/>
      <c r="D907" s="4"/>
      <c r="E907" s="5"/>
      <c r="F907" s="4"/>
      <c r="G907" s="4"/>
      <c r="H907" s="4"/>
      <c r="I907" s="4"/>
      <c r="J907" s="4"/>
      <c r="K907" s="4"/>
      <c r="L907" s="4"/>
      <c r="M907" s="4"/>
      <c r="N907" s="4"/>
      <c r="O907" s="4"/>
      <c r="P907" s="4"/>
      <c r="Q907" s="4"/>
      <c r="R907" s="4"/>
    </row>
    <row r="908" spans="1:18" ht="17.399999999999999" x14ac:dyDescent="0.25">
      <c r="A908" s="4"/>
      <c r="B908" s="23"/>
      <c r="C908" s="4"/>
      <c r="D908" s="4"/>
      <c r="E908" s="5"/>
      <c r="F908" s="4"/>
      <c r="G908" s="4"/>
      <c r="H908" s="4"/>
      <c r="I908" s="4"/>
      <c r="J908" s="4"/>
      <c r="K908" s="4"/>
      <c r="L908" s="4"/>
      <c r="M908" s="4"/>
      <c r="N908" s="4"/>
      <c r="O908" s="4"/>
      <c r="P908" s="4"/>
      <c r="Q908" s="4"/>
      <c r="R908" s="4"/>
    </row>
    <row r="909" spans="1:18" ht="17.399999999999999" x14ac:dyDescent="0.25">
      <c r="A909" s="4"/>
      <c r="B909" s="23"/>
      <c r="C909" s="4"/>
      <c r="D909" s="4"/>
      <c r="E909" s="5"/>
      <c r="F909" s="4"/>
      <c r="G909" s="4"/>
      <c r="H909" s="4"/>
      <c r="I909" s="4"/>
      <c r="J909" s="4"/>
      <c r="K909" s="4"/>
      <c r="L909" s="4"/>
      <c r="M909" s="4"/>
      <c r="N909" s="4"/>
      <c r="O909" s="4"/>
      <c r="P909" s="4"/>
      <c r="Q909" s="4"/>
      <c r="R909" s="4"/>
    </row>
    <row r="910" spans="1:18" ht="17.399999999999999" x14ac:dyDescent="0.25">
      <c r="A910" s="4"/>
      <c r="B910" s="23"/>
      <c r="C910" s="4"/>
      <c r="D910" s="4"/>
      <c r="E910" s="5"/>
      <c r="F910" s="4"/>
      <c r="G910" s="4"/>
      <c r="H910" s="4"/>
      <c r="I910" s="4"/>
      <c r="J910" s="4"/>
      <c r="K910" s="4"/>
      <c r="L910" s="4"/>
      <c r="M910" s="4"/>
      <c r="N910" s="4"/>
      <c r="O910" s="4"/>
      <c r="P910" s="4"/>
      <c r="Q910" s="4"/>
      <c r="R910" s="4"/>
    </row>
    <row r="911" spans="1:18" ht="17.399999999999999" x14ac:dyDescent="0.25">
      <c r="A911" s="4"/>
      <c r="B911" s="23"/>
      <c r="C911" s="4"/>
      <c r="D911" s="4"/>
      <c r="E911" s="5"/>
      <c r="F911" s="4"/>
      <c r="G911" s="4"/>
      <c r="H911" s="4"/>
      <c r="I911" s="4"/>
      <c r="J911" s="4"/>
      <c r="K911" s="4"/>
      <c r="L911" s="4"/>
      <c r="M911" s="4"/>
      <c r="N911" s="4"/>
      <c r="O911" s="4"/>
      <c r="P911" s="4"/>
      <c r="Q911" s="4"/>
      <c r="R911" s="4"/>
    </row>
    <row r="912" spans="1:18" ht="17.399999999999999" x14ac:dyDescent="0.25">
      <c r="A912" s="4"/>
      <c r="B912" s="23"/>
      <c r="C912" s="4"/>
      <c r="D912" s="4"/>
      <c r="E912" s="5"/>
      <c r="F912" s="4"/>
      <c r="G912" s="4"/>
      <c r="H912" s="4"/>
      <c r="I912" s="4"/>
      <c r="J912" s="4"/>
      <c r="K912" s="4"/>
      <c r="L912" s="4"/>
      <c r="M912" s="4"/>
      <c r="N912" s="4"/>
      <c r="O912" s="4"/>
      <c r="P912" s="4"/>
      <c r="Q912" s="4"/>
      <c r="R912" s="4"/>
    </row>
    <row r="913" spans="1:18" ht="17.399999999999999" x14ac:dyDescent="0.25">
      <c r="A913" s="4"/>
      <c r="B913" s="23"/>
      <c r="C913" s="4"/>
      <c r="D913" s="4"/>
      <c r="E913" s="5"/>
      <c r="F913" s="4"/>
      <c r="G913" s="4"/>
      <c r="H913" s="4"/>
      <c r="I913" s="4"/>
      <c r="J913" s="4"/>
      <c r="K913" s="4"/>
      <c r="L913" s="4"/>
      <c r="M913" s="4"/>
      <c r="N913" s="4"/>
      <c r="O913" s="4"/>
      <c r="P913" s="4"/>
      <c r="Q913" s="4"/>
      <c r="R913" s="4"/>
    </row>
    <row r="914" spans="1:18" ht="17.399999999999999" x14ac:dyDescent="0.25">
      <c r="A914" s="4"/>
      <c r="B914" s="23"/>
      <c r="C914" s="4"/>
      <c r="D914" s="4"/>
      <c r="E914" s="5"/>
      <c r="F914" s="4"/>
      <c r="G914" s="4"/>
      <c r="H914" s="4"/>
      <c r="I914" s="4"/>
      <c r="J914" s="4"/>
      <c r="K914" s="4"/>
      <c r="L914" s="4"/>
      <c r="M914" s="4"/>
      <c r="N914" s="4"/>
      <c r="O914" s="4"/>
      <c r="P914" s="4"/>
      <c r="Q914" s="4"/>
      <c r="R914" s="4"/>
    </row>
    <row r="915" spans="1:18" ht="17.399999999999999" x14ac:dyDescent="0.25">
      <c r="A915" s="4"/>
      <c r="B915" s="23"/>
      <c r="C915" s="4"/>
      <c r="D915" s="4"/>
      <c r="E915" s="5"/>
      <c r="F915" s="4"/>
      <c r="G915" s="4"/>
      <c r="H915" s="4"/>
      <c r="I915" s="4"/>
      <c r="J915" s="4"/>
      <c r="K915" s="4"/>
      <c r="L915" s="4"/>
      <c r="M915" s="4"/>
      <c r="N915" s="4"/>
      <c r="O915" s="4"/>
      <c r="P915" s="4"/>
      <c r="Q915" s="4"/>
      <c r="R915" s="4"/>
    </row>
    <row r="916" spans="1:18" ht="17.399999999999999" x14ac:dyDescent="0.25">
      <c r="A916" s="4"/>
      <c r="B916" s="23"/>
      <c r="C916" s="4"/>
      <c r="D916" s="4"/>
      <c r="E916" s="5"/>
      <c r="F916" s="4"/>
      <c r="G916" s="4"/>
      <c r="H916" s="4"/>
      <c r="I916" s="4"/>
      <c r="J916" s="4"/>
      <c r="K916" s="4"/>
      <c r="L916" s="4"/>
      <c r="M916" s="4"/>
      <c r="N916" s="4"/>
      <c r="O916" s="4"/>
      <c r="P916" s="4"/>
      <c r="Q916" s="4"/>
      <c r="R916" s="4"/>
    </row>
    <row r="917" spans="1:18" ht="17.399999999999999" x14ac:dyDescent="0.25">
      <c r="A917" s="4"/>
      <c r="B917" s="23"/>
      <c r="C917" s="4"/>
      <c r="D917" s="4"/>
      <c r="E917" s="5"/>
      <c r="F917" s="4"/>
      <c r="G917" s="4"/>
      <c r="H917" s="4"/>
      <c r="I917" s="4"/>
      <c r="J917" s="4"/>
      <c r="K917" s="4"/>
      <c r="L917" s="4"/>
      <c r="M917" s="4"/>
      <c r="N917" s="4"/>
      <c r="O917" s="4"/>
      <c r="P917" s="4"/>
      <c r="Q917" s="4"/>
      <c r="R917" s="4"/>
    </row>
    <row r="918" spans="1:18" ht="17.399999999999999" x14ac:dyDescent="0.25">
      <c r="A918" s="4"/>
      <c r="B918" s="23"/>
      <c r="C918" s="4"/>
      <c r="D918" s="4"/>
      <c r="E918" s="5"/>
      <c r="F918" s="4"/>
      <c r="G918" s="4"/>
      <c r="H918" s="4"/>
      <c r="I918" s="4"/>
      <c r="J918" s="4"/>
      <c r="K918" s="4"/>
      <c r="L918" s="4"/>
      <c r="M918" s="4"/>
      <c r="N918" s="4"/>
      <c r="O918" s="4"/>
      <c r="P918" s="4"/>
      <c r="Q918" s="4"/>
      <c r="R918" s="4"/>
    </row>
    <row r="919" spans="1:18" ht="17.399999999999999" x14ac:dyDescent="0.25">
      <c r="A919" s="4"/>
      <c r="B919" s="23"/>
      <c r="C919" s="4"/>
      <c r="D919" s="4"/>
      <c r="E919" s="5"/>
      <c r="F919" s="4"/>
      <c r="G919" s="4"/>
      <c r="H919" s="4"/>
      <c r="I919" s="4"/>
      <c r="J919" s="4"/>
      <c r="K919" s="4"/>
      <c r="L919" s="4"/>
      <c r="M919" s="4"/>
      <c r="N919" s="4"/>
      <c r="O919" s="4"/>
      <c r="P919" s="4"/>
      <c r="Q919" s="4"/>
      <c r="R919" s="4"/>
    </row>
    <row r="920" spans="1:18" ht="17.399999999999999" x14ac:dyDescent="0.25">
      <c r="A920" s="4"/>
      <c r="B920" s="23"/>
      <c r="C920" s="4"/>
      <c r="D920" s="4"/>
      <c r="E920" s="5"/>
      <c r="F920" s="4"/>
      <c r="G920" s="4"/>
      <c r="H920" s="4"/>
      <c r="I920" s="4"/>
      <c r="J920" s="4"/>
      <c r="K920" s="4"/>
      <c r="L920" s="4"/>
      <c r="M920" s="4"/>
      <c r="N920" s="4"/>
      <c r="O920" s="4"/>
      <c r="P920" s="4"/>
      <c r="Q920" s="4"/>
      <c r="R920" s="4"/>
    </row>
    <row r="921" spans="1:18" ht="17.399999999999999" x14ac:dyDescent="0.25">
      <c r="A921" s="4"/>
      <c r="B921" s="23"/>
      <c r="C921" s="4"/>
      <c r="D921" s="4"/>
      <c r="E921" s="5"/>
      <c r="F921" s="4"/>
      <c r="G921" s="4"/>
      <c r="H921" s="4"/>
      <c r="I921" s="4"/>
      <c r="J921" s="4"/>
      <c r="K921" s="4"/>
      <c r="L921" s="4"/>
      <c r="M921" s="4"/>
      <c r="N921" s="4"/>
      <c r="O921" s="4"/>
      <c r="P921" s="4"/>
      <c r="Q921" s="4"/>
      <c r="R921" s="4"/>
    </row>
    <row r="922" spans="1:18" ht="17.399999999999999" x14ac:dyDescent="0.25">
      <c r="A922" s="4"/>
      <c r="B922" s="23"/>
      <c r="C922" s="4"/>
      <c r="D922" s="4"/>
      <c r="E922" s="5"/>
      <c r="F922" s="4"/>
      <c r="G922" s="4"/>
      <c r="H922" s="4"/>
      <c r="I922" s="4"/>
      <c r="J922" s="4"/>
      <c r="K922" s="4"/>
      <c r="L922" s="4"/>
      <c r="M922" s="4"/>
      <c r="N922" s="4"/>
      <c r="O922" s="4"/>
      <c r="P922" s="4"/>
      <c r="Q922" s="4"/>
      <c r="R922" s="4"/>
    </row>
    <row r="923" spans="1:18" ht="17.399999999999999" x14ac:dyDescent="0.25">
      <c r="A923" s="4"/>
      <c r="B923" s="23"/>
      <c r="C923" s="4"/>
      <c r="D923" s="4"/>
      <c r="E923" s="5"/>
      <c r="F923" s="4"/>
      <c r="G923" s="4"/>
      <c r="H923" s="4"/>
      <c r="I923" s="4"/>
      <c r="J923" s="4"/>
      <c r="K923" s="4"/>
      <c r="L923" s="4"/>
      <c r="M923" s="4"/>
      <c r="N923" s="4"/>
      <c r="O923" s="4"/>
      <c r="P923" s="4"/>
      <c r="Q923" s="4"/>
      <c r="R923" s="4"/>
    </row>
    <row r="924" spans="1:18" ht="17.399999999999999" x14ac:dyDescent="0.25">
      <c r="A924" s="4"/>
      <c r="B924" s="23"/>
      <c r="C924" s="4"/>
      <c r="D924" s="4"/>
      <c r="E924" s="5"/>
      <c r="F924" s="4"/>
      <c r="G924" s="4"/>
      <c r="H924" s="4"/>
      <c r="I924" s="4"/>
      <c r="J924" s="4"/>
      <c r="K924" s="4"/>
      <c r="L924" s="4"/>
      <c r="M924" s="4"/>
      <c r="N924" s="4"/>
      <c r="O924" s="4"/>
      <c r="P924" s="4"/>
      <c r="Q924" s="4"/>
      <c r="R924" s="4"/>
    </row>
    <row r="925" spans="1:18" ht="17.399999999999999" x14ac:dyDescent="0.25">
      <c r="A925" s="4"/>
      <c r="B925" s="23"/>
      <c r="C925" s="4"/>
      <c r="D925" s="4"/>
      <c r="E925" s="5"/>
      <c r="F925" s="4"/>
      <c r="G925" s="4"/>
      <c r="H925" s="4"/>
      <c r="I925" s="4"/>
      <c r="J925" s="4"/>
      <c r="K925" s="4"/>
      <c r="L925" s="4"/>
      <c r="M925" s="4"/>
      <c r="N925" s="4"/>
      <c r="O925" s="4"/>
      <c r="P925" s="4"/>
      <c r="Q925" s="4"/>
      <c r="R925" s="4"/>
    </row>
    <row r="926" spans="1:18" ht="17.399999999999999" x14ac:dyDescent="0.25">
      <c r="A926" s="4"/>
      <c r="B926" s="23"/>
      <c r="C926" s="4"/>
      <c r="D926" s="4"/>
      <c r="E926" s="5"/>
      <c r="F926" s="4"/>
      <c r="G926" s="4"/>
      <c r="H926" s="4"/>
      <c r="I926" s="4"/>
      <c r="J926" s="4"/>
      <c r="K926" s="4"/>
      <c r="L926" s="4"/>
      <c r="M926" s="4"/>
      <c r="N926" s="4"/>
      <c r="O926" s="4"/>
      <c r="P926" s="4"/>
      <c r="Q926" s="4"/>
      <c r="R926" s="4"/>
    </row>
    <row r="927" spans="1:18" ht="17.399999999999999" x14ac:dyDescent="0.25">
      <c r="A927" s="4"/>
      <c r="B927" s="23"/>
      <c r="C927" s="4"/>
      <c r="D927" s="4"/>
      <c r="E927" s="5"/>
      <c r="F927" s="4"/>
      <c r="G927" s="4"/>
      <c r="H927" s="4"/>
      <c r="I927" s="4"/>
      <c r="J927" s="4"/>
      <c r="K927" s="4"/>
      <c r="L927" s="4"/>
      <c r="M927" s="4"/>
      <c r="N927" s="4"/>
      <c r="O927" s="4"/>
      <c r="P927" s="4"/>
      <c r="Q927" s="4"/>
      <c r="R927" s="4"/>
    </row>
    <row r="928" spans="1:18" ht="17.399999999999999" x14ac:dyDescent="0.25">
      <c r="A928" s="4"/>
      <c r="B928" s="23"/>
      <c r="C928" s="4"/>
      <c r="D928" s="4"/>
      <c r="E928" s="5"/>
      <c r="F928" s="4"/>
      <c r="G928" s="4"/>
      <c r="H928" s="4"/>
      <c r="I928" s="4"/>
      <c r="J928" s="4"/>
      <c r="K928" s="4"/>
      <c r="L928" s="4"/>
      <c r="M928" s="4"/>
      <c r="N928" s="4"/>
      <c r="O928" s="4"/>
      <c r="P928" s="4"/>
      <c r="Q928" s="4"/>
      <c r="R928" s="4"/>
    </row>
    <row r="929" spans="1:18" ht="17.399999999999999" x14ac:dyDescent="0.25">
      <c r="A929" s="4"/>
      <c r="B929" s="23"/>
      <c r="C929" s="4"/>
      <c r="D929" s="4"/>
      <c r="E929" s="5"/>
      <c r="F929" s="4"/>
      <c r="G929" s="4"/>
      <c r="H929" s="4"/>
      <c r="I929" s="4"/>
      <c r="J929" s="4"/>
      <c r="K929" s="4"/>
      <c r="L929" s="4"/>
      <c r="M929" s="4"/>
      <c r="N929" s="4"/>
      <c r="O929" s="4"/>
      <c r="P929" s="4"/>
      <c r="Q929" s="4"/>
      <c r="R929" s="4"/>
    </row>
    <row r="930" spans="1:18" ht="17.399999999999999" x14ac:dyDescent="0.25">
      <c r="A930" s="4"/>
      <c r="B930" s="23"/>
      <c r="C930" s="4"/>
      <c r="D930" s="4"/>
      <c r="E930" s="5"/>
      <c r="F930" s="4"/>
      <c r="G930" s="4"/>
      <c r="H930" s="4"/>
      <c r="I930" s="4"/>
      <c r="J930" s="4"/>
      <c r="K930" s="4"/>
      <c r="L930" s="4"/>
      <c r="M930" s="4"/>
      <c r="N930" s="4"/>
      <c r="O930" s="4"/>
      <c r="P930" s="4"/>
      <c r="Q930" s="4"/>
      <c r="R930" s="4"/>
    </row>
    <row r="931" spans="1:18" ht="17.399999999999999" x14ac:dyDescent="0.25">
      <c r="A931" s="4"/>
      <c r="B931" s="23"/>
      <c r="C931" s="4"/>
      <c r="D931" s="4"/>
      <c r="E931" s="5"/>
      <c r="F931" s="4"/>
      <c r="G931" s="4"/>
      <c r="H931" s="4"/>
      <c r="I931" s="4"/>
      <c r="J931" s="4"/>
      <c r="K931" s="4"/>
      <c r="L931" s="4"/>
      <c r="M931" s="4"/>
      <c r="N931" s="4"/>
      <c r="O931" s="4"/>
      <c r="P931" s="4"/>
      <c r="Q931" s="4"/>
      <c r="R931" s="4"/>
    </row>
    <row r="932" spans="1:18" ht="17.399999999999999" x14ac:dyDescent="0.25">
      <c r="A932" s="4"/>
      <c r="B932" s="23"/>
      <c r="C932" s="4"/>
      <c r="D932" s="4"/>
      <c r="E932" s="5"/>
      <c r="F932" s="4"/>
      <c r="G932" s="4"/>
      <c r="H932" s="4"/>
      <c r="I932" s="4"/>
      <c r="J932" s="4"/>
      <c r="K932" s="4"/>
      <c r="L932" s="4"/>
      <c r="M932" s="4"/>
      <c r="N932" s="4"/>
      <c r="O932" s="4"/>
      <c r="P932" s="4"/>
      <c r="Q932" s="4"/>
      <c r="R932" s="4"/>
    </row>
    <row r="933" spans="1:18" ht="17.399999999999999" x14ac:dyDescent="0.25">
      <c r="A933" s="4"/>
      <c r="B933" s="23"/>
      <c r="C933" s="4"/>
      <c r="D933" s="4"/>
      <c r="E933" s="5"/>
      <c r="F933" s="4"/>
      <c r="G933" s="4"/>
      <c r="H933" s="4"/>
      <c r="I933" s="4"/>
      <c r="J933" s="4"/>
      <c r="K933" s="4"/>
      <c r="L933" s="4"/>
      <c r="M933" s="4"/>
      <c r="N933" s="4"/>
      <c r="O933" s="4"/>
      <c r="P933" s="4"/>
      <c r="Q933" s="4"/>
      <c r="R933" s="4"/>
    </row>
    <row r="934" spans="1:18" ht="17.399999999999999" x14ac:dyDescent="0.25">
      <c r="A934" s="4"/>
      <c r="B934" s="23"/>
      <c r="C934" s="4"/>
      <c r="D934" s="4"/>
      <c r="E934" s="5"/>
      <c r="F934" s="4"/>
      <c r="G934" s="4"/>
      <c r="H934" s="4"/>
      <c r="I934" s="4"/>
      <c r="J934" s="4"/>
      <c r="K934" s="4"/>
      <c r="L934" s="4"/>
      <c r="M934" s="4"/>
      <c r="N934" s="4"/>
      <c r="O934" s="4"/>
      <c r="P934" s="4"/>
      <c r="Q934" s="4"/>
      <c r="R934" s="4"/>
    </row>
    <row r="935" spans="1:18" ht="17.399999999999999" x14ac:dyDescent="0.25">
      <c r="A935" s="4"/>
      <c r="B935" s="23"/>
      <c r="C935" s="4"/>
      <c r="D935" s="4"/>
      <c r="E935" s="5"/>
      <c r="F935" s="4"/>
      <c r="G935" s="4"/>
      <c r="H935" s="4"/>
      <c r="I935" s="4"/>
      <c r="J935" s="4"/>
      <c r="K935" s="4"/>
      <c r="L935" s="4"/>
      <c r="M935" s="4"/>
      <c r="N935" s="4"/>
      <c r="O935" s="4"/>
      <c r="P935" s="4"/>
      <c r="Q935" s="4"/>
      <c r="R935" s="4"/>
    </row>
    <row r="936" spans="1:18" ht="17.399999999999999" x14ac:dyDescent="0.25">
      <c r="A936" s="4"/>
      <c r="B936" s="23"/>
      <c r="C936" s="4"/>
      <c r="D936" s="4"/>
      <c r="E936" s="5"/>
      <c r="F936" s="4"/>
      <c r="G936" s="4"/>
      <c r="H936" s="4"/>
      <c r="I936" s="4"/>
      <c r="J936" s="4"/>
      <c r="K936" s="4"/>
      <c r="L936" s="4"/>
      <c r="M936" s="4"/>
      <c r="N936" s="4"/>
      <c r="O936" s="4"/>
      <c r="P936" s="4"/>
      <c r="Q936" s="4"/>
      <c r="R936" s="4"/>
    </row>
    <row r="937" spans="1:18" ht="17.399999999999999" x14ac:dyDescent="0.25">
      <c r="A937" s="4"/>
      <c r="B937" s="23"/>
      <c r="C937" s="4"/>
      <c r="D937" s="4"/>
      <c r="E937" s="5"/>
      <c r="F937" s="4"/>
      <c r="G937" s="4"/>
      <c r="H937" s="4"/>
      <c r="I937" s="4"/>
      <c r="J937" s="4"/>
      <c r="K937" s="4"/>
      <c r="L937" s="4"/>
      <c r="M937" s="4"/>
      <c r="N937" s="4"/>
      <c r="O937" s="4"/>
      <c r="P937" s="4"/>
      <c r="Q937" s="4"/>
      <c r="R937" s="4"/>
    </row>
    <row r="938" spans="1:18" ht="17.399999999999999" x14ac:dyDescent="0.25">
      <c r="A938" s="4"/>
      <c r="B938" s="23"/>
      <c r="C938" s="4"/>
      <c r="D938" s="4"/>
      <c r="E938" s="5"/>
      <c r="F938" s="4"/>
      <c r="G938" s="4"/>
      <c r="H938" s="4"/>
      <c r="I938" s="4"/>
      <c r="J938" s="4"/>
      <c r="K938" s="4"/>
      <c r="L938" s="4"/>
      <c r="M938" s="4"/>
      <c r="N938" s="4"/>
      <c r="O938" s="4"/>
      <c r="P938" s="4"/>
      <c r="Q938" s="4"/>
      <c r="R938" s="4"/>
    </row>
    <row r="939" spans="1:18" ht="17.399999999999999" x14ac:dyDescent="0.25">
      <c r="A939" s="4"/>
      <c r="B939" s="23"/>
      <c r="C939" s="4"/>
      <c r="D939" s="4"/>
      <c r="E939" s="5"/>
      <c r="F939" s="4"/>
      <c r="G939" s="4"/>
      <c r="H939" s="4"/>
      <c r="I939" s="4"/>
      <c r="J939" s="4"/>
      <c r="K939" s="4"/>
      <c r="L939" s="4"/>
      <c r="M939" s="4"/>
      <c r="N939" s="4"/>
      <c r="O939" s="4"/>
      <c r="P939" s="4"/>
      <c r="Q939" s="4"/>
      <c r="R939" s="4"/>
    </row>
    <row r="940" spans="1:18" ht="17.399999999999999" x14ac:dyDescent="0.25">
      <c r="A940" s="4"/>
      <c r="B940" s="23"/>
      <c r="C940" s="4"/>
      <c r="D940" s="4"/>
      <c r="E940" s="5"/>
      <c r="F940" s="4"/>
      <c r="G940" s="4"/>
      <c r="H940" s="4"/>
      <c r="I940" s="4"/>
      <c r="J940" s="4"/>
      <c r="K940" s="4"/>
      <c r="L940" s="4"/>
      <c r="M940" s="4"/>
      <c r="N940" s="4"/>
      <c r="O940" s="4"/>
      <c r="P940" s="4"/>
      <c r="Q940" s="4"/>
      <c r="R940" s="4"/>
    </row>
    <row r="941" spans="1:18" ht="17.399999999999999" x14ac:dyDescent="0.25">
      <c r="A941" s="4"/>
      <c r="B941" s="23"/>
      <c r="C941" s="4"/>
      <c r="D941" s="4"/>
      <c r="E941" s="5"/>
      <c r="F941" s="4"/>
      <c r="G941" s="4"/>
      <c r="H941" s="4"/>
      <c r="I941" s="4"/>
      <c r="J941" s="4"/>
      <c r="K941" s="4"/>
      <c r="L941" s="4"/>
      <c r="M941" s="4"/>
      <c r="N941" s="4"/>
      <c r="O941" s="4"/>
      <c r="P941" s="4"/>
      <c r="Q941" s="4"/>
      <c r="R941" s="4"/>
    </row>
    <row r="942" spans="1:18" ht="17.399999999999999" x14ac:dyDescent="0.25">
      <c r="A942" s="4"/>
      <c r="B942" s="23"/>
      <c r="C942" s="4"/>
      <c r="D942" s="4"/>
      <c r="E942" s="5"/>
      <c r="F942" s="4"/>
      <c r="G942" s="4"/>
      <c r="H942" s="4"/>
      <c r="I942" s="4"/>
      <c r="J942" s="4"/>
      <c r="K942" s="4"/>
      <c r="L942" s="4"/>
      <c r="M942" s="4"/>
      <c r="N942" s="4"/>
      <c r="O942" s="4"/>
      <c r="P942" s="4"/>
      <c r="Q942" s="4"/>
      <c r="R942" s="4"/>
    </row>
    <row r="943" spans="1:18" ht="17.399999999999999" x14ac:dyDescent="0.25">
      <c r="A943" s="4"/>
      <c r="B943" s="23"/>
      <c r="C943" s="4"/>
      <c r="D943" s="4"/>
      <c r="E943" s="5"/>
      <c r="F943" s="4"/>
      <c r="G943" s="4"/>
      <c r="H943" s="4"/>
      <c r="I943" s="4"/>
      <c r="J943" s="4"/>
      <c r="K943" s="4"/>
      <c r="L943" s="4"/>
      <c r="M943" s="4"/>
      <c r="N943" s="4"/>
      <c r="O943" s="4"/>
      <c r="P943" s="4"/>
      <c r="Q943" s="4"/>
      <c r="R943" s="4"/>
    </row>
    <row r="944" spans="1:18" ht="17.399999999999999" x14ac:dyDescent="0.25">
      <c r="A944" s="4"/>
      <c r="B944" s="23"/>
      <c r="C944" s="4"/>
      <c r="D944" s="4"/>
      <c r="E944" s="5"/>
      <c r="F944" s="4"/>
      <c r="G944" s="4"/>
      <c r="H944" s="4"/>
      <c r="I944" s="4"/>
      <c r="J944" s="4"/>
      <c r="K944" s="4"/>
      <c r="L944" s="4"/>
      <c r="M944" s="4"/>
      <c r="N944" s="4"/>
      <c r="O944" s="4"/>
      <c r="P944" s="4"/>
      <c r="Q944" s="4"/>
      <c r="R944" s="4"/>
    </row>
    <row r="945" spans="1:18" ht="17.399999999999999" x14ac:dyDescent="0.25">
      <c r="A945" s="4"/>
      <c r="B945" s="23"/>
      <c r="C945" s="4"/>
      <c r="D945" s="4"/>
      <c r="E945" s="5"/>
      <c r="F945" s="4"/>
      <c r="G945" s="4"/>
      <c r="H945" s="4"/>
      <c r="I945" s="4"/>
      <c r="J945" s="4"/>
      <c r="K945" s="4"/>
      <c r="L945" s="4"/>
      <c r="M945" s="4"/>
      <c r="N945" s="4"/>
      <c r="O945" s="4"/>
      <c r="P945" s="4"/>
      <c r="Q945" s="4"/>
      <c r="R945" s="4"/>
    </row>
    <row r="946" spans="1:18" ht="17.399999999999999" x14ac:dyDescent="0.25">
      <c r="A946" s="4"/>
      <c r="B946" s="23"/>
      <c r="C946" s="4"/>
      <c r="D946" s="4"/>
      <c r="E946" s="5"/>
      <c r="F946" s="4"/>
      <c r="G946" s="4"/>
      <c r="H946" s="4"/>
      <c r="I946" s="4"/>
      <c r="J946" s="4"/>
      <c r="K946" s="4"/>
      <c r="L946" s="4"/>
      <c r="M946" s="4"/>
      <c r="N946" s="4"/>
      <c r="O946" s="4"/>
      <c r="P946" s="4"/>
      <c r="Q946" s="4"/>
      <c r="R946" s="4"/>
    </row>
    <row r="947" spans="1:18" ht="17.399999999999999" x14ac:dyDescent="0.25">
      <c r="A947" s="4"/>
      <c r="B947" s="23"/>
      <c r="C947" s="4"/>
      <c r="D947" s="4"/>
      <c r="E947" s="5"/>
      <c r="F947" s="4"/>
      <c r="G947" s="4"/>
      <c r="H947" s="4"/>
      <c r="I947" s="4"/>
      <c r="J947" s="4"/>
      <c r="K947" s="4"/>
      <c r="L947" s="4"/>
      <c r="M947" s="4"/>
      <c r="N947" s="4"/>
      <c r="O947" s="4"/>
      <c r="P947" s="4"/>
      <c r="Q947" s="4"/>
      <c r="R947" s="4"/>
    </row>
    <row r="948" spans="1:18" ht="17.399999999999999" x14ac:dyDescent="0.25">
      <c r="A948" s="4"/>
      <c r="B948" s="23"/>
      <c r="C948" s="4"/>
      <c r="D948" s="4"/>
      <c r="E948" s="5"/>
      <c r="F948" s="4"/>
      <c r="G948" s="4"/>
      <c r="H948" s="4"/>
      <c r="I948" s="4"/>
      <c r="J948" s="4"/>
      <c r="K948" s="4"/>
      <c r="L948" s="4"/>
      <c r="M948" s="4"/>
      <c r="N948" s="4"/>
      <c r="O948" s="4"/>
      <c r="P948" s="4"/>
      <c r="Q948" s="4"/>
      <c r="R948" s="4"/>
    </row>
    <row r="949" spans="1:18" ht="17.399999999999999" x14ac:dyDescent="0.25">
      <c r="A949" s="4"/>
      <c r="B949" s="23"/>
      <c r="C949" s="4"/>
      <c r="D949" s="4"/>
      <c r="E949" s="5"/>
      <c r="F949" s="4"/>
      <c r="G949" s="4"/>
      <c r="H949" s="4"/>
      <c r="I949" s="4"/>
      <c r="J949" s="4"/>
      <c r="K949" s="4"/>
      <c r="L949" s="4"/>
      <c r="M949" s="4"/>
      <c r="N949" s="4"/>
      <c r="O949" s="4"/>
      <c r="P949" s="4"/>
      <c r="Q949" s="4"/>
      <c r="R949" s="4"/>
    </row>
    <row r="950" spans="1:18" ht="17.399999999999999" x14ac:dyDescent="0.25">
      <c r="A950" s="4"/>
      <c r="B950" s="23"/>
      <c r="C950" s="4"/>
      <c r="D950" s="4"/>
      <c r="E950" s="5"/>
      <c r="F950" s="4"/>
      <c r="G950" s="4"/>
      <c r="H950" s="4"/>
      <c r="I950" s="4"/>
      <c r="J950" s="4"/>
      <c r="K950" s="4"/>
      <c r="L950" s="4"/>
      <c r="M950" s="4"/>
      <c r="N950" s="4"/>
      <c r="O950" s="4"/>
      <c r="P950" s="4"/>
      <c r="Q950" s="4"/>
      <c r="R950" s="4"/>
    </row>
    <row r="951" spans="1:18" ht="17.399999999999999" x14ac:dyDescent="0.25">
      <c r="A951" s="4"/>
      <c r="B951" s="23"/>
      <c r="C951" s="4"/>
      <c r="D951" s="4"/>
      <c r="E951" s="5"/>
      <c r="F951" s="4"/>
      <c r="G951" s="4"/>
      <c r="H951" s="4"/>
      <c r="I951" s="4"/>
      <c r="J951" s="4"/>
      <c r="K951" s="4"/>
      <c r="L951" s="4"/>
      <c r="M951" s="4"/>
      <c r="N951" s="4"/>
      <c r="O951" s="4"/>
      <c r="P951" s="4"/>
      <c r="Q951" s="4"/>
      <c r="R951" s="4"/>
    </row>
    <row r="952" spans="1:18" ht="17.399999999999999" x14ac:dyDescent="0.25">
      <c r="A952" s="4"/>
      <c r="B952" s="23"/>
      <c r="C952" s="4"/>
      <c r="D952" s="4"/>
      <c r="E952" s="5"/>
      <c r="F952" s="4"/>
      <c r="G952" s="4"/>
      <c r="H952" s="4"/>
      <c r="I952" s="4"/>
      <c r="J952" s="4"/>
      <c r="K952" s="4"/>
      <c r="L952" s="4"/>
      <c r="M952" s="4"/>
      <c r="N952" s="4"/>
      <c r="O952" s="4"/>
      <c r="P952" s="4"/>
      <c r="Q952" s="4"/>
      <c r="R952" s="4"/>
    </row>
    <row r="953" spans="1:18" ht="17.399999999999999" x14ac:dyDescent="0.25">
      <c r="A953" s="4"/>
      <c r="B953" s="23"/>
      <c r="C953" s="4"/>
      <c r="D953" s="4"/>
      <c r="E953" s="5"/>
      <c r="F953" s="4"/>
      <c r="G953" s="4"/>
      <c r="H953" s="4"/>
      <c r="I953" s="4"/>
      <c r="J953" s="4"/>
      <c r="K953" s="4"/>
      <c r="L953" s="4"/>
      <c r="M953" s="4"/>
      <c r="N953" s="4"/>
      <c r="O953" s="4"/>
      <c r="P953" s="4"/>
      <c r="Q953" s="4"/>
      <c r="R953" s="4"/>
    </row>
    <row r="954" spans="1:18" ht="17.399999999999999" x14ac:dyDescent="0.25">
      <c r="A954" s="4"/>
      <c r="B954" s="23"/>
      <c r="C954" s="4"/>
      <c r="D954" s="4"/>
      <c r="E954" s="5"/>
      <c r="F954" s="4"/>
      <c r="G954" s="4"/>
      <c r="H954" s="4"/>
      <c r="I954" s="4"/>
      <c r="J954" s="4"/>
      <c r="K954" s="4"/>
      <c r="L954" s="4"/>
      <c r="M954" s="4"/>
      <c r="N954" s="4"/>
      <c r="O954" s="4"/>
      <c r="P954" s="4"/>
      <c r="Q954" s="4"/>
      <c r="R954" s="4"/>
    </row>
    <row r="955" spans="1:18" ht="17.399999999999999" x14ac:dyDescent="0.25">
      <c r="A955" s="4"/>
      <c r="B955" s="23"/>
      <c r="C955" s="4"/>
      <c r="D955" s="4"/>
      <c r="E955" s="5"/>
      <c r="F955" s="4"/>
      <c r="G955" s="4"/>
      <c r="H955" s="4"/>
      <c r="I955" s="4"/>
      <c r="J955" s="4"/>
      <c r="K955" s="4"/>
      <c r="L955" s="4"/>
      <c r="M955" s="4"/>
      <c r="N955" s="4"/>
      <c r="O955" s="4"/>
      <c r="P955" s="4"/>
      <c r="Q955" s="4"/>
      <c r="R955" s="4"/>
    </row>
    <row r="956" spans="1:18" ht="17.399999999999999" x14ac:dyDescent="0.25">
      <c r="A956" s="4"/>
      <c r="B956" s="23"/>
      <c r="C956" s="4"/>
      <c r="D956" s="4"/>
      <c r="E956" s="5"/>
      <c r="F956" s="4"/>
      <c r="G956" s="4"/>
      <c r="H956" s="4"/>
      <c r="I956" s="4"/>
      <c r="J956" s="4"/>
      <c r="K956" s="4"/>
      <c r="L956" s="4"/>
      <c r="M956" s="4"/>
      <c r="N956" s="4"/>
      <c r="O956" s="4"/>
      <c r="P956" s="4"/>
      <c r="Q956" s="4"/>
      <c r="R956" s="4"/>
    </row>
    <row r="957" spans="1:18" ht="17.399999999999999" x14ac:dyDescent="0.25">
      <c r="A957" s="4"/>
      <c r="B957" s="23"/>
      <c r="C957" s="4"/>
      <c r="D957" s="4"/>
      <c r="E957" s="5"/>
      <c r="F957" s="4"/>
      <c r="G957" s="4"/>
      <c r="H957" s="4"/>
      <c r="I957" s="4"/>
      <c r="J957" s="4"/>
      <c r="K957" s="4"/>
      <c r="L957" s="4"/>
      <c r="M957" s="4"/>
      <c r="N957" s="4"/>
      <c r="O957" s="4"/>
      <c r="P957" s="4"/>
      <c r="Q957" s="4"/>
      <c r="R957" s="4"/>
    </row>
    <row r="958" spans="1:18" ht="17.399999999999999" x14ac:dyDescent="0.25">
      <c r="A958" s="4"/>
      <c r="B958" s="23"/>
      <c r="C958" s="4"/>
      <c r="D958" s="4"/>
      <c r="E958" s="5"/>
      <c r="F958" s="4"/>
      <c r="G958" s="4"/>
      <c r="H958" s="4"/>
      <c r="I958" s="4"/>
      <c r="J958" s="4"/>
      <c r="K958" s="4"/>
      <c r="L958" s="4"/>
      <c r="M958" s="4"/>
      <c r="N958" s="4"/>
      <c r="O958" s="4"/>
      <c r="P958" s="4"/>
      <c r="Q958" s="4"/>
      <c r="R958" s="4"/>
    </row>
    <row r="959" spans="1:18" ht="17.399999999999999" x14ac:dyDescent="0.25">
      <c r="A959" s="4"/>
      <c r="B959" s="23"/>
      <c r="C959" s="4"/>
      <c r="D959" s="4"/>
      <c r="E959" s="5"/>
      <c r="F959" s="4"/>
      <c r="G959" s="4"/>
      <c r="H959" s="4"/>
      <c r="I959" s="4"/>
      <c r="J959" s="4"/>
      <c r="K959" s="4"/>
      <c r="L959" s="4"/>
      <c r="M959" s="4"/>
      <c r="N959" s="4"/>
      <c r="O959" s="4"/>
      <c r="P959" s="4"/>
      <c r="Q959" s="4"/>
      <c r="R959" s="4"/>
    </row>
    <row r="960" spans="1:18" ht="17.399999999999999" x14ac:dyDescent="0.25">
      <c r="A960" s="4"/>
      <c r="B960" s="23"/>
      <c r="C960" s="4"/>
      <c r="D960" s="4"/>
      <c r="E960" s="5"/>
      <c r="F960" s="4"/>
      <c r="G960" s="4"/>
      <c r="H960" s="4"/>
      <c r="I960" s="4"/>
      <c r="J960" s="4"/>
      <c r="K960" s="4"/>
      <c r="L960" s="4"/>
      <c r="M960" s="4"/>
      <c r="N960" s="4"/>
      <c r="O960" s="4"/>
      <c r="P960" s="4"/>
      <c r="Q960" s="4"/>
      <c r="R960" s="4"/>
    </row>
    <row r="961" spans="1:18" ht="17.399999999999999" x14ac:dyDescent="0.25">
      <c r="A961" s="4"/>
      <c r="B961" s="23"/>
      <c r="C961" s="4"/>
      <c r="D961" s="4"/>
      <c r="E961" s="5"/>
      <c r="F961" s="4"/>
      <c r="G961" s="4"/>
      <c r="H961" s="4"/>
      <c r="I961" s="4"/>
      <c r="J961" s="4"/>
      <c r="K961" s="4"/>
      <c r="L961" s="4"/>
      <c r="M961" s="4"/>
      <c r="N961" s="4"/>
      <c r="O961" s="4"/>
      <c r="P961" s="4"/>
      <c r="Q961" s="4"/>
      <c r="R961" s="4"/>
    </row>
    <row r="962" spans="1:18" ht="17.399999999999999" x14ac:dyDescent="0.25">
      <c r="A962" s="4"/>
      <c r="B962" s="23"/>
      <c r="C962" s="4"/>
      <c r="D962" s="4"/>
      <c r="E962" s="5"/>
      <c r="F962" s="4"/>
      <c r="G962" s="4"/>
      <c r="H962" s="4"/>
      <c r="I962" s="4"/>
      <c r="J962" s="4"/>
      <c r="K962" s="4"/>
      <c r="L962" s="4"/>
      <c r="M962" s="4"/>
      <c r="N962" s="4"/>
      <c r="O962" s="4"/>
      <c r="P962" s="4"/>
      <c r="Q962" s="4"/>
      <c r="R962" s="4"/>
    </row>
    <row r="963" spans="1:18" ht="17.399999999999999" x14ac:dyDescent="0.25">
      <c r="A963" s="4"/>
      <c r="B963" s="23"/>
      <c r="C963" s="4"/>
      <c r="D963" s="4"/>
      <c r="E963" s="5"/>
      <c r="F963" s="4"/>
      <c r="G963" s="4"/>
      <c r="H963" s="4"/>
      <c r="I963" s="4"/>
      <c r="J963" s="4"/>
      <c r="K963" s="4"/>
      <c r="L963" s="4"/>
      <c r="M963" s="4"/>
      <c r="N963" s="4"/>
      <c r="O963" s="4"/>
      <c r="P963" s="4"/>
      <c r="Q963" s="4"/>
      <c r="R963" s="4"/>
    </row>
    <row r="964" spans="1:18" ht="17.399999999999999" x14ac:dyDescent="0.25">
      <c r="A964" s="4"/>
      <c r="B964" s="23"/>
      <c r="C964" s="4"/>
      <c r="D964" s="4"/>
      <c r="E964" s="5"/>
      <c r="F964" s="4"/>
      <c r="G964" s="4"/>
      <c r="H964" s="4"/>
      <c r="I964" s="4"/>
      <c r="J964" s="4"/>
      <c r="K964" s="4"/>
      <c r="L964" s="4"/>
      <c r="M964" s="4"/>
      <c r="N964" s="4"/>
      <c r="O964" s="4"/>
      <c r="P964" s="4"/>
      <c r="Q964" s="4"/>
      <c r="R964" s="4"/>
    </row>
    <row r="965" spans="1:18" ht="17.399999999999999" x14ac:dyDescent="0.25">
      <c r="A965" s="4"/>
      <c r="B965" s="23"/>
      <c r="C965" s="4"/>
      <c r="D965" s="4"/>
      <c r="E965" s="5"/>
      <c r="F965" s="4"/>
      <c r="G965" s="4"/>
      <c r="H965" s="4"/>
      <c r="I965" s="4"/>
      <c r="J965" s="4"/>
      <c r="K965" s="4"/>
      <c r="L965" s="4"/>
      <c r="M965" s="4"/>
      <c r="N965" s="4"/>
      <c r="O965" s="4"/>
      <c r="P965" s="4"/>
      <c r="Q965" s="4"/>
      <c r="R965" s="4"/>
    </row>
    <row r="966" spans="1:18" ht="17.399999999999999" x14ac:dyDescent="0.25">
      <c r="A966" s="4"/>
      <c r="B966" s="23"/>
      <c r="C966" s="4"/>
      <c r="D966" s="4"/>
      <c r="E966" s="5"/>
      <c r="F966" s="4"/>
      <c r="G966" s="4"/>
      <c r="H966" s="4"/>
      <c r="I966" s="4"/>
      <c r="J966" s="4"/>
      <c r="K966" s="4"/>
      <c r="L966" s="4"/>
      <c r="M966" s="4"/>
      <c r="N966" s="4"/>
      <c r="O966" s="4"/>
      <c r="P966" s="4"/>
      <c r="Q966" s="4"/>
      <c r="R966" s="4"/>
    </row>
    <row r="967" spans="1:18" ht="17.399999999999999" x14ac:dyDescent="0.25">
      <c r="A967" s="4"/>
      <c r="B967" s="23"/>
      <c r="C967" s="4"/>
      <c r="D967" s="4"/>
      <c r="E967" s="5"/>
      <c r="F967" s="4"/>
      <c r="G967" s="4"/>
      <c r="H967" s="4"/>
      <c r="I967" s="4"/>
      <c r="J967" s="4"/>
      <c r="K967" s="4"/>
      <c r="L967" s="4"/>
      <c r="M967" s="4"/>
      <c r="N967" s="4"/>
      <c r="O967" s="4"/>
      <c r="P967" s="4"/>
      <c r="Q967" s="4"/>
      <c r="R967" s="4"/>
    </row>
    <row r="968" spans="1:18" ht="17.399999999999999" x14ac:dyDescent="0.25">
      <c r="A968" s="4"/>
      <c r="B968" s="23"/>
      <c r="C968" s="4"/>
      <c r="D968" s="4"/>
      <c r="E968" s="5"/>
      <c r="F968" s="4"/>
      <c r="G968" s="4"/>
      <c r="H968" s="4"/>
      <c r="I968" s="4"/>
      <c r="J968" s="4"/>
      <c r="K968" s="4"/>
      <c r="L968" s="4"/>
      <c r="M968" s="4"/>
      <c r="N968" s="4"/>
      <c r="O968" s="4"/>
      <c r="P968" s="4"/>
      <c r="Q968" s="4"/>
      <c r="R968" s="4"/>
    </row>
    <row r="969" spans="1:18" ht="17.399999999999999" x14ac:dyDescent="0.25">
      <c r="A969" s="4"/>
      <c r="B969" s="23"/>
      <c r="C969" s="4"/>
      <c r="D969" s="4"/>
      <c r="E969" s="5"/>
      <c r="F969" s="4"/>
      <c r="G969" s="4"/>
      <c r="H969" s="4"/>
      <c r="I969" s="4"/>
      <c r="J969" s="4"/>
      <c r="K969" s="4"/>
      <c r="L969" s="4"/>
      <c r="M969" s="4"/>
      <c r="N969" s="4"/>
      <c r="O969" s="4"/>
      <c r="P969" s="4"/>
      <c r="Q969" s="4"/>
      <c r="R969" s="4"/>
    </row>
    <row r="970" spans="1:18" ht="17.399999999999999" x14ac:dyDescent="0.25">
      <c r="A970" s="4"/>
      <c r="B970" s="23"/>
      <c r="C970" s="4"/>
      <c r="D970" s="4"/>
      <c r="E970" s="5"/>
      <c r="F970" s="4"/>
      <c r="G970" s="4"/>
      <c r="H970" s="4"/>
      <c r="I970" s="4"/>
      <c r="J970" s="4"/>
      <c r="K970" s="4"/>
      <c r="L970" s="4"/>
      <c r="M970" s="4"/>
      <c r="N970" s="4"/>
      <c r="O970" s="4"/>
      <c r="P970" s="4"/>
      <c r="Q970" s="4"/>
      <c r="R970" s="4"/>
    </row>
    <row r="971" spans="1:18" ht="17.399999999999999" x14ac:dyDescent="0.25">
      <c r="A971" s="4"/>
      <c r="B971" s="23"/>
      <c r="C971" s="4"/>
      <c r="D971" s="4"/>
      <c r="E971" s="5"/>
      <c r="F971" s="4"/>
      <c r="G971" s="4"/>
      <c r="H971" s="4"/>
      <c r="I971" s="4"/>
      <c r="J971" s="4"/>
      <c r="K971" s="4"/>
      <c r="L971" s="4"/>
      <c r="M971" s="4"/>
      <c r="N971" s="4"/>
      <c r="O971" s="4"/>
      <c r="P971" s="4"/>
      <c r="Q971" s="4"/>
      <c r="R971" s="4"/>
    </row>
    <row r="972" spans="1:18" ht="17.399999999999999" x14ac:dyDescent="0.25">
      <c r="A972" s="4"/>
      <c r="B972" s="23"/>
      <c r="C972" s="4"/>
      <c r="D972" s="4"/>
      <c r="E972" s="5"/>
      <c r="F972" s="4"/>
      <c r="G972" s="4"/>
      <c r="H972" s="4"/>
      <c r="I972" s="4"/>
      <c r="J972" s="4"/>
      <c r="K972" s="4"/>
      <c r="L972" s="4"/>
      <c r="M972" s="4"/>
      <c r="N972" s="4"/>
      <c r="O972" s="4"/>
      <c r="P972" s="4"/>
      <c r="Q972" s="4"/>
      <c r="R972" s="4"/>
    </row>
    <row r="973" spans="1:18" ht="17.399999999999999" x14ac:dyDescent="0.25">
      <c r="A973" s="4"/>
      <c r="B973" s="23"/>
      <c r="C973" s="4"/>
      <c r="D973" s="4"/>
      <c r="E973" s="5"/>
      <c r="F973" s="4"/>
      <c r="G973" s="4"/>
      <c r="H973" s="4"/>
      <c r="I973" s="4"/>
      <c r="J973" s="4"/>
      <c r="K973" s="4"/>
      <c r="L973" s="4"/>
      <c r="M973" s="4"/>
      <c r="N973" s="4"/>
      <c r="O973" s="4"/>
      <c r="P973" s="4"/>
      <c r="Q973" s="4"/>
      <c r="R973" s="4"/>
    </row>
    <row r="974" spans="1:18" ht="17.399999999999999" x14ac:dyDescent="0.25">
      <c r="A974" s="4"/>
      <c r="B974" s="23"/>
      <c r="C974" s="4"/>
      <c r="D974" s="4"/>
      <c r="E974" s="5"/>
      <c r="F974" s="4"/>
      <c r="G974" s="4"/>
      <c r="H974" s="4"/>
      <c r="I974" s="4"/>
      <c r="J974" s="4"/>
      <c r="K974" s="4"/>
      <c r="L974" s="4"/>
      <c r="M974" s="4"/>
      <c r="N974" s="4"/>
      <c r="O974" s="4"/>
      <c r="P974" s="4"/>
      <c r="Q974" s="4"/>
      <c r="R974" s="4"/>
    </row>
    <row r="975" spans="1:18" ht="17.399999999999999" x14ac:dyDescent="0.25">
      <c r="A975" s="4"/>
      <c r="B975" s="23"/>
      <c r="C975" s="4"/>
      <c r="D975" s="4"/>
      <c r="E975" s="5"/>
      <c r="F975" s="4"/>
      <c r="G975" s="4"/>
      <c r="H975" s="4"/>
      <c r="I975" s="4"/>
      <c r="J975" s="4"/>
      <c r="K975" s="4"/>
      <c r="L975" s="4"/>
      <c r="M975" s="4"/>
      <c r="N975" s="4"/>
      <c r="O975" s="4"/>
      <c r="P975" s="4"/>
      <c r="Q975" s="4"/>
      <c r="R975" s="4"/>
    </row>
    <row r="976" spans="1:18" ht="17.399999999999999" x14ac:dyDescent="0.25">
      <c r="A976" s="4"/>
      <c r="B976" s="23"/>
      <c r="C976" s="4"/>
      <c r="D976" s="4"/>
      <c r="E976" s="5"/>
      <c r="F976" s="4"/>
      <c r="G976" s="4"/>
      <c r="H976" s="4"/>
      <c r="I976" s="4"/>
      <c r="J976" s="4"/>
      <c r="K976" s="4"/>
      <c r="L976" s="4"/>
      <c r="M976" s="4"/>
      <c r="N976" s="4"/>
      <c r="O976" s="4"/>
      <c r="P976" s="4"/>
      <c r="Q976" s="4"/>
      <c r="R976" s="4"/>
    </row>
    <row r="977" spans="1:18" ht="17.399999999999999" x14ac:dyDescent="0.25">
      <c r="A977" s="4"/>
      <c r="B977" s="23"/>
      <c r="C977" s="4"/>
      <c r="D977" s="4"/>
      <c r="E977" s="5"/>
      <c r="F977" s="4"/>
      <c r="G977" s="4"/>
      <c r="H977" s="4"/>
      <c r="I977" s="4"/>
      <c r="J977" s="4"/>
      <c r="K977" s="4"/>
      <c r="L977" s="4"/>
      <c r="M977" s="4"/>
      <c r="N977" s="4"/>
      <c r="O977" s="4"/>
      <c r="P977" s="4"/>
      <c r="Q977" s="4"/>
      <c r="R977" s="4"/>
    </row>
    <row r="978" spans="1:18" ht="17.399999999999999" x14ac:dyDescent="0.25">
      <c r="A978" s="4"/>
      <c r="B978" s="23"/>
      <c r="C978" s="4"/>
      <c r="D978" s="4"/>
      <c r="E978" s="5"/>
      <c r="F978" s="4"/>
      <c r="G978" s="4"/>
      <c r="H978" s="4"/>
      <c r="I978" s="4"/>
      <c r="J978" s="4"/>
      <c r="K978" s="4"/>
      <c r="L978" s="4"/>
      <c r="M978" s="4"/>
      <c r="N978" s="4"/>
      <c r="O978" s="4"/>
      <c r="P978" s="4"/>
      <c r="Q978" s="4"/>
      <c r="R978" s="4"/>
    </row>
    <row r="979" spans="1:18" ht="17.399999999999999" x14ac:dyDescent="0.25">
      <c r="A979" s="4"/>
      <c r="B979" s="23"/>
      <c r="C979" s="4"/>
      <c r="D979" s="4"/>
      <c r="E979" s="5"/>
      <c r="F979" s="4"/>
      <c r="G979" s="4"/>
      <c r="H979" s="4"/>
      <c r="I979" s="4"/>
      <c r="J979" s="4"/>
      <c r="K979" s="4"/>
      <c r="L979" s="4"/>
      <c r="M979" s="4"/>
      <c r="N979" s="4"/>
      <c r="O979" s="4"/>
      <c r="P979" s="4"/>
      <c r="Q979" s="4"/>
      <c r="R979" s="4"/>
    </row>
    <row r="980" spans="1:18" ht="17.399999999999999" x14ac:dyDescent="0.25">
      <c r="A980" s="4"/>
      <c r="B980" s="23"/>
      <c r="C980" s="4"/>
      <c r="D980" s="4"/>
      <c r="E980" s="5"/>
      <c r="F980" s="4"/>
      <c r="G980" s="4"/>
      <c r="H980" s="4"/>
      <c r="I980" s="4"/>
      <c r="J980" s="4"/>
      <c r="K980" s="4"/>
      <c r="L980" s="4"/>
      <c r="M980" s="4"/>
      <c r="N980" s="4"/>
      <c r="O980" s="4"/>
      <c r="P980" s="4"/>
      <c r="Q980" s="4"/>
      <c r="R980" s="4"/>
    </row>
    <row r="981" spans="1:18" ht="17.399999999999999" x14ac:dyDescent="0.25">
      <c r="A981" s="4"/>
      <c r="B981" s="23"/>
      <c r="C981" s="4"/>
      <c r="D981" s="4"/>
      <c r="E981" s="5"/>
      <c r="F981" s="4"/>
      <c r="G981" s="4"/>
      <c r="H981" s="4"/>
      <c r="I981" s="4"/>
      <c r="J981" s="4"/>
      <c r="K981" s="4"/>
      <c r="L981" s="4"/>
      <c r="M981" s="4"/>
      <c r="N981" s="4"/>
      <c r="O981" s="4"/>
      <c r="P981" s="4"/>
      <c r="Q981" s="4"/>
      <c r="R981" s="4"/>
    </row>
    <row r="982" spans="1:18" ht="17.399999999999999" x14ac:dyDescent="0.25">
      <c r="A982" s="4"/>
      <c r="B982" s="23"/>
      <c r="C982" s="4"/>
      <c r="D982" s="4"/>
      <c r="E982" s="5"/>
      <c r="F982" s="4"/>
      <c r="G982" s="4"/>
      <c r="H982" s="4"/>
      <c r="I982" s="4"/>
      <c r="J982" s="4"/>
      <c r="K982" s="4"/>
      <c r="L982" s="4"/>
      <c r="M982" s="4"/>
      <c r="N982" s="4"/>
      <c r="O982" s="4"/>
      <c r="P982" s="4"/>
      <c r="Q982" s="4"/>
      <c r="R982" s="4"/>
    </row>
    <row r="983" spans="1:18" ht="17.399999999999999" x14ac:dyDescent="0.25">
      <c r="A983" s="4"/>
      <c r="B983" s="23"/>
      <c r="C983" s="4"/>
      <c r="D983" s="4"/>
      <c r="E983" s="5"/>
      <c r="F983" s="4"/>
      <c r="G983" s="4"/>
      <c r="H983" s="4"/>
      <c r="I983" s="4"/>
      <c r="J983" s="4"/>
      <c r="K983" s="4"/>
      <c r="L983" s="4"/>
      <c r="M983" s="4"/>
      <c r="N983" s="4"/>
      <c r="O983" s="4"/>
      <c r="P983" s="4"/>
      <c r="Q983" s="4"/>
      <c r="R983" s="4"/>
    </row>
    <row r="984" spans="1:18" ht="17.399999999999999" x14ac:dyDescent="0.25">
      <c r="A984" s="4"/>
      <c r="B984" s="23"/>
      <c r="C984" s="4"/>
      <c r="D984" s="4"/>
      <c r="E984" s="5"/>
      <c r="F984" s="4"/>
      <c r="G984" s="4"/>
      <c r="H984" s="4"/>
      <c r="I984" s="4"/>
      <c r="J984" s="4"/>
      <c r="K984" s="4"/>
      <c r="L984" s="4"/>
      <c r="M984" s="4"/>
      <c r="N984" s="4"/>
      <c r="O984" s="4"/>
      <c r="P984" s="4"/>
      <c r="Q984" s="4"/>
      <c r="R984" s="4"/>
    </row>
    <row r="985" spans="1:18" ht="17.399999999999999" x14ac:dyDescent="0.25">
      <c r="A985" s="4"/>
      <c r="B985" s="23"/>
      <c r="C985" s="4"/>
      <c r="D985" s="4"/>
      <c r="E985" s="5"/>
      <c r="F985" s="4"/>
      <c r="G985" s="4"/>
      <c r="H985" s="4"/>
      <c r="I985" s="4"/>
      <c r="J985" s="4"/>
      <c r="K985" s="4"/>
      <c r="L985" s="4"/>
      <c r="M985" s="4"/>
      <c r="N985" s="4"/>
      <c r="O985" s="4"/>
      <c r="P985" s="4"/>
      <c r="Q985" s="4"/>
      <c r="R985" s="4"/>
    </row>
    <row r="986" spans="1:18" ht="17.399999999999999" x14ac:dyDescent="0.25">
      <c r="A986" s="4"/>
      <c r="B986" s="23"/>
      <c r="C986" s="4"/>
      <c r="D986" s="4"/>
      <c r="E986" s="5"/>
      <c r="F986" s="4"/>
      <c r="G986" s="4"/>
      <c r="H986" s="4"/>
      <c r="I986" s="4"/>
      <c r="J986" s="4"/>
      <c r="K986" s="4"/>
      <c r="L986" s="4"/>
      <c r="M986" s="4"/>
      <c r="N986" s="4"/>
      <c r="O986" s="4"/>
      <c r="P986" s="4"/>
      <c r="Q986" s="4"/>
      <c r="R986" s="4"/>
    </row>
    <row r="987" spans="1:18" ht="17.399999999999999" x14ac:dyDescent="0.25">
      <c r="A987" s="4"/>
      <c r="B987" s="23"/>
      <c r="C987" s="4"/>
      <c r="D987" s="4"/>
      <c r="E987" s="5"/>
      <c r="F987" s="4"/>
      <c r="G987" s="4"/>
      <c r="H987" s="4"/>
      <c r="I987" s="4"/>
      <c r="J987" s="4"/>
      <c r="K987" s="4"/>
      <c r="L987" s="4"/>
      <c r="M987" s="4"/>
      <c r="N987" s="4"/>
      <c r="O987" s="4"/>
      <c r="P987" s="4"/>
      <c r="Q987" s="4"/>
      <c r="R987" s="4"/>
    </row>
    <row r="988" spans="1:18" ht="17.399999999999999" x14ac:dyDescent="0.25">
      <c r="A988" s="4"/>
      <c r="B988" s="23"/>
      <c r="C988" s="4"/>
      <c r="D988" s="4"/>
      <c r="E988" s="5"/>
      <c r="F988" s="4"/>
      <c r="G988" s="4"/>
      <c r="H988" s="4"/>
      <c r="I988" s="4"/>
      <c r="J988" s="4"/>
      <c r="K988" s="4"/>
      <c r="L988" s="4"/>
      <c r="M988" s="4"/>
      <c r="N988" s="4"/>
      <c r="O988" s="4"/>
      <c r="P988" s="4"/>
      <c r="Q988" s="4"/>
      <c r="R988" s="4"/>
    </row>
    <row r="989" spans="1:18" ht="17.399999999999999" x14ac:dyDescent="0.25">
      <c r="A989" s="4"/>
      <c r="B989" s="23"/>
      <c r="C989" s="4"/>
      <c r="D989" s="4"/>
      <c r="E989" s="5"/>
      <c r="F989" s="4"/>
      <c r="G989" s="4"/>
      <c r="H989" s="4"/>
      <c r="I989" s="4"/>
      <c r="J989" s="4"/>
      <c r="K989" s="4"/>
      <c r="L989" s="4"/>
      <c r="M989" s="4"/>
      <c r="N989" s="4"/>
      <c r="O989" s="4"/>
      <c r="P989" s="4"/>
      <c r="Q989" s="4"/>
      <c r="R989" s="4"/>
    </row>
    <row r="990" spans="1:18" ht="17.399999999999999" x14ac:dyDescent="0.25">
      <c r="A990" s="4"/>
      <c r="B990" s="23"/>
      <c r="C990" s="4"/>
      <c r="D990" s="4"/>
      <c r="E990" s="5"/>
      <c r="F990" s="4"/>
      <c r="G990" s="4"/>
      <c r="H990" s="4"/>
      <c r="I990" s="4"/>
      <c r="J990" s="4"/>
      <c r="K990" s="4"/>
      <c r="L990" s="4"/>
      <c r="M990" s="4"/>
      <c r="N990" s="4"/>
      <c r="O990" s="4"/>
      <c r="P990" s="4"/>
      <c r="Q990" s="4"/>
      <c r="R990" s="4"/>
    </row>
    <row r="991" spans="1:18" ht="17.399999999999999" x14ac:dyDescent="0.25">
      <c r="A991" s="4"/>
      <c r="B991" s="23"/>
      <c r="C991" s="4"/>
      <c r="D991" s="4"/>
      <c r="E991" s="5"/>
      <c r="F991" s="4"/>
      <c r="G991" s="4"/>
      <c r="H991" s="4"/>
      <c r="I991" s="4"/>
      <c r="J991" s="4"/>
      <c r="K991" s="4"/>
      <c r="L991" s="4"/>
      <c r="M991" s="4"/>
      <c r="N991" s="4"/>
      <c r="O991" s="4"/>
      <c r="P991" s="4"/>
      <c r="Q991" s="4"/>
      <c r="R991" s="4"/>
    </row>
    <row r="992" spans="1:18" ht="17.399999999999999" x14ac:dyDescent="0.25">
      <c r="A992" s="4"/>
      <c r="B992" s="23"/>
      <c r="C992" s="4"/>
      <c r="D992" s="4"/>
      <c r="E992" s="5"/>
      <c r="F992" s="4"/>
      <c r="G992" s="4"/>
      <c r="H992" s="4"/>
      <c r="I992" s="4"/>
      <c r="J992" s="4"/>
      <c r="K992" s="4"/>
      <c r="L992" s="4"/>
      <c r="M992" s="4"/>
      <c r="N992" s="4"/>
      <c r="O992" s="4"/>
      <c r="P992" s="4"/>
      <c r="Q992" s="4"/>
      <c r="R992" s="4"/>
    </row>
    <row r="993" spans="7:18" ht="17.399999999999999" x14ac:dyDescent="0.25">
      <c r="G993" s="4"/>
      <c r="H993" s="4"/>
      <c r="I993" s="4"/>
      <c r="J993" s="4"/>
      <c r="K993" s="4"/>
      <c r="L993" s="4"/>
      <c r="M993" s="4"/>
      <c r="N993" s="4"/>
      <c r="O993" s="4"/>
      <c r="P993" s="4"/>
      <c r="Q993" s="4"/>
      <c r="R993" s="4"/>
    </row>
    <row r="994" spans="7:18" ht="17.399999999999999" x14ac:dyDescent="0.25">
      <c r="G994" s="4"/>
      <c r="H994" s="4"/>
      <c r="I994" s="4"/>
      <c r="J994" s="4"/>
      <c r="K994" s="4"/>
      <c r="L994" s="4"/>
      <c r="M994" s="4"/>
      <c r="N994" s="4"/>
      <c r="O994" s="4"/>
      <c r="P994" s="4"/>
      <c r="Q994" s="4"/>
      <c r="R994" s="4"/>
    </row>
    <row r="995" spans="7:18" ht="17.399999999999999" x14ac:dyDescent="0.25">
      <c r="G995" s="4"/>
      <c r="H995" s="4"/>
      <c r="I995" s="4"/>
      <c r="J995" s="4"/>
      <c r="K995" s="4"/>
      <c r="L995" s="4"/>
      <c r="M995" s="4"/>
      <c r="N995" s="4"/>
      <c r="O995" s="4"/>
      <c r="P995" s="4"/>
      <c r="Q995" s="4"/>
      <c r="R995"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4"/>
  <sheetViews>
    <sheetView workbookViewId="0">
      <selection activeCell="S1" sqref="S1:S1048576"/>
    </sheetView>
  </sheetViews>
  <sheetFormatPr defaultColWidth="12.5546875" defaultRowHeight="13.2" x14ac:dyDescent="0.25"/>
  <cols>
    <col min="1" max="1" width="16.33203125" customWidth="1"/>
    <col min="2" max="2" width="16.33203125" style="24" customWidth="1"/>
    <col min="3" max="3" width="37.44140625" customWidth="1"/>
    <col min="4" max="4" width="45.5546875" customWidth="1"/>
    <col min="5" max="6" width="19.33203125" customWidth="1"/>
    <col min="7" max="18" width="19.33203125" hidden="1" customWidth="1"/>
    <col min="19" max="19" width="12.5546875" style="24"/>
  </cols>
  <sheetData>
    <row r="1" spans="1:19" ht="17.399999999999999" x14ac:dyDescent="0.25">
      <c r="A1" s="3" t="s">
        <v>20353</v>
      </c>
      <c r="B1" s="22" t="str">
        <f ca="1">IFERROR(__xludf.DUMMYFUNCTION("""COMPUTED_VALUE"""),"Date")</f>
        <v>Date</v>
      </c>
      <c r="C1" s="3" t="str">
        <f ca="1">IFERROR(__xludf.DUMMYFUNCTION("""COMPUTED_VALUE"""),"Payee")</f>
        <v>Payee</v>
      </c>
      <c r="D1" s="3" t="str">
        <f ca="1">IFERROR(__xludf.DUMMYFUNCTION("""COMPUTED_VALUE"""),"Particulars")</f>
        <v>Particulars</v>
      </c>
      <c r="E1" s="2" t="str">
        <f ca="1">IFERROR(__xludf.DUMMYFUNCTION("""COMPUTED_VALUE"""),"Amount")</f>
        <v>Amount</v>
      </c>
      <c r="F1" s="3" t="str">
        <f ca="1">IFERROR(__xludf.DUMMYFUNCTION("""COMPUTED_VALUE"""),"Fund")</f>
        <v>Fund</v>
      </c>
      <c r="G1" s="1"/>
      <c r="H1" s="1"/>
      <c r="I1" s="1"/>
      <c r="J1" s="1"/>
      <c r="K1" s="1"/>
      <c r="L1" s="1"/>
      <c r="M1" s="1"/>
      <c r="N1" s="1"/>
      <c r="O1" s="1"/>
      <c r="P1" s="1"/>
      <c r="Q1" s="1"/>
      <c r="R1" s="1"/>
      <c r="S1" s="25"/>
    </row>
    <row r="2" spans="1:19" ht="104.4" x14ac:dyDescent="0.25">
      <c r="A2" s="4">
        <f ca="1">IFERROR(__xludf.DUMMYFUNCTION("""COMPUTED_VALUE"""),80688758)</f>
        <v>80688758</v>
      </c>
      <c r="B2" s="23">
        <f ca="1">IFERROR(__xludf.DUMMYFUNCTION("""COMPUTED_VALUE"""),44831)</f>
        <v>44831</v>
      </c>
      <c r="C2" s="4" t="str">
        <f ca="1">IFERROR(__xludf.DUMMYFUNCTION("""COMPUTED_VALUE"""),"Metos Offshore, Inc. ")</f>
        <v xml:space="preserve">Metos Offshore, Inc. </v>
      </c>
      <c r="D2" s="4" t="str">
        <f ca="1">IFERROR(__xludf.DUMMYFUNCTION("""COMPUTED_VALUE"""),"LABOR AND MATERIALS FOR THE CONSTRUCTION OF TWO (2) STOREY FOUR (4) CLASSROOMS SCHOOL BUILDING AT MABATANG NATIONAL HIGH SCHOOL, BRGY. MABATANG, ABUCAY, BATAAN")</f>
        <v>LABOR AND MATERIALS FOR THE CONSTRUCTION OF TWO (2) STOREY FOUR (4) CLASSROOMS SCHOOL BUILDING AT MABATANG NATIONAL HIGH SCHOOL, BRGY. MABATANG, ABUCAY, BATAAN</v>
      </c>
      <c r="E2" s="5">
        <f ca="1">IFERROR(__xludf.DUMMYFUNCTION("""COMPUTED_VALUE"""),74225.29)</f>
        <v>74225.289999999994</v>
      </c>
      <c r="F2" s="4" t="str">
        <f ca="1">IFERROR(__xludf.DUMMYFUNCTION("""COMPUTED_VALUE"""),"DBP SEF")</f>
        <v>DBP SEF</v>
      </c>
      <c r="G2" s="1"/>
      <c r="H2" s="1"/>
      <c r="I2" s="1"/>
      <c r="J2" s="1"/>
      <c r="K2" s="1"/>
      <c r="L2" s="1"/>
      <c r="M2" s="1"/>
      <c r="N2" s="1"/>
      <c r="O2" s="1"/>
      <c r="P2" s="1"/>
      <c r="Q2" s="1"/>
      <c r="R2" s="1"/>
    </row>
    <row r="3" spans="1:19" ht="34.799999999999997" x14ac:dyDescent="0.25">
      <c r="A3" s="4">
        <f ca="1">IFERROR(__xludf.DUMMYFUNCTION("""COMPUTED_VALUE"""),80688765)</f>
        <v>80688765</v>
      </c>
      <c r="B3" s="23">
        <f ca="1">IFERROR(__xludf.DUMMYFUNCTION("""COMPUTED_VALUE"""),44838)</f>
        <v>44838</v>
      </c>
      <c r="C3" s="4" t="str">
        <f ca="1">IFERROR(__xludf.DUMMYFUNCTION("""COMPUTED_VALUE"""),"Expedia Solutions Specialist, Inc. ")</f>
        <v xml:space="preserve">Expedia Solutions Specialist, Inc. </v>
      </c>
      <c r="D3" s="4" t="str">
        <f ca="1">IFERROR(__xludf.DUMMYFUNCTION("""COMPUTED_VALUE"""),"1% retention for toner for taskalfa 2552cl for use of PEO")</f>
        <v>1% retention for toner for taskalfa 2552cl for use of PEO</v>
      </c>
      <c r="E3" s="5">
        <f ca="1">IFERROR(__xludf.DUMMYFUNCTION("""COMPUTED_VALUE"""),39754.52)</f>
        <v>39754.519999999997</v>
      </c>
      <c r="F3" s="4" t="str">
        <f ca="1">IFERROR(__xludf.DUMMYFUNCTION("""COMPUTED_VALUE"""),"DBP SEF")</f>
        <v>DBP SEF</v>
      </c>
      <c r="G3" s="17"/>
      <c r="H3" s="17"/>
      <c r="I3" s="17"/>
      <c r="J3" s="17"/>
      <c r="K3" s="17"/>
      <c r="L3" s="17"/>
      <c r="M3" s="17"/>
      <c r="N3" s="17"/>
      <c r="O3" s="17"/>
      <c r="P3" s="17"/>
      <c r="Q3" s="17"/>
      <c r="R3" s="17"/>
    </row>
    <row r="4" spans="1:19" ht="17.399999999999999" x14ac:dyDescent="0.25">
      <c r="A4" s="4">
        <f ca="1">IFERROR(__xludf.DUMMYFUNCTION("""COMPUTED_VALUE"""),80688770)</f>
        <v>80688770</v>
      </c>
      <c r="B4" s="23">
        <f ca="1">IFERROR(__xludf.DUMMYFUNCTION("""COMPUTED_VALUE"""),44844)</f>
        <v>44844</v>
      </c>
      <c r="C4" s="4" t="str">
        <f ca="1">IFERROR(__xludf.DUMMYFUNCTION("""COMPUTED_VALUE"""),"Scarabus, Inc.")</f>
        <v>Scarabus, Inc.</v>
      </c>
      <c r="D4" s="4"/>
      <c r="E4" s="5">
        <f ca="1">IFERROR(__xludf.DUMMYFUNCTION("""COMPUTED_VALUE"""),38982022.67)</f>
        <v>38982022.670000002</v>
      </c>
      <c r="F4" s="4" t="str">
        <f ca="1">IFERROR(__xludf.DUMMYFUNCTION("""COMPUTED_VALUE"""),"DBP SEF")</f>
        <v>DBP SEF</v>
      </c>
      <c r="G4" s="3"/>
      <c r="H4" s="3"/>
      <c r="I4" s="3"/>
      <c r="J4" s="3"/>
      <c r="K4" s="3"/>
      <c r="L4" s="3"/>
      <c r="M4" s="3"/>
      <c r="N4" s="3"/>
      <c r="O4" s="3"/>
      <c r="P4" s="3"/>
      <c r="Q4" s="3"/>
      <c r="R4" s="3"/>
    </row>
    <row r="5" spans="1:19" ht="34.799999999999997" x14ac:dyDescent="0.25">
      <c r="A5" s="4">
        <f ca="1">IFERROR(__xludf.DUMMYFUNCTION("""COMPUTED_VALUE"""),80688775)</f>
        <v>80688775</v>
      </c>
      <c r="B5" s="23">
        <f ca="1">IFERROR(__xludf.DUMMYFUNCTION("""COMPUTED_VALUE"""),44847)</f>
        <v>44847</v>
      </c>
      <c r="C5" s="4" t="str">
        <f ca="1">IFERROR(__xludf.DUMMYFUNCTION("""COMPUTED_VALUE"""),"NHC Auto Glass &amp; Aluminum Center")</f>
        <v>NHC Auto Glass &amp; Aluminum Center</v>
      </c>
      <c r="D5" s="4"/>
      <c r="E5" s="5">
        <f ca="1">IFERROR(__xludf.DUMMYFUNCTION("""COMPUTED_VALUE"""),10780)</f>
        <v>10780</v>
      </c>
      <c r="F5" s="4" t="str">
        <f ca="1">IFERROR(__xludf.DUMMYFUNCTION("""COMPUTED_VALUE"""),"DBP SEF")</f>
        <v>DBP SEF</v>
      </c>
      <c r="G5" s="4"/>
      <c r="H5" s="4"/>
      <c r="I5" s="4"/>
      <c r="J5" s="4"/>
      <c r="K5" s="4"/>
      <c r="L5" s="4"/>
      <c r="M5" s="4"/>
      <c r="N5" s="4"/>
      <c r="O5" s="4"/>
      <c r="P5" s="4"/>
      <c r="Q5" s="4"/>
      <c r="R5" s="4"/>
    </row>
    <row r="6" spans="1:19" ht="52.2" x14ac:dyDescent="0.25">
      <c r="A6" s="4">
        <f ca="1">IFERROR(__xludf.DUMMYFUNCTION("""COMPUTED_VALUE"""),80688806)</f>
        <v>80688806</v>
      </c>
      <c r="B6" s="23">
        <f ca="1">IFERROR(__xludf.DUMMYFUNCTION("""COMPUTED_VALUE"""),44875)</f>
        <v>44875</v>
      </c>
      <c r="C6" s="4" t="str">
        <f ca="1">IFERROR(__xludf.DUMMYFUNCTION("""COMPUTED_VALUE"""),"Deped, Bataan ")</f>
        <v xml:space="preserve">Deped, Bataan </v>
      </c>
      <c r="D6" s="4" t="str">
        <f ca="1">IFERROR(__xludf.DUMMYFUNCTION("""COMPUTED_VALUE"""),"Subsidy to Mabayo Elementary School for the improvement of school clinic and DRRM")</f>
        <v>Subsidy to Mabayo Elementary School for the improvement of school clinic and DRRM</v>
      </c>
      <c r="E6" s="5">
        <f ca="1">IFERROR(__xludf.DUMMYFUNCTION("""COMPUTED_VALUE"""),20000)</f>
        <v>20000</v>
      </c>
      <c r="F6" s="4" t="str">
        <f ca="1">IFERROR(__xludf.DUMMYFUNCTION("""COMPUTED_VALUE"""),"DBP SEF")</f>
        <v>DBP SEF</v>
      </c>
      <c r="G6" s="4"/>
      <c r="H6" s="4"/>
      <c r="I6" s="4"/>
      <c r="J6" s="4"/>
      <c r="K6" s="4"/>
      <c r="L6" s="4"/>
      <c r="M6" s="4"/>
      <c r="N6" s="4"/>
      <c r="O6" s="4"/>
      <c r="P6" s="4"/>
      <c r="Q6" s="4"/>
      <c r="R6" s="4"/>
    </row>
    <row r="7" spans="1:19" ht="52.2" x14ac:dyDescent="0.25">
      <c r="A7" s="4">
        <f ca="1">IFERROR(__xludf.DUMMYFUNCTION("""COMPUTED_VALUE"""),80688808)</f>
        <v>80688808</v>
      </c>
      <c r="B7" s="23">
        <f ca="1">IFERROR(__xludf.DUMMYFUNCTION("""COMPUTED_VALUE"""),44875)</f>
        <v>44875</v>
      </c>
      <c r="C7" s="4" t="str">
        <f ca="1">IFERROR(__xludf.DUMMYFUNCTION("""COMPUTED_VALUE"""),"Deped, Bataan ")</f>
        <v xml:space="preserve">Deped, Bataan </v>
      </c>
      <c r="D7" s="4" t="str">
        <f ca="1">IFERROR(__xludf.DUMMYFUNCTION("""COMPUTED_VALUE"""),"Subsidy to SDO BATAAN for Bataan Fiber to Home Project an internet connectivity for Batang Bataeño")</f>
        <v>Subsidy to SDO BATAAN for Bataan Fiber to Home Project an internet connectivity for Batang Bataeño</v>
      </c>
      <c r="E7" s="5">
        <f ca="1">IFERROR(__xludf.DUMMYFUNCTION("""COMPUTED_VALUE"""),50000)</f>
        <v>50000</v>
      </c>
      <c r="F7" s="4" t="str">
        <f ca="1">IFERROR(__xludf.DUMMYFUNCTION("""COMPUTED_VALUE"""),"DBP SEF")</f>
        <v>DBP SEF</v>
      </c>
      <c r="G7" s="4"/>
      <c r="H7" s="4"/>
      <c r="I7" s="4"/>
      <c r="J7" s="4"/>
      <c r="K7" s="4"/>
      <c r="L7" s="4"/>
      <c r="M7" s="4"/>
      <c r="N7" s="4"/>
      <c r="O7" s="4"/>
      <c r="P7" s="4"/>
      <c r="Q7" s="4"/>
      <c r="R7" s="4"/>
    </row>
    <row r="8" spans="1:19" ht="17.399999999999999" x14ac:dyDescent="0.25">
      <c r="A8" s="4">
        <f ca="1">IFERROR(__xludf.DUMMYFUNCTION("""COMPUTED_VALUE"""),80688809)</f>
        <v>80688809</v>
      </c>
      <c r="B8" s="23">
        <f ca="1">IFERROR(__xludf.DUMMYFUNCTION("""COMPUTED_VALUE"""),44876)</f>
        <v>44876</v>
      </c>
      <c r="C8" s="4" t="str">
        <f ca="1">IFERROR(__xludf.DUMMYFUNCTION("""COMPUTED_VALUE"""),"Marivic Triguero ")</f>
        <v xml:space="preserve">Marivic Triguero </v>
      </c>
      <c r="D8" s="4" t="str">
        <f ca="1">IFERROR(__xludf.DUMMYFUNCTION("""COMPUTED_VALUE"""),"Cash advance")</f>
        <v>Cash advance</v>
      </c>
      <c r="E8" s="5">
        <f ca="1">IFERROR(__xludf.DUMMYFUNCTION("""COMPUTED_VALUE"""),10000)</f>
        <v>10000</v>
      </c>
      <c r="F8" s="4" t="str">
        <f ca="1">IFERROR(__xludf.DUMMYFUNCTION("""COMPUTED_VALUE"""),"DBP SEF")</f>
        <v>DBP SEF</v>
      </c>
      <c r="G8" s="4"/>
      <c r="H8" s="4"/>
      <c r="I8" s="4"/>
      <c r="J8" s="4"/>
      <c r="K8" s="4"/>
      <c r="L8" s="4"/>
      <c r="M8" s="4"/>
      <c r="N8" s="4"/>
      <c r="O8" s="4"/>
      <c r="P8" s="4"/>
      <c r="Q8" s="4"/>
      <c r="R8" s="4"/>
    </row>
    <row r="9" spans="1:19" ht="17.399999999999999" x14ac:dyDescent="0.25">
      <c r="A9" s="4"/>
      <c r="B9" s="23"/>
      <c r="C9" s="4"/>
      <c r="D9" s="6"/>
      <c r="E9" s="7"/>
      <c r="F9" s="4"/>
      <c r="G9" s="4"/>
      <c r="H9" s="4"/>
      <c r="I9" s="4"/>
      <c r="J9" s="4"/>
      <c r="K9" s="4"/>
      <c r="L9" s="4"/>
      <c r="M9" s="4"/>
      <c r="N9" s="4"/>
      <c r="O9" s="4"/>
      <c r="P9" s="4"/>
      <c r="Q9" s="4"/>
      <c r="R9" s="4"/>
    </row>
    <row r="10" spans="1:19" ht="17.399999999999999" x14ac:dyDescent="0.25">
      <c r="A10" s="4"/>
      <c r="B10" s="23"/>
      <c r="C10" s="4"/>
      <c r="D10" s="4"/>
      <c r="E10" s="5"/>
      <c r="F10" s="4"/>
      <c r="G10" s="4"/>
      <c r="H10" s="4"/>
      <c r="I10" s="4"/>
      <c r="J10" s="4"/>
      <c r="K10" s="4"/>
      <c r="L10" s="4"/>
      <c r="M10" s="4"/>
      <c r="N10" s="4"/>
      <c r="O10" s="4"/>
      <c r="P10" s="4"/>
      <c r="Q10" s="4"/>
      <c r="R10" s="4"/>
    </row>
    <row r="11" spans="1:19" ht="17.399999999999999" x14ac:dyDescent="0.25">
      <c r="A11" s="4"/>
      <c r="B11" s="23"/>
      <c r="C11" s="4"/>
      <c r="D11" s="4"/>
      <c r="E11" s="5"/>
      <c r="F11" s="4"/>
      <c r="G11" s="4"/>
      <c r="H11" s="4"/>
      <c r="I11" s="4"/>
      <c r="J11" s="4"/>
      <c r="K11" s="4"/>
      <c r="L11" s="4"/>
      <c r="M11" s="4"/>
      <c r="N11" s="4"/>
      <c r="O11" s="4"/>
      <c r="P11" s="4"/>
      <c r="Q11" s="4"/>
      <c r="R11" s="4"/>
    </row>
    <row r="12" spans="1:19" ht="17.399999999999999" x14ac:dyDescent="0.25">
      <c r="A12" s="4"/>
      <c r="B12" s="23"/>
      <c r="C12" s="4"/>
      <c r="D12" s="4"/>
      <c r="E12" s="5"/>
      <c r="F12" s="4"/>
      <c r="G12" s="4"/>
      <c r="H12" s="4"/>
      <c r="I12" s="4"/>
      <c r="J12" s="4"/>
      <c r="K12" s="4"/>
      <c r="L12" s="4"/>
      <c r="M12" s="4"/>
      <c r="N12" s="4"/>
      <c r="O12" s="4"/>
      <c r="P12" s="4"/>
      <c r="Q12" s="4"/>
      <c r="R12" s="4"/>
    </row>
    <row r="13" spans="1:19" ht="17.399999999999999" x14ac:dyDescent="0.25">
      <c r="A13" s="4"/>
      <c r="B13" s="23"/>
      <c r="C13" s="4"/>
      <c r="D13" s="4"/>
      <c r="E13" s="5"/>
      <c r="F13" s="4"/>
      <c r="G13" s="4"/>
      <c r="H13" s="4"/>
      <c r="I13" s="4"/>
      <c r="J13" s="4"/>
      <c r="K13" s="4"/>
      <c r="L13" s="4"/>
      <c r="M13" s="4"/>
      <c r="N13" s="4"/>
      <c r="O13" s="4"/>
      <c r="P13" s="4"/>
      <c r="Q13" s="4"/>
      <c r="R13" s="4"/>
    </row>
    <row r="14" spans="1:19" ht="17.399999999999999" x14ac:dyDescent="0.25">
      <c r="A14" s="4"/>
      <c r="B14" s="23"/>
      <c r="C14" s="4"/>
      <c r="D14" s="4"/>
      <c r="E14" s="5"/>
      <c r="F14" s="4"/>
      <c r="G14" s="4"/>
      <c r="H14" s="4"/>
      <c r="I14" s="4"/>
      <c r="J14" s="4"/>
      <c r="K14" s="4"/>
      <c r="L14" s="4"/>
      <c r="M14" s="4"/>
      <c r="N14" s="4"/>
      <c r="O14" s="4"/>
      <c r="P14" s="4"/>
      <c r="Q14" s="4"/>
      <c r="R14" s="4"/>
    </row>
    <row r="15" spans="1:19" ht="17.399999999999999" x14ac:dyDescent="0.25">
      <c r="A15" s="4"/>
      <c r="B15" s="23"/>
      <c r="C15" s="4"/>
      <c r="D15" s="4"/>
      <c r="E15" s="5"/>
      <c r="F15" s="4"/>
      <c r="G15" s="4"/>
      <c r="H15" s="4"/>
      <c r="I15" s="4"/>
      <c r="J15" s="4"/>
      <c r="K15" s="4"/>
      <c r="L15" s="4"/>
      <c r="M15" s="4"/>
      <c r="N15" s="4"/>
      <c r="O15" s="4"/>
      <c r="P15" s="4"/>
      <c r="Q15" s="4"/>
      <c r="R15" s="4"/>
    </row>
    <row r="16" spans="1:19" ht="17.399999999999999" x14ac:dyDescent="0.25">
      <c r="A16" s="4"/>
      <c r="B16" s="23"/>
      <c r="C16" s="4"/>
      <c r="D16" s="4"/>
      <c r="E16" s="5"/>
      <c r="F16" s="4"/>
      <c r="G16" s="4"/>
      <c r="H16" s="4"/>
      <c r="I16" s="4"/>
      <c r="J16" s="4"/>
      <c r="K16" s="4"/>
      <c r="L16" s="4"/>
      <c r="M16" s="4"/>
      <c r="N16" s="4"/>
      <c r="O16" s="4"/>
      <c r="P16" s="4"/>
      <c r="Q16" s="4"/>
      <c r="R16" s="4"/>
    </row>
    <row r="17" spans="1:18" ht="17.399999999999999" x14ac:dyDescent="0.25">
      <c r="A17" s="4"/>
      <c r="B17" s="23"/>
      <c r="C17" s="4"/>
      <c r="D17" s="4"/>
      <c r="E17" s="5"/>
      <c r="F17" s="4"/>
      <c r="G17" s="4"/>
      <c r="H17" s="4"/>
      <c r="I17" s="4"/>
      <c r="J17" s="4"/>
      <c r="K17" s="4"/>
      <c r="L17" s="4"/>
      <c r="M17" s="4"/>
      <c r="N17" s="4"/>
      <c r="O17" s="4"/>
      <c r="P17" s="4"/>
      <c r="Q17" s="4"/>
      <c r="R17" s="4"/>
    </row>
    <row r="18" spans="1:18" ht="17.399999999999999" x14ac:dyDescent="0.25">
      <c r="A18" s="4"/>
      <c r="B18" s="23"/>
      <c r="C18" s="4"/>
      <c r="D18" s="4"/>
      <c r="E18" s="5"/>
      <c r="F18" s="4"/>
      <c r="G18" s="4"/>
      <c r="H18" s="4"/>
      <c r="I18" s="4"/>
      <c r="J18" s="4"/>
      <c r="K18" s="4"/>
      <c r="L18" s="4"/>
      <c r="M18" s="4"/>
      <c r="N18" s="4"/>
      <c r="O18" s="4"/>
      <c r="P18" s="4"/>
      <c r="Q18" s="4"/>
      <c r="R18" s="4"/>
    </row>
    <row r="19" spans="1:18" ht="17.399999999999999" x14ac:dyDescent="0.25">
      <c r="A19" s="4"/>
      <c r="B19" s="23"/>
      <c r="C19" s="4"/>
      <c r="D19" s="4"/>
      <c r="E19" s="5"/>
      <c r="F19" s="4"/>
      <c r="G19" s="4"/>
      <c r="H19" s="4"/>
      <c r="I19" s="4"/>
      <c r="J19" s="4"/>
      <c r="K19" s="4"/>
      <c r="L19" s="4"/>
      <c r="M19" s="4"/>
      <c r="N19" s="4"/>
      <c r="O19" s="4"/>
      <c r="P19" s="4"/>
      <c r="Q19" s="4"/>
      <c r="R19" s="4"/>
    </row>
    <row r="20" spans="1:18" ht="17.399999999999999" x14ac:dyDescent="0.25">
      <c r="A20" s="4"/>
      <c r="B20" s="23"/>
      <c r="C20" s="4"/>
      <c r="D20" s="4"/>
      <c r="E20" s="5"/>
      <c r="F20" s="4"/>
      <c r="G20" s="4"/>
      <c r="H20" s="4"/>
      <c r="I20" s="4"/>
      <c r="J20" s="4"/>
      <c r="K20" s="4"/>
      <c r="L20" s="4"/>
      <c r="M20" s="4"/>
      <c r="N20" s="4"/>
      <c r="O20" s="4"/>
      <c r="P20" s="4"/>
      <c r="Q20" s="4"/>
      <c r="R20" s="4"/>
    </row>
    <row r="21" spans="1:18" ht="17.399999999999999" x14ac:dyDescent="0.25">
      <c r="A21" s="4"/>
      <c r="B21" s="23"/>
      <c r="C21" s="4"/>
      <c r="D21" s="4"/>
      <c r="E21" s="5"/>
      <c r="F21" s="4"/>
      <c r="G21" s="4"/>
      <c r="H21" s="4"/>
      <c r="I21" s="4"/>
      <c r="J21" s="4"/>
      <c r="K21" s="4"/>
      <c r="L21" s="4"/>
      <c r="M21" s="4"/>
      <c r="N21" s="4"/>
      <c r="O21" s="4"/>
      <c r="P21" s="4"/>
      <c r="Q21" s="4"/>
      <c r="R21" s="4"/>
    </row>
    <row r="22" spans="1:18" ht="17.399999999999999" x14ac:dyDescent="0.25">
      <c r="A22" s="4"/>
      <c r="B22" s="23"/>
      <c r="C22" s="4"/>
      <c r="D22" s="4"/>
      <c r="E22" s="5"/>
      <c r="F22" s="4"/>
      <c r="G22" s="4"/>
      <c r="H22" s="4"/>
      <c r="I22" s="4"/>
      <c r="J22" s="4"/>
      <c r="K22" s="4"/>
      <c r="L22" s="4"/>
      <c r="M22" s="4"/>
      <c r="N22" s="4"/>
      <c r="O22" s="4"/>
      <c r="P22" s="4"/>
      <c r="Q22" s="4"/>
      <c r="R22" s="4"/>
    </row>
    <row r="23" spans="1:18" ht="17.399999999999999" x14ac:dyDescent="0.25">
      <c r="A23" s="4"/>
      <c r="B23" s="23"/>
      <c r="C23" s="4"/>
      <c r="D23" s="4"/>
      <c r="E23" s="5"/>
      <c r="F23" s="4"/>
      <c r="G23" s="4"/>
      <c r="H23" s="4"/>
      <c r="I23" s="4"/>
      <c r="J23" s="4"/>
      <c r="K23" s="4"/>
      <c r="L23" s="4"/>
      <c r="M23" s="4"/>
      <c r="N23" s="4"/>
      <c r="O23" s="4"/>
      <c r="P23" s="4"/>
      <c r="Q23" s="4"/>
      <c r="R23" s="4"/>
    </row>
    <row r="24" spans="1:18" ht="17.399999999999999" x14ac:dyDescent="0.25">
      <c r="A24" s="4"/>
      <c r="B24" s="23"/>
      <c r="C24" s="4"/>
      <c r="D24" s="4"/>
      <c r="E24" s="5"/>
      <c r="F24" s="4"/>
      <c r="G24" s="4"/>
      <c r="H24" s="4"/>
      <c r="I24" s="4"/>
      <c r="J24" s="4"/>
      <c r="K24" s="4"/>
      <c r="L24" s="4"/>
      <c r="M24" s="4"/>
      <c r="N24" s="4"/>
      <c r="O24" s="4"/>
      <c r="P24" s="4"/>
      <c r="Q24" s="4"/>
      <c r="R24" s="4"/>
    </row>
    <row r="25" spans="1:18" ht="17.399999999999999" x14ac:dyDescent="0.25">
      <c r="A25" s="4"/>
      <c r="B25" s="23"/>
      <c r="C25" s="4"/>
      <c r="D25" s="4"/>
      <c r="E25" s="5"/>
      <c r="F25" s="4"/>
      <c r="G25" s="4"/>
      <c r="H25" s="4"/>
      <c r="I25" s="4"/>
      <c r="J25" s="4"/>
      <c r="K25" s="4"/>
      <c r="L25" s="4"/>
      <c r="M25" s="4"/>
      <c r="N25" s="4"/>
      <c r="O25" s="4"/>
      <c r="P25" s="4"/>
      <c r="Q25" s="4"/>
      <c r="R25" s="4"/>
    </row>
    <row r="26" spans="1:18" ht="17.399999999999999" x14ac:dyDescent="0.25">
      <c r="A26" s="4"/>
      <c r="B26" s="23"/>
      <c r="C26" s="4"/>
      <c r="D26" s="4"/>
      <c r="E26" s="5"/>
      <c r="F26" s="4"/>
      <c r="G26" s="4"/>
      <c r="H26" s="4"/>
      <c r="I26" s="4"/>
      <c r="J26" s="4"/>
      <c r="K26" s="4"/>
      <c r="L26" s="4"/>
      <c r="M26" s="4"/>
      <c r="N26" s="4"/>
      <c r="O26" s="4"/>
      <c r="P26" s="4"/>
      <c r="Q26" s="4"/>
      <c r="R26" s="4"/>
    </row>
    <row r="27" spans="1:18" ht="17.399999999999999" x14ac:dyDescent="0.25">
      <c r="A27" s="4"/>
      <c r="B27" s="23"/>
      <c r="C27" s="4"/>
      <c r="D27" s="4"/>
      <c r="E27" s="5"/>
      <c r="F27" s="4"/>
      <c r="G27" s="4"/>
      <c r="H27" s="4"/>
      <c r="I27" s="4"/>
      <c r="J27" s="4"/>
      <c r="K27" s="4"/>
      <c r="L27" s="4"/>
      <c r="M27" s="4"/>
      <c r="N27" s="4"/>
      <c r="O27" s="4"/>
      <c r="P27" s="4"/>
      <c r="Q27" s="4"/>
      <c r="R27" s="4"/>
    </row>
    <row r="28" spans="1:18" ht="17.399999999999999" x14ac:dyDescent="0.25">
      <c r="A28" s="4"/>
      <c r="B28" s="23"/>
      <c r="C28" s="4"/>
      <c r="D28" s="4"/>
      <c r="E28" s="5"/>
      <c r="F28" s="4"/>
      <c r="G28" s="4"/>
      <c r="H28" s="4"/>
      <c r="I28" s="4"/>
      <c r="J28" s="4"/>
      <c r="K28" s="4"/>
      <c r="L28" s="4"/>
      <c r="M28" s="4"/>
      <c r="N28" s="4"/>
      <c r="O28" s="4"/>
      <c r="P28" s="4"/>
      <c r="Q28" s="4"/>
      <c r="R28" s="4"/>
    </row>
    <row r="29" spans="1:18" ht="17.399999999999999" x14ac:dyDescent="0.25">
      <c r="A29" s="4"/>
      <c r="B29" s="23"/>
      <c r="C29" s="4"/>
      <c r="D29" s="4"/>
      <c r="E29" s="5"/>
      <c r="F29" s="4"/>
      <c r="G29" s="4"/>
      <c r="H29" s="4"/>
      <c r="I29" s="4"/>
      <c r="J29" s="4"/>
      <c r="K29" s="4"/>
      <c r="L29" s="4"/>
      <c r="M29" s="4"/>
      <c r="N29" s="4"/>
      <c r="O29" s="4"/>
      <c r="P29" s="4"/>
      <c r="Q29" s="4"/>
      <c r="R29" s="4"/>
    </row>
    <row r="30" spans="1:18" ht="17.399999999999999" x14ac:dyDescent="0.25">
      <c r="A30" s="4"/>
      <c r="B30" s="23"/>
      <c r="C30" s="4"/>
      <c r="D30" s="4"/>
      <c r="E30" s="5"/>
      <c r="F30" s="4"/>
      <c r="G30" s="4"/>
      <c r="H30" s="4"/>
      <c r="I30" s="4"/>
      <c r="J30" s="4"/>
      <c r="K30" s="4"/>
      <c r="L30" s="4"/>
      <c r="M30" s="4"/>
      <c r="N30" s="4"/>
      <c r="O30" s="4"/>
      <c r="P30" s="4"/>
      <c r="Q30" s="4"/>
      <c r="R30" s="4"/>
    </row>
    <row r="31" spans="1:18" ht="17.399999999999999" x14ac:dyDescent="0.25">
      <c r="A31" s="4"/>
      <c r="B31" s="23"/>
      <c r="C31" s="4"/>
      <c r="D31" s="4"/>
      <c r="E31" s="5"/>
      <c r="F31" s="4"/>
      <c r="G31" s="4"/>
      <c r="H31" s="4"/>
      <c r="I31" s="4"/>
      <c r="J31" s="4"/>
      <c r="K31" s="4"/>
      <c r="L31" s="4"/>
      <c r="M31" s="4"/>
      <c r="N31" s="4"/>
      <c r="O31" s="4"/>
      <c r="P31" s="4"/>
      <c r="Q31" s="4"/>
      <c r="R31" s="4"/>
    </row>
    <row r="32" spans="1:18" ht="17.399999999999999" x14ac:dyDescent="0.25">
      <c r="A32" s="4"/>
      <c r="B32" s="23"/>
      <c r="C32" s="4"/>
      <c r="D32" s="4"/>
      <c r="E32" s="5"/>
      <c r="F32" s="4"/>
      <c r="G32" s="4"/>
      <c r="H32" s="4"/>
      <c r="I32" s="4"/>
      <c r="J32" s="4"/>
      <c r="K32" s="4"/>
      <c r="L32" s="4"/>
      <c r="M32" s="4"/>
      <c r="N32" s="4"/>
      <c r="O32" s="4"/>
      <c r="P32" s="4"/>
      <c r="Q32" s="4"/>
      <c r="R32" s="4"/>
    </row>
    <row r="33" spans="1:18" ht="17.399999999999999" x14ac:dyDescent="0.25">
      <c r="A33" s="4"/>
      <c r="B33" s="23"/>
      <c r="C33" s="4"/>
      <c r="D33" s="4"/>
      <c r="E33" s="5"/>
      <c r="F33" s="4"/>
      <c r="G33" s="4"/>
      <c r="H33" s="4"/>
      <c r="I33" s="4"/>
      <c r="J33" s="4"/>
      <c r="K33" s="4"/>
      <c r="L33" s="4"/>
      <c r="M33" s="4"/>
      <c r="N33" s="4"/>
      <c r="O33" s="4"/>
      <c r="P33" s="4"/>
      <c r="Q33" s="4"/>
      <c r="R33" s="4"/>
    </row>
    <row r="34" spans="1:18" ht="17.399999999999999" x14ac:dyDescent="0.25">
      <c r="A34" s="4"/>
      <c r="B34" s="23"/>
      <c r="C34" s="4"/>
      <c r="D34" s="4"/>
      <c r="E34" s="5"/>
      <c r="F34" s="4"/>
      <c r="G34" s="4"/>
      <c r="H34" s="4"/>
      <c r="I34" s="4"/>
      <c r="J34" s="4"/>
      <c r="K34" s="4"/>
      <c r="L34" s="4"/>
      <c r="M34" s="4"/>
      <c r="N34" s="4"/>
      <c r="O34" s="4"/>
      <c r="P34" s="4"/>
      <c r="Q34" s="4"/>
      <c r="R34" s="4"/>
    </row>
    <row r="35" spans="1:18" ht="17.399999999999999" x14ac:dyDescent="0.25">
      <c r="A35" s="4"/>
      <c r="B35" s="23"/>
      <c r="C35" s="4"/>
      <c r="D35" s="4"/>
      <c r="E35" s="5"/>
      <c r="F35" s="4"/>
      <c r="G35" s="4"/>
      <c r="H35" s="4"/>
      <c r="I35" s="4"/>
      <c r="J35" s="4"/>
      <c r="K35" s="4"/>
      <c r="L35" s="4"/>
      <c r="M35" s="4"/>
      <c r="N35" s="4"/>
      <c r="O35" s="4"/>
      <c r="P35" s="4"/>
      <c r="Q35" s="4"/>
      <c r="R35" s="4"/>
    </row>
    <row r="36" spans="1:18" ht="17.399999999999999" x14ac:dyDescent="0.25">
      <c r="A36" s="4"/>
      <c r="B36" s="23"/>
      <c r="C36" s="4"/>
      <c r="D36" s="4"/>
      <c r="E36" s="5"/>
      <c r="F36" s="4"/>
      <c r="G36" s="4"/>
      <c r="H36" s="4"/>
      <c r="I36" s="4"/>
      <c r="J36" s="4"/>
      <c r="K36" s="4"/>
      <c r="L36" s="4"/>
      <c r="M36" s="4"/>
      <c r="N36" s="4"/>
      <c r="O36" s="4"/>
      <c r="P36" s="4"/>
      <c r="Q36" s="4"/>
      <c r="R36" s="4"/>
    </row>
    <row r="37" spans="1:18" ht="17.399999999999999" x14ac:dyDescent="0.25">
      <c r="A37" s="4"/>
      <c r="B37" s="23"/>
      <c r="C37" s="4"/>
      <c r="D37" s="4"/>
      <c r="E37" s="5"/>
      <c r="F37" s="4"/>
      <c r="G37" s="4"/>
      <c r="H37" s="4"/>
      <c r="I37" s="4"/>
      <c r="J37" s="4"/>
      <c r="K37" s="4"/>
      <c r="L37" s="4"/>
      <c r="M37" s="4"/>
      <c r="N37" s="4"/>
      <c r="O37" s="4"/>
      <c r="P37" s="4"/>
      <c r="Q37" s="4"/>
      <c r="R37" s="4"/>
    </row>
    <row r="38" spans="1:18" ht="17.399999999999999" x14ac:dyDescent="0.25">
      <c r="A38" s="4"/>
      <c r="B38" s="23"/>
      <c r="C38" s="4"/>
      <c r="D38" s="4"/>
      <c r="E38" s="5"/>
      <c r="F38" s="4"/>
      <c r="G38" s="4"/>
      <c r="H38" s="4"/>
      <c r="I38" s="4"/>
      <c r="J38" s="4"/>
      <c r="K38" s="4"/>
      <c r="L38" s="4"/>
      <c r="M38" s="4"/>
      <c r="N38" s="4"/>
      <c r="O38" s="4"/>
      <c r="P38" s="4"/>
      <c r="Q38" s="4"/>
      <c r="R38" s="4"/>
    </row>
    <row r="39" spans="1:18" ht="17.399999999999999" x14ac:dyDescent="0.25">
      <c r="A39" s="4"/>
      <c r="B39" s="23"/>
      <c r="C39" s="4"/>
      <c r="D39" s="4"/>
      <c r="E39" s="5"/>
      <c r="F39" s="4"/>
      <c r="G39" s="4"/>
      <c r="H39" s="4"/>
      <c r="I39" s="4"/>
      <c r="J39" s="4"/>
      <c r="K39" s="4"/>
      <c r="L39" s="4"/>
      <c r="M39" s="4"/>
      <c r="N39" s="4"/>
      <c r="O39" s="4"/>
      <c r="P39" s="4"/>
      <c r="Q39" s="4"/>
      <c r="R39" s="4"/>
    </row>
    <row r="40" spans="1:18" ht="17.399999999999999" x14ac:dyDescent="0.25">
      <c r="A40" s="4"/>
      <c r="B40" s="23"/>
      <c r="C40" s="4"/>
      <c r="D40" s="4"/>
      <c r="E40" s="5"/>
      <c r="F40" s="4"/>
      <c r="G40" s="4"/>
      <c r="H40" s="4"/>
      <c r="I40" s="4"/>
      <c r="J40" s="4"/>
      <c r="K40" s="4"/>
      <c r="L40" s="4"/>
      <c r="M40" s="4"/>
      <c r="N40" s="4"/>
      <c r="O40" s="4"/>
      <c r="P40" s="4"/>
      <c r="Q40" s="4"/>
      <c r="R40" s="4"/>
    </row>
    <row r="41" spans="1:18" ht="17.399999999999999" x14ac:dyDescent="0.25">
      <c r="A41" s="4"/>
      <c r="B41" s="23"/>
      <c r="C41" s="4"/>
      <c r="D41" s="4"/>
      <c r="E41" s="5"/>
      <c r="F41" s="4"/>
      <c r="G41" s="4"/>
      <c r="H41" s="4"/>
      <c r="I41" s="4"/>
      <c r="J41" s="4"/>
      <c r="K41" s="4"/>
      <c r="L41" s="4"/>
      <c r="M41" s="4"/>
      <c r="N41" s="4"/>
      <c r="O41" s="4"/>
      <c r="P41" s="4"/>
      <c r="Q41" s="4"/>
      <c r="R41" s="4"/>
    </row>
    <row r="42" spans="1:18" ht="17.399999999999999" x14ac:dyDescent="0.25">
      <c r="A42" s="4"/>
      <c r="B42" s="23"/>
      <c r="C42" s="4"/>
      <c r="D42" s="4"/>
      <c r="E42" s="5"/>
      <c r="F42" s="4"/>
      <c r="G42" s="4"/>
      <c r="H42" s="4"/>
      <c r="I42" s="4"/>
      <c r="J42" s="4"/>
      <c r="K42" s="4"/>
      <c r="L42" s="4"/>
      <c r="M42" s="4"/>
      <c r="N42" s="4"/>
      <c r="O42" s="4"/>
      <c r="P42" s="4"/>
      <c r="Q42" s="4"/>
      <c r="R42" s="4"/>
    </row>
    <row r="43" spans="1:18" ht="17.399999999999999" x14ac:dyDescent="0.25">
      <c r="A43" s="4"/>
      <c r="B43" s="23"/>
      <c r="C43" s="4"/>
      <c r="D43" s="4"/>
      <c r="E43" s="5"/>
      <c r="F43" s="4"/>
      <c r="G43" s="4"/>
      <c r="H43" s="4"/>
      <c r="I43" s="4"/>
      <c r="J43" s="4"/>
      <c r="K43" s="4"/>
      <c r="L43" s="4"/>
      <c r="M43" s="4"/>
      <c r="N43" s="4"/>
      <c r="O43" s="4"/>
      <c r="P43" s="4"/>
      <c r="Q43" s="4"/>
      <c r="R43" s="4"/>
    </row>
    <row r="44" spans="1:18" ht="17.399999999999999" x14ac:dyDescent="0.25">
      <c r="A44" s="4"/>
      <c r="B44" s="23"/>
      <c r="C44" s="4"/>
      <c r="D44" s="4"/>
      <c r="E44" s="5"/>
      <c r="F44" s="4"/>
      <c r="G44" s="4"/>
      <c r="H44" s="4"/>
      <c r="I44" s="4"/>
      <c r="J44" s="4"/>
      <c r="K44" s="4"/>
      <c r="L44" s="4"/>
      <c r="M44" s="4"/>
      <c r="N44" s="4"/>
      <c r="O44" s="4"/>
      <c r="P44" s="4"/>
      <c r="Q44" s="4"/>
      <c r="R44" s="4"/>
    </row>
    <row r="45" spans="1:18" ht="17.399999999999999" x14ac:dyDescent="0.25">
      <c r="A45" s="4"/>
      <c r="B45" s="23"/>
      <c r="C45" s="4"/>
      <c r="D45" s="4"/>
      <c r="E45" s="5"/>
      <c r="F45" s="4"/>
      <c r="G45" s="4"/>
      <c r="H45" s="4"/>
      <c r="I45" s="4"/>
      <c r="J45" s="4"/>
      <c r="K45" s="4"/>
      <c r="L45" s="4"/>
      <c r="M45" s="4"/>
      <c r="N45" s="4"/>
      <c r="O45" s="4"/>
      <c r="P45" s="4"/>
      <c r="Q45" s="4"/>
      <c r="R45" s="4"/>
    </row>
    <row r="46" spans="1:18" ht="17.399999999999999" x14ac:dyDescent="0.25">
      <c r="A46" s="4"/>
      <c r="B46" s="23"/>
      <c r="C46" s="4"/>
      <c r="D46" s="4"/>
      <c r="E46" s="5"/>
      <c r="F46" s="4"/>
      <c r="G46" s="4"/>
      <c r="H46" s="4"/>
      <c r="I46" s="4"/>
      <c r="J46" s="4"/>
      <c r="K46" s="4"/>
      <c r="L46" s="4"/>
      <c r="M46" s="4"/>
      <c r="N46" s="4"/>
      <c r="O46" s="4"/>
      <c r="P46" s="4"/>
      <c r="Q46" s="4"/>
      <c r="R46" s="4"/>
    </row>
    <row r="47" spans="1:18" ht="17.399999999999999" x14ac:dyDescent="0.25">
      <c r="A47" s="4"/>
      <c r="B47" s="23"/>
      <c r="C47" s="4"/>
      <c r="D47" s="4"/>
      <c r="E47" s="5"/>
      <c r="F47" s="4"/>
      <c r="G47" s="4"/>
      <c r="H47" s="4"/>
      <c r="I47" s="4"/>
      <c r="J47" s="4"/>
      <c r="K47" s="4"/>
      <c r="L47" s="4"/>
      <c r="M47" s="4"/>
      <c r="N47" s="4"/>
      <c r="O47" s="4"/>
      <c r="P47" s="4"/>
      <c r="Q47" s="4"/>
      <c r="R47" s="4"/>
    </row>
    <row r="48" spans="1:18" ht="17.399999999999999" x14ac:dyDescent="0.25">
      <c r="A48" s="4"/>
      <c r="B48" s="23"/>
      <c r="C48" s="4"/>
      <c r="D48" s="4"/>
      <c r="E48" s="5"/>
      <c r="F48" s="4"/>
      <c r="G48" s="4"/>
      <c r="H48" s="4"/>
      <c r="I48" s="4"/>
      <c r="J48" s="4"/>
      <c r="K48" s="4"/>
      <c r="L48" s="4"/>
      <c r="M48" s="4"/>
      <c r="N48" s="4"/>
      <c r="O48" s="4"/>
      <c r="P48" s="4"/>
      <c r="Q48" s="4"/>
      <c r="R48" s="4"/>
    </row>
    <row r="49" spans="1:18" ht="17.399999999999999" x14ac:dyDescent="0.25">
      <c r="A49" s="4"/>
      <c r="B49" s="23"/>
      <c r="C49" s="4"/>
      <c r="D49" s="4"/>
      <c r="E49" s="5"/>
      <c r="F49" s="4"/>
      <c r="G49" s="4"/>
      <c r="H49" s="4"/>
      <c r="I49" s="4"/>
      <c r="J49" s="4"/>
      <c r="K49" s="4"/>
      <c r="L49" s="4"/>
      <c r="M49" s="4"/>
      <c r="N49" s="4"/>
      <c r="O49" s="4"/>
      <c r="P49" s="4"/>
      <c r="Q49" s="4"/>
      <c r="R49" s="4"/>
    </row>
    <row r="50" spans="1:18" ht="17.399999999999999" x14ac:dyDescent="0.25">
      <c r="A50" s="4"/>
      <c r="B50" s="23"/>
      <c r="C50" s="4"/>
      <c r="D50" s="4"/>
      <c r="E50" s="5"/>
      <c r="F50" s="4"/>
      <c r="G50" s="4"/>
      <c r="H50" s="4"/>
      <c r="I50" s="4"/>
      <c r="J50" s="4"/>
      <c r="K50" s="4"/>
      <c r="L50" s="4"/>
      <c r="M50" s="4"/>
      <c r="N50" s="4"/>
      <c r="O50" s="4"/>
      <c r="P50" s="4"/>
      <c r="Q50" s="4"/>
      <c r="R50" s="4"/>
    </row>
    <row r="51" spans="1:18" ht="17.399999999999999" x14ac:dyDescent="0.25">
      <c r="A51" s="4"/>
      <c r="B51" s="23"/>
      <c r="C51" s="4"/>
      <c r="D51" s="4"/>
      <c r="E51" s="5"/>
      <c r="F51" s="4"/>
      <c r="G51" s="4"/>
      <c r="H51" s="4"/>
      <c r="I51" s="4"/>
      <c r="J51" s="4"/>
      <c r="K51" s="4"/>
      <c r="L51" s="4"/>
      <c r="M51" s="4"/>
      <c r="N51" s="4"/>
      <c r="O51" s="4"/>
      <c r="P51" s="4"/>
      <c r="Q51" s="4"/>
      <c r="R51" s="4"/>
    </row>
    <row r="52" spans="1:18" ht="17.399999999999999" x14ac:dyDescent="0.25">
      <c r="A52" s="4"/>
      <c r="B52" s="23"/>
      <c r="C52" s="4"/>
      <c r="D52" s="4"/>
      <c r="E52" s="5"/>
      <c r="F52" s="4"/>
      <c r="G52" s="4"/>
      <c r="H52" s="4"/>
      <c r="I52" s="4"/>
      <c r="J52" s="4"/>
      <c r="K52" s="4"/>
      <c r="L52" s="4"/>
      <c r="M52" s="4"/>
      <c r="N52" s="4"/>
      <c r="O52" s="4"/>
      <c r="P52" s="4"/>
      <c r="Q52" s="4"/>
      <c r="R52" s="4"/>
    </row>
    <row r="53" spans="1:18" ht="17.399999999999999" x14ac:dyDescent="0.25">
      <c r="A53" s="4"/>
      <c r="B53" s="23"/>
      <c r="C53" s="4"/>
      <c r="D53" s="4"/>
      <c r="E53" s="5"/>
      <c r="F53" s="4"/>
      <c r="G53" s="4"/>
      <c r="H53" s="4"/>
      <c r="I53" s="4"/>
      <c r="J53" s="4"/>
      <c r="K53" s="4"/>
      <c r="L53" s="4"/>
      <c r="M53" s="4"/>
      <c r="N53" s="4"/>
      <c r="O53" s="4"/>
      <c r="P53" s="4"/>
      <c r="Q53" s="4"/>
      <c r="R53" s="4"/>
    </row>
    <row r="54" spans="1:18" ht="17.399999999999999" x14ac:dyDescent="0.25">
      <c r="A54" s="4"/>
      <c r="B54" s="23"/>
      <c r="C54" s="4"/>
      <c r="D54" s="4"/>
      <c r="E54" s="5"/>
      <c r="F54" s="4"/>
      <c r="G54" s="4"/>
      <c r="H54" s="4"/>
      <c r="I54" s="4"/>
      <c r="J54" s="4"/>
      <c r="K54" s="4"/>
      <c r="L54" s="4"/>
      <c r="M54" s="4"/>
      <c r="N54" s="4"/>
      <c r="O54" s="4"/>
      <c r="P54" s="4"/>
      <c r="Q54" s="4"/>
      <c r="R54" s="4"/>
    </row>
    <row r="55" spans="1:18" ht="17.399999999999999" x14ac:dyDescent="0.25">
      <c r="A55" s="4"/>
      <c r="B55" s="23"/>
      <c r="C55" s="4"/>
      <c r="D55" s="4"/>
      <c r="E55" s="5"/>
      <c r="F55" s="4"/>
      <c r="G55" s="4"/>
      <c r="H55" s="4"/>
      <c r="I55" s="4"/>
      <c r="J55" s="4"/>
      <c r="K55" s="4"/>
      <c r="L55" s="4"/>
      <c r="M55" s="4"/>
      <c r="N55" s="4"/>
      <c r="O55" s="4"/>
      <c r="P55" s="4"/>
      <c r="Q55" s="4"/>
      <c r="R55" s="4"/>
    </row>
    <row r="56" spans="1:18" ht="17.399999999999999" x14ac:dyDescent="0.25">
      <c r="A56" s="4"/>
      <c r="B56" s="23"/>
      <c r="C56" s="4"/>
      <c r="D56" s="4"/>
      <c r="E56" s="5"/>
      <c r="F56" s="4"/>
      <c r="G56" s="4"/>
      <c r="H56" s="4"/>
      <c r="I56" s="4"/>
      <c r="J56" s="4"/>
      <c r="K56" s="4"/>
      <c r="L56" s="4"/>
      <c r="M56" s="4"/>
      <c r="N56" s="4"/>
      <c r="O56" s="4"/>
      <c r="P56" s="4"/>
      <c r="Q56" s="4"/>
      <c r="R56" s="4"/>
    </row>
    <row r="57" spans="1:18" ht="17.399999999999999" x14ac:dyDescent="0.25">
      <c r="A57" s="4"/>
      <c r="B57" s="23"/>
      <c r="C57" s="4"/>
      <c r="D57" s="4"/>
      <c r="E57" s="5"/>
      <c r="F57" s="4"/>
      <c r="G57" s="4"/>
      <c r="H57" s="4"/>
      <c r="I57" s="4"/>
      <c r="J57" s="4"/>
      <c r="K57" s="4"/>
      <c r="L57" s="4"/>
      <c r="M57" s="4"/>
      <c r="N57" s="4"/>
      <c r="O57" s="4"/>
      <c r="P57" s="4"/>
      <c r="Q57" s="4"/>
      <c r="R57" s="4"/>
    </row>
    <row r="58" spans="1:18" ht="17.399999999999999" x14ac:dyDescent="0.25">
      <c r="A58" s="4"/>
      <c r="B58" s="23"/>
      <c r="C58" s="4"/>
      <c r="D58" s="4"/>
      <c r="E58" s="5"/>
      <c r="F58" s="4"/>
      <c r="G58" s="4"/>
      <c r="H58" s="4"/>
      <c r="I58" s="4"/>
      <c r="J58" s="4"/>
      <c r="K58" s="4"/>
      <c r="L58" s="4"/>
      <c r="M58" s="4"/>
      <c r="N58" s="4"/>
      <c r="O58" s="4"/>
      <c r="P58" s="4"/>
      <c r="Q58" s="4"/>
      <c r="R58" s="4"/>
    </row>
    <row r="59" spans="1:18" ht="17.399999999999999" x14ac:dyDescent="0.25">
      <c r="A59" s="4"/>
      <c r="B59" s="23"/>
      <c r="C59" s="4"/>
      <c r="D59" s="4"/>
      <c r="E59" s="5"/>
      <c r="F59" s="4"/>
      <c r="G59" s="4"/>
      <c r="H59" s="4"/>
      <c r="I59" s="4"/>
      <c r="J59" s="4"/>
      <c r="K59" s="4"/>
      <c r="L59" s="4"/>
      <c r="M59" s="4"/>
      <c r="N59" s="4"/>
      <c r="O59" s="4"/>
      <c r="P59" s="4"/>
      <c r="Q59" s="4"/>
      <c r="R59" s="4"/>
    </row>
    <row r="60" spans="1:18" ht="17.399999999999999" x14ac:dyDescent="0.25">
      <c r="A60" s="4"/>
      <c r="B60" s="23"/>
      <c r="C60" s="4"/>
      <c r="D60" s="4"/>
      <c r="E60" s="5"/>
      <c r="F60" s="4"/>
      <c r="G60" s="4"/>
      <c r="H60" s="4"/>
      <c r="I60" s="4"/>
      <c r="J60" s="4"/>
      <c r="K60" s="4"/>
      <c r="L60" s="4"/>
      <c r="M60" s="4"/>
      <c r="N60" s="4"/>
      <c r="O60" s="4"/>
      <c r="P60" s="4"/>
      <c r="Q60" s="4"/>
      <c r="R60" s="4"/>
    </row>
    <row r="61" spans="1:18" ht="17.399999999999999" x14ac:dyDescent="0.25">
      <c r="A61" s="4"/>
      <c r="B61" s="23"/>
      <c r="C61" s="4"/>
      <c r="D61" s="4"/>
      <c r="E61" s="5"/>
      <c r="F61" s="4"/>
      <c r="G61" s="4"/>
      <c r="H61" s="4"/>
      <c r="I61" s="4"/>
      <c r="J61" s="4"/>
      <c r="K61" s="4"/>
      <c r="L61" s="4"/>
      <c r="M61" s="4"/>
      <c r="N61" s="4"/>
      <c r="O61" s="4"/>
      <c r="P61" s="4"/>
      <c r="Q61" s="4"/>
      <c r="R61" s="4"/>
    </row>
    <row r="62" spans="1:18" ht="17.399999999999999" x14ac:dyDescent="0.25">
      <c r="A62" s="4"/>
      <c r="B62" s="23"/>
      <c r="C62" s="4"/>
      <c r="D62" s="4"/>
      <c r="E62" s="5"/>
      <c r="F62" s="4"/>
      <c r="G62" s="4"/>
      <c r="H62" s="4"/>
      <c r="I62" s="4"/>
      <c r="J62" s="4"/>
      <c r="K62" s="4"/>
      <c r="L62" s="4"/>
      <c r="M62" s="4"/>
      <c r="N62" s="4"/>
      <c r="O62" s="4"/>
      <c r="P62" s="4"/>
      <c r="Q62" s="4"/>
      <c r="R62" s="4"/>
    </row>
    <row r="63" spans="1:18" ht="17.399999999999999" x14ac:dyDescent="0.25">
      <c r="A63" s="4"/>
      <c r="B63" s="23"/>
      <c r="C63" s="4"/>
      <c r="D63" s="4"/>
      <c r="E63" s="5"/>
      <c r="F63" s="4"/>
      <c r="G63" s="4"/>
      <c r="H63" s="4"/>
      <c r="I63" s="4"/>
      <c r="J63" s="4"/>
      <c r="K63" s="4"/>
      <c r="L63" s="4"/>
      <c r="M63" s="4"/>
      <c r="N63" s="4"/>
      <c r="O63" s="4"/>
      <c r="P63" s="4"/>
      <c r="Q63" s="4"/>
      <c r="R63" s="4"/>
    </row>
    <row r="64" spans="1:18" ht="17.399999999999999" x14ac:dyDescent="0.25">
      <c r="A64" s="4"/>
      <c r="B64" s="23"/>
      <c r="C64" s="4"/>
      <c r="D64" s="4"/>
      <c r="E64" s="5"/>
      <c r="F64" s="4"/>
      <c r="G64" s="4"/>
      <c r="H64" s="4"/>
      <c r="I64" s="4"/>
      <c r="J64" s="4"/>
      <c r="K64" s="4"/>
      <c r="L64" s="4"/>
      <c r="M64" s="4"/>
      <c r="N64" s="4"/>
      <c r="O64" s="4"/>
      <c r="P64" s="4"/>
      <c r="Q64" s="4"/>
      <c r="R64" s="4"/>
    </row>
    <row r="65" spans="1:18" ht="17.399999999999999" x14ac:dyDescent="0.25">
      <c r="A65" s="4"/>
      <c r="B65" s="23"/>
      <c r="C65" s="4"/>
      <c r="D65" s="4"/>
      <c r="E65" s="5"/>
      <c r="F65" s="4"/>
      <c r="G65" s="4"/>
      <c r="H65" s="4"/>
      <c r="I65" s="4"/>
      <c r="J65" s="4"/>
      <c r="K65" s="4"/>
      <c r="L65" s="4"/>
      <c r="M65" s="4"/>
      <c r="N65" s="4"/>
      <c r="O65" s="4"/>
      <c r="P65" s="4"/>
      <c r="Q65" s="4"/>
      <c r="R65" s="4"/>
    </row>
    <row r="66" spans="1:18" ht="17.399999999999999" x14ac:dyDescent="0.25">
      <c r="A66" s="4"/>
      <c r="B66" s="23"/>
      <c r="C66" s="4"/>
      <c r="D66" s="4"/>
      <c r="E66" s="5"/>
      <c r="F66" s="4"/>
      <c r="G66" s="4"/>
      <c r="H66" s="4"/>
      <c r="I66" s="4"/>
      <c r="J66" s="4"/>
      <c r="K66" s="4"/>
      <c r="L66" s="4"/>
      <c r="M66" s="4"/>
      <c r="N66" s="4"/>
      <c r="O66" s="4"/>
      <c r="P66" s="4"/>
      <c r="Q66" s="4"/>
      <c r="R66" s="4"/>
    </row>
    <row r="67" spans="1:18" ht="17.399999999999999" x14ac:dyDescent="0.25">
      <c r="A67" s="4"/>
      <c r="B67" s="23"/>
      <c r="C67" s="4"/>
      <c r="D67" s="4"/>
      <c r="E67" s="5"/>
      <c r="F67" s="4"/>
      <c r="G67" s="4"/>
      <c r="H67" s="4"/>
      <c r="I67" s="4"/>
      <c r="J67" s="4"/>
      <c r="K67" s="4"/>
      <c r="L67" s="4"/>
      <c r="M67" s="4"/>
      <c r="N67" s="4"/>
      <c r="O67" s="4"/>
      <c r="P67" s="4"/>
      <c r="Q67" s="4"/>
      <c r="R67" s="4"/>
    </row>
    <row r="68" spans="1:18" ht="17.399999999999999" x14ac:dyDescent="0.25">
      <c r="A68" s="4"/>
      <c r="B68" s="23"/>
      <c r="C68" s="4"/>
      <c r="D68" s="4"/>
      <c r="E68" s="5"/>
      <c r="F68" s="4"/>
      <c r="G68" s="4"/>
      <c r="H68" s="4"/>
      <c r="I68" s="4"/>
      <c r="J68" s="4"/>
      <c r="K68" s="4"/>
      <c r="L68" s="4"/>
      <c r="M68" s="4"/>
      <c r="N68" s="4"/>
      <c r="O68" s="4"/>
      <c r="P68" s="4"/>
      <c r="Q68" s="4"/>
      <c r="R68" s="4"/>
    </row>
    <row r="69" spans="1:18" ht="17.399999999999999" x14ac:dyDescent="0.25">
      <c r="A69" s="4"/>
      <c r="B69" s="23"/>
      <c r="C69" s="4"/>
      <c r="D69" s="4"/>
      <c r="E69" s="5"/>
      <c r="F69" s="4"/>
      <c r="G69" s="4"/>
      <c r="H69" s="4"/>
      <c r="I69" s="4"/>
      <c r="J69" s="4"/>
      <c r="K69" s="4"/>
      <c r="L69" s="4"/>
      <c r="M69" s="4"/>
      <c r="N69" s="4"/>
      <c r="O69" s="4"/>
      <c r="P69" s="4"/>
      <c r="Q69" s="4"/>
      <c r="R69" s="4"/>
    </row>
    <row r="70" spans="1:18" ht="17.399999999999999" x14ac:dyDescent="0.25">
      <c r="A70" s="4"/>
      <c r="B70" s="23"/>
      <c r="C70" s="4"/>
      <c r="D70" s="4"/>
      <c r="E70" s="5"/>
      <c r="F70" s="4"/>
      <c r="G70" s="4"/>
      <c r="H70" s="4"/>
      <c r="I70" s="4"/>
      <c r="J70" s="4"/>
      <c r="K70" s="4"/>
      <c r="L70" s="4"/>
      <c r="M70" s="4"/>
      <c r="N70" s="4"/>
      <c r="O70" s="4"/>
      <c r="P70" s="4"/>
      <c r="Q70" s="4"/>
      <c r="R70" s="4"/>
    </row>
    <row r="71" spans="1:18" ht="17.399999999999999" x14ac:dyDescent="0.25">
      <c r="A71" s="4"/>
      <c r="B71" s="23"/>
      <c r="C71" s="4"/>
      <c r="D71" s="4"/>
      <c r="E71" s="5"/>
      <c r="F71" s="4"/>
      <c r="G71" s="4"/>
      <c r="H71" s="4"/>
      <c r="I71" s="4"/>
      <c r="J71" s="4"/>
      <c r="K71" s="4"/>
      <c r="L71" s="4"/>
      <c r="M71" s="4"/>
      <c r="N71" s="4"/>
      <c r="O71" s="4"/>
      <c r="P71" s="4"/>
      <c r="Q71" s="4"/>
      <c r="R71" s="4"/>
    </row>
    <row r="72" spans="1:18" ht="17.399999999999999" x14ac:dyDescent="0.25">
      <c r="A72" s="4"/>
      <c r="B72" s="23"/>
      <c r="C72" s="4"/>
      <c r="D72" s="4"/>
      <c r="E72" s="5"/>
      <c r="F72" s="4"/>
      <c r="G72" s="4"/>
      <c r="H72" s="4"/>
      <c r="I72" s="4"/>
      <c r="J72" s="4"/>
      <c r="K72" s="4"/>
      <c r="L72" s="4"/>
      <c r="M72" s="4"/>
      <c r="N72" s="4"/>
      <c r="O72" s="4"/>
      <c r="P72" s="4"/>
      <c r="Q72" s="4"/>
      <c r="R72" s="4"/>
    </row>
    <row r="73" spans="1:18" ht="17.399999999999999" x14ac:dyDescent="0.25">
      <c r="A73" s="4"/>
      <c r="B73" s="23"/>
      <c r="C73" s="4"/>
      <c r="D73" s="4"/>
      <c r="E73" s="5"/>
      <c r="F73" s="4"/>
      <c r="G73" s="4"/>
      <c r="H73" s="4"/>
      <c r="I73" s="4"/>
      <c r="J73" s="4"/>
      <c r="K73" s="4"/>
      <c r="L73" s="4"/>
      <c r="M73" s="4"/>
      <c r="N73" s="4"/>
      <c r="O73" s="4"/>
      <c r="P73" s="4"/>
      <c r="Q73" s="4"/>
      <c r="R73" s="4"/>
    </row>
    <row r="74" spans="1:18" ht="17.399999999999999" x14ac:dyDescent="0.25">
      <c r="A74" s="4"/>
      <c r="B74" s="23"/>
      <c r="C74" s="4"/>
      <c r="D74" s="4"/>
      <c r="E74" s="5"/>
      <c r="F74" s="4"/>
      <c r="G74" s="4"/>
      <c r="H74" s="4"/>
      <c r="I74" s="4"/>
      <c r="J74" s="4"/>
      <c r="K74" s="4"/>
      <c r="L74" s="4"/>
      <c r="M74" s="4"/>
      <c r="N74" s="4"/>
      <c r="O74" s="4"/>
      <c r="P74" s="4"/>
      <c r="Q74" s="4"/>
      <c r="R74" s="4"/>
    </row>
    <row r="75" spans="1:18" ht="17.399999999999999" x14ac:dyDescent="0.25">
      <c r="A75" s="4"/>
      <c r="B75" s="23"/>
      <c r="C75" s="4"/>
      <c r="D75" s="4"/>
      <c r="E75" s="5"/>
      <c r="F75" s="4"/>
      <c r="G75" s="4"/>
      <c r="H75" s="4"/>
      <c r="I75" s="4"/>
      <c r="J75" s="4"/>
      <c r="K75" s="4"/>
      <c r="L75" s="4"/>
      <c r="M75" s="4"/>
      <c r="N75" s="4"/>
      <c r="O75" s="4"/>
      <c r="P75" s="4"/>
      <c r="Q75" s="4"/>
      <c r="R75" s="4"/>
    </row>
    <row r="76" spans="1:18" ht="17.399999999999999" x14ac:dyDescent="0.25">
      <c r="A76" s="4"/>
      <c r="B76" s="23"/>
      <c r="C76" s="4"/>
      <c r="D76" s="4"/>
      <c r="E76" s="5"/>
      <c r="F76" s="4"/>
      <c r="G76" s="4"/>
      <c r="H76" s="4"/>
      <c r="I76" s="4"/>
      <c r="J76" s="4"/>
      <c r="K76" s="4"/>
      <c r="L76" s="4"/>
      <c r="M76" s="4"/>
      <c r="N76" s="4"/>
      <c r="O76" s="4"/>
      <c r="P76" s="4"/>
      <c r="Q76" s="4"/>
      <c r="R76" s="4"/>
    </row>
    <row r="77" spans="1:18" ht="17.399999999999999" x14ac:dyDescent="0.25">
      <c r="A77" s="4"/>
      <c r="B77" s="23"/>
      <c r="C77" s="4"/>
      <c r="D77" s="4"/>
      <c r="E77" s="5"/>
      <c r="F77" s="4"/>
      <c r="G77" s="4"/>
      <c r="H77" s="4"/>
      <c r="I77" s="4"/>
      <c r="J77" s="4"/>
      <c r="K77" s="4"/>
      <c r="L77" s="4"/>
      <c r="M77" s="4"/>
      <c r="N77" s="4"/>
      <c r="O77" s="4"/>
      <c r="P77" s="4"/>
      <c r="Q77" s="4"/>
      <c r="R77" s="4"/>
    </row>
    <row r="78" spans="1:18" ht="17.399999999999999" x14ac:dyDescent="0.25">
      <c r="A78" s="4"/>
      <c r="B78" s="23"/>
      <c r="C78" s="4"/>
      <c r="D78" s="4"/>
      <c r="E78" s="5"/>
      <c r="F78" s="4"/>
      <c r="G78" s="4"/>
      <c r="H78" s="4"/>
      <c r="I78" s="4"/>
      <c r="J78" s="4"/>
      <c r="K78" s="4"/>
      <c r="L78" s="4"/>
      <c r="M78" s="4"/>
      <c r="N78" s="4"/>
      <c r="O78" s="4"/>
      <c r="P78" s="4"/>
      <c r="Q78" s="4"/>
      <c r="R78" s="4"/>
    </row>
    <row r="79" spans="1:18" ht="17.399999999999999" x14ac:dyDescent="0.25">
      <c r="A79" s="4"/>
      <c r="B79" s="23"/>
      <c r="C79" s="4"/>
      <c r="D79" s="4"/>
      <c r="E79" s="5"/>
      <c r="F79" s="4"/>
      <c r="G79" s="4"/>
      <c r="H79" s="4"/>
      <c r="I79" s="4"/>
      <c r="J79" s="4"/>
      <c r="K79" s="4"/>
      <c r="L79" s="4"/>
      <c r="M79" s="4"/>
      <c r="N79" s="4"/>
      <c r="O79" s="4"/>
      <c r="P79" s="4"/>
      <c r="Q79" s="4"/>
      <c r="R79" s="4"/>
    </row>
    <row r="80" spans="1:18" ht="17.399999999999999" x14ac:dyDescent="0.25">
      <c r="A80" s="4"/>
      <c r="B80" s="23"/>
      <c r="C80" s="4"/>
      <c r="D80" s="4"/>
      <c r="E80" s="5"/>
      <c r="F80" s="4"/>
      <c r="G80" s="4"/>
      <c r="H80" s="4"/>
      <c r="I80" s="4"/>
      <c r="J80" s="4"/>
      <c r="K80" s="4"/>
      <c r="L80" s="4"/>
      <c r="M80" s="4"/>
      <c r="N80" s="4"/>
      <c r="O80" s="4"/>
      <c r="P80" s="4"/>
      <c r="Q80" s="4"/>
      <c r="R80" s="4"/>
    </row>
    <row r="81" spans="1:18" ht="17.399999999999999" x14ac:dyDescent="0.25">
      <c r="A81" s="4"/>
      <c r="B81" s="23"/>
      <c r="C81" s="4"/>
      <c r="D81" s="4"/>
      <c r="E81" s="5"/>
      <c r="F81" s="4"/>
      <c r="G81" s="4"/>
      <c r="H81" s="4"/>
      <c r="I81" s="4"/>
      <c r="J81" s="4"/>
      <c r="K81" s="4"/>
      <c r="L81" s="4"/>
      <c r="M81" s="4"/>
      <c r="N81" s="4"/>
      <c r="O81" s="4"/>
      <c r="P81" s="4"/>
      <c r="Q81" s="4"/>
      <c r="R81" s="4"/>
    </row>
    <row r="82" spans="1:18" ht="17.399999999999999" x14ac:dyDescent="0.25">
      <c r="A82" s="4"/>
      <c r="B82" s="23"/>
      <c r="C82" s="4"/>
      <c r="D82" s="4"/>
      <c r="E82" s="5"/>
      <c r="F82" s="4"/>
      <c r="G82" s="4"/>
      <c r="H82" s="4"/>
      <c r="I82" s="4"/>
      <c r="J82" s="4"/>
      <c r="K82" s="4"/>
      <c r="L82" s="4"/>
      <c r="M82" s="4"/>
      <c r="N82" s="4"/>
      <c r="O82" s="4"/>
      <c r="P82" s="4"/>
      <c r="Q82" s="4"/>
      <c r="R82" s="4"/>
    </row>
    <row r="83" spans="1:18" ht="17.399999999999999" x14ac:dyDescent="0.25">
      <c r="A83" s="4"/>
      <c r="B83" s="23"/>
      <c r="C83" s="4"/>
      <c r="D83" s="4"/>
      <c r="E83" s="5"/>
      <c r="F83" s="4"/>
      <c r="G83" s="4"/>
      <c r="H83" s="4"/>
      <c r="I83" s="4"/>
      <c r="J83" s="4"/>
      <c r="K83" s="4"/>
      <c r="L83" s="4"/>
      <c r="M83" s="4"/>
      <c r="N83" s="4"/>
      <c r="O83" s="4"/>
      <c r="P83" s="4"/>
      <c r="Q83" s="4"/>
      <c r="R83" s="4"/>
    </row>
    <row r="84" spans="1:18" ht="17.399999999999999" x14ac:dyDescent="0.25">
      <c r="A84" s="4"/>
      <c r="B84" s="23"/>
      <c r="C84" s="4"/>
      <c r="D84" s="4"/>
      <c r="E84" s="5"/>
      <c r="F84" s="4"/>
      <c r="G84" s="4"/>
      <c r="H84" s="4"/>
      <c r="I84" s="4"/>
      <c r="J84" s="4"/>
      <c r="K84" s="4"/>
      <c r="L84" s="4"/>
      <c r="M84" s="4"/>
      <c r="N84" s="4"/>
      <c r="O84" s="4"/>
      <c r="P84" s="4"/>
      <c r="Q84" s="4"/>
      <c r="R84" s="4"/>
    </row>
    <row r="85" spans="1:18" ht="17.399999999999999" x14ac:dyDescent="0.25">
      <c r="A85" s="4"/>
      <c r="B85" s="23"/>
      <c r="C85" s="4"/>
      <c r="D85" s="4"/>
      <c r="E85" s="5"/>
      <c r="F85" s="4"/>
      <c r="G85" s="4"/>
      <c r="H85" s="4"/>
      <c r="I85" s="4"/>
      <c r="J85" s="4"/>
      <c r="K85" s="4"/>
      <c r="L85" s="4"/>
      <c r="M85" s="4"/>
      <c r="N85" s="4"/>
      <c r="O85" s="4"/>
      <c r="P85" s="4"/>
      <c r="Q85" s="4"/>
      <c r="R85" s="4"/>
    </row>
    <row r="86" spans="1:18" ht="17.399999999999999" x14ac:dyDescent="0.25">
      <c r="A86" s="4"/>
      <c r="B86" s="23"/>
      <c r="C86" s="4"/>
      <c r="D86" s="4"/>
      <c r="E86" s="5"/>
      <c r="F86" s="4"/>
      <c r="G86" s="4"/>
      <c r="H86" s="4"/>
      <c r="I86" s="4"/>
      <c r="J86" s="4"/>
      <c r="K86" s="4"/>
      <c r="L86" s="4"/>
      <c r="M86" s="4"/>
      <c r="N86" s="4"/>
      <c r="O86" s="4"/>
      <c r="P86" s="4"/>
      <c r="Q86" s="4"/>
      <c r="R86" s="4"/>
    </row>
    <row r="87" spans="1:18" ht="17.399999999999999" x14ac:dyDescent="0.25">
      <c r="A87" s="4"/>
      <c r="B87" s="23"/>
      <c r="C87" s="4"/>
      <c r="D87" s="4"/>
      <c r="E87" s="5"/>
      <c r="F87" s="4"/>
      <c r="G87" s="4"/>
      <c r="H87" s="4"/>
      <c r="I87" s="4"/>
      <c r="J87" s="4"/>
      <c r="K87" s="4"/>
      <c r="L87" s="4"/>
      <c r="M87" s="4"/>
      <c r="N87" s="4"/>
      <c r="O87" s="4"/>
      <c r="P87" s="4"/>
      <c r="Q87" s="4"/>
      <c r="R87" s="4"/>
    </row>
    <row r="88" spans="1:18" ht="17.399999999999999" x14ac:dyDescent="0.25">
      <c r="A88" s="4"/>
      <c r="B88" s="23"/>
      <c r="C88" s="4"/>
      <c r="D88" s="4"/>
      <c r="E88" s="5"/>
      <c r="F88" s="4"/>
      <c r="G88" s="4"/>
      <c r="H88" s="4"/>
      <c r="I88" s="4"/>
      <c r="J88" s="4"/>
      <c r="K88" s="4"/>
      <c r="L88" s="4"/>
      <c r="M88" s="4"/>
      <c r="N88" s="4"/>
      <c r="O88" s="4"/>
      <c r="P88" s="4"/>
      <c r="Q88" s="4"/>
      <c r="R88" s="4"/>
    </row>
    <row r="89" spans="1:18" ht="17.399999999999999" x14ac:dyDescent="0.25">
      <c r="A89" s="4"/>
      <c r="B89" s="23"/>
      <c r="C89" s="4"/>
      <c r="D89" s="4"/>
      <c r="E89" s="5"/>
      <c r="F89" s="4"/>
      <c r="G89" s="4"/>
      <c r="H89" s="4"/>
      <c r="I89" s="4"/>
      <c r="J89" s="4"/>
      <c r="K89" s="4"/>
      <c r="L89" s="4"/>
      <c r="M89" s="4"/>
      <c r="N89" s="4"/>
      <c r="O89" s="4"/>
      <c r="P89" s="4"/>
      <c r="Q89" s="4"/>
      <c r="R89" s="4"/>
    </row>
    <row r="90" spans="1:18" ht="17.399999999999999" x14ac:dyDescent="0.25">
      <c r="A90" s="4"/>
      <c r="B90" s="23"/>
      <c r="C90" s="4"/>
      <c r="D90" s="4"/>
      <c r="E90" s="5"/>
      <c r="F90" s="4"/>
      <c r="G90" s="4"/>
      <c r="H90" s="4"/>
      <c r="I90" s="4"/>
      <c r="J90" s="4"/>
      <c r="K90" s="4"/>
      <c r="L90" s="4"/>
      <c r="M90" s="4"/>
      <c r="N90" s="4"/>
      <c r="O90" s="4"/>
      <c r="P90" s="4"/>
      <c r="Q90" s="4"/>
      <c r="R90" s="4"/>
    </row>
    <row r="91" spans="1:18" ht="17.399999999999999" x14ac:dyDescent="0.25">
      <c r="A91" s="4"/>
      <c r="B91" s="23"/>
      <c r="C91" s="4"/>
      <c r="D91" s="4"/>
      <c r="E91" s="5"/>
      <c r="F91" s="4"/>
      <c r="G91" s="4"/>
      <c r="H91" s="4"/>
      <c r="I91" s="4"/>
      <c r="J91" s="4"/>
      <c r="K91" s="4"/>
      <c r="L91" s="4"/>
      <c r="M91" s="4"/>
      <c r="N91" s="4"/>
      <c r="O91" s="4"/>
      <c r="P91" s="4"/>
      <c r="Q91" s="4"/>
      <c r="R91" s="4"/>
    </row>
    <row r="92" spans="1:18" ht="17.399999999999999" x14ac:dyDescent="0.25">
      <c r="A92" s="4"/>
      <c r="B92" s="23"/>
      <c r="C92" s="4"/>
      <c r="D92" s="4"/>
      <c r="E92" s="5"/>
      <c r="F92" s="4"/>
      <c r="G92" s="4"/>
      <c r="H92" s="4"/>
      <c r="I92" s="4"/>
      <c r="J92" s="4"/>
      <c r="K92" s="4"/>
      <c r="L92" s="4"/>
      <c r="M92" s="4"/>
      <c r="N92" s="4"/>
      <c r="O92" s="4"/>
      <c r="P92" s="4"/>
      <c r="Q92" s="4"/>
      <c r="R92" s="4"/>
    </row>
    <row r="93" spans="1:18" ht="17.399999999999999" x14ac:dyDescent="0.25">
      <c r="A93" s="4"/>
      <c r="B93" s="23"/>
      <c r="C93" s="4"/>
      <c r="D93" s="4"/>
      <c r="E93" s="5"/>
      <c r="F93" s="4"/>
      <c r="G93" s="4"/>
      <c r="H93" s="4"/>
      <c r="I93" s="4"/>
      <c r="J93" s="4"/>
      <c r="K93" s="4"/>
      <c r="L93" s="4"/>
      <c r="M93" s="4"/>
      <c r="N93" s="4"/>
      <c r="O93" s="4"/>
      <c r="P93" s="4"/>
      <c r="Q93" s="4"/>
      <c r="R93" s="4"/>
    </row>
    <row r="94" spans="1:18" ht="17.399999999999999" x14ac:dyDescent="0.25">
      <c r="A94" s="4"/>
      <c r="B94" s="23"/>
      <c r="C94" s="4"/>
      <c r="D94" s="4"/>
      <c r="E94" s="5"/>
      <c r="F94" s="4"/>
      <c r="G94" s="4"/>
      <c r="H94" s="4"/>
      <c r="I94" s="4"/>
      <c r="J94" s="4"/>
      <c r="K94" s="4"/>
      <c r="L94" s="4"/>
      <c r="M94" s="4"/>
      <c r="N94" s="4"/>
      <c r="O94" s="4"/>
      <c r="P94" s="4"/>
      <c r="Q94" s="4"/>
      <c r="R94" s="4"/>
    </row>
    <row r="95" spans="1:18" ht="17.399999999999999" x14ac:dyDescent="0.25">
      <c r="A95" s="4"/>
      <c r="B95" s="23"/>
      <c r="C95" s="4"/>
      <c r="D95" s="4"/>
      <c r="E95" s="5"/>
      <c r="F95" s="4"/>
      <c r="G95" s="4"/>
      <c r="H95" s="4"/>
      <c r="I95" s="4"/>
      <c r="J95" s="4"/>
      <c r="K95" s="4"/>
      <c r="L95" s="4"/>
      <c r="M95" s="4"/>
      <c r="N95" s="4"/>
      <c r="O95" s="4"/>
      <c r="P95" s="4"/>
      <c r="Q95" s="4"/>
      <c r="R95" s="4"/>
    </row>
    <row r="96" spans="1:18" ht="17.399999999999999" x14ac:dyDescent="0.25">
      <c r="A96" s="4"/>
      <c r="B96" s="23"/>
      <c r="C96" s="4"/>
      <c r="D96" s="4"/>
      <c r="E96" s="5"/>
      <c r="F96" s="4"/>
      <c r="G96" s="4"/>
      <c r="H96" s="4"/>
      <c r="I96" s="4"/>
      <c r="J96" s="4"/>
      <c r="K96" s="4"/>
      <c r="L96" s="4"/>
      <c r="M96" s="4"/>
      <c r="N96" s="4"/>
      <c r="O96" s="4"/>
      <c r="P96" s="4"/>
      <c r="Q96" s="4"/>
      <c r="R96" s="4"/>
    </row>
    <row r="97" spans="1:18" ht="17.399999999999999" x14ac:dyDescent="0.25">
      <c r="A97" s="4"/>
      <c r="B97" s="23"/>
      <c r="C97" s="4"/>
      <c r="D97" s="4"/>
      <c r="E97" s="5"/>
      <c r="F97" s="4"/>
      <c r="G97" s="4"/>
      <c r="H97" s="4"/>
      <c r="I97" s="4"/>
      <c r="J97" s="4"/>
      <c r="K97" s="4"/>
      <c r="L97" s="4"/>
      <c r="M97" s="4"/>
      <c r="N97" s="4"/>
      <c r="O97" s="4"/>
      <c r="P97" s="4"/>
      <c r="Q97" s="4"/>
      <c r="R97" s="4"/>
    </row>
    <row r="98" spans="1:18" ht="17.399999999999999" x14ac:dyDescent="0.25">
      <c r="A98" s="4"/>
      <c r="B98" s="23"/>
      <c r="C98" s="4"/>
      <c r="D98" s="4"/>
      <c r="E98" s="5"/>
      <c r="F98" s="4"/>
      <c r="G98" s="4"/>
      <c r="H98" s="4"/>
      <c r="I98" s="4"/>
      <c r="J98" s="4"/>
      <c r="K98" s="4"/>
      <c r="L98" s="4"/>
      <c r="M98" s="4"/>
      <c r="N98" s="4"/>
      <c r="O98" s="4"/>
      <c r="P98" s="4"/>
      <c r="Q98" s="4"/>
      <c r="R98" s="4"/>
    </row>
    <row r="99" spans="1:18" ht="17.399999999999999" x14ac:dyDescent="0.25">
      <c r="A99" s="4"/>
      <c r="B99" s="23"/>
      <c r="C99" s="4"/>
      <c r="D99" s="4"/>
      <c r="E99" s="5"/>
      <c r="F99" s="4"/>
      <c r="G99" s="4"/>
      <c r="H99" s="4"/>
      <c r="I99" s="4"/>
      <c r="J99" s="4"/>
      <c r="K99" s="4"/>
      <c r="L99" s="4"/>
      <c r="M99" s="4"/>
      <c r="N99" s="4"/>
      <c r="O99" s="4"/>
      <c r="P99" s="4"/>
      <c r="Q99" s="4"/>
      <c r="R99" s="4"/>
    </row>
    <row r="100" spans="1:18" ht="17.399999999999999" x14ac:dyDescent="0.25">
      <c r="A100" s="4"/>
      <c r="B100" s="23"/>
      <c r="C100" s="4"/>
      <c r="D100" s="4"/>
      <c r="E100" s="5"/>
      <c r="F100" s="4"/>
      <c r="G100" s="4"/>
      <c r="H100" s="4"/>
      <c r="I100" s="4"/>
      <c r="J100" s="4"/>
      <c r="K100" s="4"/>
      <c r="L100" s="4"/>
      <c r="M100" s="4"/>
      <c r="N100" s="4"/>
      <c r="O100" s="4"/>
      <c r="P100" s="4"/>
      <c r="Q100" s="4"/>
      <c r="R100" s="4"/>
    </row>
    <row r="101" spans="1:18" ht="17.399999999999999" x14ac:dyDescent="0.25">
      <c r="A101" s="4"/>
      <c r="B101" s="23"/>
      <c r="C101" s="4"/>
      <c r="D101" s="4"/>
      <c r="E101" s="5"/>
      <c r="F101" s="4"/>
      <c r="G101" s="4"/>
      <c r="H101" s="4"/>
      <c r="I101" s="4"/>
      <c r="J101" s="4"/>
      <c r="K101" s="4"/>
      <c r="L101" s="4"/>
      <c r="M101" s="4"/>
      <c r="N101" s="4"/>
      <c r="O101" s="4"/>
      <c r="P101" s="4"/>
      <c r="Q101" s="4"/>
      <c r="R101" s="4"/>
    </row>
    <row r="102" spans="1:18" ht="17.399999999999999" x14ac:dyDescent="0.25">
      <c r="A102" s="4"/>
      <c r="B102" s="23"/>
      <c r="C102" s="4"/>
      <c r="D102" s="4"/>
      <c r="E102" s="5"/>
      <c r="F102" s="4"/>
      <c r="G102" s="4"/>
      <c r="H102" s="4"/>
      <c r="I102" s="4"/>
      <c r="J102" s="4"/>
      <c r="K102" s="4"/>
      <c r="L102" s="4"/>
      <c r="M102" s="4"/>
      <c r="N102" s="4"/>
      <c r="O102" s="4"/>
      <c r="P102" s="4"/>
      <c r="Q102" s="4"/>
      <c r="R102" s="4"/>
    </row>
    <row r="103" spans="1:18" ht="17.399999999999999" x14ac:dyDescent="0.25">
      <c r="A103" s="4"/>
      <c r="B103" s="23"/>
      <c r="C103" s="4"/>
      <c r="D103" s="4"/>
      <c r="E103" s="5"/>
      <c r="F103" s="4"/>
      <c r="G103" s="4"/>
      <c r="H103" s="4"/>
      <c r="I103" s="4"/>
      <c r="J103" s="4"/>
      <c r="K103" s="4"/>
      <c r="L103" s="4"/>
      <c r="M103" s="4"/>
      <c r="N103" s="4"/>
      <c r="O103" s="4"/>
      <c r="P103" s="4"/>
      <c r="Q103" s="4"/>
      <c r="R103" s="4"/>
    </row>
    <row r="104" spans="1:18" ht="17.399999999999999" x14ac:dyDescent="0.25">
      <c r="A104" s="4"/>
      <c r="B104" s="23"/>
      <c r="C104" s="4"/>
      <c r="D104" s="4"/>
      <c r="E104" s="5"/>
      <c r="F104" s="4"/>
      <c r="G104" s="4"/>
      <c r="H104" s="4"/>
      <c r="I104" s="4"/>
      <c r="J104" s="4"/>
      <c r="K104" s="4"/>
      <c r="L104" s="4"/>
      <c r="M104" s="4"/>
      <c r="N104" s="4"/>
      <c r="O104" s="4"/>
      <c r="P104" s="4"/>
      <c r="Q104" s="4"/>
      <c r="R104" s="4"/>
    </row>
    <row r="105" spans="1:18" ht="17.399999999999999" x14ac:dyDescent="0.25">
      <c r="A105" s="4"/>
      <c r="B105" s="23"/>
      <c r="C105" s="4"/>
      <c r="D105" s="4"/>
      <c r="E105" s="5"/>
      <c r="F105" s="4"/>
      <c r="G105" s="4"/>
      <c r="H105" s="4"/>
      <c r="I105" s="4"/>
      <c r="J105" s="4"/>
      <c r="K105" s="4"/>
      <c r="L105" s="4"/>
      <c r="M105" s="4"/>
      <c r="N105" s="4"/>
      <c r="O105" s="4"/>
      <c r="P105" s="4"/>
      <c r="Q105" s="4"/>
      <c r="R105" s="4"/>
    </row>
    <row r="106" spans="1:18" ht="17.399999999999999" x14ac:dyDescent="0.25">
      <c r="A106" s="4"/>
      <c r="B106" s="23"/>
      <c r="C106" s="4"/>
      <c r="D106" s="4"/>
      <c r="E106" s="5"/>
      <c r="F106" s="4"/>
      <c r="G106" s="4"/>
      <c r="H106" s="4"/>
      <c r="I106" s="4"/>
      <c r="J106" s="4"/>
      <c r="K106" s="4"/>
      <c r="L106" s="4"/>
      <c r="M106" s="4"/>
      <c r="N106" s="4"/>
      <c r="O106" s="4"/>
      <c r="P106" s="4"/>
      <c r="Q106" s="4"/>
      <c r="R106" s="4"/>
    </row>
    <row r="107" spans="1:18" ht="17.399999999999999" x14ac:dyDescent="0.25">
      <c r="A107" s="4"/>
      <c r="B107" s="23"/>
      <c r="C107" s="4"/>
      <c r="D107" s="4"/>
      <c r="E107" s="5"/>
      <c r="F107" s="4"/>
      <c r="G107" s="4"/>
      <c r="H107" s="4"/>
      <c r="I107" s="4"/>
      <c r="J107" s="4"/>
      <c r="K107" s="4"/>
      <c r="L107" s="4"/>
      <c r="M107" s="4"/>
      <c r="N107" s="4"/>
      <c r="O107" s="4"/>
      <c r="P107" s="4"/>
      <c r="Q107" s="4"/>
      <c r="R107" s="4"/>
    </row>
    <row r="108" spans="1:18" ht="17.399999999999999" x14ac:dyDescent="0.25">
      <c r="A108" s="4"/>
      <c r="B108" s="23"/>
      <c r="C108" s="4"/>
      <c r="D108" s="4"/>
      <c r="E108" s="5"/>
      <c r="F108" s="4"/>
      <c r="G108" s="4"/>
      <c r="H108" s="4"/>
      <c r="I108" s="4"/>
      <c r="J108" s="4"/>
      <c r="K108" s="4"/>
      <c r="L108" s="4"/>
      <c r="M108" s="4"/>
      <c r="N108" s="4"/>
      <c r="O108" s="4"/>
      <c r="P108" s="4"/>
      <c r="Q108" s="4"/>
      <c r="R108" s="4"/>
    </row>
    <row r="109" spans="1:18" ht="17.399999999999999" x14ac:dyDescent="0.25">
      <c r="A109" s="4"/>
      <c r="B109" s="23"/>
      <c r="C109" s="4"/>
      <c r="D109" s="4"/>
      <c r="E109" s="5"/>
      <c r="F109" s="4"/>
      <c r="G109" s="4"/>
      <c r="H109" s="4"/>
      <c r="I109" s="4"/>
      <c r="J109" s="4"/>
      <c r="K109" s="4"/>
      <c r="L109" s="4"/>
      <c r="M109" s="4"/>
      <c r="N109" s="4"/>
      <c r="O109" s="4"/>
      <c r="P109" s="4"/>
      <c r="Q109" s="4"/>
      <c r="R109" s="4"/>
    </row>
    <row r="110" spans="1:18" ht="17.399999999999999" x14ac:dyDescent="0.25">
      <c r="A110" s="4"/>
      <c r="B110" s="23"/>
      <c r="C110" s="4"/>
      <c r="D110" s="4"/>
      <c r="E110" s="5"/>
      <c r="F110" s="4"/>
      <c r="G110" s="4"/>
      <c r="H110" s="4"/>
      <c r="I110" s="4"/>
      <c r="J110" s="4"/>
      <c r="K110" s="4"/>
      <c r="L110" s="4"/>
      <c r="M110" s="4"/>
      <c r="N110" s="4"/>
      <c r="O110" s="4"/>
      <c r="P110" s="4"/>
      <c r="Q110" s="4"/>
      <c r="R110" s="4"/>
    </row>
    <row r="111" spans="1:18" ht="17.399999999999999" x14ac:dyDescent="0.25">
      <c r="A111" s="4"/>
      <c r="B111" s="23"/>
      <c r="C111" s="4"/>
      <c r="D111" s="4"/>
      <c r="E111" s="5"/>
      <c r="F111" s="4"/>
      <c r="G111" s="4"/>
      <c r="H111" s="4"/>
      <c r="I111" s="4"/>
      <c r="J111" s="4"/>
      <c r="K111" s="4"/>
      <c r="L111" s="4"/>
      <c r="M111" s="4"/>
      <c r="N111" s="4"/>
      <c r="O111" s="4"/>
      <c r="P111" s="4"/>
      <c r="Q111" s="4"/>
      <c r="R111" s="4"/>
    </row>
    <row r="112" spans="1:18" ht="17.399999999999999" x14ac:dyDescent="0.25">
      <c r="A112" s="4"/>
      <c r="B112" s="23"/>
      <c r="C112" s="4"/>
      <c r="D112" s="4"/>
      <c r="E112" s="5"/>
      <c r="F112" s="4"/>
      <c r="G112" s="4"/>
      <c r="H112" s="4"/>
      <c r="I112" s="4"/>
      <c r="J112" s="4"/>
      <c r="K112" s="4"/>
      <c r="L112" s="4"/>
      <c r="M112" s="4"/>
      <c r="N112" s="4"/>
      <c r="O112" s="4"/>
      <c r="P112" s="4"/>
      <c r="Q112" s="4"/>
      <c r="R112" s="4"/>
    </row>
    <row r="113" spans="1:18" ht="17.399999999999999" x14ac:dyDescent="0.25">
      <c r="A113" s="4"/>
      <c r="B113" s="23"/>
      <c r="C113" s="4"/>
      <c r="D113" s="4"/>
      <c r="E113" s="5"/>
      <c r="F113" s="4"/>
      <c r="G113" s="4"/>
      <c r="H113" s="4"/>
      <c r="I113" s="4"/>
      <c r="J113" s="4"/>
      <c r="K113" s="4"/>
      <c r="L113" s="4"/>
      <c r="M113" s="4"/>
      <c r="N113" s="4"/>
      <c r="O113" s="4"/>
      <c r="P113" s="4"/>
      <c r="Q113" s="4"/>
      <c r="R113" s="4"/>
    </row>
    <row r="114" spans="1:18" ht="17.399999999999999" x14ac:dyDescent="0.25">
      <c r="A114" s="4"/>
      <c r="B114" s="23"/>
      <c r="C114" s="4"/>
      <c r="D114" s="4"/>
      <c r="E114" s="5"/>
      <c r="F114" s="4"/>
      <c r="G114" s="4"/>
      <c r="H114" s="4"/>
      <c r="I114" s="4"/>
      <c r="J114" s="4"/>
      <c r="K114" s="4"/>
      <c r="L114" s="4"/>
      <c r="M114" s="4"/>
      <c r="N114" s="4"/>
      <c r="O114" s="4"/>
      <c r="P114" s="4"/>
      <c r="Q114" s="4"/>
      <c r="R114" s="4"/>
    </row>
    <row r="115" spans="1:18" ht="17.399999999999999" x14ac:dyDescent="0.25">
      <c r="A115" s="4"/>
      <c r="B115" s="23"/>
      <c r="C115" s="4"/>
      <c r="D115" s="4"/>
      <c r="E115" s="5"/>
      <c r="F115" s="4"/>
      <c r="G115" s="4"/>
      <c r="H115" s="4"/>
      <c r="I115" s="4"/>
      <c r="J115" s="4"/>
      <c r="K115" s="4"/>
      <c r="L115" s="4"/>
      <c r="M115" s="4"/>
      <c r="N115" s="4"/>
      <c r="O115" s="4"/>
      <c r="P115" s="4"/>
      <c r="Q115" s="4"/>
      <c r="R115" s="4"/>
    </row>
    <row r="116" spans="1:18" ht="17.399999999999999" x14ac:dyDescent="0.25">
      <c r="A116" s="4"/>
      <c r="B116" s="23"/>
      <c r="C116" s="4"/>
      <c r="D116" s="4"/>
      <c r="E116" s="5"/>
      <c r="F116" s="4"/>
      <c r="G116" s="4"/>
      <c r="H116" s="4"/>
      <c r="I116" s="4"/>
      <c r="J116" s="4"/>
      <c r="K116" s="4"/>
      <c r="L116" s="4"/>
      <c r="M116" s="4"/>
      <c r="N116" s="4"/>
      <c r="O116" s="4"/>
      <c r="P116" s="4"/>
      <c r="Q116" s="4"/>
      <c r="R116" s="4"/>
    </row>
    <row r="117" spans="1:18" ht="17.399999999999999" x14ac:dyDescent="0.25">
      <c r="A117" s="4"/>
      <c r="B117" s="23"/>
      <c r="C117" s="4"/>
      <c r="D117" s="4"/>
      <c r="E117" s="5"/>
      <c r="F117" s="4"/>
      <c r="G117" s="4"/>
      <c r="H117" s="4"/>
      <c r="I117" s="4"/>
      <c r="J117" s="4"/>
      <c r="K117" s="4"/>
      <c r="L117" s="4"/>
      <c r="M117" s="4"/>
      <c r="N117" s="4"/>
      <c r="O117" s="4"/>
      <c r="P117" s="4"/>
      <c r="Q117" s="4"/>
      <c r="R117" s="4"/>
    </row>
    <row r="118" spans="1:18" ht="17.399999999999999" x14ac:dyDescent="0.25">
      <c r="A118" s="4"/>
      <c r="B118" s="23"/>
      <c r="C118" s="4"/>
      <c r="D118" s="4"/>
      <c r="E118" s="5"/>
      <c r="F118" s="4"/>
      <c r="G118" s="4"/>
      <c r="H118" s="4"/>
      <c r="I118" s="4"/>
      <c r="J118" s="4"/>
      <c r="K118" s="4"/>
      <c r="L118" s="4"/>
      <c r="M118" s="4"/>
      <c r="N118" s="4"/>
      <c r="O118" s="4"/>
      <c r="P118" s="4"/>
      <c r="Q118" s="4"/>
      <c r="R118" s="4"/>
    </row>
    <row r="119" spans="1:18" ht="17.399999999999999" x14ac:dyDescent="0.25">
      <c r="A119" s="4"/>
      <c r="B119" s="23"/>
      <c r="C119" s="4"/>
      <c r="D119" s="4"/>
      <c r="E119" s="5"/>
      <c r="F119" s="4"/>
      <c r="G119" s="4"/>
      <c r="H119" s="4"/>
      <c r="I119" s="4"/>
      <c r="J119" s="4"/>
      <c r="K119" s="4"/>
      <c r="L119" s="4"/>
      <c r="M119" s="4"/>
      <c r="N119" s="4"/>
      <c r="O119" s="4"/>
      <c r="P119" s="4"/>
      <c r="Q119" s="4"/>
      <c r="R119" s="4"/>
    </row>
    <row r="120" spans="1:18" ht="17.399999999999999" x14ac:dyDescent="0.25">
      <c r="A120" s="4"/>
      <c r="B120" s="23"/>
      <c r="C120" s="4"/>
      <c r="D120" s="4"/>
      <c r="E120" s="5"/>
      <c r="F120" s="4"/>
      <c r="G120" s="4"/>
      <c r="H120" s="4"/>
      <c r="I120" s="4"/>
      <c r="J120" s="4"/>
      <c r="K120" s="4"/>
      <c r="L120" s="4"/>
      <c r="M120" s="4"/>
      <c r="N120" s="4"/>
      <c r="O120" s="4"/>
      <c r="P120" s="4"/>
      <c r="Q120" s="4"/>
      <c r="R120" s="4"/>
    </row>
    <row r="121" spans="1:18" ht="17.399999999999999" x14ac:dyDescent="0.25">
      <c r="A121" s="4"/>
      <c r="B121" s="23"/>
      <c r="C121" s="4"/>
      <c r="D121" s="4"/>
      <c r="E121" s="5"/>
      <c r="F121" s="4"/>
      <c r="G121" s="4"/>
      <c r="H121" s="4"/>
      <c r="I121" s="4"/>
      <c r="J121" s="4"/>
      <c r="K121" s="4"/>
      <c r="L121" s="4"/>
      <c r="M121" s="4"/>
      <c r="N121" s="4"/>
      <c r="O121" s="4"/>
      <c r="P121" s="4"/>
      <c r="Q121" s="4"/>
      <c r="R121" s="4"/>
    </row>
    <row r="122" spans="1:18" ht="17.399999999999999" x14ac:dyDescent="0.25">
      <c r="A122" s="4"/>
      <c r="B122" s="23"/>
      <c r="C122" s="4"/>
      <c r="D122" s="4"/>
      <c r="E122" s="5"/>
      <c r="F122" s="4"/>
      <c r="G122" s="4"/>
      <c r="H122" s="4"/>
      <c r="I122" s="4"/>
      <c r="J122" s="4"/>
      <c r="K122" s="4"/>
      <c r="L122" s="4"/>
      <c r="M122" s="4"/>
      <c r="N122" s="4"/>
      <c r="O122" s="4"/>
      <c r="P122" s="4"/>
      <c r="Q122" s="4"/>
      <c r="R122" s="4"/>
    </row>
    <row r="123" spans="1:18" ht="17.399999999999999" x14ac:dyDescent="0.25">
      <c r="A123" s="4"/>
      <c r="B123" s="23"/>
      <c r="C123" s="4"/>
      <c r="D123" s="4"/>
      <c r="E123" s="5"/>
      <c r="F123" s="4"/>
      <c r="G123" s="4"/>
      <c r="H123" s="4"/>
      <c r="I123" s="4"/>
      <c r="J123" s="4"/>
      <c r="K123" s="4"/>
      <c r="L123" s="4"/>
      <c r="M123" s="4"/>
      <c r="N123" s="4"/>
      <c r="O123" s="4"/>
      <c r="P123" s="4"/>
      <c r="Q123" s="4"/>
      <c r="R123" s="4"/>
    </row>
    <row r="124" spans="1:18" ht="17.399999999999999" x14ac:dyDescent="0.25">
      <c r="A124" s="4"/>
      <c r="B124" s="23"/>
      <c r="C124" s="4"/>
      <c r="D124" s="4"/>
      <c r="E124" s="5"/>
      <c r="F124" s="4"/>
      <c r="G124" s="4"/>
      <c r="H124" s="4"/>
      <c r="I124" s="4"/>
      <c r="J124" s="4"/>
      <c r="K124" s="4"/>
      <c r="L124" s="4"/>
      <c r="M124" s="4"/>
      <c r="N124" s="4"/>
      <c r="O124" s="4"/>
      <c r="P124" s="4"/>
      <c r="Q124" s="4"/>
      <c r="R124" s="4"/>
    </row>
    <row r="125" spans="1:18" ht="17.399999999999999" x14ac:dyDescent="0.25">
      <c r="A125" s="4"/>
      <c r="B125" s="23"/>
      <c r="C125" s="4"/>
      <c r="D125" s="4"/>
      <c r="E125" s="5"/>
      <c r="F125" s="4"/>
      <c r="G125" s="4"/>
      <c r="H125" s="4"/>
      <c r="I125" s="4"/>
      <c r="J125" s="4"/>
      <c r="K125" s="4"/>
      <c r="L125" s="4"/>
      <c r="M125" s="4"/>
      <c r="N125" s="4"/>
      <c r="O125" s="4"/>
      <c r="P125" s="4"/>
      <c r="Q125" s="4"/>
      <c r="R125" s="4"/>
    </row>
    <row r="126" spans="1:18" ht="17.399999999999999" x14ac:dyDescent="0.25">
      <c r="A126" s="4"/>
      <c r="B126" s="23"/>
      <c r="C126" s="4"/>
      <c r="D126" s="4"/>
      <c r="E126" s="5"/>
      <c r="F126" s="4"/>
      <c r="G126" s="4"/>
      <c r="H126" s="4"/>
      <c r="I126" s="4"/>
      <c r="J126" s="4"/>
      <c r="K126" s="4"/>
      <c r="L126" s="4"/>
      <c r="M126" s="4"/>
      <c r="N126" s="4"/>
      <c r="O126" s="4"/>
      <c r="P126" s="4"/>
      <c r="Q126" s="4"/>
      <c r="R126" s="4"/>
    </row>
    <row r="127" spans="1:18" ht="17.399999999999999" x14ac:dyDescent="0.25">
      <c r="A127" s="4"/>
      <c r="B127" s="23"/>
      <c r="C127" s="4"/>
      <c r="D127" s="4"/>
      <c r="E127" s="5"/>
      <c r="F127" s="4"/>
      <c r="G127" s="4"/>
      <c r="H127" s="4"/>
      <c r="I127" s="4"/>
      <c r="J127" s="4"/>
      <c r="K127" s="4"/>
      <c r="L127" s="4"/>
      <c r="M127" s="4"/>
      <c r="N127" s="4"/>
      <c r="O127" s="4"/>
      <c r="P127" s="4"/>
      <c r="Q127" s="4"/>
      <c r="R127" s="4"/>
    </row>
    <row r="128" spans="1:18" ht="17.399999999999999" x14ac:dyDescent="0.25">
      <c r="A128" s="4"/>
      <c r="B128" s="23"/>
      <c r="C128" s="4"/>
      <c r="D128" s="4"/>
      <c r="E128" s="5"/>
      <c r="F128" s="4"/>
      <c r="G128" s="4"/>
      <c r="H128" s="4"/>
      <c r="I128" s="4"/>
      <c r="J128" s="4"/>
      <c r="K128" s="4"/>
      <c r="L128" s="4"/>
      <c r="M128" s="4"/>
      <c r="N128" s="4"/>
      <c r="O128" s="4"/>
      <c r="P128" s="4"/>
      <c r="Q128" s="4"/>
      <c r="R128" s="4"/>
    </row>
    <row r="129" spans="1:18" ht="17.399999999999999" x14ac:dyDescent="0.25">
      <c r="A129" s="4"/>
      <c r="B129" s="23"/>
      <c r="C129" s="4"/>
      <c r="D129" s="4"/>
      <c r="E129" s="5"/>
      <c r="F129" s="4"/>
      <c r="G129" s="4"/>
      <c r="H129" s="4"/>
      <c r="I129" s="4"/>
      <c r="J129" s="4"/>
      <c r="K129" s="4"/>
      <c r="L129" s="4"/>
      <c r="M129" s="4"/>
      <c r="N129" s="4"/>
      <c r="O129" s="4"/>
      <c r="P129" s="4"/>
      <c r="Q129" s="4"/>
      <c r="R129" s="4"/>
    </row>
    <row r="130" spans="1:18" ht="17.399999999999999" x14ac:dyDescent="0.25">
      <c r="A130" s="4"/>
      <c r="B130" s="23"/>
      <c r="C130" s="4"/>
      <c r="D130" s="4"/>
      <c r="E130" s="5"/>
      <c r="F130" s="4"/>
      <c r="G130" s="4"/>
      <c r="H130" s="4"/>
      <c r="I130" s="4"/>
      <c r="J130" s="4"/>
      <c r="K130" s="4"/>
      <c r="L130" s="4"/>
      <c r="M130" s="4"/>
      <c r="N130" s="4"/>
      <c r="O130" s="4"/>
      <c r="P130" s="4"/>
      <c r="Q130" s="4"/>
      <c r="R130" s="4"/>
    </row>
    <row r="131" spans="1:18" ht="17.399999999999999" x14ac:dyDescent="0.25">
      <c r="A131" s="4"/>
      <c r="B131" s="23"/>
      <c r="C131" s="4"/>
      <c r="D131" s="4"/>
      <c r="E131" s="5"/>
      <c r="F131" s="4"/>
      <c r="G131" s="4"/>
      <c r="H131" s="4"/>
      <c r="I131" s="4"/>
      <c r="J131" s="4"/>
      <c r="K131" s="4"/>
      <c r="L131" s="4"/>
      <c r="M131" s="4"/>
      <c r="N131" s="4"/>
      <c r="O131" s="4"/>
      <c r="P131" s="4"/>
      <c r="Q131" s="4"/>
      <c r="R131" s="4"/>
    </row>
    <row r="132" spans="1:18" ht="17.399999999999999" x14ac:dyDescent="0.25">
      <c r="A132" s="4"/>
      <c r="B132" s="23"/>
      <c r="C132" s="4"/>
      <c r="D132" s="4"/>
      <c r="E132" s="5"/>
      <c r="F132" s="4"/>
      <c r="G132" s="4"/>
      <c r="H132" s="4"/>
      <c r="I132" s="4"/>
      <c r="J132" s="4"/>
      <c r="K132" s="4"/>
      <c r="L132" s="4"/>
      <c r="M132" s="4"/>
      <c r="N132" s="4"/>
      <c r="O132" s="4"/>
      <c r="P132" s="4"/>
      <c r="Q132" s="4"/>
      <c r="R132" s="4"/>
    </row>
    <row r="133" spans="1:18" ht="17.399999999999999" x14ac:dyDescent="0.25">
      <c r="A133" s="4"/>
      <c r="B133" s="23"/>
      <c r="C133" s="4"/>
      <c r="D133" s="4"/>
      <c r="E133" s="5"/>
      <c r="F133" s="4"/>
      <c r="G133" s="4"/>
      <c r="H133" s="4"/>
      <c r="I133" s="4"/>
      <c r="J133" s="4"/>
      <c r="K133" s="4"/>
      <c r="L133" s="4"/>
      <c r="M133" s="4"/>
      <c r="N133" s="4"/>
      <c r="O133" s="4"/>
      <c r="P133" s="4"/>
      <c r="Q133" s="4"/>
      <c r="R133" s="4"/>
    </row>
    <row r="134" spans="1:18" ht="17.399999999999999" x14ac:dyDescent="0.25">
      <c r="A134" s="4"/>
      <c r="B134" s="23"/>
      <c r="C134" s="4"/>
      <c r="D134" s="4"/>
      <c r="E134" s="5"/>
      <c r="F134" s="4"/>
      <c r="G134" s="4"/>
      <c r="H134" s="4"/>
      <c r="I134" s="4"/>
      <c r="J134" s="4"/>
      <c r="K134" s="4"/>
      <c r="L134" s="4"/>
      <c r="M134" s="4"/>
      <c r="N134" s="4"/>
      <c r="O134" s="4"/>
      <c r="P134" s="4"/>
      <c r="Q134" s="4"/>
      <c r="R134" s="4"/>
    </row>
    <row r="135" spans="1:18" ht="17.399999999999999" x14ac:dyDescent="0.25">
      <c r="A135" s="4"/>
      <c r="B135" s="23"/>
      <c r="C135" s="4"/>
      <c r="D135" s="4"/>
      <c r="E135" s="5"/>
      <c r="F135" s="4"/>
      <c r="G135" s="4"/>
      <c r="H135" s="4"/>
      <c r="I135" s="4"/>
      <c r="J135" s="4"/>
      <c r="K135" s="4"/>
      <c r="L135" s="4"/>
      <c r="M135" s="4"/>
      <c r="N135" s="4"/>
      <c r="O135" s="4"/>
      <c r="P135" s="4"/>
      <c r="Q135" s="4"/>
      <c r="R135" s="4"/>
    </row>
    <row r="136" spans="1:18" ht="17.399999999999999" x14ac:dyDescent="0.25">
      <c r="A136" s="4"/>
      <c r="B136" s="23"/>
      <c r="C136" s="4"/>
      <c r="D136" s="4"/>
      <c r="E136" s="5"/>
      <c r="F136" s="4"/>
      <c r="G136" s="4"/>
      <c r="H136" s="4"/>
      <c r="I136" s="4"/>
      <c r="J136" s="4"/>
      <c r="K136" s="4"/>
      <c r="L136" s="4"/>
      <c r="M136" s="4"/>
      <c r="N136" s="4"/>
      <c r="O136" s="4"/>
      <c r="P136" s="4"/>
      <c r="Q136" s="4"/>
      <c r="R136" s="4"/>
    </row>
    <row r="137" spans="1:18" ht="17.399999999999999" x14ac:dyDescent="0.25">
      <c r="A137" s="4"/>
      <c r="B137" s="23"/>
      <c r="C137" s="4"/>
      <c r="D137" s="4"/>
      <c r="E137" s="5"/>
      <c r="F137" s="4"/>
      <c r="G137" s="4"/>
      <c r="H137" s="4"/>
      <c r="I137" s="4"/>
      <c r="J137" s="4"/>
      <c r="K137" s="4"/>
      <c r="L137" s="4"/>
      <c r="M137" s="4"/>
      <c r="N137" s="4"/>
      <c r="O137" s="4"/>
      <c r="P137" s="4"/>
      <c r="Q137" s="4"/>
      <c r="R137" s="4"/>
    </row>
    <row r="138" spans="1:18" ht="17.399999999999999" x14ac:dyDescent="0.25">
      <c r="A138" s="4"/>
      <c r="B138" s="23"/>
      <c r="C138" s="4"/>
      <c r="D138" s="4"/>
      <c r="E138" s="5"/>
      <c r="F138" s="4"/>
      <c r="G138" s="4"/>
      <c r="H138" s="4"/>
      <c r="I138" s="4"/>
      <c r="J138" s="4"/>
      <c r="K138" s="4"/>
      <c r="L138" s="4"/>
      <c r="M138" s="4"/>
      <c r="N138" s="4"/>
      <c r="O138" s="4"/>
      <c r="P138" s="4"/>
      <c r="Q138" s="4"/>
      <c r="R138" s="4"/>
    </row>
    <row r="139" spans="1:18" ht="17.399999999999999" x14ac:dyDescent="0.25">
      <c r="A139" s="4"/>
      <c r="B139" s="23"/>
      <c r="C139" s="4"/>
      <c r="D139" s="4"/>
      <c r="E139" s="5"/>
      <c r="F139" s="4"/>
      <c r="G139" s="4"/>
      <c r="H139" s="4"/>
      <c r="I139" s="4"/>
      <c r="J139" s="4"/>
      <c r="K139" s="4"/>
      <c r="L139" s="4"/>
      <c r="M139" s="4"/>
      <c r="N139" s="4"/>
      <c r="O139" s="4"/>
      <c r="P139" s="4"/>
      <c r="Q139" s="4"/>
      <c r="R139" s="4"/>
    </row>
    <row r="140" spans="1:18" ht="17.399999999999999" x14ac:dyDescent="0.25">
      <c r="A140" s="4"/>
      <c r="B140" s="23"/>
      <c r="C140" s="4"/>
      <c r="D140" s="4"/>
      <c r="E140" s="5"/>
      <c r="F140" s="4"/>
      <c r="G140" s="4"/>
      <c r="H140" s="4"/>
      <c r="I140" s="4"/>
      <c r="J140" s="4"/>
      <c r="K140" s="4"/>
      <c r="L140" s="4"/>
      <c r="M140" s="4"/>
      <c r="N140" s="4"/>
      <c r="O140" s="4"/>
      <c r="P140" s="4"/>
      <c r="Q140" s="4"/>
      <c r="R140" s="4"/>
    </row>
    <row r="141" spans="1:18" ht="17.399999999999999" x14ac:dyDescent="0.25">
      <c r="A141" s="4"/>
      <c r="B141" s="23"/>
      <c r="C141" s="4"/>
      <c r="D141" s="4"/>
      <c r="E141" s="5"/>
      <c r="F141" s="4"/>
      <c r="G141" s="4"/>
      <c r="H141" s="4"/>
      <c r="I141" s="4"/>
      <c r="J141" s="4"/>
      <c r="K141" s="4"/>
      <c r="L141" s="4"/>
      <c r="M141" s="4"/>
      <c r="N141" s="4"/>
      <c r="O141" s="4"/>
      <c r="P141" s="4"/>
      <c r="Q141" s="4"/>
      <c r="R141" s="4"/>
    </row>
    <row r="142" spans="1:18" ht="17.399999999999999" x14ac:dyDescent="0.25">
      <c r="A142" s="4"/>
      <c r="B142" s="23"/>
      <c r="C142" s="4"/>
      <c r="D142" s="4"/>
      <c r="E142" s="5"/>
      <c r="F142" s="4"/>
      <c r="G142" s="4"/>
      <c r="H142" s="4"/>
      <c r="I142" s="4"/>
      <c r="J142" s="4"/>
      <c r="K142" s="4"/>
      <c r="L142" s="4"/>
      <c r="M142" s="4"/>
      <c r="N142" s="4"/>
      <c r="O142" s="4"/>
      <c r="P142" s="4"/>
      <c r="Q142" s="4"/>
      <c r="R142" s="4"/>
    </row>
    <row r="143" spans="1:18" ht="17.399999999999999" x14ac:dyDescent="0.25">
      <c r="A143" s="4"/>
      <c r="B143" s="23"/>
      <c r="C143" s="4"/>
      <c r="D143" s="4"/>
      <c r="E143" s="5"/>
      <c r="F143" s="4"/>
      <c r="G143" s="4"/>
      <c r="H143" s="4"/>
      <c r="I143" s="4"/>
      <c r="J143" s="4"/>
      <c r="K143" s="4"/>
      <c r="L143" s="4"/>
      <c r="M143" s="4"/>
      <c r="N143" s="4"/>
      <c r="O143" s="4"/>
      <c r="P143" s="4"/>
      <c r="Q143" s="4"/>
      <c r="R143" s="4"/>
    </row>
    <row r="144" spans="1:18" ht="17.399999999999999" x14ac:dyDescent="0.25">
      <c r="A144" s="4"/>
      <c r="B144" s="23"/>
      <c r="C144" s="4"/>
      <c r="D144" s="4"/>
      <c r="E144" s="5"/>
      <c r="F144" s="4"/>
      <c r="G144" s="4"/>
      <c r="H144" s="4"/>
      <c r="I144" s="4"/>
      <c r="J144" s="4"/>
      <c r="K144" s="4"/>
      <c r="L144" s="4"/>
      <c r="M144" s="4"/>
      <c r="N144" s="4"/>
      <c r="O144" s="4"/>
      <c r="P144" s="4"/>
      <c r="Q144" s="4"/>
      <c r="R144" s="4"/>
    </row>
    <row r="145" spans="1:18" ht="17.399999999999999" x14ac:dyDescent="0.25">
      <c r="A145" s="4"/>
      <c r="B145" s="23"/>
      <c r="C145" s="4"/>
      <c r="D145" s="4"/>
      <c r="E145" s="5"/>
      <c r="F145" s="4"/>
      <c r="G145" s="4"/>
      <c r="H145" s="4"/>
      <c r="I145" s="4"/>
      <c r="J145" s="4"/>
      <c r="K145" s="4"/>
      <c r="L145" s="4"/>
      <c r="M145" s="4"/>
      <c r="N145" s="4"/>
      <c r="O145" s="4"/>
      <c r="P145" s="4"/>
      <c r="Q145" s="4"/>
      <c r="R145" s="4"/>
    </row>
    <row r="146" spans="1:18" ht="17.399999999999999" x14ac:dyDescent="0.25">
      <c r="A146" s="4"/>
      <c r="B146" s="23"/>
      <c r="C146" s="4"/>
      <c r="D146" s="4"/>
      <c r="E146" s="5"/>
      <c r="F146" s="4"/>
      <c r="G146" s="4"/>
      <c r="H146" s="4"/>
      <c r="I146" s="4"/>
      <c r="J146" s="4"/>
      <c r="K146" s="4"/>
      <c r="L146" s="4"/>
      <c r="M146" s="4"/>
      <c r="N146" s="4"/>
      <c r="O146" s="4"/>
      <c r="P146" s="4"/>
      <c r="Q146" s="4"/>
      <c r="R146" s="4"/>
    </row>
    <row r="147" spans="1:18" ht="17.399999999999999" x14ac:dyDescent="0.25">
      <c r="A147" s="4"/>
      <c r="B147" s="23"/>
      <c r="C147" s="4"/>
      <c r="D147" s="4"/>
      <c r="E147" s="5"/>
      <c r="F147" s="4"/>
      <c r="G147" s="4"/>
      <c r="H147" s="4"/>
      <c r="I147" s="4"/>
      <c r="J147" s="4"/>
      <c r="K147" s="4"/>
      <c r="L147" s="4"/>
      <c r="M147" s="4"/>
      <c r="N147" s="4"/>
      <c r="O147" s="4"/>
      <c r="P147" s="4"/>
      <c r="Q147" s="4"/>
      <c r="R147" s="4"/>
    </row>
    <row r="148" spans="1:18" ht="17.399999999999999" x14ac:dyDescent="0.25">
      <c r="A148" s="4"/>
      <c r="B148" s="23"/>
      <c r="C148" s="4"/>
      <c r="D148" s="4"/>
      <c r="E148" s="5"/>
      <c r="F148" s="4"/>
      <c r="G148" s="4"/>
      <c r="H148" s="4"/>
      <c r="I148" s="4"/>
      <c r="J148" s="4"/>
      <c r="K148" s="4"/>
      <c r="L148" s="4"/>
      <c r="M148" s="4"/>
      <c r="N148" s="4"/>
      <c r="O148" s="4"/>
      <c r="P148" s="4"/>
      <c r="Q148" s="4"/>
      <c r="R148" s="4"/>
    </row>
    <row r="149" spans="1:18" ht="17.399999999999999" x14ac:dyDescent="0.25">
      <c r="A149" s="4"/>
      <c r="B149" s="23"/>
      <c r="C149" s="4"/>
      <c r="D149" s="4"/>
      <c r="E149" s="5"/>
      <c r="F149" s="4"/>
      <c r="G149" s="4"/>
      <c r="H149" s="4"/>
      <c r="I149" s="4"/>
      <c r="J149" s="4"/>
      <c r="K149" s="4"/>
      <c r="L149" s="4"/>
      <c r="M149" s="4"/>
      <c r="N149" s="4"/>
      <c r="O149" s="4"/>
      <c r="P149" s="4"/>
      <c r="Q149" s="4"/>
      <c r="R149" s="4"/>
    </row>
    <row r="150" spans="1:18" ht="17.399999999999999" x14ac:dyDescent="0.25">
      <c r="A150" s="4"/>
      <c r="B150" s="23"/>
      <c r="C150" s="4"/>
      <c r="D150" s="4"/>
      <c r="E150" s="5"/>
      <c r="F150" s="4"/>
      <c r="G150" s="4"/>
      <c r="H150" s="4"/>
      <c r="I150" s="4"/>
      <c r="J150" s="4"/>
      <c r="K150" s="4"/>
      <c r="L150" s="4"/>
      <c r="M150" s="4"/>
      <c r="N150" s="4"/>
      <c r="O150" s="4"/>
      <c r="P150" s="4"/>
      <c r="Q150" s="4"/>
      <c r="R150" s="4"/>
    </row>
    <row r="151" spans="1:18" ht="17.399999999999999" x14ac:dyDescent="0.25">
      <c r="A151" s="4"/>
      <c r="B151" s="23"/>
      <c r="C151" s="4"/>
      <c r="D151" s="4"/>
      <c r="E151" s="5"/>
      <c r="F151" s="4"/>
      <c r="G151" s="4"/>
      <c r="H151" s="4"/>
      <c r="I151" s="4"/>
      <c r="J151" s="4"/>
      <c r="K151" s="4"/>
      <c r="L151" s="4"/>
      <c r="M151" s="4"/>
      <c r="N151" s="4"/>
      <c r="O151" s="4"/>
      <c r="P151" s="4"/>
      <c r="Q151" s="4"/>
      <c r="R151" s="4"/>
    </row>
    <row r="152" spans="1:18" ht="17.399999999999999" x14ac:dyDescent="0.25">
      <c r="A152" s="4"/>
      <c r="B152" s="23"/>
      <c r="C152" s="4"/>
      <c r="D152" s="4"/>
      <c r="E152" s="5"/>
      <c r="F152" s="4"/>
      <c r="G152" s="4"/>
      <c r="H152" s="4"/>
      <c r="I152" s="4"/>
      <c r="J152" s="4"/>
      <c r="K152" s="4"/>
      <c r="L152" s="4"/>
      <c r="M152" s="4"/>
      <c r="N152" s="4"/>
      <c r="O152" s="4"/>
      <c r="P152" s="4"/>
      <c r="Q152" s="4"/>
      <c r="R152" s="4"/>
    </row>
    <row r="153" spans="1:18" ht="17.399999999999999" x14ac:dyDescent="0.25">
      <c r="A153" s="4"/>
      <c r="B153" s="23"/>
      <c r="C153" s="4"/>
      <c r="D153" s="4"/>
      <c r="E153" s="5"/>
      <c r="F153" s="4"/>
      <c r="G153" s="4"/>
      <c r="H153" s="4"/>
      <c r="I153" s="4"/>
      <c r="J153" s="4"/>
      <c r="K153" s="4"/>
      <c r="L153" s="4"/>
      <c r="M153" s="4"/>
      <c r="N153" s="4"/>
      <c r="O153" s="4"/>
      <c r="P153" s="4"/>
      <c r="Q153" s="4"/>
      <c r="R153" s="4"/>
    </row>
    <row r="154" spans="1:18" ht="17.399999999999999" x14ac:dyDescent="0.25">
      <c r="A154" s="4"/>
      <c r="B154" s="23"/>
      <c r="C154" s="4"/>
      <c r="D154" s="4"/>
      <c r="E154" s="5"/>
      <c r="F154" s="4"/>
      <c r="G154" s="4"/>
      <c r="H154" s="4"/>
      <c r="I154" s="4"/>
      <c r="J154" s="4"/>
      <c r="K154" s="4"/>
      <c r="L154" s="4"/>
      <c r="M154" s="4"/>
      <c r="N154" s="4"/>
      <c r="O154" s="4"/>
      <c r="P154" s="4"/>
      <c r="Q154" s="4"/>
      <c r="R154" s="4"/>
    </row>
    <row r="155" spans="1:18" ht="17.399999999999999" x14ac:dyDescent="0.25">
      <c r="A155" s="4"/>
      <c r="B155" s="23"/>
      <c r="C155" s="4"/>
      <c r="D155" s="4"/>
      <c r="E155" s="5"/>
      <c r="F155" s="4"/>
      <c r="G155" s="4"/>
      <c r="H155" s="4"/>
      <c r="I155" s="4"/>
      <c r="J155" s="4"/>
      <c r="K155" s="4"/>
      <c r="L155" s="4"/>
      <c r="M155" s="4"/>
      <c r="N155" s="4"/>
      <c r="O155" s="4"/>
      <c r="P155" s="4"/>
      <c r="Q155" s="4"/>
      <c r="R155" s="4"/>
    </row>
    <row r="156" spans="1:18" ht="17.399999999999999" x14ac:dyDescent="0.25">
      <c r="A156" s="4"/>
      <c r="B156" s="23"/>
      <c r="C156" s="4"/>
      <c r="D156" s="4"/>
      <c r="E156" s="5"/>
      <c r="F156" s="4"/>
      <c r="G156" s="4"/>
      <c r="H156" s="4"/>
      <c r="I156" s="4"/>
      <c r="J156" s="4"/>
      <c r="K156" s="4"/>
      <c r="L156" s="4"/>
      <c r="M156" s="4"/>
      <c r="N156" s="4"/>
      <c r="O156" s="4"/>
      <c r="P156" s="4"/>
      <c r="Q156" s="4"/>
      <c r="R156" s="4"/>
    </row>
    <row r="157" spans="1:18" ht="17.399999999999999" x14ac:dyDescent="0.25">
      <c r="A157" s="4"/>
      <c r="B157" s="23"/>
      <c r="C157" s="4"/>
      <c r="D157" s="4"/>
      <c r="E157" s="5"/>
      <c r="F157" s="4"/>
      <c r="G157" s="4"/>
      <c r="H157" s="4"/>
      <c r="I157" s="4"/>
      <c r="J157" s="4"/>
      <c r="K157" s="4"/>
      <c r="L157" s="4"/>
      <c r="M157" s="4"/>
      <c r="N157" s="4"/>
      <c r="O157" s="4"/>
      <c r="P157" s="4"/>
      <c r="Q157" s="4"/>
      <c r="R157" s="4"/>
    </row>
    <row r="158" spans="1:18" ht="17.399999999999999" x14ac:dyDescent="0.25">
      <c r="A158" s="4"/>
      <c r="B158" s="23"/>
      <c r="C158" s="4"/>
      <c r="D158" s="4"/>
      <c r="E158" s="5"/>
      <c r="F158" s="4"/>
      <c r="G158" s="4"/>
      <c r="H158" s="4"/>
      <c r="I158" s="4"/>
      <c r="J158" s="4"/>
      <c r="K158" s="4"/>
      <c r="L158" s="4"/>
      <c r="M158" s="4"/>
      <c r="N158" s="4"/>
      <c r="O158" s="4"/>
      <c r="P158" s="4"/>
      <c r="Q158" s="4"/>
      <c r="R158" s="4"/>
    </row>
    <row r="159" spans="1:18" ht="17.399999999999999" x14ac:dyDescent="0.25">
      <c r="A159" s="4"/>
      <c r="B159" s="23"/>
      <c r="C159" s="4"/>
      <c r="D159" s="4"/>
      <c r="E159" s="5"/>
      <c r="F159" s="4"/>
      <c r="G159" s="4"/>
      <c r="H159" s="4"/>
      <c r="I159" s="4"/>
      <c r="J159" s="4"/>
      <c r="K159" s="4"/>
      <c r="L159" s="4"/>
      <c r="M159" s="4"/>
      <c r="N159" s="4"/>
      <c r="O159" s="4"/>
      <c r="P159" s="4"/>
      <c r="Q159" s="4"/>
      <c r="R159" s="4"/>
    </row>
    <row r="160" spans="1:18" ht="17.399999999999999" x14ac:dyDescent="0.25">
      <c r="A160" s="4"/>
      <c r="B160" s="23"/>
      <c r="C160" s="4"/>
      <c r="D160" s="4"/>
      <c r="E160" s="5"/>
      <c r="F160" s="4"/>
      <c r="G160" s="4"/>
      <c r="H160" s="4"/>
      <c r="I160" s="4"/>
      <c r="J160" s="4"/>
      <c r="K160" s="4"/>
      <c r="L160" s="4"/>
      <c r="M160" s="4"/>
      <c r="N160" s="4"/>
      <c r="O160" s="4"/>
      <c r="P160" s="4"/>
      <c r="Q160" s="4"/>
      <c r="R160" s="4"/>
    </row>
    <row r="161" spans="1:18" ht="17.399999999999999" x14ac:dyDescent="0.25">
      <c r="A161" s="4"/>
      <c r="B161" s="23"/>
      <c r="C161" s="4"/>
      <c r="D161" s="4"/>
      <c r="E161" s="5"/>
      <c r="F161" s="4"/>
      <c r="G161" s="4"/>
      <c r="H161" s="4"/>
      <c r="I161" s="4"/>
      <c r="J161" s="4"/>
      <c r="K161" s="4"/>
      <c r="L161" s="4"/>
      <c r="M161" s="4"/>
      <c r="N161" s="4"/>
      <c r="O161" s="4"/>
      <c r="P161" s="4"/>
      <c r="Q161" s="4"/>
      <c r="R161" s="4"/>
    </row>
    <row r="162" spans="1:18" ht="17.399999999999999" x14ac:dyDescent="0.25">
      <c r="A162" s="4"/>
      <c r="B162" s="23"/>
      <c r="C162" s="4"/>
      <c r="D162" s="4"/>
      <c r="E162" s="5"/>
      <c r="F162" s="4"/>
      <c r="G162" s="4"/>
      <c r="H162" s="4"/>
      <c r="I162" s="4"/>
      <c r="J162" s="4"/>
      <c r="K162" s="4"/>
      <c r="L162" s="4"/>
      <c r="M162" s="4"/>
      <c r="N162" s="4"/>
      <c r="O162" s="4"/>
      <c r="P162" s="4"/>
      <c r="Q162" s="4"/>
      <c r="R162" s="4"/>
    </row>
    <row r="163" spans="1:18" ht="17.399999999999999" x14ac:dyDescent="0.25">
      <c r="A163" s="4"/>
      <c r="B163" s="23"/>
      <c r="C163" s="4"/>
      <c r="D163" s="4"/>
      <c r="E163" s="5"/>
      <c r="F163" s="4"/>
      <c r="G163" s="4"/>
      <c r="H163" s="4"/>
      <c r="I163" s="4"/>
      <c r="J163" s="4"/>
      <c r="K163" s="4"/>
      <c r="L163" s="4"/>
      <c r="M163" s="4"/>
      <c r="N163" s="4"/>
      <c r="O163" s="4"/>
      <c r="P163" s="4"/>
      <c r="Q163" s="4"/>
      <c r="R163" s="4"/>
    </row>
    <row r="164" spans="1:18" ht="17.399999999999999" x14ac:dyDescent="0.25">
      <c r="A164" s="4"/>
      <c r="B164" s="23"/>
      <c r="C164" s="4"/>
      <c r="D164" s="4"/>
      <c r="E164" s="5"/>
      <c r="F164" s="4"/>
      <c r="G164" s="4"/>
      <c r="H164" s="4"/>
      <c r="I164" s="4"/>
      <c r="J164" s="4"/>
      <c r="K164" s="4"/>
      <c r="L164" s="4"/>
      <c r="M164" s="4"/>
      <c r="N164" s="4"/>
      <c r="O164" s="4"/>
      <c r="P164" s="4"/>
      <c r="Q164" s="4"/>
      <c r="R164" s="4"/>
    </row>
    <row r="165" spans="1:18" ht="17.399999999999999" x14ac:dyDescent="0.25">
      <c r="A165" s="4"/>
      <c r="B165" s="23"/>
      <c r="C165" s="4"/>
      <c r="D165" s="4"/>
      <c r="E165" s="5"/>
      <c r="F165" s="4"/>
      <c r="G165" s="4"/>
      <c r="H165" s="4"/>
      <c r="I165" s="4"/>
      <c r="J165" s="4"/>
      <c r="K165" s="4"/>
      <c r="L165" s="4"/>
      <c r="M165" s="4"/>
      <c r="N165" s="4"/>
      <c r="O165" s="4"/>
      <c r="P165" s="4"/>
      <c r="Q165" s="4"/>
      <c r="R165" s="4"/>
    </row>
    <row r="166" spans="1:18" ht="17.399999999999999" x14ac:dyDescent="0.25">
      <c r="A166" s="4"/>
      <c r="B166" s="23"/>
      <c r="C166" s="4"/>
      <c r="D166" s="4"/>
      <c r="E166" s="5"/>
      <c r="F166" s="4"/>
      <c r="G166" s="4"/>
      <c r="H166" s="4"/>
      <c r="I166" s="4"/>
      <c r="J166" s="4"/>
      <c r="K166" s="4"/>
      <c r="L166" s="4"/>
      <c r="M166" s="4"/>
      <c r="N166" s="4"/>
      <c r="O166" s="4"/>
      <c r="P166" s="4"/>
      <c r="Q166" s="4"/>
      <c r="R166" s="4"/>
    </row>
    <row r="167" spans="1:18" ht="17.399999999999999" x14ac:dyDescent="0.25">
      <c r="A167" s="4"/>
      <c r="B167" s="23"/>
      <c r="C167" s="4"/>
      <c r="D167" s="4"/>
      <c r="E167" s="5"/>
      <c r="F167" s="4"/>
      <c r="G167" s="4"/>
      <c r="H167" s="4"/>
      <c r="I167" s="4"/>
      <c r="J167" s="4"/>
      <c r="K167" s="4"/>
      <c r="L167" s="4"/>
      <c r="M167" s="4"/>
      <c r="N167" s="4"/>
      <c r="O167" s="4"/>
      <c r="P167" s="4"/>
      <c r="Q167" s="4"/>
      <c r="R167" s="4"/>
    </row>
    <row r="168" spans="1:18" ht="17.399999999999999" x14ac:dyDescent="0.25">
      <c r="A168" s="4"/>
      <c r="B168" s="23"/>
      <c r="C168" s="4"/>
      <c r="D168" s="4"/>
      <c r="E168" s="5"/>
      <c r="F168" s="4"/>
      <c r="G168" s="4"/>
      <c r="H168" s="4"/>
      <c r="I168" s="4"/>
      <c r="J168" s="4"/>
      <c r="K168" s="4"/>
      <c r="L168" s="4"/>
      <c r="M168" s="4"/>
      <c r="N168" s="4"/>
      <c r="O168" s="4"/>
      <c r="P168" s="4"/>
      <c r="Q168" s="4"/>
      <c r="R168" s="4"/>
    </row>
    <row r="169" spans="1:18" ht="17.399999999999999" x14ac:dyDescent="0.25">
      <c r="A169" s="4"/>
      <c r="B169" s="23"/>
      <c r="C169" s="4"/>
      <c r="D169" s="4"/>
      <c r="E169" s="5"/>
      <c r="F169" s="4"/>
      <c r="G169" s="4"/>
      <c r="H169" s="4"/>
      <c r="I169" s="4"/>
      <c r="J169" s="4"/>
      <c r="K169" s="4"/>
      <c r="L169" s="4"/>
      <c r="M169" s="4"/>
      <c r="N169" s="4"/>
      <c r="O169" s="4"/>
      <c r="P169" s="4"/>
      <c r="Q169" s="4"/>
      <c r="R169" s="4"/>
    </row>
    <row r="170" spans="1:18" ht="17.399999999999999" x14ac:dyDescent="0.25">
      <c r="A170" s="4"/>
      <c r="B170" s="23"/>
      <c r="C170" s="4"/>
      <c r="D170" s="4"/>
      <c r="E170" s="5"/>
      <c r="F170" s="4"/>
      <c r="G170" s="4"/>
      <c r="H170" s="4"/>
      <c r="I170" s="4"/>
      <c r="J170" s="4"/>
      <c r="K170" s="4"/>
      <c r="L170" s="4"/>
      <c r="M170" s="4"/>
      <c r="N170" s="4"/>
      <c r="O170" s="4"/>
      <c r="P170" s="4"/>
      <c r="Q170" s="4"/>
      <c r="R170" s="4"/>
    </row>
    <row r="171" spans="1:18" ht="17.399999999999999" x14ac:dyDescent="0.25">
      <c r="A171" s="4"/>
      <c r="B171" s="23"/>
      <c r="C171" s="4"/>
      <c r="D171" s="4"/>
      <c r="E171" s="5"/>
      <c r="F171" s="4"/>
      <c r="G171" s="4"/>
      <c r="H171" s="4"/>
      <c r="I171" s="4"/>
      <c r="J171" s="4"/>
      <c r="K171" s="4"/>
      <c r="L171" s="4"/>
      <c r="M171" s="4"/>
      <c r="N171" s="4"/>
      <c r="O171" s="4"/>
      <c r="P171" s="4"/>
      <c r="Q171" s="4"/>
      <c r="R171" s="4"/>
    </row>
    <row r="172" spans="1:18" ht="17.399999999999999" x14ac:dyDescent="0.25">
      <c r="A172" s="4"/>
      <c r="B172" s="23"/>
      <c r="C172" s="4"/>
      <c r="D172" s="4"/>
      <c r="E172" s="5"/>
      <c r="F172" s="4"/>
      <c r="G172" s="4"/>
      <c r="H172" s="4"/>
      <c r="I172" s="4"/>
      <c r="J172" s="4"/>
      <c r="K172" s="4"/>
      <c r="L172" s="4"/>
      <c r="M172" s="4"/>
      <c r="N172" s="4"/>
      <c r="O172" s="4"/>
      <c r="P172" s="4"/>
      <c r="Q172" s="4"/>
      <c r="R172" s="4"/>
    </row>
    <row r="173" spans="1:18" ht="17.399999999999999" x14ac:dyDescent="0.25">
      <c r="A173" s="4"/>
      <c r="B173" s="23"/>
      <c r="C173" s="4"/>
      <c r="D173" s="4"/>
      <c r="E173" s="5"/>
      <c r="F173" s="4"/>
      <c r="G173" s="4"/>
      <c r="H173" s="4"/>
      <c r="I173" s="4"/>
      <c r="J173" s="4"/>
      <c r="K173" s="4"/>
      <c r="L173" s="4"/>
      <c r="M173" s="4"/>
      <c r="N173" s="4"/>
      <c r="O173" s="4"/>
      <c r="P173" s="4"/>
      <c r="Q173" s="4"/>
      <c r="R173" s="4"/>
    </row>
    <row r="174" spans="1:18" ht="17.399999999999999" x14ac:dyDescent="0.25">
      <c r="A174" s="4"/>
      <c r="B174" s="23"/>
      <c r="C174" s="4"/>
      <c r="D174" s="4"/>
      <c r="E174" s="5"/>
      <c r="F174" s="4"/>
      <c r="G174" s="4"/>
      <c r="H174" s="4"/>
      <c r="I174" s="4"/>
      <c r="J174" s="4"/>
      <c r="K174" s="4"/>
      <c r="L174" s="4"/>
      <c r="M174" s="4"/>
      <c r="N174" s="4"/>
      <c r="O174" s="4"/>
      <c r="P174" s="4"/>
      <c r="Q174" s="4"/>
      <c r="R174" s="4"/>
    </row>
    <row r="175" spans="1:18" ht="17.399999999999999" x14ac:dyDescent="0.25">
      <c r="A175" s="4"/>
      <c r="B175" s="23"/>
      <c r="C175" s="4"/>
      <c r="D175" s="4"/>
      <c r="E175" s="5"/>
      <c r="F175" s="4"/>
      <c r="G175" s="4"/>
      <c r="H175" s="4"/>
      <c r="I175" s="4"/>
      <c r="J175" s="4"/>
      <c r="K175" s="4"/>
      <c r="L175" s="4"/>
      <c r="M175" s="4"/>
      <c r="N175" s="4"/>
      <c r="O175" s="4"/>
      <c r="P175" s="4"/>
      <c r="Q175" s="4"/>
      <c r="R175" s="4"/>
    </row>
    <row r="176" spans="1:18" ht="17.399999999999999" x14ac:dyDescent="0.25">
      <c r="A176" s="4"/>
      <c r="B176" s="23"/>
      <c r="C176" s="4"/>
      <c r="D176" s="4"/>
      <c r="E176" s="5"/>
      <c r="F176" s="4"/>
      <c r="G176" s="4"/>
      <c r="H176" s="4"/>
      <c r="I176" s="4"/>
      <c r="J176" s="4"/>
      <c r="K176" s="4"/>
      <c r="L176" s="4"/>
      <c r="M176" s="4"/>
      <c r="N176" s="4"/>
      <c r="O176" s="4"/>
      <c r="P176" s="4"/>
      <c r="Q176" s="4"/>
      <c r="R176" s="4"/>
    </row>
    <row r="177" spans="1:18" ht="17.399999999999999" x14ac:dyDescent="0.25">
      <c r="A177" s="4"/>
      <c r="B177" s="23"/>
      <c r="C177" s="4"/>
      <c r="D177" s="4"/>
      <c r="E177" s="5"/>
      <c r="F177" s="4"/>
      <c r="G177" s="4"/>
      <c r="H177" s="4"/>
      <c r="I177" s="4"/>
      <c r="J177" s="4"/>
      <c r="K177" s="4"/>
      <c r="L177" s="4"/>
      <c r="M177" s="4"/>
      <c r="N177" s="4"/>
      <c r="O177" s="4"/>
      <c r="P177" s="4"/>
      <c r="Q177" s="4"/>
      <c r="R177" s="4"/>
    </row>
    <row r="178" spans="1:18" ht="17.399999999999999" x14ac:dyDescent="0.25">
      <c r="A178" s="4"/>
      <c r="B178" s="23"/>
      <c r="C178" s="4"/>
      <c r="D178" s="4"/>
      <c r="E178" s="5"/>
      <c r="F178" s="4"/>
      <c r="G178" s="4"/>
      <c r="H178" s="4"/>
      <c r="I178" s="4"/>
      <c r="J178" s="4"/>
      <c r="K178" s="4"/>
      <c r="L178" s="4"/>
      <c r="M178" s="4"/>
      <c r="N178" s="4"/>
      <c r="O178" s="4"/>
      <c r="P178" s="4"/>
      <c r="Q178" s="4"/>
      <c r="R178" s="4"/>
    </row>
    <row r="179" spans="1:18" ht="17.399999999999999" x14ac:dyDescent="0.25">
      <c r="A179" s="4"/>
      <c r="B179" s="23"/>
      <c r="C179" s="4"/>
      <c r="D179" s="4"/>
      <c r="E179" s="5"/>
      <c r="F179" s="4"/>
      <c r="G179" s="4"/>
      <c r="H179" s="4"/>
      <c r="I179" s="4"/>
      <c r="J179" s="4"/>
      <c r="K179" s="4"/>
      <c r="L179" s="4"/>
      <c r="M179" s="4"/>
      <c r="N179" s="4"/>
      <c r="O179" s="4"/>
      <c r="P179" s="4"/>
      <c r="Q179" s="4"/>
      <c r="R179" s="4"/>
    </row>
    <row r="180" spans="1:18" ht="17.399999999999999" x14ac:dyDescent="0.25">
      <c r="A180" s="4"/>
      <c r="B180" s="23"/>
      <c r="C180" s="4"/>
      <c r="D180" s="4"/>
      <c r="E180" s="5"/>
      <c r="F180" s="4"/>
      <c r="G180" s="4"/>
      <c r="H180" s="4"/>
      <c r="I180" s="4"/>
      <c r="J180" s="4"/>
      <c r="K180" s="4"/>
      <c r="L180" s="4"/>
      <c r="M180" s="4"/>
      <c r="N180" s="4"/>
      <c r="O180" s="4"/>
      <c r="P180" s="4"/>
      <c r="Q180" s="4"/>
      <c r="R180" s="4"/>
    </row>
    <row r="181" spans="1:18" ht="17.399999999999999" x14ac:dyDescent="0.25">
      <c r="A181" s="4"/>
      <c r="B181" s="23"/>
      <c r="C181" s="4"/>
      <c r="D181" s="4"/>
      <c r="E181" s="5"/>
      <c r="F181" s="4"/>
      <c r="G181" s="4"/>
      <c r="H181" s="4"/>
      <c r="I181" s="4"/>
      <c r="J181" s="4"/>
      <c r="K181" s="4"/>
      <c r="L181" s="4"/>
      <c r="M181" s="4"/>
      <c r="N181" s="4"/>
      <c r="O181" s="4"/>
      <c r="P181" s="4"/>
      <c r="Q181" s="4"/>
      <c r="R181" s="4"/>
    </row>
    <row r="182" spans="1:18" ht="17.399999999999999" x14ac:dyDescent="0.25">
      <c r="A182" s="4"/>
      <c r="B182" s="23"/>
      <c r="C182" s="4"/>
      <c r="D182" s="4"/>
      <c r="E182" s="5"/>
      <c r="F182" s="4"/>
      <c r="G182" s="4"/>
      <c r="H182" s="4"/>
      <c r="I182" s="4"/>
      <c r="J182" s="4"/>
      <c r="K182" s="4"/>
      <c r="L182" s="4"/>
      <c r="M182" s="4"/>
      <c r="N182" s="4"/>
      <c r="O182" s="4"/>
      <c r="P182" s="4"/>
      <c r="Q182" s="4"/>
      <c r="R182" s="4"/>
    </row>
    <row r="183" spans="1:18" ht="17.399999999999999" x14ac:dyDescent="0.25">
      <c r="A183" s="4"/>
      <c r="B183" s="23"/>
      <c r="C183" s="4"/>
      <c r="D183" s="4"/>
      <c r="E183" s="5"/>
      <c r="F183" s="4"/>
      <c r="G183" s="4"/>
      <c r="H183" s="4"/>
      <c r="I183" s="4"/>
      <c r="J183" s="4"/>
      <c r="K183" s="4"/>
      <c r="L183" s="4"/>
      <c r="M183" s="4"/>
      <c r="N183" s="4"/>
      <c r="O183" s="4"/>
      <c r="P183" s="4"/>
      <c r="Q183" s="4"/>
      <c r="R183" s="4"/>
    </row>
    <row r="184" spans="1:18" ht="17.399999999999999" x14ac:dyDescent="0.25">
      <c r="A184" s="4"/>
      <c r="B184" s="23"/>
      <c r="C184" s="4"/>
      <c r="D184" s="4"/>
      <c r="E184" s="5"/>
      <c r="F184" s="4"/>
      <c r="G184" s="4"/>
      <c r="H184" s="4"/>
      <c r="I184" s="4"/>
      <c r="J184" s="4"/>
      <c r="K184" s="4"/>
      <c r="L184" s="4"/>
      <c r="M184" s="4"/>
      <c r="N184" s="4"/>
      <c r="O184" s="4"/>
      <c r="P184" s="4"/>
      <c r="Q184" s="4"/>
      <c r="R184" s="4"/>
    </row>
    <row r="185" spans="1:18" ht="17.399999999999999" x14ac:dyDescent="0.25">
      <c r="A185" s="4"/>
      <c r="B185" s="23"/>
      <c r="C185" s="4"/>
      <c r="D185" s="4"/>
      <c r="E185" s="5"/>
      <c r="F185" s="4"/>
      <c r="G185" s="4"/>
      <c r="H185" s="4"/>
      <c r="I185" s="4"/>
      <c r="J185" s="4"/>
      <c r="K185" s="4"/>
      <c r="L185" s="4"/>
      <c r="M185" s="4"/>
      <c r="N185" s="4"/>
      <c r="O185" s="4"/>
      <c r="P185" s="4"/>
      <c r="Q185" s="4"/>
      <c r="R185" s="4"/>
    </row>
    <row r="186" spans="1:18" ht="17.399999999999999" x14ac:dyDescent="0.25">
      <c r="A186" s="4"/>
      <c r="B186" s="23"/>
      <c r="C186" s="4"/>
      <c r="D186" s="4"/>
      <c r="E186" s="5"/>
      <c r="F186" s="4"/>
      <c r="G186" s="4"/>
      <c r="H186" s="4"/>
      <c r="I186" s="4"/>
      <c r="J186" s="4"/>
      <c r="K186" s="4"/>
      <c r="L186" s="4"/>
      <c r="M186" s="4"/>
      <c r="N186" s="4"/>
      <c r="O186" s="4"/>
      <c r="P186" s="4"/>
      <c r="Q186" s="4"/>
      <c r="R186" s="4"/>
    </row>
    <row r="187" spans="1:18" ht="17.399999999999999" x14ac:dyDescent="0.25">
      <c r="A187" s="4"/>
      <c r="B187" s="23"/>
      <c r="C187" s="4"/>
      <c r="D187" s="4"/>
      <c r="E187" s="5"/>
      <c r="F187" s="4"/>
      <c r="G187" s="4"/>
      <c r="H187" s="4"/>
      <c r="I187" s="4"/>
      <c r="J187" s="4"/>
      <c r="K187" s="4"/>
      <c r="L187" s="4"/>
      <c r="M187" s="4"/>
      <c r="N187" s="4"/>
      <c r="O187" s="4"/>
      <c r="P187" s="4"/>
      <c r="Q187" s="4"/>
      <c r="R187" s="4"/>
    </row>
    <row r="188" spans="1:18" ht="17.399999999999999" x14ac:dyDescent="0.25">
      <c r="A188" s="4"/>
      <c r="B188" s="23"/>
      <c r="C188" s="4"/>
      <c r="D188" s="4"/>
      <c r="E188" s="5"/>
      <c r="F188" s="4"/>
      <c r="G188" s="4"/>
      <c r="H188" s="4"/>
      <c r="I188" s="4"/>
      <c r="J188" s="4"/>
      <c r="K188" s="4"/>
      <c r="L188" s="4"/>
      <c r="M188" s="4"/>
      <c r="N188" s="4"/>
      <c r="O188" s="4"/>
      <c r="P188" s="4"/>
      <c r="Q188" s="4"/>
      <c r="R188" s="4"/>
    </row>
    <row r="189" spans="1:18" ht="17.399999999999999" x14ac:dyDescent="0.25">
      <c r="A189" s="4"/>
      <c r="B189" s="23"/>
      <c r="C189" s="4"/>
      <c r="D189" s="4"/>
      <c r="E189" s="5"/>
      <c r="F189" s="4"/>
      <c r="G189" s="4"/>
      <c r="H189" s="4"/>
      <c r="I189" s="4"/>
      <c r="J189" s="4"/>
      <c r="K189" s="4"/>
      <c r="L189" s="4"/>
      <c r="M189" s="4"/>
      <c r="N189" s="4"/>
      <c r="O189" s="4"/>
      <c r="P189" s="4"/>
      <c r="Q189" s="4"/>
      <c r="R189" s="4"/>
    </row>
    <row r="190" spans="1:18" ht="17.399999999999999" x14ac:dyDescent="0.25">
      <c r="A190" s="4"/>
      <c r="B190" s="23"/>
      <c r="C190" s="4"/>
      <c r="D190" s="4"/>
      <c r="E190" s="5"/>
      <c r="F190" s="4"/>
      <c r="G190" s="4"/>
      <c r="H190" s="4"/>
      <c r="I190" s="4"/>
      <c r="J190" s="4"/>
      <c r="K190" s="4"/>
      <c r="L190" s="4"/>
      <c r="M190" s="4"/>
      <c r="N190" s="4"/>
      <c r="O190" s="4"/>
      <c r="P190" s="4"/>
      <c r="Q190" s="4"/>
      <c r="R190" s="4"/>
    </row>
    <row r="191" spans="1:18" ht="17.399999999999999" x14ac:dyDescent="0.25">
      <c r="A191" s="4"/>
      <c r="B191" s="23"/>
      <c r="C191" s="4"/>
      <c r="D191" s="4"/>
      <c r="E191" s="5"/>
      <c r="F191" s="4"/>
      <c r="G191" s="4"/>
      <c r="H191" s="4"/>
      <c r="I191" s="4"/>
      <c r="J191" s="4"/>
      <c r="K191" s="4"/>
      <c r="L191" s="4"/>
      <c r="M191" s="4"/>
      <c r="N191" s="4"/>
      <c r="O191" s="4"/>
      <c r="P191" s="4"/>
      <c r="Q191" s="4"/>
      <c r="R191" s="4"/>
    </row>
    <row r="192" spans="1:18" ht="17.399999999999999" x14ac:dyDescent="0.25">
      <c r="A192" s="4"/>
      <c r="B192" s="23"/>
      <c r="C192" s="4"/>
      <c r="D192" s="4"/>
      <c r="E192" s="5"/>
      <c r="F192" s="4"/>
      <c r="G192" s="4"/>
      <c r="H192" s="4"/>
      <c r="I192" s="4"/>
      <c r="J192" s="4"/>
      <c r="K192" s="4"/>
      <c r="L192" s="4"/>
      <c r="M192" s="4"/>
      <c r="N192" s="4"/>
      <c r="O192" s="4"/>
      <c r="P192" s="4"/>
      <c r="Q192" s="4"/>
      <c r="R192" s="4"/>
    </row>
    <row r="193" spans="1:18" ht="17.399999999999999" x14ac:dyDescent="0.25">
      <c r="A193" s="4"/>
      <c r="B193" s="23"/>
      <c r="C193" s="4"/>
      <c r="D193" s="4"/>
      <c r="E193" s="5"/>
      <c r="F193" s="4"/>
      <c r="G193" s="4"/>
      <c r="H193" s="4"/>
      <c r="I193" s="4"/>
      <c r="J193" s="4"/>
      <c r="K193" s="4"/>
      <c r="L193" s="4"/>
      <c r="M193" s="4"/>
      <c r="N193" s="4"/>
      <c r="O193" s="4"/>
      <c r="P193" s="4"/>
      <c r="Q193" s="4"/>
      <c r="R193" s="4"/>
    </row>
    <row r="194" spans="1:18" ht="17.399999999999999" x14ac:dyDescent="0.25">
      <c r="A194" s="4"/>
      <c r="B194" s="23"/>
      <c r="C194" s="4"/>
      <c r="D194" s="4"/>
      <c r="E194" s="5"/>
      <c r="F194" s="4"/>
      <c r="G194" s="4"/>
      <c r="H194" s="4"/>
      <c r="I194" s="4"/>
      <c r="J194" s="4"/>
      <c r="K194" s="4"/>
      <c r="L194" s="4"/>
      <c r="M194" s="4"/>
      <c r="N194" s="4"/>
      <c r="O194" s="4"/>
      <c r="P194" s="4"/>
      <c r="Q194" s="4"/>
      <c r="R194" s="4"/>
    </row>
    <row r="195" spans="1:18" ht="17.399999999999999" x14ac:dyDescent="0.25">
      <c r="A195" s="4"/>
      <c r="B195" s="23"/>
      <c r="C195" s="4"/>
      <c r="D195" s="4"/>
      <c r="E195" s="5"/>
      <c r="F195" s="4"/>
      <c r="G195" s="4"/>
      <c r="H195" s="4"/>
      <c r="I195" s="4"/>
      <c r="J195" s="4"/>
      <c r="K195" s="4"/>
      <c r="L195" s="4"/>
      <c r="M195" s="4"/>
      <c r="N195" s="4"/>
      <c r="O195" s="4"/>
      <c r="P195" s="4"/>
      <c r="Q195" s="4"/>
      <c r="R195" s="4"/>
    </row>
    <row r="196" spans="1:18" ht="17.399999999999999" x14ac:dyDescent="0.25">
      <c r="A196" s="4"/>
      <c r="B196" s="23"/>
      <c r="C196" s="4"/>
      <c r="D196" s="4"/>
      <c r="E196" s="5"/>
      <c r="F196" s="4"/>
      <c r="G196" s="4"/>
      <c r="H196" s="4"/>
      <c r="I196" s="4"/>
      <c r="J196" s="4"/>
      <c r="K196" s="4"/>
      <c r="L196" s="4"/>
      <c r="M196" s="4"/>
      <c r="N196" s="4"/>
      <c r="O196" s="4"/>
      <c r="P196" s="4"/>
      <c r="Q196" s="4"/>
      <c r="R196" s="4"/>
    </row>
    <row r="197" spans="1:18" ht="17.399999999999999" x14ac:dyDescent="0.25">
      <c r="A197" s="4"/>
      <c r="B197" s="23"/>
      <c r="C197" s="4"/>
      <c r="D197" s="4"/>
      <c r="E197" s="5"/>
      <c r="F197" s="4"/>
      <c r="G197" s="4"/>
      <c r="H197" s="4"/>
      <c r="I197" s="4"/>
      <c r="J197" s="4"/>
      <c r="K197" s="4"/>
      <c r="L197" s="4"/>
      <c r="M197" s="4"/>
      <c r="N197" s="4"/>
      <c r="O197" s="4"/>
      <c r="P197" s="4"/>
      <c r="Q197" s="4"/>
      <c r="R197" s="4"/>
    </row>
    <row r="198" spans="1:18" ht="17.399999999999999" x14ac:dyDescent="0.25">
      <c r="A198" s="4"/>
      <c r="B198" s="23"/>
      <c r="C198" s="4"/>
      <c r="D198" s="4"/>
      <c r="E198" s="5"/>
      <c r="F198" s="4"/>
      <c r="G198" s="4"/>
      <c r="H198" s="4"/>
      <c r="I198" s="4"/>
      <c r="J198" s="4"/>
      <c r="K198" s="4"/>
      <c r="L198" s="4"/>
      <c r="M198" s="4"/>
      <c r="N198" s="4"/>
      <c r="O198" s="4"/>
      <c r="P198" s="4"/>
      <c r="Q198" s="4"/>
      <c r="R198" s="4"/>
    </row>
    <row r="199" spans="1:18" ht="17.399999999999999" x14ac:dyDescent="0.25">
      <c r="A199" s="4"/>
      <c r="B199" s="23"/>
      <c r="C199" s="4"/>
      <c r="D199" s="4"/>
      <c r="E199" s="5"/>
      <c r="F199" s="4"/>
      <c r="G199" s="4"/>
      <c r="H199" s="4"/>
      <c r="I199" s="4"/>
      <c r="J199" s="4"/>
      <c r="K199" s="4"/>
      <c r="L199" s="4"/>
      <c r="M199" s="4"/>
      <c r="N199" s="4"/>
      <c r="O199" s="4"/>
      <c r="P199" s="4"/>
      <c r="Q199" s="4"/>
      <c r="R199" s="4"/>
    </row>
    <row r="200" spans="1:18" ht="17.399999999999999" x14ac:dyDescent="0.25">
      <c r="A200" s="4"/>
      <c r="B200" s="23"/>
      <c r="C200" s="4"/>
      <c r="D200" s="4"/>
      <c r="E200" s="5"/>
      <c r="F200" s="4"/>
      <c r="G200" s="4"/>
      <c r="H200" s="4"/>
      <c r="I200" s="4"/>
      <c r="J200" s="4"/>
      <c r="K200" s="4"/>
      <c r="L200" s="4"/>
      <c r="M200" s="4"/>
      <c r="N200" s="4"/>
      <c r="O200" s="4"/>
      <c r="P200" s="4"/>
      <c r="Q200" s="4"/>
      <c r="R200" s="4"/>
    </row>
    <row r="201" spans="1:18" ht="17.399999999999999" x14ac:dyDescent="0.25">
      <c r="A201" s="4"/>
      <c r="B201" s="23"/>
      <c r="C201" s="4"/>
      <c r="D201" s="4"/>
      <c r="E201" s="5"/>
      <c r="F201" s="4"/>
      <c r="G201" s="4"/>
      <c r="H201" s="4"/>
      <c r="I201" s="4"/>
      <c r="J201" s="4"/>
      <c r="K201" s="4"/>
      <c r="L201" s="4"/>
      <c r="M201" s="4"/>
      <c r="N201" s="4"/>
      <c r="O201" s="4"/>
      <c r="P201" s="4"/>
      <c r="Q201" s="4"/>
      <c r="R201" s="4"/>
    </row>
    <row r="202" spans="1:18" ht="17.399999999999999" x14ac:dyDescent="0.25">
      <c r="A202" s="4"/>
      <c r="B202" s="23"/>
      <c r="C202" s="4"/>
      <c r="D202" s="4"/>
      <c r="E202" s="5"/>
      <c r="F202" s="4"/>
      <c r="G202" s="4"/>
      <c r="H202" s="4"/>
      <c r="I202" s="4"/>
      <c r="J202" s="4"/>
      <c r="K202" s="4"/>
      <c r="L202" s="4"/>
      <c r="M202" s="4"/>
      <c r="N202" s="4"/>
      <c r="O202" s="4"/>
      <c r="P202" s="4"/>
      <c r="Q202" s="4"/>
      <c r="R202" s="4"/>
    </row>
    <row r="203" spans="1:18" ht="17.399999999999999" x14ac:dyDescent="0.25">
      <c r="A203" s="4"/>
      <c r="B203" s="23"/>
      <c r="C203" s="4"/>
      <c r="D203" s="4"/>
      <c r="E203" s="5"/>
      <c r="F203" s="4"/>
      <c r="G203" s="4"/>
      <c r="H203" s="4"/>
      <c r="I203" s="4"/>
      <c r="J203" s="4"/>
      <c r="K203" s="4"/>
      <c r="L203" s="4"/>
      <c r="M203" s="4"/>
      <c r="N203" s="4"/>
      <c r="O203" s="4"/>
      <c r="P203" s="4"/>
      <c r="Q203" s="4"/>
      <c r="R203" s="4"/>
    </row>
    <row r="204" spans="1:18" ht="17.399999999999999" x14ac:dyDescent="0.25">
      <c r="A204" s="4"/>
      <c r="B204" s="23"/>
      <c r="C204" s="4"/>
      <c r="D204" s="4"/>
      <c r="E204" s="5"/>
      <c r="F204" s="4"/>
      <c r="G204" s="4"/>
      <c r="H204" s="4"/>
      <c r="I204" s="4"/>
      <c r="J204" s="4"/>
      <c r="K204" s="4"/>
      <c r="L204" s="4"/>
      <c r="M204" s="4"/>
      <c r="N204" s="4"/>
      <c r="O204" s="4"/>
      <c r="P204" s="4"/>
      <c r="Q204" s="4"/>
      <c r="R204" s="4"/>
    </row>
    <row r="205" spans="1:18" ht="17.399999999999999" x14ac:dyDescent="0.25">
      <c r="A205" s="4"/>
      <c r="B205" s="23"/>
      <c r="C205" s="4"/>
      <c r="D205" s="4"/>
      <c r="E205" s="5"/>
      <c r="F205" s="4"/>
      <c r="G205" s="4"/>
      <c r="H205" s="4"/>
      <c r="I205" s="4"/>
      <c r="J205" s="4"/>
      <c r="K205" s="4"/>
      <c r="L205" s="4"/>
      <c r="M205" s="4"/>
      <c r="N205" s="4"/>
      <c r="O205" s="4"/>
      <c r="P205" s="4"/>
      <c r="Q205" s="4"/>
      <c r="R205" s="4"/>
    </row>
    <row r="206" spans="1:18" ht="17.399999999999999" x14ac:dyDescent="0.25">
      <c r="A206" s="4"/>
      <c r="B206" s="23"/>
      <c r="C206" s="4"/>
      <c r="D206" s="4"/>
      <c r="E206" s="5"/>
      <c r="F206" s="4"/>
      <c r="G206" s="4"/>
      <c r="H206" s="4"/>
      <c r="I206" s="4"/>
      <c r="J206" s="4"/>
      <c r="K206" s="4"/>
      <c r="L206" s="4"/>
      <c r="M206" s="4"/>
      <c r="N206" s="4"/>
      <c r="O206" s="4"/>
      <c r="P206" s="4"/>
      <c r="Q206" s="4"/>
      <c r="R206" s="4"/>
    </row>
    <row r="207" spans="1:18" ht="17.399999999999999" x14ac:dyDescent="0.25">
      <c r="A207" s="4"/>
      <c r="B207" s="23"/>
      <c r="C207" s="4"/>
      <c r="D207" s="4"/>
      <c r="E207" s="5"/>
      <c r="F207" s="4"/>
      <c r="G207" s="4"/>
      <c r="H207" s="4"/>
      <c r="I207" s="4"/>
      <c r="J207" s="4"/>
      <c r="K207" s="4"/>
      <c r="L207" s="4"/>
      <c r="M207" s="4"/>
      <c r="N207" s="4"/>
      <c r="O207" s="4"/>
      <c r="P207" s="4"/>
      <c r="Q207" s="4"/>
      <c r="R207" s="4"/>
    </row>
    <row r="208" spans="1:18" ht="17.399999999999999" x14ac:dyDescent="0.25">
      <c r="A208" s="4"/>
      <c r="B208" s="23"/>
      <c r="C208" s="4"/>
      <c r="D208" s="4"/>
      <c r="E208" s="5"/>
      <c r="F208" s="4"/>
      <c r="G208" s="4"/>
      <c r="H208" s="4"/>
      <c r="I208" s="4"/>
      <c r="J208" s="4"/>
      <c r="K208" s="4"/>
      <c r="L208" s="4"/>
      <c r="M208" s="4"/>
      <c r="N208" s="4"/>
      <c r="O208" s="4"/>
      <c r="P208" s="4"/>
      <c r="Q208" s="4"/>
      <c r="R208" s="4"/>
    </row>
    <row r="209" spans="1:18" ht="17.399999999999999" x14ac:dyDescent="0.25">
      <c r="A209" s="4"/>
      <c r="B209" s="23"/>
      <c r="C209" s="4"/>
      <c r="D209" s="4"/>
      <c r="E209" s="5"/>
      <c r="F209" s="4"/>
      <c r="G209" s="4"/>
      <c r="H209" s="4"/>
      <c r="I209" s="4"/>
      <c r="J209" s="4"/>
      <c r="K209" s="4"/>
      <c r="L209" s="4"/>
      <c r="M209" s="4"/>
      <c r="N209" s="4"/>
      <c r="O209" s="4"/>
      <c r="P209" s="4"/>
      <c r="Q209" s="4"/>
      <c r="R209" s="4"/>
    </row>
    <row r="210" spans="1:18" ht="17.399999999999999" x14ac:dyDescent="0.25">
      <c r="A210" s="4"/>
      <c r="B210" s="23"/>
      <c r="C210" s="4"/>
      <c r="D210" s="4"/>
      <c r="E210" s="5"/>
      <c r="F210" s="4"/>
      <c r="G210" s="4"/>
      <c r="H210" s="4"/>
      <c r="I210" s="4"/>
      <c r="J210" s="4"/>
      <c r="K210" s="4"/>
      <c r="L210" s="4"/>
      <c r="M210" s="4"/>
      <c r="N210" s="4"/>
      <c r="O210" s="4"/>
      <c r="P210" s="4"/>
      <c r="Q210" s="4"/>
      <c r="R210" s="4"/>
    </row>
    <row r="211" spans="1:18" ht="17.399999999999999" x14ac:dyDescent="0.25">
      <c r="A211" s="4"/>
      <c r="B211" s="23"/>
      <c r="C211" s="4"/>
      <c r="D211" s="4"/>
      <c r="E211" s="5"/>
      <c r="F211" s="4"/>
      <c r="G211" s="4"/>
      <c r="H211" s="4"/>
      <c r="I211" s="4"/>
      <c r="J211" s="4"/>
      <c r="K211" s="4"/>
      <c r="L211" s="4"/>
      <c r="M211" s="4"/>
      <c r="N211" s="4"/>
      <c r="O211" s="4"/>
      <c r="P211" s="4"/>
      <c r="Q211" s="4"/>
      <c r="R211" s="4"/>
    </row>
    <row r="212" spans="1:18" ht="17.399999999999999" x14ac:dyDescent="0.25">
      <c r="A212" s="4"/>
      <c r="B212" s="23"/>
      <c r="C212" s="4"/>
      <c r="D212" s="4"/>
      <c r="E212" s="5"/>
      <c r="F212" s="4"/>
      <c r="G212" s="4"/>
      <c r="H212" s="4"/>
      <c r="I212" s="4"/>
      <c r="J212" s="4"/>
      <c r="K212" s="4"/>
      <c r="L212" s="4"/>
      <c r="M212" s="4"/>
      <c r="N212" s="4"/>
      <c r="O212" s="4"/>
      <c r="P212" s="4"/>
      <c r="Q212" s="4"/>
      <c r="R212" s="4"/>
    </row>
    <row r="213" spans="1:18" ht="17.399999999999999" x14ac:dyDescent="0.25">
      <c r="A213" s="4"/>
      <c r="B213" s="23"/>
      <c r="C213" s="4"/>
      <c r="D213" s="4"/>
      <c r="E213" s="5"/>
      <c r="F213" s="4"/>
      <c r="G213" s="4"/>
      <c r="H213" s="4"/>
      <c r="I213" s="4"/>
      <c r="J213" s="4"/>
      <c r="K213" s="4"/>
      <c r="L213" s="4"/>
      <c r="M213" s="4"/>
      <c r="N213" s="4"/>
      <c r="O213" s="4"/>
      <c r="P213" s="4"/>
      <c r="Q213" s="4"/>
      <c r="R213" s="4"/>
    </row>
    <row r="214" spans="1:18" ht="17.399999999999999" x14ac:dyDescent="0.25">
      <c r="A214" s="4"/>
      <c r="B214" s="23"/>
      <c r="C214" s="4"/>
      <c r="D214" s="4"/>
      <c r="E214" s="5"/>
      <c r="F214" s="4"/>
      <c r="G214" s="4"/>
      <c r="H214" s="4"/>
      <c r="I214" s="4"/>
      <c r="J214" s="4"/>
      <c r="K214" s="4"/>
      <c r="L214" s="4"/>
      <c r="M214" s="4"/>
      <c r="N214" s="4"/>
      <c r="O214" s="4"/>
      <c r="P214" s="4"/>
      <c r="Q214" s="4"/>
      <c r="R214" s="4"/>
    </row>
    <row r="215" spans="1:18" ht="17.399999999999999" x14ac:dyDescent="0.25">
      <c r="A215" s="4"/>
      <c r="B215" s="23"/>
      <c r="C215" s="4"/>
      <c r="D215" s="4"/>
      <c r="E215" s="5"/>
      <c r="F215" s="4"/>
      <c r="G215" s="4"/>
      <c r="H215" s="4"/>
      <c r="I215" s="4"/>
      <c r="J215" s="4"/>
      <c r="K215" s="4"/>
      <c r="L215" s="4"/>
      <c r="M215" s="4"/>
      <c r="N215" s="4"/>
      <c r="O215" s="4"/>
      <c r="P215" s="4"/>
      <c r="Q215" s="4"/>
      <c r="R215" s="4"/>
    </row>
    <row r="216" spans="1:18" ht="17.399999999999999" x14ac:dyDescent="0.25">
      <c r="A216" s="4"/>
      <c r="B216" s="23"/>
      <c r="C216" s="4"/>
      <c r="D216" s="4"/>
      <c r="E216" s="5"/>
      <c r="F216" s="4"/>
      <c r="G216" s="4"/>
      <c r="H216" s="4"/>
      <c r="I216" s="4"/>
      <c r="J216" s="4"/>
      <c r="K216" s="4"/>
      <c r="L216" s="4"/>
      <c r="M216" s="4"/>
      <c r="N216" s="4"/>
      <c r="O216" s="4"/>
      <c r="P216" s="4"/>
      <c r="Q216" s="4"/>
      <c r="R216" s="4"/>
    </row>
    <row r="217" spans="1:18" ht="17.399999999999999" x14ac:dyDescent="0.25">
      <c r="A217" s="4"/>
      <c r="B217" s="23"/>
      <c r="C217" s="4"/>
      <c r="D217" s="4"/>
      <c r="E217" s="5"/>
      <c r="F217" s="4"/>
      <c r="G217" s="4"/>
      <c r="H217" s="4"/>
      <c r="I217" s="4"/>
      <c r="J217" s="4"/>
      <c r="K217" s="4"/>
      <c r="L217" s="4"/>
      <c r="M217" s="4"/>
      <c r="N217" s="4"/>
      <c r="O217" s="4"/>
      <c r="P217" s="4"/>
      <c r="Q217" s="4"/>
      <c r="R217" s="4"/>
    </row>
    <row r="218" spans="1:18" ht="17.399999999999999" x14ac:dyDescent="0.25">
      <c r="A218" s="4"/>
      <c r="B218" s="23"/>
      <c r="C218" s="4"/>
      <c r="D218" s="4"/>
      <c r="E218" s="5"/>
      <c r="F218" s="4"/>
      <c r="G218" s="4"/>
      <c r="H218" s="4"/>
      <c r="I218" s="4"/>
      <c r="J218" s="4"/>
      <c r="K218" s="4"/>
      <c r="L218" s="4"/>
      <c r="M218" s="4"/>
      <c r="N218" s="4"/>
      <c r="O218" s="4"/>
      <c r="P218" s="4"/>
      <c r="Q218" s="4"/>
      <c r="R218" s="4"/>
    </row>
    <row r="219" spans="1:18" ht="17.399999999999999" x14ac:dyDescent="0.25">
      <c r="A219" s="4"/>
      <c r="B219" s="23"/>
      <c r="C219" s="4"/>
      <c r="D219" s="4"/>
      <c r="E219" s="5"/>
      <c r="F219" s="4"/>
      <c r="G219" s="4"/>
      <c r="H219" s="4"/>
      <c r="I219" s="4"/>
      <c r="J219" s="4"/>
      <c r="K219" s="4"/>
      <c r="L219" s="4"/>
      <c r="M219" s="4"/>
      <c r="N219" s="4"/>
      <c r="O219" s="4"/>
      <c r="P219" s="4"/>
      <c r="Q219" s="4"/>
      <c r="R219" s="4"/>
    </row>
    <row r="220" spans="1:18" ht="17.399999999999999" x14ac:dyDescent="0.25">
      <c r="A220" s="4"/>
      <c r="B220" s="23"/>
      <c r="C220" s="4"/>
      <c r="D220" s="4"/>
      <c r="E220" s="5"/>
      <c r="F220" s="4"/>
      <c r="G220" s="4"/>
      <c r="H220" s="4"/>
      <c r="I220" s="4"/>
      <c r="J220" s="4"/>
      <c r="K220" s="4"/>
      <c r="L220" s="4"/>
      <c r="M220" s="4"/>
      <c r="N220" s="4"/>
      <c r="O220" s="4"/>
      <c r="P220" s="4"/>
      <c r="Q220" s="4"/>
      <c r="R220" s="4"/>
    </row>
    <row r="221" spans="1:18" ht="17.399999999999999" x14ac:dyDescent="0.25">
      <c r="A221" s="4"/>
      <c r="B221" s="23"/>
      <c r="C221" s="4"/>
      <c r="D221" s="4"/>
      <c r="E221" s="5"/>
      <c r="F221" s="4"/>
      <c r="G221" s="4"/>
      <c r="H221" s="4"/>
      <c r="I221" s="4"/>
      <c r="J221" s="4"/>
      <c r="K221" s="4"/>
      <c r="L221" s="4"/>
      <c r="M221" s="4"/>
      <c r="N221" s="4"/>
      <c r="O221" s="4"/>
      <c r="P221" s="4"/>
      <c r="Q221" s="4"/>
      <c r="R221" s="4"/>
    </row>
    <row r="222" spans="1:18" ht="17.399999999999999" x14ac:dyDescent="0.25">
      <c r="A222" s="4"/>
      <c r="B222" s="23"/>
      <c r="C222" s="4"/>
      <c r="D222" s="4"/>
      <c r="E222" s="5"/>
      <c r="F222" s="4"/>
      <c r="G222" s="4"/>
      <c r="H222" s="4"/>
      <c r="I222" s="4"/>
      <c r="J222" s="4"/>
      <c r="K222" s="4"/>
      <c r="L222" s="4"/>
      <c r="M222" s="4"/>
      <c r="N222" s="4"/>
      <c r="O222" s="4"/>
      <c r="P222" s="4"/>
      <c r="Q222" s="4"/>
      <c r="R222" s="4"/>
    </row>
    <row r="223" spans="1:18" ht="17.399999999999999" x14ac:dyDescent="0.25">
      <c r="A223" s="4"/>
      <c r="B223" s="23"/>
      <c r="C223" s="4"/>
      <c r="D223" s="4"/>
      <c r="E223" s="5"/>
      <c r="F223" s="4"/>
      <c r="G223" s="4"/>
      <c r="H223" s="4"/>
      <c r="I223" s="4"/>
      <c r="J223" s="4"/>
      <c r="K223" s="4"/>
      <c r="L223" s="4"/>
      <c r="M223" s="4"/>
      <c r="N223" s="4"/>
      <c r="O223" s="4"/>
      <c r="P223" s="4"/>
      <c r="Q223" s="4"/>
      <c r="R223" s="4"/>
    </row>
    <row r="224" spans="1:18" ht="17.399999999999999" x14ac:dyDescent="0.25">
      <c r="A224" s="4"/>
      <c r="B224" s="23"/>
      <c r="C224" s="4"/>
      <c r="D224" s="4"/>
      <c r="E224" s="5"/>
      <c r="F224" s="4"/>
      <c r="G224" s="4"/>
      <c r="H224" s="4"/>
      <c r="I224" s="4"/>
      <c r="J224" s="4"/>
      <c r="K224" s="4"/>
      <c r="L224" s="4"/>
      <c r="M224" s="4"/>
      <c r="N224" s="4"/>
      <c r="O224" s="4"/>
      <c r="P224" s="4"/>
      <c r="Q224" s="4"/>
      <c r="R224" s="4"/>
    </row>
    <row r="225" spans="1:18" ht="17.399999999999999" x14ac:dyDescent="0.25">
      <c r="A225" s="4"/>
      <c r="B225" s="23"/>
      <c r="C225" s="4"/>
      <c r="D225" s="4"/>
      <c r="E225" s="5"/>
      <c r="F225" s="4"/>
      <c r="G225" s="4"/>
      <c r="H225" s="4"/>
      <c r="I225" s="4"/>
      <c r="J225" s="4"/>
      <c r="K225" s="4"/>
      <c r="L225" s="4"/>
      <c r="M225" s="4"/>
      <c r="N225" s="4"/>
      <c r="O225" s="4"/>
      <c r="P225" s="4"/>
      <c r="Q225" s="4"/>
      <c r="R225" s="4"/>
    </row>
    <row r="226" spans="1:18" ht="17.399999999999999" x14ac:dyDescent="0.25">
      <c r="A226" s="4"/>
      <c r="B226" s="23"/>
      <c r="C226" s="4"/>
      <c r="D226" s="4"/>
      <c r="E226" s="5"/>
      <c r="F226" s="4"/>
      <c r="G226" s="4"/>
      <c r="H226" s="4"/>
      <c r="I226" s="4"/>
      <c r="J226" s="4"/>
      <c r="K226" s="4"/>
      <c r="L226" s="4"/>
      <c r="M226" s="4"/>
      <c r="N226" s="4"/>
      <c r="O226" s="4"/>
      <c r="P226" s="4"/>
      <c r="Q226" s="4"/>
      <c r="R226" s="4"/>
    </row>
    <row r="227" spans="1:18" ht="17.399999999999999" x14ac:dyDescent="0.25">
      <c r="A227" s="4"/>
      <c r="B227" s="23"/>
      <c r="C227" s="4"/>
      <c r="D227" s="4"/>
      <c r="E227" s="5"/>
      <c r="F227" s="4"/>
      <c r="G227" s="4"/>
      <c r="H227" s="4"/>
      <c r="I227" s="4"/>
      <c r="J227" s="4"/>
      <c r="K227" s="4"/>
      <c r="L227" s="4"/>
      <c r="M227" s="4"/>
      <c r="N227" s="4"/>
      <c r="O227" s="4"/>
      <c r="P227" s="4"/>
      <c r="Q227" s="4"/>
      <c r="R227" s="4"/>
    </row>
    <row r="228" spans="1:18" ht="17.399999999999999" x14ac:dyDescent="0.25">
      <c r="A228" s="4"/>
      <c r="B228" s="23"/>
      <c r="C228" s="4"/>
      <c r="D228" s="4"/>
      <c r="E228" s="5"/>
      <c r="F228" s="4"/>
      <c r="G228" s="4"/>
      <c r="H228" s="4"/>
      <c r="I228" s="4"/>
      <c r="J228" s="4"/>
      <c r="K228" s="4"/>
      <c r="L228" s="4"/>
      <c r="M228" s="4"/>
      <c r="N228" s="4"/>
      <c r="O228" s="4"/>
      <c r="P228" s="4"/>
      <c r="Q228" s="4"/>
      <c r="R228" s="4"/>
    </row>
    <row r="229" spans="1:18" ht="17.399999999999999" x14ac:dyDescent="0.25">
      <c r="A229" s="4"/>
      <c r="B229" s="23"/>
      <c r="C229" s="4"/>
      <c r="D229" s="4"/>
      <c r="E229" s="5"/>
      <c r="F229" s="4"/>
      <c r="G229" s="4"/>
      <c r="H229" s="4"/>
      <c r="I229" s="4"/>
      <c r="J229" s="4"/>
      <c r="K229" s="4"/>
      <c r="L229" s="4"/>
      <c r="M229" s="4"/>
      <c r="N229" s="4"/>
      <c r="O229" s="4"/>
      <c r="P229" s="4"/>
      <c r="Q229" s="4"/>
      <c r="R229" s="4"/>
    </row>
    <row r="230" spans="1:18" ht="17.399999999999999" x14ac:dyDescent="0.25">
      <c r="A230" s="4"/>
      <c r="B230" s="23"/>
      <c r="C230" s="4"/>
      <c r="D230" s="4"/>
      <c r="E230" s="5"/>
      <c r="F230" s="4"/>
      <c r="G230" s="4"/>
      <c r="H230" s="4"/>
      <c r="I230" s="4"/>
      <c r="J230" s="4"/>
      <c r="K230" s="4"/>
      <c r="L230" s="4"/>
      <c r="M230" s="4"/>
      <c r="N230" s="4"/>
      <c r="O230" s="4"/>
      <c r="P230" s="4"/>
      <c r="Q230" s="4"/>
      <c r="R230" s="4"/>
    </row>
    <row r="231" spans="1:18" ht="17.399999999999999" x14ac:dyDescent="0.25">
      <c r="A231" s="4"/>
      <c r="B231" s="23"/>
      <c r="C231" s="4"/>
      <c r="D231" s="4"/>
      <c r="E231" s="5"/>
      <c r="F231" s="4"/>
      <c r="G231" s="4"/>
      <c r="H231" s="4"/>
      <c r="I231" s="4"/>
      <c r="J231" s="4"/>
      <c r="K231" s="4"/>
      <c r="L231" s="4"/>
      <c r="M231" s="4"/>
      <c r="N231" s="4"/>
      <c r="O231" s="4"/>
      <c r="P231" s="4"/>
      <c r="Q231" s="4"/>
      <c r="R231" s="4"/>
    </row>
    <row r="232" spans="1:18" ht="17.399999999999999" x14ac:dyDescent="0.25">
      <c r="A232" s="4"/>
      <c r="B232" s="23"/>
      <c r="C232" s="4"/>
      <c r="D232" s="4"/>
      <c r="E232" s="5"/>
      <c r="F232" s="4"/>
      <c r="G232" s="4"/>
      <c r="H232" s="4"/>
      <c r="I232" s="4"/>
      <c r="J232" s="4"/>
      <c r="K232" s="4"/>
      <c r="L232" s="4"/>
      <c r="M232" s="4"/>
      <c r="N232" s="4"/>
      <c r="O232" s="4"/>
      <c r="P232" s="4"/>
      <c r="Q232" s="4"/>
      <c r="R232" s="4"/>
    </row>
    <row r="233" spans="1:18" ht="17.399999999999999" x14ac:dyDescent="0.25">
      <c r="A233" s="4"/>
      <c r="B233" s="23"/>
      <c r="C233" s="4"/>
      <c r="D233" s="4"/>
      <c r="E233" s="5"/>
      <c r="F233" s="4"/>
      <c r="G233" s="4"/>
      <c r="H233" s="4"/>
      <c r="I233" s="4"/>
      <c r="J233" s="4"/>
      <c r="K233" s="4"/>
      <c r="L233" s="4"/>
      <c r="M233" s="4"/>
      <c r="N233" s="4"/>
      <c r="O233" s="4"/>
      <c r="P233" s="4"/>
      <c r="Q233" s="4"/>
      <c r="R233" s="4"/>
    </row>
    <row r="234" spans="1:18" ht="17.399999999999999" x14ac:dyDescent="0.25">
      <c r="A234" s="4"/>
      <c r="B234" s="23"/>
      <c r="C234" s="4"/>
      <c r="D234" s="4"/>
      <c r="E234" s="5"/>
      <c r="F234" s="4"/>
      <c r="G234" s="4"/>
      <c r="H234" s="4"/>
      <c r="I234" s="4"/>
      <c r="J234" s="4"/>
      <c r="K234" s="4"/>
      <c r="L234" s="4"/>
      <c r="M234" s="4"/>
      <c r="N234" s="4"/>
      <c r="O234" s="4"/>
      <c r="P234" s="4"/>
      <c r="Q234" s="4"/>
      <c r="R234" s="4"/>
    </row>
    <row r="235" spans="1:18" ht="17.399999999999999" x14ac:dyDescent="0.25">
      <c r="A235" s="4"/>
      <c r="B235" s="23"/>
      <c r="C235" s="4"/>
      <c r="D235" s="4"/>
      <c r="E235" s="5"/>
      <c r="F235" s="4"/>
      <c r="G235" s="4"/>
      <c r="H235" s="4"/>
      <c r="I235" s="4"/>
      <c r="J235" s="4"/>
      <c r="K235" s="4"/>
      <c r="L235" s="4"/>
      <c r="M235" s="4"/>
      <c r="N235" s="4"/>
      <c r="O235" s="4"/>
      <c r="P235" s="4"/>
      <c r="Q235" s="4"/>
      <c r="R235" s="4"/>
    </row>
    <row r="236" spans="1:18" ht="17.399999999999999" x14ac:dyDescent="0.25">
      <c r="A236" s="4"/>
      <c r="B236" s="23"/>
      <c r="C236" s="4"/>
      <c r="D236" s="4"/>
      <c r="E236" s="5"/>
      <c r="F236" s="4"/>
      <c r="G236" s="4"/>
      <c r="H236" s="4"/>
      <c r="I236" s="4"/>
      <c r="J236" s="4"/>
      <c r="K236" s="4"/>
      <c r="L236" s="4"/>
      <c r="M236" s="4"/>
      <c r="N236" s="4"/>
      <c r="O236" s="4"/>
      <c r="P236" s="4"/>
      <c r="Q236" s="4"/>
      <c r="R236" s="4"/>
    </row>
    <row r="237" spans="1:18" ht="17.399999999999999" x14ac:dyDescent="0.25">
      <c r="A237" s="4"/>
      <c r="B237" s="23"/>
      <c r="C237" s="4"/>
      <c r="D237" s="4"/>
      <c r="E237" s="5"/>
      <c r="F237" s="4"/>
      <c r="G237" s="4"/>
      <c r="H237" s="4"/>
      <c r="I237" s="4"/>
      <c r="J237" s="4"/>
      <c r="K237" s="4"/>
      <c r="L237" s="4"/>
      <c r="M237" s="4"/>
      <c r="N237" s="4"/>
      <c r="O237" s="4"/>
      <c r="P237" s="4"/>
      <c r="Q237" s="4"/>
      <c r="R237" s="4"/>
    </row>
    <row r="238" spans="1:18" ht="17.399999999999999" x14ac:dyDescent="0.25">
      <c r="A238" s="4"/>
      <c r="B238" s="23"/>
      <c r="C238" s="4"/>
      <c r="D238" s="4"/>
      <c r="E238" s="5"/>
      <c r="F238" s="4"/>
      <c r="G238" s="4"/>
      <c r="H238" s="4"/>
      <c r="I238" s="4"/>
      <c r="J238" s="4"/>
      <c r="K238" s="4"/>
      <c r="L238" s="4"/>
      <c r="M238" s="4"/>
      <c r="N238" s="4"/>
      <c r="O238" s="4"/>
      <c r="P238" s="4"/>
      <c r="Q238" s="4"/>
      <c r="R238" s="4"/>
    </row>
    <row r="239" spans="1:18" ht="17.399999999999999" x14ac:dyDescent="0.25">
      <c r="A239" s="4"/>
      <c r="B239" s="23"/>
      <c r="C239" s="4"/>
      <c r="D239" s="4"/>
      <c r="E239" s="5"/>
      <c r="F239" s="4"/>
      <c r="G239" s="4"/>
      <c r="H239" s="4"/>
      <c r="I239" s="4"/>
      <c r="J239" s="4"/>
      <c r="K239" s="4"/>
      <c r="L239" s="4"/>
      <c r="M239" s="4"/>
      <c r="N239" s="4"/>
      <c r="O239" s="4"/>
      <c r="P239" s="4"/>
      <c r="Q239" s="4"/>
      <c r="R239" s="4"/>
    </row>
    <row r="240" spans="1:18" ht="17.399999999999999" x14ac:dyDescent="0.25">
      <c r="A240" s="4"/>
      <c r="B240" s="23"/>
      <c r="C240" s="4"/>
      <c r="D240" s="4"/>
      <c r="E240" s="5"/>
      <c r="F240" s="4"/>
      <c r="G240" s="4"/>
      <c r="H240" s="4"/>
      <c r="I240" s="4"/>
      <c r="J240" s="4"/>
      <c r="K240" s="4"/>
      <c r="L240" s="4"/>
      <c r="M240" s="4"/>
      <c r="N240" s="4"/>
      <c r="O240" s="4"/>
      <c r="P240" s="4"/>
      <c r="Q240" s="4"/>
      <c r="R240" s="4"/>
    </row>
    <row r="241" spans="1:18" ht="17.399999999999999" x14ac:dyDescent="0.25">
      <c r="A241" s="4"/>
      <c r="B241" s="23"/>
      <c r="C241" s="4"/>
      <c r="D241" s="4"/>
      <c r="E241" s="5"/>
      <c r="F241" s="4"/>
      <c r="G241" s="4"/>
      <c r="H241" s="4"/>
      <c r="I241" s="4"/>
      <c r="J241" s="4"/>
      <c r="K241" s="4"/>
      <c r="L241" s="4"/>
      <c r="M241" s="4"/>
      <c r="N241" s="4"/>
      <c r="O241" s="4"/>
      <c r="P241" s="4"/>
      <c r="Q241" s="4"/>
      <c r="R241" s="4"/>
    </row>
    <row r="242" spans="1:18" ht="17.399999999999999" x14ac:dyDescent="0.25">
      <c r="A242" s="4"/>
      <c r="B242" s="23"/>
      <c r="C242" s="4"/>
      <c r="D242" s="4"/>
      <c r="E242" s="5"/>
      <c r="F242" s="4"/>
      <c r="G242" s="4"/>
      <c r="H242" s="4"/>
      <c r="I242" s="4"/>
      <c r="J242" s="4"/>
      <c r="K242" s="4"/>
      <c r="L242" s="4"/>
      <c r="M242" s="4"/>
      <c r="N242" s="4"/>
      <c r="O242" s="4"/>
      <c r="P242" s="4"/>
      <c r="Q242" s="4"/>
      <c r="R242" s="4"/>
    </row>
    <row r="243" spans="1:18" ht="17.399999999999999" x14ac:dyDescent="0.25">
      <c r="A243" s="4"/>
      <c r="B243" s="23"/>
      <c r="C243" s="4"/>
      <c r="D243" s="4"/>
      <c r="E243" s="5"/>
      <c r="F243" s="4"/>
      <c r="G243" s="4"/>
      <c r="H243" s="4"/>
      <c r="I243" s="4"/>
      <c r="J243" s="4"/>
      <c r="K243" s="4"/>
      <c r="L243" s="4"/>
      <c r="M243" s="4"/>
      <c r="N243" s="4"/>
      <c r="O243" s="4"/>
      <c r="P243" s="4"/>
      <c r="Q243" s="4"/>
      <c r="R243" s="4"/>
    </row>
    <row r="244" spans="1:18" ht="17.399999999999999" x14ac:dyDescent="0.25">
      <c r="A244" s="4"/>
      <c r="B244" s="23"/>
      <c r="C244" s="4"/>
      <c r="D244" s="4"/>
      <c r="E244" s="5"/>
      <c r="F244" s="4"/>
      <c r="G244" s="4"/>
      <c r="H244" s="4"/>
      <c r="I244" s="4"/>
      <c r="J244" s="4"/>
      <c r="K244" s="4"/>
      <c r="L244" s="4"/>
      <c r="M244" s="4"/>
      <c r="N244" s="4"/>
      <c r="O244" s="4"/>
      <c r="P244" s="4"/>
      <c r="Q244" s="4"/>
      <c r="R244" s="4"/>
    </row>
    <row r="245" spans="1:18" ht="17.399999999999999" x14ac:dyDescent="0.25">
      <c r="A245" s="4"/>
      <c r="B245" s="23"/>
      <c r="C245" s="4"/>
      <c r="D245" s="4"/>
      <c r="E245" s="5"/>
      <c r="F245" s="4"/>
      <c r="G245" s="4"/>
      <c r="H245" s="4"/>
      <c r="I245" s="4"/>
      <c r="J245" s="4"/>
      <c r="K245" s="4"/>
      <c r="L245" s="4"/>
      <c r="M245" s="4"/>
      <c r="N245" s="4"/>
      <c r="O245" s="4"/>
      <c r="P245" s="4"/>
      <c r="Q245" s="4"/>
      <c r="R245" s="4"/>
    </row>
    <row r="246" spans="1:18" ht="17.399999999999999" x14ac:dyDescent="0.25">
      <c r="A246" s="4"/>
      <c r="B246" s="23"/>
      <c r="C246" s="4"/>
      <c r="D246" s="4"/>
      <c r="E246" s="5"/>
      <c r="F246" s="4"/>
      <c r="G246" s="4"/>
      <c r="H246" s="4"/>
      <c r="I246" s="4"/>
      <c r="J246" s="4"/>
      <c r="K246" s="4"/>
      <c r="L246" s="4"/>
      <c r="M246" s="4"/>
      <c r="N246" s="4"/>
      <c r="O246" s="4"/>
      <c r="P246" s="4"/>
      <c r="Q246" s="4"/>
      <c r="R246" s="4"/>
    </row>
    <row r="247" spans="1:18" ht="17.399999999999999" x14ac:dyDescent="0.25">
      <c r="A247" s="4"/>
      <c r="B247" s="23"/>
      <c r="C247" s="4"/>
      <c r="D247" s="4"/>
      <c r="E247" s="5"/>
      <c r="F247" s="4"/>
      <c r="G247" s="4"/>
      <c r="H247" s="4"/>
      <c r="I247" s="4"/>
      <c r="J247" s="4"/>
      <c r="K247" s="4"/>
      <c r="L247" s="4"/>
      <c r="M247" s="4"/>
      <c r="N247" s="4"/>
      <c r="O247" s="4"/>
      <c r="P247" s="4"/>
      <c r="Q247" s="4"/>
      <c r="R247" s="4"/>
    </row>
    <row r="248" spans="1:18" ht="17.399999999999999" x14ac:dyDescent="0.25">
      <c r="A248" s="4"/>
      <c r="B248" s="23"/>
      <c r="C248" s="4"/>
      <c r="D248" s="4"/>
      <c r="E248" s="5"/>
      <c r="F248" s="4"/>
      <c r="G248" s="4"/>
      <c r="H248" s="4"/>
      <c r="I248" s="4"/>
      <c r="J248" s="4"/>
      <c r="K248" s="4"/>
      <c r="L248" s="4"/>
      <c r="M248" s="4"/>
      <c r="N248" s="4"/>
      <c r="O248" s="4"/>
      <c r="P248" s="4"/>
      <c r="Q248" s="4"/>
      <c r="R248" s="4"/>
    </row>
    <row r="249" spans="1:18" ht="17.399999999999999" x14ac:dyDescent="0.25">
      <c r="A249" s="4"/>
      <c r="B249" s="23"/>
      <c r="C249" s="4"/>
      <c r="D249" s="4"/>
      <c r="E249" s="5"/>
      <c r="F249" s="4"/>
      <c r="G249" s="4"/>
      <c r="H249" s="4"/>
      <c r="I249" s="4"/>
      <c r="J249" s="4"/>
      <c r="K249" s="4"/>
      <c r="L249" s="4"/>
      <c r="M249" s="4"/>
      <c r="N249" s="4"/>
      <c r="O249" s="4"/>
      <c r="P249" s="4"/>
      <c r="Q249" s="4"/>
      <c r="R249" s="4"/>
    </row>
    <row r="250" spans="1:18" ht="17.399999999999999" x14ac:dyDescent="0.25">
      <c r="A250" s="4"/>
      <c r="B250" s="23"/>
      <c r="C250" s="4"/>
      <c r="D250" s="4"/>
      <c r="E250" s="5"/>
      <c r="F250" s="4"/>
      <c r="G250" s="4"/>
      <c r="H250" s="4"/>
      <c r="I250" s="4"/>
      <c r="J250" s="4"/>
      <c r="K250" s="4"/>
      <c r="L250" s="4"/>
      <c r="M250" s="4"/>
      <c r="N250" s="4"/>
      <c r="O250" s="4"/>
      <c r="P250" s="4"/>
      <c r="Q250" s="4"/>
      <c r="R250" s="4"/>
    </row>
    <row r="251" spans="1:18" ht="17.399999999999999" x14ac:dyDescent="0.25">
      <c r="A251" s="4"/>
      <c r="B251" s="23"/>
      <c r="C251" s="4"/>
      <c r="D251" s="4"/>
      <c r="E251" s="5"/>
      <c r="F251" s="4"/>
      <c r="G251" s="4"/>
      <c r="H251" s="4"/>
      <c r="I251" s="4"/>
      <c r="J251" s="4"/>
      <c r="K251" s="4"/>
      <c r="L251" s="4"/>
      <c r="M251" s="4"/>
      <c r="N251" s="4"/>
      <c r="O251" s="4"/>
      <c r="P251" s="4"/>
      <c r="Q251" s="4"/>
      <c r="R251" s="4"/>
    </row>
    <row r="252" spans="1:18" ht="17.399999999999999" x14ac:dyDescent="0.25">
      <c r="A252" s="4"/>
      <c r="B252" s="23"/>
      <c r="C252" s="4"/>
      <c r="D252" s="4"/>
      <c r="E252" s="5"/>
      <c r="F252" s="4"/>
      <c r="G252" s="4"/>
      <c r="H252" s="4"/>
      <c r="I252" s="4"/>
      <c r="J252" s="4"/>
      <c r="K252" s="4"/>
      <c r="L252" s="4"/>
      <c r="M252" s="4"/>
      <c r="N252" s="4"/>
      <c r="O252" s="4"/>
      <c r="P252" s="4"/>
      <c r="Q252" s="4"/>
      <c r="R252" s="4"/>
    </row>
    <row r="253" spans="1:18" ht="17.399999999999999" x14ac:dyDescent="0.25">
      <c r="A253" s="4"/>
      <c r="B253" s="23"/>
      <c r="C253" s="4"/>
      <c r="D253" s="4"/>
      <c r="E253" s="5"/>
      <c r="F253" s="4"/>
      <c r="G253" s="4"/>
      <c r="H253" s="4"/>
      <c r="I253" s="4"/>
      <c r="J253" s="4"/>
      <c r="K253" s="4"/>
      <c r="L253" s="4"/>
      <c r="M253" s="4"/>
      <c r="N253" s="4"/>
      <c r="O253" s="4"/>
      <c r="P253" s="4"/>
      <c r="Q253" s="4"/>
      <c r="R253" s="4"/>
    </row>
    <row r="254" spans="1:18" ht="17.399999999999999" x14ac:dyDescent="0.25">
      <c r="A254" s="4"/>
      <c r="B254" s="23"/>
      <c r="C254" s="4"/>
      <c r="D254" s="4"/>
      <c r="E254" s="5"/>
      <c r="F254" s="4"/>
      <c r="G254" s="4"/>
      <c r="H254" s="4"/>
      <c r="I254" s="4"/>
      <c r="J254" s="4"/>
      <c r="K254" s="4"/>
      <c r="L254" s="4"/>
      <c r="M254" s="4"/>
      <c r="N254" s="4"/>
      <c r="O254" s="4"/>
      <c r="P254" s="4"/>
      <c r="Q254" s="4"/>
      <c r="R254" s="4"/>
    </row>
    <row r="255" spans="1:18" ht="17.399999999999999" x14ac:dyDescent="0.25">
      <c r="A255" s="4"/>
      <c r="B255" s="23"/>
      <c r="C255" s="4"/>
      <c r="D255" s="4"/>
      <c r="E255" s="5"/>
      <c r="F255" s="4"/>
      <c r="G255" s="4"/>
      <c r="H255" s="4"/>
      <c r="I255" s="4"/>
      <c r="J255" s="4"/>
      <c r="K255" s="4"/>
      <c r="L255" s="4"/>
      <c r="M255" s="4"/>
      <c r="N255" s="4"/>
      <c r="O255" s="4"/>
      <c r="P255" s="4"/>
      <c r="Q255" s="4"/>
      <c r="R255" s="4"/>
    </row>
    <row r="256" spans="1:18" ht="17.399999999999999" x14ac:dyDescent="0.25">
      <c r="A256" s="4"/>
      <c r="B256" s="23"/>
      <c r="C256" s="4"/>
      <c r="D256" s="4"/>
      <c r="E256" s="5"/>
      <c r="F256" s="4"/>
      <c r="G256" s="4"/>
      <c r="H256" s="4"/>
      <c r="I256" s="4"/>
      <c r="J256" s="4"/>
      <c r="K256" s="4"/>
      <c r="L256" s="4"/>
      <c r="M256" s="4"/>
      <c r="N256" s="4"/>
      <c r="O256" s="4"/>
      <c r="P256" s="4"/>
      <c r="Q256" s="4"/>
      <c r="R256" s="4"/>
    </row>
    <row r="257" spans="1:18" ht="17.399999999999999" x14ac:dyDescent="0.25">
      <c r="A257" s="4"/>
      <c r="B257" s="23"/>
      <c r="C257" s="4"/>
      <c r="D257" s="4"/>
      <c r="E257" s="5"/>
      <c r="F257" s="4"/>
      <c r="G257" s="4"/>
      <c r="H257" s="4"/>
      <c r="I257" s="4"/>
      <c r="J257" s="4"/>
      <c r="K257" s="4"/>
      <c r="L257" s="4"/>
      <c r="M257" s="4"/>
      <c r="N257" s="4"/>
      <c r="O257" s="4"/>
      <c r="P257" s="4"/>
      <c r="Q257" s="4"/>
      <c r="R257" s="4"/>
    </row>
    <row r="258" spans="1:18" ht="17.399999999999999" x14ac:dyDescent="0.25">
      <c r="A258" s="4"/>
      <c r="B258" s="23"/>
      <c r="C258" s="4"/>
      <c r="D258" s="4"/>
      <c r="E258" s="5"/>
      <c r="F258" s="4"/>
      <c r="G258" s="4"/>
      <c r="H258" s="4"/>
      <c r="I258" s="4"/>
      <c r="J258" s="4"/>
      <c r="K258" s="4"/>
      <c r="L258" s="4"/>
      <c r="M258" s="4"/>
      <c r="N258" s="4"/>
      <c r="O258" s="4"/>
      <c r="P258" s="4"/>
      <c r="Q258" s="4"/>
      <c r="R258" s="4"/>
    </row>
    <row r="259" spans="1:18" ht="17.399999999999999" x14ac:dyDescent="0.25">
      <c r="A259" s="4"/>
      <c r="B259" s="23"/>
      <c r="C259" s="4"/>
      <c r="D259" s="4"/>
      <c r="E259" s="5"/>
      <c r="F259" s="4"/>
      <c r="G259" s="4"/>
      <c r="H259" s="4"/>
      <c r="I259" s="4"/>
      <c r="J259" s="4"/>
      <c r="K259" s="4"/>
      <c r="L259" s="4"/>
      <c r="M259" s="4"/>
      <c r="N259" s="4"/>
      <c r="O259" s="4"/>
      <c r="P259" s="4"/>
      <c r="Q259" s="4"/>
      <c r="R259" s="4"/>
    </row>
    <row r="260" spans="1:18" ht="17.399999999999999" x14ac:dyDescent="0.25">
      <c r="A260" s="4"/>
      <c r="B260" s="23"/>
      <c r="C260" s="4"/>
      <c r="D260" s="4"/>
      <c r="E260" s="5"/>
      <c r="F260" s="4"/>
      <c r="G260" s="4"/>
      <c r="H260" s="4"/>
      <c r="I260" s="4"/>
      <c r="J260" s="4"/>
      <c r="K260" s="4"/>
      <c r="L260" s="4"/>
      <c r="M260" s="4"/>
      <c r="N260" s="4"/>
      <c r="O260" s="4"/>
      <c r="P260" s="4"/>
      <c r="Q260" s="4"/>
      <c r="R260" s="4"/>
    </row>
    <row r="261" spans="1:18" ht="17.399999999999999" x14ac:dyDescent="0.25">
      <c r="A261" s="4"/>
      <c r="B261" s="23"/>
      <c r="C261" s="4"/>
      <c r="D261" s="4"/>
      <c r="E261" s="5"/>
      <c r="F261" s="4"/>
      <c r="G261" s="4"/>
      <c r="H261" s="4"/>
      <c r="I261" s="4"/>
      <c r="J261" s="4"/>
      <c r="K261" s="4"/>
      <c r="L261" s="4"/>
      <c r="M261" s="4"/>
      <c r="N261" s="4"/>
      <c r="O261" s="4"/>
      <c r="P261" s="4"/>
      <c r="Q261" s="4"/>
      <c r="R261" s="4"/>
    </row>
    <row r="262" spans="1:18" ht="17.399999999999999" x14ac:dyDescent="0.25">
      <c r="A262" s="4"/>
      <c r="B262" s="23"/>
      <c r="C262" s="4"/>
      <c r="D262" s="4"/>
      <c r="E262" s="5"/>
      <c r="F262" s="4"/>
      <c r="G262" s="4"/>
      <c r="H262" s="4"/>
      <c r="I262" s="4"/>
      <c r="J262" s="4"/>
      <c r="K262" s="4"/>
      <c r="L262" s="4"/>
      <c r="M262" s="4"/>
      <c r="N262" s="4"/>
      <c r="O262" s="4"/>
      <c r="P262" s="4"/>
      <c r="Q262" s="4"/>
      <c r="R262" s="4"/>
    </row>
    <row r="263" spans="1:18" ht="17.399999999999999" x14ac:dyDescent="0.25">
      <c r="A263" s="4"/>
      <c r="B263" s="23"/>
      <c r="C263" s="4"/>
      <c r="D263" s="4"/>
      <c r="E263" s="5"/>
      <c r="F263" s="4"/>
      <c r="G263" s="4"/>
      <c r="H263" s="4"/>
      <c r="I263" s="4"/>
      <c r="J263" s="4"/>
      <c r="K263" s="4"/>
      <c r="L263" s="4"/>
      <c r="M263" s="4"/>
      <c r="N263" s="4"/>
      <c r="O263" s="4"/>
      <c r="P263" s="4"/>
      <c r="Q263" s="4"/>
      <c r="R263" s="4"/>
    </row>
    <row r="264" spans="1:18" ht="17.399999999999999" x14ac:dyDescent="0.25">
      <c r="A264" s="4"/>
      <c r="B264" s="23"/>
      <c r="C264" s="4"/>
      <c r="D264" s="4"/>
      <c r="E264" s="5"/>
      <c r="F264" s="4"/>
      <c r="G264" s="4"/>
      <c r="H264" s="4"/>
      <c r="I264" s="4"/>
      <c r="J264" s="4"/>
      <c r="K264" s="4"/>
      <c r="L264" s="4"/>
      <c r="M264" s="4"/>
      <c r="N264" s="4"/>
      <c r="O264" s="4"/>
      <c r="P264" s="4"/>
      <c r="Q264" s="4"/>
      <c r="R264" s="4"/>
    </row>
    <row r="265" spans="1:18" ht="17.399999999999999" x14ac:dyDescent="0.25">
      <c r="A265" s="4"/>
      <c r="B265" s="23"/>
      <c r="C265" s="4"/>
      <c r="D265" s="4"/>
      <c r="E265" s="5"/>
      <c r="F265" s="4"/>
      <c r="G265" s="4"/>
      <c r="H265" s="4"/>
      <c r="I265" s="4"/>
      <c r="J265" s="4"/>
      <c r="K265" s="4"/>
      <c r="L265" s="4"/>
      <c r="M265" s="4"/>
      <c r="N265" s="4"/>
      <c r="O265" s="4"/>
      <c r="P265" s="4"/>
      <c r="Q265" s="4"/>
      <c r="R265" s="4"/>
    </row>
    <row r="266" spans="1:18" ht="17.399999999999999" x14ac:dyDescent="0.25">
      <c r="A266" s="4"/>
      <c r="B266" s="23"/>
      <c r="C266" s="4"/>
      <c r="D266" s="4"/>
      <c r="E266" s="5"/>
      <c r="F266" s="4"/>
      <c r="G266" s="4"/>
      <c r="H266" s="4"/>
      <c r="I266" s="4"/>
      <c r="J266" s="4"/>
      <c r="K266" s="4"/>
      <c r="L266" s="4"/>
      <c r="M266" s="4"/>
      <c r="N266" s="4"/>
      <c r="O266" s="4"/>
      <c r="P266" s="4"/>
      <c r="Q266" s="4"/>
      <c r="R266" s="4"/>
    </row>
    <row r="267" spans="1:18" ht="17.399999999999999" x14ac:dyDescent="0.25">
      <c r="A267" s="4"/>
      <c r="B267" s="23"/>
      <c r="C267" s="4"/>
      <c r="D267" s="4"/>
      <c r="E267" s="5"/>
      <c r="F267" s="4"/>
      <c r="G267" s="4"/>
      <c r="H267" s="4"/>
      <c r="I267" s="4"/>
      <c r="J267" s="4"/>
      <c r="K267" s="4"/>
      <c r="L267" s="4"/>
      <c r="M267" s="4"/>
      <c r="N267" s="4"/>
      <c r="O267" s="4"/>
      <c r="P267" s="4"/>
      <c r="Q267" s="4"/>
      <c r="R267" s="4"/>
    </row>
    <row r="268" spans="1:18" ht="17.399999999999999" x14ac:dyDescent="0.25">
      <c r="A268" s="4"/>
      <c r="B268" s="23"/>
      <c r="C268" s="4"/>
      <c r="D268" s="4"/>
      <c r="E268" s="5"/>
      <c r="F268" s="4"/>
      <c r="G268" s="4"/>
      <c r="H268" s="4"/>
      <c r="I268" s="4"/>
      <c r="J268" s="4"/>
      <c r="K268" s="4"/>
      <c r="L268" s="4"/>
      <c r="M268" s="4"/>
      <c r="N268" s="4"/>
      <c r="O268" s="4"/>
      <c r="P268" s="4"/>
      <c r="Q268" s="4"/>
      <c r="R268" s="4"/>
    </row>
    <row r="269" spans="1:18" ht="17.399999999999999" x14ac:dyDescent="0.25">
      <c r="A269" s="4"/>
      <c r="B269" s="23"/>
      <c r="C269" s="4"/>
      <c r="D269" s="4"/>
      <c r="E269" s="5"/>
      <c r="F269" s="4"/>
      <c r="G269" s="4"/>
      <c r="H269" s="4"/>
      <c r="I269" s="4"/>
      <c r="J269" s="4"/>
      <c r="K269" s="4"/>
      <c r="L269" s="4"/>
      <c r="M269" s="4"/>
      <c r="N269" s="4"/>
      <c r="O269" s="4"/>
      <c r="P269" s="4"/>
      <c r="Q269" s="4"/>
      <c r="R269" s="4"/>
    </row>
    <row r="270" spans="1:18" ht="17.399999999999999" x14ac:dyDescent="0.25">
      <c r="A270" s="4"/>
      <c r="B270" s="23"/>
      <c r="C270" s="4"/>
      <c r="D270" s="4"/>
      <c r="E270" s="5"/>
      <c r="F270" s="4"/>
      <c r="G270" s="4"/>
      <c r="H270" s="4"/>
      <c r="I270" s="4"/>
      <c r="J270" s="4"/>
      <c r="K270" s="4"/>
      <c r="L270" s="4"/>
      <c r="M270" s="4"/>
      <c r="N270" s="4"/>
      <c r="O270" s="4"/>
      <c r="P270" s="4"/>
      <c r="Q270" s="4"/>
      <c r="R270" s="4"/>
    </row>
    <row r="271" spans="1:18" ht="17.399999999999999" x14ac:dyDescent="0.25">
      <c r="A271" s="4"/>
      <c r="B271" s="23"/>
      <c r="C271" s="4"/>
      <c r="D271" s="4"/>
      <c r="E271" s="5"/>
      <c r="F271" s="4"/>
      <c r="G271" s="4"/>
      <c r="H271" s="4"/>
      <c r="I271" s="4"/>
      <c r="J271" s="4"/>
      <c r="K271" s="4"/>
      <c r="L271" s="4"/>
      <c r="M271" s="4"/>
      <c r="N271" s="4"/>
      <c r="O271" s="4"/>
      <c r="P271" s="4"/>
      <c r="Q271" s="4"/>
      <c r="R271" s="4"/>
    </row>
    <row r="272" spans="1:18" ht="17.399999999999999" x14ac:dyDescent="0.25">
      <c r="A272" s="4"/>
      <c r="B272" s="23"/>
      <c r="C272" s="4"/>
      <c r="D272" s="4"/>
      <c r="E272" s="5"/>
      <c r="F272" s="4"/>
      <c r="G272" s="4"/>
      <c r="H272" s="4"/>
      <c r="I272" s="4"/>
      <c r="J272" s="4"/>
      <c r="K272" s="4"/>
      <c r="L272" s="4"/>
      <c r="M272" s="4"/>
      <c r="N272" s="4"/>
      <c r="O272" s="4"/>
      <c r="P272" s="4"/>
      <c r="Q272" s="4"/>
      <c r="R272" s="4"/>
    </row>
    <row r="273" spans="1:18" ht="17.399999999999999" x14ac:dyDescent="0.25">
      <c r="A273" s="4"/>
      <c r="B273" s="23"/>
      <c r="C273" s="4"/>
      <c r="D273" s="4"/>
      <c r="E273" s="5"/>
      <c r="F273" s="4"/>
      <c r="G273" s="4"/>
      <c r="H273" s="4"/>
      <c r="I273" s="4"/>
      <c r="J273" s="4"/>
      <c r="K273" s="4"/>
      <c r="L273" s="4"/>
      <c r="M273" s="4"/>
      <c r="N273" s="4"/>
      <c r="O273" s="4"/>
      <c r="P273" s="4"/>
      <c r="Q273" s="4"/>
      <c r="R273" s="4"/>
    </row>
    <row r="274" spans="1:18" ht="17.399999999999999" x14ac:dyDescent="0.25">
      <c r="A274" s="4"/>
      <c r="B274" s="23"/>
      <c r="C274" s="4"/>
      <c r="D274" s="4"/>
      <c r="E274" s="5"/>
      <c r="F274" s="4"/>
      <c r="G274" s="4"/>
      <c r="H274" s="4"/>
      <c r="I274" s="4"/>
      <c r="J274" s="4"/>
      <c r="K274" s="4"/>
      <c r="L274" s="4"/>
      <c r="M274" s="4"/>
      <c r="N274" s="4"/>
      <c r="O274" s="4"/>
      <c r="P274" s="4"/>
      <c r="Q274" s="4"/>
      <c r="R274" s="4"/>
    </row>
    <row r="275" spans="1:18" ht="17.399999999999999" x14ac:dyDescent="0.25">
      <c r="A275" s="4"/>
      <c r="B275" s="23"/>
      <c r="C275" s="4"/>
      <c r="D275" s="4"/>
      <c r="E275" s="5"/>
      <c r="F275" s="4"/>
      <c r="G275" s="4"/>
      <c r="H275" s="4"/>
      <c r="I275" s="4"/>
      <c r="J275" s="4"/>
      <c r="K275" s="4"/>
      <c r="L275" s="4"/>
      <c r="M275" s="4"/>
      <c r="N275" s="4"/>
      <c r="O275" s="4"/>
      <c r="P275" s="4"/>
      <c r="Q275" s="4"/>
      <c r="R275" s="4"/>
    </row>
    <row r="276" spans="1:18" ht="17.399999999999999" x14ac:dyDescent="0.25">
      <c r="A276" s="4"/>
      <c r="B276" s="23"/>
      <c r="C276" s="4"/>
      <c r="D276" s="4"/>
      <c r="E276" s="5"/>
      <c r="F276" s="4"/>
      <c r="G276" s="4"/>
      <c r="H276" s="4"/>
      <c r="I276" s="4"/>
      <c r="J276" s="4"/>
      <c r="K276" s="4"/>
      <c r="L276" s="4"/>
      <c r="M276" s="4"/>
      <c r="N276" s="4"/>
      <c r="O276" s="4"/>
      <c r="P276" s="4"/>
      <c r="Q276" s="4"/>
      <c r="R276" s="4"/>
    </row>
    <row r="277" spans="1:18" ht="17.399999999999999" x14ac:dyDescent="0.25">
      <c r="A277" s="4"/>
      <c r="B277" s="23"/>
      <c r="C277" s="4"/>
      <c r="D277" s="4"/>
      <c r="E277" s="5"/>
      <c r="F277" s="4"/>
      <c r="G277" s="4"/>
      <c r="H277" s="4"/>
      <c r="I277" s="4"/>
      <c r="J277" s="4"/>
      <c r="K277" s="4"/>
      <c r="L277" s="4"/>
      <c r="M277" s="4"/>
      <c r="N277" s="4"/>
      <c r="O277" s="4"/>
      <c r="P277" s="4"/>
      <c r="Q277" s="4"/>
      <c r="R277" s="4"/>
    </row>
    <row r="278" spans="1:18" ht="17.399999999999999" x14ac:dyDescent="0.25">
      <c r="A278" s="4"/>
      <c r="B278" s="23"/>
      <c r="C278" s="4"/>
      <c r="D278" s="4"/>
      <c r="E278" s="5"/>
      <c r="F278" s="4"/>
      <c r="G278" s="4"/>
      <c r="H278" s="4"/>
      <c r="I278" s="4"/>
      <c r="J278" s="4"/>
      <c r="K278" s="4"/>
      <c r="L278" s="4"/>
      <c r="M278" s="4"/>
      <c r="N278" s="4"/>
      <c r="O278" s="4"/>
      <c r="P278" s="4"/>
      <c r="Q278" s="4"/>
      <c r="R278" s="4"/>
    </row>
    <row r="279" spans="1:18" ht="17.399999999999999" x14ac:dyDescent="0.25">
      <c r="A279" s="4"/>
      <c r="B279" s="23"/>
      <c r="C279" s="4"/>
      <c r="D279" s="4"/>
      <c r="E279" s="5"/>
      <c r="F279" s="4"/>
      <c r="G279" s="4"/>
      <c r="H279" s="4"/>
      <c r="I279" s="4"/>
      <c r="J279" s="4"/>
      <c r="K279" s="4"/>
      <c r="L279" s="4"/>
      <c r="M279" s="4"/>
      <c r="N279" s="4"/>
      <c r="O279" s="4"/>
      <c r="P279" s="4"/>
      <c r="Q279" s="4"/>
      <c r="R279" s="4"/>
    </row>
    <row r="280" spans="1:18" ht="17.399999999999999" x14ac:dyDescent="0.25">
      <c r="A280" s="4"/>
      <c r="B280" s="23"/>
      <c r="C280" s="4"/>
      <c r="D280" s="4"/>
      <c r="E280" s="5"/>
      <c r="F280" s="4"/>
      <c r="G280" s="4"/>
      <c r="H280" s="4"/>
      <c r="I280" s="4"/>
      <c r="J280" s="4"/>
      <c r="K280" s="4"/>
      <c r="L280" s="4"/>
      <c r="M280" s="4"/>
      <c r="N280" s="4"/>
      <c r="O280" s="4"/>
      <c r="P280" s="4"/>
      <c r="Q280" s="4"/>
      <c r="R280" s="4"/>
    </row>
    <row r="281" spans="1:18" ht="17.399999999999999" x14ac:dyDescent="0.25">
      <c r="A281" s="4"/>
      <c r="B281" s="23"/>
      <c r="C281" s="4"/>
      <c r="D281" s="4"/>
      <c r="E281" s="5"/>
      <c r="F281" s="4"/>
      <c r="G281" s="4"/>
      <c r="H281" s="4"/>
      <c r="I281" s="4"/>
      <c r="J281" s="4"/>
      <c r="K281" s="4"/>
      <c r="L281" s="4"/>
      <c r="M281" s="4"/>
      <c r="N281" s="4"/>
      <c r="O281" s="4"/>
      <c r="P281" s="4"/>
      <c r="Q281" s="4"/>
      <c r="R281" s="4"/>
    </row>
    <row r="282" spans="1:18" ht="17.399999999999999" x14ac:dyDescent="0.25">
      <c r="A282" s="4"/>
      <c r="B282" s="23"/>
      <c r="C282" s="4"/>
      <c r="D282" s="4"/>
      <c r="E282" s="5"/>
      <c r="F282" s="4"/>
      <c r="G282" s="4"/>
      <c r="H282" s="4"/>
      <c r="I282" s="4"/>
      <c r="J282" s="4"/>
      <c r="K282" s="4"/>
      <c r="L282" s="4"/>
      <c r="M282" s="4"/>
      <c r="N282" s="4"/>
      <c r="O282" s="4"/>
      <c r="P282" s="4"/>
      <c r="Q282" s="4"/>
      <c r="R282" s="4"/>
    </row>
    <row r="283" spans="1:18" ht="17.399999999999999" x14ac:dyDescent="0.25">
      <c r="A283" s="4"/>
      <c r="B283" s="23"/>
      <c r="C283" s="4"/>
      <c r="D283" s="4"/>
      <c r="E283" s="5"/>
      <c r="F283" s="4"/>
      <c r="G283" s="4"/>
      <c r="H283" s="4"/>
      <c r="I283" s="4"/>
      <c r="J283" s="4"/>
      <c r="K283" s="4"/>
      <c r="L283" s="4"/>
      <c r="M283" s="4"/>
      <c r="N283" s="4"/>
      <c r="O283" s="4"/>
      <c r="P283" s="4"/>
      <c r="Q283" s="4"/>
      <c r="R283" s="4"/>
    </row>
    <row r="284" spans="1:18" ht="17.399999999999999" x14ac:dyDescent="0.25">
      <c r="A284" s="4"/>
      <c r="B284" s="23"/>
      <c r="C284" s="4"/>
      <c r="D284" s="4"/>
      <c r="E284" s="5"/>
      <c r="F284" s="4"/>
      <c r="G284" s="4"/>
      <c r="H284" s="4"/>
      <c r="I284" s="4"/>
      <c r="J284" s="4"/>
      <c r="K284" s="4"/>
      <c r="L284" s="4"/>
      <c r="M284" s="4"/>
      <c r="N284" s="4"/>
      <c r="O284" s="4"/>
      <c r="P284" s="4"/>
      <c r="Q284" s="4"/>
      <c r="R284" s="4"/>
    </row>
    <row r="285" spans="1:18" ht="17.399999999999999" x14ac:dyDescent="0.25">
      <c r="A285" s="4"/>
      <c r="B285" s="23"/>
      <c r="C285" s="4"/>
      <c r="D285" s="4"/>
      <c r="E285" s="5"/>
      <c r="F285" s="4"/>
      <c r="G285" s="4"/>
      <c r="H285" s="4"/>
      <c r="I285" s="4"/>
      <c r="J285" s="4"/>
      <c r="K285" s="4"/>
      <c r="L285" s="4"/>
      <c r="M285" s="4"/>
      <c r="N285" s="4"/>
      <c r="O285" s="4"/>
      <c r="P285" s="4"/>
      <c r="Q285" s="4"/>
      <c r="R285" s="4"/>
    </row>
    <row r="286" spans="1:18" ht="17.399999999999999" x14ac:dyDescent="0.25">
      <c r="A286" s="4"/>
      <c r="B286" s="23"/>
      <c r="C286" s="4"/>
      <c r="D286" s="4"/>
      <c r="E286" s="5"/>
      <c r="F286" s="4"/>
      <c r="G286" s="4"/>
      <c r="H286" s="4"/>
      <c r="I286" s="4"/>
      <c r="J286" s="4"/>
      <c r="K286" s="4"/>
      <c r="L286" s="4"/>
      <c r="M286" s="4"/>
      <c r="N286" s="4"/>
      <c r="O286" s="4"/>
      <c r="P286" s="4"/>
      <c r="Q286" s="4"/>
      <c r="R286" s="4"/>
    </row>
    <row r="287" spans="1:18" ht="17.399999999999999" x14ac:dyDescent="0.25">
      <c r="A287" s="4"/>
      <c r="B287" s="23"/>
      <c r="C287" s="4"/>
      <c r="D287" s="4"/>
      <c r="E287" s="5"/>
      <c r="F287" s="4"/>
      <c r="G287" s="4"/>
      <c r="H287" s="4"/>
      <c r="I287" s="4"/>
      <c r="J287" s="4"/>
      <c r="K287" s="4"/>
      <c r="L287" s="4"/>
      <c r="M287" s="4"/>
      <c r="N287" s="4"/>
      <c r="O287" s="4"/>
      <c r="P287" s="4"/>
      <c r="Q287" s="4"/>
      <c r="R287" s="4"/>
    </row>
    <row r="288" spans="1:18" ht="17.399999999999999" x14ac:dyDescent="0.25">
      <c r="A288" s="4"/>
      <c r="B288" s="23"/>
      <c r="C288" s="4"/>
      <c r="D288" s="4"/>
      <c r="E288" s="5"/>
      <c r="F288" s="4"/>
      <c r="G288" s="4"/>
      <c r="H288" s="4"/>
      <c r="I288" s="4"/>
      <c r="J288" s="4"/>
      <c r="K288" s="4"/>
      <c r="L288" s="4"/>
      <c r="M288" s="4"/>
      <c r="N288" s="4"/>
      <c r="O288" s="4"/>
      <c r="P288" s="4"/>
      <c r="Q288" s="4"/>
      <c r="R288" s="4"/>
    </row>
    <row r="289" spans="1:18" ht="17.399999999999999" x14ac:dyDescent="0.25">
      <c r="A289" s="4"/>
      <c r="B289" s="23"/>
      <c r="C289" s="4"/>
      <c r="D289" s="4"/>
      <c r="E289" s="5"/>
      <c r="F289" s="4"/>
      <c r="G289" s="4"/>
      <c r="H289" s="4"/>
      <c r="I289" s="4"/>
      <c r="J289" s="4"/>
      <c r="K289" s="4"/>
      <c r="L289" s="4"/>
      <c r="M289" s="4"/>
      <c r="N289" s="4"/>
      <c r="O289" s="4"/>
      <c r="P289" s="4"/>
      <c r="Q289" s="4"/>
      <c r="R289" s="4"/>
    </row>
    <row r="290" spans="1:18" ht="17.399999999999999" x14ac:dyDescent="0.25">
      <c r="A290" s="4"/>
      <c r="B290" s="23"/>
      <c r="C290" s="4"/>
      <c r="D290" s="4"/>
      <c r="E290" s="5"/>
      <c r="F290" s="4"/>
      <c r="G290" s="4"/>
      <c r="H290" s="4"/>
      <c r="I290" s="4"/>
      <c r="J290" s="4"/>
      <c r="K290" s="4"/>
      <c r="L290" s="4"/>
      <c r="M290" s="4"/>
      <c r="N290" s="4"/>
      <c r="O290" s="4"/>
      <c r="P290" s="4"/>
      <c r="Q290" s="4"/>
      <c r="R290" s="4"/>
    </row>
    <row r="291" spans="1:18" ht="17.399999999999999" x14ac:dyDescent="0.25">
      <c r="A291" s="4"/>
      <c r="B291" s="23"/>
      <c r="C291" s="4"/>
      <c r="D291" s="4"/>
      <c r="E291" s="5"/>
      <c r="F291" s="4"/>
      <c r="G291" s="4"/>
      <c r="H291" s="4"/>
      <c r="I291" s="4"/>
      <c r="J291" s="4"/>
      <c r="K291" s="4"/>
      <c r="L291" s="4"/>
      <c r="M291" s="4"/>
      <c r="N291" s="4"/>
      <c r="O291" s="4"/>
      <c r="P291" s="4"/>
      <c r="Q291" s="4"/>
      <c r="R291" s="4"/>
    </row>
    <row r="292" spans="1:18" ht="17.399999999999999" x14ac:dyDescent="0.25">
      <c r="A292" s="4"/>
      <c r="B292" s="23"/>
      <c r="C292" s="4"/>
      <c r="D292" s="4"/>
      <c r="E292" s="5"/>
      <c r="F292" s="4"/>
      <c r="G292" s="4"/>
      <c r="H292" s="4"/>
      <c r="I292" s="4"/>
      <c r="J292" s="4"/>
      <c r="K292" s="4"/>
      <c r="L292" s="4"/>
      <c r="M292" s="4"/>
      <c r="N292" s="4"/>
      <c r="O292" s="4"/>
      <c r="P292" s="4"/>
      <c r="Q292" s="4"/>
      <c r="R292" s="4"/>
    </row>
    <row r="293" spans="1:18" ht="17.399999999999999" x14ac:dyDescent="0.25">
      <c r="A293" s="4"/>
      <c r="B293" s="23"/>
      <c r="C293" s="4"/>
      <c r="D293" s="4"/>
      <c r="E293" s="5"/>
      <c r="F293" s="4"/>
      <c r="G293" s="4"/>
      <c r="H293" s="4"/>
      <c r="I293" s="4"/>
      <c r="J293" s="4"/>
      <c r="K293" s="4"/>
      <c r="L293" s="4"/>
      <c r="M293" s="4"/>
      <c r="N293" s="4"/>
      <c r="O293" s="4"/>
      <c r="P293" s="4"/>
      <c r="Q293" s="4"/>
      <c r="R293" s="4"/>
    </row>
    <row r="294" spans="1:18" ht="17.399999999999999" x14ac:dyDescent="0.25">
      <c r="A294" s="4"/>
      <c r="B294" s="23"/>
      <c r="C294" s="4"/>
      <c r="D294" s="4"/>
      <c r="E294" s="5"/>
      <c r="F294" s="4"/>
      <c r="G294" s="4"/>
      <c r="H294" s="4"/>
      <c r="I294" s="4"/>
      <c r="J294" s="4"/>
      <c r="K294" s="4"/>
      <c r="L294" s="4"/>
      <c r="M294" s="4"/>
      <c r="N294" s="4"/>
      <c r="O294" s="4"/>
      <c r="P294" s="4"/>
      <c r="Q294" s="4"/>
      <c r="R294" s="4"/>
    </row>
    <row r="295" spans="1:18" ht="17.399999999999999" x14ac:dyDescent="0.25">
      <c r="A295" s="4"/>
      <c r="B295" s="23"/>
      <c r="C295" s="4"/>
      <c r="D295" s="4"/>
      <c r="E295" s="5"/>
      <c r="F295" s="4"/>
      <c r="G295" s="4"/>
      <c r="H295" s="4"/>
      <c r="I295" s="4"/>
      <c r="J295" s="4"/>
      <c r="K295" s="4"/>
      <c r="L295" s="4"/>
      <c r="M295" s="4"/>
      <c r="N295" s="4"/>
      <c r="O295" s="4"/>
      <c r="P295" s="4"/>
      <c r="Q295" s="4"/>
      <c r="R295" s="4"/>
    </row>
    <row r="296" spans="1:18" ht="17.399999999999999" x14ac:dyDescent="0.25">
      <c r="A296" s="4"/>
      <c r="B296" s="23"/>
      <c r="C296" s="4"/>
      <c r="D296" s="4"/>
      <c r="E296" s="5"/>
      <c r="F296" s="4"/>
      <c r="G296" s="4"/>
      <c r="H296" s="4"/>
      <c r="I296" s="4"/>
      <c r="J296" s="4"/>
      <c r="K296" s="4"/>
      <c r="L296" s="4"/>
      <c r="M296" s="4"/>
      <c r="N296" s="4"/>
      <c r="O296" s="4"/>
      <c r="P296" s="4"/>
      <c r="Q296" s="4"/>
      <c r="R296" s="4"/>
    </row>
    <row r="297" spans="1:18" ht="17.399999999999999" x14ac:dyDescent="0.25">
      <c r="A297" s="4"/>
      <c r="B297" s="23"/>
      <c r="C297" s="4"/>
      <c r="D297" s="4"/>
      <c r="E297" s="5"/>
      <c r="F297" s="4"/>
      <c r="G297" s="4"/>
      <c r="H297" s="4"/>
      <c r="I297" s="4"/>
      <c r="J297" s="4"/>
      <c r="K297" s="4"/>
      <c r="L297" s="4"/>
      <c r="M297" s="4"/>
      <c r="N297" s="4"/>
      <c r="O297" s="4"/>
      <c r="P297" s="4"/>
      <c r="Q297" s="4"/>
      <c r="R297" s="4"/>
    </row>
    <row r="298" spans="1:18" ht="17.399999999999999" x14ac:dyDescent="0.25">
      <c r="A298" s="4"/>
      <c r="B298" s="23"/>
      <c r="C298" s="4"/>
      <c r="D298" s="4"/>
      <c r="E298" s="5"/>
      <c r="F298" s="4"/>
      <c r="G298" s="4"/>
      <c r="H298" s="4"/>
      <c r="I298" s="4"/>
      <c r="J298" s="4"/>
      <c r="K298" s="4"/>
      <c r="L298" s="4"/>
      <c r="M298" s="4"/>
      <c r="N298" s="4"/>
      <c r="O298" s="4"/>
      <c r="P298" s="4"/>
      <c r="Q298" s="4"/>
      <c r="R298" s="4"/>
    </row>
    <row r="299" spans="1:18" ht="17.399999999999999" x14ac:dyDescent="0.25">
      <c r="A299" s="4"/>
      <c r="B299" s="23"/>
      <c r="C299" s="4"/>
      <c r="D299" s="4"/>
      <c r="E299" s="5"/>
      <c r="F299" s="4"/>
      <c r="G299" s="4"/>
      <c r="H299" s="4"/>
      <c r="I299" s="4"/>
      <c r="J299" s="4"/>
      <c r="K299" s="4"/>
      <c r="L299" s="4"/>
      <c r="M299" s="4"/>
      <c r="N299" s="4"/>
      <c r="O299" s="4"/>
      <c r="P299" s="4"/>
      <c r="Q299" s="4"/>
      <c r="R299" s="4"/>
    </row>
    <row r="300" spans="1:18" ht="17.399999999999999" x14ac:dyDescent="0.25">
      <c r="A300" s="4"/>
      <c r="B300" s="23"/>
      <c r="C300" s="4"/>
      <c r="D300" s="4"/>
      <c r="E300" s="5"/>
      <c r="F300" s="4"/>
      <c r="G300" s="4"/>
      <c r="H300" s="4"/>
      <c r="I300" s="4"/>
      <c r="J300" s="4"/>
      <c r="K300" s="4"/>
      <c r="L300" s="4"/>
      <c r="M300" s="4"/>
      <c r="N300" s="4"/>
      <c r="O300" s="4"/>
      <c r="P300" s="4"/>
      <c r="Q300" s="4"/>
      <c r="R300" s="4"/>
    </row>
    <row r="301" spans="1:18" ht="17.399999999999999" x14ac:dyDescent="0.25">
      <c r="A301" s="4"/>
      <c r="B301" s="23"/>
      <c r="C301" s="4"/>
      <c r="D301" s="4"/>
      <c r="E301" s="5"/>
      <c r="F301" s="4"/>
      <c r="G301" s="4"/>
      <c r="H301" s="4"/>
      <c r="I301" s="4"/>
      <c r="J301" s="4"/>
      <c r="K301" s="4"/>
      <c r="L301" s="4"/>
      <c r="M301" s="4"/>
      <c r="N301" s="4"/>
      <c r="O301" s="4"/>
      <c r="P301" s="4"/>
      <c r="Q301" s="4"/>
      <c r="R301" s="4"/>
    </row>
    <row r="302" spans="1:18" ht="17.399999999999999" x14ac:dyDescent="0.25">
      <c r="A302" s="4"/>
      <c r="B302" s="23"/>
      <c r="C302" s="4"/>
      <c r="D302" s="4"/>
      <c r="E302" s="5"/>
      <c r="F302" s="4"/>
      <c r="G302" s="4"/>
      <c r="H302" s="4"/>
      <c r="I302" s="4"/>
      <c r="J302" s="4"/>
      <c r="K302" s="4"/>
      <c r="L302" s="4"/>
      <c r="M302" s="4"/>
      <c r="N302" s="4"/>
      <c r="O302" s="4"/>
      <c r="P302" s="4"/>
      <c r="Q302" s="4"/>
      <c r="R302" s="4"/>
    </row>
    <row r="303" spans="1:18" ht="17.399999999999999" x14ac:dyDescent="0.25">
      <c r="A303" s="4"/>
      <c r="B303" s="23"/>
      <c r="C303" s="4"/>
      <c r="D303" s="4"/>
      <c r="E303" s="5"/>
      <c r="F303" s="4"/>
      <c r="G303" s="4"/>
      <c r="H303" s="4"/>
      <c r="I303" s="4"/>
      <c r="J303" s="4"/>
      <c r="K303" s="4"/>
      <c r="L303" s="4"/>
      <c r="M303" s="4"/>
      <c r="N303" s="4"/>
      <c r="O303" s="4"/>
      <c r="P303" s="4"/>
      <c r="Q303" s="4"/>
      <c r="R303" s="4"/>
    </row>
    <row r="304" spans="1:18" ht="17.399999999999999" x14ac:dyDescent="0.25">
      <c r="A304" s="4"/>
      <c r="B304" s="23"/>
      <c r="C304" s="4"/>
      <c r="D304" s="4"/>
      <c r="E304" s="5"/>
      <c r="F304" s="4"/>
      <c r="G304" s="4"/>
      <c r="H304" s="4"/>
      <c r="I304" s="4"/>
      <c r="J304" s="4"/>
      <c r="K304" s="4"/>
      <c r="L304" s="4"/>
      <c r="M304" s="4"/>
      <c r="N304" s="4"/>
      <c r="O304" s="4"/>
      <c r="P304" s="4"/>
      <c r="Q304" s="4"/>
      <c r="R304" s="4"/>
    </row>
    <row r="305" spans="1:18" ht="17.399999999999999" x14ac:dyDescent="0.25">
      <c r="A305" s="4"/>
      <c r="B305" s="23"/>
      <c r="C305" s="4"/>
      <c r="D305" s="4"/>
      <c r="E305" s="5"/>
      <c r="F305" s="4"/>
      <c r="G305" s="4"/>
      <c r="H305" s="4"/>
      <c r="I305" s="4"/>
      <c r="J305" s="4"/>
      <c r="K305" s="4"/>
      <c r="L305" s="4"/>
      <c r="M305" s="4"/>
      <c r="N305" s="4"/>
      <c r="O305" s="4"/>
      <c r="P305" s="4"/>
      <c r="Q305" s="4"/>
      <c r="R305" s="4"/>
    </row>
    <row r="306" spans="1:18" ht="17.399999999999999" x14ac:dyDescent="0.25">
      <c r="A306" s="4"/>
      <c r="B306" s="23"/>
      <c r="C306" s="4"/>
      <c r="D306" s="4"/>
      <c r="E306" s="5"/>
      <c r="F306" s="4"/>
      <c r="G306" s="4"/>
      <c r="H306" s="4"/>
      <c r="I306" s="4"/>
      <c r="J306" s="4"/>
      <c r="K306" s="4"/>
      <c r="L306" s="4"/>
      <c r="M306" s="4"/>
      <c r="N306" s="4"/>
      <c r="O306" s="4"/>
      <c r="P306" s="4"/>
      <c r="Q306" s="4"/>
      <c r="R306" s="4"/>
    </row>
    <row r="307" spans="1:18" ht="17.399999999999999" x14ac:dyDescent="0.25">
      <c r="A307" s="4"/>
      <c r="B307" s="23"/>
      <c r="C307" s="4"/>
      <c r="D307" s="4"/>
      <c r="E307" s="5"/>
      <c r="F307" s="4"/>
      <c r="G307" s="4"/>
      <c r="H307" s="4"/>
      <c r="I307" s="4"/>
      <c r="J307" s="4"/>
      <c r="K307" s="4"/>
      <c r="L307" s="4"/>
      <c r="M307" s="4"/>
      <c r="N307" s="4"/>
      <c r="O307" s="4"/>
      <c r="P307" s="4"/>
      <c r="Q307" s="4"/>
      <c r="R307" s="4"/>
    </row>
    <row r="308" spans="1:18" ht="17.399999999999999" x14ac:dyDescent="0.25">
      <c r="A308" s="4"/>
      <c r="B308" s="23"/>
      <c r="C308" s="4"/>
      <c r="D308" s="4"/>
      <c r="E308" s="5"/>
      <c r="F308" s="4"/>
      <c r="G308" s="4"/>
      <c r="H308" s="4"/>
      <c r="I308" s="4"/>
      <c r="J308" s="4"/>
      <c r="K308" s="4"/>
      <c r="L308" s="4"/>
      <c r="M308" s="4"/>
      <c r="N308" s="4"/>
      <c r="O308" s="4"/>
      <c r="P308" s="4"/>
      <c r="Q308" s="4"/>
      <c r="R308" s="4"/>
    </row>
    <row r="309" spans="1:18" ht="17.399999999999999" x14ac:dyDescent="0.25">
      <c r="A309" s="4"/>
      <c r="B309" s="23"/>
      <c r="C309" s="4"/>
      <c r="D309" s="4"/>
      <c r="E309" s="5"/>
      <c r="F309" s="4"/>
      <c r="G309" s="4"/>
      <c r="H309" s="4"/>
      <c r="I309" s="4"/>
      <c r="J309" s="4"/>
      <c r="K309" s="4"/>
      <c r="L309" s="4"/>
      <c r="M309" s="4"/>
      <c r="N309" s="4"/>
      <c r="O309" s="4"/>
      <c r="P309" s="4"/>
      <c r="Q309" s="4"/>
      <c r="R309" s="4"/>
    </row>
    <row r="310" spans="1:18" ht="17.399999999999999" x14ac:dyDescent="0.25">
      <c r="A310" s="4"/>
      <c r="B310" s="23"/>
      <c r="C310" s="4"/>
      <c r="D310" s="4"/>
      <c r="E310" s="5"/>
      <c r="F310" s="4"/>
      <c r="G310" s="4"/>
      <c r="H310" s="4"/>
      <c r="I310" s="4"/>
      <c r="J310" s="4"/>
      <c r="K310" s="4"/>
      <c r="L310" s="4"/>
      <c r="M310" s="4"/>
      <c r="N310" s="4"/>
      <c r="O310" s="4"/>
      <c r="P310" s="4"/>
      <c r="Q310" s="4"/>
      <c r="R310" s="4"/>
    </row>
    <row r="311" spans="1:18" ht="17.399999999999999" x14ac:dyDescent="0.25">
      <c r="A311" s="4"/>
      <c r="B311" s="23"/>
      <c r="C311" s="4"/>
      <c r="D311" s="4"/>
      <c r="E311" s="5"/>
      <c r="F311" s="4"/>
      <c r="G311" s="4"/>
      <c r="H311" s="4"/>
      <c r="I311" s="4"/>
      <c r="J311" s="4"/>
      <c r="K311" s="4"/>
      <c r="L311" s="4"/>
      <c r="M311" s="4"/>
      <c r="N311" s="4"/>
      <c r="O311" s="4"/>
      <c r="P311" s="4"/>
      <c r="Q311" s="4"/>
      <c r="R311" s="4"/>
    </row>
    <row r="312" spans="1:18" ht="17.399999999999999" x14ac:dyDescent="0.25">
      <c r="A312" s="4"/>
      <c r="B312" s="23"/>
      <c r="C312" s="4"/>
      <c r="D312" s="4"/>
      <c r="E312" s="5"/>
      <c r="F312" s="4"/>
      <c r="G312" s="4"/>
      <c r="H312" s="4"/>
      <c r="I312" s="4"/>
      <c r="J312" s="4"/>
      <c r="K312" s="4"/>
      <c r="L312" s="4"/>
      <c r="M312" s="4"/>
      <c r="N312" s="4"/>
      <c r="O312" s="4"/>
      <c r="P312" s="4"/>
      <c r="Q312" s="4"/>
      <c r="R312" s="4"/>
    </row>
    <row r="313" spans="1:18" ht="17.399999999999999" x14ac:dyDescent="0.25">
      <c r="A313" s="4"/>
      <c r="B313" s="23"/>
      <c r="C313" s="4"/>
      <c r="D313" s="4"/>
      <c r="E313" s="5"/>
      <c r="F313" s="4"/>
      <c r="G313" s="4"/>
      <c r="H313" s="4"/>
      <c r="I313" s="4"/>
      <c r="J313" s="4"/>
      <c r="K313" s="4"/>
      <c r="L313" s="4"/>
      <c r="M313" s="4"/>
      <c r="N313" s="4"/>
      <c r="O313" s="4"/>
      <c r="P313" s="4"/>
      <c r="Q313" s="4"/>
      <c r="R313" s="4"/>
    </row>
    <row r="314" spans="1:18" ht="17.399999999999999" x14ac:dyDescent="0.25">
      <c r="A314" s="4"/>
      <c r="B314" s="23"/>
      <c r="C314" s="4"/>
      <c r="D314" s="4"/>
      <c r="E314" s="5"/>
      <c r="F314" s="4"/>
      <c r="G314" s="4"/>
      <c r="H314" s="4"/>
      <c r="I314" s="4"/>
      <c r="J314" s="4"/>
      <c r="K314" s="4"/>
      <c r="L314" s="4"/>
      <c r="M314" s="4"/>
      <c r="N314" s="4"/>
      <c r="O314" s="4"/>
      <c r="P314" s="4"/>
      <c r="Q314" s="4"/>
      <c r="R314" s="4"/>
    </row>
    <row r="315" spans="1:18" ht="17.399999999999999" x14ac:dyDescent="0.25">
      <c r="A315" s="4"/>
      <c r="B315" s="23"/>
      <c r="C315" s="4"/>
      <c r="D315" s="4"/>
      <c r="E315" s="5"/>
      <c r="F315" s="4"/>
      <c r="G315" s="4"/>
      <c r="H315" s="4"/>
      <c r="I315" s="4"/>
      <c r="J315" s="4"/>
      <c r="K315" s="4"/>
      <c r="L315" s="4"/>
      <c r="M315" s="4"/>
      <c r="N315" s="4"/>
      <c r="O315" s="4"/>
      <c r="P315" s="4"/>
      <c r="Q315" s="4"/>
      <c r="R315" s="4"/>
    </row>
    <row r="316" spans="1:18" ht="17.399999999999999" x14ac:dyDescent="0.25">
      <c r="A316" s="4"/>
      <c r="B316" s="23"/>
      <c r="C316" s="4"/>
      <c r="D316" s="4"/>
      <c r="E316" s="5"/>
      <c r="F316" s="4"/>
      <c r="G316" s="4"/>
      <c r="H316" s="4"/>
      <c r="I316" s="4"/>
      <c r="J316" s="4"/>
      <c r="K316" s="4"/>
      <c r="L316" s="4"/>
      <c r="M316" s="4"/>
      <c r="N316" s="4"/>
      <c r="O316" s="4"/>
      <c r="P316" s="4"/>
      <c r="Q316" s="4"/>
      <c r="R316" s="4"/>
    </row>
    <row r="317" spans="1:18" ht="17.399999999999999" x14ac:dyDescent="0.25">
      <c r="A317" s="4"/>
      <c r="B317" s="23"/>
      <c r="C317" s="4"/>
      <c r="D317" s="4"/>
      <c r="E317" s="5"/>
      <c r="F317" s="4"/>
      <c r="G317" s="4"/>
      <c r="H317" s="4"/>
      <c r="I317" s="4"/>
      <c r="J317" s="4"/>
      <c r="K317" s="4"/>
      <c r="L317" s="4"/>
      <c r="M317" s="4"/>
      <c r="N317" s="4"/>
      <c r="O317" s="4"/>
      <c r="P317" s="4"/>
      <c r="Q317" s="4"/>
      <c r="R317" s="4"/>
    </row>
    <row r="318" spans="1:18" ht="17.399999999999999" x14ac:dyDescent="0.25">
      <c r="A318" s="4"/>
      <c r="B318" s="23"/>
      <c r="C318" s="4"/>
      <c r="D318" s="4"/>
      <c r="E318" s="5"/>
      <c r="F318" s="4"/>
      <c r="G318" s="4"/>
      <c r="H318" s="4"/>
      <c r="I318" s="4"/>
      <c r="J318" s="4"/>
      <c r="K318" s="4"/>
      <c r="L318" s="4"/>
      <c r="M318" s="4"/>
      <c r="N318" s="4"/>
      <c r="O318" s="4"/>
      <c r="P318" s="4"/>
      <c r="Q318" s="4"/>
      <c r="R318" s="4"/>
    </row>
    <row r="319" spans="1:18" ht="17.399999999999999" x14ac:dyDescent="0.25">
      <c r="A319" s="4"/>
      <c r="B319" s="23"/>
      <c r="C319" s="4"/>
      <c r="D319" s="4"/>
      <c r="E319" s="5"/>
      <c r="F319" s="4"/>
      <c r="G319" s="4"/>
      <c r="H319" s="4"/>
      <c r="I319" s="4"/>
      <c r="J319" s="4"/>
      <c r="K319" s="4"/>
      <c r="L319" s="4"/>
      <c r="M319" s="4"/>
      <c r="N319" s="4"/>
      <c r="O319" s="4"/>
      <c r="P319" s="4"/>
      <c r="Q319" s="4"/>
      <c r="R319" s="4"/>
    </row>
    <row r="320" spans="1:18" ht="17.399999999999999" x14ac:dyDescent="0.25">
      <c r="A320" s="4"/>
      <c r="B320" s="23"/>
      <c r="C320" s="4"/>
      <c r="D320" s="4"/>
      <c r="E320" s="5"/>
      <c r="F320" s="4"/>
      <c r="G320" s="4"/>
      <c r="H320" s="4"/>
      <c r="I320" s="4"/>
      <c r="J320" s="4"/>
      <c r="K320" s="4"/>
      <c r="L320" s="4"/>
      <c r="M320" s="4"/>
      <c r="N320" s="4"/>
      <c r="O320" s="4"/>
      <c r="P320" s="4"/>
      <c r="Q320" s="4"/>
      <c r="R320" s="4"/>
    </row>
    <row r="321" spans="1:18" ht="17.399999999999999" x14ac:dyDescent="0.25">
      <c r="A321" s="4"/>
      <c r="B321" s="23"/>
      <c r="C321" s="4"/>
      <c r="D321" s="4"/>
      <c r="E321" s="5"/>
      <c r="F321" s="4"/>
      <c r="G321" s="4"/>
      <c r="H321" s="4"/>
      <c r="I321" s="4"/>
      <c r="J321" s="4"/>
      <c r="K321" s="4"/>
      <c r="L321" s="4"/>
      <c r="M321" s="4"/>
      <c r="N321" s="4"/>
      <c r="O321" s="4"/>
      <c r="P321" s="4"/>
      <c r="Q321" s="4"/>
      <c r="R321" s="4"/>
    </row>
    <row r="322" spans="1:18" ht="17.399999999999999" x14ac:dyDescent="0.25">
      <c r="A322" s="4"/>
      <c r="B322" s="23"/>
      <c r="C322" s="4"/>
      <c r="D322" s="4"/>
      <c r="E322" s="5"/>
      <c r="F322" s="4"/>
      <c r="G322" s="4"/>
      <c r="H322" s="4"/>
      <c r="I322" s="4"/>
      <c r="J322" s="4"/>
      <c r="K322" s="4"/>
      <c r="L322" s="4"/>
      <c r="M322" s="4"/>
      <c r="N322" s="4"/>
      <c r="O322" s="4"/>
      <c r="P322" s="4"/>
      <c r="Q322" s="4"/>
      <c r="R322" s="4"/>
    </row>
    <row r="323" spans="1:18" ht="17.399999999999999" x14ac:dyDescent="0.25">
      <c r="A323" s="4"/>
      <c r="B323" s="23"/>
      <c r="C323" s="4"/>
      <c r="D323" s="4"/>
      <c r="E323" s="5"/>
      <c r="F323" s="4"/>
      <c r="G323" s="4"/>
      <c r="H323" s="4"/>
      <c r="I323" s="4"/>
      <c r="J323" s="4"/>
      <c r="K323" s="4"/>
      <c r="L323" s="4"/>
      <c r="M323" s="4"/>
      <c r="N323" s="4"/>
      <c r="O323" s="4"/>
      <c r="P323" s="4"/>
      <c r="Q323" s="4"/>
      <c r="R323" s="4"/>
    </row>
    <row r="324" spans="1:18" ht="17.399999999999999" x14ac:dyDescent="0.25">
      <c r="A324" s="4"/>
      <c r="B324" s="23"/>
      <c r="C324" s="4"/>
      <c r="D324" s="4"/>
      <c r="E324" s="5"/>
      <c r="F324" s="4"/>
      <c r="G324" s="4"/>
      <c r="H324" s="4"/>
      <c r="I324" s="4"/>
      <c r="J324" s="4"/>
      <c r="K324" s="4"/>
      <c r="L324" s="4"/>
      <c r="M324" s="4"/>
      <c r="N324" s="4"/>
      <c r="O324" s="4"/>
      <c r="P324" s="4"/>
      <c r="Q324" s="4"/>
      <c r="R324" s="4"/>
    </row>
    <row r="325" spans="1:18" ht="17.399999999999999" x14ac:dyDescent="0.25">
      <c r="A325" s="4"/>
      <c r="B325" s="23"/>
      <c r="C325" s="4"/>
      <c r="D325" s="4"/>
      <c r="E325" s="5"/>
      <c r="F325" s="4"/>
      <c r="G325" s="4"/>
      <c r="H325" s="4"/>
      <c r="I325" s="4"/>
      <c r="J325" s="4"/>
      <c r="K325" s="4"/>
      <c r="L325" s="4"/>
      <c r="M325" s="4"/>
      <c r="N325" s="4"/>
      <c r="O325" s="4"/>
      <c r="P325" s="4"/>
      <c r="Q325" s="4"/>
      <c r="R325" s="4"/>
    </row>
    <row r="326" spans="1:18" ht="17.399999999999999" x14ac:dyDescent="0.25">
      <c r="A326" s="4"/>
      <c r="B326" s="23"/>
      <c r="C326" s="4"/>
      <c r="D326" s="4"/>
      <c r="E326" s="5"/>
      <c r="F326" s="4"/>
      <c r="G326" s="4"/>
      <c r="H326" s="4"/>
      <c r="I326" s="4"/>
      <c r="J326" s="4"/>
      <c r="K326" s="4"/>
      <c r="L326" s="4"/>
      <c r="M326" s="4"/>
      <c r="N326" s="4"/>
      <c r="O326" s="4"/>
      <c r="P326" s="4"/>
      <c r="Q326" s="4"/>
      <c r="R326" s="4"/>
    </row>
    <row r="327" spans="1:18" ht="17.399999999999999" x14ac:dyDescent="0.25">
      <c r="A327" s="4"/>
      <c r="B327" s="23"/>
      <c r="C327" s="4"/>
      <c r="D327" s="4"/>
      <c r="E327" s="5"/>
      <c r="F327" s="4"/>
      <c r="G327" s="4"/>
      <c r="H327" s="4"/>
      <c r="I327" s="4"/>
      <c r="J327" s="4"/>
      <c r="K327" s="4"/>
      <c r="L327" s="4"/>
      <c r="M327" s="4"/>
      <c r="N327" s="4"/>
      <c r="O327" s="4"/>
      <c r="P327" s="4"/>
      <c r="Q327" s="4"/>
      <c r="R327" s="4"/>
    </row>
    <row r="328" spans="1:18" ht="17.399999999999999" x14ac:dyDescent="0.25">
      <c r="A328" s="4"/>
      <c r="B328" s="23"/>
      <c r="C328" s="4"/>
      <c r="D328" s="4"/>
      <c r="E328" s="5"/>
      <c r="F328" s="4"/>
      <c r="G328" s="4"/>
      <c r="H328" s="4"/>
      <c r="I328" s="4"/>
      <c r="J328" s="4"/>
      <c r="K328" s="4"/>
      <c r="L328" s="4"/>
      <c r="M328" s="4"/>
      <c r="N328" s="4"/>
      <c r="O328" s="4"/>
      <c r="P328" s="4"/>
      <c r="Q328" s="4"/>
      <c r="R328" s="4"/>
    </row>
    <row r="329" spans="1:18" ht="17.399999999999999" x14ac:dyDescent="0.25">
      <c r="A329" s="4"/>
      <c r="B329" s="23"/>
      <c r="C329" s="4"/>
      <c r="D329" s="4"/>
      <c r="E329" s="5"/>
      <c r="F329" s="4"/>
      <c r="G329" s="4"/>
      <c r="H329" s="4"/>
      <c r="I329" s="4"/>
      <c r="J329" s="4"/>
      <c r="K329" s="4"/>
      <c r="L329" s="4"/>
      <c r="M329" s="4"/>
      <c r="N329" s="4"/>
      <c r="O329" s="4"/>
      <c r="P329" s="4"/>
      <c r="Q329" s="4"/>
      <c r="R329" s="4"/>
    </row>
    <row r="330" spans="1:18" ht="17.399999999999999" x14ac:dyDescent="0.25">
      <c r="A330" s="4"/>
      <c r="B330" s="23"/>
      <c r="C330" s="4"/>
      <c r="D330" s="4"/>
      <c r="E330" s="5"/>
      <c r="F330" s="4"/>
      <c r="G330" s="4"/>
      <c r="H330" s="4"/>
      <c r="I330" s="4"/>
      <c r="J330" s="4"/>
      <c r="K330" s="4"/>
      <c r="L330" s="4"/>
      <c r="M330" s="4"/>
      <c r="N330" s="4"/>
      <c r="O330" s="4"/>
      <c r="P330" s="4"/>
      <c r="Q330" s="4"/>
      <c r="R330" s="4"/>
    </row>
    <row r="331" spans="1:18" ht="17.399999999999999" x14ac:dyDescent="0.25">
      <c r="A331" s="4"/>
      <c r="B331" s="23"/>
      <c r="C331" s="4"/>
      <c r="D331" s="4"/>
      <c r="E331" s="5"/>
      <c r="F331" s="4"/>
      <c r="G331" s="4"/>
      <c r="H331" s="4"/>
      <c r="I331" s="4"/>
      <c r="J331" s="4"/>
      <c r="K331" s="4"/>
      <c r="L331" s="4"/>
      <c r="M331" s="4"/>
      <c r="N331" s="4"/>
      <c r="O331" s="4"/>
      <c r="P331" s="4"/>
      <c r="Q331" s="4"/>
      <c r="R331" s="4"/>
    </row>
    <row r="332" spans="1:18" ht="17.399999999999999" x14ac:dyDescent="0.25">
      <c r="A332" s="4"/>
      <c r="B332" s="23"/>
      <c r="C332" s="4"/>
      <c r="D332" s="4"/>
      <c r="E332" s="5"/>
      <c r="F332" s="4"/>
      <c r="G332" s="4"/>
      <c r="H332" s="4"/>
      <c r="I332" s="4"/>
      <c r="J332" s="4"/>
      <c r="K332" s="4"/>
      <c r="L332" s="4"/>
      <c r="M332" s="4"/>
      <c r="N332" s="4"/>
      <c r="O332" s="4"/>
      <c r="P332" s="4"/>
      <c r="Q332" s="4"/>
      <c r="R332" s="4"/>
    </row>
    <row r="333" spans="1:18" ht="17.399999999999999" x14ac:dyDescent="0.25">
      <c r="A333" s="4"/>
      <c r="B333" s="23"/>
      <c r="C333" s="4"/>
      <c r="D333" s="4"/>
      <c r="E333" s="5"/>
      <c r="F333" s="4"/>
      <c r="G333" s="4"/>
      <c r="H333" s="4"/>
      <c r="I333" s="4"/>
      <c r="J333" s="4"/>
      <c r="K333" s="4"/>
      <c r="L333" s="4"/>
      <c r="M333" s="4"/>
      <c r="N333" s="4"/>
      <c r="O333" s="4"/>
      <c r="P333" s="4"/>
      <c r="Q333" s="4"/>
      <c r="R333" s="4"/>
    </row>
    <row r="334" spans="1:18" ht="17.399999999999999" x14ac:dyDescent="0.25">
      <c r="A334" s="4"/>
      <c r="B334" s="23"/>
      <c r="C334" s="4"/>
      <c r="D334" s="4"/>
      <c r="E334" s="5"/>
      <c r="F334" s="4"/>
      <c r="G334" s="4"/>
      <c r="H334" s="4"/>
      <c r="I334" s="4"/>
      <c r="J334" s="4"/>
      <c r="K334" s="4"/>
      <c r="L334" s="4"/>
      <c r="M334" s="4"/>
      <c r="N334" s="4"/>
      <c r="O334" s="4"/>
      <c r="P334" s="4"/>
      <c r="Q334" s="4"/>
      <c r="R334" s="4"/>
    </row>
    <row r="335" spans="1:18" ht="17.399999999999999" x14ac:dyDescent="0.25">
      <c r="A335" s="4"/>
      <c r="B335" s="23"/>
      <c r="C335" s="4"/>
      <c r="D335" s="4"/>
      <c r="E335" s="5"/>
      <c r="F335" s="4"/>
      <c r="G335" s="4"/>
      <c r="H335" s="4"/>
      <c r="I335" s="4"/>
      <c r="J335" s="4"/>
      <c r="K335" s="4"/>
      <c r="L335" s="4"/>
      <c r="M335" s="4"/>
      <c r="N335" s="4"/>
      <c r="O335" s="4"/>
      <c r="P335" s="4"/>
      <c r="Q335" s="4"/>
      <c r="R335" s="4"/>
    </row>
    <row r="336" spans="1:18" ht="17.399999999999999" x14ac:dyDescent="0.25">
      <c r="A336" s="4"/>
      <c r="B336" s="23"/>
      <c r="C336" s="4"/>
      <c r="D336" s="4"/>
      <c r="E336" s="5"/>
      <c r="F336" s="4"/>
      <c r="G336" s="4"/>
      <c r="H336" s="4"/>
      <c r="I336" s="4"/>
      <c r="J336" s="4"/>
      <c r="K336" s="4"/>
      <c r="L336" s="4"/>
      <c r="M336" s="4"/>
      <c r="N336" s="4"/>
      <c r="O336" s="4"/>
      <c r="P336" s="4"/>
      <c r="Q336" s="4"/>
      <c r="R336" s="4"/>
    </row>
    <row r="337" spans="1:18" ht="17.399999999999999" x14ac:dyDescent="0.25">
      <c r="A337" s="4"/>
      <c r="B337" s="23"/>
      <c r="C337" s="4"/>
      <c r="D337" s="4"/>
      <c r="E337" s="5"/>
      <c r="F337" s="4"/>
      <c r="G337" s="4"/>
      <c r="H337" s="4"/>
      <c r="I337" s="4"/>
      <c r="J337" s="4"/>
      <c r="K337" s="4"/>
      <c r="L337" s="4"/>
      <c r="M337" s="4"/>
      <c r="N337" s="4"/>
      <c r="O337" s="4"/>
      <c r="P337" s="4"/>
      <c r="Q337" s="4"/>
      <c r="R337" s="4"/>
    </row>
    <row r="338" spans="1:18" ht="17.399999999999999" x14ac:dyDescent="0.25">
      <c r="A338" s="4"/>
      <c r="B338" s="23"/>
      <c r="C338" s="4"/>
      <c r="D338" s="4"/>
      <c r="E338" s="5"/>
      <c r="F338" s="4"/>
      <c r="G338" s="4"/>
      <c r="H338" s="4"/>
      <c r="I338" s="4"/>
      <c r="J338" s="4"/>
      <c r="K338" s="4"/>
      <c r="L338" s="4"/>
      <c r="M338" s="4"/>
      <c r="N338" s="4"/>
      <c r="O338" s="4"/>
      <c r="P338" s="4"/>
      <c r="Q338" s="4"/>
      <c r="R338" s="4"/>
    </row>
    <row r="339" spans="1:18" ht="17.399999999999999" x14ac:dyDescent="0.25">
      <c r="A339" s="4"/>
      <c r="B339" s="23"/>
      <c r="C339" s="4"/>
      <c r="D339" s="4"/>
      <c r="E339" s="5"/>
      <c r="F339" s="4"/>
      <c r="G339" s="4"/>
      <c r="H339" s="4"/>
      <c r="I339" s="4"/>
      <c r="J339" s="4"/>
      <c r="K339" s="4"/>
      <c r="L339" s="4"/>
      <c r="M339" s="4"/>
      <c r="N339" s="4"/>
      <c r="O339" s="4"/>
      <c r="P339" s="4"/>
      <c r="Q339" s="4"/>
      <c r="R339" s="4"/>
    </row>
    <row r="340" spans="1:18" ht="17.399999999999999" x14ac:dyDescent="0.25">
      <c r="A340" s="4"/>
      <c r="B340" s="23"/>
      <c r="C340" s="4"/>
      <c r="D340" s="4"/>
      <c r="E340" s="5"/>
      <c r="F340" s="4"/>
      <c r="G340" s="4"/>
      <c r="H340" s="4"/>
      <c r="I340" s="4"/>
      <c r="J340" s="4"/>
      <c r="K340" s="4"/>
      <c r="L340" s="4"/>
      <c r="M340" s="4"/>
      <c r="N340" s="4"/>
      <c r="O340" s="4"/>
      <c r="P340" s="4"/>
      <c r="Q340" s="4"/>
      <c r="R340" s="4"/>
    </row>
    <row r="341" spans="1:18" ht="17.399999999999999" x14ac:dyDescent="0.25">
      <c r="A341" s="4"/>
      <c r="B341" s="23"/>
      <c r="C341" s="4"/>
      <c r="D341" s="4"/>
      <c r="E341" s="5"/>
      <c r="F341" s="4"/>
      <c r="G341" s="4"/>
      <c r="H341" s="4"/>
      <c r="I341" s="4"/>
      <c r="J341" s="4"/>
      <c r="K341" s="4"/>
      <c r="L341" s="4"/>
      <c r="M341" s="4"/>
      <c r="N341" s="4"/>
      <c r="O341" s="4"/>
      <c r="P341" s="4"/>
      <c r="Q341" s="4"/>
      <c r="R341" s="4"/>
    </row>
    <row r="342" spans="1:18" ht="17.399999999999999" x14ac:dyDescent="0.25">
      <c r="A342" s="4"/>
      <c r="B342" s="23"/>
      <c r="C342" s="4"/>
      <c r="D342" s="4"/>
      <c r="E342" s="5"/>
      <c r="F342" s="4"/>
      <c r="G342" s="4"/>
      <c r="H342" s="4"/>
      <c r="I342" s="4"/>
      <c r="J342" s="4"/>
      <c r="K342" s="4"/>
      <c r="L342" s="4"/>
      <c r="M342" s="4"/>
      <c r="N342" s="4"/>
      <c r="O342" s="4"/>
      <c r="P342" s="4"/>
      <c r="Q342" s="4"/>
      <c r="R342" s="4"/>
    </row>
    <row r="343" spans="1:18" ht="17.399999999999999" x14ac:dyDescent="0.25">
      <c r="A343" s="4"/>
      <c r="B343" s="23"/>
      <c r="C343" s="4"/>
      <c r="D343" s="4"/>
      <c r="E343" s="5"/>
      <c r="F343" s="4"/>
      <c r="G343" s="4"/>
      <c r="H343" s="4"/>
      <c r="I343" s="4"/>
      <c r="J343" s="4"/>
      <c r="K343" s="4"/>
      <c r="L343" s="4"/>
      <c r="M343" s="4"/>
      <c r="N343" s="4"/>
      <c r="O343" s="4"/>
      <c r="P343" s="4"/>
      <c r="Q343" s="4"/>
      <c r="R343" s="4"/>
    </row>
    <row r="344" spans="1:18" ht="17.399999999999999" x14ac:dyDescent="0.25">
      <c r="A344" s="4"/>
      <c r="B344" s="23"/>
      <c r="C344" s="4"/>
      <c r="D344" s="4"/>
      <c r="E344" s="5"/>
      <c r="F344" s="4"/>
      <c r="G344" s="4"/>
      <c r="H344" s="4"/>
      <c r="I344" s="4"/>
      <c r="J344" s="4"/>
      <c r="K344" s="4"/>
      <c r="L344" s="4"/>
      <c r="M344" s="4"/>
      <c r="N344" s="4"/>
      <c r="O344" s="4"/>
      <c r="P344" s="4"/>
      <c r="Q344" s="4"/>
      <c r="R344" s="4"/>
    </row>
    <row r="345" spans="1:18" ht="17.399999999999999" x14ac:dyDescent="0.25">
      <c r="A345" s="4"/>
      <c r="B345" s="23"/>
      <c r="C345" s="4"/>
      <c r="D345" s="4"/>
      <c r="E345" s="5"/>
      <c r="F345" s="4"/>
      <c r="G345" s="4"/>
      <c r="H345" s="4"/>
      <c r="I345" s="4"/>
      <c r="J345" s="4"/>
      <c r="K345" s="4"/>
      <c r="L345" s="4"/>
      <c r="M345" s="4"/>
      <c r="N345" s="4"/>
      <c r="O345" s="4"/>
      <c r="P345" s="4"/>
      <c r="Q345" s="4"/>
      <c r="R345" s="4"/>
    </row>
    <row r="346" spans="1:18" ht="17.399999999999999" x14ac:dyDescent="0.25">
      <c r="A346" s="4"/>
      <c r="B346" s="23"/>
      <c r="C346" s="4"/>
      <c r="D346" s="4"/>
      <c r="E346" s="5"/>
      <c r="F346" s="4"/>
      <c r="G346" s="4"/>
      <c r="H346" s="4"/>
      <c r="I346" s="4"/>
      <c r="J346" s="4"/>
      <c r="K346" s="4"/>
      <c r="L346" s="4"/>
      <c r="M346" s="4"/>
      <c r="N346" s="4"/>
      <c r="O346" s="4"/>
      <c r="P346" s="4"/>
      <c r="Q346" s="4"/>
      <c r="R346" s="4"/>
    </row>
    <row r="347" spans="1:18" ht="17.399999999999999" x14ac:dyDescent="0.25">
      <c r="A347" s="4"/>
      <c r="B347" s="23"/>
      <c r="C347" s="4"/>
      <c r="D347" s="4"/>
      <c r="E347" s="5"/>
      <c r="F347" s="4"/>
      <c r="G347" s="4"/>
      <c r="H347" s="4"/>
      <c r="I347" s="4"/>
      <c r="J347" s="4"/>
      <c r="K347" s="4"/>
      <c r="L347" s="4"/>
      <c r="M347" s="4"/>
      <c r="N347" s="4"/>
      <c r="O347" s="4"/>
      <c r="P347" s="4"/>
      <c r="Q347" s="4"/>
      <c r="R347" s="4"/>
    </row>
    <row r="348" spans="1:18" ht="17.399999999999999" x14ac:dyDescent="0.25">
      <c r="A348" s="4"/>
      <c r="B348" s="23"/>
      <c r="C348" s="4"/>
      <c r="D348" s="4"/>
      <c r="E348" s="5"/>
      <c r="F348" s="4"/>
      <c r="G348" s="4"/>
      <c r="H348" s="4"/>
      <c r="I348" s="4"/>
      <c r="J348" s="4"/>
      <c r="K348" s="4"/>
      <c r="L348" s="4"/>
      <c r="M348" s="4"/>
      <c r="N348" s="4"/>
      <c r="O348" s="4"/>
      <c r="P348" s="4"/>
      <c r="Q348" s="4"/>
      <c r="R348" s="4"/>
    </row>
    <row r="349" spans="1:18" ht="17.399999999999999" x14ac:dyDescent="0.25">
      <c r="A349" s="4"/>
      <c r="B349" s="23"/>
      <c r="C349" s="4"/>
      <c r="D349" s="4"/>
      <c r="E349" s="5"/>
      <c r="F349" s="4"/>
      <c r="G349" s="4"/>
      <c r="H349" s="4"/>
      <c r="I349" s="4"/>
      <c r="J349" s="4"/>
      <c r="K349" s="4"/>
      <c r="L349" s="4"/>
      <c r="M349" s="4"/>
      <c r="N349" s="4"/>
      <c r="O349" s="4"/>
      <c r="P349" s="4"/>
      <c r="Q349" s="4"/>
      <c r="R349" s="4"/>
    </row>
    <row r="350" spans="1:18" ht="17.399999999999999" x14ac:dyDescent="0.25">
      <c r="A350" s="4"/>
      <c r="B350" s="23"/>
      <c r="C350" s="4"/>
      <c r="D350" s="4"/>
      <c r="E350" s="5"/>
      <c r="F350" s="4"/>
      <c r="G350" s="4"/>
      <c r="H350" s="4"/>
      <c r="I350" s="4"/>
      <c r="J350" s="4"/>
      <c r="K350" s="4"/>
      <c r="L350" s="4"/>
      <c r="M350" s="4"/>
      <c r="N350" s="4"/>
      <c r="O350" s="4"/>
      <c r="P350" s="4"/>
      <c r="Q350" s="4"/>
      <c r="R350" s="4"/>
    </row>
    <row r="351" spans="1:18" ht="17.399999999999999" x14ac:dyDescent="0.25">
      <c r="A351" s="4"/>
      <c r="B351" s="23"/>
      <c r="C351" s="4"/>
      <c r="D351" s="4"/>
      <c r="E351" s="5"/>
      <c r="F351" s="4"/>
      <c r="G351" s="4"/>
      <c r="H351" s="4"/>
      <c r="I351" s="4"/>
      <c r="J351" s="4"/>
      <c r="K351" s="4"/>
      <c r="L351" s="4"/>
      <c r="M351" s="4"/>
      <c r="N351" s="4"/>
      <c r="O351" s="4"/>
      <c r="P351" s="4"/>
      <c r="Q351" s="4"/>
      <c r="R351" s="4"/>
    </row>
    <row r="352" spans="1:18" ht="17.399999999999999" x14ac:dyDescent="0.25">
      <c r="A352" s="4"/>
      <c r="B352" s="23"/>
      <c r="C352" s="4"/>
      <c r="D352" s="4"/>
      <c r="E352" s="5"/>
      <c r="F352" s="4"/>
      <c r="G352" s="4"/>
      <c r="H352" s="4"/>
      <c r="I352" s="4"/>
      <c r="J352" s="4"/>
      <c r="K352" s="4"/>
      <c r="L352" s="4"/>
      <c r="M352" s="4"/>
      <c r="N352" s="4"/>
      <c r="O352" s="4"/>
      <c r="P352" s="4"/>
      <c r="Q352" s="4"/>
      <c r="R352" s="4"/>
    </row>
    <row r="353" spans="1:18" ht="17.399999999999999" x14ac:dyDescent="0.25">
      <c r="A353" s="4"/>
      <c r="B353" s="23"/>
      <c r="C353" s="4"/>
      <c r="D353" s="4"/>
      <c r="E353" s="5"/>
      <c r="F353" s="4"/>
      <c r="G353" s="4"/>
      <c r="H353" s="4"/>
      <c r="I353" s="4"/>
      <c r="J353" s="4"/>
      <c r="K353" s="4"/>
      <c r="L353" s="4"/>
      <c r="M353" s="4"/>
      <c r="N353" s="4"/>
      <c r="O353" s="4"/>
      <c r="P353" s="4"/>
      <c r="Q353" s="4"/>
      <c r="R353" s="4"/>
    </row>
    <row r="354" spans="1:18" ht="17.399999999999999" x14ac:dyDescent="0.25">
      <c r="A354" s="4"/>
      <c r="B354" s="23"/>
      <c r="C354" s="4"/>
      <c r="D354" s="4"/>
      <c r="E354" s="5"/>
      <c r="F354" s="4"/>
      <c r="G354" s="4"/>
      <c r="H354" s="4"/>
      <c r="I354" s="4"/>
      <c r="J354" s="4"/>
      <c r="K354" s="4"/>
      <c r="L354" s="4"/>
      <c r="M354" s="4"/>
      <c r="N354" s="4"/>
      <c r="O354" s="4"/>
      <c r="P354" s="4"/>
      <c r="Q354" s="4"/>
      <c r="R354" s="4"/>
    </row>
    <row r="355" spans="1:18" ht="17.399999999999999" x14ac:dyDescent="0.25">
      <c r="A355" s="4"/>
      <c r="B355" s="23"/>
      <c r="C355" s="4"/>
      <c r="D355" s="4"/>
      <c r="E355" s="5"/>
      <c r="F355" s="4"/>
      <c r="G355" s="4"/>
      <c r="H355" s="4"/>
      <c r="I355" s="4"/>
      <c r="J355" s="4"/>
      <c r="K355" s="4"/>
      <c r="L355" s="4"/>
      <c r="M355" s="4"/>
      <c r="N355" s="4"/>
      <c r="O355" s="4"/>
      <c r="P355" s="4"/>
      <c r="Q355" s="4"/>
      <c r="R355" s="4"/>
    </row>
    <row r="356" spans="1:18" ht="17.399999999999999" x14ac:dyDescent="0.25">
      <c r="A356" s="4"/>
      <c r="B356" s="23"/>
      <c r="C356" s="4"/>
      <c r="D356" s="4"/>
      <c r="E356" s="5"/>
      <c r="F356" s="4"/>
      <c r="G356" s="4"/>
      <c r="H356" s="4"/>
      <c r="I356" s="4"/>
      <c r="J356" s="4"/>
      <c r="K356" s="4"/>
      <c r="L356" s="4"/>
      <c r="M356" s="4"/>
      <c r="N356" s="4"/>
      <c r="O356" s="4"/>
      <c r="P356" s="4"/>
      <c r="Q356" s="4"/>
      <c r="R356" s="4"/>
    </row>
    <row r="357" spans="1:18" ht="17.399999999999999" x14ac:dyDescent="0.25">
      <c r="A357" s="4"/>
      <c r="B357" s="23"/>
      <c r="C357" s="4"/>
      <c r="D357" s="4"/>
      <c r="E357" s="5"/>
      <c r="F357" s="4"/>
      <c r="G357" s="4"/>
      <c r="H357" s="4"/>
      <c r="I357" s="4"/>
      <c r="J357" s="4"/>
      <c r="K357" s="4"/>
      <c r="L357" s="4"/>
      <c r="M357" s="4"/>
      <c r="N357" s="4"/>
      <c r="O357" s="4"/>
      <c r="P357" s="4"/>
      <c r="Q357" s="4"/>
      <c r="R357" s="4"/>
    </row>
    <row r="358" spans="1:18" ht="17.399999999999999" x14ac:dyDescent="0.25">
      <c r="A358" s="4"/>
      <c r="B358" s="23"/>
      <c r="C358" s="4"/>
      <c r="D358" s="4"/>
      <c r="E358" s="5"/>
      <c r="F358" s="4"/>
      <c r="G358" s="4"/>
      <c r="H358" s="4"/>
      <c r="I358" s="4"/>
      <c r="J358" s="4"/>
      <c r="K358" s="4"/>
      <c r="L358" s="4"/>
      <c r="M358" s="4"/>
      <c r="N358" s="4"/>
      <c r="O358" s="4"/>
      <c r="P358" s="4"/>
      <c r="Q358" s="4"/>
      <c r="R358" s="4"/>
    </row>
    <row r="359" spans="1:18" ht="17.399999999999999" x14ac:dyDescent="0.25">
      <c r="A359" s="4"/>
      <c r="B359" s="23"/>
      <c r="C359" s="4"/>
      <c r="D359" s="4"/>
      <c r="E359" s="5"/>
      <c r="F359" s="4"/>
      <c r="G359" s="4"/>
      <c r="H359" s="4"/>
      <c r="I359" s="4"/>
      <c r="J359" s="4"/>
      <c r="K359" s="4"/>
      <c r="L359" s="4"/>
      <c r="M359" s="4"/>
      <c r="N359" s="4"/>
      <c r="O359" s="4"/>
      <c r="P359" s="4"/>
      <c r="Q359" s="4"/>
      <c r="R359" s="4"/>
    </row>
    <row r="360" spans="1:18" ht="17.399999999999999" x14ac:dyDescent="0.25">
      <c r="A360" s="4"/>
      <c r="B360" s="23"/>
      <c r="C360" s="4"/>
      <c r="D360" s="4"/>
      <c r="E360" s="5"/>
      <c r="F360" s="4"/>
      <c r="G360" s="4"/>
      <c r="H360" s="4"/>
      <c r="I360" s="4"/>
      <c r="J360" s="4"/>
      <c r="K360" s="4"/>
      <c r="L360" s="4"/>
      <c r="M360" s="4"/>
      <c r="N360" s="4"/>
      <c r="O360" s="4"/>
      <c r="P360" s="4"/>
      <c r="Q360" s="4"/>
      <c r="R360" s="4"/>
    </row>
    <row r="361" spans="1:18" ht="17.399999999999999" x14ac:dyDescent="0.25">
      <c r="A361" s="4"/>
      <c r="B361" s="23"/>
      <c r="C361" s="4"/>
      <c r="D361" s="4"/>
      <c r="E361" s="5"/>
      <c r="F361" s="4"/>
      <c r="G361" s="4"/>
      <c r="H361" s="4"/>
      <c r="I361" s="4"/>
      <c r="J361" s="4"/>
      <c r="K361" s="4"/>
      <c r="L361" s="4"/>
      <c r="M361" s="4"/>
      <c r="N361" s="4"/>
      <c r="O361" s="4"/>
      <c r="P361" s="4"/>
      <c r="Q361" s="4"/>
      <c r="R361" s="4"/>
    </row>
    <row r="362" spans="1:18" ht="17.399999999999999" x14ac:dyDescent="0.25">
      <c r="A362" s="4"/>
      <c r="B362" s="23"/>
      <c r="C362" s="4"/>
      <c r="D362" s="4"/>
      <c r="E362" s="5"/>
      <c r="F362" s="4"/>
      <c r="G362" s="4"/>
      <c r="H362" s="4"/>
      <c r="I362" s="4"/>
      <c r="J362" s="4"/>
      <c r="K362" s="4"/>
      <c r="L362" s="4"/>
      <c r="M362" s="4"/>
      <c r="N362" s="4"/>
      <c r="O362" s="4"/>
      <c r="P362" s="4"/>
      <c r="Q362" s="4"/>
      <c r="R362" s="4"/>
    </row>
    <row r="363" spans="1:18" ht="17.399999999999999" x14ac:dyDescent="0.25">
      <c r="A363" s="4"/>
      <c r="B363" s="23"/>
      <c r="C363" s="4"/>
      <c r="D363" s="4"/>
      <c r="E363" s="5"/>
      <c r="F363" s="4"/>
      <c r="G363" s="4"/>
      <c r="H363" s="4"/>
      <c r="I363" s="4"/>
      <c r="J363" s="4"/>
      <c r="K363" s="4"/>
      <c r="L363" s="4"/>
      <c r="M363" s="4"/>
      <c r="N363" s="4"/>
      <c r="O363" s="4"/>
      <c r="P363" s="4"/>
      <c r="Q363" s="4"/>
      <c r="R363" s="4"/>
    </row>
    <row r="364" spans="1:18" ht="17.399999999999999" x14ac:dyDescent="0.25">
      <c r="A364" s="4"/>
      <c r="B364" s="23"/>
      <c r="C364" s="4"/>
      <c r="D364" s="4"/>
      <c r="E364" s="5"/>
      <c r="F364" s="4"/>
      <c r="G364" s="4"/>
      <c r="H364" s="4"/>
      <c r="I364" s="4"/>
      <c r="J364" s="4"/>
      <c r="K364" s="4"/>
      <c r="L364" s="4"/>
      <c r="M364" s="4"/>
      <c r="N364" s="4"/>
      <c r="O364" s="4"/>
      <c r="P364" s="4"/>
      <c r="Q364" s="4"/>
      <c r="R364" s="4"/>
    </row>
    <row r="365" spans="1:18" ht="17.399999999999999" x14ac:dyDescent="0.25">
      <c r="A365" s="4"/>
      <c r="B365" s="23"/>
      <c r="C365" s="4"/>
      <c r="D365" s="4"/>
      <c r="E365" s="5"/>
      <c r="F365" s="4"/>
      <c r="G365" s="4"/>
      <c r="H365" s="4"/>
      <c r="I365" s="4"/>
      <c r="J365" s="4"/>
      <c r="K365" s="4"/>
      <c r="L365" s="4"/>
      <c r="M365" s="4"/>
      <c r="N365" s="4"/>
      <c r="O365" s="4"/>
      <c r="P365" s="4"/>
      <c r="Q365" s="4"/>
      <c r="R365" s="4"/>
    </row>
    <row r="366" spans="1:18" ht="17.399999999999999" x14ac:dyDescent="0.25">
      <c r="A366" s="4"/>
      <c r="B366" s="23"/>
      <c r="C366" s="4"/>
      <c r="D366" s="4"/>
      <c r="E366" s="5"/>
      <c r="F366" s="4"/>
      <c r="G366" s="4"/>
      <c r="H366" s="4"/>
      <c r="I366" s="4"/>
      <c r="J366" s="4"/>
      <c r="K366" s="4"/>
      <c r="L366" s="4"/>
      <c r="M366" s="4"/>
      <c r="N366" s="4"/>
      <c r="O366" s="4"/>
      <c r="P366" s="4"/>
      <c r="Q366" s="4"/>
      <c r="R366" s="4"/>
    </row>
    <row r="367" spans="1:18" ht="17.399999999999999" x14ac:dyDescent="0.25">
      <c r="A367" s="4"/>
      <c r="B367" s="23"/>
      <c r="C367" s="4"/>
      <c r="D367" s="4"/>
      <c r="E367" s="5"/>
      <c r="F367" s="4"/>
      <c r="G367" s="4"/>
      <c r="H367" s="4"/>
      <c r="I367" s="4"/>
      <c r="J367" s="4"/>
      <c r="K367" s="4"/>
      <c r="L367" s="4"/>
      <c r="M367" s="4"/>
      <c r="N367" s="4"/>
      <c r="O367" s="4"/>
      <c r="P367" s="4"/>
      <c r="Q367" s="4"/>
      <c r="R367" s="4"/>
    </row>
    <row r="368" spans="1:18" ht="17.399999999999999" x14ac:dyDescent="0.25">
      <c r="A368" s="4"/>
      <c r="B368" s="23"/>
      <c r="C368" s="4"/>
      <c r="D368" s="4"/>
      <c r="E368" s="5"/>
      <c r="F368" s="4"/>
      <c r="G368" s="4"/>
      <c r="H368" s="4"/>
      <c r="I368" s="4"/>
      <c r="J368" s="4"/>
      <c r="K368" s="4"/>
      <c r="L368" s="4"/>
      <c r="M368" s="4"/>
      <c r="N368" s="4"/>
      <c r="O368" s="4"/>
      <c r="P368" s="4"/>
      <c r="Q368" s="4"/>
      <c r="R368" s="4"/>
    </row>
    <row r="369" spans="1:18" ht="17.399999999999999" x14ac:dyDescent="0.25">
      <c r="A369" s="4"/>
      <c r="B369" s="23"/>
      <c r="C369" s="4"/>
      <c r="D369" s="4"/>
      <c r="E369" s="5"/>
      <c r="F369" s="4"/>
      <c r="G369" s="4"/>
      <c r="H369" s="4"/>
      <c r="I369" s="4"/>
      <c r="J369" s="4"/>
      <c r="K369" s="4"/>
      <c r="L369" s="4"/>
      <c r="M369" s="4"/>
      <c r="N369" s="4"/>
      <c r="O369" s="4"/>
      <c r="P369" s="4"/>
      <c r="Q369" s="4"/>
      <c r="R369" s="4"/>
    </row>
    <row r="370" spans="1:18" ht="17.399999999999999" x14ac:dyDescent="0.25">
      <c r="A370" s="4"/>
      <c r="B370" s="23"/>
      <c r="C370" s="4"/>
      <c r="D370" s="4"/>
      <c r="E370" s="5"/>
      <c r="F370" s="4"/>
      <c r="G370" s="4"/>
      <c r="H370" s="4"/>
      <c r="I370" s="4"/>
      <c r="J370" s="4"/>
      <c r="K370" s="4"/>
      <c r="L370" s="4"/>
      <c r="M370" s="4"/>
      <c r="N370" s="4"/>
      <c r="O370" s="4"/>
      <c r="P370" s="4"/>
      <c r="Q370" s="4"/>
      <c r="R370" s="4"/>
    </row>
    <row r="371" spans="1:18" ht="17.399999999999999" x14ac:dyDescent="0.25">
      <c r="A371" s="4"/>
      <c r="B371" s="23"/>
      <c r="C371" s="4"/>
      <c r="D371" s="4"/>
      <c r="E371" s="5"/>
      <c r="F371" s="4"/>
      <c r="G371" s="4"/>
      <c r="H371" s="4"/>
      <c r="I371" s="4"/>
      <c r="J371" s="4"/>
      <c r="K371" s="4"/>
      <c r="L371" s="4"/>
      <c r="M371" s="4"/>
      <c r="N371" s="4"/>
      <c r="O371" s="4"/>
      <c r="P371" s="4"/>
      <c r="Q371" s="4"/>
      <c r="R371" s="4"/>
    </row>
    <row r="372" spans="1:18" ht="17.399999999999999" x14ac:dyDescent="0.25">
      <c r="A372" s="4"/>
      <c r="B372" s="23"/>
      <c r="C372" s="4"/>
      <c r="D372" s="4"/>
      <c r="E372" s="5"/>
      <c r="F372" s="4"/>
      <c r="G372" s="4"/>
      <c r="H372" s="4"/>
      <c r="I372" s="4"/>
      <c r="J372" s="4"/>
      <c r="K372" s="4"/>
      <c r="L372" s="4"/>
      <c r="M372" s="4"/>
      <c r="N372" s="4"/>
      <c r="O372" s="4"/>
      <c r="P372" s="4"/>
      <c r="Q372" s="4"/>
      <c r="R372" s="4"/>
    </row>
    <row r="373" spans="1:18" ht="17.399999999999999" x14ac:dyDescent="0.25">
      <c r="A373" s="4"/>
      <c r="B373" s="23"/>
      <c r="C373" s="4"/>
      <c r="D373" s="4"/>
      <c r="E373" s="5"/>
      <c r="F373" s="4"/>
      <c r="G373" s="4"/>
      <c r="H373" s="4"/>
      <c r="I373" s="4"/>
      <c r="J373" s="4"/>
      <c r="K373" s="4"/>
      <c r="L373" s="4"/>
      <c r="M373" s="4"/>
      <c r="N373" s="4"/>
      <c r="O373" s="4"/>
      <c r="P373" s="4"/>
      <c r="Q373" s="4"/>
      <c r="R373" s="4"/>
    </row>
    <row r="374" spans="1:18" ht="17.399999999999999" x14ac:dyDescent="0.25">
      <c r="A374" s="4"/>
      <c r="B374" s="23"/>
      <c r="C374" s="4"/>
      <c r="D374" s="4"/>
      <c r="E374" s="5"/>
      <c r="F374" s="4"/>
      <c r="G374" s="4"/>
      <c r="H374" s="4"/>
      <c r="I374" s="4"/>
      <c r="J374" s="4"/>
      <c r="K374" s="4"/>
      <c r="L374" s="4"/>
      <c r="M374" s="4"/>
      <c r="N374" s="4"/>
      <c r="O374" s="4"/>
      <c r="P374" s="4"/>
      <c r="Q374" s="4"/>
      <c r="R374" s="4"/>
    </row>
    <row r="375" spans="1:18" ht="17.399999999999999" x14ac:dyDescent="0.25">
      <c r="A375" s="4"/>
      <c r="B375" s="23"/>
      <c r="C375" s="4"/>
      <c r="D375" s="4"/>
      <c r="E375" s="5"/>
      <c r="F375" s="4"/>
      <c r="G375" s="4"/>
      <c r="H375" s="4"/>
      <c r="I375" s="4"/>
      <c r="J375" s="4"/>
      <c r="K375" s="4"/>
      <c r="L375" s="4"/>
      <c r="M375" s="4"/>
      <c r="N375" s="4"/>
      <c r="O375" s="4"/>
      <c r="P375" s="4"/>
      <c r="Q375" s="4"/>
      <c r="R375" s="4"/>
    </row>
    <row r="376" spans="1:18" ht="17.399999999999999" x14ac:dyDescent="0.25">
      <c r="A376" s="4"/>
      <c r="B376" s="23"/>
      <c r="C376" s="4"/>
      <c r="D376" s="4"/>
      <c r="E376" s="5"/>
      <c r="F376" s="4"/>
      <c r="G376" s="4"/>
      <c r="H376" s="4"/>
      <c r="I376" s="4"/>
      <c r="J376" s="4"/>
      <c r="K376" s="4"/>
      <c r="L376" s="4"/>
      <c r="M376" s="4"/>
      <c r="N376" s="4"/>
      <c r="O376" s="4"/>
      <c r="P376" s="4"/>
      <c r="Q376" s="4"/>
      <c r="R376" s="4"/>
    </row>
    <row r="377" spans="1:18" ht="17.399999999999999" x14ac:dyDescent="0.25">
      <c r="A377" s="4"/>
      <c r="B377" s="23"/>
      <c r="C377" s="4"/>
      <c r="D377" s="4"/>
      <c r="E377" s="5"/>
      <c r="F377" s="4"/>
      <c r="G377" s="4"/>
      <c r="H377" s="4"/>
      <c r="I377" s="4"/>
      <c r="J377" s="4"/>
      <c r="K377" s="4"/>
      <c r="L377" s="4"/>
      <c r="M377" s="4"/>
      <c r="N377" s="4"/>
      <c r="O377" s="4"/>
      <c r="P377" s="4"/>
      <c r="Q377" s="4"/>
      <c r="R377" s="4"/>
    </row>
    <row r="378" spans="1:18" ht="17.399999999999999" x14ac:dyDescent="0.25">
      <c r="A378" s="4"/>
      <c r="B378" s="23"/>
      <c r="C378" s="4"/>
      <c r="D378" s="4"/>
      <c r="E378" s="5"/>
      <c r="F378" s="4"/>
      <c r="G378" s="4"/>
      <c r="H378" s="4"/>
      <c r="I378" s="4"/>
      <c r="J378" s="4"/>
      <c r="K378" s="4"/>
      <c r="L378" s="4"/>
      <c r="M378" s="4"/>
      <c r="N378" s="4"/>
      <c r="O378" s="4"/>
      <c r="P378" s="4"/>
      <c r="Q378" s="4"/>
      <c r="R378" s="4"/>
    </row>
    <row r="379" spans="1:18" ht="17.399999999999999" x14ac:dyDescent="0.25">
      <c r="A379" s="4"/>
      <c r="B379" s="23"/>
      <c r="C379" s="4"/>
      <c r="D379" s="4"/>
      <c r="E379" s="5"/>
      <c r="F379" s="4"/>
      <c r="G379" s="4"/>
      <c r="H379" s="4"/>
      <c r="I379" s="4"/>
      <c r="J379" s="4"/>
      <c r="K379" s="4"/>
      <c r="L379" s="4"/>
      <c r="M379" s="4"/>
      <c r="N379" s="4"/>
      <c r="O379" s="4"/>
      <c r="P379" s="4"/>
      <c r="Q379" s="4"/>
      <c r="R379" s="4"/>
    </row>
    <row r="380" spans="1:18" ht="17.399999999999999" x14ac:dyDescent="0.25">
      <c r="A380" s="4"/>
      <c r="B380" s="23"/>
      <c r="C380" s="4"/>
      <c r="D380" s="4"/>
      <c r="E380" s="5"/>
      <c r="F380" s="4"/>
      <c r="G380" s="4"/>
      <c r="H380" s="4"/>
      <c r="I380" s="4"/>
      <c r="J380" s="4"/>
      <c r="K380" s="4"/>
      <c r="L380" s="4"/>
      <c r="M380" s="4"/>
      <c r="N380" s="4"/>
      <c r="O380" s="4"/>
      <c r="P380" s="4"/>
      <c r="Q380" s="4"/>
      <c r="R380" s="4"/>
    </row>
    <row r="381" spans="1:18" ht="17.399999999999999" x14ac:dyDescent="0.25">
      <c r="A381" s="4"/>
      <c r="B381" s="23"/>
      <c r="C381" s="4"/>
      <c r="D381" s="4"/>
      <c r="E381" s="5"/>
      <c r="F381" s="4"/>
      <c r="G381" s="4"/>
      <c r="H381" s="4"/>
      <c r="I381" s="4"/>
      <c r="J381" s="4"/>
      <c r="K381" s="4"/>
      <c r="L381" s="4"/>
      <c r="M381" s="4"/>
      <c r="N381" s="4"/>
      <c r="O381" s="4"/>
      <c r="P381" s="4"/>
      <c r="Q381" s="4"/>
      <c r="R381" s="4"/>
    </row>
    <row r="382" spans="1:18" ht="17.399999999999999" x14ac:dyDescent="0.25">
      <c r="A382" s="4"/>
      <c r="B382" s="23"/>
      <c r="C382" s="4"/>
      <c r="D382" s="4"/>
      <c r="E382" s="5"/>
      <c r="F382" s="4"/>
      <c r="G382" s="4"/>
      <c r="H382" s="4"/>
      <c r="I382" s="4"/>
      <c r="J382" s="4"/>
      <c r="K382" s="4"/>
      <c r="L382" s="4"/>
      <c r="M382" s="4"/>
      <c r="N382" s="4"/>
      <c r="O382" s="4"/>
      <c r="P382" s="4"/>
      <c r="Q382" s="4"/>
      <c r="R382" s="4"/>
    </row>
    <row r="383" spans="1:18" ht="17.399999999999999" x14ac:dyDescent="0.25">
      <c r="A383" s="4"/>
      <c r="B383" s="23"/>
      <c r="C383" s="4"/>
      <c r="D383" s="4"/>
      <c r="E383" s="5"/>
      <c r="F383" s="4"/>
      <c r="G383" s="4"/>
      <c r="H383" s="4"/>
      <c r="I383" s="4"/>
      <c r="J383" s="4"/>
      <c r="K383" s="4"/>
      <c r="L383" s="4"/>
      <c r="M383" s="4"/>
      <c r="N383" s="4"/>
      <c r="O383" s="4"/>
      <c r="P383" s="4"/>
      <c r="Q383" s="4"/>
      <c r="R383" s="4"/>
    </row>
    <row r="384" spans="1:18" ht="17.399999999999999" x14ac:dyDescent="0.25">
      <c r="A384" s="4"/>
      <c r="B384" s="23"/>
      <c r="C384" s="4"/>
      <c r="D384" s="4"/>
      <c r="E384" s="5"/>
      <c r="F384" s="4"/>
      <c r="G384" s="4"/>
      <c r="H384" s="4"/>
      <c r="I384" s="4"/>
      <c r="J384" s="4"/>
      <c r="K384" s="4"/>
      <c r="L384" s="4"/>
      <c r="M384" s="4"/>
      <c r="N384" s="4"/>
      <c r="O384" s="4"/>
      <c r="P384" s="4"/>
      <c r="Q384" s="4"/>
      <c r="R384" s="4"/>
    </row>
    <row r="385" spans="1:18" ht="17.399999999999999" x14ac:dyDescent="0.25">
      <c r="A385" s="4"/>
      <c r="B385" s="23"/>
      <c r="C385" s="4"/>
      <c r="D385" s="4"/>
      <c r="E385" s="5"/>
      <c r="F385" s="4"/>
      <c r="G385" s="4"/>
      <c r="H385" s="4"/>
      <c r="I385" s="4"/>
      <c r="J385" s="4"/>
      <c r="K385" s="4"/>
      <c r="L385" s="4"/>
      <c r="M385" s="4"/>
      <c r="N385" s="4"/>
      <c r="O385" s="4"/>
      <c r="P385" s="4"/>
      <c r="Q385" s="4"/>
      <c r="R385" s="4"/>
    </row>
    <row r="386" spans="1:18" ht="17.399999999999999" x14ac:dyDescent="0.25">
      <c r="A386" s="4"/>
      <c r="B386" s="23"/>
      <c r="C386" s="4"/>
      <c r="D386" s="4"/>
      <c r="E386" s="5"/>
      <c r="F386" s="4"/>
      <c r="G386" s="4"/>
      <c r="H386" s="4"/>
      <c r="I386" s="4"/>
      <c r="J386" s="4"/>
      <c r="K386" s="4"/>
      <c r="L386" s="4"/>
      <c r="M386" s="4"/>
      <c r="N386" s="4"/>
      <c r="O386" s="4"/>
      <c r="P386" s="4"/>
      <c r="Q386" s="4"/>
      <c r="R386" s="4"/>
    </row>
    <row r="387" spans="1:18" ht="17.399999999999999" x14ac:dyDescent="0.25">
      <c r="A387" s="4"/>
      <c r="B387" s="23"/>
      <c r="C387" s="4"/>
      <c r="D387" s="4"/>
      <c r="E387" s="5"/>
      <c r="F387" s="4"/>
      <c r="G387" s="4"/>
      <c r="H387" s="4"/>
      <c r="I387" s="4"/>
      <c r="J387" s="4"/>
      <c r="K387" s="4"/>
      <c r="L387" s="4"/>
      <c r="M387" s="4"/>
      <c r="N387" s="4"/>
      <c r="O387" s="4"/>
      <c r="P387" s="4"/>
      <c r="Q387" s="4"/>
      <c r="R387" s="4"/>
    </row>
    <row r="388" spans="1:18" ht="17.399999999999999" x14ac:dyDescent="0.25">
      <c r="A388" s="4"/>
      <c r="B388" s="23"/>
      <c r="C388" s="4"/>
      <c r="D388" s="4"/>
      <c r="E388" s="5"/>
      <c r="F388" s="4"/>
      <c r="G388" s="4"/>
      <c r="H388" s="4"/>
      <c r="I388" s="4"/>
      <c r="J388" s="4"/>
      <c r="K388" s="4"/>
      <c r="L388" s="4"/>
      <c r="M388" s="4"/>
      <c r="N388" s="4"/>
      <c r="O388" s="4"/>
      <c r="P388" s="4"/>
      <c r="Q388" s="4"/>
      <c r="R388" s="4"/>
    </row>
    <row r="389" spans="1:18" ht="17.399999999999999" x14ac:dyDescent="0.25">
      <c r="A389" s="4"/>
      <c r="B389" s="23"/>
      <c r="C389" s="4"/>
      <c r="D389" s="4"/>
      <c r="E389" s="5"/>
      <c r="F389" s="4"/>
      <c r="G389" s="4"/>
      <c r="H389" s="4"/>
      <c r="I389" s="4"/>
      <c r="J389" s="4"/>
      <c r="K389" s="4"/>
      <c r="L389" s="4"/>
      <c r="M389" s="4"/>
      <c r="N389" s="4"/>
      <c r="O389" s="4"/>
      <c r="P389" s="4"/>
      <c r="Q389" s="4"/>
      <c r="R389" s="4"/>
    </row>
    <row r="390" spans="1:18" ht="17.399999999999999" x14ac:dyDescent="0.25">
      <c r="A390" s="4"/>
      <c r="B390" s="23"/>
      <c r="C390" s="4"/>
      <c r="D390" s="4"/>
      <c r="E390" s="5"/>
      <c r="F390" s="4"/>
      <c r="G390" s="4"/>
      <c r="H390" s="4"/>
      <c r="I390" s="4"/>
      <c r="J390" s="4"/>
      <c r="K390" s="4"/>
      <c r="L390" s="4"/>
      <c r="M390" s="4"/>
      <c r="N390" s="4"/>
      <c r="O390" s="4"/>
      <c r="P390" s="4"/>
      <c r="Q390" s="4"/>
      <c r="R390" s="4"/>
    </row>
    <row r="391" spans="1:18" ht="17.399999999999999" x14ac:dyDescent="0.25">
      <c r="A391" s="4"/>
      <c r="B391" s="23"/>
      <c r="C391" s="4"/>
      <c r="D391" s="4"/>
      <c r="E391" s="5"/>
      <c r="F391" s="4"/>
      <c r="G391" s="4"/>
      <c r="H391" s="4"/>
      <c r="I391" s="4"/>
      <c r="J391" s="4"/>
      <c r="K391" s="4"/>
      <c r="L391" s="4"/>
      <c r="M391" s="4"/>
      <c r="N391" s="4"/>
      <c r="O391" s="4"/>
      <c r="P391" s="4"/>
      <c r="Q391" s="4"/>
      <c r="R391" s="4"/>
    </row>
    <row r="392" spans="1:18" ht="17.399999999999999" x14ac:dyDescent="0.25">
      <c r="A392" s="4"/>
      <c r="B392" s="23"/>
      <c r="C392" s="4"/>
      <c r="D392" s="4"/>
      <c r="E392" s="5"/>
      <c r="F392" s="4"/>
      <c r="G392" s="4"/>
      <c r="H392" s="4"/>
      <c r="I392" s="4"/>
      <c r="J392" s="4"/>
      <c r="K392" s="4"/>
      <c r="L392" s="4"/>
      <c r="M392" s="4"/>
      <c r="N392" s="4"/>
      <c r="O392" s="4"/>
      <c r="P392" s="4"/>
      <c r="Q392" s="4"/>
      <c r="R392" s="4"/>
    </row>
    <row r="393" spans="1:18" ht="17.399999999999999" x14ac:dyDescent="0.25">
      <c r="A393" s="4"/>
      <c r="B393" s="23"/>
      <c r="C393" s="4"/>
      <c r="D393" s="4"/>
      <c r="E393" s="5"/>
      <c r="F393" s="4"/>
      <c r="G393" s="4"/>
      <c r="H393" s="4"/>
      <c r="I393" s="4"/>
      <c r="J393" s="4"/>
      <c r="K393" s="4"/>
      <c r="L393" s="4"/>
      <c r="M393" s="4"/>
      <c r="N393" s="4"/>
      <c r="O393" s="4"/>
      <c r="P393" s="4"/>
      <c r="Q393" s="4"/>
      <c r="R393" s="4"/>
    </row>
    <row r="394" spans="1:18" ht="17.399999999999999" x14ac:dyDescent="0.25">
      <c r="A394" s="4"/>
      <c r="B394" s="23"/>
      <c r="C394" s="4"/>
      <c r="D394" s="4"/>
      <c r="E394" s="5"/>
      <c r="F394" s="4"/>
      <c r="G394" s="4"/>
      <c r="H394" s="4"/>
      <c r="I394" s="4"/>
      <c r="J394" s="4"/>
      <c r="K394" s="4"/>
      <c r="L394" s="4"/>
      <c r="M394" s="4"/>
      <c r="N394" s="4"/>
      <c r="O394" s="4"/>
      <c r="P394" s="4"/>
      <c r="Q394" s="4"/>
      <c r="R394" s="4"/>
    </row>
    <row r="395" spans="1:18" ht="17.399999999999999" x14ac:dyDescent="0.25">
      <c r="A395" s="4"/>
      <c r="B395" s="23"/>
      <c r="C395" s="4"/>
      <c r="D395" s="4"/>
      <c r="E395" s="5"/>
      <c r="F395" s="4"/>
      <c r="G395" s="4"/>
      <c r="H395" s="4"/>
      <c r="I395" s="4"/>
      <c r="J395" s="4"/>
      <c r="K395" s="4"/>
      <c r="L395" s="4"/>
      <c r="M395" s="4"/>
      <c r="N395" s="4"/>
      <c r="O395" s="4"/>
      <c r="P395" s="4"/>
      <c r="Q395" s="4"/>
      <c r="R395" s="4"/>
    </row>
    <row r="396" spans="1:18" ht="17.399999999999999" x14ac:dyDescent="0.25">
      <c r="A396" s="4"/>
      <c r="B396" s="23"/>
      <c r="C396" s="4"/>
      <c r="D396" s="4"/>
      <c r="E396" s="5"/>
      <c r="F396" s="4"/>
      <c r="G396" s="4"/>
      <c r="H396" s="4"/>
      <c r="I396" s="4"/>
      <c r="J396" s="4"/>
      <c r="K396" s="4"/>
      <c r="L396" s="4"/>
      <c r="M396" s="4"/>
      <c r="N396" s="4"/>
      <c r="O396" s="4"/>
      <c r="P396" s="4"/>
      <c r="Q396" s="4"/>
      <c r="R396" s="4"/>
    </row>
    <row r="397" spans="1:18" ht="17.399999999999999" x14ac:dyDescent="0.25">
      <c r="A397" s="4"/>
      <c r="B397" s="23"/>
      <c r="C397" s="4"/>
      <c r="D397" s="4"/>
      <c r="E397" s="5"/>
      <c r="F397" s="4"/>
      <c r="G397" s="4"/>
      <c r="H397" s="4"/>
      <c r="I397" s="4"/>
      <c r="J397" s="4"/>
      <c r="K397" s="4"/>
      <c r="L397" s="4"/>
      <c r="M397" s="4"/>
      <c r="N397" s="4"/>
      <c r="O397" s="4"/>
      <c r="P397" s="4"/>
      <c r="Q397" s="4"/>
      <c r="R397" s="4"/>
    </row>
    <row r="398" spans="1:18" ht="17.399999999999999" x14ac:dyDescent="0.25">
      <c r="A398" s="4"/>
      <c r="B398" s="23"/>
      <c r="C398" s="4"/>
      <c r="D398" s="4"/>
      <c r="E398" s="5"/>
      <c r="F398" s="4"/>
      <c r="G398" s="4"/>
      <c r="H398" s="4"/>
      <c r="I398" s="4"/>
      <c r="J398" s="4"/>
      <c r="K398" s="4"/>
      <c r="L398" s="4"/>
      <c r="M398" s="4"/>
      <c r="N398" s="4"/>
      <c r="O398" s="4"/>
      <c r="P398" s="4"/>
      <c r="Q398" s="4"/>
      <c r="R398" s="4"/>
    </row>
    <row r="399" spans="1:18" ht="17.399999999999999" x14ac:dyDescent="0.25">
      <c r="A399" s="4"/>
      <c r="B399" s="23"/>
      <c r="C399" s="4"/>
      <c r="D399" s="4"/>
      <c r="E399" s="5"/>
      <c r="F399" s="4"/>
      <c r="G399" s="4"/>
      <c r="H399" s="4"/>
      <c r="I399" s="4"/>
      <c r="J399" s="4"/>
      <c r="K399" s="4"/>
      <c r="L399" s="4"/>
      <c r="M399" s="4"/>
      <c r="N399" s="4"/>
      <c r="O399" s="4"/>
      <c r="P399" s="4"/>
      <c r="Q399" s="4"/>
      <c r="R399" s="4"/>
    </row>
    <row r="400" spans="1:18" ht="17.399999999999999" x14ac:dyDescent="0.25">
      <c r="A400" s="4"/>
      <c r="B400" s="23"/>
      <c r="C400" s="4"/>
      <c r="D400" s="4"/>
      <c r="E400" s="5"/>
      <c r="F400" s="4"/>
      <c r="G400" s="4"/>
      <c r="H400" s="4"/>
      <c r="I400" s="4"/>
      <c r="J400" s="4"/>
      <c r="K400" s="4"/>
      <c r="L400" s="4"/>
      <c r="M400" s="4"/>
      <c r="N400" s="4"/>
      <c r="O400" s="4"/>
      <c r="P400" s="4"/>
      <c r="Q400" s="4"/>
      <c r="R400" s="4"/>
    </row>
    <row r="401" spans="1:18" ht="17.399999999999999" x14ac:dyDescent="0.25">
      <c r="A401" s="4"/>
      <c r="B401" s="23"/>
      <c r="C401" s="4"/>
      <c r="D401" s="4"/>
      <c r="E401" s="5"/>
      <c r="F401" s="4"/>
      <c r="G401" s="4"/>
      <c r="H401" s="4"/>
      <c r="I401" s="4"/>
      <c r="J401" s="4"/>
      <c r="K401" s="4"/>
      <c r="L401" s="4"/>
      <c r="M401" s="4"/>
      <c r="N401" s="4"/>
      <c r="O401" s="4"/>
      <c r="P401" s="4"/>
      <c r="Q401" s="4"/>
      <c r="R401" s="4"/>
    </row>
    <row r="402" spans="1:18" ht="17.399999999999999" x14ac:dyDescent="0.25">
      <c r="A402" s="4"/>
      <c r="B402" s="23"/>
      <c r="C402" s="4"/>
      <c r="D402" s="4"/>
      <c r="E402" s="5"/>
      <c r="F402" s="4"/>
      <c r="G402" s="4"/>
      <c r="H402" s="4"/>
      <c r="I402" s="4"/>
      <c r="J402" s="4"/>
      <c r="K402" s="4"/>
      <c r="L402" s="4"/>
      <c r="M402" s="4"/>
      <c r="N402" s="4"/>
      <c r="O402" s="4"/>
      <c r="P402" s="4"/>
      <c r="Q402" s="4"/>
      <c r="R402" s="4"/>
    </row>
    <row r="403" spans="1:18" ht="17.399999999999999" x14ac:dyDescent="0.25">
      <c r="A403" s="4"/>
      <c r="B403" s="23"/>
      <c r="C403" s="4"/>
      <c r="D403" s="4"/>
      <c r="E403" s="5"/>
      <c r="F403" s="4"/>
      <c r="G403" s="4"/>
      <c r="H403" s="4"/>
      <c r="I403" s="4"/>
      <c r="J403" s="4"/>
      <c r="K403" s="4"/>
      <c r="L403" s="4"/>
      <c r="M403" s="4"/>
      <c r="N403" s="4"/>
      <c r="O403" s="4"/>
      <c r="P403" s="4"/>
      <c r="Q403" s="4"/>
      <c r="R403" s="4"/>
    </row>
    <row r="404" spans="1:18" ht="17.399999999999999" x14ac:dyDescent="0.25">
      <c r="A404" s="4"/>
      <c r="B404" s="23"/>
      <c r="C404" s="4"/>
      <c r="D404" s="4"/>
      <c r="E404" s="5"/>
      <c r="F404" s="4"/>
      <c r="G404" s="4"/>
      <c r="H404" s="4"/>
      <c r="I404" s="4"/>
      <c r="J404" s="4"/>
      <c r="K404" s="4"/>
      <c r="L404" s="4"/>
      <c r="M404" s="4"/>
      <c r="N404" s="4"/>
      <c r="O404" s="4"/>
      <c r="P404" s="4"/>
      <c r="Q404" s="4"/>
      <c r="R404" s="4"/>
    </row>
    <row r="405" spans="1:18" ht="17.399999999999999" x14ac:dyDescent="0.25">
      <c r="A405" s="4"/>
      <c r="B405" s="23"/>
      <c r="C405" s="4"/>
      <c r="D405" s="4"/>
      <c r="E405" s="5"/>
      <c r="F405" s="4"/>
      <c r="G405" s="4"/>
      <c r="H405" s="4"/>
      <c r="I405" s="4"/>
      <c r="J405" s="4"/>
      <c r="K405" s="4"/>
      <c r="L405" s="4"/>
      <c r="M405" s="4"/>
      <c r="N405" s="4"/>
      <c r="O405" s="4"/>
      <c r="P405" s="4"/>
      <c r="Q405" s="4"/>
      <c r="R405" s="4"/>
    </row>
    <row r="406" spans="1:18" ht="17.399999999999999" x14ac:dyDescent="0.25">
      <c r="A406" s="4"/>
      <c r="B406" s="23"/>
      <c r="C406" s="4"/>
      <c r="D406" s="4"/>
      <c r="E406" s="5"/>
      <c r="F406" s="4"/>
      <c r="G406" s="4"/>
      <c r="H406" s="4"/>
      <c r="I406" s="4"/>
      <c r="J406" s="4"/>
      <c r="K406" s="4"/>
      <c r="L406" s="4"/>
      <c r="M406" s="4"/>
      <c r="N406" s="4"/>
      <c r="O406" s="4"/>
      <c r="P406" s="4"/>
      <c r="Q406" s="4"/>
      <c r="R406" s="4"/>
    </row>
    <row r="407" spans="1:18" ht="17.399999999999999" x14ac:dyDescent="0.25">
      <c r="A407" s="4"/>
      <c r="B407" s="23"/>
      <c r="C407" s="4"/>
      <c r="D407" s="4"/>
      <c r="E407" s="5"/>
      <c r="F407" s="4"/>
      <c r="G407" s="4"/>
      <c r="H407" s="4"/>
      <c r="I407" s="4"/>
      <c r="J407" s="4"/>
      <c r="K407" s="4"/>
      <c r="L407" s="4"/>
      <c r="M407" s="4"/>
      <c r="N407" s="4"/>
      <c r="O407" s="4"/>
      <c r="P407" s="4"/>
      <c r="Q407" s="4"/>
      <c r="R407" s="4"/>
    </row>
    <row r="408" spans="1:18" ht="17.399999999999999" x14ac:dyDescent="0.25">
      <c r="A408" s="4"/>
      <c r="B408" s="23"/>
      <c r="C408" s="4"/>
      <c r="D408" s="4"/>
      <c r="E408" s="5"/>
      <c r="F408" s="4"/>
      <c r="G408" s="4"/>
      <c r="H408" s="4"/>
      <c r="I408" s="4"/>
      <c r="J408" s="4"/>
      <c r="K408" s="4"/>
      <c r="L408" s="4"/>
      <c r="M408" s="4"/>
      <c r="N408" s="4"/>
      <c r="O408" s="4"/>
      <c r="P408" s="4"/>
      <c r="Q408" s="4"/>
      <c r="R408" s="4"/>
    </row>
    <row r="409" spans="1:18" ht="17.399999999999999" x14ac:dyDescent="0.25">
      <c r="A409" s="4"/>
      <c r="B409" s="23"/>
      <c r="C409" s="4"/>
      <c r="D409" s="4"/>
      <c r="E409" s="5"/>
      <c r="F409" s="4"/>
      <c r="G409" s="4"/>
      <c r="H409" s="4"/>
      <c r="I409" s="4"/>
      <c r="J409" s="4"/>
      <c r="K409" s="4"/>
      <c r="L409" s="4"/>
      <c r="M409" s="4"/>
      <c r="N409" s="4"/>
      <c r="O409" s="4"/>
      <c r="P409" s="4"/>
      <c r="Q409" s="4"/>
      <c r="R409" s="4"/>
    </row>
    <row r="410" spans="1:18" ht="17.399999999999999" x14ac:dyDescent="0.25">
      <c r="A410" s="4"/>
      <c r="B410" s="23"/>
      <c r="C410" s="4"/>
      <c r="D410" s="4"/>
      <c r="E410" s="5"/>
      <c r="F410" s="4"/>
      <c r="G410" s="4"/>
      <c r="H410" s="4"/>
      <c r="I410" s="4"/>
      <c r="J410" s="4"/>
      <c r="K410" s="4"/>
      <c r="L410" s="4"/>
      <c r="M410" s="4"/>
      <c r="N410" s="4"/>
      <c r="O410" s="4"/>
      <c r="P410" s="4"/>
      <c r="Q410" s="4"/>
      <c r="R410" s="4"/>
    </row>
    <row r="411" spans="1:18" ht="17.399999999999999" x14ac:dyDescent="0.25">
      <c r="A411" s="4"/>
      <c r="B411" s="23"/>
      <c r="C411" s="4"/>
      <c r="D411" s="4"/>
      <c r="E411" s="5"/>
      <c r="F411" s="4"/>
      <c r="G411" s="4"/>
      <c r="H411" s="4"/>
      <c r="I411" s="4"/>
      <c r="J411" s="4"/>
      <c r="K411" s="4"/>
      <c r="L411" s="4"/>
      <c r="M411" s="4"/>
      <c r="N411" s="4"/>
      <c r="O411" s="4"/>
      <c r="P411" s="4"/>
      <c r="Q411" s="4"/>
      <c r="R411" s="4"/>
    </row>
    <row r="412" spans="1:18" ht="17.399999999999999" x14ac:dyDescent="0.25">
      <c r="A412" s="4"/>
      <c r="B412" s="23"/>
      <c r="C412" s="4"/>
      <c r="D412" s="4"/>
      <c r="E412" s="5"/>
      <c r="F412" s="4"/>
      <c r="G412" s="4"/>
      <c r="H412" s="4"/>
      <c r="I412" s="4"/>
      <c r="J412" s="4"/>
      <c r="K412" s="4"/>
      <c r="L412" s="4"/>
      <c r="M412" s="4"/>
      <c r="N412" s="4"/>
      <c r="O412" s="4"/>
      <c r="P412" s="4"/>
      <c r="Q412" s="4"/>
      <c r="R412" s="4"/>
    </row>
    <row r="413" spans="1:18" ht="17.399999999999999" x14ac:dyDescent="0.25">
      <c r="A413" s="4"/>
      <c r="B413" s="23"/>
      <c r="C413" s="4"/>
      <c r="D413" s="4"/>
      <c r="E413" s="5"/>
      <c r="F413" s="4"/>
      <c r="G413" s="4"/>
      <c r="H413" s="4"/>
      <c r="I413" s="4"/>
      <c r="J413" s="4"/>
      <c r="K413" s="4"/>
      <c r="L413" s="4"/>
      <c r="M413" s="4"/>
      <c r="N413" s="4"/>
      <c r="O413" s="4"/>
      <c r="P413" s="4"/>
      <c r="Q413" s="4"/>
      <c r="R413" s="4"/>
    </row>
    <row r="414" spans="1:18" ht="17.399999999999999" x14ac:dyDescent="0.25">
      <c r="A414" s="4"/>
      <c r="B414" s="23"/>
      <c r="C414" s="4"/>
      <c r="D414" s="4"/>
      <c r="E414" s="5"/>
      <c r="F414" s="4"/>
      <c r="G414" s="4"/>
      <c r="H414" s="4"/>
      <c r="I414" s="4"/>
      <c r="J414" s="4"/>
      <c r="K414" s="4"/>
      <c r="L414" s="4"/>
      <c r="M414" s="4"/>
      <c r="N414" s="4"/>
      <c r="O414" s="4"/>
      <c r="P414" s="4"/>
      <c r="Q414" s="4"/>
      <c r="R414" s="4"/>
    </row>
    <row r="415" spans="1:18" ht="17.399999999999999" x14ac:dyDescent="0.25">
      <c r="A415" s="4"/>
      <c r="B415" s="23"/>
      <c r="C415" s="4"/>
      <c r="D415" s="4"/>
      <c r="E415" s="5"/>
      <c r="F415" s="4"/>
      <c r="G415" s="4"/>
      <c r="H415" s="4"/>
      <c r="I415" s="4"/>
      <c r="J415" s="4"/>
      <c r="K415" s="4"/>
      <c r="L415" s="4"/>
      <c r="M415" s="4"/>
      <c r="N415" s="4"/>
      <c r="O415" s="4"/>
      <c r="P415" s="4"/>
      <c r="Q415" s="4"/>
      <c r="R415" s="4"/>
    </row>
    <row r="416" spans="1:18" ht="17.399999999999999" x14ac:dyDescent="0.25">
      <c r="A416" s="4"/>
      <c r="B416" s="23"/>
      <c r="C416" s="4"/>
      <c r="D416" s="4"/>
      <c r="E416" s="5"/>
      <c r="F416" s="4"/>
      <c r="G416" s="4"/>
      <c r="H416" s="4"/>
      <c r="I416" s="4"/>
      <c r="J416" s="4"/>
      <c r="K416" s="4"/>
      <c r="L416" s="4"/>
      <c r="M416" s="4"/>
      <c r="N416" s="4"/>
      <c r="O416" s="4"/>
      <c r="P416" s="4"/>
      <c r="Q416" s="4"/>
      <c r="R416" s="4"/>
    </row>
    <row r="417" spans="1:18" ht="17.399999999999999" x14ac:dyDescent="0.25">
      <c r="A417" s="4"/>
      <c r="B417" s="23"/>
      <c r="C417" s="4"/>
      <c r="D417" s="4"/>
      <c r="E417" s="5"/>
      <c r="F417" s="4"/>
      <c r="G417" s="4"/>
      <c r="H417" s="4"/>
      <c r="I417" s="4"/>
      <c r="J417" s="4"/>
      <c r="K417" s="4"/>
      <c r="L417" s="4"/>
      <c r="M417" s="4"/>
      <c r="N417" s="4"/>
      <c r="O417" s="4"/>
      <c r="P417" s="4"/>
      <c r="Q417" s="4"/>
      <c r="R417" s="4"/>
    </row>
    <row r="418" spans="1:18" ht="17.399999999999999" x14ac:dyDescent="0.25">
      <c r="A418" s="4"/>
      <c r="B418" s="23"/>
      <c r="C418" s="4"/>
      <c r="D418" s="4"/>
      <c r="E418" s="5"/>
      <c r="F418" s="4"/>
      <c r="G418" s="4"/>
      <c r="H418" s="4"/>
      <c r="I418" s="4"/>
      <c r="J418" s="4"/>
      <c r="K418" s="4"/>
      <c r="L418" s="4"/>
      <c r="M418" s="4"/>
      <c r="N418" s="4"/>
      <c r="O418" s="4"/>
      <c r="P418" s="4"/>
      <c r="Q418" s="4"/>
      <c r="R418" s="4"/>
    </row>
    <row r="419" spans="1:18" ht="17.399999999999999" x14ac:dyDescent="0.25">
      <c r="A419" s="4"/>
      <c r="B419" s="23"/>
      <c r="C419" s="4"/>
      <c r="D419" s="4"/>
      <c r="E419" s="5"/>
      <c r="F419" s="4"/>
      <c r="G419" s="4"/>
      <c r="H419" s="4"/>
      <c r="I419" s="4"/>
      <c r="J419" s="4"/>
      <c r="K419" s="4"/>
      <c r="L419" s="4"/>
      <c r="M419" s="4"/>
      <c r="N419" s="4"/>
      <c r="O419" s="4"/>
      <c r="P419" s="4"/>
      <c r="Q419" s="4"/>
      <c r="R419" s="4"/>
    </row>
    <row r="420" spans="1:18" ht="17.399999999999999" x14ac:dyDescent="0.25">
      <c r="A420" s="4"/>
      <c r="B420" s="23"/>
      <c r="C420" s="4"/>
      <c r="D420" s="4"/>
      <c r="E420" s="5"/>
      <c r="F420" s="4"/>
      <c r="G420" s="4"/>
      <c r="H420" s="4"/>
      <c r="I420" s="4"/>
      <c r="J420" s="4"/>
      <c r="K420" s="4"/>
      <c r="L420" s="4"/>
      <c r="M420" s="4"/>
      <c r="N420" s="4"/>
      <c r="O420" s="4"/>
      <c r="P420" s="4"/>
      <c r="Q420" s="4"/>
      <c r="R420" s="4"/>
    </row>
    <row r="421" spans="1:18" ht="17.399999999999999" x14ac:dyDescent="0.25">
      <c r="A421" s="4"/>
      <c r="B421" s="23"/>
      <c r="C421" s="4"/>
      <c r="D421" s="4"/>
      <c r="E421" s="5"/>
      <c r="F421" s="4"/>
      <c r="G421" s="4"/>
      <c r="H421" s="4"/>
      <c r="I421" s="4"/>
      <c r="J421" s="4"/>
      <c r="K421" s="4"/>
      <c r="L421" s="4"/>
      <c r="M421" s="4"/>
      <c r="N421" s="4"/>
      <c r="O421" s="4"/>
      <c r="P421" s="4"/>
      <c r="Q421" s="4"/>
      <c r="R421" s="4"/>
    </row>
    <row r="422" spans="1:18" ht="17.399999999999999" x14ac:dyDescent="0.25">
      <c r="A422" s="4"/>
      <c r="B422" s="23"/>
      <c r="C422" s="4"/>
      <c r="D422" s="4"/>
      <c r="E422" s="5"/>
      <c r="F422" s="4"/>
      <c r="G422" s="4"/>
      <c r="H422" s="4"/>
      <c r="I422" s="4"/>
      <c r="J422" s="4"/>
      <c r="K422" s="4"/>
      <c r="L422" s="4"/>
      <c r="M422" s="4"/>
      <c r="N422" s="4"/>
      <c r="O422" s="4"/>
      <c r="P422" s="4"/>
      <c r="Q422" s="4"/>
      <c r="R422" s="4"/>
    </row>
    <row r="423" spans="1:18" ht="17.399999999999999" x14ac:dyDescent="0.25">
      <c r="A423" s="4"/>
      <c r="B423" s="23"/>
      <c r="C423" s="4"/>
      <c r="D423" s="4"/>
      <c r="E423" s="5"/>
      <c r="F423" s="4"/>
      <c r="G423" s="4"/>
      <c r="H423" s="4"/>
      <c r="I423" s="4"/>
      <c r="J423" s="4"/>
      <c r="K423" s="4"/>
      <c r="L423" s="4"/>
      <c r="M423" s="4"/>
      <c r="N423" s="4"/>
      <c r="O423" s="4"/>
      <c r="P423" s="4"/>
      <c r="Q423" s="4"/>
      <c r="R423" s="4"/>
    </row>
    <row r="424" spans="1:18" ht="17.399999999999999" x14ac:dyDescent="0.25">
      <c r="A424" s="4"/>
      <c r="B424" s="23"/>
      <c r="C424" s="4"/>
      <c r="D424" s="4"/>
      <c r="E424" s="5"/>
      <c r="F424" s="4"/>
      <c r="G424" s="4"/>
      <c r="H424" s="4"/>
      <c r="I424" s="4"/>
      <c r="J424" s="4"/>
      <c r="K424" s="4"/>
      <c r="L424" s="4"/>
      <c r="M424" s="4"/>
      <c r="N424" s="4"/>
      <c r="O424" s="4"/>
      <c r="P424" s="4"/>
      <c r="Q424" s="4"/>
      <c r="R424" s="4"/>
    </row>
    <row r="425" spans="1:18" ht="17.399999999999999" x14ac:dyDescent="0.25">
      <c r="A425" s="4"/>
      <c r="B425" s="23"/>
      <c r="C425" s="4"/>
      <c r="D425" s="4"/>
      <c r="E425" s="5"/>
      <c r="F425" s="4"/>
      <c r="G425" s="4"/>
      <c r="H425" s="4"/>
      <c r="I425" s="4"/>
      <c r="J425" s="4"/>
      <c r="K425" s="4"/>
      <c r="L425" s="4"/>
      <c r="M425" s="4"/>
      <c r="N425" s="4"/>
      <c r="O425" s="4"/>
      <c r="P425" s="4"/>
      <c r="Q425" s="4"/>
      <c r="R425" s="4"/>
    </row>
    <row r="426" spans="1:18" ht="17.399999999999999" x14ac:dyDescent="0.25">
      <c r="A426" s="4"/>
      <c r="B426" s="23"/>
      <c r="C426" s="4"/>
      <c r="D426" s="4"/>
      <c r="E426" s="5"/>
      <c r="F426" s="4"/>
      <c r="G426" s="4"/>
      <c r="H426" s="4"/>
      <c r="I426" s="4"/>
      <c r="J426" s="4"/>
      <c r="K426" s="4"/>
      <c r="L426" s="4"/>
      <c r="M426" s="4"/>
      <c r="N426" s="4"/>
      <c r="O426" s="4"/>
      <c r="P426" s="4"/>
      <c r="Q426" s="4"/>
      <c r="R426" s="4"/>
    </row>
    <row r="427" spans="1:18" ht="17.399999999999999" x14ac:dyDescent="0.25">
      <c r="A427" s="4"/>
      <c r="B427" s="23"/>
      <c r="C427" s="4"/>
      <c r="D427" s="4"/>
      <c r="E427" s="5"/>
      <c r="F427" s="4"/>
      <c r="G427" s="4"/>
      <c r="H427" s="4"/>
      <c r="I427" s="4"/>
      <c r="J427" s="4"/>
      <c r="K427" s="4"/>
      <c r="L427" s="4"/>
      <c r="M427" s="4"/>
      <c r="N427" s="4"/>
      <c r="O427" s="4"/>
      <c r="P427" s="4"/>
      <c r="Q427" s="4"/>
      <c r="R427" s="4"/>
    </row>
    <row r="428" spans="1:18" ht="17.399999999999999" x14ac:dyDescent="0.25">
      <c r="A428" s="4"/>
      <c r="B428" s="23"/>
      <c r="C428" s="4"/>
      <c r="D428" s="4"/>
      <c r="E428" s="5"/>
      <c r="F428" s="4"/>
      <c r="G428" s="4"/>
      <c r="H428" s="4"/>
      <c r="I428" s="4"/>
      <c r="J428" s="4"/>
      <c r="K428" s="4"/>
      <c r="L428" s="4"/>
      <c r="M428" s="4"/>
      <c r="N428" s="4"/>
      <c r="O428" s="4"/>
      <c r="P428" s="4"/>
      <c r="Q428" s="4"/>
      <c r="R428" s="4"/>
    </row>
    <row r="429" spans="1:18" ht="17.399999999999999" x14ac:dyDescent="0.25">
      <c r="A429" s="4"/>
      <c r="B429" s="23"/>
      <c r="C429" s="4"/>
      <c r="D429" s="4"/>
      <c r="E429" s="5"/>
      <c r="F429" s="4"/>
      <c r="G429" s="4"/>
      <c r="H429" s="4"/>
      <c r="I429" s="4"/>
      <c r="J429" s="4"/>
      <c r="K429" s="4"/>
      <c r="L429" s="4"/>
      <c r="M429" s="4"/>
      <c r="N429" s="4"/>
      <c r="O429" s="4"/>
      <c r="P429" s="4"/>
      <c r="Q429" s="4"/>
      <c r="R429" s="4"/>
    </row>
    <row r="430" spans="1:18" ht="17.399999999999999" x14ac:dyDescent="0.25">
      <c r="A430" s="4"/>
      <c r="B430" s="23"/>
      <c r="C430" s="4"/>
      <c r="D430" s="4"/>
      <c r="E430" s="5"/>
      <c r="F430" s="4"/>
      <c r="G430" s="4"/>
      <c r="H430" s="4"/>
      <c r="I430" s="4"/>
      <c r="J430" s="4"/>
      <c r="K430" s="4"/>
      <c r="L430" s="4"/>
      <c r="M430" s="4"/>
      <c r="N430" s="4"/>
      <c r="O430" s="4"/>
      <c r="P430" s="4"/>
      <c r="Q430" s="4"/>
      <c r="R430" s="4"/>
    </row>
    <row r="431" spans="1:18" ht="17.399999999999999" x14ac:dyDescent="0.25">
      <c r="A431" s="4"/>
      <c r="B431" s="23"/>
      <c r="C431" s="4"/>
      <c r="D431" s="4"/>
      <c r="E431" s="5"/>
      <c r="F431" s="4"/>
      <c r="G431" s="4"/>
      <c r="H431" s="4"/>
      <c r="I431" s="4"/>
      <c r="J431" s="4"/>
      <c r="K431" s="4"/>
      <c r="L431" s="4"/>
      <c r="M431" s="4"/>
      <c r="N431" s="4"/>
      <c r="O431" s="4"/>
      <c r="P431" s="4"/>
      <c r="Q431" s="4"/>
      <c r="R431" s="4"/>
    </row>
    <row r="432" spans="1:18" ht="17.399999999999999" x14ac:dyDescent="0.25">
      <c r="A432" s="4"/>
      <c r="B432" s="23"/>
      <c r="C432" s="4"/>
      <c r="D432" s="4"/>
      <c r="E432" s="5"/>
      <c r="F432" s="4"/>
      <c r="G432" s="4"/>
      <c r="H432" s="4"/>
      <c r="I432" s="4"/>
      <c r="J432" s="4"/>
      <c r="K432" s="4"/>
      <c r="L432" s="4"/>
      <c r="M432" s="4"/>
      <c r="N432" s="4"/>
      <c r="O432" s="4"/>
      <c r="P432" s="4"/>
      <c r="Q432" s="4"/>
      <c r="R432" s="4"/>
    </row>
    <row r="433" spans="1:18" ht="17.399999999999999" x14ac:dyDescent="0.25">
      <c r="A433" s="4"/>
      <c r="B433" s="23"/>
      <c r="C433" s="4"/>
      <c r="D433" s="4"/>
      <c r="E433" s="5"/>
      <c r="F433" s="4"/>
      <c r="G433" s="4"/>
      <c r="H433" s="4"/>
      <c r="I433" s="4"/>
      <c r="J433" s="4"/>
      <c r="K433" s="4"/>
      <c r="L433" s="4"/>
      <c r="M433" s="4"/>
      <c r="N433" s="4"/>
      <c r="O433" s="4"/>
      <c r="P433" s="4"/>
      <c r="Q433" s="4"/>
      <c r="R433" s="4"/>
    </row>
    <row r="434" spans="1:18" ht="17.399999999999999" x14ac:dyDescent="0.25">
      <c r="A434" s="4"/>
      <c r="B434" s="23"/>
      <c r="C434" s="4"/>
      <c r="D434" s="4"/>
      <c r="E434" s="5"/>
      <c r="F434" s="4"/>
      <c r="G434" s="4"/>
      <c r="H434" s="4"/>
      <c r="I434" s="4"/>
      <c r="J434" s="4"/>
      <c r="K434" s="4"/>
      <c r="L434" s="4"/>
      <c r="M434" s="4"/>
      <c r="N434" s="4"/>
      <c r="O434" s="4"/>
      <c r="P434" s="4"/>
      <c r="Q434" s="4"/>
      <c r="R434" s="4"/>
    </row>
    <row r="435" spans="1:18" ht="17.399999999999999" x14ac:dyDescent="0.25">
      <c r="A435" s="4"/>
      <c r="B435" s="23"/>
      <c r="C435" s="4"/>
      <c r="D435" s="4"/>
      <c r="E435" s="5"/>
      <c r="F435" s="4"/>
      <c r="G435" s="4"/>
      <c r="H435" s="4"/>
      <c r="I435" s="4"/>
      <c r="J435" s="4"/>
      <c r="K435" s="4"/>
      <c r="L435" s="4"/>
      <c r="M435" s="4"/>
      <c r="N435" s="4"/>
      <c r="O435" s="4"/>
      <c r="P435" s="4"/>
      <c r="Q435" s="4"/>
      <c r="R435" s="4"/>
    </row>
    <row r="436" spans="1:18" ht="17.399999999999999" x14ac:dyDescent="0.25">
      <c r="A436" s="4"/>
      <c r="B436" s="23"/>
      <c r="C436" s="4"/>
      <c r="D436" s="4"/>
      <c r="E436" s="5"/>
      <c r="F436" s="4"/>
      <c r="G436" s="4"/>
      <c r="H436" s="4"/>
      <c r="I436" s="4"/>
      <c r="J436" s="4"/>
      <c r="K436" s="4"/>
      <c r="L436" s="4"/>
      <c r="M436" s="4"/>
      <c r="N436" s="4"/>
      <c r="O436" s="4"/>
      <c r="P436" s="4"/>
      <c r="Q436" s="4"/>
      <c r="R436" s="4"/>
    </row>
    <row r="437" spans="1:18" ht="17.399999999999999" x14ac:dyDescent="0.25">
      <c r="A437" s="4"/>
      <c r="B437" s="23"/>
      <c r="C437" s="4"/>
      <c r="D437" s="4"/>
      <c r="E437" s="5"/>
      <c r="F437" s="4"/>
      <c r="G437" s="4"/>
      <c r="H437" s="4"/>
      <c r="I437" s="4"/>
      <c r="J437" s="4"/>
      <c r="K437" s="4"/>
      <c r="L437" s="4"/>
      <c r="M437" s="4"/>
      <c r="N437" s="4"/>
      <c r="O437" s="4"/>
      <c r="P437" s="4"/>
      <c r="Q437" s="4"/>
      <c r="R437" s="4"/>
    </row>
    <row r="438" spans="1:18" ht="17.399999999999999" x14ac:dyDescent="0.25">
      <c r="A438" s="4"/>
      <c r="B438" s="23"/>
      <c r="C438" s="4"/>
      <c r="D438" s="4"/>
      <c r="E438" s="5"/>
      <c r="F438" s="4"/>
      <c r="G438" s="4"/>
      <c r="H438" s="4"/>
      <c r="I438" s="4"/>
      <c r="J438" s="4"/>
      <c r="K438" s="4"/>
      <c r="L438" s="4"/>
      <c r="M438" s="4"/>
      <c r="N438" s="4"/>
      <c r="O438" s="4"/>
      <c r="P438" s="4"/>
      <c r="Q438" s="4"/>
      <c r="R438" s="4"/>
    </row>
    <row r="439" spans="1:18" ht="17.399999999999999" x14ac:dyDescent="0.25">
      <c r="A439" s="4"/>
      <c r="B439" s="23"/>
      <c r="C439" s="4"/>
      <c r="D439" s="4"/>
      <c r="E439" s="5"/>
      <c r="F439" s="4"/>
      <c r="G439" s="4"/>
      <c r="H439" s="4"/>
      <c r="I439" s="4"/>
      <c r="J439" s="4"/>
      <c r="K439" s="4"/>
      <c r="L439" s="4"/>
      <c r="M439" s="4"/>
      <c r="N439" s="4"/>
      <c r="O439" s="4"/>
      <c r="P439" s="4"/>
      <c r="Q439" s="4"/>
      <c r="R439" s="4"/>
    </row>
    <row r="440" spans="1:18" ht="17.399999999999999" x14ac:dyDescent="0.25">
      <c r="A440" s="4"/>
      <c r="B440" s="23"/>
      <c r="C440" s="4"/>
      <c r="D440" s="4"/>
      <c r="E440" s="5"/>
      <c r="F440" s="4"/>
      <c r="G440" s="4"/>
      <c r="H440" s="4"/>
      <c r="I440" s="4"/>
      <c r="J440" s="4"/>
      <c r="K440" s="4"/>
      <c r="L440" s="4"/>
      <c r="M440" s="4"/>
      <c r="N440" s="4"/>
      <c r="O440" s="4"/>
      <c r="P440" s="4"/>
      <c r="Q440" s="4"/>
      <c r="R440" s="4"/>
    </row>
    <row r="441" spans="1:18" ht="17.399999999999999" x14ac:dyDescent="0.25">
      <c r="A441" s="4"/>
      <c r="B441" s="23"/>
      <c r="C441" s="4"/>
      <c r="D441" s="4"/>
      <c r="E441" s="5"/>
      <c r="F441" s="4"/>
      <c r="G441" s="4"/>
      <c r="H441" s="4"/>
      <c r="I441" s="4"/>
      <c r="J441" s="4"/>
      <c r="K441" s="4"/>
      <c r="L441" s="4"/>
      <c r="M441" s="4"/>
      <c r="N441" s="4"/>
      <c r="O441" s="4"/>
      <c r="P441" s="4"/>
      <c r="Q441" s="4"/>
      <c r="R441" s="4"/>
    </row>
    <row r="442" spans="1:18" ht="17.399999999999999" x14ac:dyDescent="0.25">
      <c r="A442" s="4"/>
      <c r="B442" s="23"/>
      <c r="C442" s="4"/>
      <c r="D442" s="4"/>
      <c r="E442" s="5"/>
      <c r="F442" s="4"/>
      <c r="G442" s="4"/>
      <c r="H442" s="4"/>
      <c r="I442" s="4"/>
      <c r="J442" s="4"/>
      <c r="K442" s="4"/>
      <c r="L442" s="4"/>
      <c r="M442" s="4"/>
      <c r="N442" s="4"/>
      <c r="O442" s="4"/>
      <c r="P442" s="4"/>
      <c r="Q442" s="4"/>
      <c r="R442" s="4"/>
    </row>
    <row r="443" spans="1:18" ht="17.399999999999999" x14ac:dyDescent="0.25">
      <c r="A443" s="4"/>
      <c r="B443" s="23"/>
      <c r="C443" s="4"/>
      <c r="D443" s="4"/>
      <c r="E443" s="5"/>
      <c r="F443" s="4"/>
      <c r="G443" s="4"/>
      <c r="H443" s="4"/>
      <c r="I443" s="4"/>
      <c r="J443" s="4"/>
      <c r="K443" s="4"/>
      <c r="L443" s="4"/>
      <c r="M443" s="4"/>
      <c r="N443" s="4"/>
      <c r="O443" s="4"/>
      <c r="P443" s="4"/>
      <c r="Q443" s="4"/>
      <c r="R443" s="4"/>
    </row>
    <row r="444" spans="1:18" ht="17.399999999999999" x14ac:dyDescent="0.25">
      <c r="A444" s="4"/>
      <c r="B444" s="23"/>
      <c r="C444" s="4"/>
      <c r="D444" s="4"/>
      <c r="E444" s="5"/>
      <c r="F444" s="4"/>
      <c r="G444" s="4"/>
      <c r="H444" s="4"/>
      <c r="I444" s="4"/>
      <c r="J444" s="4"/>
      <c r="K444" s="4"/>
      <c r="L444" s="4"/>
      <c r="M444" s="4"/>
      <c r="N444" s="4"/>
      <c r="O444" s="4"/>
      <c r="P444" s="4"/>
      <c r="Q444" s="4"/>
      <c r="R444" s="4"/>
    </row>
    <row r="445" spans="1:18" ht="17.399999999999999" x14ac:dyDescent="0.25">
      <c r="A445" s="4"/>
      <c r="B445" s="23"/>
      <c r="C445" s="4"/>
      <c r="D445" s="4"/>
      <c r="E445" s="5"/>
      <c r="F445" s="4"/>
      <c r="G445" s="4"/>
      <c r="H445" s="4"/>
      <c r="I445" s="4"/>
      <c r="J445" s="4"/>
      <c r="K445" s="4"/>
      <c r="L445" s="4"/>
      <c r="M445" s="4"/>
      <c r="N445" s="4"/>
      <c r="O445" s="4"/>
      <c r="P445" s="4"/>
      <c r="Q445" s="4"/>
      <c r="R445" s="4"/>
    </row>
    <row r="446" spans="1:18" ht="17.399999999999999" x14ac:dyDescent="0.25">
      <c r="A446" s="4"/>
      <c r="B446" s="23"/>
      <c r="C446" s="4"/>
      <c r="D446" s="4"/>
      <c r="E446" s="5"/>
      <c r="F446" s="4"/>
      <c r="G446" s="4"/>
      <c r="H446" s="4"/>
      <c r="I446" s="4"/>
      <c r="J446" s="4"/>
      <c r="K446" s="4"/>
      <c r="L446" s="4"/>
      <c r="M446" s="4"/>
      <c r="N446" s="4"/>
      <c r="O446" s="4"/>
      <c r="P446" s="4"/>
      <c r="Q446" s="4"/>
      <c r="R446" s="4"/>
    </row>
    <row r="447" spans="1:18" ht="17.399999999999999" x14ac:dyDescent="0.25">
      <c r="A447" s="4"/>
      <c r="B447" s="23"/>
      <c r="C447" s="4"/>
      <c r="D447" s="4"/>
      <c r="E447" s="5"/>
      <c r="F447" s="4"/>
      <c r="G447" s="4"/>
      <c r="H447" s="4"/>
      <c r="I447" s="4"/>
      <c r="J447" s="4"/>
      <c r="K447" s="4"/>
      <c r="L447" s="4"/>
      <c r="M447" s="4"/>
      <c r="N447" s="4"/>
      <c r="O447" s="4"/>
      <c r="P447" s="4"/>
      <c r="Q447" s="4"/>
      <c r="R447" s="4"/>
    </row>
    <row r="448" spans="1:18" ht="17.399999999999999" x14ac:dyDescent="0.25">
      <c r="A448" s="4"/>
      <c r="B448" s="23"/>
      <c r="C448" s="4"/>
      <c r="D448" s="4"/>
      <c r="E448" s="5"/>
      <c r="F448" s="4"/>
      <c r="G448" s="4"/>
      <c r="H448" s="4"/>
      <c r="I448" s="4"/>
      <c r="J448" s="4"/>
      <c r="K448" s="4"/>
      <c r="L448" s="4"/>
      <c r="M448" s="4"/>
      <c r="N448" s="4"/>
      <c r="O448" s="4"/>
      <c r="P448" s="4"/>
      <c r="Q448" s="4"/>
      <c r="R448" s="4"/>
    </row>
    <row r="449" spans="1:18" ht="17.399999999999999" x14ac:dyDescent="0.25">
      <c r="A449" s="4"/>
      <c r="B449" s="23"/>
      <c r="C449" s="4"/>
      <c r="D449" s="4"/>
      <c r="E449" s="5"/>
      <c r="F449" s="4"/>
      <c r="G449" s="4"/>
      <c r="H449" s="4"/>
      <c r="I449" s="4"/>
      <c r="J449" s="4"/>
      <c r="K449" s="4"/>
      <c r="L449" s="4"/>
      <c r="M449" s="4"/>
      <c r="N449" s="4"/>
      <c r="O449" s="4"/>
      <c r="P449" s="4"/>
      <c r="Q449" s="4"/>
      <c r="R449" s="4"/>
    </row>
    <row r="450" spans="1:18" ht="17.399999999999999" x14ac:dyDescent="0.25">
      <c r="A450" s="4"/>
      <c r="B450" s="23"/>
      <c r="C450" s="4"/>
      <c r="D450" s="4"/>
      <c r="E450" s="5"/>
      <c r="F450" s="4"/>
      <c r="G450" s="4"/>
      <c r="H450" s="4"/>
      <c r="I450" s="4"/>
      <c r="J450" s="4"/>
      <c r="K450" s="4"/>
      <c r="L450" s="4"/>
      <c r="M450" s="4"/>
      <c r="N450" s="4"/>
      <c r="O450" s="4"/>
      <c r="P450" s="4"/>
      <c r="Q450" s="4"/>
      <c r="R450" s="4"/>
    </row>
    <row r="451" spans="1:18" ht="17.399999999999999" x14ac:dyDescent="0.25">
      <c r="A451" s="4"/>
      <c r="B451" s="23"/>
      <c r="C451" s="4"/>
      <c r="D451" s="4"/>
      <c r="E451" s="5"/>
      <c r="F451" s="4"/>
      <c r="G451" s="4"/>
      <c r="H451" s="4"/>
      <c r="I451" s="4"/>
      <c r="J451" s="4"/>
      <c r="K451" s="4"/>
      <c r="L451" s="4"/>
      <c r="M451" s="4"/>
      <c r="N451" s="4"/>
      <c r="O451" s="4"/>
      <c r="P451" s="4"/>
      <c r="Q451" s="4"/>
      <c r="R451" s="4"/>
    </row>
    <row r="452" spans="1:18" ht="17.399999999999999" x14ac:dyDescent="0.25">
      <c r="A452" s="4"/>
      <c r="B452" s="23"/>
      <c r="C452" s="4"/>
      <c r="D452" s="4"/>
      <c r="E452" s="5"/>
      <c r="F452" s="4"/>
      <c r="G452" s="4"/>
      <c r="H452" s="4"/>
      <c r="I452" s="4"/>
      <c r="J452" s="4"/>
      <c r="K452" s="4"/>
      <c r="L452" s="4"/>
      <c r="M452" s="4"/>
      <c r="N452" s="4"/>
      <c r="O452" s="4"/>
      <c r="P452" s="4"/>
      <c r="Q452" s="4"/>
      <c r="R452" s="4"/>
    </row>
    <row r="453" spans="1:18" ht="17.399999999999999" x14ac:dyDescent="0.25">
      <c r="A453" s="4"/>
      <c r="B453" s="23"/>
      <c r="C453" s="4"/>
      <c r="D453" s="4"/>
      <c r="E453" s="5"/>
      <c r="F453" s="4"/>
      <c r="G453" s="4"/>
      <c r="H453" s="4"/>
      <c r="I453" s="4"/>
      <c r="J453" s="4"/>
      <c r="K453" s="4"/>
      <c r="L453" s="4"/>
      <c r="M453" s="4"/>
      <c r="N453" s="4"/>
      <c r="O453" s="4"/>
      <c r="P453" s="4"/>
      <c r="Q453" s="4"/>
      <c r="R453" s="4"/>
    </row>
    <row r="454" spans="1:18" ht="17.399999999999999" x14ac:dyDescent="0.25">
      <c r="A454" s="4"/>
      <c r="B454" s="23"/>
      <c r="C454" s="4"/>
      <c r="D454" s="4"/>
      <c r="E454" s="5"/>
      <c r="F454" s="4"/>
      <c r="G454" s="4"/>
      <c r="H454" s="4"/>
      <c r="I454" s="4"/>
      <c r="J454" s="4"/>
      <c r="K454" s="4"/>
      <c r="L454" s="4"/>
      <c r="M454" s="4"/>
      <c r="N454" s="4"/>
      <c r="O454" s="4"/>
      <c r="P454" s="4"/>
      <c r="Q454" s="4"/>
      <c r="R454" s="4"/>
    </row>
    <row r="455" spans="1:18" ht="17.399999999999999" x14ac:dyDescent="0.25">
      <c r="A455" s="4"/>
      <c r="B455" s="23"/>
      <c r="C455" s="4"/>
      <c r="D455" s="4"/>
      <c r="E455" s="5"/>
      <c r="F455" s="4"/>
      <c r="G455" s="4"/>
      <c r="H455" s="4"/>
      <c r="I455" s="4"/>
      <c r="J455" s="4"/>
      <c r="K455" s="4"/>
      <c r="L455" s="4"/>
      <c r="M455" s="4"/>
      <c r="N455" s="4"/>
      <c r="O455" s="4"/>
      <c r="P455" s="4"/>
      <c r="Q455" s="4"/>
      <c r="R455" s="4"/>
    </row>
    <row r="456" spans="1:18" ht="17.399999999999999" x14ac:dyDescent="0.25">
      <c r="A456" s="4"/>
      <c r="B456" s="23"/>
      <c r="C456" s="4"/>
      <c r="D456" s="4"/>
      <c r="E456" s="5"/>
      <c r="F456" s="4"/>
      <c r="G456" s="4"/>
      <c r="H456" s="4"/>
      <c r="I456" s="4"/>
      <c r="J456" s="4"/>
      <c r="K456" s="4"/>
      <c r="L456" s="4"/>
      <c r="M456" s="4"/>
      <c r="N456" s="4"/>
      <c r="O456" s="4"/>
      <c r="P456" s="4"/>
      <c r="Q456" s="4"/>
      <c r="R456" s="4"/>
    </row>
    <row r="457" spans="1:18" ht="17.399999999999999" x14ac:dyDescent="0.25">
      <c r="A457" s="4"/>
      <c r="B457" s="23"/>
      <c r="C457" s="4"/>
      <c r="D457" s="4"/>
      <c r="E457" s="5"/>
      <c r="F457" s="4"/>
      <c r="G457" s="4"/>
      <c r="H457" s="4"/>
      <c r="I457" s="4"/>
      <c r="J457" s="4"/>
      <c r="K457" s="4"/>
      <c r="L457" s="4"/>
      <c r="M457" s="4"/>
      <c r="N457" s="4"/>
      <c r="O457" s="4"/>
      <c r="P457" s="4"/>
      <c r="Q457" s="4"/>
      <c r="R457" s="4"/>
    </row>
    <row r="458" spans="1:18" ht="17.399999999999999" x14ac:dyDescent="0.25">
      <c r="A458" s="4"/>
      <c r="B458" s="23"/>
      <c r="C458" s="4"/>
      <c r="D458" s="4"/>
      <c r="E458" s="5"/>
      <c r="F458" s="4"/>
      <c r="G458" s="4"/>
      <c r="H458" s="4"/>
      <c r="I458" s="4"/>
      <c r="J458" s="4"/>
      <c r="K458" s="4"/>
      <c r="L458" s="4"/>
      <c r="M458" s="4"/>
      <c r="N458" s="4"/>
      <c r="O458" s="4"/>
      <c r="P458" s="4"/>
      <c r="Q458" s="4"/>
      <c r="R458" s="4"/>
    </row>
    <row r="459" spans="1:18" ht="17.399999999999999" x14ac:dyDescent="0.25">
      <c r="A459" s="4"/>
      <c r="B459" s="23"/>
      <c r="C459" s="4"/>
      <c r="D459" s="4"/>
      <c r="E459" s="5"/>
      <c r="F459" s="4"/>
      <c r="G459" s="4"/>
      <c r="H459" s="4"/>
      <c r="I459" s="4"/>
      <c r="J459" s="4"/>
      <c r="K459" s="4"/>
      <c r="L459" s="4"/>
      <c r="M459" s="4"/>
      <c r="N459" s="4"/>
      <c r="O459" s="4"/>
      <c r="P459" s="4"/>
      <c r="Q459" s="4"/>
      <c r="R459" s="4"/>
    </row>
    <row r="460" spans="1:18" ht="17.399999999999999" x14ac:dyDescent="0.25">
      <c r="A460" s="4"/>
      <c r="B460" s="23"/>
      <c r="C460" s="4"/>
      <c r="D460" s="4"/>
      <c r="E460" s="5"/>
      <c r="F460" s="4"/>
      <c r="G460" s="4"/>
      <c r="H460" s="4"/>
      <c r="I460" s="4"/>
      <c r="J460" s="4"/>
      <c r="K460" s="4"/>
      <c r="L460" s="4"/>
      <c r="M460" s="4"/>
      <c r="N460" s="4"/>
      <c r="O460" s="4"/>
      <c r="P460" s="4"/>
      <c r="Q460" s="4"/>
      <c r="R460" s="4"/>
    </row>
    <row r="461" spans="1:18" ht="17.399999999999999" x14ac:dyDescent="0.25">
      <c r="A461" s="4"/>
      <c r="B461" s="23"/>
      <c r="C461" s="4"/>
      <c r="D461" s="4"/>
      <c r="E461" s="5"/>
      <c r="F461" s="4"/>
      <c r="G461" s="4"/>
      <c r="H461" s="4"/>
      <c r="I461" s="4"/>
      <c r="J461" s="4"/>
      <c r="K461" s="4"/>
      <c r="L461" s="4"/>
      <c r="M461" s="4"/>
      <c r="N461" s="4"/>
      <c r="O461" s="4"/>
      <c r="P461" s="4"/>
      <c r="Q461" s="4"/>
      <c r="R461" s="4"/>
    </row>
    <row r="462" spans="1:18" ht="17.399999999999999" x14ac:dyDescent="0.25">
      <c r="A462" s="4"/>
      <c r="B462" s="23"/>
      <c r="C462" s="4"/>
      <c r="D462" s="4"/>
      <c r="E462" s="5"/>
      <c r="F462" s="4"/>
      <c r="G462" s="4"/>
      <c r="H462" s="4"/>
      <c r="I462" s="4"/>
      <c r="J462" s="4"/>
      <c r="K462" s="4"/>
      <c r="L462" s="4"/>
      <c r="M462" s="4"/>
      <c r="N462" s="4"/>
      <c r="O462" s="4"/>
      <c r="P462" s="4"/>
      <c r="Q462" s="4"/>
      <c r="R462" s="4"/>
    </row>
    <row r="463" spans="1:18" ht="17.399999999999999" x14ac:dyDescent="0.25">
      <c r="A463" s="4"/>
      <c r="B463" s="23"/>
      <c r="C463" s="4"/>
      <c r="D463" s="4"/>
      <c r="E463" s="5"/>
      <c r="F463" s="4"/>
      <c r="G463" s="4"/>
      <c r="H463" s="4"/>
      <c r="I463" s="4"/>
      <c r="J463" s="4"/>
      <c r="K463" s="4"/>
      <c r="L463" s="4"/>
      <c r="M463" s="4"/>
      <c r="N463" s="4"/>
      <c r="O463" s="4"/>
      <c r="P463" s="4"/>
      <c r="Q463" s="4"/>
      <c r="R463" s="4"/>
    </row>
    <row r="464" spans="1:18" ht="17.399999999999999" x14ac:dyDescent="0.25">
      <c r="A464" s="4"/>
      <c r="B464" s="23"/>
      <c r="C464" s="4"/>
      <c r="D464" s="4"/>
      <c r="E464" s="5"/>
      <c r="F464" s="4"/>
      <c r="G464" s="4"/>
      <c r="H464" s="4"/>
      <c r="I464" s="4"/>
      <c r="J464" s="4"/>
      <c r="K464" s="4"/>
      <c r="L464" s="4"/>
      <c r="M464" s="4"/>
      <c r="N464" s="4"/>
      <c r="O464" s="4"/>
      <c r="P464" s="4"/>
      <c r="Q464" s="4"/>
      <c r="R464" s="4"/>
    </row>
    <row r="465" spans="1:18" ht="17.399999999999999" x14ac:dyDescent="0.25">
      <c r="A465" s="4"/>
      <c r="B465" s="23"/>
      <c r="C465" s="4"/>
      <c r="D465" s="4"/>
      <c r="E465" s="5"/>
      <c r="F465" s="4"/>
      <c r="G465" s="4"/>
      <c r="H465" s="4"/>
      <c r="I465" s="4"/>
      <c r="J465" s="4"/>
      <c r="K465" s="4"/>
      <c r="L465" s="4"/>
      <c r="M465" s="4"/>
      <c r="N465" s="4"/>
      <c r="O465" s="4"/>
      <c r="P465" s="4"/>
      <c r="Q465" s="4"/>
      <c r="R465" s="4"/>
    </row>
    <row r="466" spans="1:18" ht="17.399999999999999" x14ac:dyDescent="0.25">
      <c r="A466" s="4"/>
      <c r="B466" s="23"/>
      <c r="C466" s="4"/>
      <c r="D466" s="4"/>
      <c r="E466" s="5"/>
      <c r="F466" s="4"/>
      <c r="G466" s="4"/>
      <c r="H466" s="4"/>
      <c r="I466" s="4"/>
      <c r="J466" s="4"/>
      <c r="K466" s="4"/>
      <c r="L466" s="4"/>
      <c r="M466" s="4"/>
      <c r="N466" s="4"/>
      <c r="O466" s="4"/>
      <c r="P466" s="4"/>
      <c r="Q466" s="4"/>
      <c r="R466" s="4"/>
    </row>
    <row r="467" spans="1:18" ht="17.399999999999999" x14ac:dyDescent="0.25">
      <c r="A467" s="4"/>
      <c r="B467" s="23"/>
      <c r="C467" s="4"/>
      <c r="D467" s="4"/>
      <c r="E467" s="5"/>
      <c r="F467" s="4"/>
      <c r="G467" s="4"/>
      <c r="H467" s="4"/>
      <c r="I467" s="4"/>
      <c r="J467" s="4"/>
      <c r="K467" s="4"/>
      <c r="L467" s="4"/>
      <c r="M467" s="4"/>
      <c r="N467" s="4"/>
      <c r="O467" s="4"/>
      <c r="P467" s="4"/>
      <c r="Q467" s="4"/>
      <c r="R467" s="4"/>
    </row>
    <row r="468" spans="1:18" ht="17.399999999999999" x14ac:dyDescent="0.25">
      <c r="A468" s="4"/>
      <c r="B468" s="23"/>
      <c r="C468" s="4"/>
      <c r="D468" s="4"/>
      <c r="E468" s="5"/>
      <c r="F468" s="4"/>
      <c r="G468" s="4"/>
      <c r="H468" s="4"/>
      <c r="I468" s="4"/>
      <c r="J468" s="4"/>
      <c r="K468" s="4"/>
      <c r="L468" s="4"/>
      <c r="M468" s="4"/>
      <c r="N468" s="4"/>
      <c r="O468" s="4"/>
      <c r="P468" s="4"/>
      <c r="Q468" s="4"/>
      <c r="R468" s="4"/>
    </row>
    <row r="469" spans="1:18" ht="17.399999999999999" x14ac:dyDescent="0.25">
      <c r="A469" s="4"/>
      <c r="B469" s="23"/>
      <c r="C469" s="4"/>
      <c r="D469" s="4"/>
      <c r="E469" s="5"/>
      <c r="F469" s="4"/>
      <c r="G469" s="4"/>
      <c r="H469" s="4"/>
      <c r="I469" s="4"/>
      <c r="J469" s="4"/>
      <c r="K469" s="4"/>
      <c r="L469" s="4"/>
      <c r="M469" s="4"/>
      <c r="N469" s="4"/>
      <c r="O469" s="4"/>
      <c r="P469" s="4"/>
      <c r="Q469" s="4"/>
      <c r="R469" s="4"/>
    </row>
    <row r="470" spans="1:18" ht="17.399999999999999" x14ac:dyDescent="0.25">
      <c r="A470" s="4"/>
      <c r="B470" s="23"/>
      <c r="C470" s="4"/>
      <c r="D470" s="4"/>
      <c r="E470" s="5"/>
      <c r="F470" s="4"/>
      <c r="G470" s="4"/>
      <c r="H470" s="4"/>
      <c r="I470" s="4"/>
      <c r="J470" s="4"/>
      <c r="K470" s="4"/>
      <c r="L470" s="4"/>
      <c r="M470" s="4"/>
      <c r="N470" s="4"/>
      <c r="O470" s="4"/>
      <c r="P470" s="4"/>
      <c r="Q470" s="4"/>
      <c r="R470" s="4"/>
    </row>
    <row r="471" spans="1:18" ht="17.399999999999999" x14ac:dyDescent="0.25">
      <c r="A471" s="4"/>
      <c r="B471" s="23"/>
      <c r="C471" s="4"/>
      <c r="D471" s="4"/>
      <c r="E471" s="5"/>
      <c r="F471" s="4"/>
      <c r="G471" s="4"/>
      <c r="H471" s="4"/>
      <c r="I471" s="4"/>
      <c r="J471" s="4"/>
      <c r="K471" s="4"/>
      <c r="L471" s="4"/>
      <c r="M471" s="4"/>
      <c r="N471" s="4"/>
      <c r="O471" s="4"/>
      <c r="P471" s="4"/>
      <c r="Q471" s="4"/>
      <c r="R471" s="4"/>
    </row>
    <row r="472" spans="1:18" ht="17.399999999999999" x14ac:dyDescent="0.25">
      <c r="A472" s="4"/>
      <c r="B472" s="23"/>
      <c r="C472" s="4"/>
      <c r="D472" s="4"/>
      <c r="E472" s="5"/>
      <c r="F472" s="4"/>
      <c r="G472" s="4"/>
      <c r="H472" s="4"/>
      <c r="I472" s="4"/>
      <c r="J472" s="4"/>
      <c r="K472" s="4"/>
      <c r="L472" s="4"/>
      <c r="M472" s="4"/>
      <c r="N472" s="4"/>
      <c r="O472" s="4"/>
      <c r="P472" s="4"/>
      <c r="Q472" s="4"/>
      <c r="R472" s="4"/>
    </row>
    <row r="473" spans="1:18" ht="17.399999999999999" x14ac:dyDescent="0.25">
      <c r="A473" s="4"/>
      <c r="B473" s="23"/>
      <c r="C473" s="4"/>
      <c r="D473" s="4"/>
      <c r="E473" s="5"/>
      <c r="F473" s="4"/>
      <c r="G473" s="4"/>
      <c r="H473" s="4"/>
      <c r="I473" s="4"/>
      <c r="J473" s="4"/>
      <c r="K473" s="4"/>
      <c r="L473" s="4"/>
      <c r="M473" s="4"/>
      <c r="N473" s="4"/>
      <c r="O473" s="4"/>
      <c r="P473" s="4"/>
      <c r="Q473" s="4"/>
      <c r="R473" s="4"/>
    </row>
    <row r="474" spans="1:18" ht="17.399999999999999" x14ac:dyDescent="0.25">
      <c r="A474" s="4"/>
      <c r="B474" s="23"/>
      <c r="C474" s="4"/>
      <c r="D474" s="4"/>
      <c r="E474" s="5"/>
      <c r="F474" s="4"/>
      <c r="G474" s="4"/>
      <c r="H474" s="4"/>
      <c r="I474" s="4"/>
      <c r="J474" s="4"/>
      <c r="K474" s="4"/>
      <c r="L474" s="4"/>
      <c r="M474" s="4"/>
      <c r="N474" s="4"/>
      <c r="O474" s="4"/>
      <c r="P474" s="4"/>
      <c r="Q474" s="4"/>
      <c r="R474" s="4"/>
    </row>
    <row r="475" spans="1:18" ht="17.399999999999999" x14ac:dyDescent="0.25">
      <c r="A475" s="4"/>
      <c r="B475" s="23"/>
      <c r="C475" s="4"/>
      <c r="D475" s="4"/>
      <c r="E475" s="5"/>
      <c r="F475" s="4"/>
      <c r="G475" s="4"/>
      <c r="H475" s="4"/>
      <c r="I475" s="4"/>
      <c r="J475" s="4"/>
      <c r="K475" s="4"/>
      <c r="L475" s="4"/>
      <c r="M475" s="4"/>
      <c r="N475" s="4"/>
      <c r="O475" s="4"/>
      <c r="P475" s="4"/>
      <c r="Q475" s="4"/>
      <c r="R475" s="4"/>
    </row>
    <row r="476" spans="1:18" ht="17.399999999999999" x14ac:dyDescent="0.25">
      <c r="A476" s="4"/>
      <c r="B476" s="23"/>
      <c r="C476" s="4"/>
      <c r="D476" s="4"/>
      <c r="E476" s="5"/>
      <c r="F476" s="4"/>
      <c r="G476" s="4"/>
      <c r="H476" s="4"/>
      <c r="I476" s="4"/>
      <c r="J476" s="4"/>
      <c r="K476" s="4"/>
      <c r="L476" s="4"/>
      <c r="M476" s="4"/>
      <c r="N476" s="4"/>
      <c r="O476" s="4"/>
      <c r="P476" s="4"/>
      <c r="Q476" s="4"/>
      <c r="R476" s="4"/>
    </row>
    <row r="477" spans="1:18" ht="17.399999999999999" x14ac:dyDescent="0.25">
      <c r="A477" s="4"/>
      <c r="B477" s="23"/>
      <c r="C477" s="4"/>
      <c r="D477" s="4"/>
      <c r="E477" s="5"/>
      <c r="F477" s="4"/>
      <c r="G477" s="4"/>
      <c r="H477" s="4"/>
      <c r="I477" s="4"/>
      <c r="J477" s="4"/>
      <c r="K477" s="4"/>
      <c r="L477" s="4"/>
      <c r="M477" s="4"/>
      <c r="N477" s="4"/>
      <c r="O477" s="4"/>
      <c r="P477" s="4"/>
      <c r="Q477" s="4"/>
      <c r="R477" s="4"/>
    </row>
    <row r="478" spans="1:18" ht="17.399999999999999" x14ac:dyDescent="0.25">
      <c r="A478" s="4"/>
      <c r="B478" s="23"/>
      <c r="C478" s="4"/>
      <c r="D478" s="4"/>
      <c r="E478" s="5"/>
      <c r="F478" s="4"/>
      <c r="G478" s="4"/>
      <c r="H478" s="4"/>
      <c r="I478" s="4"/>
      <c r="J478" s="4"/>
      <c r="K478" s="4"/>
      <c r="L478" s="4"/>
      <c r="M478" s="4"/>
      <c r="N478" s="4"/>
      <c r="O478" s="4"/>
      <c r="P478" s="4"/>
      <c r="Q478" s="4"/>
      <c r="R478" s="4"/>
    </row>
    <row r="479" spans="1:18" ht="17.399999999999999" x14ac:dyDescent="0.25">
      <c r="A479" s="4"/>
      <c r="B479" s="23"/>
      <c r="C479" s="4"/>
      <c r="D479" s="4"/>
      <c r="E479" s="5"/>
      <c r="F479" s="4"/>
      <c r="G479" s="4"/>
      <c r="H479" s="4"/>
      <c r="I479" s="4"/>
      <c r="J479" s="4"/>
      <c r="K479" s="4"/>
      <c r="L479" s="4"/>
      <c r="M479" s="4"/>
      <c r="N479" s="4"/>
      <c r="O479" s="4"/>
      <c r="P479" s="4"/>
      <c r="Q479" s="4"/>
      <c r="R479" s="4"/>
    </row>
    <row r="480" spans="1:18" ht="17.399999999999999" x14ac:dyDescent="0.25">
      <c r="A480" s="4"/>
      <c r="B480" s="23"/>
      <c r="C480" s="4"/>
      <c r="D480" s="4"/>
      <c r="E480" s="5"/>
      <c r="F480" s="4"/>
      <c r="G480" s="4"/>
      <c r="H480" s="4"/>
      <c r="I480" s="4"/>
      <c r="J480" s="4"/>
      <c r="K480" s="4"/>
      <c r="L480" s="4"/>
      <c r="M480" s="4"/>
      <c r="N480" s="4"/>
      <c r="O480" s="4"/>
      <c r="P480" s="4"/>
      <c r="Q480" s="4"/>
      <c r="R480" s="4"/>
    </row>
    <row r="481" spans="1:18" ht="17.399999999999999" x14ac:dyDescent="0.25">
      <c r="A481" s="4"/>
      <c r="B481" s="23"/>
      <c r="C481" s="4"/>
      <c r="D481" s="4"/>
      <c r="E481" s="5"/>
      <c r="F481" s="4"/>
      <c r="G481" s="4"/>
      <c r="H481" s="4"/>
      <c r="I481" s="4"/>
      <c r="J481" s="4"/>
      <c r="K481" s="4"/>
      <c r="L481" s="4"/>
      <c r="M481" s="4"/>
      <c r="N481" s="4"/>
      <c r="O481" s="4"/>
      <c r="P481" s="4"/>
      <c r="Q481" s="4"/>
      <c r="R481" s="4"/>
    </row>
    <row r="482" spans="1:18" ht="17.399999999999999" x14ac:dyDescent="0.25">
      <c r="A482" s="4"/>
      <c r="B482" s="23"/>
      <c r="C482" s="4"/>
      <c r="D482" s="4"/>
      <c r="E482" s="5"/>
      <c r="F482" s="4"/>
      <c r="G482" s="4"/>
      <c r="H482" s="4"/>
      <c r="I482" s="4"/>
      <c r="J482" s="4"/>
      <c r="K482" s="4"/>
      <c r="L482" s="4"/>
      <c r="M482" s="4"/>
      <c r="N482" s="4"/>
      <c r="O482" s="4"/>
      <c r="P482" s="4"/>
      <c r="Q482" s="4"/>
      <c r="R482" s="4"/>
    </row>
    <row r="483" spans="1:18" ht="17.399999999999999" x14ac:dyDescent="0.25">
      <c r="A483" s="4"/>
      <c r="B483" s="23"/>
      <c r="C483" s="4"/>
      <c r="D483" s="4"/>
      <c r="E483" s="5"/>
      <c r="F483" s="4"/>
      <c r="G483" s="4"/>
      <c r="H483" s="4"/>
      <c r="I483" s="4"/>
      <c r="J483" s="4"/>
      <c r="K483" s="4"/>
      <c r="L483" s="4"/>
      <c r="M483" s="4"/>
      <c r="N483" s="4"/>
      <c r="O483" s="4"/>
      <c r="P483" s="4"/>
      <c r="Q483" s="4"/>
      <c r="R483" s="4"/>
    </row>
    <row r="484" spans="1:18" ht="17.399999999999999" x14ac:dyDescent="0.25">
      <c r="A484" s="4"/>
      <c r="B484" s="23"/>
      <c r="C484" s="4"/>
      <c r="D484" s="4"/>
      <c r="E484" s="5"/>
      <c r="F484" s="4"/>
      <c r="G484" s="4"/>
      <c r="H484" s="4"/>
      <c r="I484" s="4"/>
      <c r="J484" s="4"/>
      <c r="K484" s="4"/>
      <c r="L484" s="4"/>
      <c r="M484" s="4"/>
      <c r="N484" s="4"/>
      <c r="O484" s="4"/>
      <c r="P484" s="4"/>
      <c r="Q484" s="4"/>
      <c r="R484" s="4"/>
    </row>
    <row r="485" spans="1:18" ht="17.399999999999999" x14ac:dyDescent="0.25">
      <c r="A485" s="4"/>
      <c r="B485" s="23"/>
      <c r="C485" s="4"/>
      <c r="D485" s="4"/>
      <c r="E485" s="5"/>
      <c r="F485" s="4"/>
      <c r="G485" s="4"/>
      <c r="H485" s="4"/>
      <c r="I485" s="4"/>
      <c r="J485" s="4"/>
      <c r="K485" s="4"/>
      <c r="L485" s="4"/>
      <c r="M485" s="4"/>
      <c r="N485" s="4"/>
      <c r="O485" s="4"/>
      <c r="P485" s="4"/>
      <c r="Q485" s="4"/>
      <c r="R485" s="4"/>
    </row>
    <row r="486" spans="1:18" ht="17.399999999999999" x14ac:dyDescent="0.25">
      <c r="A486" s="4"/>
      <c r="B486" s="23"/>
      <c r="C486" s="4"/>
      <c r="D486" s="4"/>
      <c r="E486" s="5"/>
      <c r="F486" s="4"/>
      <c r="G486" s="4"/>
      <c r="H486" s="4"/>
      <c r="I486" s="4"/>
      <c r="J486" s="4"/>
      <c r="K486" s="4"/>
      <c r="L486" s="4"/>
      <c r="M486" s="4"/>
      <c r="N486" s="4"/>
      <c r="O486" s="4"/>
      <c r="P486" s="4"/>
      <c r="Q486" s="4"/>
      <c r="R486" s="4"/>
    </row>
    <row r="487" spans="1:18" ht="17.399999999999999" x14ac:dyDescent="0.25">
      <c r="A487" s="4"/>
      <c r="B487" s="23"/>
      <c r="C487" s="4"/>
      <c r="D487" s="4"/>
      <c r="E487" s="5"/>
      <c r="F487" s="4"/>
      <c r="G487" s="4"/>
      <c r="H487" s="4"/>
      <c r="I487" s="4"/>
      <c r="J487" s="4"/>
      <c r="K487" s="4"/>
      <c r="L487" s="4"/>
      <c r="M487" s="4"/>
      <c r="N487" s="4"/>
      <c r="O487" s="4"/>
      <c r="P487" s="4"/>
      <c r="Q487" s="4"/>
      <c r="R487" s="4"/>
    </row>
    <row r="488" spans="1:18" ht="17.399999999999999" x14ac:dyDescent="0.25">
      <c r="A488" s="4"/>
      <c r="B488" s="23"/>
      <c r="C488" s="4"/>
      <c r="D488" s="4"/>
      <c r="E488" s="5"/>
      <c r="F488" s="4"/>
      <c r="G488" s="4"/>
      <c r="H488" s="4"/>
      <c r="I488" s="4"/>
      <c r="J488" s="4"/>
      <c r="K488" s="4"/>
      <c r="L488" s="4"/>
      <c r="M488" s="4"/>
      <c r="N488" s="4"/>
      <c r="O488" s="4"/>
      <c r="P488" s="4"/>
      <c r="Q488" s="4"/>
      <c r="R488" s="4"/>
    </row>
    <row r="489" spans="1:18" ht="17.399999999999999" x14ac:dyDescent="0.25">
      <c r="A489" s="4"/>
      <c r="B489" s="23"/>
      <c r="C489" s="4"/>
      <c r="D489" s="4"/>
      <c r="E489" s="5"/>
      <c r="F489" s="4"/>
      <c r="G489" s="4"/>
      <c r="H489" s="4"/>
      <c r="I489" s="4"/>
      <c r="J489" s="4"/>
      <c r="K489" s="4"/>
      <c r="L489" s="4"/>
      <c r="M489" s="4"/>
      <c r="N489" s="4"/>
      <c r="O489" s="4"/>
      <c r="P489" s="4"/>
      <c r="Q489" s="4"/>
      <c r="R489" s="4"/>
    </row>
    <row r="490" spans="1:18" ht="17.399999999999999" x14ac:dyDescent="0.25">
      <c r="A490" s="4"/>
      <c r="B490" s="23"/>
      <c r="C490" s="4"/>
      <c r="D490" s="4"/>
      <c r="E490" s="5"/>
      <c r="F490" s="4"/>
      <c r="G490" s="4"/>
      <c r="H490" s="4"/>
      <c r="I490" s="4"/>
      <c r="J490" s="4"/>
      <c r="K490" s="4"/>
      <c r="L490" s="4"/>
      <c r="M490" s="4"/>
      <c r="N490" s="4"/>
      <c r="O490" s="4"/>
      <c r="P490" s="4"/>
      <c r="Q490" s="4"/>
      <c r="R490" s="4"/>
    </row>
    <row r="491" spans="1:18" ht="17.399999999999999" x14ac:dyDescent="0.25">
      <c r="A491" s="4"/>
      <c r="B491" s="23"/>
      <c r="C491" s="4"/>
      <c r="D491" s="4"/>
      <c r="E491" s="5"/>
      <c r="F491" s="4"/>
      <c r="G491" s="4"/>
      <c r="H491" s="4"/>
      <c r="I491" s="4"/>
      <c r="J491" s="4"/>
      <c r="K491" s="4"/>
      <c r="L491" s="4"/>
      <c r="M491" s="4"/>
      <c r="N491" s="4"/>
      <c r="O491" s="4"/>
      <c r="P491" s="4"/>
      <c r="Q491" s="4"/>
      <c r="R491" s="4"/>
    </row>
    <row r="492" spans="1:18" ht="17.399999999999999" x14ac:dyDescent="0.25">
      <c r="A492" s="4"/>
      <c r="B492" s="23"/>
      <c r="C492" s="4"/>
      <c r="D492" s="4"/>
      <c r="E492" s="5"/>
      <c r="F492" s="4"/>
      <c r="G492" s="4"/>
      <c r="H492" s="4"/>
      <c r="I492" s="4"/>
      <c r="J492" s="4"/>
      <c r="K492" s="4"/>
      <c r="L492" s="4"/>
      <c r="M492" s="4"/>
      <c r="N492" s="4"/>
      <c r="O492" s="4"/>
      <c r="P492" s="4"/>
      <c r="Q492" s="4"/>
      <c r="R492" s="4"/>
    </row>
    <row r="493" spans="1:18" ht="17.399999999999999" x14ac:dyDescent="0.25">
      <c r="A493" s="4"/>
      <c r="B493" s="23"/>
      <c r="C493" s="4"/>
      <c r="D493" s="4"/>
      <c r="E493" s="5"/>
      <c r="F493" s="4"/>
      <c r="G493" s="4"/>
      <c r="H493" s="4"/>
      <c r="I493" s="4"/>
      <c r="J493" s="4"/>
      <c r="K493" s="4"/>
      <c r="L493" s="4"/>
      <c r="M493" s="4"/>
      <c r="N493" s="4"/>
      <c r="O493" s="4"/>
      <c r="P493" s="4"/>
      <c r="Q493" s="4"/>
      <c r="R493" s="4"/>
    </row>
    <row r="494" spans="1:18" ht="17.399999999999999" x14ac:dyDescent="0.25">
      <c r="A494" s="4"/>
      <c r="B494" s="23"/>
      <c r="C494" s="4"/>
      <c r="D494" s="4"/>
      <c r="E494" s="5"/>
      <c r="F494" s="4"/>
      <c r="G494" s="4"/>
      <c r="H494" s="4"/>
      <c r="I494" s="4"/>
      <c r="J494" s="4"/>
      <c r="K494" s="4"/>
      <c r="L494" s="4"/>
      <c r="M494" s="4"/>
      <c r="N494" s="4"/>
      <c r="O494" s="4"/>
      <c r="P494" s="4"/>
      <c r="Q494" s="4"/>
      <c r="R494" s="4"/>
    </row>
    <row r="495" spans="1:18" ht="17.399999999999999" x14ac:dyDescent="0.25">
      <c r="A495" s="4"/>
      <c r="B495" s="23"/>
      <c r="C495" s="4"/>
      <c r="D495" s="4"/>
      <c r="E495" s="5"/>
      <c r="F495" s="4"/>
      <c r="G495" s="4"/>
      <c r="H495" s="4"/>
      <c r="I495" s="4"/>
      <c r="J495" s="4"/>
      <c r="K495" s="4"/>
      <c r="L495" s="4"/>
      <c r="M495" s="4"/>
      <c r="N495" s="4"/>
      <c r="O495" s="4"/>
      <c r="P495" s="4"/>
      <c r="Q495" s="4"/>
      <c r="R495" s="4"/>
    </row>
    <row r="496" spans="1:18" ht="17.399999999999999" x14ac:dyDescent="0.25">
      <c r="A496" s="4"/>
      <c r="B496" s="23"/>
      <c r="C496" s="4"/>
      <c r="D496" s="4"/>
      <c r="E496" s="5"/>
      <c r="F496" s="4"/>
      <c r="G496" s="4"/>
      <c r="H496" s="4"/>
      <c r="I496" s="4"/>
      <c r="J496" s="4"/>
      <c r="K496" s="4"/>
      <c r="L496" s="4"/>
      <c r="M496" s="4"/>
      <c r="N496" s="4"/>
      <c r="O496" s="4"/>
      <c r="P496" s="4"/>
      <c r="Q496" s="4"/>
      <c r="R496" s="4"/>
    </row>
    <row r="497" spans="1:18" ht="17.399999999999999" x14ac:dyDescent="0.25">
      <c r="A497" s="4"/>
      <c r="B497" s="23"/>
      <c r="C497" s="4"/>
      <c r="D497" s="4"/>
      <c r="E497" s="5"/>
      <c r="F497" s="4"/>
      <c r="G497" s="4"/>
      <c r="H497" s="4"/>
      <c r="I497" s="4"/>
      <c r="J497" s="4"/>
      <c r="K497" s="4"/>
      <c r="L497" s="4"/>
      <c r="M497" s="4"/>
      <c r="N497" s="4"/>
      <c r="O497" s="4"/>
      <c r="P497" s="4"/>
      <c r="Q497" s="4"/>
      <c r="R497" s="4"/>
    </row>
    <row r="498" spans="1:18" ht="17.399999999999999" x14ac:dyDescent="0.25">
      <c r="A498" s="4"/>
      <c r="B498" s="23"/>
      <c r="C498" s="4"/>
      <c r="D498" s="4"/>
      <c r="E498" s="5"/>
      <c r="F498" s="4"/>
      <c r="G498" s="4"/>
      <c r="H498" s="4"/>
      <c r="I498" s="4"/>
      <c r="J498" s="4"/>
      <c r="K498" s="4"/>
      <c r="L498" s="4"/>
      <c r="M498" s="4"/>
      <c r="N498" s="4"/>
      <c r="O498" s="4"/>
      <c r="P498" s="4"/>
      <c r="Q498" s="4"/>
      <c r="R498" s="4"/>
    </row>
    <row r="499" spans="1:18" ht="17.399999999999999" x14ac:dyDescent="0.25">
      <c r="A499" s="4"/>
      <c r="B499" s="23"/>
      <c r="C499" s="4"/>
      <c r="D499" s="4"/>
      <c r="E499" s="5"/>
      <c r="F499" s="4"/>
      <c r="G499" s="4"/>
      <c r="H499" s="4"/>
      <c r="I499" s="4"/>
      <c r="J499" s="4"/>
      <c r="K499" s="4"/>
      <c r="L499" s="4"/>
      <c r="M499" s="4"/>
      <c r="N499" s="4"/>
      <c r="O499" s="4"/>
      <c r="P499" s="4"/>
      <c r="Q499" s="4"/>
      <c r="R499" s="4"/>
    </row>
    <row r="500" spans="1:18" ht="17.399999999999999" x14ac:dyDescent="0.25">
      <c r="A500" s="4"/>
      <c r="B500" s="23"/>
      <c r="C500" s="4"/>
      <c r="D500" s="4"/>
      <c r="E500" s="5"/>
      <c r="F500" s="4"/>
      <c r="G500" s="4"/>
      <c r="H500" s="4"/>
      <c r="I500" s="4"/>
      <c r="J500" s="4"/>
      <c r="K500" s="4"/>
      <c r="L500" s="4"/>
      <c r="M500" s="4"/>
      <c r="N500" s="4"/>
      <c r="O500" s="4"/>
      <c r="P500" s="4"/>
      <c r="Q500" s="4"/>
      <c r="R500" s="4"/>
    </row>
    <row r="501" spans="1:18" ht="17.399999999999999" x14ac:dyDescent="0.25">
      <c r="A501" s="4"/>
      <c r="B501" s="23"/>
      <c r="C501" s="4"/>
      <c r="D501" s="4"/>
      <c r="E501" s="5"/>
      <c r="F501" s="4"/>
      <c r="G501" s="4"/>
      <c r="H501" s="4"/>
      <c r="I501" s="4"/>
      <c r="J501" s="4"/>
      <c r="K501" s="4"/>
      <c r="L501" s="4"/>
      <c r="M501" s="4"/>
      <c r="N501" s="4"/>
      <c r="O501" s="4"/>
      <c r="P501" s="4"/>
      <c r="Q501" s="4"/>
      <c r="R501" s="4"/>
    </row>
    <row r="502" spans="1:18" ht="17.399999999999999" x14ac:dyDescent="0.25">
      <c r="A502" s="4"/>
      <c r="B502" s="23"/>
      <c r="C502" s="4"/>
      <c r="D502" s="4"/>
      <c r="E502" s="5"/>
      <c r="F502" s="4"/>
      <c r="G502" s="4"/>
      <c r="H502" s="4"/>
      <c r="I502" s="4"/>
      <c r="J502" s="4"/>
      <c r="K502" s="4"/>
      <c r="L502" s="4"/>
      <c r="M502" s="4"/>
      <c r="N502" s="4"/>
      <c r="O502" s="4"/>
      <c r="P502" s="4"/>
      <c r="Q502" s="4"/>
      <c r="R502" s="4"/>
    </row>
    <row r="503" spans="1:18" ht="17.399999999999999" x14ac:dyDescent="0.25">
      <c r="A503" s="4"/>
      <c r="B503" s="23"/>
      <c r="C503" s="4"/>
      <c r="D503" s="4"/>
      <c r="E503" s="5"/>
      <c r="F503" s="4"/>
      <c r="G503" s="4"/>
      <c r="H503" s="4"/>
      <c r="I503" s="4"/>
      <c r="J503" s="4"/>
      <c r="K503" s="4"/>
      <c r="L503" s="4"/>
      <c r="M503" s="4"/>
      <c r="N503" s="4"/>
      <c r="O503" s="4"/>
      <c r="P503" s="4"/>
      <c r="Q503" s="4"/>
      <c r="R503" s="4"/>
    </row>
    <row r="504" spans="1:18" ht="17.399999999999999" x14ac:dyDescent="0.25">
      <c r="A504" s="4"/>
      <c r="B504" s="23"/>
      <c r="C504" s="4"/>
      <c r="D504" s="4"/>
      <c r="E504" s="5"/>
      <c r="F504" s="4"/>
      <c r="G504" s="4"/>
      <c r="H504" s="4"/>
      <c r="I504" s="4"/>
      <c r="J504" s="4"/>
      <c r="K504" s="4"/>
      <c r="L504" s="4"/>
      <c r="M504" s="4"/>
      <c r="N504" s="4"/>
      <c r="O504" s="4"/>
      <c r="P504" s="4"/>
      <c r="Q504" s="4"/>
      <c r="R504" s="4"/>
    </row>
    <row r="505" spans="1:18" ht="17.399999999999999" x14ac:dyDescent="0.25">
      <c r="A505" s="4"/>
      <c r="B505" s="23"/>
      <c r="C505" s="4"/>
      <c r="D505" s="4"/>
      <c r="E505" s="5"/>
      <c r="F505" s="4"/>
      <c r="G505" s="4"/>
      <c r="H505" s="4"/>
      <c r="I505" s="4"/>
      <c r="J505" s="4"/>
      <c r="K505" s="4"/>
      <c r="L505" s="4"/>
      <c r="M505" s="4"/>
      <c r="N505" s="4"/>
      <c r="O505" s="4"/>
      <c r="P505" s="4"/>
      <c r="Q505" s="4"/>
      <c r="R505" s="4"/>
    </row>
    <row r="506" spans="1:18" ht="17.399999999999999" x14ac:dyDescent="0.25">
      <c r="A506" s="4"/>
      <c r="B506" s="23"/>
      <c r="C506" s="4"/>
      <c r="D506" s="4"/>
      <c r="E506" s="5"/>
      <c r="F506" s="4"/>
      <c r="G506" s="4"/>
      <c r="H506" s="4"/>
      <c r="I506" s="4"/>
      <c r="J506" s="4"/>
      <c r="K506" s="4"/>
      <c r="L506" s="4"/>
      <c r="M506" s="4"/>
      <c r="N506" s="4"/>
      <c r="O506" s="4"/>
      <c r="P506" s="4"/>
      <c r="Q506" s="4"/>
      <c r="R506" s="4"/>
    </row>
    <row r="507" spans="1:18" ht="17.399999999999999" x14ac:dyDescent="0.25">
      <c r="A507" s="4"/>
      <c r="B507" s="23"/>
      <c r="C507" s="4"/>
      <c r="D507" s="4"/>
      <c r="E507" s="5"/>
      <c r="F507" s="4"/>
      <c r="G507" s="4"/>
      <c r="H507" s="4"/>
      <c r="I507" s="4"/>
      <c r="J507" s="4"/>
      <c r="K507" s="4"/>
      <c r="L507" s="4"/>
      <c r="M507" s="4"/>
      <c r="N507" s="4"/>
      <c r="O507" s="4"/>
      <c r="P507" s="4"/>
      <c r="Q507" s="4"/>
      <c r="R507" s="4"/>
    </row>
    <row r="508" spans="1:18" ht="17.399999999999999" x14ac:dyDescent="0.25">
      <c r="A508" s="4"/>
      <c r="B508" s="23"/>
      <c r="C508" s="4"/>
      <c r="D508" s="4"/>
      <c r="E508" s="5"/>
      <c r="F508" s="4"/>
      <c r="G508" s="4"/>
      <c r="H508" s="4"/>
      <c r="I508" s="4"/>
      <c r="J508" s="4"/>
      <c r="K508" s="4"/>
      <c r="L508" s="4"/>
      <c r="M508" s="4"/>
      <c r="N508" s="4"/>
      <c r="O508" s="4"/>
      <c r="P508" s="4"/>
      <c r="Q508" s="4"/>
      <c r="R508" s="4"/>
    </row>
    <row r="509" spans="1:18" ht="17.399999999999999" x14ac:dyDescent="0.25">
      <c r="A509" s="4"/>
      <c r="B509" s="23"/>
      <c r="C509" s="4"/>
      <c r="D509" s="4"/>
      <c r="E509" s="5"/>
      <c r="F509" s="4"/>
      <c r="G509" s="4"/>
      <c r="H509" s="4"/>
      <c r="I509" s="4"/>
      <c r="J509" s="4"/>
      <c r="K509" s="4"/>
      <c r="L509" s="4"/>
      <c r="M509" s="4"/>
      <c r="N509" s="4"/>
      <c r="O509" s="4"/>
      <c r="P509" s="4"/>
      <c r="Q509" s="4"/>
      <c r="R509" s="4"/>
    </row>
    <row r="510" spans="1:18" ht="17.399999999999999" x14ac:dyDescent="0.25">
      <c r="A510" s="4"/>
      <c r="B510" s="23"/>
      <c r="C510" s="4"/>
      <c r="D510" s="4"/>
      <c r="E510" s="5"/>
      <c r="F510" s="4"/>
      <c r="G510" s="4"/>
      <c r="H510" s="4"/>
      <c r="I510" s="4"/>
      <c r="J510" s="4"/>
      <c r="K510" s="4"/>
      <c r="L510" s="4"/>
      <c r="M510" s="4"/>
      <c r="N510" s="4"/>
      <c r="O510" s="4"/>
      <c r="P510" s="4"/>
      <c r="Q510" s="4"/>
      <c r="R510" s="4"/>
    </row>
    <row r="511" spans="1:18" ht="17.399999999999999" x14ac:dyDescent="0.25">
      <c r="A511" s="4"/>
      <c r="B511" s="23"/>
      <c r="C511" s="4"/>
      <c r="D511" s="4"/>
      <c r="E511" s="5"/>
      <c r="F511" s="4"/>
      <c r="G511" s="4"/>
      <c r="H511" s="4"/>
      <c r="I511" s="4"/>
      <c r="J511" s="4"/>
      <c r="K511" s="4"/>
      <c r="L511" s="4"/>
      <c r="M511" s="4"/>
      <c r="N511" s="4"/>
      <c r="O511" s="4"/>
      <c r="P511" s="4"/>
      <c r="Q511" s="4"/>
      <c r="R511" s="4"/>
    </row>
    <row r="512" spans="1:18" ht="17.399999999999999" x14ac:dyDescent="0.25">
      <c r="A512" s="4"/>
      <c r="B512" s="23"/>
      <c r="C512" s="4"/>
      <c r="D512" s="4"/>
      <c r="E512" s="5"/>
      <c r="F512" s="4"/>
      <c r="G512" s="4"/>
      <c r="H512" s="4"/>
      <c r="I512" s="4"/>
      <c r="J512" s="4"/>
      <c r="K512" s="4"/>
      <c r="L512" s="4"/>
      <c r="M512" s="4"/>
      <c r="N512" s="4"/>
      <c r="O512" s="4"/>
      <c r="P512" s="4"/>
      <c r="Q512" s="4"/>
      <c r="R512" s="4"/>
    </row>
    <row r="513" spans="1:18" ht="17.399999999999999" x14ac:dyDescent="0.25">
      <c r="A513" s="4"/>
      <c r="B513" s="23"/>
      <c r="C513" s="4"/>
      <c r="D513" s="4"/>
      <c r="E513" s="5"/>
      <c r="F513" s="4"/>
      <c r="G513" s="4"/>
      <c r="H513" s="4"/>
      <c r="I513" s="4"/>
      <c r="J513" s="4"/>
      <c r="K513" s="4"/>
      <c r="L513" s="4"/>
      <c r="M513" s="4"/>
      <c r="N513" s="4"/>
      <c r="O513" s="4"/>
      <c r="P513" s="4"/>
      <c r="Q513" s="4"/>
      <c r="R513" s="4"/>
    </row>
    <row r="514" spans="1:18" ht="17.399999999999999" x14ac:dyDescent="0.25">
      <c r="A514" s="4"/>
      <c r="B514" s="23"/>
      <c r="C514" s="4"/>
      <c r="D514" s="4"/>
      <c r="E514" s="5"/>
      <c r="F514" s="4"/>
      <c r="G514" s="4"/>
      <c r="H514" s="4"/>
      <c r="I514" s="4"/>
      <c r="J514" s="4"/>
      <c r="K514" s="4"/>
      <c r="L514" s="4"/>
      <c r="M514" s="4"/>
      <c r="N514" s="4"/>
      <c r="O514" s="4"/>
      <c r="P514" s="4"/>
      <c r="Q514" s="4"/>
      <c r="R514" s="4"/>
    </row>
    <row r="515" spans="1:18" ht="17.399999999999999" x14ac:dyDescent="0.25">
      <c r="A515" s="4"/>
      <c r="B515" s="23"/>
      <c r="C515" s="4"/>
      <c r="D515" s="4"/>
      <c r="E515" s="5"/>
      <c r="F515" s="4"/>
      <c r="G515" s="4"/>
      <c r="H515" s="4"/>
      <c r="I515" s="4"/>
      <c r="J515" s="4"/>
      <c r="K515" s="4"/>
      <c r="L515" s="4"/>
      <c r="M515" s="4"/>
      <c r="N515" s="4"/>
      <c r="O515" s="4"/>
      <c r="P515" s="4"/>
      <c r="Q515" s="4"/>
      <c r="R515" s="4"/>
    </row>
    <row r="516" spans="1:18" ht="17.399999999999999" x14ac:dyDescent="0.25">
      <c r="A516" s="4"/>
      <c r="B516" s="23"/>
      <c r="C516" s="4"/>
      <c r="D516" s="4"/>
      <c r="E516" s="5"/>
      <c r="F516" s="4"/>
      <c r="G516" s="4"/>
      <c r="H516" s="4"/>
      <c r="I516" s="4"/>
      <c r="J516" s="4"/>
      <c r="K516" s="4"/>
      <c r="L516" s="4"/>
      <c r="M516" s="4"/>
      <c r="N516" s="4"/>
      <c r="O516" s="4"/>
      <c r="P516" s="4"/>
      <c r="Q516" s="4"/>
      <c r="R516" s="4"/>
    </row>
    <row r="517" spans="1:18" ht="17.399999999999999" x14ac:dyDescent="0.25">
      <c r="A517" s="4"/>
      <c r="B517" s="23"/>
      <c r="C517" s="4"/>
      <c r="D517" s="4"/>
      <c r="E517" s="5"/>
      <c r="F517" s="4"/>
      <c r="G517" s="4"/>
      <c r="H517" s="4"/>
      <c r="I517" s="4"/>
      <c r="J517" s="4"/>
      <c r="K517" s="4"/>
      <c r="L517" s="4"/>
      <c r="M517" s="4"/>
      <c r="N517" s="4"/>
      <c r="O517" s="4"/>
      <c r="P517" s="4"/>
      <c r="Q517" s="4"/>
      <c r="R517" s="4"/>
    </row>
    <row r="518" spans="1:18" ht="17.399999999999999" x14ac:dyDescent="0.25">
      <c r="A518" s="4"/>
      <c r="B518" s="23"/>
      <c r="C518" s="4"/>
      <c r="D518" s="4"/>
      <c r="E518" s="5"/>
      <c r="F518" s="4"/>
      <c r="G518" s="4"/>
      <c r="H518" s="4"/>
      <c r="I518" s="4"/>
      <c r="J518" s="4"/>
      <c r="K518" s="4"/>
      <c r="L518" s="4"/>
      <c r="M518" s="4"/>
      <c r="N518" s="4"/>
      <c r="O518" s="4"/>
      <c r="P518" s="4"/>
      <c r="Q518" s="4"/>
      <c r="R518" s="4"/>
    </row>
    <row r="519" spans="1:18" ht="17.399999999999999" x14ac:dyDescent="0.25">
      <c r="A519" s="4"/>
      <c r="B519" s="23"/>
      <c r="C519" s="4"/>
      <c r="D519" s="4"/>
      <c r="E519" s="5"/>
      <c r="F519" s="4"/>
      <c r="G519" s="4"/>
      <c r="H519" s="4"/>
      <c r="I519" s="4"/>
      <c r="J519" s="4"/>
      <c r="K519" s="4"/>
      <c r="L519" s="4"/>
      <c r="M519" s="4"/>
      <c r="N519" s="4"/>
      <c r="O519" s="4"/>
      <c r="P519" s="4"/>
      <c r="Q519" s="4"/>
      <c r="R519" s="4"/>
    </row>
    <row r="520" spans="1:18" ht="17.399999999999999" x14ac:dyDescent="0.25">
      <c r="A520" s="4"/>
      <c r="B520" s="23"/>
      <c r="C520" s="4"/>
      <c r="D520" s="4"/>
      <c r="E520" s="5"/>
      <c r="F520" s="4"/>
      <c r="G520" s="4"/>
      <c r="H520" s="4"/>
      <c r="I520" s="4"/>
      <c r="J520" s="4"/>
      <c r="K520" s="4"/>
      <c r="L520" s="4"/>
      <c r="M520" s="4"/>
      <c r="N520" s="4"/>
      <c r="O520" s="4"/>
      <c r="P520" s="4"/>
      <c r="Q520" s="4"/>
      <c r="R520" s="4"/>
    </row>
    <row r="521" spans="1:18" ht="17.399999999999999" x14ac:dyDescent="0.25">
      <c r="A521" s="4"/>
      <c r="B521" s="23"/>
      <c r="C521" s="4"/>
      <c r="D521" s="4"/>
      <c r="E521" s="5"/>
      <c r="F521" s="4"/>
      <c r="G521" s="4"/>
      <c r="H521" s="4"/>
      <c r="I521" s="4"/>
      <c r="J521" s="4"/>
      <c r="K521" s="4"/>
      <c r="L521" s="4"/>
      <c r="M521" s="4"/>
      <c r="N521" s="4"/>
      <c r="O521" s="4"/>
      <c r="P521" s="4"/>
      <c r="Q521" s="4"/>
      <c r="R521" s="4"/>
    </row>
    <row r="522" spans="1:18" ht="17.399999999999999" x14ac:dyDescent="0.25">
      <c r="A522" s="4"/>
      <c r="B522" s="23"/>
      <c r="C522" s="4"/>
      <c r="D522" s="4"/>
      <c r="E522" s="5"/>
      <c r="F522" s="4"/>
      <c r="G522" s="4"/>
      <c r="H522" s="4"/>
      <c r="I522" s="4"/>
      <c r="J522" s="4"/>
      <c r="K522" s="4"/>
      <c r="L522" s="4"/>
      <c r="M522" s="4"/>
      <c r="N522" s="4"/>
      <c r="O522" s="4"/>
      <c r="P522" s="4"/>
      <c r="Q522" s="4"/>
      <c r="R522" s="4"/>
    </row>
    <row r="523" spans="1:18" ht="17.399999999999999" x14ac:dyDescent="0.25">
      <c r="A523" s="4"/>
      <c r="B523" s="23"/>
      <c r="C523" s="4"/>
      <c r="D523" s="4"/>
      <c r="E523" s="5"/>
      <c r="F523" s="4"/>
      <c r="G523" s="4"/>
      <c r="H523" s="4"/>
      <c r="I523" s="4"/>
      <c r="J523" s="4"/>
      <c r="K523" s="4"/>
      <c r="L523" s="4"/>
      <c r="M523" s="4"/>
      <c r="N523" s="4"/>
      <c r="O523" s="4"/>
      <c r="P523" s="4"/>
      <c r="Q523" s="4"/>
      <c r="R523" s="4"/>
    </row>
    <row r="524" spans="1:18" ht="17.399999999999999" x14ac:dyDescent="0.25">
      <c r="A524" s="4"/>
      <c r="B524" s="23"/>
      <c r="C524" s="4"/>
      <c r="D524" s="4"/>
      <c r="E524" s="5"/>
      <c r="F524" s="4"/>
      <c r="G524" s="4"/>
      <c r="H524" s="4"/>
      <c r="I524" s="4"/>
      <c r="J524" s="4"/>
      <c r="K524" s="4"/>
      <c r="L524" s="4"/>
      <c r="M524" s="4"/>
      <c r="N524" s="4"/>
      <c r="O524" s="4"/>
      <c r="P524" s="4"/>
      <c r="Q524" s="4"/>
      <c r="R524" s="4"/>
    </row>
    <row r="525" spans="1:18" ht="17.399999999999999" x14ac:dyDescent="0.25">
      <c r="A525" s="4"/>
      <c r="B525" s="23"/>
      <c r="C525" s="4"/>
      <c r="D525" s="4"/>
      <c r="E525" s="5"/>
      <c r="F525" s="4"/>
      <c r="G525" s="4"/>
      <c r="H525" s="4"/>
      <c r="I525" s="4"/>
      <c r="J525" s="4"/>
      <c r="K525" s="4"/>
      <c r="L525" s="4"/>
      <c r="M525" s="4"/>
      <c r="N525" s="4"/>
      <c r="O525" s="4"/>
      <c r="P525" s="4"/>
      <c r="Q525" s="4"/>
      <c r="R525" s="4"/>
    </row>
    <row r="526" spans="1:18" ht="17.399999999999999" x14ac:dyDescent="0.25">
      <c r="A526" s="4"/>
      <c r="B526" s="23"/>
      <c r="C526" s="4"/>
      <c r="D526" s="4"/>
      <c r="E526" s="5"/>
      <c r="F526" s="4"/>
      <c r="G526" s="4"/>
      <c r="H526" s="4"/>
      <c r="I526" s="4"/>
      <c r="J526" s="4"/>
      <c r="K526" s="4"/>
      <c r="L526" s="4"/>
      <c r="M526" s="4"/>
      <c r="N526" s="4"/>
      <c r="O526" s="4"/>
      <c r="P526" s="4"/>
      <c r="Q526" s="4"/>
      <c r="R526" s="4"/>
    </row>
    <row r="527" spans="1:18" ht="17.399999999999999" x14ac:dyDescent="0.25">
      <c r="A527" s="4"/>
      <c r="B527" s="23"/>
      <c r="C527" s="4"/>
      <c r="D527" s="4"/>
      <c r="E527" s="5"/>
      <c r="F527" s="4"/>
      <c r="G527" s="4"/>
      <c r="H527" s="4"/>
      <c r="I527" s="4"/>
      <c r="J527" s="4"/>
      <c r="K527" s="4"/>
      <c r="L527" s="4"/>
      <c r="M527" s="4"/>
      <c r="N527" s="4"/>
      <c r="O527" s="4"/>
      <c r="P527" s="4"/>
      <c r="Q527" s="4"/>
      <c r="R527" s="4"/>
    </row>
    <row r="528" spans="1:18" ht="17.399999999999999" x14ac:dyDescent="0.25">
      <c r="A528" s="4"/>
      <c r="B528" s="23"/>
      <c r="C528" s="4"/>
      <c r="D528" s="4"/>
      <c r="E528" s="5"/>
      <c r="F528" s="4"/>
      <c r="G528" s="4"/>
      <c r="H528" s="4"/>
      <c r="I528" s="4"/>
      <c r="J528" s="4"/>
      <c r="K528" s="4"/>
      <c r="L528" s="4"/>
      <c r="M528" s="4"/>
      <c r="N528" s="4"/>
      <c r="O528" s="4"/>
      <c r="P528" s="4"/>
      <c r="Q528" s="4"/>
      <c r="R528" s="4"/>
    </row>
    <row r="529" spans="1:18" ht="17.399999999999999" x14ac:dyDescent="0.25">
      <c r="A529" s="4"/>
      <c r="B529" s="23"/>
      <c r="C529" s="4"/>
      <c r="D529" s="4"/>
      <c r="E529" s="5"/>
      <c r="F529" s="4"/>
      <c r="G529" s="4"/>
      <c r="H529" s="4"/>
      <c r="I529" s="4"/>
      <c r="J529" s="4"/>
      <c r="K529" s="4"/>
      <c r="L529" s="4"/>
      <c r="M529" s="4"/>
      <c r="N529" s="4"/>
      <c r="O529" s="4"/>
      <c r="P529" s="4"/>
      <c r="Q529" s="4"/>
      <c r="R529" s="4"/>
    </row>
    <row r="530" spans="1:18" ht="17.399999999999999" x14ac:dyDescent="0.25">
      <c r="A530" s="4"/>
      <c r="B530" s="23"/>
      <c r="C530" s="4"/>
      <c r="D530" s="4"/>
      <c r="E530" s="5"/>
      <c r="F530" s="4"/>
      <c r="G530" s="4"/>
      <c r="H530" s="4"/>
      <c r="I530" s="4"/>
      <c r="J530" s="4"/>
      <c r="K530" s="4"/>
      <c r="L530" s="4"/>
      <c r="M530" s="4"/>
      <c r="N530" s="4"/>
      <c r="O530" s="4"/>
      <c r="P530" s="4"/>
      <c r="Q530" s="4"/>
      <c r="R530" s="4"/>
    </row>
    <row r="531" spans="1:18" ht="17.399999999999999" x14ac:dyDescent="0.25">
      <c r="A531" s="4"/>
      <c r="B531" s="23"/>
      <c r="C531" s="4"/>
      <c r="D531" s="4"/>
      <c r="E531" s="5"/>
      <c r="F531" s="4"/>
      <c r="G531" s="4"/>
      <c r="H531" s="4"/>
      <c r="I531" s="4"/>
      <c r="J531" s="4"/>
      <c r="K531" s="4"/>
      <c r="L531" s="4"/>
      <c r="M531" s="4"/>
      <c r="N531" s="4"/>
      <c r="O531" s="4"/>
      <c r="P531" s="4"/>
      <c r="Q531" s="4"/>
      <c r="R531" s="4"/>
    </row>
    <row r="532" spans="1:18" ht="17.399999999999999" x14ac:dyDescent="0.25">
      <c r="A532" s="4"/>
      <c r="B532" s="23"/>
      <c r="C532" s="4"/>
      <c r="D532" s="4"/>
      <c r="E532" s="5"/>
      <c r="F532" s="4"/>
      <c r="G532" s="4"/>
      <c r="H532" s="4"/>
      <c r="I532" s="4"/>
      <c r="J532" s="4"/>
      <c r="K532" s="4"/>
      <c r="L532" s="4"/>
      <c r="M532" s="4"/>
      <c r="N532" s="4"/>
      <c r="O532" s="4"/>
      <c r="P532" s="4"/>
      <c r="Q532" s="4"/>
      <c r="R532" s="4"/>
    </row>
    <row r="533" spans="1:18" ht="17.399999999999999" x14ac:dyDescent="0.25">
      <c r="A533" s="4"/>
      <c r="B533" s="23"/>
      <c r="C533" s="4"/>
      <c r="D533" s="4"/>
      <c r="E533" s="5"/>
      <c r="F533" s="4"/>
      <c r="G533" s="4"/>
      <c r="H533" s="4"/>
      <c r="I533" s="4"/>
      <c r="J533" s="4"/>
      <c r="K533" s="4"/>
      <c r="L533" s="4"/>
      <c r="M533" s="4"/>
      <c r="N533" s="4"/>
      <c r="O533" s="4"/>
      <c r="P533" s="4"/>
      <c r="Q533" s="4"/>
      <c r="R533" s="4"/>
    </row>
    <row r="534" spans="1:18" ht="17.399999999999999" x14ac:dyDescent="0.25">
      <c r="A534" s="4"/>
      <c r="B534" s="23"/>
      <c r="C534" s="4"/>
      <c r="D534" s="4"/>
      <c r="E534" s="5"/>
      <c r="F534" s="4"/>
      <c r="G534" s="4"/>
      <c r="H534" s="4"/>
      <c r="I534" s="4"/>
      <c r="J534" s="4"/>
      <c r="K534" s="4"/>
      <c r="L534" s="4"/>
      <c r="M534" s="4"/>
      <c r="N534" s="4"/>
      <c r="O534" s="4"/>
      <c r="P534" s="4"/>
      <c r="Q534" s="4"/>
      <c r="R534" s="4"/>
    </row>
    <row r="535" spans="1:18" ht="17.399999999999999" x14ac:dyDescent="0.25">
      <c r="A535" s="4"/>
      <c r="B535" s="23"/>
      <c r="C535" s="4"/>
      <c r="D535" s="4"/>
      <c r="E535" s="5"/>
      <c r="F535" s="4"/>
      <c r="G535" s="4"/>
      <c r="H535" s="4"/>
      <c r="I535" s="4"/>
      <c r="J535" s="4"/>
      <c r="K535" s="4"/>
      <c r="L535" s="4"/>
      <c r="M535" s="4"/>
      <c r="N535" s="4"/>
      <c r="O535" s="4"/>
      <c r="P535" s="4"/>
      <c r="Q535" s="4"/>
      <c r="R535" s="4"/>
    </row>
    <row r="536" spans="1:18" ht="17.399999999999999" x14ac:dyDescent="0.25">
      <c r="A536" s="4"/>
      <c r="B536" s="23"/>
      <c r="C536" s="4"/>
      <c r="D536" s="4"/>
      <c r="E536" s="5"/>
      <c r="F536" s="4"/>
      <c r="G536" s="4"/>
      <c r="H536" s="4"/>
      <c r="I536" s="4"/>
      <c r="J536" s="4"/>
      <c r="K536" s="4"/>
      <c r="L536" s="4"/>
      <c r="M536" s="4"/>
      <c r="N536" s="4"/>
      <c r="O536" s="4"/>
      <c r="P536" s="4"/>
      <c r="Q536" s="4"/>
      <c r="R536" s="4"/>
    </row>
    <row r="537" spans="1:18" ht="17.399999999999999" x14ac:dyDescent="0.25">
      <c r="A537" s="4"/>
      <c r="B537" s="23"/>
      <c r="C537" s="4"/>
      <c r="D537" s="4"/>
      <c r="E537" s="5"/>
      <c r="F537" s="4"/>
      <c r="G537" s="4"/>
      <c r="H537" s="4"/>
      <c r="I537" s="4"/>
      <c r="J537" s="4"/>
      <c r="K537" s="4"/>
      <c r="L537" s="4"/>
      <c r="M537" s="4"/>
      <c r="N537" s="4"/>
      <c r="O537" s="4"/>
      <c r="P537" s="4"/>
      <c r="Q537" s="4"/>
      <c r="R537" s="4"/>
    </row>
    <row r="538" spans="1:18" ht="17.399999999999999" x14ac:dyDescent="0.25">
      <c r="A538" s="4"/>
      <c r="B538" s="23"/>
      <c r="C538" s="4"/>
      <c r="D538" s="4"/>
      <c r="E538" s="5"/>
      <c r="F538" s="4"/>
      <c r="G538" s="4"/>
      <c r="H538" s="4"/>
      <c r="I538" s="4"/>
      <c r="J538" s="4"/>
      <c r="K538" s="4"/>
      <c r="L538" s="4"/>
      <c r="M538" s="4"/>
      <c r="N538" s="4"/>
      <c r="O538" s="4"/>
      <c r="P538" s="4"/>
      <c r="Q538" s="4"/>
      <c r="R538" s="4"/>
    </row>
    <row r="539" spans="1:18" ht="17.399999999999999" x14ac:dyDescent="0.25">
      <c r="A539" s="4"/>
      <c r="B539" s="23"/>
      <c r="C539" s="4"/>
      <c r="D539" s="4"/>
      <c r="E539" s="5"/>
      <c r="F539" s="4"/>
      <c r="G539" s="4"/>
      <c r="H539" s="4"/>
      <c r="I539" s="4"/>
      <c r="J539" s="4"/>
      <c r="K539" s="4"/>
      <c r="L539" s="4"/>
      <c r="M539" s="4"/>
      <c r="N539" s="4"/>
      <c r="O539" s="4"/>
      <c r="P539" s="4"/>
      <c r="Q539" s="4"/>
      <c r="R539" s="4"/>
    </row>
    <row r="540" spans="1:18" ht="17.399999999999999" x14ac:dyDescent="0.25">
      <c r="A540" s="4"/>
      <c r="B540" s="23"/>
      <c r="C540" s="4"/>
      <c r="D540" s="4"/>
      <c r="E540" s="5"/>
      <c r="F540" s="4"/>
      <c r="G540" s="4"/>
      <c r="H540" s="4"/>
      <c r="I540" s="4"/>
      <c r="J540" s="4"/>
      <c r="K540" s="4"/>
      <c r="L540" s="4"/>
      <c r="M540" s="4"/>
      <c r="N540" s="4"/>
      <c r="O540" s="4"/>
      <c r="P540" s="4"/>
      <c r="Q540" s="4"/>
      <c r="R540" s="4"/>
    </row>
    <row r="541" spans="1:18" ht="17.399999999999999" x14ac:dyDescent="0.25">
      <c r="A541" s="4"/>
      <c r="B541" s="23"/>
      <c r="C541" s="4"/>
      <c r="D541" s="4"/>
      <c r="E541" s="5"/>
      <c r="F541" s="4"/>
      <c r="G541" s="4"/>
      <c r="H541" s="4"/>
      <c r="I541" s="4"/>
      <c r="J541" s="4"/>
      <c r="K541" s="4"/>
      <c r="L541" s="4"/>
      <c r="M541" s="4"/>
      <c r="N541" s="4"/>
      <c r="O541" s="4"/>
      <c r="P541" s="4"/>
      <c r="Q541" s="4"/>
      <c r="R541" s="4"/>
    </row>
    <row r="542" spans="1:18" ht="17.399999999999999" x14ac:dyDescent="0.25">
      <c r="A542" s="4"/>
      <c r="B542" s="23"/>
      <c r="C542" s="4"/>
      <c r="D542" s="4"/>
      <c r="E542" s="5"/>
      <c r="F542" s="4"/>
      <c r="G542" s="4"/>
      <c r="H542" s="4"/>
      <c r="I542" s="4"/>
      <c r="J542" s="4"/>
      <c r="K542" s="4"/>
      <c r="L542" s="4"/>
      <c r="M542" s="4"/>
      <c r="N542" s="4"/>
      <c r="O542" s="4"/>
      <c r="P542" s="4"/>
      <c r="Q542" s="4"/>
      <c r="R542" s="4"/>
    </row>
    <row r="543" spans="1:18" ht="17.399999999999999" x14ac:dyDescent="0.25">
      <c r="A543" s="4"/>
      <c r="B543" s="23"/>
      <c r="C543" s="4"/>
      <c r="D543" s="4"/>
      <c r="E543" s="5"/>
      <c r="F543" s="4"/>
      <c r="G543" s="4"/>
      <c r="H543" s="4"/>
      <c r="I543" s="4"/>
      <c r="J543" s="4"/>
      <c r="K543" s="4"/>
      <c r="L543" s="4"/>
      <c r="M543" s="4"/>
      <c r="N543" s="4"/>
      <c r="O543" s="4"/>
      <c r="P543" s="4"/>
      <c r="Q543" s="4"/>
      <c r="R543" s="4"/>
    </row>
    <row r="544" spans="1:18" ht="17.399999999999999" x14ac:dyDescent="0.25">
      <c r="A544" s="4"/>
      <c r="B544" s="23"/>
      <c r="C544" s="4"/>
      <c r="D544" s="4"/>
      <c r="E544" s="5"/>
      <c r="F544" s="4"/>
      <c r="G544" s="4"/>
      <c r="H544" s="4"/>
      <c r="I544" s="4"/>
      <c r="J544" s="4"/>
      <c r="K544" s="4"/>
      <c r="L544" s="4"/>
      <c r="M544" s="4"/>
      <c r="N544" s="4"/>
      <c r="O544" s="4"/>
      <c r="P544" s="4"/>
      <c r="Q544" s="4"/>
      <c r="R544" s="4"/>
    </row>
    <row r="545" spans="1:18" ht="17.399999999999999" x14ac:dyDescent="0.25">
      <c r="A545" s="4"/>
      <c r="B545" s="23"/>
      <c r="C545" s="4"/>
      <c r="D545" s="4"/>
      <c r="E545" s="5"/>
      <c r="F545" s="4"/>
      <c r="G545" s="4"/>
      <c r="H545" s="4"/>
      <c r="I545" s="4"/>
      <c r="J545" s="4"/>
      <c r="K545" s="4"/>
      <c r="L545" s="4"/>
      <c r="M545" s="4"/>
      <c r="N545" s="4"/>
      <c r="O545" s="4"/>
      <c r="P545" s="4"/>
      <c r="Q545" s="4"/>
      <c r="R545" s="4"/>
    </row>
    <row r="546" spans="1:18" ht="17.399999999999999" x14ac:dyDescent="0.25">
      <c r="A546" s="4"/>
      <c r="B546" s="23"/>
      <c r="C546" s="4"/>
      <c r="D546" s="4"/>
      <c r="E546" s="5"/>
      <c r="F546" s="4"/>
      <c r="G546" s="4"/>
      <c r="H546" s="4"/>
      <c r="I546" s="4"/>
      <c r="J546" s="4"/>
      <c r="K546" s="4"/>
      <c r="L546" s="4"/>
      <c r="M546" s="4"/>
      <c r="N546" s="4"/>
      <c r="O546" s="4"/>
      <c r="P546" s="4"/>
      <c r="Q546" s="4"/>
      <c r="R546" s="4"/>
    </row>
    <row r="547" spans="1:18" ht="17.399999999999999" x14ac:dyDescent="0.25">
      <c r="A547" s="4"/>
      <c r="B547" s="23"/>
      <c r="C547" s="4"/>
      <c r="D547" s="4"/>
      <c r="E547" s="5"/>
      <c r="F547" s="4"/>
      <c r="G547" s="4"/>
      <c r="H547" s="4"/>
      <c r="I547" s="4"/>
      <c r="J547" s="4"/>
      <c r="K547" s="4"/>
      <c r="L547" s="4"/>
      <c r="M547" s="4"/>
      <c r="N547" s="4"/>
      <c r="O547" s="4"/>
      <c r="P547" s="4"/>
      <c r="Q547" s="4"/>
      <c r="R547" s="4"/>
    </row>
    <row r="548" spans="1:18" ht="17.399999999999999" x14ac:dyDescent="0.25">
      <c r="A548" s="4"/>
      <c r="B548" s="23"/>
      <c r="C548" s="4"/>
      <c r="D548" s="4"/>
      <c r="E548" s="5"/>
      <c r="F548" s="4"/>
      <c r="G548" s="4"/>
      <c r="H548" s="4"/>
      <c r="I548" s="4"/>
      <c r="J548" s="4"/>
      <c r="K548" s="4"/>
      <c r="L548" s="4"/>
      <c r="M548" s="4"/>
      <c r="N548" s="4"/>
      <c r="O548" s="4"/>
      <c r="P548" s="4"/>
      <c r="Q548" s="4"/>
      <c r="R548" s="4"/>
    </row>
    <row r="549" spans="1:18" ht="17.399999999999999" x14ac:dyDescent="0.25">
      <c r="A549" s="4"/>
      <c r="B549" s="23"/>
      <c r="C549" s="4"/>
      <c r="D549" s="4"/>
      <c r="E549" s="5"/>
      <c r="F549" s="4"/>
      <c r="G549" s="4"/>
      <c r="H549" s="4"/>
      <c r="I549" s="4"/>
      <c r="J549" s="4"/>
      <c r="K549" s="4"/>
      <c r="L549" s="4"/>
      <c r="M549" s="4"/>
      <c r="N549" s="4"/>
      <c r="O549" s="4"/>
      <c r="P549" s="4"/>
      <c r="Q549" s="4"/>
      <c r="R549" s="4"/>
    </row>
    <row r="550" spans="1:18" ht="17.399999999999999" x14ac:dyDescent="0.25">
      <c r="A550" s="4"/>
      <c r="B550" s="23"/>
      <c r="C550" s="4"/>
      <c r="D550" s="4"/>
      <c r="E550" s="5"/>
      <c r="F550" s="4"/>
      <c r="G550" s="4"/>
      <c r="H550" s="4"/>
      <c r="I550" s="4"/>
      <c r="J550" s="4"/>
      <c r="K550" s="4"/>
      <c r="L550" s="4"/>
      <c r="M550" s="4"/>
      <c r="N550" s="4"/>
      <c r="O550" s="4"/>
      <c r="P550" s="4"/>
      <c r="Q550" s="4"/>
      <c r="R550" s="4"/>
    </row>
    <row r="551" spans="1:18" ht="17.399999999999999" x14ac:dyDescent="0.25">
      <c r="A551" s="4"/>
      <c r="B551" s="23"/>
      <c r="C551" s="4"/>
      <c r="D551" s="4"/>
      <c r="E551" s="5"/>
      <c r="F551" s="4"/>
      <c r="G551" s="4"/>
      <c r="H551" s="4"/>
      <c r="I551" s="4"/>
      <c r="J551" s="4"/>
      <c r="K551" s="4"/>
      <c r="L551" s="4"/>
      <c r="M551" s="4"/>
      <c r="N551" s="4"/>
      <c r="O551" s="4"/>
      <c r="P551" s="4"/>
      <c r="Q551" s="4"/>
      <c r="R551" s="4"/>
    </row>
    <row r="552" spans="1:18" ht="17.399999999999999" x14ac:dyDescent="0.25">
      <c r="A552" s="4"/>
      <c r="B552" s="23"/>
      <c r="C552" s="4"/>
      <c r="D552" s="4"/>
      <c r="E552" s="5"/>
      <c r="F552" s="4"/>
      <c r="G552" s="4"/>
      <c r="H552" s="4"/>
      <c r="I552" s="4"/>
      <c r="J552" s="4"/>
      <c r="K552" s="4"/>
      <c r="L552" s="4"/>
      <c r="M552" s="4"/>
      <c r="N552" s="4"/>
      <c r="O552" s="4"/>
      <c r="P552" s="4"/>
      <c r="Q552" s="4"/>
      <c r="R552" s="4"/>
    </row>
    <row r="553" spans="1:18" ht="17.399999999999999" x14ac:dyDescent="0.25">
      <c r="A553" s="4"/>
      <c r="B553" s="23"/>
      <c r="C553" s="4"/>
      <c r="D553" s="4"/>
      <c r="E553" s="5"/>
      <c r="F553" s="4"/>
      <c r="G553" s="4"/>
      <c r="H553" s="4"/>
      <c r="I553" s="4"/>
      <c r="J553" s="4"/>
      <c r="K553" s="4"/>
      <c r="L553" s="4"/>
      <c r="M553" s="4"/>
      <c r="N553" s="4"/>
      <c r="O553" s="4"/>
      <c r="P553" s="4"/>
      <c r="Q553" s="4"/>
      <c r="R553" s="4"/>
    </row>
    <row r="554" spans="1:18" ht="17.399999999999999" x14ac:dyDescent="0.25">
      <c r="A554" s="4"/>
      <c r="B554" s="23"/>
      <c r="C554" s="4"/>
      <c r="D554" s="4"/>
      <c r="E554" s="5"/>
      <c r="F554" s="4"/>
      <c r="G554" s="4"/>
      <c r="H554" s="4"/>
      <c r="I554" s="4"/>
      <c r="J554" s="4"/>
      <c r="K554" s="4"/>
      <c r="L554" s="4"/>
      <c r="M554" s="4"/>
      <c r="N554" s="4"/>
      <c r="O554" s="4"/>
      <c r="P554" s="4"/>
      <c r="Q554" s="4"/>
      <c r="R554" s="4"/>
    </row>
    <row r="555" spans="1:18" ht="17.399999999999999" x14ac:dyDescent="0.25">
      <c r="A555" s="4"/>
      <c r="B555" s="23"/>
      <c r="C555" s="4"/>
      <c r="D555" s="4"/>
      <c r="E555" s="5"/>
      <c r="F555" s="4"/>
      <c r="G555" s="4"/>
      <c r="H555" s="4"/>
      <c r="I555" s="4"/>
      <c r="J555" s="4"/>
      <c r="K555" s="4"/>
      <c r="L555" s="4"/>
      <c r="M555" s="4"/>
      <c r="N555" s="4"/>
      <c r="O555" s="4"/>
      <c r="P555" s="4"/>
      <c r="Q555" s="4"/>
      <c r="R555" s="4"/>
    </row>
    <row r="556" spans="1:18" ht="17.399999999999999" x14ac:dyDescent="0.25">
      <c r="A556" s="4"/>
      <c r="B556" s="23"/>
      <c r="C556" s="4"/>
      <c r="D556" s="4"/>
      <c r="E556" s="5"/>
      <c r="F556" s="4"/>
      <c r="G556" s="4"/>
      <c r="H556" s="4"/>
      <c r="I556" s="4"/>
      <c r="J556" s="4"/>
      <c r="K556" s="4"/>
      <c r="L556" s="4"/>
      <c r="M556" s="4"/>
      <c r="N556" s="4"/>
      <c r="O556" s="4"/>
      <c r="P556" s="4"/>
      <c r="Q556" s="4"/>
      <c r="R556" s="4"/>
    </row>
    <row r="557" spans="1:18" ht="17.399999999999999" x14ac:dyDescent="0.25">
      <c r="A557" s="4"/>
      <c r="B557" s="23"/>
      <c r="C557" s="4"/>
      <c r="D557" s="4"/>
      <c r="E557" s="5"/>
      <c r="F557" s="4"/>
      <c r="G557" s="4"/>
      <c r="H557" s="4"/>
      <c r="I557" s="4"/>
      <c r="J557" s="4"/>
      <c r="K557" s="4"/>
      <c r="L557" s="4"/>
      <c r="M557" s="4"/>
      <c r="N557" s="4"/>
      <c r="O557" s="4"/>
      <c r="P557" s="4"/>
      <c r="Q557" s="4"/>
      <c r="R557" s="4"/>
    </row>
    <row r="558" spans="1:18" ht="17.399999999999999" x14ac:dyDescent="0.25">
      <c r="A558" s="4"/>
      <c r="B558" s="23"/>
      <c r="C558" s="4"/>
      <c r="D558" s="4"/>
      <c r="E558" s="5"/>
      <c r="F558" s="4"/>
      <c r="G558" s="4"/>
      <c r="H558" s="4"/>
      <c r="I558" s="4"/>
      <c r="J558" s="4"/>
      <c r="K558" s="4"/>
      <c r="L558" s="4"/>
      <c r="M558" s="4"/>
      <c r="N558" s="4"/>
      <c r="O558" s="4"/>
      <c r="P558" s="4"/>
      <c r="Q558" s="4"/>
      <c r="R558" s="4"/>
    </row>
    <row r="559" spans="1:18" ht="17.399999999999999" x14ac:dyDescent="0.25">
      <c r="A559" s="4"/>
      <c r="B559" s="23"/>
      <c r="C559" s="4"/>
      <c r="D559" s="4"/>
      <c r="E559" s="5"/>
      <c r="F559" s="4"/>
      <c r="G559" s="4"/>
      <c r="H559" s="4"/>
      <c r="I559" s="4"/>
      <c r="J559" s="4"/>
      <c r="K559" s="4"/>
      <c r="L559" s="4"/>
      <c r="M559" s="4"/>
      <c r="N559" s="4"/>
      <c r="O559" s="4"/>
      <c r="P559" s="4"/>
      <c r="Q559" s="4"/>
      <c r="R559" s="4"/>
    </row>
    <row r="560" spans="1:18" ht="17.399999999999999" x14ac:dyDescent="0.25">
      <c r="A560" s="4"/>
      <c r="B560" s="23"/>
      <c r="C560" s="4"/>
      <c r="D560" s="4"/>
      <c r="E560" s="5"/>
      <c r="F560" s="4"/>
      <c r="G560" s="4"/>
      <c r="H560" s="4"/>
      <c r="I560" s="4"/>
      <c r="J560" s="4"/>
      <c r="K560" s="4"/>
      <c r="L560" s="4"/>
      <c r="M560" s="4"/>
      <c r="N560" s="4"/>
      <c r="O560" s="4"/>
      <c r="P560" s="4"/>
      <c r="Q560" s="4"/>
      <c r="R560" s="4"/>
    </row>
    <row r="561" spans="1:18" ht="17.399999999999999" x14ac:dyDescent="0.25">
      <c r="A561" s="4"/>
      <c r="B561" s="23"/>
      <c r="C561" s="4"/>
      <c r="D561" s="4"/>
      <c r="E561" s="5"/>
      <c r="F561" s="4"/>
      <c r="G561" s="4"/>
      <c r="H561" s="4"/>
      <c r="I561" s="4"/>
      <c r="J561" s="4"/>
      <c r="K561" s="4"/>
      <c r="L561" s="4"/>
      <c r="M561" s="4"/>
      <c r="N561" s="4"/>
      <c r="O561" s="4"/>
      <c r="P561" s="4"/>
      <c r="Q561" s="4"/>
      <c r="R561" s="4"/>
    </row>
    <row r="562" spans="1:18" ht="17.399999999999999" x14ac:dyDescent="0.25">
      <c r="A562" s="4"/>
      <c r="B562" s="23"/>
      <c r="C562" s="4"/>
      <c r="D562" s="4"/>
      <c r="E562" s="5"/>
      <c r="F562" s="4"/>
      <c r="G562" s="4"/>
      <c r="H562" s="4"/>
      <c r="I562" s="4"/>
      <c r="J562" s="4"/>
      <c r="K562" s="4"/>
      <c r="L562" s="4"/>
      <c r="M562" s="4"/>
      <c r="N562" s="4"/>
      <c r="O562" s="4"/>
      <c r="P562" s="4"/>
      <c r="Q562" s="4"/>
      <c r="R562" s="4"/>
    </row>
    <row r="563" spans="1:18" ht="17.399999999999999" x14ac:dyDescent="0.25">
      <c r="A563" s="4"/>
      <c r="B563" s="23"/>
      <c r="C563" s="4"/>
      <c r="D563" s="4"/>
      <c r="E563" s="5"/>
      <c r="F563" s="4"/>
      <c r="G563" s="4"/>
      <c r="H563" s="4"/>
      <c r="I563" s="4"/>
      <c r="J563" s="4"/>
      <c r="K563" s="4"/>
      <c r="L563" s="4"/>
      <c r="M563" s="4"/>
      <c r="N563" s="4"/>
      <c r="O563" s="4"/>
      <c r="P563" s="4"/>
      <c r="Q563" s="4"/>
      <c r="R563" s="4"/>
    </row>
    <row r="564" spans="1:18" ht="17.399999999999999" x14ac:dyDescent="0.25">
      <c r="A564" s="4"/>
      <c r="B564" s="23"/>
      <c r="C564" s="4"/>
      <c r="D564" s="4"/>
      <c r="E564" s="5"/>
      <c r="F564" s="4"/>
      <c r="G564" s="4"/>
      <c r="H564" s="4"/>
      <c r="I564" s="4"/>
      <c r="J564" s="4"/>
      <c r="K564" s="4"/>
      <c r="L564" s="4"/>
      <c r="M564" s="4"/>
      <c r="N564" s="4"/>
      <c r="O564" s="4"/>
      <c r="P564" s="4"/>
      <c r="Q564" s="4"/>
      <c r="R564" s="4"/>
    </row>
    <row r="565" spans="1:18" ht="17.399999999999999" x14ac:dyDescent="0.25">
      <c r="A565" s="4"/>
      <c r="B565" s="23"/>
      <c r="C565" s="4"/>
      <c r="D565" s="4"/>
      <c r="E565" s="5"/>
      <c r="F565" s="4"/>
      <c r="G565" s="4"/>
      <c r="H565" s="4"/>
      <c r="I565" s="4"/>
      <c r="J565" s="4"/>
      <c r="K565" s="4"/>
      <c r="L565" s="4"/>
      <c r="M565" s="4"/>
      <c r="N565" s="4"/>
      <c r="O565" s="4"/>
      <c r="P565" s="4"/>
      <c r="Q565" s="4"/>
      <c r="R565" s="4"/>
    </row>
    <row r="566" spans="1:18" ht="17.399999999999999" x14ac:dyDescent="0.25">
      <c r="A566" s="4"/>
      <c r="B566" s="23"/>
      <c r="C566" s="4"/>
      <c r="D566" s="4"/>
      <c r="E566" s="5"/>
      <c r="F566" s="4"/>
      <c r="G566" s="4"/>
      <c r="H566" s="4"/>
      <c r="I566" s="4"/>
      <c r="J566" s="4"/>
      <c r="K566" s="4"/>
      <c r="L566" s="4"/>
      <c r="M566" s="4"/>
      <c r="N566" s="4"/>
      <c r="O566" s="4"/>
      <c r="P566" s="4"/>
      <c r="Q566" s="4"/>
      <c r="R566" s="4"/>
    </row>
    <row r="567" spans="1:18" ht="17.399999999999999" x14ac:dyDescent="0.25">
      <c r="A567" s="4"/>
      <c r="B567" s="23"/>
      <c r="C567" s="4"/>
      <c r="D567" s="4"/>
      <c r="E567" s="5"/>
      <c r="F567" s="4"/>
      <c r="G567" s="4"/>
      <c r="H567" s="4"/>
      <c r="I567" s="4"/>
      <c r="J567" s="4"/>
      <c r="K567" s="4"/>
      <c r="L567" s="4"/>
      <c r="M567" s="4"/>
      <c r="N567" s="4"/>
      <c r="O567" s="4"/>
      <c r="P567" s="4"/>
      <c r="Q567" s="4"/>
      <c r="R567" s="4"/>
    </row>
    <row r="568" spans="1:18" ht="17.399999999999999" x14ac:dyDescent="0.25">
      <c r="A568" s="4"/>
      <c r="B568" s="23"/>
      <c r="C568" s="4"/>
      <c r="D568" s="4"/>
      <c r="E568" s="5"/>
      <c r="F568" s="4"/>
      <c r="G568" s="4"/>
      <c r="H568" s="4"/>
      <c r="I568" s="4"/>
      <c r="J568" s="4"/>
      <c r="K568" s="4"/>
      <c r="L568" s="4"/>
      <c r="M568" s="4"/>
      <c r="N568" s="4"/>
      <c r="O568" s="4"/>
      <c r="P568" s="4"/>
      <c r="Q568" s="4"/>
      <c r="R568" s="4"/>
    </row>
    <row r="569" spans="1:18" ht="17.399999999999999" x14ac:dyDescent="0.25">
      <c r="A569" s="4"/>
      <c r="B569" s="23"/>
      <c r="C569" s="4"/>
      <c r="D569" s="4"/>
      <c r="E569" s="5"/>
      <c r="F569" s="4"/>
      <c r="G569" s="4"/>
      <c r="H569" s="4"/>
      <c r="I569" s="4"/>
      <c r="J569" s="4"/>
      <c r="K569" s="4"/>
      <c r="L569" s="4"/>
      <c r="M569" s="4"/>
      <c r="N569" s="4"/>
      <c r="O569" s="4"/>
      <c r="P569" s="4"/>
      <c r="Q569" s="4"/>
      <c r="R569" s="4"/>
    </row>
    <row r="570" spans="1:18" ht="17.399999999999999" x14ac:dyDescent="0.25">
      <c r="A570" s="4"/>
      <c r="B570" s="23"/>
      <c r="C570" s="4"/>
      <c r="D570" s="4"/>
      <c r="E570" s="5"/>
      <c r="F570" s="4"/>
      <c r="G570" s="4"/>
      <c r="H570" s="4"/>
      <c r="I570" s="4"/>
      <c r="J570" s="4"/>
      <c r="K570" s="4"/>
      <c r="L570" s="4"/>
      <c r="M570" s="4"/>
      <c r="N570" s="4"/>
      <c r="O570" s="4"/>
      <c r="P570" s="4"/>
      <c r="Q570" s="4"/>
      <c r="R570" s="4"/>
    </row>
    <row r="571" spans="1:18" ht="17.399999999999999" x14ac:dyDescent="0.25">
      <c r="A571" s="4"/>
      <c r="B571" s="23"/>
      <c r="C571" s="4"/>
      <c r="D571" s="4"/>
      <c r="E571" s="5"/>
      <c r="F571" s="4"/>
      <c r="G571" s="4"/>
      <c r="H571" s="4"/>
      <c r="I571" s="4"/>
      <c r="J571" s="4"/>
      <c r="K571" s="4"/>
      <c r="L571" s="4"/>
      <c r="M571" s="4"/>
      <c r="N571" s="4"/>
      <c r="O571" s="4"/>
      <c r="P571" s="4"/>
      <c r="Q571" s="4"/>
      <c r="R571" s="4"/>
    </row>
    <row r="572" spans="1:18" ht="17.399999999999999" x14ac:dyDescent="0.25">
      <c r="A572" s="4"/>
      <c r="B572" s="23"/>
      <c r="C572" s="4"/>
      <c r="D572" s="4"/>
      <c r="E572" s="5"/>
      <c r="F572" s="4"/>
      <c r="G572" s="4"/>
      <c r="H572" s="4"/>
      <c r="I572" s="4"/>
      <c r="J572" s="4"/>
      <c r="K572" s="4"/>
      <c r="L572" s="4"/>
      <c r="M572" s="4"/>
      <c r="N572" s="4"/>
      <c r="O572" s="4"/>
      <c r="P572" s="4"/>
      <c r="Q572" s="4"/>
      <c r="R572" s="4"/>
    </row>
    <row r="573" spans="1:18" ht="17.399999999999999" x14ac:dyDescent="0.25">
      <c r="A573" s="4"/>
      <c r="B573" s="23"/>
      <c r="C573" s="4"/>
      <c r="D573" s="4"/>
      <c r="E573" s="5"/>
      <c r="F573" s="4"/>
      <c r="G573" s="4"/>
      <c r="H573" s="4"/>
      <c r="I573" s="4"/>
      <c r="J573" s="4"/>
      <c r="K573" s="4"/>
      <c r="L573" s="4"/>
      <c r="M573" s="4"/>
      <c r="N573" s="4"/>
      <c r="O573" s="4"/>
      <c r="P573" s="4"/>
      <c r="Q573" s="4"/>
      <c r="R573" s="4"/>
    </row>
    <row r="574" spans="1:18" ht="17.399999999999999" x14ac:dyDescent="0.25">
      <c r="A574" s="4"/>
      <c r="B574" s="23"/>
      <c r="C574" s="4"/>
      <c r="D574" s="4"/>
      <c r="E574" s="5"/>
      <c r="F574" s="4"/>
      <c r="G574" s="4"/>
      <c r="H574" s="4"/>
      <c r="I574" s="4"/>
      <c r="J574" s="4"/>
      <c r="K574" s="4"/>
      <c r="L574" s="4"/>
      <c r="M574" s="4"/>
      <c r="N574" s="4"/>
      <c r="O574" s="4"/>
      <c r="P574" s="4"/>
      <c r="Q574" s="4"/>
      <c r="R574" s="4"/>
    </row>
    <row r="575" spans="1:18" ht="17.399999999999999" x14ac:dyDescent="0.25">
      <c r="A575" s="4"/>
      <c r="B575" s="23"/>
      <c r="C575" s="4"/>
      <c r="D575" s="4"/>
      <c r="E575" s="5"/>
      <c r="F575" s="4"/>
      <c r="G575" s="4"/>
      <c r="H575" s="4"/>
      <c r="I575" s="4"/>
      <c r="J575" s="4"/>
      <c r="K575" s="4"/>
      <c r="L575" s="4"/>
      <c r="M575" s="4"/>
      <c r="N575" s="4"/>
      <c r="O575" s="4"/>
      <c r="P575" s="4"/>
      <c r="Q575" s="4"/>
      <c r="R575" s="4"/>
    </row>
    <row r="576" spans="1:18" ht="17.399999999999999" x14ac:dyDescent="0.25">
      <c r="A576" s="4"/>
      <c r="B576" s="23"/>
      <c r="C576" s="4"/>
      <c r="D576" s="4"/>
      <c r="E576" s="5"/>
      <c r="F576" s="4"/>
      <c r="G576" s="4"/>
      <c r="H576" s="4"/>
      <c r="I576" s="4"/>
      <c r="J576" s="4"/>
      <c r="K576" s="4"/>
      <c r="L576" s="4"/>
      <c r="M576" s="4"/>
      <c r="N576" s="4"/>
      <c r="O576" s="4"/>
      <c r="P576" s="4"/>
      <c r="Q576" s="4"/>
      <c r="R576" s="4"/>
    </row>
    <row r="577" spans="1:18" ht="17.399999999999999" x14ac:dyDescent="0.25">
      <c r="A577" s="4"/>
      <c r="B577" s="23"/>
      <c r="C577" s="4"/>
      <c r="D577" s="4"/>
      <c r="E577" s="5"/>
      <c r="F577" s="4"/>
      <c r="G577" s="4"/>
      <c r="H577" s="4"/>
      <c r="I577" s="4"/>
      <c r="J577" s="4"/>
      <c r="K577" s="4"/>
      <c r="L577" s="4"/>
      <c r="M577" s="4"/>
      <c r="N577" s="4"/>
      <c r="O577" s="4"/>
      <c r="P577" s="4"/>
      <c r="Q577" s="4"/>
      <c r="R577" s="4"/>
    </row>
    <row r="578" spans="1:18" ht="17.399999999999999" x14ac:dyDescent="0.25">
      <c r="A578" s="4"/>
      <c r="B578" s="23"/>
      <c r="C578" s="4"/>
      <c r="D578" s="4"/>
      <c r="E578" s="5"/>
      <c r="F578" s="4"/>
      <c r="G578" s="4"/>
      <c r="H578" s="4"/>
      <c r="I578" s="4"/>
      <c r="J578" s="4"/>
      <c r="K578" s="4"/>
      <c r="L578" s="4"/>
      <c r="M578" s="4"/>
      <c r="N578" s="4"/>
      <c r="O578" s="4"/>
      <c r="P578" s="4"/>
      <c r="Q578" s="4"/>
      <c r="R578" s="4"/>
    </row>
    <row r="579" spans="1:18" ht="17.399999999999999" x14ac:dyDescent="0.25">
      <c r="A579" s="4"/>
      <c r="B579" s="23"/>
      <c r="C579" s="4"/>
      <c r="D579" s="4"/>
      <c r="E579" s="5"/>
      <c r="F579" s="4"/>
      <c r="G579" s="4"/>
      <c r="H579" s="4"/>
      <c r="I579" s="4"/>
      <c r="J579" s="4"/>
      <c r="K579" s="4"/>
      <c r="L579" s="4"/>
      <c r="M579" s="4"/>
      <c r="N579" s="4"/>
      <c r="O579" s="4"/>
      <c r="P579" s="4"/>
      <c r="Q579" s="4"/>
      <c r="R579" s="4"/>
    </row>
    <row r="580" spans="1:18" ht="17.399999999999999" x14ac:dyDescent="0.25">
      <c r="A580" s="4"/>
      <c r="B580" s="23"/>
      <c r="C580" s="4"/>
      <c r="D580" s="4"/>
      <c r="E580" s="5"/>
      <c r="F580" s="4"/>
      <c r="G580" s="4"/>
      <c r="H580" s="4"/>
      <c r="I580" s="4"/>
      <c r="J580" s="4"/>
      <c r="K580" s="4"/>
      <c r="L580" s="4"/>
      <c r="M580" s="4"/>
      <c r="N580" s="4"/>
      <c r="O580" s="4"/>
      <c r="P580" s="4"/>
      <c r="Q580" s="4"/>
      <c r="R580" s="4"/>
    </row>
    <row r="581" spans="1:18" ht="17.399999999999999" x14ac:dyDescent="0.25">
      <c r="A581" s="4"/>
      <c r="B581" s="23"/>
      <c r="C581" s="4"/>
      <c r="D581" s="4"/>
      <c r="E581" s="5"/>
      <c r="F581" s="4"/>
      <c r="G581" s="4"/>
      <c r="H581" s="4"/>
      <c r="I581" s="4"/>
      <c r="J581" s="4"/>
      <c r="K581" s="4"/>
      <c r="L581" s="4"/>
      <c r="M581" s="4"/>
      <c r="N581" s="4"/>
      <c r="O581" s="4"/>
      <c r="P581" s="4"/>
      <c r="Q581" s="4"/>
      <c r="R581" s="4"/>
    </row>
    <row r="582" spans="1:18" ht="17.399999999999999" x14ac:dyDescent="0.25">
      <c r="A582" s="4"/>
      <c r="B582" s="23"/>
      <c r="C582" s="4"/>
      <c r="D582" s="4"/>
      <c r="E582" s="5"/>
      <c r="F582" s="4"/>
      <c r="G582" s="4"/>
      <c r="H582" s="4"/>
      <c r="I582" s="4"/>
      <c r="J582" s="4"/>
      <c r="K582" s="4"/>
      <c r="L582" s="4"/>
      <c r="M582" s="4"/>
      <c r="N582" s="4"/>
      <c r="O582" s="4"/>
      <c r="P582" s="4"/>
      <c r="Q582" s="4"/>
      <c r="R582" s="4"/>
    </row>
    <row r="583" spans="1:18" ht="17.399999999999999" x14ac:dyDescent="0.25">
      <c r="A583" s="4"/>
      <c r="B583" s="23"/>
      <c r="C583" s="4"/>
      <c r="D583" s="4"/>
      <c r="E583" s="5"/>
      <c r="F583" s="4"/>
      <c r="G583" s="4"/>
      <c r="H583" s="4"/>
      <c r="I583" s="4"/>
      <c r="J583" s="4"/>
      <c r="K583" s="4"/>
      <c r="L583" s="4"/>
      <c r="M583" s="4"/>
      <c r="N583" s="4"/>
      <c r="O583" s="4"/>
      <c r="P583" s="4"/>
      <c r="Q583" s="4"/>
      <c r="R583" s="4"/>
    </row>
    <row r="584" spans="1:18" ht="17.399999999999999" x14ac:dyDescent="0.25">
      <c r="A584" s="4"/>
      <c r="B584" s="23"/>
      <c r="C584" s="4"/>
      <c r="D584" s="4"/>
      <c r="E584" s="5"/>
      <c r="F584" s="4"/>
      <c r="G584" s="4"/>
      <c r="H584" s="4"/>
      <c r="I584" s="4"/>
      <c r="J584" s="4"/>
      <c r="K584" s="4"/>
      <c r="L584" s="4"/>
      <c r="M584" s="4"/>
      <c r="N584" s="4"/>
      <c r="O584" s="4"/>
      <c r="P584" s="4"/>
      <c r="Q584" s="4"/>
      <c r="R584" s="4"/>
    </row>
    <row r="585" spans="1:18" ht="17.399999999999999" x14ac:dyDescent="0.25">
      <c r="A585" s="4"/>
      <c r="B585" s="23"/>
      <c r="C585" s="4"/>
      <c r="D585" s="4"/>
      <c r="E585" s="5"/>
      <c r="F585" s="4"/>
      <c r="G585" s="4"/>
      <c r="H585" s="4"/>
      <c r="I585" s="4"/>
      <c r="J585" s="4"/>
      <c r="K585" s="4"/>
      <c r="L585" s="4"/>
      <c r="M585" s="4"/>
      <c r="N585" s="4"/>
      <c r="O585" s="4"/>
      <c r="P585" s="4"/>
      <c r="Q585" s="4"/>
      <c r="R585" s="4"/>
    </row>
    <row r="586" spans="1:18" ht="17.399999999999999" x14ac:dyDescent="0.25">
      <c r="A586" s="4"/>
      <c r="B586" s="23"/>
      <c r="C586" s="4"/>
      <c r="D586" s="4"/>
      <c r="E586" s="5"/>
      <c r="F586" s="4"/>
      <c r="G586" s="4"/>
      <c r="H586" s="4"/>
      <c r="I586" s="4"/>
      <c r="J586" s="4"/>
      <c r="K586" s="4"/>
      <c r="L586" s="4"/>
      <c r="M586" s="4"/>
      <c r="N586" s="4"/>
      <c r="O586" s="4"/>
      <c r="P586" s="4"/>
      <c r="Q586" s="4"/>
      <c r="R586" s="4"/>
    </row>
    <row r="587" spans="1:18" ht="17.399999999999999" x14ac:dyDescent="0.25">
      <c r="A587" s="4"/>
      <c r="B587" s="23"/>
      <c r="C587" s="4"/>
      <c r="D587" s="4"/>
      <c r="E587" s="5"/>
      <c r="F587" s="4"/>
      <c r="G587" s="4"/>
      <c r="H587" s="4"/>
      <c r="I587" s="4"/>
      <c r="J587" s="4"/>
      <c r="K587" s="4"/>
      <c r="L587" s="4"/>
      <c r="M587" s="4"/>
      <c r="N587" s="4"/>
      <c r="O587" s="4"/>
      <c r="P587" s="4"/>
      <c r="Q587" s="4"/>
      <c r="R587" s="4"/>
    </row>
    <row r="588" spans="1:18" ht="17.399999999999999" x14ac:dyDescent="0.25">
      <c r="A588" s="4"/>
      <c r="B588" s="23"/>
      <c r="C588" s="4"/>
      <c r="D588" s="4"/>
      <c r="E588" s="5"/>
      <c r="F588" s="4"/>
      <c r="G588" s="4"/>
      <c r="H588" s="4"/>
      <c r="I588" s="4"/>
      <c r="J588" s="4"/>
      <c r="K588" s="4"/>
      <c r="L588" s="4"/>
      <c r="M588" s="4"/>
      <c r="N588" s="4"/>
      <c r="O588" s="4"/>
      <c r="P588" s="4"/>
      <c r="Q588" s="4"/>
      <c r="R588" s="4"/>
    </row>
    <row r="589" spans="1:18" ht="17.399999999999999" x14ac:dyDescent="0.25">
      <c r="A589" s="4"/>
      <c r="B589" s="23"/>
      <c r="C589" s="4"/>
      <c r="D589" s="4"/>
      <c r="E589" s="5"/>
      <c r="F589" s="4"/>
      <c r="G589" s="4"/>
      <c r="H589" s="4"/>
      <c r="I589" s="4"/>
      <c r="J589" s="4"/>
      <c r="K589" s="4"/>
      <c r="L589" s="4"/>
      <c r="M589" s="4"/>
      <c r="N589" s="4"/>
      <c r="O589" s="4"/>
      <c r="P589" s="4"/>
      <c r="Q589" s="4"/>
      <c r="R589" s="4"/>
    </row>
    <row r="590" spans="1:18" ht="17.399999999999999" x14ac:dyDescent="0.25">
      <c r="A590" s="4"/>
      <c r="B590" s="23"/>
      <c r="C590" s="4"/>
      <c r="D590" s="4"/>
      <c r="E590" s="5"/>
      <c r="F590" s="4"/>
      <c r="G590" s="4"/>
      <c r="H590" s="4"/>
      <c r="I590" s="4"/>
      <c r="J590" s="4"/>
      <c r="K590" s="4"/>
      <c r="L590" s="4"/>
      <c r="M590" s="4"/>
      <c r="N590" s="4"/>
      <c r="O590" s="4"/>
      <c r="P590" s="4"/>
      <c r="Q590" s="4"/>
      <c r="R590" s="4"/>
    </row>
    <row r="591" spans="1:18" ht="17.399999999999999" x14ac:dyDescent="0.25">
      <c r="A591" s="4"/>
      <c r="B591" s="23"/>
      <c r="C591" s="4"/>
      <c r="D591" s="4"/>
      <c r="E591" s="5"/>
      <c r="F591" s="4"/>
      <c r="G591" s="4"/>
      <c r="H591" s="4"/>
      <c r="I591" s="4"/>
      <c r="J591" s="4"/>
      <c r="K591" s="4"/>
      <c r="L591" s="4"/>
      <c r="M591" s="4"/>
      <c r="N591" s="4"/>
      <c r="O591" s="4"/>
      <c r="P591" s="4"/>
      <c r="Q591" s="4"/>
      <c r="R591" s="4"/>
    </row>
    <row r="592" spans="1:18" ht="17.399999999999999" x14ac:dyDescent="0.25">
      <c r="A592" s="4"/>
      <c r="B592" s="23"/>
      <c r="C592" s="4"/>
      <c r="D592" s="4"/>
      <c r="E592" s="5"/>
      <c r="F592" s="4"/>
      <c r="G592" s="4"/>
      <c r="H592" s="4"/>
      <c r="I592" s="4"/>
      <c r="J592" s="4"/>
      <c r="K592" s="4"/>
      <c r="L592" s="4"/>
      <c r="M592" s="4"/>
      <c r="N592" s="4"/>
      <c r="O592" s="4"/>
      <c r="P592" s="4"/>
      <c r="Q592" s="4"/>
      <c r="R592" s="4"/>
    </row>
    <row r="593" spans="1:18" ht="17.399999999999999" x14ac:dyDescent="0.25">
      <c r="A593" s="4"/>
      <c r="B593" s="23"/>
      <c r="C593" s="4"/>
      <c r="D593" s="4"/>
      <c r="E593" s="5"/>
      <c r="F593" s="4"/>
      <c r="G593" s="4"/>
      <c r="H593" s="4"/>
      <c r="I593" s="4"/>
      <c r="J593" s="4"/>
      <c r="K593" s="4"/>
      <c r="L593" s="4"/>
      <c r="M593" s="4"/>
      <c r="N593" s="4"/>
      <c r="O593" s="4"/>
      <c r="P593" s="4"/>
      <c r="Q593" s="4"/>
      <c r="R593" s="4"/>
    </row>
    <row r="594" spans="1:18" ht="17.399999999999999" x14ac:dyDescent="0.25">
      <c r="A594" s="4"/>
      <c r="B594" s="23"/>
      <c r="C594" s="4"/>
      <c r="D594" s="4"/>
      <c r="E594" s="5"/>
      <c r="F594" s="4"/>
      <c r="G594" s="4"/>
      <c r="H594" s="4"/>
      <c r="I594" s="4"/>
      <c r="J594" s="4"/>
      <c r="K594" s="4"/>
      <c r="L594" s="4"/>
      <c r="M594" s="4"/>
      <c r="N594" s="4"/>
      <c r="O594" s="4"/>
      <c r="P594" s="4"/>
      <c r="Q594" s="4"/>
      <c r="R594" s="4"/>
    </row>
    <row r="595" spans="1:18" ht="17.399999999999999" x14ac:dyDescent="0.25">
      <c r="A595" s="4"/>
      <c r="B595" s="23"/>
      <c r="C595" s="4"/>
      <c r="D595" s="4"/>
      <c r="E595" s="5"/>
      <c r="F595" s="4"/>
      <c r="G595" s="4"/>
      <c r="H595" s="4"/>
      <c r="I595" s="4"/>
      <c r="J595" s="4"/>
      <c r="K595" s="4"/>
      <c r="L595" s="4"/>
      <c r="M595" s="4"/>
      <c r="N595" s="4"/>
      <c r="O595" s="4"/>
      <c r="P595" s="4"/>
      <c r="Q595" s="4"/>
      <c r="R595" s="4"/>
    </row>
    <row r="596" spans="1:18" ht="17.399999999999999" x14ac:dyDescent="0.25">
      <c r="A596" s="4"/>
      <c r="B596" s="23"/>
      <c r="C596" s="4"/>
      <c r="D596" s="4"/>
      <c r="E596" s="5"/>
      <c r="F596" s="4"/>
      <c r="G596" s="4"/>
      <c r="H596" s="4"/>
      <c r="I596" s="4"/>
      <c r="J596" s="4"/>
      <c r="K596" s="4"/>
      <c r="L596" s="4"/>
      <c r="M596" s="4"/>
      <c r="N596" s="4"/>
      <c r="O596" s="4"/>
      <c r="P596" s="4"/>
      <c r="Q596" s="4"/>
      <c r="R596" s="4"/>
    </row>
    <row r="597" spans="1:18" ht="17.399999999999999" x14ac:dyDescent="0.25">
      <c r="A597" s="4"/>
      <c r="B597" s="23"/>
      <c r="C597" s="4"/>
      <c r="D597" s="4"/>
      <c r="E597" s="5"/>
      <c r="F597" s="4"/>
      <c r="G597" s="4"/>
      <c r="H597" s="4"/>
      <c r="I597" s="4"/>
      <c r="J597" s="4"/>
      <c r="K597" s="4"/>
      <c r="L597" s="4"/>
      <c r="M597" s="4"/>
      <c r="N597" s="4"/>
      <c r="O597" s="4"/>
      <c r="P597" s="4"/>
      <c r="Q597" s="4"/>
      <c r="R597" s="4"/>
    </row>
    <row r="598" spans="1:18" ht="17.399999999999999" x14ac:dyDescent="0.25">
      <c r="A598" s="4"/>
      <c r="B598" s="23"/>
      <c r="C598" s="4"/>
      <c r="D598" s="4"/>
      <c r="E598" s="5"/>
      <c r="F598" s="4"/>
      <c r="G598" s="4"/>
      <c r="H598" s="4"/>
      <c r="I598" s="4"/>
      <c r="J598" s="4"/>
      <c r="K598" s="4"/>
      <c r="L598" s="4"/>
      <c r="M598" s="4"/>
      <c r="N598" s="4"/>
      <c r="O598" s="4"/>
      <c r="P598" s="4"/>
      <c r="Q598" s="4"/>
      <c r="R598" s="4"/>
    </row>
    <row r="599" spans="1:18" ht="17.399999999999999" x14ac:dyDescent="0.25">
      <c r="A599" s="4"/>
      <c r="B599" s="23"/>
      <c r="C599" s="4"/>
      <c r="D599" s="4"/>
      <c r="E599" s="5"/>
      <c r="F599" s="4"/>
      <c r="G599" s="4"/>
      <c r="H599" s="4"/>
      <c r="I599" s="4"/>
      <c r="J599" s="4"/>
      <c r="K599" s="4"/>
      <c r="L599" s="4"/>
      <c r="M599" s="4"/>
      <c r="N599" s="4"/>
      <c r="O599" s="4"/>
      <c r="P599" s="4"/>
      <c r="Q599" s="4"/>
      <c r="R599" s="4"/>
    </row>
    <row r="600" spans="1:18" ht="17.399999999999999" x14ac:dyDescent="0.25">
      <c r="A600" s="4"/>
      <c r="B600" s="23"/>
      <c r="C600" s="4"/>
      <c r="D600" s="4"/>
      <c r="E600" s="5"/>
      <c r="F600" s="4"/>
      <c r="G600" s="4"/>
      <c r="H600" s="4"/>
      <c r="I600" s="4"/>
      <c r="J600" s="4"/>
      <c r="K600" s="4"/>
      <c r="L600" s="4"/>
      <c r="M600" s="4"/>
      <c r="N600" s="4"/>
      <c r="O600" s="4"/>
      <c r="P600" s="4"/>
      <c r="Q600" s="4"/>
      <c r="R600" s="4"/>
    </row>
    <row r="601" spans="1:18" ht="17.399999999999999" x14ac:dyDescent="0.25">
      <c r="A601" s="4"/>
      <c r="B601" s="23"/>
      <c r="C601" s="4"/>
      <c r="D601" s="4"/>
      <c r="E601" s="5"/>
      <c r="F601" s="4"/>
      <c r="G601" s="4"/>
      <c r="H601" s="4"/>
      <c r="I601" s="4"/>
      <c r="J601" s="4"/>
      <c r="K601" s="4"/>
      <c r="L601" s="4"/>
      <c r="M601" s="4"/>
      <c r="N601" s="4"/>
      <c r="O601" s="4"/>
      <c r="P601" s="4"/>
      <c r="Q601" s="4"/>
      <c r="R601" s="4"/>
    </row>
    <row r="602" spans="1:18" ht="17.399999999999999" x14ac:dyDescent="0.25">
      <c r="A602" s="4"/>
      <c r="B602" s="23"/>
      <c r="C602" s="4"/>
      <c r="D602" s="4"/>
      <c r="E602" s="5"/>
      <c r="F602" s="4"/>
      <c r="G602" s="4"/>
      <c r="H602" s="4"/>
      <c r="I602" s="4"/>
      <c r="J602" s="4"/>
      <c r="K602" s="4"/>
      <c r="L602" s="4"/>
      <c r="M602" s="4"/>
      <c r="N602" s="4"/>
      <c r="O602" s="4"/>
      <c r="P602" s="4"/>
      <c r="Q602" s="4"/>
      <c r="R602" s="4"/>
    </row>
    <row r="603" spans="1:18" ht="17.399999999999999" x14ac:dyDescent="0.25">
      <c r="A603" s="4"/>
      <c r="B603" s="23"/>
      <c r="C603" s="4"/>
      <c r="D603" s="4"/>
      <c r="E603" s="5"/>
      <c r="F603" s="4"/>
      <c r="G603" s="4"/>
      <c r="H603" s="4"/>
      <c r="I603" s="4"/>
      <c r="J603" s="4"/>
      <c r="K603" s="4"/>
      <c r="L603" s="4"/>
      <c r="M603" s="4"/>
      <c r="N603" s="4"/>
      <c r="O603" s="4"/>
      <c r="P603" s="4"/>
      <c r="Q603" s="4"/>
      <c r="R603" s="4"/>
    </row>
    <row r="604" spans="1:18" ht="17.399999999999999" x14ac:dyDescent="0.25">
      <c r="A604" s="4"/>
      <c r="B604" s="23"/>
      <c r="C604" s="4"/>
      <c r="D604" s="4"/>
      <c r="E604" s="5"/>
      <c r="F604" s="4"/>
      <c r="G604" s="4"/>
      <c r="H604" s="4"/>
      <c r="I604" s="4"/>
      <c r="J604" s="4"/>
      <c r="K604" s="4"/>
      <c r="L604" s="4"/>
      <c r="M604" s="4"/>
      <c r="N604" s="4"/>
      <c r="O604" s="4"/>
      <c r="P604" s="4"/>
      <c r="Q604" s="4"/>
      <c r="R604" s="4"/>
    </row>
    <row r="605" spans="1:18" ht="17.399999999999999" x14ac:dyDescent="0.25">
      <c r="A605" s="4"/>
      <c r="B605" s="23"/>
      <c r="C605" s="4"/>
      <c r="D605" s="4"/>
      <c r="E605" s="5"/>
      <c r="F605" s="4"/>
      <c r="G605" s="4"/>
      <c r="H605" s="4"/>
      <c r="I605" s="4"/>
      <c r="J605" s="4"/>
      <c r="K605" s="4"/>
      <c r="L605" s="4"/>
      <c r="M605" s="4"/>
      <c r="N605" s="4"/>
      <c r="O605" s="4"/>
      <c r="P605" s="4"/>
      <c r="Q605" s="4"/>
      <c r="R605" s="4"/>
    </row>
    <row r="606" spans="1:18" ht="17.399999999999999" x14ac:dyDescent="0.25">
      <c r="A606" s="4"/>
      <c r="B606" s="23"/>
      <c r="C606" s="4"/>
      <c r="D606" s="4"/>
      <c r="E606" s="5"/>
      <c r="F606" s="4"/>
      <c r="G606" s="4"/>
      <c r="H606" s="4"/>
      <c r="I606" s="4"/>
      <c r="J606" s="4"/>
      <c r="K606" s="4"/>
      <c r="L606" s="4"/>
      <c r="M606" s="4"/>
      <c r="N606" s="4"/>
      <c r="O606" s="4"/>
      <c r="P606" s="4"/>
      <c r="Q606" s="4"/>
      <c r="R606" s="4"/>
    </row>
    <row r="607" spans="1:18" ht="17.399999999999999" x14ac:dyDescent="0.25">
      <c r="A607" s="4"/>
      <c r="B607" s="23"/>
      <c r="C607" s="4"/>
      <c r="D607" s="4"/>
      <c r="E607" s="5"/>
      <c r="F607" s="4"/>
      <c r="G607" s="4"/>
      <c r="H607" s="4"/>
      <c r="I607" s="4"/>
      <c r="J607" s="4"/>
      <c r="K607" s="4"/>
      <c r="L607" s="4"/>
      <c r="M607" s="4"/>
      <c r="N607" s="4"/>
      <c r="O607" s="4"/>
      <c r="P607" s="4"/>
      <c r="Q607" s="4"/>
      <c r="R607" s="4"/>
    </row>
    <row r="608" spans="1:18" ht="17.399999999999999" x14ac:dyDescent="0.25">
      <c r="A608" s="4"/>
      <c r="B608" s="23"/>
      <c r="C608" s="4"/>
      <c r="D608" s="4"/>
      <c r="E608" s="5"/>
      <c r="F608" s="4"/>
      <c r="G608" s="4"/>
      <c r="H608" s="4"/>
      <c r="I608" s="4"/>
      <c r="J608" s="4"/>
      <c r="K608" s="4"/>
      <c r="L608" s="4"/>
      <c r="M608" s="4"/>
      <c r="N608" s="4"/>
      <c r="O608" s="4"/>
      <c r="P608" s="4"/>
      <c r="Q608" s="4"/>
      <c r="R608" s="4"/>
    </row>
    <row r="609" spans="1:18" ht="17.399999999999999" x14ac:dyDescent="0.25">
      <c r="A609" s="4"/>
      <c r="B609" s="23"/>
      <c r="C609" s="4"/>
      <c r="D609" s="4"/>
      <c r="E609" s="5"/>
      <c r="F609" s="4"/>
      <c r="G609" s="4"/>
      <c r="H609" s="4"/>
      <c r="I609" s="4"/>
      <c r="J609" s="4"/>
      <c r="K609" s="4"/>
      <c r="L609" s="4"/>
      <c r="M609" s="4"/>
      <c r="N609" s="4"/>
      <c r="O609" s="4"/>
      <c r="P609" s="4"/>
      <c r="Q609" s="4"/>
      <c r="R609" s="4"/>
    </row>
    <row r="610" spans="1:18" ht="17.399999999999999" x14ac:dyDescent="0.25">
      <c r="A610" s="4"/>
      <c r="B610" s="23"/>
      <c r="C610" s="4"/>
      <c r="D610" s="4"/>
      <c r="E610" s="5"/>
      <c r="F610" s="4"/>
      <c r="G610" s="4"/>
      <c r="H610" s="4"/>
      <c r="I610" s="4"/>
      <c r="J610" s="4"/>
      <c r="K610" s="4"/>
      <c r="L610" s="4"/>
      <c r="M610" s="4"/>
      <c r="N610" s="4"/>
      <c r="O610" s="4"/>
      <c r="P610" s="4"/>
      <c r="Q610" s="4"/>
      <c r="R610" s="4"/>
    </row>
    <row r="611" spans="1:18" ht="17.399999999999999" x14ac:dyDescent="0.25">
      <c r="A611" s="4"/>
      <c r="B611" s="23"/>
      <c r="C611" s="4"/>
      <c r="D611" s="4"/>
      <c r="E611" s="5"/>
      <c r="F611" s="4"/>
      <c r="G611" s="4"/>
      <c r="H611" s="4"/>
      <c r="I611" s="4"/>
      <c r="J611" s="4"/>
      <c r="K611" s="4"/>
      <c r="L611" s="4"/>
      <c r="M611" s="4"/>
      <c r="N611" s="4"/>
      <c r="O611" s="4"/>
      <c r="P611" s="4"/>
      <c r="Q611" s="4"/>
      <c r="R611" s="4"/>
    </row>
    <row r="612" spans="1:18" ht="17.399999999999999" x14ac:dyDescent="0.25">
      <c r="A612" s="4"/>
      <c r="B612" s="23"/>
      <c r="C612" s="4"/>
      <c r="D612" s="4"/>
      <c r="E612" s="5"/>
      <c r="F612" s="4"/>
      <c r="G612" s="4"/>
      <c r="H612" s="4"/>
      <c r="I612" s="4"/>
      <c r="J612" s="4"/>
      <c r="K612" s="4"/>
      <c r="L612" s="4"/>
      <c r="M612" s="4"/>
      <c r="N612" s="4"/>
      <c r="O612" s="4"/>
      <c r="P612" s="4"/>
      <c r="Q612" s="4"/>
      <c r="R612" s="4"/>
    </row>
    <row r="613" spans="1:18" ht="17.399999999999999" x14ac:dyDescent="0.25">
      <c r="A613" s="4"/>
      <c r="B613" s="23"/>
      <c r="C613" s="4"/>
      <c r="D613" s="4"/>
      <c r="E613" s="5"/>
      <c r="F613" s="4"/>
      <c r="G613" s="4"/>
      <c r="H613" s="4"/>
      <c r="I613" s="4"/>
      <c r="J613" s="4"/>
      <c r="K613" s="4"/>
      <c r="L613" s="4"/>
      <c r="M613" s="4"/>
      <c r="N613" s="4"/>
      <c r="O613" s="4"/>
      <c r="P613" s="4"/>
      <c r="Q613" s="4"/>
      <c r="R613" s="4"/>
    </row>
    <row r="614" spans="1:18" ht="17.399999999999999" x14ac:dyDescent="0.25">
      <c r="A614" s="4"/>
      <c r="B614" s="23"/>
      <c r="C614" s="4"/>
      <c r="D614" s="4"/>
      <c r="E614" s="5"/>
      <c r="F614" s="4"/>
      <c r="G614" s="4"/>
      <c r="H614" s="4"/>
      <c r="I614" s="4"/>
      <c r="J614" s="4"/>
      <c r="K614" s="4"/>
      <c r="L614" s="4"/>
      <c r="M614" s="4"/>
      <c r="N614" s="4"/>
      <c r="O614" s="4"/>
      <c r="P614" s="4"/>
      <c r="Q614" s="4"/>
      <c r="R614" s="4"/>
    </row>
    <row r="615" spans="1:18" ht="17.399999999999999" x14ac:dyDescent="0.25">
      <c r="A615" s="4"/>
      <c r="B615" s="23"/>
      <c r="C615" s="4"/>
      <c r="D615" s="4"/>
      <c r="E615" s="5"/>
      <c r="F615" s="4"/>
      <c r="G615" s="4"/>
      <c r="H615" s="4"/>
      <c r="I615" s="4"/>
      <c r="J615" s="4"/>
      <c r="K615" s="4"/>
      <c r="L615" s="4"/>
      <c r="M615" s="4"/>
      <c r="N615" s="4"/>
      <c r="O615" s="4"/>
      <c r="P615" s="4"/>
      <c r="Q615" s="4"/>
      <c r="R615" s="4"/>
    </row>
    <row r="616" spans="1:18" ht="17.399999999999999" x14ac:dyDescent="0.25">
      <c r="A616" s="4"/>
      <c r="B616" s="23"/>
      <c r="C616" s="4"/>
      <c r="D616" s="4"/>
      <c r="E616" s="5"/>
      <c r="F616" s="4"/>
      <c r="G616" s="4"/>
      <c r="H616" s="4"/>
      <c r="I616" s="4"/>
      <c r="J616" s="4"/>
      <c r="K616" s="4"/>
      <c r="L616" s="4"/>
      <c r="M616" s="4"/>
      <c r="N616" s="4"/>
      <c r="O616" s="4"/>
      <c r="P616" s="4"/>
      <c r="Q616" s="4"/>
      <c r="R616" s="4"/>
    </row>
    <row r="617" spans="1:18" ht="17.399999999999999" x14ac:dyDescent="0.25">
      <c r="A617" s="4"/>
      <c r="B617" s="23"/>
      <c r="C617" s="4"/>
      <c r="D617" s="4"/>
      <c r="E617" s="5"/>
      <c r="F617" s="4"/>
      <c r="G617" s="4"/>
      <c r="H617" s="4"/>
      <c r="I617" s="4"/>
      <c r="J617" s="4"/>
      <c r="K617" s="4"/>
      <c r="L617" s="4"/>
      <c r="M617" s="4"/>
      <c r="N617" s="4"/>
      <c r="O617" s="4"/>
      <c r="P617" s="4"/>
      <c r="Q617" s="4"/>
      <c r="R617" s="4"/>
    </row>
    <row r="618" spans="1:18" ht="17.399999999999999" x14ac:dyDescent="0.25">
      <c r="A618" s="4"/>
      <c r="B618" s="23"/>
      <c r="C618" s="4"/>
      <c r="D618" s="4"/>
      <c r="E618" s="5"/>
      <c r="F618" s="4"/>
      <c r="G618" s="4"/>
      <c r="H618" s="4"/>
      <c r="I618" s="4"/>
      <c r="J618" s="4"/>
      <c r="K618" s="4"/>
      <c r="L618" s="4"/>
      <c r="M618" s="4"/>
      <c r="N618" s="4"/>
      <c r="O618" s="4"/>
      <c r="P618" s="4"/>
      <c r="Q618" s="4"/>
      <c r="R618" s="4"/>
    </row>
    <row r="619" spans="1:18" ht="17.399999999999999" x14ac:dyDescent="0.25">
      <c r="A619" s="4"/>
      <c r="B619" s="23"/>
      <c r="C619" s="4"/>
      <c r="D619" s="4"/>
      <c r="E619" s="5"/>
      <c r="F619" s="4"/>
      <c r="G619" s="4"/>
      <c r="H619" s="4"/>
      <c r="I619" s="4"/>
      <c r="J619" s="4"/>
      <c r="K619" s="4"/>
      <c r="L619" s="4"/>
      <c r="M619" s="4"/>
      <c r="N619" s="4"/>
      <c r="O619" s="4"/>
      <c r="P619" s="4"/>
      <c r="Q619" s="4"/>
      <c r="R619" s="4"/>
    </row>
    <row r="620" spans="1:18" ht="17.399999999999999" x14ac:dyDescent="0.25">
      <c r="A620" s="4"/>
      <c r="B620" s="23"/>
      <c r="C620" s="4"/>
      <c r="D620" s="4"/>
      <c r="E620" s="5"/>
      <c r="F620" s="4"/>
      <c r="G620" s="4"/>
      <c r="H620" s="4"/>
      <c r="I620" s="4"/>
      <c r="J620" s="4"/>
      <c r="K620" s="4"/>
      <c r="L620" s="4"/>
      <c r="M620" s="4"/>
      <c r="N620" s="4"/>
      <c r="O620" s="4"/>
      <c r="P620" s="4"/>
      <c r="Q620" s="4"/>
      <c r="R620" s="4"/>
    </row>
    <row r="621" spans="1:18" ht="17.399999999999999" x14ac:dyDescent="0.25">
      <c r="A621" s="4"/>
      <c r="B621" s="23"/>
      <c r="C621" s="4"/>
      <c r="D621" s="4"/>
      <c r="E621" s="5"/>
      <c r="F621" s="4"/>
      <c r="G621" s="4"/>
      <c r="H621" s="4"/>
      <c r="I621" s="4"/>
      <c r="J621" s="4"/>
      <c r="K621" s="4"/>
      <c r="L621" s="4"/>
      <c r="M621" s="4"/>
      <c r="N621" s="4"/>
      <c r="O621" s="4"/>
      <c r="P621" s="4"/>
      <c r="Q621" s="4"/>
      <c r="R621" s="4"/>
    </row>
    <row r="622" spans="1:18" ht="17.399999999999999" x14ac:dyDescent="0.25">
      <c r="A622" s="4"/>
      <c r="B622" s="23"/>
      <c r="C622" s="4"/>
      <c r="D622" s="4"/>
      <c r="E622" s="5"/>
      <c r="F622" s="4"/>
      <c r="G622" s="4"/>
      <c r="H622" s="4"/>
      <c r="I622" s="4"/>
      <c r="J622" s="4"/>
      <c r="K622" s="4"/>
      <c r="L622" s="4"/>
      <c r="M622" s="4"/>
      <c r="N622" s="4"/>
      <c r="O622" s="4"/>
      <c r="P622" s="4"/>
      <c r="Q622" s="4"/>
      <c r="R622" s="4"/>
    </row>
    <row r="623" spans="1:18" ht="17.399999999999999" x14ac:dyDescent="0.25">
      <c r="A623" s="4"/>
      <c r="B623" s="23"/>
      <c r="C623" s="4"/>
      <c r="D623" s="4"/>
      <c r="E623" s="5"/>
      <c r="F623" s="4"/>
      <c r="G623" s="4"/>
      <c r="H623" s="4"/>
      <c r="I623" s="4"/>
      <c r="J623" s="4"/>
      <c r="K623" s="4"/>
      <c r="L623" s="4"/>
      <c r="M623" s="4"/>
      <c r="N623" s="4"/>
      <c r="O623" s="4"/>
      <c r="P623" s="4"/>
      <c r="Q623" s="4"/>
      <c r="R623" s="4"/>
    </row>
    <row r="624" spans="1:18" ht="17.399999999999999" x14ac:dyDescent="0.25">
      <c r="A624" s="4"/>
      <c r="B624" s="23"/>
      <c r="C624" s="4"/>
      <c r="D624" s="4"/>
      <c r="E624" s="5"/>
      <c r="F624" s="4"/>
      <c r="G624" s="4"/>
      <c r="H624" s="4"/>
      <c r="I624" s="4"/>
      <c r="J624" s="4"/>
      <c r="K624" s="4"/>
      <c r="L624" s="4"/>
      <c r="M624" s="4"/>
      <c r="N624" s="4"/>
      <c r="O624" s="4"/>
      <c r="P624" s="4"/>
      <c r="Q624" s="4"/>
      <c r="R624" s="4"/>
    </row>
    <row r="625" spans="1:18" ht="17.399999999999999" x14ac:dyDescent="0.25">
      <c r="A625" s="4"/>
      <c r="B625" s="23"/>
      <c r="C625" s="4"/>
      <c r="D625" s="4"/>
      <c r="E625" s="5"/>
      <c r="F625" s="4"/>
      <c r="G625" s="4"/>
      <c r="H625" s="4"/>
      <c r="I625" s="4"/>
      <c r="J625" s="4"/>
      <c r="K625" s="4"/>
      <c r="L625" s="4"/>
      <c r="M625" s="4"/>
      <c r="N625" s="4"/>
      <c r="O625" s="4"/>
      <c r="P625" s="4"/>
      <c r="Q625" s="4"/>
      <c r="R625" s="4"/>
    </row>
    <row r="626" spans="1:18" ht="17.399999999999999" x14ac:dyDescent="0.25">
      <c r="A626" s="4"/>
      <c r="B626" s="23"/>
      <c r="C626" s="4"/>
      <c r="D626" s="4"/>
      <c r="E626" s="5"/>
      <c r="F626" s="4"/>
      <c r="G626" s="4"/>
      <c r="H626" s="4"/>
      <c r="I626" s="4"/>
      <c r="J626" s="4"/>
      <c r="K626" s="4"/>
      <c r="L626" s="4"/>
      <c r="M626" s="4"/>
      <c r="N626" s="4"/>
      <c r="O626" s="4"/>
      <c r="P626" s="4"/>
      <c r="Q626" s="4"/>
      <c r="R626" s="4"/>
    </row>
    <row r="627" spans="1:18" ht="17.399999999999999" x14ac:dyDescent="0.25">
      <c r="A627" s="4"/>
      <c r="B627" s="23"/>
      <c r="C627" s="4"/>
      <c r="D627" s="4"/>
      <c r="E627" s="5"/>
      <c r="F627" s="4"/>
      <c r="G627" s="4"/>
      <c r="H627" s="4"/>
      <c r="I627" s="4"/>
      <c r="J627" s="4"/>
      <c r="K627" s="4"/>
      <c r="L627" s="4"/>
      <c r="M627" s="4"/>
      <c r="N627" s="4"/>
      <c r="O627" s="4"/>
      <c r="P627" s="4"/>
      <c r="Q627" s="4"/>
      <c r="R627" s="4"/>
    </row>
    <row r="628" spans="1:18" ht="17.399999999999999" x14ac:dyDescent="0.25">
      <c r="A628" s="4"/>
      <c r="B628" s="23"/>
      <c r="C628" s="4"/>
      <c r="D628" s="4"/>
      <c r="E628" s="5"/>
      <c r="F628" s="4"/>
      <c r="G628" s="4"/>
      <c r="H628" s="4"/>
      <c r="I628" s="4"/>
      <c r="J628" s="4"/>
      <c r="K628" s="4"/>
      <c r="L628" s="4"/>
      <c r="M628" s="4"/>
      <c r="N628" s="4"/>
      <c r="O628" s="4"/>
      <c r="P628" s="4"/>
      <c r="Q628" s="4"/>
      <c r="R628" s="4"/>
    </row>
    <row r="629" spans="1:18" ht="17.399999999999999" x14ac:dyDescent="0.25">
      <c r="A629" s="4"/>
      <c r="B629" s="23"/>
      <c r="C629" s="4"/>
      <c r="D629" s="4"/>
      <c r="E629" s="5"/>
      <c r="F629" s="4"/>
      <c r="G629" s="4"/>
      <c r="H629" s="4"/>
      <c r="I629" s="4"/>
      <c r="J629" s="4"/>
      <c r="K629" s="4"/>
      <c r="L629" s="4"/>
      <c r="M629" s="4"/>
      <c r="N629" s="4"/>
      <c r="O629" s="4"/>
      <c r="P629" s="4"/>
      <c r="Q629" s="4"/>
      <c r="R629" s="4"/>
    </row>
    <row r="630" spans="1:18" ht="17.399999999999999" x14ac:dyDescent="0.25">
      <c r="A630" s="4"/>
      <c r="B630" s="23"/>
      <c r="C630" s="4"/>
      <c r="D630" s="4"/>
      <c r="E630" s="5"/>
      <c r="F630" s="4"/>
      <c r="G630" s="4"/>
      <c r="H630" s="4"/>
      <c r="I630" s="4"/>
      <c r="J630" s="4"/>
      <c r="K630" s="4"/>
      <c r="L630" s="4"/>
      <c r="M630" s="4"/>
      <c r="N630" s="4"/>
      <c r="O630" s="4"/>
      <c r="P630" s="4"/>
      <c r="Q630" s="4"/>
      <c r="R630" s="4"/>
    </row>
    <row r="631" spans="1:18" ht="17.399999999999999" x14ac:dyDescent="0.25">
      <c r="A631" s="4"/>
      <c r="B631" s="23"/>
      <c r="C631" s="4"/>
      <c r="D631" s="4"/>
      <c r="E631" s="5"/>
      <c r="F631" s="4"/>
      <c r="G631" s="4"/>
      <c r="H631" s="4"/>
      <c r="I631" s="4"/>
      <c r="J631" s="4"/>
      <c r="K631" s="4"/>
      <c r="L631" s="4"/>
      <c r="M631" s="4"/>
      <c r="N631" s="4"/>
      <c r="O631" s="4"/>
      <c r="P631" s="4"/>
      <c r="Q631" s="4"/>
      <c r="R631" s="4"/>
    </row>
    <row r="632" spans="1:18" ht="17.399999999999999" x14ac:dyDescent="0.25">
      <c r="A632" s="4"/>
      <c r="B632" s="23"/>
      <c r="C632" s="4"/>
      <c r="D632" s="4"/>
      <c r="E632" s="5"/>
      <c r="F632" s="4"/>
      <c r="G632" s="4"/>
      <c r="H632" s="4"/>
      <c r="I632" s="4"/>
      <c r="J632" s="4"/>
      <c r="K632" s="4"/>
      <c r="L632" s="4"/>
      <c r="M632" s="4"/>
      <c r="N632" s="4"/>
      <c r="O632" s="4"/>
      <c r="P632" s="4"/>
      <c r="Q632" s="4"/>
      <c r="R632" s="4"/>
    </row>
    <row r="633" spans="1:18" ht="17.399999999999999" x14ac:dyDescent="0.25">
      <c r="A633" s="4"/>
      <c r="B633" s="23"/>
      <c r="C633" s="4"/>
      <c r="D633" s="4"/>
      <c r="E633" s="5"/>
      <c r="F633" s="4"/>
      <c r="G633" s="4"/>
      <c r="H633" s="4"/>
      <c r="I633" s="4"/>
      <c r="J633" s="4"/>
      <c r="K633" s="4"/>
      <c r="L633" s="4"/>
      <c r="M633" s="4"/>
      <c r="N633" s="4"/>
      <c r="O633" s="4"/>
      <c r="P633" s="4"/>
      <c r="Q633" s="4"/>
      <c r="R633" s="4"/>
    </row>
    <row r="634" spans="1:18" ht="17.399999999999999" x14ac:dyDescent="0.25">
      <c r="A634" s="4"/>
      <c r="B634" s="23"/>
      <c r="C634" s="4"/>
      <c r="D634" s="4"/>
      <c r="E634" s="5"/>
      <c r="F634" s="4"/>
      <c r="G634" s="4"/>
      <c r="H634" s="4"/>
      <c r="I634" s="4"/>
      <c r="J634" s="4"/>
      <c r="K634" s="4"/>
      <c r="L634" s="4"/>
      <c r="M634" s="4"/>
      <c r="N634" s="4"/>
      <c r="O634" s="4"/>
      <c r="P634" s="4"/>
      <c r="Q634" s="4"/>
      <c r="R634" s="4"/>
    </row>
    <row r="635" spans="1:18" ht="17.399999999999999" x14ac:dyDescent="0.25">
      <c r="A635" s="4"/>
      <c r="B635" s="23"/>
      <c r="C635" s="4"/>
      <c r="D635" s="4"/>
      <c r="E635" s="5"/>
      <c r="F635" s="4"/>
      <c r="G635" s="4"/>
      <c r="H635" s="4"/>
      <c r="I635" s="4"/>
      <c r="J635" s="4"/>
      <c r="K635" s="4"/>
      <c r="L635" s="4"/>
      <c r="M635" s="4"/>
      <c r="N635" s="4"/>
      <c r="O635" s="4"/>
      <c r="P635" s="4"/>
      <c r="Q635" s="4"/>
      <c r="R635" s="4"/>
    </row>
    <row r="636" spans="1:18" ht="17.399999999999999" x14ac:dyDescent="0.25">
      <c r="A636" s="4"/>
      <c r="B636" s="23"/>
      <c r="C636" s="4"/>
      <c r="D636" s="4"/>
      <c r="E636" s="5"/>
      <c r="F636" s="4"/>
      <c r="G636" s="4"/>
      <c r="H636" s="4"/>
      <c r="I636" s="4"/>
      <c r="J636" s="4"/>
      <c r="K636" s="4"/>
      <c r="L636" s="4"/>
      <c r="M636" s="4"/>
      <c r="N636" s="4"/>
      <c r="O636" s="4"/>
      <c r="P636" s="4"/>
      <c r="Q636" s="4"/>
      <c r="R636" s="4"/>
    </row>
    <row r="637" spans="1:18" ht="17.399999999999999" x14ac:dyDescent="0.25">
      <c r="A637" s="4"/>
      <c r="B637" s="23"/>
      <c r="C637" s="4"/>
      <c r="D637" s="4"/>
      <c r="E637" s="5"/>
      <c r="F637" s="4"/>
      <c r="G637" s="4"/>
      <c r="H637" s="4"/>
      <c r="I637" s="4"/>
      <c r="J637" s="4"/>
      <c r="K637" s="4"/>
      <c r="L637" s="4"/>
      <c r="M637" s="4"/>
      <c r="N637" s="4"/>
      <c r="O637" s="4"/>
      <c r="P637" s="4"/>
      <c r="Q637" s="4"/>
      <c r="R637" s="4"/>
    </row>
    <row r="638" spans="1:18" ht="17.399999999999999" x14ac:dyDescent="0.25">
      <c r="A638" s="4"/>
      <c r="B638" s="23"/>
      <c r="C638" s="4"/>
      <c r="D638" s="4"/>
      <c r="E638" s="5"/>
      <c r="F638" s="4"/>
      <c r="G638" s="4"/>
      <c r="H638" s="4"/>
      <c r="I638" s="4"/>
      <c r="J638" s="4"/>
      <c r="K638" s="4"/>
      <c r="L638" s="4"/>
      <c r="M638" s="4"/>
      <c r="N638" s="4"/>
      <c r="O638" s="4"/>
      <c r="P638" s="4"/>
      <c r="Q638" s="4"/>
      <c r="R638" s="4"/>
    </row>
    <row r="639" spans="1:18" ht="17.399999999999999" x14ac:dyDescent="0.25">
      <c r="A639" s="4"/>
      <c r="B639" s="23"/>
      <c r="C639" s="4"/>
      <c r="D639" s="4"/>
      <c r="E639" s="5"/>
      <c r="F639" s="4"/>
      <c r="G639" s="4"/>
      <c r="H639" s="4"/>
      <c r="I639" s="4"/>
      <c r="J639" s="4"/>
      <c r="K639" s="4"/>
      <c r="L639" s="4"/>
      <c r="M639" s="4"/>
      <c r="N639" s="4"/>
      <c r="O639" s="4"/>
      <c r="P639" s="4"/>
      <c r="Q639" s="4"/>
      <c r="R639" s="4"/>
    </row>
    <row r="640" spans="1:18" ht="17.399999999999999" x14ac:dyDescent="0.25">
      <c r="A640" s="4"/>
      <c r="B640" s="23"/>
      <c r="C640" s="4"/>
      <c r="D640" s="4"/>
      <c r="E640" s="5"/>
      <c r="F640" s="4"/>
      <c r="G640" s="4"/>
      <c r="H640" s="4"/>
      <c r="I640" s="4"/>
      <c r="J640" s="4"/>
      <c r="K640" s="4"/>
      <c r="L640" s="4"/>
      <c r="M640" s="4"/>
      <c r="N640" s="4"/>
      <c r="O640" s="4"/>
      <c r="P640" s="4"/>
      <c r="Q640" s="4"/>
      <c r="R640" s="4"/>
    </row>
    <row r="641" spans="1:18" ht="17.399999999999999" x14ac:dyDescent="0.25">
      <c r="A641" s="4"/>
      <c r="B641" s="23"/>
      <c r="C641" s="4"/>
      <c r="D641" s="4"/>
      <c r="E641" s="5"/>
      <c r="F641" s="4"/>
      <c r="G641" s="4"/>
      <c r="H641" s="4"/>
      <c r="I641" s="4"/>
      <c r="J641" s="4"/>
      <c r="K641" s="4"/>
      <c r="L641" s="4"/>
      <c r="M641" s="4"/>
      <c r="N641" s="4"/>
      <c r="O641" s="4"/>
      <c r="P641" s="4"/>
      <c r="Q641" s="4"/>
      <c r="R641" s="4"/>
    </row>
    <row r="642" spans="1:18" ht="17.399999999999999" x14ac:dyDescent="0.25">
      <c r="A642" s="4"/>
      <c r="B642" s="23"/>
      <c r="C642" s="4"/>
      <c r="D642" s="4"/>
      <c r="E642" s="5"/>
      <c r="F642" s="4"/>
      <c r="G642" s="4"/>
      <c r="H642" s="4"/>
      <c r="I642" s="4"/>
      <c r="J642" s="4"/>
      <c r="K642" s="4"/>
      <c r="L642" s="4"/>
      <c r="M642" s="4"/>
      <c r="N642" s="4"/>
      <c r="O642" s="4"/>
      <c r="P642" s="4"/>
      <c r="Q642" s="4"/>
      <c r="R642" s="4"/>
    </row>
    <row r="643" spans="1:18" ht="17.399999999999999" x14ac:dyDescent="0.25">
      <c r="A643" s="4"/>
      <c r="B643" s="23"/>
      <c r="C643" s="4"/>
      <c r="D643" s="4"/>
      <c r="E643" s="5"/>
      <c r="F643" s="4"/>
      <c r="G643" s="4"/>
      <c r="H643" s="4"/>
      <c r="I643" s="4"/>
      <c r="J643" s="4"/>
      <c r="K643" s="4"/>
      <c r="L643" s="4"/>
      <c r="M643" s="4"/>
      <c r="N643" s="4"/>
      <c r="O643" s="4"/>
      <c r="P643" s="4"/>
      <c r="Q643" s="4"/>
      <c r="R643" s="4"/>
    </row>
    <row r="644" spans="1:18" ht="17.399999999999999" x14ac:dyDescent="0.25">
      <c r="A644" s="4"/>
      <c r="B644" s="23"/>
      <c r="C644" s="4"/>
      <c r="D644" s="4"/>
      <c r="E644" s="5"/>
      <c r="F644" s="4"/>
      <c r="G644" s="4"/>
      <c r="H644" s="4"/>
      <c r="I644" s="4"/>
      <c r="J644" s="4"/>
      <c r="K644" s="4"/>
      <c r="L644" s="4"/>
      <c r="M644" s="4"/>
      <c r="N644" s="4"/>
      <c r="O644" s="4"/>
      <c r="P644" s="4"/>
      <c r="Q644" s="4"/>
      <c r="R644" s="4"/>
    </row>
    <row r="645" spans="1:18" ht="17.399999999999999" x14ac:dyDescent="0.25">
      <c r="A645" s="4"/>
      <c r="B645" s="23"/>
      <c r="C645" s="4"/>
      <c r="D645" s="4"/>
      <c r="E645" s="5"/>
      <c r="F645" s="4"/>
      <c r="G645" s="4"/>
      <c r="H645" s="4"/>
      <c r="I645" s="4"/>
      <c r="J645" s="4"/>
      <c r="K645" s="4"/>
      <c r="L645" s="4"/>
      <c r="M645" s="4"/>
      <c r="N645" s="4"/>
      <c r="O645" s="4"/>
      <c r="P645" s="4"/>
      <c r="Q645" s="4"/>
      <c r="R645" s="4"/>
    </row>
    <row r="646" spans="1:18" ht="17.399999999999999" x14ac:dyDescent="0.25">
      <c r="A646" s="4"/>
      <c r="B646" s="23"/>
      <c r="C646" s="4"/>
      <c r="D646" s="4"/>
      <c r="E646" s="5"/>
      <c r="F646" s="4"/>
      <c r="G646" s="4"/>
      <c r="H646" s="4"/>
      <c r="I646" s="4"/>
      <c r="J646" s="4"/>
      <c r="K646" s="4"/>
      <c r="L646" s="4"/>
      <c r="M646" s="4"/>
      <c r="N646" s="4"/>
      <c r="O646" s="4"/>
      <c r="P646" s="4"/>
      <c r="Q646" s="4"/>
      <c r="R646" s="4"/>
    </row>
    <row r="647" spans="1:18" ht="17.399999999999999" x14ac:dyDescent="0.25">
      <c r="A647" s="4"/>
      <c r="B647" s="23"/>
      <c r="C647" s="4"/>
      <c r="D647" s="4"/>
      <c r="E647" s="5"/>
      <c r="F647" s="4"/>
      <c r="G647" s="4"/>
      <c r="H647" s="4"/>
      <c r="I647" s="4"/>
      <c r="J647" s="4"/>
      <c r="K647" s="4"/>
      <c r="L647" s="4"/>
      <c r="M647" s="4"/>
      <c r="N647" s="4"/>
      <c r="O647" s="4"/>
      <c r="P647" s="4"/>
      <c r="Q647" s="4"/>
      <c r="R647" s="4"/>
    </row>
    <row r="648" spans="1:18" ht="17.399999999999999" x14ac:dyDescent="0.25">
      <c r="A648" s="4"/>
      <c r="B648" s="23"/>
      <c r="C648" s="4"/>
      <c r="D648" s="4"/>
      <c r="E648" s="5"/>
      <c r="F648" s="4"/>
      <c r="G648" s="4"/>
      <c r="H648" s="4"/>
      <c r="I648" s="4"/>
      <c r="J648" s="4"/>
      <c r="K648" s="4"/>
      <c r="L648" s="4"/>
      <c r="M648" s="4"/>
      <c r="N648" s="4"/>
      <c r="O648" s="4"/>
      <c r="P648" s="4"/>
      <c r="Q648" s="4"/>
      <c r="R648" s="4"/>
    </row>
    <row r="649" spans="1:18" ht="17.399999999999999" x14ac:dyDescent="0.25">
      <c r="A649" s="4"/>
      <c r="B649" s="23"/>
      <c r="C649" s="4"/>
      <c r="D649" s="4"/>
      <c r="E649" s="5"/>
      <c r="F649" s="4"/>
      <c r="G649" s="4"/>
      <c r="H649" s="4"/>
      <c r="I649" s="4"/>
      <c r="J649" s="4"/>
      <c r="K649" s="4"/>
      <c r="L649" s="4"/>
      <c r="M649" s="4"/>
      <c r="N649" s="4"/>
      <c r="O649" s="4"/>
      <c r="P649" s="4"/>
      <c r="Q649" s="4"/>
      <c r="R649" s="4"/>
    </row>
    <row r="650" spans="1:18" ht="17.399999999999999" x14ac:dyDescent="0.25">
      <c r="A650" s="4"/>
      <c r="B650" s="23"/>
      <c r="C650" s="4"/>
      <c r="D650" s="4"/>
      <c r="E650" s="5"/>
      <c r="F650" s="4"/>
      <c r="G650" s="4"/>
      <c r="H650" s="4"/>
      <c r="I650" s="4"/>
      <c r="J650" s="4"/>
      <c r="K650" s="4"/>
      <c r="L650" s="4"/>
      <c r="M650" s="4"/>
      <c r="N650" s="4"/>
      <c r="O650" s="4"/>
      <c r="P650" s="4"/>
      <c r="Q650" s="4"/>
      <c r="R650" s="4"/>
    </row>
    <row r="651" spans="1:18" ht="17.399999999999999" x14ac:dyDescent="0.25">
      <c r="A651" s="4"/>
      <c r="B651" s="23"/>
      <c r="C651" s="4"/>
      <c r="D651" s="4"/>
      <c r="E651" s="5"/>
      <c r="F651" s="4"/>
      <c r="G651" s="4"/>
      <c r="H651" s="4"/>
      <c r="I651" s="4"/>
      <c r="J651" s="4"/>
      <c r="K651" s="4"/>
      <c r="L651" s="4"/>
      <c r="M651" s="4"/>
      <c r="N651" s="4"/>
      <c r="O651" s="4"/>
      <c r="P651" s="4"/>
      <c r="Q651" s="4"/>
      <c r="R651" s="4"/>
    </row>
    <row r="652" spans="1:18" ht="17.399999999999999" x14ac:dyDescent="0.25">
      <c r="A652" s="4"/>
      <c r="B652" s="23"/>
      <c r="C652" s="4"/>
      <c r="D652" s="4"/>
      <c r="E652" s="5"/>
      <c r="F652" s="4"/>
      <c r="G652" s="4"/>
      <c r="H652" s="4"/>
      <c r="I652" s="4"/>
      <c r="J652" s="4"/>
      <c r="K652" s="4"/>
      <c r="L652" s="4"/>
      <c r="M652" s="4"/>
      <c r="N652" s="4"/>
      <c r="O652" s="4"/>
      <c r="P652" s="4"/>
      <c r="Q652" s="4"/>
      <c r="R652" s="4"/>
    </row>
    <row r="653" spans="1:18" ht="17.399999999999999" x14ac:dyDescent="0.25">
      <c r="A653" s="4"/>
      <c r="B653" s="23"/>
      <c r="C653" s="4"/>
      <c r="D653" s="4"/>
      <c r="E653" s="5"/>
      <c r="F653" s="4"/>
      <c r="G653" s="4"/>
      <c r="H653" s="4"/>
      <c r="I653" s="4"/>
      <c r="J653" s="4"/>
      <c r="K653" s="4"/>
      <c r="L653" s="4"/>
      <c r="M653" s="4"/>
      <c r="N653" s="4"/>
      <c r="O653" s="4"/>
      <c r="P653" s="4"/>
      <c r="Q653" s="4"/>
      <c r="R653" s="4"/>
    </row>
    <row r="654" spans="1:18" ht="17.399999999999999" x14ac:dyDescent="0.25">
      <c r="A654" s="4"/>
      <c r="B654" s="23"/>
      <c r="C654" s="4"/>
      <c r="D654" s="4"/>
      <c r="E654" s="5"/>
      <c r="F654" s="4"/>
      <c r="G654" s="4"/>
      <c r="H654" s="4"/>
      <c r="I654" s="4"/>
      <c r="J654" s="4"/>
      <c r="K654" s="4"/>
      <c r="L654" s="4"/>
      <c r="M654" s="4"/>
      <c r="N654" s="4"/>
      <c r="O654" s="4"/>
      <c r="P654" s="4"/>
      <c r="Q654" s="4"/>
      <c r="R654" s="4"/>
    </row>
    <row r="655" spans="1:18" ht="17.399999999999999" x14ac:dyDescent="0.25">
      <c r="A655" s="4"/>
      <c r="B655" s="23"/>
      <c r="C655" s="4"/>
      <c r="D655" s="4"/>
      <c r="E655" s="5"/>
      <c r="F655" s="4"/>
      <c r="G655" s="4"/>
      <c r="H655" s="4"/>
      <c r="I655" s="4"/>
      <c r="J655" s="4"/>
      <c r="K655" s="4"/>
      <c r="L655" s="4"/>
      <c r="M655" s="4"/>
      <c r="N655" s="4"/>
      <c r="O655" s="4"/>
      <c r="P655" s="4"/>
      <c r="Q655" s="4"/>
      <c r="R655" s="4"/>
    </row>
    <row r="656" spans="1:18" ht="17.399999999999999" x14ac:dyDescent="0.25">
      <c r="A656" s="4"/>
      <c r="B656" s="23"/>
      <c r="C656" s="4"/>
      <c r="D656" s="4"/>
      <c r="E656" s="5"/>
      <c r="F656" s="4"/>
      <c r="G656" s="4"/>
      <c r="H656" s="4"/>
      <c r="I656" s="4"/>
      <c r="J656" s="4"/>
      <c r="K656" s="4"/>
      <c r="L656" s="4"/>
      <c r="M656" s="4"/>
      <c r="N656" s="4"/>
      <c r="O656" s="4"/>
      <c r="P656" s="4"/>
      <c r="Q656" s="4"/>
      <c r="R656" s="4"/>
    </row>
    <row r="657" spans="1:18" ht="17.399999999999999" x14ac:dyDescent="0.25">
      <c r="A657" s="4"/>
      <c r="B657" s="23"/>
      <c r="C657" s="4"/>
      <c r="D657" s="4"/>
      <c r="E657" s="5"/>
      <c r="F657" s="4"/>
      <c r="G657" s="4"/>
      <c r="H657" s="4"/>
      <c r="I657" s="4"/>
      <c r="J657" s="4"/>
      <c r="K657" s="4"/>
      <c r="L657" s="4"/>
      <c r="M657" s="4"/>
      <c r="N657" s="4"/>
      <c r="O657" s="4"/>
      <c r="P657" s="4"/>
      <c r="Q657" s="4"/>
      <c r="R657" s="4"/>
    </row>
    <row r="658" spans="1:18" ht="17.399999999999999" x14ac:dyDescent="0.25">
      <c r="A658" s="4"/>
      <c r="B658" s="23"/>
      <c r="C658" s="4"/>
      <c r="D658" s="4"/>
      <c r="E658" s="5"/>
      <c r="F658" s="4"/>
      <c r="G658" s="4"/>
      <c r="H658" s="4"/>
      <c r="I658" s="4"/>
      <c r="J658" s="4"/>
      <c r="K658" s="4"/>
      <c r="L658" s="4"/>
      <c r="M658" s="4"/>
      <c r="N658" s="4"/>
      <c r="O658" s="4"/>
      <c r="P658" s="4"/>
      <c r="Q658" s="4"/>
      <c r="R658" s="4"/>
    </row>
    <row r="659" spans="1:18" ht="17.399999999999999" x14ac:dyDescent="0.25">
      <c r="A659" s="4"/>
      <c r="B659" s="23"/>
      <c r="C659" s="4"/>
      <c r="D659" s="4"/>
      <c r="E659" s="5"/>
      <c r="F659" s="4"/>
      <c r="G659" s="4"/>
      <c r="H659" s="4"/>
      <c r="I659" s="4"/>
      <c r="J659" s="4"/>
      <c r="K659" s="4"/>
      <c r="L659" s="4"/>
      <c r="M659" s="4"/>
      <c r="N659" s="4"/>
      <c r="O659" s="4"/>
      <c r="P659" s="4"/>
      <c r="Q659" s="4"/>
      <c r="R659" s="4"/>
    </row>
    <row r="660" spans="1:18" ht="17.399999999999999" x14ac:dyDescent="0.25">
      <c r="A660" s="4"/>
      <c r="B660" s="23"/>
      <c r="C660" s="4"/>
      <c r="D660" s="4"/>
      <c r="E660" s="5"/>
      <c r="F660" s="4"/>
      <c r="G660" s="4"/>
      <c r="H660" s="4"/>
      <c r="I660" s="4"/>
      <c r="J660" s="4"/>
      <c r="K660" s="4"/>
      <c r="L660" s="4"/>
      <c r="M660" s="4"/>
      <c r="N660" s="4"/>
      <c r="O660" s="4"/>
      <c r="P660" s="4"/>
      <c r="Q660" s="4"/>
      <c r="R660" s="4"/>
    </row>
    <row r="661" spans="1:18" ht="17.399999999999999" x14ac:dyDescent="0.25">
      <c r="A661" s="4"/>
      <c r="B661" s="23"/>
      <c r="C661" s="4"/>
      <c r="D661" s="4"/>
      <c r="E661" s="5"/>
      <c r="F661" s="4"/>
      <c r="G661" s="4"/>
      <c r="H661" s="4"/>
      <c r="I661" s="4"/>
      <c r="J661" s="4"/>
      <c r="K661" s="4"/>
      <c r="L661" s="4"/>
      <c r="M661" s="4"/>
      <c r="N661" s="4"/>
      <c r="O661" s="4"/>
      <c r="P661" s="4"/>
      <c r="Q661" s="4"/>
      <c r="R661" s="4"/>
    </row>
    <row r="662" spans="1:18" ht="17.399999999999999" x14ac:dyDescent="0.25">
      <c r="A662" s="4"/>
      <c r="B662" s="23"/>
      <c r="C662" s="4"/>
      <c r="D662" s="4"/>
      <c r="E662" s="5"/>
      <c r="F662" s="4"/>
      <c r="G662" s="4"/>
      <c r="H662" s="4"/>
      <c r="I662" s="4"/>
      <c r="J662" s="4"/>
      <c r="K662" s="4"/>
      <c r="L662" s="4"/>
      <c r="M662" s="4"/>
      <c r="N662" s="4"/>
      <c r="O662" s="4"/>
      <c r="P662" s="4"/>
      <c r="Q662" s="4"/>
      <c r="R662" s="4"/>
    </row>
    <row r="663" spans="1:18" ht="17.399999999999999" x14ac:dyDescent="0.25">
      <c r="A663" s="4"/>
      <c r="B663" s="23"/>
      <c r="C663" s="4"/>
      <c r="D663" s="4"/>
      <c r="E663" s="5"/>
      <c r="F663" s="4"/>
      <c r="G663" s="4"/>
      <c r="H663" s="4"/>
      <c r="I663" s="4"/>
      <c r="J663" s="4"/>
      <c r="K663" s="4"/>
      <c r="L663" s="4"/>
      <c r="M663" s="4"/>
      <c r="N663" s="4"/>
      <c r="O663" s="4"/>
      <c r="P663" s="4"/>
      <c r="Q663" s="4"/>
      <c r="R663" s="4"/>
    </row>
    <row r="664" spans="1:18" ht="17.399999999999999" x14ac:dyDescent="0.25">
      <c r="A664" s="4"/>
      <c r="B664" s="23"/>
      <c r="C664" s="4"/>
      <c r="D664" s="4"/>
      <c r="E664" s="5"/>
      <c r="F664" s="4"/>
      <c r="G664" s="4"/>
      <c r="H664" s="4"/>
      <c r="I664" s="4"/>
      <c r="J664" s="4"/>
      <c r="K664" s="4"/>
      <c r="L664" s="4"/>
      <c r="M664" s="4"/>
      <c r="N664" s="4"/>
      <c r="O664" s="4"/>
      <c r="P664" s="4"/>
      <c r="Q664" s="4"/>
      <c r="R664" s="4"/>
    </row>
    <row r="665" spans="1:18" ht="17.399999999999999" x14ac:dyDescent="0.25">
      <c r="A665" s="4"/>
      <c r="B665" s="23"/>
      <c r="C665" s="4"/>
      <c r="D665" s="4"/>
      <c r="E665" s="5"/>
      <c r="F665" s="4"/>
      <c r="G665" s="4"/>
      <c r="H665" s="4"/>
      <c r="I665" s="4"/>
      <c r="J665" s="4"/>
      <c r="K665" s="4"/>
      <c r="L665" s="4"/>
      <c r="M665" s="4"/>
      <c r="N665" s="4"/>
      <c r="O665" s="4"/>
      <c r="P665" s="4"/>
      <c r="Q665" s="4"/>
      <c r="R665" s="4"/>
    </row>
    <row r="666" spans="1:18" ht="17.399999999999999" x14ac:dyDescent="0.25">
      <c r="A666" s="4"/>
      <c r="B666" s="23"/>
      <c r="C666" s="4"/>
      <c r="D666" s="4"/>
      <c r="E666" s="5"/>
      <c r="F666" s="4"/>
      <c r="G666" s="4"/>
      <c r="H666" s="4"/>
      <c r="I666" s="4"/>
      <c r="J666" s="4"/>
      <c r="K666" s="4"/>
      <c r="L666" s="4"/>
      <c r="M666" s="4"/>
      <c r="N666" s="4"/>
      <c r="O666" s="4"/>
      <c r="P666" s="4"/>
      <c r="Q666" s="4"/>
      <c r="R666" s="4"/>
    </row>
    <row r="667" spans="1:18" ht="17.399999999999999" x14ac:dyDescent="0.25">
      <c r="A667" s="4"/>
      <c r="B667" s="23"/>
      <c r="C667" s="4"/>
      <c r="D667" s="4"/>
      <c r="E667" s="5"/>
      <c r="F667" s="4"/>
      <c r="G667" s="4"/>
      <c r="H667" s="4"/>
      <c r="I667" s="4"/>
      <c r="J667" s="4"/>
      <c r="K667" s="4"/>
      <c r="L667" s="4"/>
      <c r="M667" s="4"/>
      <c r="N667" s="4"/>
      <c r="O667" s="4"/>
      <c r="P667" s="4"/>
      <c r="Q667" s="4"/>
      <c r="R667" s="4"/>
    </row>
    <row r="668" spans="1:18" ht="17.399999999999999" x14ac:dyDescent="0.25">
      <c r="A668" s="4"/>
      <c r="B668" s="23"/>
      <c r="C668" s="4"/>
      <c r="D668" s="4"/>
      <c r="E668" s="5"/>
      <c r="F668" s="4"/>
      <c r="G668" s="4"/>
      <c r="H668" s="4"/>
      <c r="I668" s="4"/>
      <c r="J668" s="4"/>
      <c r="K668" s="4"/>
      <c r="L668" s="4"/>
      <c r="M668" s="4"/>
      <c r="N668" s="4"/>
      <c r="O668" s="4"/>
      <c r="P668" s="4"/>
      <c r="Q668" s="4"/>
      <c r="R668" s="4"/>
    </row>
    <row r="669" spans="1:18" ht="17.399999999999999" x14ac:dyDescent="0.25">
      <c r="A669" s="4"/>
      <c r="B669" s="23"/>
      <c r="C669" s="4"/>
      <c r="D669" s="4"/>
      <c r="E669" s="5"/>
      <c r="F669" s="4"/>
      <c r="G669" s="4"/>
      <c r="H669" s="4"/>
      <c r="I669" s="4"/>
      <c r="J669" s="4"/>
      <c r="K669" s="4"/>
      <c r="L669" s="4"/>
      <c r="M669" s="4"/>
      <c r="N669" s="4"/>
      <c r="O669" s="4"/>
      <c r="P669" s="4"/>
      <c r="Q669" s="4"/>
      <c r="R669" s="4"/>
    </row>
    <row r="670" spans="1:18" ht="17.399999999999999" x14ac:dyDescent="0.25">
      <c r="A670" s="4"/>
      <c r="B670" s="23"/>
      <c r="C670" s="4"/>
      <c r="D670" s="4"/>
      <c r="E670" s="5"/>
      <c r="F670" s="4"/>
      <c r="G670" s="4"/>
      <c r="H670" s="4"/>
      <c r="I670" s="4"/>
      <c r="J670" s="4"/>
      <c r="K670" s="4"/>
      <c r="L670" s="4"/>
      <c r="M670" s="4"/>
      <c r="N670" s="4"/>
      <c r="O670" s="4"/>
      <c r="P670" s="4"/>
      <c r="Q670" s="4"/>
      <c r="R670" s="4"/>
    </row>
    <row r="671" spans="1:18" ht="17.399999999999999" x14ac:dyDescent="0.25">
      <c r="A671" s="4"/>
      <c r="B671" s="23"/>
      <c r="C671" s="4"/>
      <c r="D671" s="4"/>
      <c r="E671" s="5"/>
      <c r="F671" s="4"/>
      <c r="G671" s="4"/>
      <c r="H671" s="4"/>
      <c r="I671" s="4"/>
      <c r="J671" s="4"/>
      <c r="K671" s="4"/>
      <c r="L671" s="4"/>
      <c r="M671" s="4"/>
      <c r="N671" s="4"/>
      <c r="O671" s="4"/>
      <c r="P671" s="4"/>
      <c r="Q671" s="4"/>
      <c r="R671" s="4"/>
    </row>
    <row r="672" spans="1:18" ht="17.399999999999999" x14ac:dyDescent="0.25">
      <c r="A672" s="4"/>
      <c r="B672" s="23"/>
      <c r="C672" s="4"/>
      <c r="D672" s="4"/>
      <c r="E672" s="5"/>
      <c r="F672" s="4"/>
      <c r="G672" s="4"/>
      <c r="H672" s="4"/>
      <c r="I672" s="4"/>
      <c r="J672" s="4"/>
      <c r="K672" s="4"/>
      <c r="L672" s="4"/>
      <c r="M672" s="4"/>
      <c r="N672" s="4"/>
      <c r="O672" s="4"/>
      <c r="P672" s="4"/>
      <c r="Q672" s="4"/>
      <c r="R672" s="4"/>
    </row>
    <row r="673" spans="1:18" ht="17.399999999999999" x14ac:dyDescent="0.25">
      <c r="A673" s="4"/>
      <c r="B673" s="23"/>
      <c r="C673" s="4"/>
      <c r="D673" s="4"/>
      <c r="E673" s="5"/>
      <c r="F673" s="4"/>
      <c r="G673" s="4"/>
      <c r="H673" s="4"/>
      <c r="I673" s="4"/>
      <c r="J673" s="4"/>
      <c r="K673" s="4"/>
      <c r="L673" s="4"/>
      <c r="M673" s="4"/>
      <c r="N673" s="4"/>
      <c r="O673" s="4"/>
      <c r="P673" s="4"/>
      <c r="Q673" s="4"/>
      <c r="R673" s="4"/>
    </row>
    <row r="674" spans="1:18" ht="17.399999999999999" x14ac:dyDescent="0.25">
      <c r="A674" s="4"/>
      <c r="B674" s="23"/>
      <c r="C674" s="4"/>
      <c r="D674" s="4"/>
      <c r="E674" s="5"/>
      <c r="F674" s="4"/>
      <c r="G674" s="4"/>
      <c r="H674" s="4"/>
      <c r="I674" s="4"/>
      <c r="J674" s="4"/>
      <c r="K674" s="4"/>
      <c r="L674" s="4"/>
      <c r="M674" s="4"/>
      <c r="N674" s="4"/>
      <c r="O674" s="4"/>
      <c r="P674" s="4"/>
      <c r="Q674" s="4"/>
      <c r="R674" s="4"/>
    </row>
    <row r="675" spans="1:18" ht="17.399999999999999" x14ac:dyDescent="0.25">
      <c r="A675" s="4"/>
      <c r="B675" s="23"/>
      <c r="C675" s="4"/>
      <c r="D675" s="4"/>
      <c r="E675" s="5"/>
      <c r="F675" s="4"/>
      <c r="G675" s="4"/>
      <c r="H675" s="4"/>
      <c r="I675" s="4"/>
      <c r="J675" s="4"/>
      <c r="K675" s="4"/>
      <c r="L675" s="4"/>
      <c r="M675" s="4"/>
      <c r="N675" s="4"/>
      <c r="O675" s="4"/>
      <c r="P675" s="4"/>
      <c r="Q675" s="4"/>
      <c r="R675" s="4"/>
    </row>
    <row r="676" spans="1:18" ht="17.399999999999999" x14ac:dyDescent="0.25">
      <c r="A676" s="4"/>
      <c r="B676" s="23"/>
      <c r="C676" s="4"/>
      <c r="D676" s="4"/>
      <c r="E676" s="5"/>
      <c r="F676" s="4"/>
      <c r="G676" s="4"/>
      <c r="H676" s="4"/>
      <c r="I676" s="4"/>
      <c r="J676" s="4"/>
      <c r="K676" s="4"/>
      <c r="L676" s="4"/>
      <c r="M676" s="4"/>
      <c r="N676" s="4"/>
      <c r="O676" s="4"/>
      <c r="P676" s="4"/>
      <c r="Q676" s="4"/>
      <c r="R676" s="4"/>
    </row>
    <row r="677" spans="1:18" ht="17.399999999999999" x14ac:dyDescent="0.25">
      <c r="A677" s="4"/>
      <c r="B677" s="23"/>
      <c r="C677" s="4"/>
      <c r="D677" s="4"/>
      <c r="E677" s="5"/>
      <c r="F677" s="4"/>
      <c r="G677" s="4"/>
      <c r="H677" s="4"/>
      <c r="I677" s="4"/>
      <c r="J677" s="4"/>
      <c r="K677" s="4"/>
      <c r="L677" s="4"/>
      <c r="M677" s="4"/>
      <c r="N677" s="4"/>
      <c r="O677" s="4"/>
      <c r="P677" s="4"/>
      <c r="Q677" s="4"/>
      <c r="R677" s="4"/>
    </row>
    <row r="678" spans="1:18" ht="17.399999999999999" x14ac:dyDescent="0.25">
      <c r="A678" s="4"/>
      <c r="B678" s="23"/>
      <c r="C678" s="4"/>
      <c r="D678" s="4"/>
      <c r="E678" s="5"/>
      <c r="F678" s="4"/>
      <c r="G678" s="4"/>
      <c r="H678" s="4"/>
      <c r="I678" s="4"/>
      <c r="J678" s="4"/>
      <c r="K678" s="4"/>
      <c r="L678" s="4"/>
      <c r="M678" s="4"/>
      <c r="N678" s="4"/>
      <c r="O678" s="4"/>
      <c r="P678" s="4"/>
      <c r="Q678" s="4"/>
      <c r="R678" s="4"/>
    </row>
    <row r="679" spans="1:18" ht="17.399999999999999" x14ac:dyDescent="0.25">
      <c r="A679" s="4"/>
      <c r="B679" s="23"/>
      <c r="C679" s="4"/>
      <c r="D679" s="4"/>
      <c r="E679" s="5"/>
      <c r="F679" s="4"/>
      <c r="G679" s="4"/>
      <c r="H679" s="4"/>
      <c r="I679" s="4"/>
      <c r="J679" s="4"/>
      <c r="K679" s="4"/>
      <c r="L679" s="4"/>
      <c r="M679" s="4"/>
      <c r="N679" s="4"/>
      <c r="O679" s="4"/>
      <c r="P679" s="4"/>
      <c r="Q679" s="4"/>
      <c r="R679" s="4"/>
    </row>
    <row r="680" spans="1:18" ht="17.399999999999999" x14ac:dyDescent="0.25">
      <c r="A680" s="4"/>
      <c r="B680" s="23"/>
      <c r="C680" s="4"/>
      <c r="D680" s="4"/>
      <c r="E680" s="5"/>
      <c r="F680" s="4"/>
      <c r="G680" s="4"/>
      <c r="H680" s="4"/>
      <c r="I680" s="4"/>
      <c r="J680" s="4"/>
      <c r="K680" s="4"/>
      <c r="L680" s="4"/>
      <c r="M680" s="4"/>
      <c r="N680" s="4"/>
      <c r="O680" s="4"/>
      <c r="P680" s="4"/>
      <c r="Q680" s="4"/>
      <c r="R680" s="4"/>
    </row>
    <row r="681" spans="1:18" ht="17.399999999999999" x14ac:dyDescent="0.25">
      <c r="A681" s="4"/>
      <c r="B681" s="23"/>
      <c r="C681" s="4"/>
      <c r="D681" s="4"/>
      <c r="E681" s="5"/>
      <c r="F681" s="4"/>
      <c r="G681" s="4"/>
      <c r="H681" s="4"/>
      <c r="I681" s="4"/>
      <c r="J681" s="4"/>
      <c r="K681" s="4"/>
      <c r="L681" s="4"/>
      <c r="M681" s="4"/>
      <c r="N681" s="4"/>
      <c r="O681" s="4"/>
      <c r="P681" s="4"/>
      <c r="Q681" s="4"/>
      <c r="R681" s="4"/>
    </row>
    <row r="682" spans="1:18" ht="17.399999999999999" x14ac:dyDescent="0.25">
      <c r="A682" s="4"/>
      <c r="B682" s="23"/>
      <c r="C682" s="4"/>
      <c r="D682" s="4"/>
      <c r="E682" s="5"/>
      <c r="F682" s="4"/>
      <c r="G682" s="4"/>
      <c r="H682" s="4"/>
      <c r="I682" s="4"/>
      <c r="J682" s="4"/>
      <c r="K682" s="4"/>
      <c r="L682" s="4"/>
      <c r="M682" s="4"/>
      <c r="N682" s="4"/>
      <c r="O682" s="4"/>
      <c r="P682" s="4"/>
      <c r="Q682" s="4"/>
      <c r="R682" s="4"/>
    </row>
    <row r="683" spans="1:18" ht="17.399999999999999" x14ac:dyDescent="0.25">
      <c r="A683" s="4"/>
      <c r="B683" s="23"/>
      <c r="C683" s="4"/>
      <c r="D683" s="4"/>
      <c r="E683" s="5"/>
      <c r="F683" s="4"/>
      <c r="G683" s="4"/>
      <c r="H683" s="4"/>
      <c r="I683" s="4"/>
      <c r="J683" s="4"/>
      <c r="K683" s="4"/>
      <c r="L683" s="4"/>
      <c r="M683" s="4"/>
      <c r="N683" s="4"/>
      <c r="O683" s="4"/>
      <c r="P683" s="4"/>
      <c r="Q683" s="4"/>
      <c r="R683" s="4"/>
    </row>
    <row r="684" spans="1:18" ht="17.399999999999999" x14ac:dyDescent="0.25">
      <c r="A684" s="4"/>
      <c r="B684" s="23"/>
      <c r="C684" s="4"/>
      <c r="D684" s="4"/>
      <c r="E684" s="5"/>
      <c r="F684" s="4"/>
      <c r="G684" s="4"/>
      <c r="H684" s="4"/>
      <c r="I684" s="4"/>
      <c r="J684" s="4"/>
      <c r="K684" s="4"/>
      <c r="L684" s="4"/>
      <c r="M684" s="4"/>
      <c r="N684" s="4"/>
      <c r="O684" s="4"/>
      <c r="P684" s="4"/>
      <c r="Q684" s="4"/>
      <c r="R684" s="4"/>
    </row>
    <row r="685" spans="1:18" ht="17.399999999999999" x14ac:dyDescent="0.25">
      <c r="A685" s="4"/>
      <c r="B685" s="23"/>
      <c r="C685" s="4"/>
      <c r="D685" s="4"/>
      <c r="E685" s="5"/>
      <c r="F685" s="4"/>
      <c r="G685" s="4"/>
      <c r="H685" s="4"/>
      <c r="I685" s="4"/>
      <c r="J685" s="4"/>
      <c r="K685" s="4"/>
      <c r="L685" s="4"/>
      <c r="M685" s="4"/>
      <c r="N685" s="4"/>
      <c r="O685" s="4"/>
      <c r="P685" s="4"/>
      <c r="Q685" s="4"/>
      <c r="R685" s="4"/>
    </row>
    <row r="686" spans="1:18" ht="17.399999999999999" x14ac:dyDescent="0.25">
      <c r="A686" s="4"/>
      <c r="B686" s="23"/>
      <c r="C686" s="4"/>
      <c r="D686" s="4"/>
      <c r="E686" s="5"/>
      <c r="F686" s="4"/>
      <c r="G686" s="4"/>
      <c r="H686" s="4"/>
      <c r="I686" s="4"/>
      <c r="J686" s="4"/>
      <c r="K686" s="4"/>
      <c r="L686" s="4"/>
      <c r="M686" s="4"/>
      <c r="N686" s="4"/>
      <c r="O686" s="4"/>
      <c r="P686" s="4"/>
      <c r="Q686" s="4"/>
      <c r="R686" s="4"/>
    </row>
    <row r="687" spans="1:18" ht="17.399999999999999" x14ac:dyDescent="0.25">
      <c r="A687" s="4"/>
      <c r="B687" s="23"/>
      <c r="C687" s="4"/>
      <c r="D687" s="4"/>
      <c r="E687" s="5"/>
      <c r="F687" s="4"/>
      <c r="G687" s="4"/>
      <c r="H687" s="4"/>
      <c r="I687" s="4"/>
      <c r="J687" s="4"/>
      <c r="K687" s="4"/>
      <c r="L687" s="4"/>
      <c r="M687" s="4"/>
      <c r="N687" s="4"/>
      <c r="O687" s="4"/>
      <c r="P687" s="4"/>
      <c r="Q687" s="4"/>
      <c r="R687" s="4"/>
    </row>
    <row r="688" spans="1:18" ht="17.399999999999999" x14ac:dyDescent="0.25">
      <c r="A688" s="4"/>
      <c r="B688" s="23"/>
      <c r="C688" s="4"/>
      <c r="D688" s="4"/>
      <c r="E688" s="5"/>
      <c r="F688" s="4"/>
      <c r="G688" s="4"/>
      <c r="H688" s="4"/>
      <c r="I688" s="4"/>
      <c r="J688" s="4"/>
      <c r="K688" s="4"/>
      <c r="L688" s="4"/>
      <c r="M688" s="4"/>
      <c r="N688" s="4"/>
      <c r="O688" s="4"/>
      <c r="P688" s="4"/>
      <c r="Q688" s="4"/>
      <c r="R688" s="4"/>
    </row>
    <row r="689" spans="1:18" ht="17.399999999999999" x14ac:dyDescent="0.25">
      <c r="A689" s="4"/>
      <c r="B689" s="23"/>
      <c r="C689" s="4"/>
      <c r="D689" s="4"/>
      <c r="E689" s="5"/>
      <c r="F689" s="4"/>
      <c r="G689" s="4"/>
      <c r="H689" s="4"/>
      <c r="I689" s="4"/>
      <c r="J689" s="4"/>
      <c r="K689" s="4"/>
      <c r="L689" s="4"/>
      <c r="M689" s="4"/>
      <c r="N689" s="4"/>
      <c r="O689" s="4"/>
      <c r="P689" s="4"/>
      <c r="Q689" s="4"/>
      <c r="R689" s="4"/>
    </row>
    <row r="690" spans="1:18" ht="17.399999999999999" x14ac:dyDescent="0.25">
      <c r="A690" s="4"/>
      <c r="B690" s="23"/>
      <c r="C690" s="4"/>
      <c r="D690" s="4"/>
      <c r="E690" s="5"/>
      <c r="F690" s="4"/>
      <c r="G690" s="4"/>
      <c r="H690" s="4"/>
      <c r="I690" s="4"/>
      <c r="J690" s="4"/>
      <c r="K690" s="4"/>
      <c r="L690" s="4"/>
      <c r="M690" s="4"/>
      <c r="N690" s="4"/>
      <c r="O690" s="4"/>
      <c r="P690" s="4"/>
      <c r="Q690" s="4"/>
      <c r="R690" s="4"/>
    </row>
    <row r="691" spans="1:18" ht="17.399999999999999" x14ac:dyDescent="0.25">
      <c r="A691" s="4"/>
      <c r="B691" s="23"/>
      <c r="C691" s="4"/>
      <c r="D691" s="4"/>
      <c r="E691" s="5"/>
      <c r="F691" s="4"/>
      <c r="G691" s="4"/>
      <c r="H691" s="4"/>
      <c r="I691" s="4"/>
      <c r="J691" s="4"/>
      <c r="K691" s="4"/>
      <c r="L691" s="4"/>
      <c r="M691" s="4"/>
      <c r="N691" s="4"/>
      <c r="O691" s="4"/>
      <c r="P691" s="4"/>
      <c r="Q691" s="4"/>
      <c r="R691" s="4"/>
    </row>
    <row r="692" spans="1:18" ht="17.399999999999999" x14ac:dyDescent="0.25">
      <c r="A692" s="4"/>
      <c r="B692" s="23"/>
      <c r="C692" s="4"/>
      <c r="D692" s="4"/>
      <c r="E692" s="5"/>
      <c r="F692" s="4"/>
      <c r="G692" s="4"/>
      <c r="H692" s="4"/>
      <c r="I692" s="4"/>
      <c r="J692" s="4"/>
      <c r="K692" s="4"/>
      <c r="L692" s="4"/>
      <c r="M692" s="4"/>
      <c r="N692" s="4"/>
      <c r="O692" s="4"/>
      <c r="P692" s="4"/>
      <c r="Q692" s="4"/>
      <c r="R692" s="4"/>
    </row>
    <row r="693" spans="1:18" ht="17.399999999999999" x14ac:dyDescent="0.25">
      <c r="A693" s="4"/>
      <c r="B693" s="23"/>
      <c r="C693" s="4"/>
      <c r="D693" s="4"/>
      <c r="E693" s="5"/>
      <c r="F693" s="4"/>
      <c r="G693" s="4"/>
      <c r="H693" s="4"/>
      <c r="I693" s="4"/>
      <c r="J693" s="4"/>
      <c r="K693" s="4"/>
      <c r="L693" s="4"/>
      <c r="M693" s="4"/>
      <c r="N693" s="4"/>
      <c r="O693" s="4"/>
      <c r="P693" s="4"/>
      <c r="Q693" s="4"/>
      <c r="R693" s="4"/>
    </row>
    <row r="694" spans="1:18" ht="17.399999999999999" x14ac:dyDescent="0.25">
      <c r="A694" s="4"/>
      <c r="B694" s="23"/>
      <c r="C694" s="4"/>
      <c r="D694" s="4"/>
      <c r="E694" s="5"/>
      <c r="F694" s="4"/>
      <c r="G694" s="4"/>
      <c r="H694" s="4"/>
      <c r="I694" s="4"/>
      <c r="J694" s="4"/>
      <c r="K694" s="4"/>
      <c r="L694" s="4"/>
      <c r="M694" s="4"/>
      <c r="N694" s="4"/>
      <c r="O694" s="4"/>
      <c r="P694" s="4"/>
      <c r="Q694" s="4"/>
      <c r="R694" s="4"/>
    </row>
    <row r="695" spans="1:18" ht="17.399999999999999" x14ac:dyDescent="0.25">
      <c r="A695" s="4"/>
      <c r="B695" s="23"/>
      <c r="C695" s="4"/>
      <c r="D695" s="4"/>
      <c r="E695" s="5"/>
      <c r="F695" s="4"/>
      <c r="G695" s="4"/>
      <c r="H695" s="4"/>
      <c r="I695" s="4"/>
      <c r="J695" s="4"/>
      <c r="K695" s="4"/>
      <c r="L695" s="4"/>
      <c r="M695" s="4"/>
      <c r="N695" s="4"/>
      <c r="O695" s="4"/>
      <c r="P695" s="4"/>
      <c r="Q695" s="4"/>
      <c r="R695" s="4"/>
    </row>
    <row r="696" spans="1:18" ht="17.399999999999999" x14ac:dyDescent="0.25">
      <c r="A696" s="4"/>
      <c r="B696" s="23"/>
      <c r="C696" s="4"/>
      <c r="D696" s="4"/>
      <c r="E696" s="5"/>
      <c r="F696" s="4"/>
      <c r="G696" s="4"/>
      <c r="H696" s="4"/>
      <c r="I696" s="4"/>
      <c r="J696" s="4"/>
      <c r="K696" s="4"/>
      <c r="L696" s="4"/>
      <c r="M696" s="4"/>
      <c r="N696" s="4"/>
      <c r="O696" s="4"/>
      <c r="P696" s="4"/>
      <c r="Q696" s="4"/>
      <c r="R696" s="4"/>
    </row>
    <row r="697" spans="1:18" ht="17.399999999999999" x14ac:dyDescent="0.25">
      <c r="A697" s="4"/>
      <c r="B697" s="23"/>
      <c r="C697" s="4"/>
      <c r="D697" s="4"/>
      <c r="E697" s="5"/>
      <c r="F697" s="4"/>
      <c r="G697" s="4"/>
      <c r="H697" s="4"/>
      <c r="I697" s="4"/>
      <c r="J697" s="4"/>
      <c r="K697" s="4"/>
      <c r="L697" s="4"/>
      <c r="M697" s="4"/>
      <c r="N697" s="4"/>
      <c r="O697" s="4"/>
      <c r="P697" s="4"/>
      <c r="Q697" s="4"/>
      <c r="R697" s="4"/>
    </row>
    <row r="698" spans="1:18" ht="17.399999999999999" x14ac:dyDescent="0.25">
      <c r="A698" s="4"/>
      <c r="B698" s="23"/>
      <c r="C698" s="4"/>
      <c r="D698" s="4"/>
      <c r="E698" s="5"/>
      <c r="F698" s="4"/>
      <c r="G698" s="4"/>
      <c r="H698" s="4"/>
      <c r="I698" s="4"/>
      <c r="J698" s="4"/>
      <c r="K698" s="4"/>
      <c r="L698" s="4"/>
      <c r="M698" s="4"/>
      <c r="N698" s="4"/>
      <c r="O698" s="4"/>
      <c r="P698" s="4"/>
      <c r="Q698" s="4"/>
      <c r="R698" s="4"/>
    </row>
    <row r="699" spans="1:18" ht="17.399999999999999" x14ac:dyDescent="0.25">
      <c r="A699" s="4"/>
      <c r="B699" s="23"/>
      <c r="C699" s="4"/>
      <c r="D699" s="4"/>
      <c r="E699" s="5"/>
      <c r="F699" s="4"/>
      <c r="G699" s="4"/>
      <c r="H699" s="4"/>
      <c r="I699" s="4"/>
      <c r="J699" s="4"/>
      <c r="K699" s="4"/>
      <c r="L699" s="4"/>
      <c r="M699" s="4"/>
      <c r="N699" s="4"/>
      <c r="O699" s="4"/>
      <c r="P699" s="4"/>
      <c r="Q699" s="4"/>
      <c r="R699" s="4"/>
    </row>
    <row r="700" spans="1:18" ht="17.399999999999999" x14ac:dyDescent="0.25">
      <c r="A700" s="4"/>
      <c r="B700" s="23"/>
      <c r="C700" s="4"/>
      <c r="D700" s="4"/>
      <c r="E700" s="5"/>
      <c r="F700" s="4"/>
      <c r="G700" s="4"/>
      <c r="H700" s="4"/>
      <c r="I700" s="4"/>
      <c r="J700" s="4"/>
      <c r="K700" s="4"/>
      <c r="L700" s="4"/>
      <c r="M700" s="4"/>
      <c r="N700" s="4"/>
      <c r="O700" s="4"/>
      <c r="P700" s="4"/>
      <c r="Q700" s="4"/>
      <c r="R700" s="4"/>
    </row>
    <row r="701" spans="1:18" ht="17.399999999999999" x14ac:dyDescent="0.25">
      <c r="A701" s="4"/>
      <c r="B701" s="23"/>
      <c r="C701" s="4"/>
      <c r="D701" s="4"/>
      <c r="E701" s="5"/>
      <c r="F701" s="4"/>
      <c r="G701" s="4"/>
      <c r="H701" s="4"/>
      <c r="I701" s="4"/>
      <c r="J701" s="4"/>
      <c r="K701" s="4"/>
      <c r="L701" s="4"/>
      <c r="M701" s="4"/>
      <c r="N701" s="4"/>
      <c r="O701" s="4"/>
      <c r="P701" s="4"/>
      <c r="Q701" s="4"/>
      <c r="R701" s="4"/>
    </row>
    <row r="702" spans="1:18" ht="17.399999999999999" x14ac:dyDescent="0.25">
      <c r="A702" s="4"/>
      <c r="B702" s="23"/>
      <c r="C702" s="4"/>
      <c r="D702" s="4"/>
      <c r="E702" s="5"/>
      <c r="F702" s="4"/>
      <c r="G702" s="4"/>
      <c r="H702" s="4"/>
      <c r="I702" s="4"/>
      <c r="J702" s="4"/>
      <c r="K702" s="4"/>
      <c r="L702" s="4"/>
      <c r="M702" s="4"/>
      <c r="N702" s="4"/>
      <c r="O702" s="4"/>
      <c r="P702" s="4"/>
      <c r="Q702" s="4"/>
      <c r="R702" s="4"/>
    </row>
    <row r="703" spans="1:18" ht="17.399999999999999" x14ac:dyDescent="0.25">
      <c r="A703" s="4"/>
      <c r="B703" s="23"/>
      <c r="C703" s="4"/>
      <c r="D703" s="4"/>
      <c r="E703" s="5"/>
      <c r="F703" s="4"/>
      <c r="G703" s="4"/>
      <c r="H703" s="4"/>
      <c r="I703" s="4"/>
      <c r="J703" s="4"/>
      <c r="K703" s="4"/>
      <c r="L703" s="4"/>
      <c r="M703" s="4"/>
      <c r="N703" s="4"/>
      <c r="O703" s="4"/>
      <c r="P703" s="4"/>
      <c r="Q703" s="4"/>
      <c r="R703" s="4"/>
    </row>
    <row r="704" spans="1:18" ht="17.399999999999999" x14ac:dyDescent="0.25">
      <c r="A704" s="4"/>
      <c r="B704" s="23"/>
      <c r="C704" s="4"/>
      <c r="D704" s="4"/>
      <c r="E704" s="5"/>
      <c r="F704" s="4"/>
      <c r="G704" s="4"/>
      <c r="H704" s="4"/>
      <c r="I704" s="4"/>
      <c r="J704" s="4"/>
      <c r="K704" s="4"/>
      <c r="L704" s="4"/>
      <c r="M704" s="4"/>
      <c r="N704" s="4"/>
      <c r="O704" s="4"/>
      <c r="P704" s="4"/>
      <c r="Q704" s="4"/>
      <c r="R704" s="4"/>
    </row>
    <row r="705" spans="1:18" ht="17.399999999999999" x14ac:dyDescent="0.25">
      <c r="A705" s="4"/>
      <c r="B705" s="23"/>
      <c r="C705" s="4"/>
      <c r="D705" s="4"/>
      <c r="E705" s="5"/>
      <c r="F705" s="4"/>
      <c r="G705" s="4"/>
      <c r="H705" s="4"/>
      <c r="I705" s="4"/>
      <c r="J705" s="4"/>
      <c r="K705" s="4"/>
      <c r="L705" s="4"/>
      <c r="M705" s="4"/>
      <c r="N705" s="4"/>
      <c r="O705" s="4"/>
      <c r="P705" s="4"/>
      <c r="Q705" s="4"/>
      <c r="R705" s="4"/>
    </row>
    <row r="706" spans="1:18" ht="17.399999999999999" x14ac:dyDescent="0.25">
      <c r="A706" s="4"/>
      <c r="B706" s="23"/>
      <c r="C706" s="4"/>
      <c r="D706" s="4"/>
      <c r="E706" s="5"/>
      <c r="F706" s="4"/>
      <c r="G706" s="4"/>
      <c r="H706" s="4"/>
      <c r="I706" s="4"/>
      <c r="J706" s="4"/>
      <c r="K706" s="4"/>
      <c r="L706" s="4"/>
      <c r="M706" s="4"/>
      <c r="N706" s="4"/>
      <c r="O706" s="4"/>
      <c r="P706" s="4"/>
      <c r="Q706" s="4"/>
      <c r="R706" s="4"/>
    </row>
    <row r="707" spans="1:18" ht="17.399999999999999" x14ac:dyDescent="0.25">
      <c r="A707" s="4"/>
      <c r="B707" s="23"/>
      <c r="C707" s="4"/>
      <c r="D707" s="4"/>
      <c r="E707" s="5"/>
      <c r="F707" s="4"/>
      <c r="G707" s="4"/>
      <c r="H707" s="4"/>
      <c r="I707" s="4"/>
      <c r="J707" s="4"/>
      <c r="K707" s="4"/>
      <c r="L707" s="4"/>
      <c r="M707" s="4"/>
      <c r="N707" s="4"/>
      <c r="O707" s="4"/>
      <c r="P707" s="4"/>
      <c r="Q707" s="4"/>
      <c r="R707" s="4"/>
    </row>
    <row r="708" spans="1:18" ht="17.399999999999999" x14ac:dyDescent="0.25">
      <c r="A708" s="4"/>
      <c r="B708" s="23"/>
      <c r="C708" s="4"/>
      <c r="D708" s="4"/>
      <c r="E708" s="5"/>
      <c r="F708" s="4"/>
      <c r="G708" s="4"/>
      <c r="H708" s="4"/>
      <c r="I708" s="4"/>
      <c r="J708" s="4"/>
      <c r="K708" s="4"/>
      <c r="L708" s="4"/>
      <c r="M708" s="4"/>
      <c r="N708" s="4"/>
      <c r="O708" s="4"/>
      <c r="P708" s="4"/>
      <c r="Q708" s="4"/>
      <c r="R708" s="4"/>
    </row>
    <row r="709" spans="1:18" ht="17.399999999999999" x14ac:dyDescent="0.25">
      <c r="A709" s="4"/>
      <c r="B709" s="23"/>
      <c r="C709" s="4"/>
      <c r="D709" s="4"/>
      <c r="E709" s="5"/>
      <c r="F709" s="4"/>
      <c r="G709" s="4"/>
      <c r="H709" s="4"/>
      <c r="I709" s="4"/>
      <c r="J709" s="4"/>
      <c r="K709" s="4"/>
      <c r="L709" s="4"/>
      <c r="M709" s="4"/>
      <c r="N709" s="4"/>
      <c r="O709" s="4"/>
      <c r="P709" s="4"/>
      <c r="Q709" s="4"/>
      <c r="R709" s="4"/>
    </row>
    <row r="710" spans="1:18" ht="17.399999999999999" x14ac:dyDescent="0.25">
      <c r="A710" s="4"/>
      <c r="B710" s="23"/>
      <c r="C710" s="4"/>
      <c r="D710" s="4"/>
      <c r="E710" s="5"/>
      <c r="F710" s="4"/>
      <c r="G710" s="4"/>
      <c r="H710" s="4"/>
      <c r="I710" s="4"/>
      <c r="J710" s="4"/>
      <c r="K710" s="4"/>
      <c r="L710" s="4"/>
      <c r="M710" s="4"/>
      <c r="N710" s="4"/>
      <c r="O710" s="4"/>
      <c r="P710" s="4"/>
      <c r="Q710" s="4"/>
      <c r="R710" s="4"/>
    </row>
    <row r="711" spans="1:18" ht="17.399999999999999" x14ac:dyDescent="0.25">
      <c r="A711" s="4"/>
      <c r="B711" s="23"/>
      <c r="C711" s="4"/>
      <c r="D711" s="4"/>
      <c r="E711" s="5"/>
      <c r="F711" s="4"/>
      <c r="G711" s="4"/>
      <c r="H711" s="4"/>
      <c r="I711" s="4"/>
      <c r="J711" s="4"/>
      <c r="K711" s="4"/>
      <c r="L711" s="4"/>
      <c r="M711" s="4"/>
      <c r="N711" s="4"/>
      <c r="O711" s="4"/>
      <c r="P711" s="4"/>
      <c r="Q711" s="4"/>
      <c r="R711" s="4"/>
    </row>
    <row r="712" spans="1:18" ht="17.399999999999999" x14ac:dyDescent="0.25">
      <c r="A712" s="4"/>
      <c r="B712" s="23"/>
      <c r="C712" s="4"/>
      <c r="D712" s="4"/>
      <c r="E712" s="5"/>
      <c r="F712" s="4"/>
      <c r="G712" s="4"/>
      <c r="H712" s="4"/>
      <c r="I712" s="4"/>
      <c r="J712" s="4"/>
      <c r="K712" s="4"/>
      <c r="L712" s="4"/>
      <c r="M712" s="4"/>
      <c r="N712" s="4"/>
      <c r="O712" s="4"/>
      <c r="P712" s="4"/>
      <c r="Q712" s="4"/>
      <c r="R712" s="4"/>
    </row>
    <row r="713" spans="1:18" ht="17.399999999999999" x14ac:dyDescent="0.25">
      <c r="A713" s="4"/>
      <c r="B713" s="23"/>
      <c r="C713" s="4"/>
      <c r="D713" s="4"/>
      <c r="E713" s="5"/>
      <c r="F713" s="4"/>
      <c r="G713" s="4"/>
      <c r="H713" s="4"/>
      <c r="I713" s="4"/>
      <c r="J713" s="4"/>
      <c r="K713" s="4"/>
      <c r="L713" s="4"/>
      <c r="M713" s="4"/>
      <c r="N713" s="4"/>
      <c r="O713" s="4"/>
      <c r="P713" s="4"/>
      <c r="Q713" s="4"/>
      <c r="R713" s="4"/>
    </row>
    <row r="714" spans="1:18" ht="17.399999999999999" x14ac:dyDescent="0.25">
      <c r="A714" s="4"/>
      <c r="B714" s="23"/>
      <c r="C714" s="4"/>
      <c r="D714" s="4"/>
      <c r="E714" s="5"/>
      <c r="F714" s="4"/>
      <c r="G714" s="4"/>
      <c r="H714" s="4"/>
      <c r="I714" s="4"/>
      <c r="J714" s="4"/>
      <c r="K714" s="4"/>
      <c r="L714" s="4"/>
      <c r="M714" s="4"/>
      <c r="N714" s="4"/>
      <c r="O714" s="4"/>
      <c r="P714" s="4"/>
      <c r="Q714" s="4"/>
      <c r="R714" s="4"/>
    </row>
    <row r="715" spans="1:18" ht="17.399999999999999" x14ac:dyDescent="0.25">
      <c r="A715" s="4"/>
      <c r="B715" s="23"/>
      <c r="C715" s="4"/>
      <c r="D715" s="4"/>
      <c r="E715" s="5"/>
      <c r="F715" s="4"/>
      <c r="G715" s="4"/>
      <c r="H715" s="4"/>
      <c r="I715" s="4"/>
      <c r="J715" s="4"/>
      <c r="K715" s="4"/>
      <c r="L715" s="4"/>
      <c r="M715" s="4"/>
      <c r="N715" s="4"/>
      <c r="O715" s="4"/>
      <c r="P715" s="4"/>
      <c r="Q715" s="4"/>
      <c r="R715" s="4"/>
    </row>
    <row r="716" spans="1:18" ht="17.399999999999999" x14ac:dyDescent="0.25">
      <c r="A716" s="4"/>
      <c r="B716" s="23"/>
      <c r="C716" s="4"/>
      <c r="D716" s="4"/>
      <c r="E716" s="5"/>
      <c r="F716" s="4"/>
      <c r="G716" s="4"/>
      <c r="H716" s="4"/>
      <c r="I716" s="4"/>
      <c r="J716" s="4"/>
      <c r="K716" s="4"/>
      <c r="L716" s="4"/>
      <c r="M716" s="4"/>
      <c r="N716" s="4"/>
      <c r="O716" s="4"/>
      <c r="P716" s="4"/>
      <c r="Q716" s="4"/>
      <c r="R716" s="4"/>
    </row>
    <row r="717" spans="1:18" ht="17.399999999999999" x14ac:dyDescent="0.25">
      <c r="A717" s="4"/>
      <c r="B717" s="23"/>
      <c r="C717" s="4"/>
      <c r="D717" s="4"/>
      <c r="E717" s="5"/>
      <c r="F717" s="4"/>
      <c r="G717" s="4"/>
      <c r="H717" s="4"/>
      <c r="I717" s="4"/>
      <c r="J717" s="4"/>
      <c r="K717" s="4"/>
      <c r="L717" s="4"/>
      <c r="M717" s="4"/>
      <c r="N717" s="4"/>
      <c r="O717" s="4"/>
      <c r="P717" s="4"/>
      <c r="Q717" s="4"/>
      <c r="R717" s="4"/>
    </row>
    <row r="718" spans="1:18" ht="17.399999999999999" x14ac:dyDescent="0.25">
      <c r="A718" s="4"/>
      <c r="B718" s="23"/>
      <c r="C718" s="4"/>
      <c r="D718" s="4"/>
      <c r="E718" s="5"/>
      <c r="F718" s="4"/>
      <c r="G718" s="4"/>
      <c r="H718" s="4"/>
      <c r="I718" s="4"/>
      <c r="J718" s="4"/>
      <c r="K718" s="4"/>
      <c r="L718" s="4"/>
      <c r="M718" s="4"/>
      <c r="N718" s="4"/>
      <c r="O718" s="4"/>
      <c r="P718" s="4"/>
      <c r="Q718" s="4"/>
      <c r="R718" s="4"/>
    </row>
    <row r="719" spans="1:18" ht="17.399999999999999" x14ac:dyDescent="0.25">
      <c r="A719" s="4"/>
      <c r="B719" s="23"/>
      <c r="C719" s="4"/>
      <c r="D719" s="4"/>
      <c r="E719" s="5"/>
      <c r="F719" s="4"/>
      <c r="G719" s="4"/>
      <c r="H719" s="4"/>
      <c r="I719" s="4"/>
      <c r="J719" s="4"/>
      <c r="K719" s="4"/>
      <c r="L719" s="4"/>
      <c r="M719" s="4"/>
      <c r="N719" s="4"/>
      <c r="O719" s="4"/>
      <c r="P719" s="4"/>
      <c r="Q719" s="4"/>
      <c r="R719" s="4"/>
    </row>
    <row r="720" spans="1:18" ht="17.399999999999999" x14ac:dyDescent="0.25">
      <c r="A720" s="4"/>
      <c r="B720" s="23"/>
      <c r="C720" s="4"/>
      <c r="D720" s="4"/>
      <c r="E720" s="5"/>
      <c r="F720" s="4"/>
      <c r="G720" s="4"/>
      <c r="H720" s="4"/>
      <c r="I720" s="4"/>
      <c r="J720" s="4"/>
      <c r="K720" s="4"/>
      <c r="L720" s="4"/>
      <c r="M720" s="4"/>
      <c r="N720" s="4"/>
      <c r="O720" s="4"/>
      <c r="P720" s="4"/>
      <c r="Q720" s="4"/>
      <c r="R720" s="4"/>
    </row>
    <row r="721" spans="1:18" ht="17.399999999999999" x14ac:dyDescent="0.25">
      <c r="A721" s="4"/>
      <c r="B721" s="23"/>
      <c r="C721" s="4"/>
      <c r="D721" s="4"/>
      <c r="E721" s="5"/>
      <c r="F721" s="4"/>
      <c r="G721" s="4"/>
      <c r="H721" s="4"/>
      <c r="I721" s="4"/>
      <c r="J721" s="4"/>
      <c r="K721" s="4"/>
      <c r="L721" s="4"/>
      <c r="M721" s="4"/>
      <c r="N721" s="4"/>
      <c r="O721" s="4"/>
      <c r="P721" s="4"/>
      <c r="Q721" s="4"/>
      <c r="R721" s="4"/>
    </row>
    <row r="722" spans="1:18" ht="17.399999999999999" x14ac:dyDescent="0.25">
      <c r="A722" s="4"/>
      <c r="B722" s="23"/>
      <c r="C722" s="4"/>
      <c r="D722" s="4"/>
      <c r="E722" s="5"/>
      <c r="F722" s="4"/>
      <c r="G722" s="4"/>
      <c r="H722" s="4"/>
      <c r="I722" s="4"/>
      <c r="J722" s="4"/>
      <c r="K722" s="4"/>
      <c r="L722" s="4"/>
      <c r="M722" s="4"/>
      <c r="N722" s="4"/>
      <c r="O722" s="4"/>
      <c r="P722" s="4"/>
      <c r="Q722" s="4"/>
      <c r="R722" s="4"/>
    </row>
    <row r="723" spans="1:18" ht="17.399999999999999" x14ac:dyDescent="0.25">
      <c r="A723" s="4"/>
      <c r="B723" s="23"/>
      <c r="C723" s="4"/>
      <c r="D723" s="4"/>
      <c r="E723" s="5"/>
      <c r="F723" s="4"/>
      <c r="G723" s="4"/>
      <c r="H723" s="4"/>
      <c r="I723" s="4"/>
      <c r="J723" s="4"/>
      <c r="K723" s="4"/>
      <c r="L723" s="4"/>
      <c r="M723" s="4"/>
      <c r="N723" s="4"/>
      <c r="O723" s="4"/>
      <c r="P723" s="4"/>
      <c r="Q723" s="4"/>
      <c r="R723" s="4"/>
    </row>
    <row r="724" spans="1:18" ht="17.399999999999999" x14ac:dyDescent="0.25">
      <c r="A724" s="4"/>
      <c r="B724" s="23"/>
      <c r="C724" s="4"/>
      <c r="D724" s="4"/>
      <c r="E724" s="5"/>
      <c r="F724" s="4"/>
      <c r="G724" s="4"/>
      <c r="H724" s="4"/>
      <c r="I724" s="4"/>
      <c r="J724" s="4"/>
      <c r="K724" s="4"/>
      <c r="L724" s="4"/>
      <c r="M724" s="4"/>
      <c r="N724" s="4"/>
      <c r="O724" s="4"/>
      <c r="P724" s="4"/>
      <c r="Q724" s="4"/>
      <c r="R724" s="4"/>
    </row>
    <row r="725" spans="1:18" ht="17.399999999999999" x14ac:dyDescent="0.25">
      <c r="A725" s="4"/>
      <c r="B725" s="23"/>
      <c r="C725" s="4"/>
      <c r="D725" s="4"/>
      <c r="E725" s="5"/>
      <c r="F725" s="4"/>
      <c r="G725" s="4"/>
      <c r="H725" s="4"/>
      <c r="I725" s="4"/>
      <c r="J725" s="4"/>
      <c r="K725" s="4"/>
      <c r="L725" s="4"/>
      <c r="M725" s="4"/>
      <c r="N725" s="4"/>
      <c r="O725" s="4"/>
      <c r="P725" s="4"/>
      <c r="Q725" s="4"/>
      <c r="R725" s="4"/>
    </row>
    <row r="726" spans="1:18" ht="17.399999999999999" x14ac:dyDescent="0.25">
      <c r="A726" s="4"/>
      <c r="B726" s="23"/>
      <c r="C726" s="4"/>
      <c r="D726" s="4"/>
      <c r="E726" s="5"/>
      <c r="F726" s="4"/>
      <c r="G726" s="4"/>
      <c r="H726" s="4"/>
      <c r="I726" s="4"/>
      <c r="J726" s="4"/>
      <c r="K726" s="4"/>
      <c r="L726" s="4"/>
      <c r="M726" s="4"/>
      <c r="N726" s="4"/>
      <c r="O726" s="4"/>
      <c r="P726" s="4"/>
      <c r="Q726" s="4"/>
      <c r="R726" s="4"/>
    </row>
    <row r="727" spans="1:18" ht="17.399999999999999" x14ac:dyDescent="0.25">
      <c r="A727" s="4"/>
      <c r="B727" s="23"/>
      <c r="C727" s="4"/>
      <c r="D727" s="4"/>
      <c r="E727" s="5"/>
      <c r="F727" s="4"/>
      <c r="G727" s="4"/>
      <c r="H727" s="4"/>
      <c r="I727" s="4"/>
      <c r="J727" s="4"/>
      <c r="K727" s="4"/>
      <c r="L727" s="4"/>
      <c r="M727" s="4"/>
      <c r="N727" s="4"/>
      <c r="O727" s="4"/>
      <c r="P727" s="4"/>
      <c r="Q727" s="4"/>
      <c r="R727" s="4"/>
    </row>
    <row r="728" spans="1:18" ht="17.399999999999999" x14ac:dyDescent="0.25">
      <c r="A728" s="4"/>
      <c r="B728" s="23"/>
      <c r="C728" s="4"/>
      <c r="D728" s="4"/>
      <c r="E728" s="5"/>
      <c r="F728" s="4"/>
      <c r="G728" s="4"/>
      <c r="H728" s="4"/>
      <c r="I728" s="4"/>
      <c r="J728" s="4"/>
      <c r="K728" s="4"/>
      <c r="L728" s="4"/>
      <c r="M728" s="4"/>
      <c r="N728" s="4"/>
      <c r="O728" s="4"/>
      <c r="P728" s="4"/>
      <c r="Q728" s="4"/>
      <c r="R728" s="4"/>
    </row>
    <row r="729" spans="1:18" ht="17.399999999999999" x14ac:dyDescent="0.25">
      <c r="A729" s="4"/>
      <c r="B729" s="23"/>
      <c r="C729" s="4"/>
      <c r="D729" s="4"/>
      <c r="E729" s="5"/>
      <c r="F729" s="4"/>
      <c r="G729" s="4"/>
      <c r="H729" s="4"/>
      <c r="I729" s="4"/>
      <c r="J729" s="4"/>
      <c r="K729" s="4"/>
      <c r="L729" s="4"/>
      <c r="M729" s="4"/>
      <c r="N729" s="4"/>
      <c r="O729" s="4"/>
      <c r="P729" s="4"/>
      <c r="Q729" s="4"/>
      <c r="R729" s="4"/>
    </row>
    <row r="730" spans="1:18" ht="17.399999999999999" x14ac:dyDescent="0.25">
      <c r="A730" s="4"/>
      <c r="B730" s="23"/>
      <c r="C730" s="4"/>
      <c r="D730" s="4"/>
      <c r="E730" s="5"/>
      <c r="F730" s="4"/>
      <c r="G730" s="4"/>
      <c r="H730" s="4"/>
      <c r="I730" s="4"/>
      <c r="J730" s="4"/>
      <c r="K730" s="4"/>
      <c r="L730" s="4"/>
      <c r="M730" s="4"/>
      <c r="N730" s="4"/>
      <c r="O730" s="4"/>
      <c r="P730" s="4"/>
      <c r="Q730" s="4"/>
      <c r="R730" s="4"/>
    </row>
    <row r="731" spans="1:18" ht="17.399999999999999" x14ac:dyDescent="0.25">
      <c r="A731" s="4"/>
      <c r="B731" s="23"/>
      <c r="C731" s="4"/>
      <c r="D731" s="4"/>
      <c r="E731" s="5"/>
      <c r="F731" s="4"/>
      <c r="G731" s="4"/>
      <c r="H731" s="4"/>
      <c r="I731" s="4"/>
      <c r="J731" s="4"/>
      <c r="K731" s="4"/>
      <c r="L731" s="4"/>
      <c r="M731" s="4"/>
      <c r="N731" s="4"/>
      <c r="O731" s="4"/>
      <c r="P731" s="4"/>
      <c r="Q731" s="4"/>
      <c r="R731" s="4"/>
    </row>
    <row r="732" spans="1:18" ht="17.399999999999999" x14ac:dyDescent="0.25">
      <c r="A732" s="4"/>
      <c r="B732" s="23"/>
      <c r="C732" s="4"/>
      <c r="D732" s="4"/>
      <c r="E732" s="5"/>
      <c r="F732" s="4"/>
      <c r="G732" s="4"/>
      <c r="H732" s="4"/>
      <c r="I732" s="4"/>
      <c r="J732" s="4"/>
      <c r="K732" s="4"/>
      <c r="L732" s="4"/>
      <c r="M732" s="4"/>
      <c r="N732" s="4"/>
      <c r="O732" s="4"/>
      <c r="P732" s="4"/>
      <c r="Q732" s="4"/>
      <c r="R732" s="4"/>
    </row>
    <row r="733" spans="1:18" ht="17.399999999999999" x14ac:dyDescent="0.25">
      <c r="A733" s="4"/>
      <c r="B733" s="23"/>
      <c r="C733" s="4"/>
      <c r="D733" s="4"/>
      <c r="E733" s="5"/>
      <c r="F733" s="4"/>
      <c r="G733" s="4"/>
      <c r="H733" s="4"/>
      <c r="I733" s="4"/>
      <c r="J733" s="4"/>
      <c r="K733" s="4"/>
      <c r="L733" s="4"/>
      <c r="M733" s="4"/>
      <c r="N733" s="4"/>
      <c r="O733" s="4"/>
      <c r="P733" s="4"/>
      <c r="Q733" s="4"/>
      <c r="R733" s="4"/>
    </row>
    <row r="734" spans="1:18" ht="17.399999999999999" x14ac:dyDescent="0.25">
      <c r="A734" s="4"/>
      <c r="B734" s="23"/>
      <c r="C734" s="4"/>
      <c r="D734" s="4"/>
      <c r="E734" s="5"/>
      <c r="F734" s="4"/>
      <c r="G734" s="4"/>
      <c r="H734" s="4"/>
      <c r="I734" s="4"/>
      <c r="J734" s="4"/>
      <c r="K734" s="4"/>
      <c r="L734" s="4"/>
      <c r="M734" s="4"/>
      <c r="N734" s="4"/>
      <c r="O734" s="4"/>
      <c r="P734" s="4"/>
      <c r="Q734" s="4"/>
      <c r="R734" s="4"/>
    </row>
    <row r="735" spans="1:18" ht="17.399999999999999" x14ac:dyDescent="0.25">
      <c r="A735" s="4"/>
      <c r="B735" s="23"/>
      <c r="C735" s="4"/>
      <c r="D735" s="4"/>
      <c r="E735" s="5"/>
      <c r="F735" s="4"/>
      <c r="G735" s="4"/>
      <c r="H735" s="4"/>
      <c r="I735" s="4"/>
      <c r="J735" s="4"/>
      <c r="K735" s="4"/>
      <c r="L735" s="4"/>
      <c r="M735" s="4"/>
      <c r="N735" s="4"/>
      <c r="O735" s="4"/>
      <c r="P735" s="4"/>
      <c r="Q735" s="4"/>
      <c r="R735" s="4"/>
    </row>
    <row r="736" spans="1:18" ht="17.399999999999999" x14ac:dyDescent="0.25">
      <c r="A736" s="4"/>
      <c r="B736" s="23"/>
      <c r="C736" s="4"/>
      <c r="D736" s="4"/>
      <c r="E736" s="5"/>
      <c r="F736" s="4"/>
      <c r="G736" s="4"/>
      <c r="H736" s="4"/>
      <c r="I736" s="4"/>
      <c r="J736" s="4"/>
      <c r="K736" s="4"/>
      <c r="L736" s="4"/>
      <c r="M736" s="4"/>
      <c r="N736" s="4"/>
      <c r="O736" s="4"/>
      <c r="P736" s="4"/>
      <c r="Q736" s="4"/>
      <c r="R736" s="4"/>
    </row>
    <row r="737" spans="1:18" ht="17.399999999999999" x14ac:dyDescent="0.25">
      <c r="A737" s="4"/>
      <c r="B737" s="23"/>
      <c r="C737" s="4"/>
      <c r="D737" s="4"/>
      <c r="E737" s="5"/>
      <c r="F737" s="4"/>
      <c r="G737" s="4"/>
      <c r="H737" s="4"/>
      <c r="I737" s="4"/>
      <c r="J737" s="4"/>
      <c r="K737" s="4"/>
      <c r="L737" s="4"/>
      <c r="M737" s="4"/>
      <c r="N737" s="4"/>
      <c r="O737" s="4"/>
      <c r="P737" s="4"/>
      <c r="Q737" s="4"/>
      <c r="R737" s="4"/>
    </row>
    <row r="738" spans="1:18" ht="17.399999999999999" x14ac:dyDescent="0.25">
      <c r="A738" s="4"/>
      <c r="B738" s="23"/>
      <c r="C738" s="4"/>
      <c r="D738" s="4"/>
      <c r="E738" s="5"/>
      <c r="F738" s="4"/>
      <c r="G738" s="4"/>
      <c r="H738" s="4"/>
      <c r="I738" s="4"/>
      <c r="J738" s="4"/>
      <c r="K738" s="4"/>
      <c r="L738" s="4"/>
      <c r="M738" s="4"/>
      <c r="N738" s="4"/>
      <c r="O738" s="4"/>
      <c r="P738" s="4"/>
      <c r="Q738" s="4"/>
      <c r="R738" s="4"/>
    </row>
    <row r="739" spans="1:18" ht="17.399999999999999" x14ac:dyDescent="0.25">
      <c r="A739" s="4"/>
      <c r="B739" s="23"/>
      <c r="C739" s="4"/>
      <c r="D739" s="4"/>
      <c r="E739" s="5"/>
      <c r="F739" s="4"/>
      <c r="G739" s="4"/>
      <c r="H739" s="4"/>
      <c r="I739" s="4"/>
      <c r="J739" s="4"/>
      <c r="K739" s="4"/>
      <c r="L739" s="4"/>
      <c r="M739" s="4"/>
      <c r="N739" s="4"/>
      <c r="O739" s="4"/>
      <c r="P739" s="4"/>
      <c r="Q739" s="4"/>
      <c r="R739" s="4"/>
    </row>
    <row r="740" spans="1:18" ht="17.399999999999999" x14ac:dyDescent="0.25">
      <c r="A740" s="4"/>
      <c r="B740" s="23"/>
      <c r="C740" s="4"/>
      <c r="D740" s="4"/>
      <c r="E740" s="5"/>
      <c r="F740" s="4"/>
      <c r="G740" s="4"/>
      <c r="H740" s="4"/>
      <c r="I740" s="4"/>
      <c r="J740" s="4"/>
      <c r="K740" s="4"/>
      <c r="L740" s="4"/>
      <c r="M740" s="4"/>
      <c r="N740" s="4"/>
      <c r="O740" s="4"/>
      <c r="P740" s="4"/>
      <c r="Q740" s="4"/>
      <c r="R740" s="4"/>
    </row>
    <row r="741" spans="1:18" ht="17.399999999999999" x14ac:dyDescent="0.25">
      <c r="A741" s="4"/>
      <c r="B741" s="23"/>
      <c r="C741" s="4"/>
      <c r="D741" s="4"/>
      <c r="E741" s="5"/>
      <c r="F741" s="4"/>
      <c r="G741" s="4"/>
      <c r="H741" s="4"/>
      <c r="I741" s="4"/>
      <c r="J741" s="4"/>
      <c r="K741" s="4"/>
      <c r="L741" s="4"/>
      <c r="M741" s="4"/>
      <c r="N741" s="4"/>
      <c r="O741" s="4"/>
      <c r="P741" s="4"/>
      <c r="Q741" s="4"/>
      <c r="R741" s="4"/>
    </row>
    <row r="742" spans="1:18" ht="17.399999999999999" x14ac:dyDescent="0.25">
      <c r="A742" s="4"/>
      <c r="B742" s="23"/>
      <c r="C742" s="4"/>
      <c r="D742" s="4"/>
      <c r="E742" s="5"/>
      <c r="F742" s="4"/>
      <c r="G742" s="4"/>
      <c r="H742" s="4"/>
      <c r="I742" s="4"/>
      <c r="J742" s="4"/>
      <c r="K742" s="4"/>
      <c r="L742" s="4"/>
      <c r="M742" s="4"/>
      <c r="N742" s="4"/>
      <c r="O742" s="4"/>
      <c r="P742" s="4"/>
      <c r="Q742" s="4"/>
      <c r="R742" s="4"/>
    </row>
    <row r="743" spans="1:18" ht="17.399999999999999" x14ac:dyDescent="0.25">
      <c r="A743" s="4"/>
      <c r="B743" s="23"/>
      <c r="C743" s="4"/>
      <c r="D743" s="4"/>
      <c r="E743" s="5"/>
      <c r="F743" s="4"/>
      <c r="G743" s="4"/>
      <c r="H743" s="4"/>
      <c r="I743" s="4"/>
      <c r="J743" s="4"/>
      <c r="K743" s="4"/>
      <c r="L743" s="4"/>
      <c r="M743" s="4"/>
      <c r="N743" s="4"/>
      <c r="O743" s="4"/>
      <c r="P743" s="4"/>
      <c r="Q743" s="4"/>
      <c r="R743" s="4"/>
    </row>
    <row r="744" spans="1:18" ht="17.399999999999999" x14ac:dyDescent="0.25">
      <c r="A744" s="4"/>
      <c r="B744" s="23"/>
      <c r="C744" s="4"/>
      <c r="D744" s="4"/>
      <c r="E744" s="5"/>
      <c r="F744" s="4"/>
      <c r="G744" s="4"/>
      <c r="H744" s="4"/>
      <c r="I744" s="4"/>
      <c r="J744" s="4"/>
      <c r="K744" s="4"/>
      <c r="L744" s="4"/>
      <c r="M744" s="4"/>
      <c r="N744" s="4"/>
      <c r="O744" s="4"/>
      <c r="P744" s="4"/>
      <c r="Q744" s="4"/>
      <c r="R744" s="4"/>
    </row>
    <row r="745" spans="1:18" ht="17.399999999999999" x14ac:dyDescent="0.25">
      <c r="A745" s="4"/>
      <c r="B745" s="23"/>
      <c r="C745" s="4"/>
      <c r="D745" s="4"/>
      <c r="E745" s="5"/>
      <c r="F745" s="4"/>
      <c r="G745" s="4"/>
      <c r="H745" s="4"/>
      <c r="I745" s="4"/>
      <c r="J745" s="4"/>
      <c r="K745" s="4"/>
      <c r="L745" s="4"/>
      <c r="M745" s="4"/>
      <c r="N745" s="4"/>
      <c r="O745" s="4"/>
      <c r="P745" s="4"/>
      <c r="Q745" s="4"/>
      <c r="R745" s="4"/>
    </row>
    <row r="746" spans="1:18" ht="17.399999999999999" x14ac:dyDescent="0.25">
      <c r="A746" s="4"/>
      <c r="B746" s="23"/>
      <c r="C746" s="4"/>
      <c r="D746" s="4"/>
      <c r="E746" s="5"/>
      <c r="F746" s="4"/>
      <c r="G746" s="4"/>
      <c r="H746" s="4"/>
      <c r="I746" s="4"/>
      <c r="J746" s="4"/>
      <c r="K746" s="4"/>
      <c r="L746" s="4"/>
      <c r="M746" s="4"/>
      <c r="N746" s="4"/>
      <c r="O746" s="4"/>
      <c r="P746" s="4"/>
      <c r="Q746" s="4"/>
      <c r="R746" s="4"/>
    </row>
    <row r="747" spans="1:18" ht="17.399999999999999" x14ac:dyDescent="0.25">
      <c r="A747" s="4"/>
      <c r="B747" s="23"/>
      <c r="C747" s="4"/>
      <c r="D747" s="4"/>
      <c r="E747" s="5"/>
      <c r="F747" s="4"/>
      <c r="G747" s="4"/>
      <c r="H747" s="4"/>
      <c r="I747" s="4"/>
      <c r="J747" s="4"/>
      <c r="K747" s="4"/>
      <c r="L747" s="4"/>
      <c r="M747" s="4"/>
      <c r="N747" s="4"/>
      <c r="O747" s="4"/>
      <c r="P747" s="4"/>
      <c r="Q747" s="4"/>
      <c r="R747" s="4"/>
    </row>
    <row r="748" spans="1:18" ht="17.399999999999999" x14ac:dyDescent="0.25">
      <c r="A748" s="4"/>
      <c r="B748" s="23"/>
      <c r="C748" s="4"/>
      <c r="D748" s="4"/>
      <c r="E748" s="5"/>
      <c r="F748" s="4"/>
      <c r="G748" s="4"/>
      <c r="H748" s="4"/>
      <c r="I748" s="4"/>
      <c r="J748" s="4"/>
      <c r="K748" s="4"/>
      <c r="L748" s="4"/>
      <c r="M748" s="4"/>
      <c r="N748" s="4"/>
      <c r="O748" s="4"/>
      <c r="P748" s="4"/>
      <c r="Q748" s="4"/>
      <c r="R748" s="4"/>
    </row>
    <row r="749" spans="1:18" ht="17.399999999999999" x14ac:dyDescent="0.25">
      <c r="A749" s="4"/>
      <c r="B749" s="23"/>
      <c r="C749" s="4"/>
      <c r="D749" s="4"/>
      <c r="E749" s="5"/>
      <c r="F749" s="4"/>
      <c r="G749" s="4"/>
      <c r="H749" s="4"/>
      <c r="I749" s="4"/>
      <c r="J749" s="4"/>
      <c r="K749" s="4"/>
      <c r="L749" s="4"/>
      <c r="M749" s="4"/>
      <c r="N749" s="4"/>
      <c r="O749" s="4"/>
      <c r="P749" s="4"/>
      <c r="Q749" s="4"/>
      <c r="R749" s="4"/>
    </row>
    <row r="750" spans="1:18" ht="17.399999999999999" x14ac:dyDescent="0.25">
      <c r="A750" s="4"/>
      <c r="B750" s="23"/>
      <c r="C750" s="4"/>
      <c r="D750" s="4"/>
      <c r="E750" s="5"/>
      <c r="F750" s="4"/>
      <c r="G750" s="4"/>
      <c r="H750" s="4"/>
      <c r="I750" s="4"/>
      <c r="J750" s="4"/>
      <c r="K750" s="4"/>
      <c r="L750" s="4"/>
      <c r="M750" s="4"/>
      <c r="N750" s="4"/>
      <c r="O750" s="4"/>
      <c r="P750" s="4"/>
      <c r="Q750" s="4"/>
      <c r="R750" s="4"/>
    </row>
    <row r="751" spans="1:18" ht="17.399999999999999" x14ac:dyDescent="0.25">
      <c r="A751" s="4"/>
      <c r="B751" s="23"/>
      <c r="C751" s="4"/>
      <c r="D751" s="4"/>
      <c r="E751" s="5"/>
      <c r="F751" s="4"/>
      <c r="G751" s="4"/>
      <c r="H751" s="4"/>
      <c r="I751" s="4"/>
      <c r="J751" s="4"/>
      <c r="K751" s="4"/>
      <c r="L751" s="4"/>
      <c r="M751" s="4"/>
      <c r="N751" s="4"/>
      <c r="O751" s="4"/>
      <c r="P751" s="4"/>
      <c r="Q751" s="4"/>
      <c r="R751" s="4"/>
    </row>
    <row r="752" spans="1:18" ht="17.399999999999999" x14ac:dyDescent="0.25">
      <c r="A752" s="4"/>
      <c r="B752" s="23"/>
      <c r="C752" s="4"/>
      <c r="D752" s="4"/>
      <c r="E752" s="5"/>
      <c r="F752" s="4"/>
      <c r="G752" s="4"/>
      <c r="H752" s="4"/>
      <c r="I752" s="4"/>
      <c r="J752" s="4"/>
      <c r="K752" s="4"/>
      <c r="L752" s="4"/>
      <c r="M752" s="4"/>
      <c r="N752" s="4"/>
      <c r="O752" s="4"/>
      <c r="P752" s="4"/>
      <c r="Q752" s="4"/>
      <c r="R752" s="4"/>
    </row>
    <row r="753" spans="1:18" ht="17.399999999999999" x14ac:dyDescent="0.25">
      <c r="A753" s="4"/>
      <c r="B753" s="23"/>
      <c r="C753" s="4"/>
      <c r="D753" s="4"/>
      <c r="E753" s="5"/>
      <c r="F753" s="4"/>
      <c r="G753" s="4"/>
      <c r="H753" s="4"/>
      <c r="I753" s="4"/>
      <c r="J753" s="4"/>
      <c r="K753" s="4"/>
      <c r="L753" s="4"/>
      <c r="M753" s="4"/>
      <c r="N753" s="4"/>
      <c r="O753" s="4"/>
      <c r="P753" s="4"/>
      <c r="Q753" s="4"/>
      <c r="R753" s="4"/>
    </row>
    <row r="754" spans="1:18" ht="17.399999999999999" x14ac:dyDescent="0.25">
      <c r="A754" s="4"/>
      <c r="B754" s="23"/>
      <c r="C754" s="4"/>
      <c r="D754" s="4"/>
      <c r="E754" s="5"/>
      <c r="F754" s="4"/>
      <c r="G754" s="4"/>
      <c r="H754" s="4"/>
      <c r="I754" s="4"/>
      <c r="J754" s="4"/>
      <c r="K754" s="4"/>
      <c r="L754" s="4"/>
      <c r="M754" s="4"/>
      <c r="N754" s="4"/>
      <c r="O754" s="4"/>
      <c r="P754" s="4"/>
      <c r="Q754" s="4"/>
      <c r="R754" s="4"/>
    </row>
    <row r="755" spans="1:18" ht="17.399999999999999" x14ac:dyDescent="0.25">
      <c r="A755" s="4"/>
      <c r="B755" s="23"/>
      <c r="C755" s="4"/>
      <c r="D755" s="4"/>
      <c r="E755" s="5"/>
      <c r="F755" s="4"/>
      <c r="G755" s="4"/>
      <c r="H755" s="4"/>
      <c r="I755" s="4"/>
      <c r="J755" s="4"/>
      <c r="K755" s="4"/>
      <c r="L755" s="4"/>
      <c r="M755" s="4"/>
      <c r="N755" s="4"/>
      <c r="O755" s="4"/>
      <c r="P755" s="4"/>
      <c r="Q755" s="4"/>
      <c r="R755" s="4"/>
    </row>
    <row r="756" spans="1:18" ht="17.399999999999999" x14ac:dyDescent="0.25">
      <c r="A756" s="4"/>
      <c r="B756" s="23"/>
      <c r="C756" s="4"/>
      <c r="D756" s="4"/>
      <c r="E756" s="5"/>
      <c r="F756" s="4"/>
      <c r="G756" s="4"/>
      <c r="H756" s="4"/>
      <c r="I756" s="4"/>
      <c r="J756" s="4"/>
      <c r="K756" s="4"/>
      <c r="L756" s="4"/>
      <c r="M756" s="4"/>
      <c r="N756" s="4"/>
      <c r="O756" s="4"/>
      <c r="P756" s="4"/>
      <c r="Q756" s="4"/>
      <c r="R756" s="4"/>
    </row>
    <row r="757" spans="1:18" ht="17.399999999999999" x14ac:dyDescent="0.25">
      <c r="A757" s="4"/>
      <c r="B757" s="23"/>
      <c r="C757" s="4"/>
      <c r="D757" s="4"/>
      <c r="E757" s="5"/>
      <c r="F757" s="4"/>
      <c r="G757" s="4"/>
      <c r="H757" s="4"/>
      <c r="I757" s="4"/>
      <c r="J757" s="4"/>
      <c r="K757" s="4"/>
      <c r="L757" s="4"/>
      <c r="M757" s="4"/>
      <c r="N757" s="4"/>
      <c r="O757" s="4"/>
      <c r="P757" s="4"/>
      <c r="Q757" s="4"/>
      <c r="R757" s="4"/>
    </row>
    <row r="758" spans="1:18" ht="17.399999999999999" x14ac:dyDescent="0.25">
      <c r="A758" s="4"/>
      <c r="B758" s="23"/>
      <c r="C758" s="4"/>
      <c r="D758" s="4"/>
      <c r="E758" s="5"/>
      <c r="F758" s="4"/>
      <c r="G758" s="4"/>
      <c r="H758" s="4"/>
      <c r="I758" s="4"/>
      <c r="J758" s="4"/>
      <c r="K758" s="4"/>
      <c r="L758" s="4"/>
      <c r="M758" s="4"/>
      <c r="N758" s="4"/>
      <c r="O758" s="4"/>
      <c r="P758" s="4"/>
      <c r="Q758" s="4"/>
      <c r="R758" s="4"/>
    </row>
    <row r="759" spans="1:18" ht="17.399999999999999" x14ac:dyDescent="0.25">
      <c r="A759" s="4"/>
      <c r="B759" s="23"/>
      <c r="C759" s="4"/>
      <c r="D759" s="4"/>
      <c r="E759" s="5"/>
      <c r="F759" s="4"/>
      <c r="G759" s="4"/>
      <c r="H759" s="4"/>
      <c r="I759" s="4"/>
      <c r="J759" s="4"/>
      <c r="K759" s="4"/>
      <c r="L759" s="4"/>
      <c r="M759" s="4"/>
      <c r="N759" s="4"/>
      <c r="O759" s="4"/>
      <c r="P759" s="4"/>
      <c r="Q759" s="4"/>
      <c r="R759" s="4"/>
    </row>
    <row r="760" spans="1:18" ht="17.399999999999999" x14ac:dyDescent="0.25">
      <c r="A760" s="4"/>
      <c r="B760" s="23"/>
      <c r="C760" s="4"/>
      <c r="D760" s="4"/>
      <c r="E760" s="5"/>
      <c r="F760" s="4"/>
      <c r="G760" s="4"/>
      <c r="H760" s="4"/>
      <c r="I760" s="4"/>
      <c r="J760" s="4"/>
      <c r="K760" s="4"/>
      <c r="L760" s="4"/>
      <c r="M760" s="4"/>
      <c r="N760" s="4"/>
      <c r="O760" s="4"/>
      <c r="P760" s="4"/>
      <c r="Q760" s="4"/>
      <c r="R760" s="4"/>
    </row>
    <row r="761" spans="1:18" ht="17.399999999999999" x14ac:dyDescent="0.25">
      <c r="A761" s="4"/>
      <c r="B761" s="23"/>
      <c r="C761" s="4"/>
      <c r="D761" s="4"/>
      <c r="E761" s="5"/>
      <c r="F761" s="4"/>
      <c r="G761" s="4"/>
      <c r="H761" s="4"/>
      <c r="I761" s="4"/>
      <c r="J761" s="4"/>
      <c r="K761" s="4"/>
      <c r="L761" s="4"/>
      <c r="M761" s="4"/>
      <c r="N761" s="4"/>
      <c r="O761" s="4"/>
      <c r="P761" s="4"/>
      <c r="Q761" s="4"/>
      <c r="R761" s="4"/>
    </row>
    <row r="762" spans="1:18" ht="17.399999999999999" x14ac:dyDescent="0.25">
      <c r="A762" s="4"/>
      <c r="B762" s="23"/>
      <c r="C762" s="4"/>
      <c r="D762" s="4"/>
      <c r="E762" s="5"/>
      <c r="F762" s="4"/>
      <c r="G762" s="4"/>
      <c r="H762" s="4"/>
      <c r="I762" s="4"/>
      <c r="J762" s="4"/>
      <c r="K762" s="4"/>
      <c r="L762" s="4"/>
      <c r="M762" s="4"/>
      <c r="N762" s="4"/>
      <c r="O762" s="4"/>
      <c r="P762" s="4"/>
      <c r="Q762" s="4"/>
      <c r="R762" s="4"/>
    </row>
    <row r="763" spans="1:18" ht="17.399999999999999" x14ac:dyDescent="0.25">
      <c r="A763" s="4"/>
      <c r="B763" s="23"/>
      <c r="C763" s="4"/>
      <c r="D763" s="4"/>
      <c r="E763" s="5"/>
      <c r="F763" s="4"/>
      <c r="G763" s="4"/>
      <c r="H763" s="4"/>
      <c r="I763" s="4"/>
      <c r="J763" s="4"/>
      <c r="K763" s="4"/>
      <c r="L763" s="4"/>
      <c r="M763" s="4"/>
      <c r="N763" s="4"/>
      <c r="O763" s="4"/>
      <c r="P763" s="4"/>
      <c r="Q763" s="4"/>
      <c r="R763" s="4"/>
    </row>
    <row r="764" spans="1:18" ht="17.399999999999999" x14ac:dyDescent="0.25">
      <c r="A764" s="4"/>
      <c r="B764" s="23"/>
      <c r="C764" s="4"/>
      <c r="D764" s="4"/>
      <c r="E764" s="5"/>
      <c r="F764" s="4"/>
      <c r="G764" s="4"/>
      <c r="H764" s="4"/>
      <c r="I764" s="4"/>
      <c r="J764" s="4"/>
      <c r="K764" s="4"/>
      <c r="L764" s="4"/>
      <c r="M764" s="4"/>
      <c r="N764" s="4"/>
      <c r="O764" s="4"/>
      <c r="P764" s="4"/>
      <c r="Q764" s="4"/>
      <c r="R764" s="4"/>
    </row>
    <row r="765" spans="1:18" ht="17.399999999999999" x14ac:dyDescent="0.25">
      <c r="A765" s="4"/>
      <c r="B765" s="23"/>
      <c r="C765" s="4"/>
      <c r="D765" s="4"/>
      <c r="E765" s="5"/>
      <c r="F765" s="4"/>
      <c r="G765" s="4"/>
      <c r="H765" s="4"/>
      <c r="I765" s="4"/>
      <c r="J765" s="4"/>
      <c r="K765" s="4"/>
      <c r="L765" s="4"/>
      <c r="M765" s="4"/>
      <c r="N765" s="4"/>
      <c r="O765" s="4"/>
      <c r="P765" s="4"/>
      <c r="Q765" s="4"/>
      <c r="R765" s="4"/>
    </row>
    <row r="766" spans="1:18" ht="17.399999999999999" x14ac:dyDescent="0.25">
      <c r="A766" s="4"/>
      <c r="B766" s="23"/>
      <c r="C766" s="4"/>
      <c r="D766" s="4"/>
      <c r="E766" s="5"/>
      <c r="F766" s="4"/>
      <c r="G766" s="4"/>
      <c r="H766" s="4"/>
      <c r="I766" s="4"/>
      <c r="J766" s="4"/>
      <c r="K766" s="4"/>
      <c r="L766" s="4"/>
      <c r="M766" s="4"/>
      <c r="N766" s="4"/>
      <c r="O766" s="4"/>
      <c r="P766" s="4"/>
      <c r="Q766" s="4"/>
      <c r="R766" s="4"/>
    </row>
    <row r="767" spans="1:18" ht="17.399999999999999" x14ac:dyDescent="0.25">
      <c r="A767" s="4"/>
      <c r="B767" s="23"/>
      <c r="C767" s="4"/>
      <c r="D767" s="4"/>
      <c r="E767" s="5"/>
      <c r="F767" s="4"/>
      <c r="G767" s="4"/>
      <c r="H767" s="4"/>
      <c r="I767" s="4"/>
      <c r="J767" s="4"/>
      <c r="K767" s="4"/>
      <c r="L767" s="4"/>
      <c r="M767" s="4"/>
      <c r="N767" s="4"/>
      <c r="O767" s="4"/>
      <c r="P767" s="4"/>
      <c r="Q767" s="4"/>
      <c r="R767" s="4"/>
    </row>
    <row r="768" spans="1:18" ht="17.399999999999999" x14ac:dyDescent="0.25">
      <c r="A768" s="4"/>
      <c r="B768" s="23"/>
      <c r="C768" s="4"/>
      <c r="D768" s="4"/>
      <c r="E768" s="5"/>
      <c r="F768" s="4"/>
      <c r="G768" s="4"/>
      <c r="H768" s="4"/>
      <c r="I768" s="4"/>
      <c r="J768" s="4"/>
      <c r="K768" s="4"/>
      <c r="L768" s="4"/>
      <c r="M768" s="4"/>
      <c r="N768" s="4"/>
      <c r="O768" s="4"/>
      <c r="P768" s="4"/>
      <c r="Q768" s="4"/>
      <c r="R768" s="4"/>
    </row>
    <row r="769" spans="1:18" ht="17.399999999999999" x14ac:dyDescent="0.25">
      <c r="A769" s="4"/>
      <c r="B769" s="23"/>
      <c r="C769" s="4"/>
      <c r="D769" s="4"/>
      <c r="E769" s="5"/>
      <c r="F769" s="4"/>
      <c r="G769" s="4"/>
      <c r="H769" s="4"/>
      <c r="I769" s="4"/>
      <c r="J769" s="4"/>
      <c r="K769" s="4"/>
      <c r="L769" s="4"/>
      <c r="M769" s="4"/>
      <c r="N769" s="4"/>
      <c r="O769" s="4"/>
      <c r="P769" s="4"/>
      <c r="Q769" s="4"/>
      <c r="R769" s="4"/>
    </row>
    <row r="770" spans="1:18" ht="17.399999999999999" x14ac:dyDescent="0.25">
      <c r="A770" s="4"/>
      <c r="B770" s="23"/>
      <c r="C770" s="4"/>
      <c r="D770" s="4"/>
      <c r="E770" s="5"/>
      <c r="F770" s="4"/>
      <c r="G770" s="4"/>
      <c r="H770" s="4"/>
      <c r="I770" s="4"/>
      <c r="J770" s="4"/>
      <c r="K770" s="4"/>
      <c r="L770" s="4"/>
      <c r="M770" s="4"/>
      <c r="N770" s="4"/>
      <c r="O770" s="4"/>
      <c r="P770" s="4"/>
      <c r="Q770" s="4"/>
      <c r="R770" s="4"/>
    </row>
    <row r="771" spans="1:18" ht="17.399999999999999" x14ac:dyDescent="0.25">
      <c r="A771" s="4"/>
      <c r="B771" s="23"/>
      <c r="C771" s="4"/>
      <c r="D771" s="4"/>
      <c r="E771" s="5"/>
      <c r="F771" s="4"/>
      <c r="G771" s="4"/>
      <c r="H771" s="4"/>
      <c r="I771" s="4"/>
      <c r="J771" s="4"/>
      <c r="K771" s="4"/>
      <c r="L771" s="4"/>
      <c r="M771" s="4"/>
      <c r="N771" s="4"/>
      <c r="O771" s="4"/>
      <c r="P771" s="4"/>
      <c r="Q771" s="4"/>
      <c r="R771" s="4"/>
    </row>
    <row r="772" spans="1:18" ht="17.399999999999999" x14ac:dyDescent="0.25">
      <c r="A772" s="4"/>
      <c r="B772" s="23"/>
      <c r="C772" s="4"/>
      <c r="D772" s="4"/>
      <c r="E772" s="5"/>
      <c r="F772" s="4"/>
      <c r="G772" s="4"/>
      <c r="H772" s="4"/>
      <c r="I772" s="4"/>
      <c r="J772" s="4"/>
      <c r="K772" s="4"/>
      <c r="L772" s="4"/>
      <c r="M772" s="4"/>
      <c r="N772" s="4"/>
      <c r="O772" s="4"/>
      <c r="P772" s="4"/>
      <c r="Q772" s="4"/>
      <c r="R772" s="4"/>
    </row>
    <row r="773" spans="1:18" ht="17.399999999999999" x14ac:dyDescent="0.25">
      <c r="A773" s="4"/>
      <c r="B773" s="23"/>
      <c r="C773" s="4"/>
      <c r="D773" s="4"/>
      <c r="E773" s="5"/>
      <c r="F773" s="4"/>
      <c r="G773" s="4"/>
      <c r="H773" s="4"/>
      <c r="I773" s="4"/>
      <c r="J773" s="4"/>
      <c r="K773" s="4"/>
      <c r="L773" s="4"/>
      <c r="M773" s="4"/>
      <c r="N773" s="4"/>
      <c r="O773" s="4"/>
      <c r="P773" s="4"/>
      <c r="Q773" s="4"/>
      <c r="R773" s="4"/>
    </row>
    <row r="774" spans="1:18" ht="17.399999999999999" x14ac:dyDescent="0.25">
      <c r="A774" s="4"/>
      <c r="B774" s="23"/>
      <c r="C774" s="4"/>
      <c r="D774" s="4"/>
      <c r="E774" s="5"/>
      <c r="F774" s="4"/>
      <c r="G774" s="4"/>
      <c r="H774" s="4"/>
      <c r="I774" s="4"/>
      <c r="J774" s="4"/>
      <c r="K774" s="4"/>
      <c r="L774" s="4"/>
      <c r="M774" s="4"/>
      <c r="N774" s="4"/>
      <c r="O774" s="4"/>
      <c r="P774" s="4"/>
      <c r="Q774" s="4"/>
      <c r="R774" s="4"/>
    </row>
    <row r="775" spans="1:18" ht="17.399999999999999" x14ac:dyDescent="0.25">
      <c r="A775" s="4"/>
      <c r="B775" s="23"/>
      <c r="C775" s="4"/>
      <c r="D775" s="4"/>
      <c r="E775" s="5"/>
      <c r="F775" s="4"/>
      <c r="G775" s="4"/>
      <c r="H775" s="4"/>
      <c r="I775" s="4"/>
      <c r="J775" s="4"/>
      <c r="K775" s="4"/>
      <c r="L775" s="4"/>
      <c r="M775" s="4"/>
      <c r="N775" s="4"/>
      <c r="O775" s="4"/>
      <c r="P775" s="4"/>
      <c r="Q775" s="4"/>
      <c r="R775" s="4"/>
    </row>
    <row r="776" spans="1:18" ht="17.399999999999999" x14ac:dyDescent="0.25">
      <c r="A776" s="4"/>
      <c r="B776" s="23"/>
      <c r="C776" s="4"/>
      <c r="D776" s="4"/>
      <c r="E776" s="5"/>
      <c r="F776" s="4"/>
      <c r="G776" s="4"/>
      <c r="H776" s="4"/>
      <c r="I776" s="4"/>
      <c r="J776" s="4"/>
      <c r="K776" s="4"/>
      <c r="L776" s="4"/>
      <c r="M776" s="4"/>
      <c r="N776" s="4"/>
      <c r="O776" s="4"/>
      <c r="P776" s="4"/>
      <c r="Q776" s="4"/>
      <c r="R776" s="4"/>
    </row>
    <row r="777" spans="1:18" ht="17.399999999999999" x14ac:dyDescent="0.25">
      <c r="A777" s="4"/>
      <c r="B777" s="23"/>
      <c r="C777" s="4"/>
      <c r="D777" s="4"/>
      <c r="E777" s="5"/>
      <c r="F777" s="4"/>
      <c r="G777" s="4"/>
      <c r="H777" s="4"/>
      <c r="I777" s="4"/>
      <c r="J777" s="4"/>
      <c r="K777" s="4"/>
      <c r="L777" s="4"/>
      <c r="M777" s="4"/>
      <c r="N777" s="4"/>
      <c r="O777" s="4"/>
      <c r="P777" s="4"/>
      <c r="Q777" s="4"/>
      <c r="R777" s="4"/>
    </row>
    <row r="778" spans="1:18" ht="17.399999999999999" x14ac:dyDescent="0.25">
      <c r="A778" s="4"/>
      <c r="B778" s="23"/>
      <c r="C778" s="4"/>
      <c r="D778" s="4"/>
      <c r="E778" s="5"/>
      <c r="F778" s="4"/>
      <c r="G778" s="4"/>
      <c r="H778" s="4"/>
      <c r="I778" s="4"/>
      <c r="J778" s="4"/>
      <c r="K778" s="4"/>
      <c r="L778" s="4"/>
      <c r="M778" s="4"/>
      <c r="N778" s="4"/>
      <c r="O778" s="4"/>
      <c r="P778" s="4"/>
      <c r="Q778" s="4"/>
      <c r="R778" s="4"/>
    </row>
    <row r="779" spans="1:18" ht="17.399999999999999" x14ac:dyDescent="0.25">
      <c r="A779" s="4"/>
      <c r="B779" s="23"/>
      <c r="C779" s="4"/>
      <c r="D779" s="4"/>
      <c r="E779" s="5"/>
      <c r="F779" s="4"/>
      <c r="G779" s="4"/>
      <c r="H779" s="4"/>
      <c r="I779" s="4"/>
      <c r="J779" s="4"/>
      <c r="K779" s="4"/>
      <c r="L779" s="4"/>
      <c r="M779" s="4"/>
      <c r="N779" s="4"/>
      <c r="O779" s="4"/>
      <c r="P779" s="4"/>
      <c r="Q779" s="4"/>
      <c r="R779" s="4"/>
    </row>
    <row r="780" spans="1:18" ht="17.399999999999999" x14ac:dyDescent="0.25">
      <c r="A780" s="4"/>
      <c r="B780" s="23"/>
      <c r="C780" s="4"/>
      <c r="D780" s="4"/>
      <c r="E780" s="5"/>
      <c r="F780" s="4"/>
      <c r="G780" s="4"/>
      <c r="H780" s="4"/>
      <c r="I780" s="4"/>
      <c r="J780" s="4"/>
      <c r="K780" s="4"/>
      <c r="L780" s="4"/>
      <c r="M780" s="4"/>
      <c r="N780" s="4"/>
      <c r="O780" s="4"/>
      <c r="P780" s="4"/>
      <c r="Q780" s="4"/>
      <c r="R780" s="4"/>
    </row>
    <row r="781" spans="1:18" ht="17.399999999999999" x14ac:dyDescent="0.25">
      <c r="A781" s="4"/>
      <c r="B781" s="23"/>
      <c r="C781" s="4"/>
      <c r="D781" s="4"/>
      <c r="E781" s="5"/>
      <c r="F781" s="4"/>
      <c r="G781" s="4"/>
      <c r="H781" s="4"/>
      <c r="I781" s="4"/>
      <c r="J781" s="4"/>
      <c r="K781" s="4"/>
      <c r="L781" s="4"/>
      <c r="M781" s="4"/>
      <c r="N781" s="4"/>
      <c r="O781" s="4"/>
      <c r="P781" s="4"/>
      <c r="Q781" s="4"/>
      <c r="R781" s="4"/>
    </row>
    <row r="782" spans="1:18" ht="17.399999999999999" x14ac:dyDescent="0.25">
      <c r="A782" s="4"/>
      <c r="B782" s="23"/>
      <c r="C782" s="4"/>
      <c r="D782" s="4"/>
      <c r="E782" s="5"/>
      <c r="F782" s="4"/>
      <c r="G782" s="4"/>
      <c r="H782" s="4"/>
      <c r="I782" s="4"/>
      <c r="J782" s="4"/>
      <c r="K782" s="4"/>
      <c r="L782" s="4"/>
      <c r="M782" s="4"/>
      <c r="N782" s="4"/>
      <c r="O782" s="4"/>
      <c r="P782" s="4"/>
      <c r="Q782" s="4"/>
      <c r="R782" s="4"/>
    </row>
    <row r="783" spans="1:18" ht="17.399999999999999" x14ac:dyDescent="0.25">
      <c r="A783" s="4"/>
      <c r="B783" s="23"/>
      <c r="C783" s="4"/>
      <c r="D783" s="4"/>
      <c r="E783" s="5"/>
      <c r="F783" s="4"/>
      <c r="G783" s="4"/>
      <c r="H783" s="4"/>
      <c r="I783" s="4"/>
      <c r="J783" s="4"/>
      <c r="K783" s="4"/>
      <c r="L783" s="4"/>
      <c r="M783" s="4"/>
      <c r="N783" s="4"/>
      <c r="O783" s="4"/>
      <c r="P783" s="4"/>
      <c r="Q783" s="4"/>
      <c r="R783" s="4"/>
    </row>
    <row r="784" spans="1:18" ht="17.399999999999999" x14ac:dyDescent="0.25">
      <c r="A784" s="4"/>
      <c r="B784" s="23"/>
      <c r="C784" s="4"/>
      <c r="D784" s="4"/>
      <c r="E784" s="5"/>
      <c r="F784" s="4"/>
      <c r="G784" s="4"/>
      <c r="H784" s="4"/>
      <c r="I784" s="4"/>
      <c r="J784" s="4"/>
      <c r="K784" s="4"/>
      <c r="L784" s="4"/>
      <c r="M784" s="4"/>
      <c r="N784" s="4"/>
      <c r="O784" s="4"/>
      <c r="P784" s="4"/>
      <c r="Q784" s="4"/>
      <c r="R784" s="4"/>
    </row>
    <row r="785" spans="1:18" ht="17.399999999999999" x14ac:dyDescent="0.25">
      <c r="A785" s="4"/>
      <c r="B785" s="23"/>
      <c r="C785" s="4"/>
      <c r="D785" s="4"/>
      <c r="E785" s="5"/>
      <c r="F785" s="4"/>
      <c r="G785" s="4"/>
      <c r="H785" s="4"/>
      <c r="I785" s="4"/>
      <c r="J785" s="4"/>
      <c r="K785" s="4"/>
      <c r="L785" s="4"/>
      <c r="M785" s="4"/>
      <c r="N785" s="4"/>
      <c r="O785" s="4"/>
      <c r="P785" s="4"/>
      <c r="Q785" s="4"/>
      <c r="R785" s="4"/>
    </row>
    <row r="786" spans="1:18" ht="17.399999999999999" x14ac:dyDescent="0.25">
      <c r="A786" s="4"/>
      <c r="B786" s="23"/>
      <c r="C786" s="4"/>
      <c r="D786" s="4"/>
      <c r="E786" s="5"/>
      <c r="F786" s="4"/>
      <c r="G786" s="4"/>
      <c r="H786" s="4"/>
      <c r="I786" s="4"/>
      <c r="J786" s="4"/>
      <c r="K786" s="4"/>
      <c r="L786" s="4"/>
      <c r="M786" s="4"/>
      <c r="N786" s="4"/>
      <c r="O786" s="4"/>
      <c r="P786" s="4"/>
      <c r="Q786" s="4"/>
      <c r="R786" s="4"/>
    </row>
    <row r="787" spans="1:18" ht="17.399999999999999" x14ac:dyDescent="0.25">
      <c r="A787" s="4"/>
      <c r="B787" s="23"/>
      <c r="C787" s="4"/>
      <c r="D787" s="4"/>
      <c r="E787" s="5"/>
      <c r="F787" s="4"/>
      <c r="G787" s="4"/>
      <c r="H787" s="4"/>
      <c r="I787" s="4"/>
      <c r="J787" s="4"/>
      <c r="K787" s="4"/>
      <c r="L787" s="4"/>
      <c r="M787" s="4"/>
      <c r="N787" s="4"/>
      <c r="O787" s="4"/>
      <c r="P787" s="4"/>
      <c r="Q787" s="4"/>
      <c r="R787" s="4"/>
    </row>
    <row r="788" spans="1:18" ht="17.399999999999999" x14ac:dyDescent="0.25">
      <c r="A788" s="4"/>
      <c r="B788" s="23"/>
      <c r="C788" s="4"/>
      <c r="D788" s="4"/>
      <c r="E788" s="5"/>
      <c r="F788" s="4"/>
      <c r="G788" s="4"/>
      <c r="H788" s="4"/>
      <c r="I788" s="4"/>
      <c r="J788" s="4"/>
      <c r="K788" s="4"/>
      <c r="L788" s="4"/>
      <c r="M788" s="4"/>
      <c r="N788" s="4"/>
      <c r="O788" s="4"/>
      <c r="P788" s="4"/>
      <c r="Q788" s="4"/>
      <c r="R788" s="4"/>
    </row>
    <row r="789" spans="1:18" ht="17.399999999999999" x14ac:dyDescent="0.25">
      <c r="A789" s="4"/>
      <c r="B789" s="23"/>
      <c r="C789" s="4"/>
      <c r="D789" s="4"/>
      <c r="E789" s="5"/>
      <c r="F789" s="4"/>
      <c r="G789" s="4"/>
      <c r="H789" s="4"/>
      <c r="I789" s="4"/>
      <c r="J789" s="4"/>
      <c r="K789" s="4"/>
      <c r="L789" s="4"/>
      <c r="M789" s="4"/>
      <c r="N789" s="4"/>
      <c r="O789" s="4"/>
      <c r="P789" s="4"/>
      <c r="Q789" s="4"/>
      <c r="R789" s="4"/>
    </row>
    <row r="790" spans="1:18" ht="17.399999999999999" x14ac:dyDescent="0.25">
      <c r="A790" s="4"/>
      <c r="B790" s="23"/>
      <c r="C790" s="4"/>
      <c r="D790" s="4"/>
      <c r="E790" s="5"/>
      <c r="F790" s="4"/>
      <c r="G790" s="4"/>
      <c r="H790" s="4"/>
      <c r="I790" s="4"/>
      <c r="J790" s="4"/>
      <c r="K790" s="4"/>
      <c r="L790" s="4"/>
      <c r="M790" s="4"/>
      <c r="N790" s="4"/>
      <c r="O790" s="4"/>
      <c r="P790" s="4"/>
      <c r="Q790" s="4"/>
      <c r="R790" s="4"/>
    </row>
    <row r="791" spans="1:18" ht="17.399999999999999" x14ac:dyDescent="0.25">
      <c r="A791" s="4"/>
      <c r="B791" s="23"/>
      <c r="C791" s="4"/>
      <c r="D791" s="4"/>
      <c r="E791" s="5"/>
      <c r="F791" s="4"/>
      <c r="G791" s="4"/>
      <c r="H791" s="4"/>
      <c r="I791" s="4"/>
      <c r="J791" s="4"/>
      <c r="K791" s="4"/>
      <c r="L791" s="4"/>
      <c r="M791" s="4"/>
      <c r="N791" s="4"/>
      <c r="O791" s="4"/>
      <c r="P791" s="4"/>
      <c r="Q791" s="4"/>
      <c r="R791" s="4"/>
    </row>
    <row r="792" spans="1:18" ht="17.399999999999999" x14ac:dyDescent="0.25">
      <c r="A792" s="4"/>
      <c r="B792" s="23"/>
      <c r="C792" s="4"/>
      <c r="D792" s="4"/>
      <c r="E792" s="5"/>
      <c r="F792" s="4"/>
      <c r="G792" s="4"/>
      <c r="H792" s="4"/>
      <c r="I792" s="4"/>
      <c r="J792" s="4"/>
      <c r="K792" s="4"/>
      <c r="L792" s="4"/>
      <c r="M792" s="4"/>
      <c r="N792" s="4"/>
      <c r="O792" s="4"/>
      <c r="P792" s="4"/>
      <c r="Q792" s="4"/>
      <c r="R792" s="4"/>
    </row>
    <row r="793" spans="1:18" ht="17.399999999999999" x14ac:dyDescent="0.25">
      <c r="A793" s="4"/>
      <c r="B793" s="23"/>
      <c r="C793" s="4"/>
      <c r="D793" s="4"/>
      <c r="E793" s="5"/>
      <c r="F793" s="4"/>
      <c r="G793" s="4"/>
      <c r="H793" s="4"/>
      <c r="I793" s="4"/>
      <c r="J793" s="4"/>
      <c r="K793" s="4"/>
      <c r="L793" s="4"/>
      <c r="M793" s="4"/>
      <c r="N793" s="4"/>
      <c r="O793" s="4"/>
      <c r="P793" s="4"/>
      <c r="Q793" s="4"/>
      <c r="R793" s="4"/>
    </row>
    <row r="794" spans="1:18" ht="17.399999999999999" x14ac:dyDescent="0.25">
      <c r="A794" s="4"/>
      <c r="B794" s="23"/>
      <c r="C794" s="4"/>
      <c r="D794" s="4"/>
      <c r="E794" s="5"/>
      <c r="F794" s="4"/>
      <c r="G794" s="4"/>
      <c r="H794" s="4"/>
      <c r="I794" s="4"/>
      <c r="J794" s="4"/>
      <c r="K794" s="4"/>
      <c r="L794" s="4"/>
      <c r="M794" s="4"/>
      <c r="N794" s="4"/>
      <c r="O794" s="4"/>
      <c r="P794" s="4"/>
      <c r="Q794" s="4"/>
      <c r="R794" s="4"/>
    </row>
    <row r="795" spans="1:18" ht="17.399999999999999" x14ac:dyDescent="0.25">
      <c r="A795" s="4"/>
      <c r="B795" s="23"/>
      <c r="C795" s="4"/>
      <c r="D795" s="4"/>
      <c r="E795" s="5"/>
      <c r="F795" s="4"/>
      <c r="G795" s="4"/>
      <c r="H795" s="4"/>
      <c r="I795" s="4"/>
      <c r="J795" s="4"/>
      <c r="K795" s="4"/>
      <c r="L795" s="4"/>
      <c r="M795" s="4"/>
      <c r="N795" s="4"/>
      <c r="O795" s="4"/>
      <c r="P795" s="4"/>
      <c r="Q795" s="4"/>
      <c r="R795" s="4"/>
    </row>
    <row r="796" spans="1:18" ht="17.399999999999999" x14ac:dyDescent="0.25">
      <c r="A796" s="4"/>
      <c r="B796" s="23"/>
      <c r="C796" s="4"/>
      <c r="D796" s="4"/>
      <c r="E796" s="5"/>
      <c r="F796" s="4"/>
      <c r="G796" s="4"/>
      <c r="H796" s="4"/>
      <c r="I796" s="4"/>
      <c r="J796" s="4"/>
      <c r="K796" s="4"/>
      <c r="L796" s="4"/>
      <c r="M796" s="4"/>
      <c r="N796" s="4"/>
      <c r="O796" s="4"/>
      <c r="P796" s="4"/>
      <c r="Q796" s="4"/>
      <c r="R796" s="4"/>
    </row>
    <row r="797" spans="1:18" ht="17.399999999999999" x14ac:dyDescent="0.25">
      <c r="A797" s="4"/>
      <c r="B797" s="23"/>
      <c r="C797" s="4"/>
      <c r="D797" s="4"/>
      <c r="E797" s="5"/>
      <c r="F797" s="4"/>
      <c r="G797" s="4"/>
      <c r="H797" s="4"/>
      <c r="I797" s="4"/>
      <c r="J797" s="4"/>
      <c r="K797" s="4"/>
      <c r="L797" s="4"/>
      <c r="M797" s="4"/>
      <c r="N797" s="4"/>
      <c r="O797" s="4"/>
      <c r="P797" s="4"/>
      <c r="Q797" s="4"/>
      <c r="R797" s="4"/>
    </row>
    <row r="798" spans="1:18" ht="17.399999999999999" x14ac:dyDescent="0.25">
      <c r="A798" s="4"/>
      <c r="B798" s="23"/>
      <c r="C798" s="4"/>
      <c r="D798" s="4"/>
      <c r="E798" s="5"/>
      <c r="F798" s="4"/>
      <c r="G798" s="4"/>
      <c r="H798" s="4"/>
      <c r="I798" s="4"/>
      <c r="J798" s="4"/>
      <c r="K798" s="4"/>
      <c r="L798" s="4"/>
      <c r="M798" s="4"/>
      <c r="N798" s="4"/>
      <c r="O798" s="4"/>
      <c r="P798" s="4"/>
      <c r="Q798" s="4"/>
      <c r="R798" s="4"/>
    </row>
    <row r="799" spans="1:18" ht="17.399999999999999" x14ac:dyDescent="0.25">
      <c r="A799" s="4"/>
      <c r="B799" s="23"/>
      <c r="C799" s="4"/>
      <c r="D799" s="4"/>
      <c r="E799" s="5"/>
      <c r="F799" s="4"/>
      <c r="G799" s="4"/>
      <c r="H799" s="4"/>
      <c r="I799" s="4"/>
      <c r="J799" s="4"/>
      <c r="K799" s="4"/>
      <c r="L799" s="4"/>
      <c r="M799" s="4"/>
      <c r="N799" s="4"/>
      <c r="O799" s="4"/>
      <c r="P799" s="4"/>
      <c r="Q799" s="4"/>
      <c r="R799" s="4"/>
    </row>
    <row r="800" spans="1:18" ht="17.399999999999999" x14ac:dyDescent="0.25">
      <c r="A800" s="4"/>
      <c r="B800" s="23"/>
      <c r="C800" s="4"/>
      <c r="D800" s="4"/>
      <c r="E800" s="5"/>
      <c r="F800" s="4"/>
      <c r="G800" s="4"/>
      <c r="H800" s="4"/>
      <c r="I800" s="4"/>
      <c r="J800" s="4"/>
      <c r="K800" s="4"/>
      <c r="L800" s="4"/>
      <c r="M800" s="4"/>
      <c r="N800" s="4"/>
      <c r="O800" s="4"/>
      <c r="P800" s="4"/>
      <c r="Q800" s="4"/>
      <c r="R800" s="4"/>
    </row>
    <row r="801" spans="1:18" ht="17.399999999999999" x14ac:dyDescent="0.25">
      <c r="A801" s="4"/>
      <c r="B801" s="23"/>
      <c r="C801" s="4"/>
      <c r="D801" s="4"/>
      <c r="E801" s="5"/>
      <c r="F801" s="4"/>
      <c r="G801" s="4"/>
      <c r="H801" s="4"/>
      <c r="I801" s="4"/>
      <c r="J801" s="4"/>
      <c r="K801" s="4"/>
      <c r="L801" s="4"/>
      <c r="M801" s="4"/>
      <c r="N801" s="4"/>
      <c r="O801" s="4"/>
      <c r="P801" s="4"/>
      <c r="Q801" s="4"/>
      <c r="R801" s="4"/>
    </row>
    <row r="802" spans="1:18" ht="17.399999999999999" x14ac:dyDescent="0.25">
      <c r="A802" s="4"/>
      <c r="B802" s="23"/>
      <c r="C802" s="4"/>
      <c r="D802" s="4"/>
      <c r="E802" s="5"/>
      <c r="F802" s="4"/>
      <c r="G802" s="4"/>
      <c r="H802" s="4"/>
      <c r="I802" s="4"/>
      <c r="J802" s="4"/>
      <c r="K802" s="4"/>
      <c r="L802" s="4"/>
      <c r="M802" s="4"/>
      <c r="N802" s="4"/>
      <c r="O802" s="4"/>
      <c r="P802" s="4"/>
      <c r="Q802" s="4"/>
      <c r="R802" s="4"/>
    </row>
    <row r="803" spans="1:18" ht="17.399999999999999" x14ac:dyDescent="0.25">
      <c r="A803" s="4"/>
      <c r="B803" s="23"/>
      <c r="C803" s="4"/>
      <c r="D803" s="4"/>
      <c r="E803" s="5"/>
      <c r="F803" s="4"/>
      <c r="G803" s="4"/>
      <c r="H803" s="4"/>
      <c r="I803" s="4"/>
      <c r="J803" s="4"/>
      <c r="K803" s="4"/>
      <c r="L803" s="4"/>
      <c r="M803" s="4"/>
      <c r="N803" s="4"/>
      <c r="O803" s="4"/>
      <c r="P803" s="4"/>
      <c r="Q803" s="4"/>
      <c r="R803" s="4"/>
    </row>
    <row r="804" spans="1:18" ht="17.399999999999999" x14ac:dyDescent="0.25">
      <c r="A804" s="4"/>
      <c r="B804" s="23"/>
      <c r="C804" s="4"/>
      <c r="D804" s="4"/>
      <c r="E804" s="5"/>
      <c r="F804" s="4"/>
      <c r="G804" s="4"/>
      <c r="H804" s="4"/>
      <c r="I804" s="4"/>
      <c r="J804" s="4"/>
      <c r="K804" s="4"/>
      <c r="L804" s="4"/>
      <c r="M804" s="4"/>
      <c r="N804" s="4"/>
      <c r="O804" s="4"/>
      <c r="P804" s="4"/>
      <c r="Q804" s="4"/>
      <c r="R804" s="4"/>
    </row>
    <row r="805" spans="1:18" ht="17.399999999999999" x14ac:dyDescent="0.25">
      <c r="A805" s="4"/>
      <c r="B805" s="23"/>
      <c r="C805" s="4"/>
      <c r="D805" s="4"/>
      <c r="E805" s="5"/>
      <c r="F805" s="4"/>
      <c r="G805" s="4"/>
      <c r="H805" s="4"/>
      <c r="I805" s="4"/>
      <c r="J805" s="4"/>
      <c r="K805" s="4"/>
      <c r="L805" s="4"/>
      <c r="M805" s="4"/>
      <c r="N805" s="4"/>
      <c r="O805" s="4"/>
      <c r="P805" s="4"/>
      <c r="Q805" s="4"/>
      <c r="R805" s="4"/>
    </row>
    <row r="806" spans="1:18" ht="17.399999999999999" x14ac:dyDescent="0.25">
      <c r="A806" s="4"/>
      <c r="B806" s="23"/>
      <c r="C806" s="4"/>
      <c r="D806" s="4"/>
      <c r="E806" s="5"/>
      <c r="F806" s="4"/>
      <c r="G806" s="4"/>
      <c r="H806" s="4"/>
      <c r="I806" s="4"/>
      <c r="J806" s="4"/>
      <c r="K806" s="4"/>
      <c r="L806" s="4"/>
      <c r="M806" s="4"/>
      <c r="N806" s="4"/>
      <c r="O806" s="4"/>
      <c r="P806" s="4"/>
      <c r="Q806" s="4"/>
      <c r="R806" s="4"/>
    </row>
    <row r="807" spans="1:18" ht="17.399999999999999" x14ac:dyDescent="0.25">
      <c r="A807" s="4"/>
      <c r="B807" s="23"/>
      <c r="C807" s="4"/>
      <c r="D807" s="4"/>
      <c r="E807" s="5"/>
      <c r="F807" s="4"/>
      <c r="G807" s="4"/>
      <c r="H807" s="4"/>
      <c r="I807" s="4"/>
      <c r="J807" s="4"/>
      <c r="K807" s="4"/>
      <c r="L807" s="4"/>
      <c r="M807" s="4"/>
      <c r="N807" s="4"/>
      <c r="O807" s="4"/>
      <c r="P807" s="4"/>
      <c r="Q807" s="4"/>
      <c r="R807" s="4"/>
    </row>
    <row r="808" spans="1:18" ht="17.399999999999999" x14ac:dyDescent="0.25">
      <c r="A808" s="4"/>
      <c r="B808" s="23"/>
      <c r="C808" s="4"/>
      <c r="D808" s="4"/>
      <c r="E808" s="5"/>
      <c r="F808" s="4"/>
      <c r="G808" s="4"/>
      <c r="H808" s="4"/>
      <c r="I808" s="4"/>
      <c r="J808" s="4"/>
      <c r="K808" s="4"/>
      <c r="L808" s="4"/>
      <c r="M808" s="4"/>
      <c r="N808" s="4"/>
      <c r="O808" s="4"/>
      <c r="P808" s="4"/>
      <c r="Q808" s="4"/>
      <c r="R808" s="4"/>
    </row>
    <row r="809" spans="1:18" ht="17.399999999999999" x14ac:dyDescent="0.25">
      <c r="A809" s="4"/>
      <c r="B809" s="23"/>
      <c r="C809" s="4"/>
      <c r="D809" s="4"/>
      <c r="E809" s="5"/>
      <c r="F809" s="4"/>
      <c r="G809" s="4"/>
      <c r="H809" s="4"/>
      <c r="I809" s="4"/>
      <c r="J809" s="4"/>
      <c r="K809" s="4"/>
      <c r="L809" s="4"/>
      <c r="M809" s="4"/>
      <c r="N809" s="4"/>
      <c r="O809" s="4"/>
      <c r="P809" s="4"/>
      <c r="Q809" s="4"/>
      <c r="R809" s="4"/>
    </row>
    <row r="810" spans="1:18" ht="17.399999999999999" x14ac:dyDescent="0.25">
      <c r="A810" s="4"/>
      <c r="B810" s="23"/>
      <c r="C810" s="4"/>
      <c r="D810" s="4"/>
      <c r="E810" s="5"/>
      <c r="F810" s="4"/>
      <c r="G810" s="4"/>
      <c r="H810" s="4"/>
      <c r="I810" s="4"/>
      <c r="J810" s="4"/>
      <c r="K810" s="4"/>
      <c r="L810" s="4"/>
      <c r="M810" s="4"/>
      <c r="N810" s="4"/>
      <c r="O810" s="4"/>
      <c r="P810" s="4"/>
      <c r="Q810" s="4"/>
      <c r="R810" s="4"/>
    </row>
    <row r="811" spans="1:18" ht="17.399999999999999" x14ac:dyDescent="0.25">
      <c r="A811" s="4"/>
      <c r="B811" s="23"/>
      <c r="C811" s="4"/>
      <c r="D811" s="4"/>
      <c r="E811" s="5"/>
      <c r="F811" s="4"/>
      <c r="G811" s="4"/>
      <c r="H811" s="4"/>
      <c r="I811" s="4"/>
      <c r="J811" s="4"/>
      <c r="K811" s="4"/>
      <c r="L811" s="4"/>
      <c r="M811" s="4"/>
      <c r="N811" s="4"/>
      <c r="O811" s="4"/>
      <c r="P811" s="4"/>
      <c r="Q811" s="4"/>
      <c r="R811" s="4"/>
    </row>
    <row r="812" spans="1:18" ht="17.399999999999999" x14ac:dyDescent="0.25">
      <c r="A812" s="4"/>
      <c r="B812" s="23"/>
      <c r="C812" s="4"/>
      <c r="D812" s="4"/>
      <c r="E812" s="5"/>
      <c r="F812" s="4"/>
      <c r="G812" s="4"/>
      <c r="H812" s="4"/>
      <c r="I812" s="4"/>
      <c r="J812" s="4"/>
      <c r="K812" s="4"/>
      <c r="L812" s="4"/>
      <c r="M812" s="4"/>
      <c r="N812" s="4"/>
      <c r="O812" s="4"/>
      <c r="P812" s="4"/>
      <c r="Q812" s="4"/>
      <c r="R812" s="4"/>
    </row>
    <row r="813" spans="1:18" ht="17.399999999999999" x14ac:dyDescent="0.25">
      <c r="A813" s="4"/>
      <c r="B813" s="23"/>
      <c r="C813" s="4"/>
      <c r="D813" s="4"/>
      <c r="E813" s="5"/>
      <c r="F813" s="4"/>
      <c r="G813" s="4"/>
      <c r="H813" s="4"/>
      <c r="I813" s="4"/>
      <c r="J813" s="4"/>
      <c r="K813" s="4"/>
      <c r="L813" s="4"/>
      <c r="M813" s="4"/>
      <c r="N813" s="4"/>
      <c r="O813" s="4"/>
      <c r="P813" s="4"/>
      <c r="Q813" s="4"/>
      <c r="R813" s="4"/>
    </row>
    <row r="814" spans="1:18" ht="17.399999999999999" x14ac:dyDescent="0.25">
      <c r="A814" s="4"/>
      <c r="B814" s="23"/>
      <c r="C814" s="4"/>
      <c r="D814" s="4"/>
      <c r="E814" s="5"/>
      <c r="F814" s="4"/>
      <c r="G814" s="4"/>
      <c r="H814" s="4"/>
      <c r="I814" s="4"/>
      <c r="J814" s="4"/>
      <c r="K814" s="4"/>
      <c r="L814" s="4"/>
      <c r="M814" s="4"/>
      <c r="N814" s="4"/>
      <c r="O814" s="4"/>
      <c r="P814" s="4"/>
      <c r="Q814" s="4"/>
      <c r="R814" s="4"/>
    </row>
    <row r="815" spans="1:18" ht="17.399999999999999" x14ac:dyDescent="0.25">
      <c r="A815" s="4"/>
      <c r="B815" s="23"/>
      <c r="C815" s="4"/>
      <c r="D815" s="4"/>
      <c r="E815" s="5"/>
      <c r="F815" s="4"/>
      <c r="G815" s="4"/>
      <c r="H815" s="4"/>
      <c r="I815" s="4"/>
      <c r="J815" s="4"/>
      <c r="K815" s="4"/>
      <c r="L815" s="4"/>
      <c r="M815" s="4"/>
      <c r="N815" s="4"/>
      <c r="O815" s="4"/>
      <c r="P815" s="4"/>
      <c r="Q815" s="4"/>
      <c r="R815" s="4"/>
    </row>
    <row r="816" spans="1:18" ht="17.399999999999999" x14ac:dyDescent="0.25">
      <c r="A816" s="4"/>
      <c r="B816" s="23"/>
      <c r="C816" s="4"/>
      <c r="D816" s="4"/>
      <c r="E816" s="5"/>
      <c r="F816" s="4"/>
      <c r="G816" s="4"/>
      <c r="H816" s="4"/>
      <c r="I816" s="4"/>
      <c r="J816" s="4"/>
      <c r="K816" s="4"/>
      <c r="L816" s="4"/>
      <c r="M816" s="4"/>
      <c r="N816" s="4"/>
      <c r="O816" s="4"/>
      <c r="P816" s="4"/>
      <c r="Q816" s="4"/>
      <c r="R816" s="4"/>
    </row>
    <row r="817" spans="1:18" ht="17.399999999999999" x14ac:dyDescent="0.25">
      <c r="A817" s="4"/>
      <c r="B817" s="23"/>
      <c r="C817" s="4"/>
      <c r="D817" s="4"/>
      <c r="E817" s="5"/>
      <c r="F817" s="4"/>
      <c r="G817" s="4"/>
      <c r="H817" s="4"/>
      <c r="I817" s="4"/>
      <c r="J817" s="4"/>
      <c r="K817" s="4"/>
      <c r="L817" s="4"/>
      <c r="M817" s="4"/>
      <c r="N817" s="4"/>
      <c r="O817" s="4"/>
      <c r="P817" s="4"/>
      <c r="Q817" s="4"/>
      <c r="R817" s="4"/>
    </row>
    <row r="818" spans="1:18" ht="17.399999999999999" x14ac:dyDescent="0.25">
      <c r="A818" s="4"/>
      <c r="B818" s="23"/>
      <c r="C818" s="4"/>
      <c r="D818" s="4"/>
      <c r="E818" s="5"/>
      <c r="F818" s="4"/>
      <c r="G818" s="4"/>
      <c r="H818" s="4"/>
      <c r="I818" s="4"/>
      <c r="J818" s="4"/>
      <c r="K818" s="4"/>
      <c r="L818" s="4"/>
      <c r="M818" s="4"/>
      <c r="N818" s="4"/>
      <c r="O818" s="4"/>
      <c r="P818" s="4"/>
      <c r="Q818" s="4"/>
      <c r="R818" s="4"/>
    </row>
    <row r="819" spans="1:18" ht="17.399999999999999" x14ac:dyDescent="0.25">
      <c r="A819" s="4"/>
      <c r="B819" s="23"/>
      <c r="C819" s="4"/>
      <c r="D819" s="4"/>
      <c r="E819" s="5"/>
      <c r="F819" s="4"/>
      <c r="G819" s="4"/>
      <c r="H819" s="4"/>
      <c r="I819" s="4"/>
      <c r="J819" s="4"/>
      <c r="K819" s="4"/>
      <c r="L819" s="4"/>
      <c r="M819" s="4"/>
      <c r="N819" s="4"/>
      <c r="O819" s="4"/>
      <c r="P819" s="4"/>
      <c r="Q819" s="4"/>
      <c r="R819" s="4"/>
    </row>
    <row r="820" spans="1:18" ht="17.399999999999999" x14ac:dyDescent="0.25">
      <c r="A820" s="4"/>
      <c r="B820" s="23"/>
      <c r="C820" s="4"/>
      <c r="D820" s="4"/>
      <c r="E820" s="5"/>
      <c r="F820" s="4"/>
      <c r="G820" s="4"/>
      <c r="H820" s="4"/>
      <c r="I820" s="4"/>
      <c r="J820" s="4"/>
      <c r="K820" s="4"/>
      <c r="L820" s="4"/>
      <c r="M820" s="4"/>
      <c r="N820" s="4"/>
      <c r="O820" s="4"/>
      <c r="P820" s="4"/>
      <c r="Q820" s="4"/>
      <c r="R820" s="4"/>
    </row>
    <row r="821" spans="1:18" ht="17.399999999999999" x14ac:dyDescent="0.25">
      <c r="A821" s="4"/>
      <c r="B821" s="23"/>
      <c r="C821" s="4"/>
      <c r="D821" s="4"/>
      <c r="E821" s="5"/>
      <c r="F821" s="4"/>
      <c r="G821" s="4"/>
      <c r="H821" s="4"/>
      <c r="I821" s="4"/>
      <c r="J821" s="4"/>
      <c r="K821" s="4"/>
      <c r="L821" s="4"/>
      <c r="M821" s="4"/>
      <c r="N821" s="4"/>
      <c r="O821" s="4"/>
      <c r="P821" s="4"/>
      <c r="Q821" s="4"/>
      <c r="R821" s="4"/>
    </row>
    <row r="822" spans="1:18" ht="17.399999999999999" x14ac:dyDescent="0.25">
      <c r="A822" s="4"/>
      <c r="B822" s="23"/>
      <c r="C822" s="4"/>
      <c r="D822" s="4"/>
      <c r="E822" s="5"/>
      <c r="F822" s="4"/>
      <c r="G822" s="4"/>
      <c r="H822" s="4"/>
      <c r="I822" s="4"/>
      <c r="J822" s="4"/>
      <c r="K822" s="4"/>
      <c r="L822" s="4"/>
      <c r="M822" s="4"/>
      <c r="N822" s="4"/>
      <c r="O822" s="4"/>
      <c r="P822" s="4"/>
      <c r="Q822" s="4"/>
      <c r="R822" s="4"/>
    </row>
    <row r="823" spans="1:18" ht="17.399999999999999" x14ac:dyDescent="0.25">
      <c r="A823" s="4"/>
      <c r="B823" s="23"/>
      <c r="C823" s="4"/>
      <c r="D823" s="4"/>
      <c r="E823" s="5"/>
      <c r="F823" s="4"/>
      <c r="G823" s="4"/>
      <c r="H823" s="4"/>
      <c r="I823" s="4"/>
      <c r="J823" s="4"/>
      <c r="K823" s="4"/>
      <c r="L823" s="4"/>
      <c r="M823" s="4"/>
      <c r="N823" s="4"/>
      <c r="O823" s="4"/>
      <c r="P823" s="4"/>
      <c r="Q823" s="4"/>
      <c r="R823" s="4"/>
    </row>
    <row r="824" spans="1:18" ht="17.399999999999999" x14ac:dyDescent="0.25">
      <c r="A824" s="4"/>
      <c r="B824" s="23"/>
      <c r="C824" s="4"/>
      <c r="D824" s="4"/>
      <c r="E824" s="5"/>
      <c r="F824" s="4"/>
      <c r="G824" s="4"/>
      <c r="H824" s="4"/>
      <c r="I824" s="4"/>
      <c r="J824" s="4"/>
      <c r="K824" s="4"/>
      <c r="L824" s="4"/>
      <c r="M824" s="4"/>
      <c r="N824" s="4"/>
      <c r="O824" s="4"/>
      <c r="P824" s="4"/>
      <c r="Q824" s="4"/>
      <c r="R824" s="4"/>
    </row>
    <row r="825" spans="1:18" ht="17.399999999999999" x14ac:dyDescent="0.25">
      <c r="A825" s="4"/>
      <c r="B825" s="23"/>
      <c r="C825" s="4"/>
      <c r="D825" s="4"/>
      <c r="E825" s="5"/>
      <c r="F825" s="4"/>
      <c r="G825" s="4"/>
      <c r="H825" s="4"/>
      <c r="I825" s="4"/>
      <c r="J825" s="4"/>
      <c r="K825" s="4"/>
      <c r="L825" s="4"/>
      <c r="M825" s="4"/>
      <c r="N825" s="4"/>
      <c r="O825" s="4"/>
      <c r="P825" s="4"/>
      <c r="Q825" s="4"/>
      <c r="R825" s="4"/>
    </row>
    <row r="826" spans="1:18" ht="17.399999999999999" x14ac:dyDescent="0.25">
      <c r="A826" s="4"/>
      <c r="B826" s="23"/>
      <c r="C826" s="4"/>
      <c r="D826" s="4"/>
      <c r="E826" s="5"/>
      <c r="F826" s="4"/>
      <c r="G826" s="4"/>
      <c r="H826" s="4"/>
      <c r="I826" s="4"/>
      <c r="J826" s="4"/>
      <c r="K826" s="4"/>
      <c r="L826" s="4"/>
      <c r="M826" s="4"/>
      <c r="N826" s="4"/>
      <c r="O826" s="4"/>
      <c r="P826" s="4"/>
      <c r="Q826" s="4"/>
      <c r="R826" s="4"/>
    </row>
    <row r="827" spans="1:18" ht="17.399999999999999" x14ac:dyDescent="0.25">
      <c r="A827" s="4"/>
      <c r="B827" s="23"/>
      <c r="C827" s="4"/>
      <c r="D827" s="4"/>
      <c r="E827" s="5"/>
      <c r="F827" s="4"/>
      <c r="G827" s="4"/>
      <c r="H827" s="4"/>
      <c r="I827" s="4"/>
      <c r="J827" s="4"/>
      <c r="K827" s="4"/>
      <c r="L827" s="4"/>
      <c r="M827" s="4"/>
      <c r="N827" s="4"/>
      <c r="O827" s="4"/>
      <c r="P827" s="4"/>
      <c r="Q827" s="4"/>
      <c r="R827" s="4"/>
    </row>
    <row r="828" spans="1:18" ht="17.399999999999999" x14ac:dyDescent="0.25">
      <c r="A828" s="4"/>
      <c r="B828" s="23"/>
      <c r="C828" s="4"/>
      <c r="D828" s="4"/>
      <c r="E828" s="5"/>
      <c r="F828" s="4"/>
      <c r="G828" s="4"/>
      <c r="H828" s="4"/>
      <c r="I828" s="4"/>
      <c r="J828" s="4"/>
      <c r="K828" s="4"/>
      <c r="L828" s="4"/>
      <c r="M828" s="4"/>
      <c r="N828" s="4"/>
      <c r="O828" s="4"/>
      <c r="P828" s="4"/>
      <c r="Q828" s="4"/>
      <c r="R828" s="4"/>
    </row>
    <row r="829" spans="1:18" ht="17.399999999999999" x14ac:dyDescent="0.25">
      <c r="A829" s="4"/>
      <c r="B829" s="23"/>
      <c r="C829" s="4"/>
      <c r="D829" s="4"/>
      <c r="E829" s="5"/>
      <c r="F829" s="4"/>
      <c r="G829" s="4"/>
      <c r="H829" s="4"/>
      <c r="I829" s="4"/>
      <c r="J829" s="4"/>
      <c r="K829" s="4"/>
      <c r="L829" s="4"/>
      <c r="M829" s="4"/>
      <c r="N829" s="4"/>
      <c r="O829" s="4"/>
      <c r="P829" s="4"/>
      <c r="Q829" s="4"/>
      <c r="R829" s="4"/>
    </row>
    <row r="830" spans="1:18" ht="17.399999999999999" x14ac:dyDescent="0.25">
      <c r="A830" s="4"/>
      <c r="B830" s="23"/>
      <c r="C830" s="4"/>
      <c r="D830" s="4"/>
      <c r="E830" s="5"/>
      <c r="F830" s="4"/>
      <c r="G830" s="4"/>
      <c r="H830" s="4"/>
      <c r="I830" s="4"/>
      <c r="J830" s="4"/>
      <c r="K830" s="4"/>
      <c r="L830" s="4"/>
      <c r="M830" s="4"/>
      <c r="N830" s="4"/>
      <c r="O830" s="4"/>
      <c r="P830" s="4"/>
      <c r="Q830" s="4"/>
      <c r="R830" s="4"/>
    </row>
    <row r="831" spans="1:18" ht="17.399999999999999" x14ac:dyDescent="0.25">
      <c r="A831" s="4"/>
      <c r="B831" s="23"/>
      <c r="C831" s="4"/>
      <c r="D831" s="4"/>
      <c r="E831" s="5"/>
      <c r="F831" s="4"/>
      <c r="G831" s="4"/>
      <c r="H831" s="4"/>
      <c r="I831" s="4"/>
      <c r="J831" s="4"/>
      <c r="K831" s="4"/>
      <c r="L831" s="4"/>
      <c r="M831" s="4"/>
      <c r="N831" s="4"/>
      <c r="O831" s="4"/>
      <c r="P831" s="4"/>
      <c r="Q831" s="4"/>
      <c r="R831" s="4"/>
    </row>
    <row r="832" spans="1:18" ht="17.399999999999999" x14ac:dyDescent="0.25">
      <c r="A832" s="4"/>
      <c r="B832" s="23"/>
      <c r="C832" s="4"/>
      <c r="D832" s="4"/>
      <c r="E832" s="5"/>
      <c r="F832" s="4"/>
      <c r="G832" s="4"/>
      <c r="H832" s="4"/>
      <c r="I832" s="4"/>
      <c r="J832" s="4"/>
      <c r="K832" s="4"/>
      <c r="L832" s="4"/>
      <c r="M832" s="4"/>
      <c r="N832" s="4"/>
      <c r="O832" s="4"/>
      <c r="P832" s="4"/>
      <c r="Q832" s="4"/>
      <c r="R832" s="4"/>
    </row>
    <row r="833" spans="1:18" ht="17.399999999999999" x14ac:dyDescent="0.25">
      <c r="A833" s="4"/>
      <c r="B833" s="23"/>
      <c r="C833" s="4"/>
      <c r="D833" s="4"/>
      <c r="E833" s="5"/>
      <c r="F833" s="4"/>
      <c r="G833" s="4"/>
      <c r="H833" s="4"/>
      <c r="I833" s="4"/>
      <c r="J833" s="4"/>
      <c r="K833" s="4"/>
      <c r="L833" s="4"/>
      <c r="M833" s="4"/>
      <c r="N833" s="4"/>
      <c r="O833" s="4"/>
      <c r="P833" s="4"/>
      <c r="Q833" s="4"/>
      <c r="R833" s="4"/>
    </row>
    <row r="834" spans="1:18" ht="17.399999999999999" x14ac:dyDescent="0.25">
      <c r="A834" s="4"/>
      <c r="B834" s="23"/>
      <c r="C834" s="4"/>
      <c r="D834" s="4"/>
      <c r="E834" s="5"/>
      <c r="F834" s="4"/>
      <c r="G834" s="4"/>
      <c r="H834" s="4"/>
      <c r="I834" s="4"/>
      <c r="J834" s="4"/>
      <c r="K834" s="4"/>
      <c r="L834" s="4"/>
      <c r="M834" s="4"/>
      <c r="N834" s="4"/>
      <c r="O834" s="4"/>
      <c r="P834" s="4"/>
      <c r="Q834" s="4"/>
      <c r="R834" s="4"/>
    </row>
    <row r="835" spans="1:18" ht="17.399999999999999" x14ac:dyDescent="0.25">
      <c r="A835" s="4"/>
      <c r="B835" s="23"/>
      <c r="C835" s="4"/>
      <c r="D835" s="4"/>
      <c r="E835" s="5"/>
      <c r="F835" s="4"/>
      <c r="G835" s="4"/>
      <c r="H835" s="4"/>
      <c r="I835" s="4"/>
      <c r="J835" s="4"/>
      <c r="K835" s="4"/>
      <c r="L835" s="4"/>
      <c r="M835" s="4"/>
      <c r="N835" s="4"/>
      <c r="O835" s="4"/>
      <c r="P835" s="4"/>
      <c r="Q835" s="4"/>
      <c r="R835" s="4"/>
    </row>
    <row r="836" spans="1:18" ht="17.399999999999999" x14ac:dyDescent="0.25">
      <c r="A836" s="4"/>
      <c r="B836" s="23"/>
      <c r="C836" s="4"/>
      <c r="D836" s="4"/>
      <c r="E836" s="5"/>
      <c r="F836" s="4"/>
      <c r="G836" s="4"/>
      <c r="H836" s="4"/>
      <c r="I836" s="4"/>
      <c r="J836" s="4"/>
      <c r="K836" s="4"/>
      <c r="L836" s="4"/>
      <c r="M836" s="4"/>
      <c r="N836" s="4"/>
      <c r="O836" s="4"/>
      <c r="P836" s="4"/>
      <c r="Q836" s="4"/>
      <c r="R836" s="4"/>
    </row>
    <row r="837" spans="1:18" ht="17.399999999999999" x14ac:dyDescent="0.25">
      <c r="A837" s="4"/>
      <c r="B837" s="23"/>
      <c r="C837" s="4"/>
      <c r="D837" s="4"/>
      <c r="E837" s="5"/>
      <c r="F837" s="4"/>
      <c r="G837" s="4"/>
      <c r="H837" s="4"/>
      <c r="I837" s="4"/>
      <c r="J837" s="4"/>
      <c r="K837" s="4"/>
      <c r="L837" s="4"/>
      <c r="M837" s="4"/>
      <c r="N837" s="4"/>
      <c r="O837" s="4"/>
      <c r="P837" s="4"/>
      <c r="Q837" s="4"/>
      <c r="R837" s="4"/>
    </row>
    <row r="838" spans="1:18" ht="17.399999999999999" x14ac:dyDescent="0.25">
      <c r="A838" s="4"/>
      <c r="B838" s="23"/>
      <c r="C838" s="4"/>
      <c r="D838" s="4"/>
      <c r="E838" s="5"/>
      <c r="F838" s="4"/>
      <c r="G838" s="4"/>
      <c r="H838" s="4"/>
      <c r="I838" s="4"/>
      <c r="J838" s="4"/>
      <c r="K838" s="4"/>
      <c r="L838" s="4"/>
      <c r="M838" s="4"/>
      <c r="N838" s="4"/>
      <c r="O838" s="4"/>
      <c r="P838" s="4"/>
      <c r="Q838" s="4"/>
      <c r="R838" s="4"/>
    </row>
    <row r="839" spans="1:18" ht="17.399999999999999" x14ac:dyDescent="0.25">
      <c r="A839" s="4"/>
      <c r="B839" s="23"/>
      <c r="C839" s="4"/>
      <c r="D839" s="4"/>
      <c r="E839" s="5"/>
      <c r="F839" s="4"/>
      <c r="G839" s="4"/>
      <c r="H839" s="4"/>
      <c r="I839" s="4"/>
      <c r="J839" s="4"/>
      <c r="K839" s="4"/>
      <c r="L839" s="4"/>
      <c r="M839" s="4"/>
      <c r="N839" s="4"/>
      <c r="O839" s="4"/>
      <c r="P839" s="4"/>
      <c r="Q839" s="4"/>
      <c r="R839" s="4"/>
    </row>
    <row r="840" spans="1:18" ht="17.399999999999999" x14ac:dyDescent="0.25">
      <c r="A840" s="4"/>
      <c r="B840" s="23"/>
      <c r="C840" s="4"/>
      <c r="D840" s="4"/>
      <c r="E840" s="5"/>
      <c r="F840" s="4"/>
      <c r="G840" s="4"/>
      <c r="H840" s="4"/>
      <c r="I840" s="4"/>
      <c r="J840" s="4"/>
      <c r="K840" s="4"/>
      <c r="L840" s="4"/>
      <c r="M840" s="4"/>
      <c r="N840" s="4"/>
      <c r="O840" s="4"/>
      <c r="P840" s="4"/>
      <c r="Q840" s="4"/>
      <c r="R840" s="4"/>
    </row>
    <row r="841" spans="1:18" ht="17.399999999999999" x14ac:dyDescent="0.25">
      <c r="A841" s="4"/>
      <c r="B841" s="23"/>
      <c r="C841" s="4"/>
      <c r="D841" s="4"/>
      <c r="E841" s="5"/>
      <c r="F841" s="4"/>
      <c r="G841" s="4"/>
      <c r="H841" s="4"/>
      <c r="I841" s="4"/>
      <c r="J841" s="4"/>
      <c r="K841" s="4"/>
      <c r="L841" s="4"/>
      <c r="M841" s="4"/>
      <c r="N841" s="4"/>
      <c r="O841" s="4"/>
      <c r="P841" s="4"/>
      <c r="Q841" s="4"/>
      <c r="R841" s="4"/>
    </row>
    <row r="842" spans="1:18" ht="17.399999999999999" x14ac:dyDescent="0.25">
      <c r="A842" s="4"/>
      <c r="B842" s="23"/>
      <c r="C842" s="4"/>
      <c r="D842" s="4"/>
      <c r="E842" s="5"/>
      <c r="F842" s="4"/>
      <c r="G842" s="4"/>
      <c r="H842" s="4"/>
      <c r="I842" s="4"/>
      <c r="J842" s="4"/>
      <c r="K842" s="4"/>
      <c r="L842" s="4"/>
      <c r="M842" s="4"/>
      <c r="N842" s="4"/>
      <c r="O842" s="4"/>
      <c r="P842" s="4"/>
      <c r="Q842" s="4"/>
      <c r="R842" s="4"/>
    </row>
    <row r="843" spans="1:18" ht="17.399999999999999" x14ac:dyDescent="0.25">
      <c r="A843" s="4"/>
      <c r="B843" s="23"/>
      <c r="C843" s="4"/>
      <c r="D843" s="4"/>
      <c r="E843" s="5"/>
      <c r="F843" s="4"/>
      <c r="G843" s="4"/>
      <c r="H843" s="4"/>
      <c r="I843" s="4"/>
      <c r="J843" s="4"/>
      <c r="K843" s="4"/>
      <c r="L843" s="4"/>
      <c r="M843" s="4"/>
      <c r="N843" s="4"/>
      <c r="O843" s="4"/>
      <c r="P843" s="4"/>
      <c r="Q843" s="4"/>
      <c r="R843" s="4"/>
    </row>
    <row r="844" spans="1:18" ht="17.399999999999999" x14ac:dyDescent="0.25">
      <c r="A844" s="4"/>
      <c r="B844" s="23"/>
      <c r="C844" s="4"/>
      <c r="D844" s="4"/>
      <c r="E844" s="5"/>
      <c r="F844" s="4"/>
      <c r="G844" s="4"/>
      <c r="H844" s="4"/>
      <c r="I844" s="4"/>
      <c r="J844" s="4"/>
      <c r="K844" s="4"/>
      <c r="L844" s="4"/>
      <c r="M844" s="4"/>
      <c r="N844" s="4"/>
      <c r="O844" s="4"/>
      <c r="P844" s="4"/>
      <c r="Q844" s="4"/>
      <c r="R844" s="4"/>
    </row>
    <row r="845" spans="1:18" ht="17.399999999999999" x14ac:dyDescent="0.25">
      <c r="A845" s="4"/>
      <c r="B845" s="23"/>
      <c r="C845" s="4"/>
      <c r="D845" s="4"/>
      <c r="E845" s="5"/>
      <c r="F845" s="4"/>
      <c r="G845" s="4"/>
      <c r="H845" s="4"/>
      <c r="I845" s="4"/>
      <c r="J845" s="4"/>
      <c r="K845" s="4"/>
      <c r="L845" s="4"/>
      <c r="M845" s="4"/>
      <c r="N845" s="4"/>
      <c r="O845" s="4"/>
      <c r="P845" s="4"/>
      <c r="Q845" s="4"/>
      <c r="R845" s="4"/>
    </row>
    <row r="846" spans="1:18" ht="17.399999999999999" x14ac:dyDescent="0.25">
      <c r="A846" s="4"/>
      <c r="B846" s="23"/>
      <c r="C846" s="4"/>
      <c r="D846" s="4"/>
      <c r="E846" s="5"/>
      <c r="F846" s="4"/>
      <c r="G846" s="4"/>
      <c r="H846" s="4"/>
      <c r="I846" s="4"/>
      <c r="J846" s="4"/>
      <c r="K846" s="4"/>
      <c r="L846" s="4"/>
      <c r="M846" s="4"/>
      <c r="N846" s="4"/>
      <c r="O846" s="4"/>
      <c r="P846" s="4"/>
      <c r="Q846" s="4"/>
      <c r="R846" s="4"/>
    </row>
    <row r="847" spans="1:18" ht="17.399999999999999" x14ac:dyDescent="0.25">
      <c r="A847" s="4"/>
      <c r="B847" s="23"/>
      <c r="C847" s="4"/>
      <c r="D847" s="4"/>
      <c r="E847" s="5"/>
      <c r="F847" s="4"/>
      <c r="G847" s="4"/>
      <c r="H847" s="4"/>
      <c r="I847" s="4"/>
      <c r="J847" s="4"/>
      <c r="K847" s="4"/>
      <c r="L847" s="4"/>
      <c r="M847" s="4"/>
      <c r="N847" s="4"/>
      <c r="O847" s="4"/>
      <c r="P847" s="4"/>
      <c r="Q847" s="4"/>
      <c r="R847" s="4"/>
    </row>
    <row r="848" spans="1:18" ht="17.399999999999999" x14ac:dyDescent="0.25">
      <c r="A848" s="4"/>
      <c r="B848" s="23"/>
      <c r="C848" s="4"/>
      <c r="D848" s="4"/>
      <c r="E848" s="5"/>
      <c r="F848" s="4"/>
      <c r="G848" s="4"/>
      <c r="H848" s="4"/>
      <c r="I848" s="4"/>
      <c r="J848" s="4"/>
      <c r="K848" s="4"/>
      <c r="L848" s="4"/>
      <c r="M848" s="4"/>
      <c r="N848" s="4"/>
      <c r="O848" s="4"/>
      <c r="P848" s="4"/>
      <c r="Q848" s="4"/>
      <c r="R848" s="4"/>
    </row>
    <row r="849" spans="1:18" ht="17.399999999999999" x14ac:dyDescent="0.25">
      <c r="A849" s="4"/>
      <c r="B849" s="23"/>
      <c r="C849" s="4"/>
      <c r="D849" s="4"/>
      <c r="E849" s="5"/>
      <c r="F849" s="4"/>
      <c r="G849" s="4"/>
      <c r="H849" s="4"/>
      <c r="I849" s="4"/>
      <c r="J849" s="4"/>
      <c r="K849" s="4"/>
      <c r="L849" s="4"/>
      <c r="M849" s="4"/>
      <c r="N849" s="4"/>
      <c r="O849" s="4"/>
      <c r="P849" s="4"/>
      <c r="Q849" s="4"/>
      <c r="R849" s="4"/>
    </row>
    <row r="850" spans="1:18" ht="17.399999999999999" x14ac:dyDescent="0.25">
      <c r="A850" s="4"/>
      <c r="B850" s="23"/>
      <c r="C850" s="4"/>
      <c r="D850" s="4"/>
      <c r="E850" s="5"/>
      <c r="F850" s="4"/>
      <c r="G850" s="4"/>
      <c r="H850" s="4"/>
      <c r="I850" s="4"/>
      <c r="J850" s="4"/>
      <c r="K850" s="4"/>
      <c r="L850" s="4"/>
      <c r="M850" s="4"/>
      <c r="N850" s="4"/>
      <c r="O850" s="4"/>
      <c r="P850" s="4"/>
      <c r="Q850" s="4"/>
      <c r="R850" s="4"/>
    </row>
    <row r="851" spans="1:18" ht="17.399999999999999" x14ac:dyDescent="0.25">
      <c r="A851" s="4"/>
      <c r="B851" s="23"/>
      <c r="C851" s="4"/>
      <c r="D851" s="4"/>
      <c r="E851" s="5"/>
      <c r="F851" s="4"/>
      <c r="G851" s="4"/>
      <c r="H851" s="4"/>
      <c r="I851" s="4"/>
      <c r="J851" s="4"/>
      <c r="K851" s="4"/>
      <c r="L851" s="4"/>
      <c r="M851" s="4"/>
      <c r="N851" s="4"/>
      <c r="O851" s="4"/>
      <c r="P851" s="4"/>
      <c r="Q851" s="4"/>
      <c r="R851" s="4"/>
    </row>
    <row r="852" spans="1:18" ht="17.399999999999999" x14ac:dyDescent="0.25">
      <c r="A852" s="4"/>
      <c r="B852" s="23"/>
      <c r="C852" s="4"/>
      <c r="D852" s="4"/>
      <c r="E852" s="5"/>
      <c r="F852" s="4"/>
      <c r="G852" s="4"/>
      <c r="H852" s="4"/>
      <c r="I852" s="4"/>
      <c r="J852" s="4"/>
      <c r="K852" s="4"/>
      <c r="L852" s="4"/>
      <c r="M852" s="4"/>
      <c r="N852" s="4"/>
      <c r="O852" s="4"/>
      <c r="P852" s="4"/>
      <c r="Q852" s="4"/>
      <c r="R852" s="4"/>
    </row>
    <row r="853" spans="1:18" ht="17.399999999999999" x14ac:dyDescent="0.25">
      <c r="A853" s="4"/>
      <c r="B853" s="23"/>
      <c r="C853" s="4"/>
      <c r="D853" s="4"/>
      <c r="E853" s="5"/>
      <c r="F853" s="4"/>
      <c r="G853" s="4"/>
      <c r="H853" s="4"/>
      <c r="I853" s="4"/>
      <c r="J853" s="4"/>
      <c r="K853" s="4"/>
      <c r="L853" s="4"/>
      <c r="M853" s="4"/>
      <c r="N853" s="4"/>
      <c r="O853" s="4"/>
      <c r="P853" s="4"/>
      <c r="Q853" s="4"/>
      <c r="R853" s="4"/>
    </row>
    <row r="854" spans="1:18" ht="17.399999999999999" x14ac:dyDescent="0.25">
      <c r="A854" s="4"/>
      <c r="B854" s="23"/>
      <c r="C854" s="4"/>
      <c r="D854" s="4"/>
      <c r="E854" s="5"/>
      <c r="F854" s="4"/>
      <c r="G854" s="4"/>
      <c r="H854" s="4"/>
      <c r="I854" s="4"/>
      <c r="J854" s="4"/>
      <c r="K854" s="4"/>
      <c r="L854" s="4"/>
      <c r="M854" s="4"/>
      <c r="N854" s="4"/>
      <c r="O854" s="4"/>
      <c r="P854" s="4"/>
      <c r="Q854" s="4"/>
      <c r="R854" s="4"/>
    </row>
    <row r="855" spans="1:18" ht="17.399999999999999" x14ac:dyDescent="0.25">
      <c r="A855" s="4"/>
      <c r="B855" s="23"/>
      <c r="C855" s="4"/>
      <c r="D855" s="4"/>
      <c r="E855" s="5"/>
      <c r="F855" s="4"/>
      <c r="G855" s="4"/>
      <c r="H855" s="4"/>
      <c r="I855" s="4"/>
      <c r="J855" s="4"/>
      <c r="K855" s="4"/>
      <c r="L855" s="4"/>
      <c r="M855" s="4"/>
      <c r="N855" s="4"/>
      <c r="O855" s="4"/>
      <c r="P855" s="4"/>
      <c r="Q855" s="4"/>
      <c r="R855" s="4"/>
    </row>
    <row r="856" spans="1:18" ht="17.399999999999999" x14ac:dyDescent="0.25">
      <c r="A856" s="4"/>
      <c r="B856" s="23"/>
      <c r="C856" s="4"/>
      <c r="D856" s="4"/>
      <c r="E856" s="5"/>
      <c r="F856" s="4"/>
      <c r="G856" s="4"/>
      <c r="H856" s="4"/>
      <c r="I856" s="4"/>
      <c r="J856" s="4"/>
      <c r="K856" s="4"/>
      <c r="L856" s="4"/>
      <c r="M856" s="4"/>
      <c r="N856" s="4"/>
      <c r="O856" s="4"/>
      <c r="P856" s="4"/>
      <c r="Q856" s="4"/>
      <c r="R856" s="4"/>
    </row>
    <row r="857" spans="1:18" ht="17.399999999999999" x14ac:dyDescent="0.25">
      <c r="A857" s="4"/>
      <c r="B857" s="23"/>
      <c r="C857" s="4"/>
      <c r="D857" s="4"/>
      <c r="E857" s="5"/>
      <c r="F857" s="4"/>
      <c r="G857" s="4"/>
      <c r="H857" s="4"/>
      <c r="I857" s="4"/>
      <c r="J857" s="4"/>
      <c r="K857" s="4"/>
      <c r="L857" s="4"/>
      <c r="M857" s="4"/>
      <c r="N857" s="4"/>
      <c r="O857" s="4"/>
      <c r="P857" s="4"/>
      <c r="Q857" s="4"/>
      <c r="R857" s="4"/>
    </row>
    <row r="858" spans="1:18" ht="17.399999999999999" x14ac:dyDescent="0.25">
      <c r="A858" s="4"/>
      <c r="B858" s="23"/>
      <c r="C858" s="4"/>
      <c r="D858" s="4"/>
      <c r="E858" s="5"/>
      <c r="F858" s="4"/>
      <c r="G858" s="4"/>
      <c r="H858" s="4"/>
      <c r="I858" s="4"/>
      <c r="J858" s="4"/>
      <c r="K858" s="4"/>
      <c r="L858" s="4"/>
      <c r="M858" s="4"/>
      <c r="N858" s="4"/>
      <c r="O858" s="4"/>
      <c r="P858" s="4"/>
      <c r="Q858" s="4"/>
      <c r="R858" s="4"/>
    </row>
    <row r="859" spans="1:18" ht="17.399999999999999" x14ac:dyDescent="0.25">
      <c r="A859" s="4"/>
      <c r="B859" s="23"/>
      <c r="C859" s="4"/>
      <c r="D859" s="4"/>
      <c r="E859" s="5"/>
      <c r="F859" s="4"/>
      <c r="G859" s="4"/>
      <c r="H859" s="4"/>
      <c r="I859" s="4"/>
      <c r="J859" s="4"/>
      <c r="K859" s="4"/>
      <c r="L859" s="4"/>
      <c r="M859" s="4"/>
      <c r="N859" s="4"/>
      <c r="O859" s="4"/>
      <c r="P859" s="4"/>
      <c r="Q859" s="4"/>
      <c r="R859" s="4"/>
    </row>
    <row r="860" spans="1:18" ht="17.399999999999999" x14ac:dyDescent="0.25">
      <c r="A860" s="4"/>
      <c r="B860" s="23"/>
      <c r="C860" s="4"/>
      <c r="D860" s="4"/>
      <c r="E860" s="5"/>
      <c r="F860" s="4"/>
      <c r="G860" s="4"/>
      <c r="H860" s="4"/>
      <c r="I860" s="4"/>
      <c r="J860" s="4"/>
      <c r="K860" s="4"/>
      <c r="L860" s="4"/>
      <c r="M860" s="4"/>
      <c r="N860" s="4"/>
      <c r="O860" s="4"/>
      <c r="P860" s="4"/>
      <c r="Q860" s="4"/>
      <c r="R860" s="4"/>
    </row>
    <row r="861" spans="1:18" ht="17.399999999999999" x14ac:dyDescent="0.25">
      <c r="A861" s="4"/>
      <c r="B861" s="23"/>
      <c r="C861" s="4"/>
      <c r="D861" s="4"/>
      <c r="E861" s="5"/>
      <c r="F861" s="4"/>
      <c r="G861" s="4"/>
      <c r="H861" s="4"/>
      <c r="I861" s="4"/>
      <c r="J861" s="4"/>
      <c r="K861" s="4"/>
      <c r="L861" s="4"/>
      <c r="M861" s="4"/>
      <c r="N861" s="4"/>
      <c r="O861" s="4"/>
      <c r="P861" s="4"/>
      <c r="Q861" s="4"/>
      <c r="R861" s="4"/>
    </row>
    <row r="862" spans="1:18" ht="17.399999999999999" x14ac:dyDescent="0.25">
      <c r="A862" s="4"/>
      <c r="B862" s="23"/>
      <c r="C862" s="4"/>
      <c r="D862" s="4"/>
      <c r="E862" s="5"/>
      <c r="F862" s="4"/>
      <c r="G862" s="4"/>
      <c r="H862" s="4"/>
      <c r="I862" s="4"/>
      <c r="J862" s="4"/>
      <c r="K862" s="4"/>
      <c r="L862" s="4"/>
      <c r="M862" s="4"/>
      <c r="N862" s="4"/>
      <c r="O862" s="4"/>
      <c r="P862" s="4"/>
      <c r="Q862" s="4"/>
      <c r="R862" s="4"/>
    </row>
    <row r="863" spans="1:18" ht="17.399999999999999" x14ac:dyDescent="0.25">
      <c r="A863" s="4"/>
      <c r="B863" s="23"/>
      <c r="C863" s="4"/>
      <c r="D863" s="4"/>
      <c r="E863" s="5"/>
      <c r="F863" s="4"/>
      <c r="G863" s="4"/>
      <c r="H863" s="4"/>
      <c r="I863" s="4"/>
      <c r="J863" s="4"/>
      <c r="K863" s="4"/>
      <c r="L863" s="4"/>
      <c r="M863" s="4"/>
      <c r="N863" s="4"/>
      <c r="O863" s="4"/>
      <c r="P863" s="4"/>
      <c r="Q863" s="4"/>
      <c r="R863" s="4"/>
    </row>
    <row r="864" spans="1:18" ht="17.399999999999999" x14ac:dyDescent="0.25">
      <c r="A864" s="4"/>
      <c r="B864" s="23"/>
      <c r="C864" s="4"/>
      <c r="D864" s="4"/>
      <c r="E864" s="5"/>
      <c r="F864" s="4"/>
      <c r="G864" s="4"/>
      <c r="H864" s="4"/>
      <c r="I864" s="4"/>
      <c r="J864" s="4"/>
      <c r="K864" s="4"/>
      <c r="L864" s="4"/>
      <c r="M864" s="4"/>
      <c r="N864" s="4"/>
      <c r="O864" s="4"/>
      <c r="P864" s="4"/>
      <c r="Q864" s="4"/>
      <c r="R864" s="4"/>
    </row>
    <row r="865" spans="1:18" ht="17.399999999999999" x14ac:dyDescent="0.25">
      <c r="A865" s="4"/>
      <c r="B865" s="23"/>
      <c r="C865" s="4"/>
      <c r="D865" s="4"/>
      <c r="E865" s="5"/>
      <c r="F865" s="4"/>
      <c r="G865" s="4"/>
      <c r="H865" s="4"/>
      <c r="I865" s="4"/>
      <c r="J865" s="4"/>
      <c r="K865" s="4"/>
      <c r="L865" s="4"/>
      <c r="M865" s="4"/>
      <c r="N865" s="4"/>
      <c r="O865" s="4"/>
      <c r="P865" s="4"/>
      <c r="Q865" s="4"/>
      <c r="R865" s="4"/>
    </row>
    <row r="866" spans="1:18" ht="17.399999999999999" x14ac:dyDescent="0.25">
      <c r="A866" s="4"/>
      <c r="B866" s="23"/>
      <c r="C866" s="4"/>
      <c r="D866" s="4"/>
      <c r="E866" s="5"/>
      <c r="F866" s="4"/>
      <c r="G866" s="4"/>
      <c r="H866" s="4"/>
      <c r="I866" s="4"/>
      <c r="J866" s="4"/>
      <c r="K866" s="4"/>
      <c r="L866" s="4"/>
      <c r="M866" s="4"/>
      <c r="N866" s="4"/>
      <c r="O866" s="4"/>
      <c r="P866" s="4"/>
      <c r="Q866" s="4"/>
      <c r="R866" s="4"/>
    </row>
    <row r="867" spans="1:18" ht="17.399999999999999" x14ac:dyDescent="0.25">
      <c r="A867" s="4"/>
      <c r="B867" s="23"/>
      <c r="C867" s="4"/>
      <c r="D867" s="4"/>
      <c r="E867" s="5"/>
      <c r="F867" s="4"/>
      <c r="G867" s="4"/>
      <c r="H867" s="4"/>
      <c r="I867" s="4"/>
      <c r="J867" s="4"/>
      <c r="K867" s="4"/>
      <c r="L867" s="4"/>
      <c r="M867" s="4"/>
      <c r="N867" s="4"/>
      <c r="O867" s="4"/>
      <c r="P867" s="4"/>
      <c r="Q867" s="4"/>
      <c r="R867" s="4"/>
    </row>
    <row r="868" spans="1:18" ht="17.399999999999999" x14ac:dyDescent="0.25">
      <c r="A868" s="4"/>
      <c r="B868" s="23"/>
      <c r="C868" s="4"/>
      <c r="D868" s="4"/>
      <c r="E868" s="5"/>
      <c r="F868" s="4"/>
      <c r="G868" s="4"/>
      <c r="H868" s="4"/>
      <c r="I868" s="4"/>
      <c r="J868" s="4"/>
      <c r="K868" s="4"/>
      <c r="L868" s="4"/>
      <c r="M868" s="4"/>
      <c r="N868" s="4"/>
      <c r="O868" s="4"/>
      <c r="P868" s="4"/>
      <c r="Q868" s="4"/>
      <c r="R868" s="4"/>
    </row>
    <row r="869" spans="1:18" ht="17.399999999999999" x14ac:dyDescent="0.25">
      <c r="A869" s="4"/>
      <c r="B869" s="23"/>
      <c r="C869" s="4"/>
      <c r="D869" s="4"/>
      <c r="E869" s="5"/>
      <c r="F869" s="4"/>
      <c r="G869" s="4"/>
      <c r="H869" s="4"/>
      <c r="I869" s="4"/>
      <c r="J869" s="4"/>
      <c r="K869" s="4"/>
      <c r="L869" s="4"/>
      <c r="M869" s="4"/>
      <c r="N869" s="4"/>
      <c r="O869" s="4"/>
      <c r="P869" s="4"/>
      <c r="Q869" s="4"/>
      <c r="R869" s="4"/>
    </row>
    <row r="870" spans="1:18" ht="17.399999999999999" x14ac:dyDescent="0.25">
      <c r="A870" s="4"/>
      <c r="B870" s="23"/>
      <c r="C870" s="4"/>
      <c r="D870" s="4"/>
      <c r="E870" s="5"/>
      <c r="F870" s="4"/>
      <c r="G870" s="4"/>
      <c r="H870" s="4"/>
      <c r="I870" s="4"/>
      <c r="J870" s="4"/>
      <c r="K870" s="4"/>
      <c r="L870" s="4"/>
      <c r="M870" s="4"/>
      <c r="N870" s="4"/>
      <c r="O870" s="4"/>
      <c r="P870" s="4"/>
      <c r="Q870" s="4"/>
      <c r="R870" s="4"/>
    </row>
    <row r="871" spans="1:18" ht="17.399999999999999" x14ac:dyDescent="0.25">
      <c r="A871" s="4"/>
      <c r="B871" s="23"/>
      <c r="C871" s="4"/>
      <c r="D871" s="4"/>
      <c r="E871" s="5"/>
      <c r="F871" s="4"/>
      <c r="G871" s="4"/>
      <c r="H871" s="4"/>
      <c r="I871" s="4"/>
      <c r="J871" s="4"/>
      <c r="K871" s="4"/>
      <c r="L871" s="4"/>
      <c r="M871" s="4"/>
      <c r="N871" s="4"/>
      <c r="O871" s="4"/>
      <c r="P871" s="4"/>
      <c r="Q871" s="4"/>
      <c r="R871" s="4"/>
    </row>
    <row r="872" spans="1:18" ht="17.399999999999999" x14ac:dyDescent="0.25">
      <c r="A872" s="4"/>
      <c r="B872" s="23"/>
      <c r="C872" s="4"/>
      <c r="D872" s="4"/>
      <c r="E872" s="5"/>
      <c r="F872" s="4"/>
      <c r="G872" s="4"/>
      <c r="H872" s="4"/>
      <c r="I872" s="4"/>
      <c r="J872" s="4"/>
      <c r="K872" s="4"/>
      <c r="L872" s="4"/>
      <c r="M872" s="4"/>
      <c r="N872" s="4"/>
      <c r="O872" s="4"/>
      <c r="P872" s="4"/>
      <c r="Q872" s="4"/>
      <c r="R872" s="4"/>
    </row>
    <row r="873" spans="1:18" ht="17.399999999999999" x14ac:dyDescent="0.25">
      <c r="A873" s="4"/>
      <c r="B873" s="23"/>
      <c r="C873" s="4"/>
      <c r="D873" s="4"/>
      <c r="E873" s="5"/>
      <c r="F873" s="4"/>
      <c r="G873" s="4"/>
      <c r="H873" s="4"/>
      <c r="I873" s="4"/>
      <c r="J873" s="4"/>
      <c r="K873" s="4"/>
      <c r="L873" s="4"/>
      <c r="M873" s="4"/>
      <c r="N873" s="4"/>
      <c r="O873" s="4"/>
      <c r="P873" s="4"/>
      <c r="Q873" s="4"/>
      <c r="R873" s="4"/>
    </row>
    <row r="874" spans="1:18" ht="17.399999999999999" x14ac:dyDescent="0.25">
      <c r="A874" s="4"/>
      <c r="B874" s="23"/>
      <c r="C874" s="4"/>
      <c r="D874" s="4"/>
      <c r="E874" s="5"/>
      <c r="F874" s="4"/>
      <c r="G874" s="4"/>
      <c r="H874" s="4"/>
      <c r="I874" s="4"/>
      <c r="J874" s="4"/>
      <c r="K874" s="4"/>
      <c r="L874" s="4"/>
      <c r="M874" s="4"/>
      <c r="N874" s="4"/>
      <c r="O874" s="4"/>
      <c r="P874" s="4"/>
      <c r="Q874" s="4"/>
      <c r="R874" s="4"/>
    </row>
    <row r="875" spans="1:18" ht="17.399999999999999" x14ac:dyDescent="0.25">
      <c r="A875" s="4"/>
      <c r="B875" s="23"/>
      <c r="C875" s="4"/>
      <c r="D875" s="4"/>
      <c r="E875" s="5"/>
      <c r="F875" s="4"/>
      <c r="G875" s="4"/>
      <c r="H875" s="4"/>
      <c r="I875" s="4"/>
      <c r="J875" s="4"/>
      <c r="K875" s="4"/>
      <c r="L875" s="4"/>
      <c r="M875" s="4"/>
      <c r="N875" s="4"/>
      <c r="O875" s="4"/>
      <c r="P875" s="4"/>
      <c r="Q875" s="4"/>
      <c r="R875" s="4"/>
    </row>
    <row r="876" spans="1:18" ht="17.399999999999999" x14ac:dyDescent="0.25">
      <c r="A876" s="4"/>
      <c r="B876" s="23"/>
      <c r="C876" s="4"/>
      <c r="D876" s="4"/>
      <c r="E876" s="5"/>
      <c r="F876" s="4"/>
      <c r="G876" s="4"/>
      <c r="H876" s="4"/>
      <c r="I876" s="4"/>
      <c r="J876" s="4"/>
      <c r="K876" s="4"/>
      <c r="L876" s="4"/>
      <c r="M876" s="4"/>
      <c r="N876" s="4"/>
      <c r="O876" s="4"/>
      <c r="P876" s="4"/>
      <c r="Q876" s="4"/>
      <c r="R876" s="4"/>
    </row>
    <row r="877" spans="1:18" ht="17.399999999999999" x14ac:dyDescent="0.25">
      <c r="A877" s="4"/>
      <c r="B877" s="23"/>
      <c r="C877" s="4"/>
      <c r="D877" s="4"/>
      <c r="E877" s="5"/>
      <c r="F877" s="4"/>
      <c r="G877" s="4"/>
      <c r="H877" s="4"/>
      <c r="I877" s="4"/>
      <c r="J877" s="4"/>
      <c r="K877" s="4"/>
      <c r="L877" s="4"/>
      <c r="M877" s="4"/>
      <c r="N877" s="4"/>
      <c r="O877" s="4"/>
      <c r="P877" s="4"/>
      <c r="Q877" s="4"/>
      <c r="R877" s="4"/>
    </row>
    <row r="878" spans="1:18" ht="17.399999999999999" x14ac:dyDescent="0.25">
      <c r="A878" s="4"/>
      <c r="B878" s="23"/>
      <c r="C878" s="4"/>
      <c r="D878" s="4"/>
      <c r="E878" s="5"/>
      <c r="F878" s="4"/>
      <c r="G878" s="4"/>
      <c r="H878" s="4"/>
      <c r="I878" s="4"/>
      <c r="J878" s="4"/>
      <c r="K878" s="4"/>
      <c r="L878" s="4"/>
      <c r="M878" s="4"/>
      <c r="N878" s="4"/>
      <c r="O878" s="4"/>
      <c r="P878" s="4"/>
      <c r="Q878" s="4"/>
      <c r="R878" s="4"/>
    </row>
    <row r="879" spans="1:18" ht="17.399999999999999" x14ac:dyDescent="0.25">
      <c r="A879" s="4"/>
      <c r="B879" s="23"/>
      <c r="C879" s="4"/>
      <c r="D879" s="4"/>
      <c r="E879" s="5"/>
      <c r="F879" s="4"/>
      <c r="G879" s="4"/>
      <c r="H879" s="4"/>
      <c r="I879" s="4"/>
      <c r="J879" s="4"/>
      <c r="K879" s="4"/>
      <c r="L879" s="4"/>
      <c r="M879" s="4"/>
      <c r="N879" s="4"/>
      <c r="O879" s="4"/>
      <c r="P879" s="4"/>
      <c r="Q879" s="4"/>
      <c r="R879" s="4"/>
    </row>
    <row r="880" spans="1:18" ht="17.399999999999999" x14ac:dyDescent="0.25">
      <c r="A880" s="4"/>
      <c r="B880" s="23"/>
      <c r="C880" s="4"/>
      <c r="D880" s="4"/>
      <c r="E880" s="5"/>
      <c r="F880" s="4"/>
      <c r="G880" s="4"/>
      <c r="H880" s="4"/>
      <c r="I880" s="4"/>
      <c r="J880" s="4"/>
      <c r="K880" s="4"/>
      <c r="L880" s="4"/>
      <c r="M880" s="4"/>
      <c r="N880" s="4"/>
      <c r="O880" s="4"/>
      <c r="P880" s="4"/>
      <c r="Q880" s="4"/>
      <c r="R880" s="4"/>
    </row>
    <row r="881" spans="1:18" ht="17.399999999999999" x14ac:dyDescent="0.25">
      <c r="A881" s="4"/>
      <c r="B881" s="23"/>
      <c r="C881" s="4"/>
      <c r="D881" s="4"/>
      <c r="E881" s="5"/>
      <c r="F881" s="4"/>
      <c r="G881" s="4"/>
      <c r="H881" s="4"/>
      <c r="I881" s="4"/>
      <c r="J881" s="4"/>
      <c r="K881" s="4"/>
      <c r="L881" s="4"/>
      <c r="M881" s="4"/>
      <c r="N881" s="4"/>
      <c r="O881" s="4"/>
      <c r="P881" s="4"/>
      <c r="Q881" s="4"/>
      <c r="R881" s="4"/>
    </row>
    <row r="882" spans="1:18" ht="17.399999999999999" x14ac:dyDescent="0.25">
      <c r="A882" s="4"/>
      <c r="B882" s="23"/>
      <c r="C882" s="4"/>
      <c r="D882" s="4"/>
      <c r="E882" s="5"/>
      <c r="F882" s="4"/>
      <c r="G882" s="4"/>
      <c r="H882" s="4"/>
      <c r="I882" s="4"/>
      <c r="J882" s="4"/>
      <c r="K882" s="4"/>
      <c r="L882" s="4"/>
      <c r="M882" s="4"/>
      <c r="N882" s="4"/>
      <c r="O882" s="4"/>
      <c r="P882" s="4"/>
      <c r="Q882" s="4"/>
      <c r="R882" s="4"/>
    </row>
    <row r="883" spans="1:18" ht="17.399999999999999" x14ac:dyDescent="0.25">
      <c r="A883" s="4"/>
      <c r="B883" s="23"/>
      <c r="C883" s="4"/>
      <c r="D883" s="4"/>
      <c r="E883" s="5"/>
      <c r="F883" s="4"/>
      <c r="G883" s="4"/>
      <c r="H883" s="4"/>
      <c r="I883" s="4"/>
      <c r="J883" s="4"/>
      <c r="K883" s="4"/>
      <c r="L883" s="4"/>
      <c r="M883" s="4"/>
      <c r="N883" s="4"/>
      <c r="O883" s="4"/>
      <c r="P883" s="4"/>
      <c r="Q883" s="4"/>
      <c r="R883" s="4"/>
    </row>
    <row r="884" spans="1:18" ht="17.399999999999999" x14ac:dyDescent="0.25">
      <c r="A884" s="4"/>
      <c r="B884" s="23"/>
      <c r="C884" s="4"/>
      <c r="D884" s="4"/>
      <c r="E884" s="5"/>
      <c r="F884" s="4"/>
      <c r="G884" s="4"/>
      <c r="H884" s="4"/>
      <c r="I884" s="4"/>
      <c r="J884" s="4"/>
      <c r="K884" s="4"/>
      <c r="L884" s="4"/>
      <c r="M884" s="4"/>
      <c r="N884" s="4"/>
      <c r="O884" s="4"/>
      <c r="P884" s="4"/>
      <c r="Q884" s="4"/>
      <c r="R884" s="4"/>
    </row>
    <row r="885" spans="1:18" ht="17.399999999999999" x14ac:dyDescent="0.25">
      <c r="A885" s="4"/>
      <c r="B885" s="23"/>
      <c r="C885" s="4"/>
      <c r="D885" s="4"/>
      <c r="E885" s="5"/>
      <c r="F885" s="4"/>
      <c r="G885" s="4"/>
      <c r="H885" s="4"/>
      <c r="I885" s="4"/>
      <c r="J885" s="4"/>
      <c r="K885" s="4"/>
      <c r="L885" s="4"/>
      <c r="M885" s="4"/>
      <c r="N885" s="4"/>
      <c r="O885" s="4"/>
      <c r="P885" s="4"/>
      <c r="Q885" s="4"/>
      <c r="R885" s="4"/>
    </row>
    <row r="886" spans="1:18" ht="17.399999999999999" x14ac:dyDescent="0.25">
      <c r="A886" s="4"/>
      <c r="B886" s="23"/>
      <c r="C886" s="4"/>
      <c r="D886" s="4"/>
      <c r="E886" s="5"/>
      <c r="F886" s="4"/>
      <c r="G886" s="4"/>
      <c r="H886" s="4"/>
      <c r="I886" s="4"/>
      <c r="J886" s="4"/>
      <c r="K886" s="4"/>
      <c r="L886" s="4"/>
      <c r="M886" s="4"/>
      <c r="N886" s="4"/>
      <c r="O886" s="4"/>
      <c r="P886" s="4"/>
      <c r="Q886" s="4"/>
      <c r="R886" s="4"/>
    </row>
    <row r="887" spans="1:18" ht="17.399999999999999" x14ac:dyDescent="0.25">
      <c r="A887" s="4"/>
      <c r="B887" s="23"/>
      <c r="C887" s="4"/>
      <c r="D887" s="4"/>
      <c r="E887" s="5"/>
      <c r="F887" s="4"/>
      <c r="G887" s="4"/>
      <c r="H887" s="4"/>
      <c r="I887" s="4"/>
      <c r="J887" s="4"/>
      <c r="K887" s="4"/>
      <c r="L887" s="4"/>
      <c r="M887" s="4"/>
      <c r="N887" s="4"/>
      <c r="O887" s="4"/>
      <c r="P887" s="4"/>
      <c r="Q887" s="4"/>
      <c r="R887" s="4"/>
    </row>
    <row r="888" spans="1:18" ht="17.399999999999999" x14ac:dyDescent="0.25">
      <c r="A888" s="4"/>
      <c r="B888" s="23"/>
      <c r="C888" s="4"/>
      <c r="D888" s="4"/>
      <c r="E888" s="5"/>
      <c r="F888" s="4"/>
      <c r="G888" s="4"/>
      <c r="H888" s="4"/>
      <c r="I888" s="4"/>
      <c r="J888" s="4"/>
      <c r="K888" s="4"/>
      <c r="L888" s="4"/>
      <c r="M888" s="4"/>
      <c r="N888" s="4"/>
      <c r="O888" s="4"/>
      <c r="P888" s="4"/>
      <c r="Q888" s="4"/>
      <c r="R888" s="4"/>
    </row>
    <row r="889" spans="1:18" ht="17.399999999999999" x14ac:dyDescent="0.25">
      <c r="A889" s="4"/>
      <c r="B889" s="23"/>
      <c r="C889" s="4"/>
      <c r="D889" s="4"/>
      <c r="E889" s="5"/>
      <c r="F889" s="4"/>
      <c r="G889" s="4"/>
      <c r="H889" s="4"/>
      <c r="I889" s="4"/>
      <c r="J889" s="4"/>
      <c r="K889" s="4"/>
      <c r="L889" s="4"/>
      <c r="M889" s="4"/>
      <c r="N889" s="4"/>
      <c r="O889" s="4"/>
      <c r="P889" s="4"/>
      <c r="Q889" s="4"/>
      <c r="R889" s="4"/>
    </row>
    <row r="890" spans="1:18" ht="17.399999999999999" x14ac:dyDescent="0.25">
      <c r="A890" s="4"/>
      <c r="B890" s="23"/>
      <c r="C890" s="4"/>
      <c r="D890" s="4"/>
      <c r="E890" s="5"/>
      <c r="F890" s="4"/>
      <c r="G890" s="4"/>
      <c r="H890" s="4"/>
      <c r="I890" s="4"/>
      <c r="J890" s="4"/>
      <c r="K890" s="4"/>
      <c r="L890" s="4"/>
      <c r="M890" s="4"/>
      <c r="N890" s="4"/>
      <c r="O890" s="4"/>
      <c r="P890" s="4"/>
      <c r="Q890" s="4"/>
      <c r="R890" s="4"/>
    </row>
    <row r="891" spans="1:18" ht="17.399999999999999" x14ac:dyDescent="0.25">
      <c r="A891" s="4"/>
      <c r="B891" s="23"/>
      <c r="C891" s="4"/>
      <c r="D891" s="4"/>
      <c r="E891" s="5"/>
      <c r="F891" s="4"/>
      <c r="G891" s="4"/>
      <c r="H891" s="4"/>
      <c r="I891" s="4"/>
      <c r="J891" s="4"/>
      <c r="K891" s="4"/>
      <c r="L891" s="4"/>
      <c r="M891" s="4"/>
      <c r="N891" s="4"/>
      <c r="O891" s="4"/>
      <c r="P891" s="4"/>
      <c r="Q891" s="4"/>
      <c r="R891" s="4"/>
    </row>
    <row r="892" spans="1:18" ht="17.399999999999999" x14ac:dyDescent="0.25">
      <c r="A892" s="4"/>
      <c r="B892" s="23"/>
      <c r="C892" s="4"/>
      <c r="D892" s="4"/>
      <c r="E892" s="5"/>
      <c r="F892" s="4"/>
      <c r="G892" s="4"/>
      <c r="H892" s="4"/>
      <c r="I892" s="4"/>
      <c r="J892" s="4"/>
      <c r="K892" s="4"/>
      <c r="L892" s="4"/>
      <c r="M892" s="4"/>
      <c r="N892" s="4"/>
      <c r="O892" s="4"/>
      <c r="P892" s="4"/>
      <c r="Q892" s="4"/>
      <c r="R892" s="4"/>
    </row>
    <row r="893" spans="1:18" ht="17.399999999999999" x14ac:dyDescent="0.25">
      <c r="A893" s="4"/>
      <c r="B893" s="23"/>
      <c r="C893" s="4"/>
      <c r="D893" s="4"/>
      <c r="E893" s="5"/>
      <c r="F893" s="4"/>
      <c r="G893" s="4"/>
      <c r="H893" s="4"/>
      <c r="I893" s="4"/>
      <c r="J893" s="4"/>
      <c r="K893" s="4"/>
      <c r="L893" s="4"/>
      <c r="M893" s="4"/>
      <c r="N893" s="4"/>
      <c r="O893" s="4"/>
      <c r="P893" s="4"/>
      <c r="Q893" s="4"/>
      <c r="R893" s="4"/>
    </row>
    <row r="894" spans="1:18" ht="17.399999999999999" x14ac:dyDescent="0.25">
      <c r="A894" s="4"/>
      <c r="B894" s="23"/>
      <c r="C894" s="4"/>
      <c r="D894" s="4"/>
      <c r="E894" s="5"/>
      <c r="F894" s="4"/>
      <c r="G894" s="4"/>
      <c r="H894" s="4"/>
      <c r="I894" s="4"/>
      <c r="J894" s="4"/>
      <c r="K894" s="4"/>
      <c r="L894" s="4"/>
      <c r="M894" s="4"/>
      <c r="N894" s="4"/>
      <c r="O894" s="4"/>
      <c r="P894" s="4"/>
      <c r="Q894" s="4"/>
      <c r="R894" s="4"/>
    </row>
    <row r="895" spans="1:18" ht="17.399999999999999" x14ac:dyDescent="0.25">
      <c r="A895" s="4"/>
      <c r="B895" s="23"/>
      <c r="C895" s="4"/>
      <c r="D895" s="4"/>
      <c r="E895" s="5"/>
      <c r="F895" s="4"/>
      <c r="G895" s="4"/>
      <c r="H895" s="4"/>
      <c r="I895" s="4"/>
      <c r="J895" s="4"/>
      <c r="K895" s="4"/>
      <c r="L895" s="4"/>
      <c r="M895" s="4"/>
      <c r="N895" s="4"/>
      <c r="O895" s="4"/>
      <c r="P895" s="4"/>
      <c r="Q895" s="4"/>
      <c r="R895" s="4"/>
    </row>
    <row r="896" spans="1:18" ht="17.399999999999999" x14ac:dyDescent="0.25">
      <c r="A896" s="4"/>
      <c r="B896" s="23"/>
      <c r="C896" s="4"/>
      <c r="D896" s="4"/>
      <c r="E896" s="5"/>
      <c r="F896" s="4"/>
      <c r="G896" s="4"/>
      <c r="H896" s="4"/>
      <c r="I896" s="4"/>
      <c r="J896" s="4"/>
      <c r="K896" s="4"/>
      <c r="L896" s="4"/>
      <c r="M896" s="4"/>
      <c r="N896" s="4"/>
      <c r="O896" s="4"/>
      <c r="P896" s="4"/>
      <c r="Q896" s="4"/>
      <c r="R896" s="4"/>
    </row>
    <row r="897" spans="1:18" ht="17.399999999999999" x14ac:dyDescent="0.25">
      <c r="A897" s="4"/>
      <c r="B897" s="23"/>
      <c r="C897" s="4"/>
      <c r="D897" s="4"/>
      <c r="E897" s="5"/>
      <c r="F897" s="4"/>
      <c r="G897" s="4"/>
      <c r="H897" s="4"/>
      <c r="I897" s="4"/>
      <c r="J897" s="4"/>
      <c r="K897" s="4"/>
      <c r="L897" s="4"/>
      <c r="M897" s="4"/>
      <c r="N897" s="4"/>
      <c r="O897" s="4"/>
      <c r="P897" s="4"/>
      <c r="Q897" s="4"/>
      <c r="R897" s="4"/>
    </row>
    <row r="898" spans="1:18" ht="17.399999999999999" x14ac:dyDescent="0.25">
      <c r="A898" s="4"/>
      <c r="B898" s="23"/>
      <c r="C898" s="4"/>
      <c r="D898" s="4"/>
      <c r="E898" s="5"/>
      <c r="F898" s="4"/>
      <c r="G898" s="4"/>
      <c r="H898" s="4"/>
      <c r="I898" s="4"/>
      <c r="J898" s="4"/>
      <c r="K898" s="4"/>
      <c r="L898" s="4"/>
      <c r="M898" s="4"/>
      <c r="N898" s="4"/>
      <c r="O898" s="4"/>
      <c r="P898" s="4"/>
      <c r="Q898" s="4"/>
      <c r="R898" s="4"/>
    </row>
    <row r="899" spans="1:18" ht="17.399999999999999" x14ac:dyDescent="0.25">
      <c r="A899" s="4"/>
      <c r="B899" s="23"/>
      <c r="C899" s="4"/>
      <c r="D899" s="4"/>
      <c r="E899" s="5"/>
      <c r="F899" s="4"/>
      <c r="G899" s="4"/>
      <c r="H899" s="4"/>
      <c r="I899" s="4"/>
      <c r="J899" s="4"/>
      <c r="K899" s="4"/>
      <c r="L899" s="4"/>
      <c r="M899" s="4"/>
      <c r="N899" s="4"/>
      <c r="O899" s="4"/>
      <c r="P899" s="4"/>
      <c r="Q899" s="4"/>
      <c r="R899" s="4"/>
    </row>
    <row r="900" spans="1:18" ht="17.399999999999999" x14ac:dyDescent="0.25">
      <c r="A900" s="4"/>
      <c r="B900" s="23"/>
      <c r="C900" s="4"/>
      <c r="D900" s="4"/>
      <c r="E900" s="5"/>
      <c r="F900" s="4"/>
      <c r="G900" s="4"/>
      <c r="H900" s="4"/>
      <c r="I900" s="4"/>
      <c r="J900" s="4"/>
      <c r="K900" s="4"/>
      <c r="L900" s="4"/>
      <c r="M900" s="4"/>
      <c r="N900" s="4"/>
      <c r="O900" s="4"/>
      <c r="P900" s="4"/>
      <c r="Q900" s="4"/>
      <c r="R900" s="4"/>
    </row>
    <row r="901" spans="1:18" ht="17.399999999999999" x14ac:dyDescent="0.25">
      <c r="A901" s="4"/>
      <c r="B901" s="23"/>
      <c r="C901" s="4"/>
      <c r="D901" s="4"/>
      <c r="E901" s="5"/>
      <c r="F901" s="4"/>
      <c r="G901" s="4"/>
      <c r="H901" s="4"/>
      <c r="I901" s="4"/>
      <c r="J901" s="4"/>
      <c r="K901" s="4"/>
      <c r="L901" s="4"/>
      <c r="M901" s="4"/>
      <c r="N901" s="4"/>
      <c r="O901" s="4"/>
      <c r="P901" s="4"/>
      <c r="Q901" s="4"/>
      <c r="R901" s="4"/>
    </row>
    <row r="902" spans="1:18" ht="17.399999999999999" x14ac:dyDescent="0.25">
      <c r="A902" s="4"/>
      <c r="B902" s="23"/>
      <c r="C902" s="4"/>
      <c r="D902" s="4"/>
      <c r="E902" s="5"/>
      <c r="F902" s="4"/>
      <c r="G902" s="4"/>
      <c r="H902" s="4"/>
      <c r="I902" s="4"/>
      <c r="J902" s="4"/>
      <c r="K902" s="4"/>
      <c r="L902" s="4"/>
      <c r="M902" s="4"/>
      <c r="N902" s="4"/>
      <c r="O902" s="4"/>
      <c r="P902" s="4"/>
      <c r="Q902" s="4"/>
      <c r="R902" s="4"/>
    </row>
    <row r="903" spans="1:18" ht="17.399999999999999" x14ac:dyDescent="0.25">
      <c r="A903" s="4"/>
      <c r="B903" s="23"/>
      <c r="C903" s="4"/>
      <c r="D903" s="4"/>
      <c r="E903" s="5"/>
      <c r="F903" s="4"/>
      <c r="G903" s="4"/>
      <c r="H903" s="4"/>
      <c r="I903" s="4"/>
      <c r="J903" s="4"/>
      <c r="K903" s="4"/>
      <c r="L903" s="4"/>
      <c r="M903" s="4"/>
      <c r="N903" s="4"/>
      <c r="O903" s="4"/>
      <c r="P903" s="4"/>
      <c r="Q903" s="4"/>
      <c r="R903" s="4"/>
    </row>
    <row r="904" spans="1:18" ht="17.399999999999999" x14ac:dyDescent="0.25">
      <c r="A904" s="4"/>
      <c r="B904" s="23"/>
      <c r="C904" s="4"/>
      <c r="D904" s="4"/>
      <c r="E904" s="5"/>
      <c r="F904" s="4"/>
      <c r="G904" s="4"/>
      <c r="H904" s="4"/>
      <c r="I904" s="4"/>
      <c r="J904" s="4"/>
      <c r="K904" s="4"/>
      <c r="L904" s="4"/>
      <c r="M904" s="4"/>
      <c r="N904" s="4"/>
      <c r="O904" s="4"/>
      <c r="P904" s="4"/>
      <c r="Q904" s="4"/>
      <c r="R904" s="4"/>
    </row>
    <row r="905" spans="1:18" ht="17.399999999999999" x14ac:dyDescent="0.25">
      <c r="A905" s="4"/>
      <c r="B905" s="23"/>
      <c r="C905" s="4"/>
      <c r="D905" s="4"/>
      <c r="E905" s="5"/>
      <c r="F905" s="4"/>
      <c r="G905" s="4"/>
      <c r="H905" s="4"/>
      <c r="I905" s="4"/>
      <c r="J905" s="4"/>
      <c r="K905" s="4"/>
      <c r="L905" s="4"/>
      <c r="M905" s="4"/>
      <c r="N905" s="4"/>
      <c r="O905" s="4"/>
      <c r="P905" s="4"/>
      <c r="Q905" s="4"/>
      <c r="R905" s="4"/>
    </row>
    <row r="906" spans="1:18" ht="17.399999999999999" x14ac:dyDescent="0.25">
      <c r="A906" s="4"/>
      <c r="B906" s="23"/>
      <c r="C906" s="4"/>
      <c r="D906" s="4"/>
      <c r="E906" s="5"/>
      <c r="F906" s="4"/>
      <c r="G906" s="4"/>
      <c r="H906" s="4"/>
      <c r="I906" s="4"/>
      <c r="J906" s="4"/>
      <c r="K906" s="4"/>
      <c r="L906" s="4"/>
      <c r="M906" s="4"/>
      <c r="N906" s="4"/>
      <c r="O906" s="4"/>
      <c r="P906" s="4"/>
      <c r="Q906" s="4"/>
      <c r="R906" s="4"/>
    </row>
    <row r="907" spans="1:18" ht="17.399999999999999" x14ac:dyDescent="0.25">
      <c r="A907" s="4"/>
      <c r="B907" s="23"/>
      <c r="C907" s="4"/>
      <c r="D907" s="4"/>
      <c r="E907" s="5"/>
      <c r="F907" s="4"/>
      <c r="G907" s="4"/>
      <c r="H907" s="4"/>
      <c r="I907" s="4"/>
      <c r="J907" s="4"/>
      <c r="K907" s="4"/>
      <c r="L907" s="4"/>
      <c r="M907" s="4"/>
      <c r="N907" s="4"/>
      <c r="O907" s="4"/>
      <c r="P907" s="4"/>
      <c r="Q907" s="4"/>
      <c r="R907" s="4"/>
    </row>
    <row r="908" spans="1:18" ht="17.399999999999999" x14ac:dyDescent="0.25">
      <c r="A908" s="4"/>
      <c r="B908" s="23"/>
      <c r="C908" s="4"/>
      <c r="D908" s="4"/>
      <c r="E908" s="5"/>
      <c r="F908" s="4"/>
      <c r="G908" s="4"/>
      <c r="H908" s="4"/>
      <c r="I908" s="4"/>
      <c r="J908" s="4"/>
      <c r="K908" s="4"/>
      <c r="L908" s="4"/>
      <c r="M908" s="4"/>
      <c r="N908" s="4"/>
      <c r="O908" s="4"/>
      <c r="P908" s="4"/>
      <c r="Q908" s="4"/>
      <c r="R908" s="4"/>
    </row>
    <row r="909" spans="1:18" ht="17.399999999999999" x14ac:dyDescent="0.25">
      <c r="A909" s="4"/>
      <c r="B909" s="23"/>
      <c r="C909" s="4"/>
      <c r="D909" s="4"/>
      <c r="E909" s="5"/>
      <c r="F909" s="4"/>
      <c r="G909" s="4"/>
      <c r="H909" s="4"/>
      <c r="I909" s="4"/>
      <c r="J909" s="4"/>
      <c r="K909" s="4"/>
      <c r="L909" s="4"/>
      <c r="M909" s="4"/>
      <c r="N909" s="4"/>
      <c r="O909" s="4"/>
      <c r="P909" s="4"/>
      <c r="Q909" s="4"/>
      <c r="R909" s="4"/>
    </row>
    <row r="910" spans="1:18" ht="17.399999999999999" x14ac:dyDescent="0.25">
      <c r="A910" s="4"/>
      <c r="B910" s="23"/>
      <c r="C910" s="4"/>
      <c r="D910" s="4"/>
      <c r="E910" s="5"/>
      <c r="F910" s="4"/>
      <c r="G910" s="4"/>
      <c r="H910" s="4"/>
      <c r="I910" s="4"/>
      <c r="J910" s="4"/>
      <c r="K910" s="4"/>
      <c r="L910" s="4"/>
      <c r="M910" s="4"/>
      <c r="N910" s="4"/>
      <c r="O910" s="4"/>
      <c r="P910" s="4"/>
      <c r="Q910" s="4"/>
      <c r="R910" s="4"/>
    </row>
    <row r="911" spans="1:18" ht="17.399999999999999" x14ac:dyDescent="0.25">
      <c r="A911" s="4"/>
      <c r="B911" s="23"/>
      <c r="C911" s="4"/>
      <c r="D911" s="4"/>
      <c r="E911" s="5"/>
      <c r="F911" s="4"/>
      <c r="G911" s="4"/>
      <c r="H911" s="4"/>
      <c r="I911" s="4"/>
      <c r="J911" s="4"/>
      <c r="K911" s="4"/>
      <c r="L911" s="4"/>
      <c r="M911" s="4"/>
      <c r="N911" s="4"/>
      <c r="O911" s="4"/>
      <c r="P911" s="4"/>
      <c r="Q911" s="4"/>
      <c r="R911" s="4"/>
    </row>
    <row r="912" spans="1:18" ht="17.399999999999999" x14ac:dyDescent="0.25">
      <c r="A912" s="4"/>
      <c r="B912" s="23"/>
      <c r="C912" s="4"/>
      <c r="D912" s="4"/>
      <c r="E912" s="5"/>
      <c r="F912" s="4"/>
      <c r="G912" s="4"/>
      <c r="H912" s="4"/>
      <c r="I912" s="4"/>
      <c r="J912" s="4"/>
      <c r="K912" s="4"/>
      <c r="L912" s="4"/>
      <c r="M912" s="4"/>
      <c r="N912" s="4"/>
      <c r="O912" s="4"/>
      <c r="P912" s="4"/>
      <c r="Q912" s="4"/>
      <c r="R912" s="4"/>
    </row>
    <row r="913" spans="1:18" ht="17.399999999999999" x14ac:dyDescent="0.25">
      <c r="A913" s="4"/>
      <c r="B913" s="23"/>
      <c r="C913" s="4"/>
      <c r="D913" s="4"/>
      <c r="E913" s="5"/>
      <c r="F913" s="4"/>
      <c r="G913" s="4"/>
      <c r="H913" s="4"/>
      <c r="I913" s="4"/>
      <c r="J913" s="4"/>
      <c r="K913" s="4"/>
      <c r="L913" s="4"/>
      <c r="M913" s="4"/>
      <c r="N913" s="4"/>
      <c r="O913" s="4"/>
      <c r="P913" s="4"/>
      <c r="Q913" s="4"/>
      <c r="R913" s="4"/>
    </row>
    <row r="914" spans="1:18" ht="17.399999999999999" x14ac:dyDescent="0.25">
      <c r="A914" s="4"/>
      <c r="B914" s="23"/>
      <c r="C914" s="4"/>
      <c r="D914" s="4"/>
      <c r="E914" s="5"/>
      <c r="F914" s="4"/>
      <c r="G914" s="4"/>
      <c r="H914" s="4"/>
      <c r="I914" s="4"/>
      <c r="J914" s="4"/>
      <c r="K914" s="4"/>
      <c r="L914" s="4"/>
      <c r="M914" s="4"/>
      <c r="N914" s="4"/>
      <c r="O914" s="4"/>
      <c r="P914" s="4"/>
      <c r="Q914" s="4"/>
      <c r="R914" s="4"/>
    </row>
    <row r="915" spans="1:18" ht="17.399999999999999" x14ac:dyDescent="0.25">
      <c r="A915" s="4"/>
      <c r="B915" s="23"/>
      <c r="C915" s="4"/>
      <c r="D915" s="4"/>
      <c r="E915" s="5"/>
      <c r="F915" s="4"/>
      <c r="G915" s="4"/>
      <c r="H915" s="4"/>
      <c r="I915" s="4"/>
      <c r="J915" s="4"/>
      <c r="K915" s="4"/>
      <c r="L915" s="4"/>
      <c r="M915" s="4"/>
      <c r="N915" s="4"/>
      <c r="O915" s="4"/>
      <c r="P915" s="4"/>
      <c r="Q915" s="4"/>
      <c r="R915" s="4"/>
    </row>
    <row r="916" spans="1:18" ht="17.399999999999999" x14ac:dyDescent="0.25">
      <c r="A916" s="4"/>
      <c r="B916" s="23"/>
      <c r="C916" s="4"/>
      <c r="D916" s="4"/>
      <c r="E916" s="5"/>
      <c r="F916" s="4"/>
      <c r="G916" s="4"/>
      <c r="H916" s="4"/>
      <c r="I916" s="4"/>
      <c r="J916" s="4"/>
      <c r="K916" s="4"/>
      <c r="L916" s="4"/>
      <c r="M916" s="4"/>
      <c r="N916" s="4"/>
      <c r="O916" s="4"/>
      <c r="P916" s="4"/>
      <c r="Q916" s="4"/>
      <c r="R916" s="4"/>
    </row>
    <row r="917" spans="1:18" ht="17.399999999999999" x14ac:dyDescent="0.25">
      <c r="A917" s="4"/>
      <c r="B917" s="23"/>
      <c r="C917" s="4"/>
      <c r="D917" s="4"/>
      <c r="E917" s="5"/>
      <c r="F917" s="4"/>
      <c r="G917" s="4"/>
      <c r="H917" s="4"/>
      <c r="I917" s="4"/>
      <c r="J917" s="4"/>
      <c r="K917" s="4"/>
      <c r="L917" s="4"/>
      <c r="M917" s="4"/>
      <c r="N917" s="4"/>
      <c r="O917" s="4"/>
      <c r="P917" s="4"/>
      <c r="Q917" s="4"/>
      <c r="R917" s="4"/>
    </row>
    <row r="918" spans="1:18" ht="17.399999999999999" x14ac:dyDescent="0.25">
      <c r="A918" s="4"/>
      <c r="B918" s="23"/>
      <c r="C918" s="4"/>
      <c r="D918" s="4"/>
      <c r="E918" s="5"/>
      <c r="F918" s="4"/>
      <c r="G918" s="4"/>
      <c r="H918" s="4"/>
      <c r="I918" s="4"/>
      <c r="J918" s="4"/>
      <c r="K918" s="4"/>
      <c r="L918" s="4"/>
      <c r="M918" s="4"/>
      <c r="N918" s="4"/>
      <c r="O918" s="4"/>
      <c r="P918" s="4"/>
      <c r="Q918" s="4"/>
      <c r="R918" s="4"/>
    </row>
    <row r="919" spans="1:18" ht="17.399999999999999" x14ac:dyDescent="0.25">
      <c r="A919" s="4"/>
      <c r="B919" s="23"/>
      <c r="C919" s="4"/>
      <c r="D919" s="4"/>
      <c r="E919" s="5"/>
      <c r="F919" s="4"/>
      <c r="G919" s="4"/>
      <c r="H919" s="4"/>
      <c r="I919" s="4"/>
      <c r="J919" s="4"/>
      <c r="K919" s="4"/>
      <c r="L919" s="4"/>
      <c r="M919" s="4"/>
      <c r="N919" s="4"/>
      <c r="O919" s="4"/>
      <c r="P919" s="4"/>
      <c r="Q919" s="4"/>
      <c r="R919" s="4"/>
    </row>
    <row r="920" spans="1:18" ht="17.399999999999999" x14ac:dyDescent="0.25">
      <c r="A920" s="4"/>
      <c r="B920" s="23"/>
      <c r="C920" s="4"/>
      <c r="D920" s="4"/>
      <c r="E920" s="5"/>
      <c r="F920" s="4"/>
      <c r="G920" s="4"/>
      <c r="H920" s="4"/>
      <c r="I920" s="4"/>
      <c r="J920" s="4"/>
      <c r="K920" s="4"/>
      <c r="L920" s="4"/>
      <c r="M920" s="4"/>
      <c r="N920" s="4"/>
      <c r="O920" s="4"/>
      <c r="P920" s="4"/>
      <c r="Q920" s="4"/>
      <c r="R920" s="4"/>
    </row>
    <row r="921" spans="1:18" ht="17.399999999999999" x14ac:dyDescent="0.25">
      <c r="A921" s="4"/>
      <c r="B921" s="23"/>
      <c r="C921" s="4"/>
      <c r="D921" s="4"/>
      <c r="E921" s="5"/>
      <c r="F921" s="4"/>
      <c r="G921" s="4"/>
      <c r="H921" s="4"/>
      <c r="I921" s="4"/>
      <c r="J921" s="4"/>
      <c r="K921" s="4"/>
      <c r="L921" s="4"/>
      <c r="M921" s="4"/>
      <c r="N921" s="4"/>
      <c r="O921" s="4"/>
      <c r="P921" s="4"/>
      <c r="Q921" s="4"/>
      <c r="R921" s="4"/>
    </row>
    <row r="922" spans="1:18" ht="17.399999999999999" x14ac:dyDescent="0.25">
      <c r="A922" s="4"/>
      <c r="B922" s="23"/>
      <c r="C922" s="4"/>
      <c r="D922" s="4"/>
      <c r="E922" s="5"/>
      <c r="F922" s="4"/>
      <c r="G922" s="4"/>
      <c r="H922" s="4"/>
      <c r="I922" s="4"/>
      <c r="J922" s="4"/>
      <c r="K922" s="4"/>
      <c r="L922" s="4"/>
      <c r="M922" s="4"/>
      <c r="N922" s="4"/>
      <c r="O922" s="4"/>
      <c r="P922" s="4"/>
      <c r="Q922" s="4"/>
      <c r="R922" s="4"/>
    </row>
    <row r="923" spans="1:18" ht="17.399999999999999" x14ac:dyDescent="0.25">
      <c r="A923" s="4"/>
      <c r="B923" s="23"/>
      <c r="C923" s="4"/>
      <c r="D923" s="4"/>
      <c r="E923" s="5"/>
      <c r="F923" s="4"/>
      <c r="G923" s="4"/>
      <c r="H923" s="4"/>
      <c r="I923" s="4"/>
      <c r="J923" s="4"/>
      <c r="K923" s="4"/>
      <c r="L923" s="4"/>
      <c r="M923" s="4"/>
      <c r="N923" s="4"/>
      <c r="O923" s="4"/>
      <c r="P923" s="4"/>
      <c r="Q923" s="4"/>
      <c r="R923" s="4"/>
    </row>
    <row r="924" spans="1:18" ht="17.399999999999999" x14ac:dyDescent="0.25">
      <c r="A924" s="4"/>
      <c r="B924" s="23"/>
      <c r="C924" s="4"/>
      <c r="D924" s="4"/>
      <c r="E924" s="5"/>
      <c r="F924" s="4"/>
      <c r="G924" s="4"/>
      <c r="H924" s="4"/>
      <c r="I924" s="4"/>
      <c r="J924" s="4"/>
      <c r="K924" s="4"/>
      <c r="L924" s="4"/>
      <c r="M924" s="4"/>
      <c r="N924" s="4"/>
      <c r="O924" s="4"/>
      <c r="P924" s="4"/>
      <c r="Q924" s="4"/>
      <c r="R924" s="4"/>
    </row>
    <row r="925" spans="1:18" ht="17.399999999999999" x14ac:dyDescent="0.25">
      <c r="A925" s="4"/>
      <c r="B925" s="23"/>
      <c r="C925" s="4"/>
      <c r="D925" s="4"/>
      <c r="E925" s="5"/>
      <c r="F925" s="4"/>
      <c r="G925" s="4"/>
      <c r="H925" s="4"/>
      <c r="I925" s="4"/>
      <c r="J925" s="4"/>
      <c r="K925" s="4"/>
      <c r="L925" s="4"/>
      <c r="M925" s="4"/>
      <c r="N925" s="4"/>
      <c r="O925" s="4"/>
      <c r="P925" s="4"/>
      <c r="Q925" s="4"/>
      <c r="R925" s="4"/>
    </row>
    <row r="926" spans="1:18" ht="17.399999999999999" x14ac:dyDescent="0.25">
      <c r="A926" s="4"/>
      <c r="B926" s="23"/>
      <c r="C926" s="4"/>
      <c r="D926" s="4"/>
      <c r="E926" s="5"/>
      <c r="F926" s="4"/>
      <c r="G926" s="4"/>
      <c r="H926" s="4"/>
      <c r="I926" s="4"/>
      <c r="J926" s="4"/>
      <c r="K926" s="4"/>
      <c r="L926" s="4"/>
      <c r="M926" s="4"/>
      <c r="N926" s="4"/>
      <c r="O926" s="4"/>
      <c r="P926" s="4"/>
      <c r="Q926" s="4"/>
      <c r="R926" s="4"/>
    </row>
    <row r="927" spans="1:18" ht="17.399999999999999" x14ac:dyDescent="0.25">
      <c r="A927" s="4"/>
      <c r="B927" s="23"/>
      <c r="C927" s="4"/>
      <c r="D927" s="4"/>
      <c r="E927" s="5"/>
      <c r="F927" s="4"/>
      <c r="G927" s="4"/>
      <c r="H927" s="4"/>
      <c r="I927" s="4"/>
      <c r="J927" s="4"/>
      <c r="K927" s="4"/>
      <c r="L927" s="4"/>
      <c r="M927" s="4"/>
      <c r="N927" s="4"/>
      <c r="O927" s="4"/>
      <c r="P927" s="4"/>
      <c r="Q927" s="4"/>
      <c r="R927" s="4"/>
    </row>
    <row r="928" spans="1:18" ht="17.399999999999999" x14ac:dyDescent="0.25">
      <c r="A928" s="4"/>
      <c r="B928" s="23"/>
      <c r="C928" s="4"/>
      <c r="D928" s="4"/>
      <c r="E928" s="5"/>
      <c r="F928" s="4"/>
      <c r="G928" s="4"/>
      <c r="H928" s="4"/>
      <c r="I928" s="4"/>
      <c r="J928" s="4"/>
      <c r="K928" s="4"/>
      <c r="L928" s="4"/>
      <c r="M928" s="4"/>
      <c r="N928" s="4"/>
      <c r="O928" s="4"/>
      <c r="P928" s="4"/>
      <c r="Q928" s="4"/>
      <c r="R928" s="4"/>
    </row>
    <row r="929" spans="1:18" ht="17.399999999999999" x14ac:dyDescent="0.25">
      <c r="A929" s="4"/>
      <c r="B929" s="23"/>
      <c r="C929" s="4"/>
      <c r="D929" s="4"/>
      <c r="E929" s="5"/>
      <c r="F929" s="4"/>
      <c r="G929" s="4"/>
      <c r="H929" s="4"/>
      <c r="I929" s="4"/>
      <c r="J929" s="4"/>
      <c r="K929" s="4"/>
      <c r="L929" s="4"/>
      <c r="M929" s="4"/>
      <c r="N929" s="4"/>
      <c r="O929" s="4"/>
      <c r="P929" s="4"/>
      <c r="Q929" s="4"/>
      <c r="R929" s="4"/>
    </row>
    <row r="930" spans="1:18" ht="17.399999999999999" x14ac:dyDescent="0.25">
      <c r="A930" s="4"/>
      <c r="B930" s="23"/>
      <c r="C930" s="4"/>
      <c r="D930" s="4"/>
      <c r="E930" s="5"/>
      <c r="F930" s="4"/>
      <c r="G930" s="4"/>
      <c r="H930" s="4"/>
      <c r="I930" s="4"/>
      <c r="J930" s="4"/>
      <c r="K930" s="4"/>
      <c r="L930" s="4"/>
      <c r="M930" s="4"/>
      <c r="N930" s="4"/>
      <c r="O930" s="4"/>
      <c r="P930" s="4"/>
      <c r="Q930" s="4"/>
      <c r="R930" s="4"/>
    </row>
    <row r="931" spans="1:18" ht="17.399999999999999" x14ac:dyDescent="0.25">
      <c r="A931" s="4"/>
      <c r="B931" s="23"/>
      <c r="C931" s="4"/>
      <c r="D931" s="4"/>
      <c r="E931" s="5"/>
      <c r="F931" s="4"/>
      <c r="G931" s="4"/>
      <c r="H931" s="4"/>
      <c r="I931" s="4"/>
      <c r="J931" s="4"/>
      <c r="K931" s="4"/>
      <c r="L931" s="4"/>
      <c r="M931" s="4"/>
      <c r="N931" s="4"/>
      <c r="O931" s="4"/>
      <c r="P931" s="4"/>
      <c r="Q931" s="4"/>
      <c r="R931" s="4"/>
    </row>
    <row r="932" spans="1:18" ht="17.399999999999999" x14ac:dyDescent="0.25">
      <c r="A932" s="4"/>
      <c r="B932" s="23"/>
      <c r="C932" s="4"/>
      <c r="D932" s="4"/>
      <c r="E932" s="5"/>
      <c r="F932" s="4"/>
      <c r="G932" s="4"/>
      <c r="H932" s="4"/>
      <c r="I932" s="4"/>
      <c r="J932" s="4"/>
      <c r="K932" s="4"/>
      <c r="L932" s="4"/>
      <c r="M932" s="4"/>
      <c r="N932" s="4"/>
      <c r="O932" s="4"/>
      <c r="P932" s="4"/>
      <c r="Q932" s="4"/>
      <c r="R932" s="4"/>
    </row>
    <row r="933" spans="1:18" ht="17.399999999999999" x14ac:dyDescent="0.25">
      <c r="A933" s="4"/>
      <c r="B933" s="23"/>
      <c r="C933" s="4"/>
      <c r="D933" s="4"/>
      <c r="E933" s="5"/>
      <c r="F933" s="4"/>
      <c r="G933" s="4"/>
      <c r="H933" s="4"/>
      <c r="I933" s="4"/>
      <c r="J933" s="4"/>
      <c r="K933" s="4"/>
      <c r="L933" s="4"/>
      <c r="M933" s="4"/>
      <c r="N933" s="4"/>
      <c r="O933" s="4"/>
      <c r="P933" s="4"/>
      <c r="Q933" s="4"/>
      <c r="R933" s="4"/>
    </row>
    <row r="934" spans="1:18" ht="17.399999999999999" x14ac:dyDescent="0.25">
      <c r="A934" s="4"/>
      <c r="B934" s="23"/>
      <c r="C934" s="4"/>
      <c r="D934" s="4"/>
      <c r="E934" s="5"/>
      <c r="F934" s="4"/>
      <c r="G934" s="4"/>
      <c r="H934" s="4"/>
      <c r="I934" s="4"/>
      <c r="J934" s="4"/>
      <c r="K934" s="4"/>
      <c r="L934" s="4"/>
      <c r="M934" s="4"/>
      <c r="N934" s="4"/>
      <c r="O934" s="4"/>
      <c r="P934" s="4"/>
      <c r="Q934" s="4"/>
      <c r="R934" s="4"/>
    </row>
    <row r="935" spans="1:18" ht="17.399999999999999" x14ac:dyDescent="0.25">
      <c r="A935" s="4"/>
      <c r="B935" s="23"/>
      <c r="C935" s="4"/>
      <c r="D935" s="4"/>
      <c r="E935" s="5"/>
      <c r="F935" s="4"/>
      <c r="G935" s="4"/>
      <c r="H935" s="4"/>
      <c r="I935" s="4"/>
      <c r="J935" s="4"/>
      <c r="K935" s="4"/>
      <c r="L935" s="4"/>
      <c r="M935" s="4"/>
      <c r="N935" s="4"/>
      <c r="O935" s="4"/>
      <c r="P935" s="4"/>
      <c r="Q935" s="4"/>
      <c r="R935" s="4"/>
    </row>
    <row r="936" spans="1:18" ht="17.399999999999999" x14ac:dyDescent="0.25">
      <c r="A936" s="4"/>
      <c r="B936" s="23"/>
      <c r="C936" s="4"/>
      <c r="D936" s="4"/>
      <c r="E936" s="5"/>
      <c r="F936" s="4"/>
      <c r="G936" s="4"/>
      <c r="H936" s="4"/>
      <c r="I936" s="4"/>
      <c r="J936" s="4"/>
      <c r="K936" s="4"/>
      <c r="L936" s="4"/>
      <c r="M936" s="4"/>
      <c r="N936" s="4"/>
      <c r="O936" s="4"/>
      <c r="P936" s="4"/>
      <c r="Q936" s="4"/>
      <c r="R936" s="4"/>
    </row>
    <row r="937" spans="1:18" ht="17.399999999999999" x14ac:dyDescent="0.25">
      <c r="A937" s="4"/>
      <c r="B937" s="23"/>
      <c r="C937" s="4"/>
      <c r="D937" s="4"/>
      <c r="E937" s="5"/>
      <c r="F937" s="4"/>
      <c r="G937" s="4"/>
      <c r="H937" s="4"/>
      <c r="I937" s="4"/>
      <c r="J937" s="4"/>
      <c r="K937" s="4"/>
      <c r="L937" s="4"/>
      <c r="M937" s="4"/>
      <c r="N937" s="4"/>
      <c r="O937" s="4"/>
      <c r="P937" s="4"/>
      <c r="Q937" s="4"/>
      <c r="R937" s="4"/>
    </row>
    <row r="938" spans="1:18" ht="17.399999999999999" x14ac:dyDescent="0.25">
      <c r="A938" s="4"/>
      <c r="B938" s="23"/>
      <c r="C938" s="4"/>
      <c r="D938" s="4"/>
      <c r="E938" s="5"/>
      <c r="F938" s="4"/>
      <c r="G938" s="4"/>
      <c r="H938" s="4"/>
      <c r="I938" s="4"/>
      <c r="J938" s="4"/>
      <c r="K938" s="4"/>
      <c r="L938" s="4"/>
      <c r="M938" s="4"/>
      <c r="N938" s="4"/>
      <c r="O938" s="4"/>
      <c r="P938" s="4"/>
      <c r="Q938" s="4"/>
      <c r="R938" s="4"/>
    </row>
    <row r="939" spans="1:18" ht="17.399999999999999" x14ac:dyDescent="0.25">
      <c r="A939" s="4"/>
      <c r="B939" s="23"/>
      <c r="C939" s="4"/>
      <c r="D939" s="4"/>
      <c r="E939" s="5"/>
      <c r="F939" s="4"/>
      <c r="G939" s="4"/>
      <c r="H939" s="4"/>
      <c r="I939" s="4"/>
      <c r="J939" s="4"/>
      <c r="K939" s="4"/>
      <c r="L939" s="4"/>
      <c r="M939" s="4"/>
      <c r="N939" s="4"/>
      <c r="O939" s="4"/>
      <c r="P939" s="4"/>
      <c r="Q939" s="4"/>
      <c r="R939" s="4"/>
    </row>
    <row r="940" spans="1:18" ht="17.399999999999999" x14ac:dyDescent="0.25">
      <c r="A940" s="4"/>
      <c r="B940" s="23"/>
      <c r="C940" s="4"/>
      <c r="D940" s="4"/>
      <c r="E940" s="5"/>
      <c r="F940" s="4"/>
      <c r="G940" s="4"/>
      <c r="H940" s="4"/>
      <c r="I940" s="4"/>
      <c r="J940" s="4"/>
      <c r="K940" s="4"/>
      <c r="L940" s="4"/>
      <c r="M940" s="4"/>
      <c r="N940" s="4"/>
      <c r="O940" s="4"/>
      <c r="P940" s="4"/>
      <c r="Q940" s="4"/>
      <c r="R940" s="4"/>
    </row>
    <row r="941" spans="1:18" ht="17.399999999999999" x14ac:dyDescent="0.25">
      <c r="A941" s="4"/>
      <c r="B941" s="23"/>
      <c r="C941" s="4"/>
      <c r="D941" s="4"/>
      <c r="E941" s="5"/>
      <c r="F941" s="4"/>
      <c r="G941" s="4"/>
      <c r="H941" s="4"/>
      <c r="I941" s="4"/>
      <c r="J941" s="4"/>
      <c r="K941" s="4"/>
      <c r="L941" s="4"/>
      <c r="M941" s="4"/>
      <c r="N941" s="4"/>
      <c r="O941" s="4"/>
      <c r="P941" s="4"/>
      <c r="Q941" s="4"/>
      <c r="R941" s="4"/>
    </row>
    <row r="942" spans="1:18" ht="17.399999999999999" x14ac:dyDescent="0.25">
      <c r="A942" s="4"/>
      <c r="B942" s="23"/>
      <c r="C942" s="4"/>
      <c r="D942" s="4"/>
      <c r="E942" s="5"/>
      <c r="F942" s="4"/>
      <c r="G942" s="4"/>
      <c r="H942" s="4"/>
      <c r="I942" s="4"/>
      <c r="J942" s="4"/>
      <c r="K942" s="4"/>
      <c r="L942" s="4"/>
      <c r="M942" s="4"/>
      <c r="N942" s="4"/>
      <c r="O942" s="4"/>
      <c r="P942" s="4"/>
      <c r="Q942" s="4"/>
      <c r="R942" s="4"/>
    </row>
    <row r="943" spans="1:18" ht="17.399999999999999" x14ac:dyDescent="0.25">
      <c r="A943" s="4"/>
      <c r="B943" s="23"/>
      <c r="C943" s="4"/>
      <c r="D943" s="4"/>
      <c r="E943" s="5"/>
      <c r="F943" s="4"/>
      <c r="G943" s="4"/>
      <c r="H943" s="4"/>
      <c r="I943" s="4"/>
      <c r="J943" s="4"/>
      <c r="K943" s="4"/>
      <c r="L943" s="4"/>
      <c r="M943" s="4"/>
      <c r="N943" s="4"/>
      <c r="O943" s="4"/>
      <c r="P943" s="4"/>
      <c r="Q943" s="4"/>
      <c r="R943" s="4"/>
    </row>
    <row r="944" spans="1:18" ht="17.399999999999999" x14ac:dyDescent="0.25">
      <c r="A944" s="4"/>
      <c r="B944" s="23"/>
      <c r="C944" s="4"/>
      <c r="D944" s="4"/>
      <c r="E944" s="5"/>
      <c r="F944" s="4"/>
      <c r="G944" s="4"/>
      <c r="H944" s="4"/>
      <c r="I944" s="4"/>
      <c r="J944" s="4"/>
      <c r="K944" s="4"/>
      <c r="L944" s="4"/>
      <c r="M944" s="4"/>
      <c r="N944" s="4"/>
      <c r="O944" s="4"/>
      <c r="P944" s="4"/>
      <c r="Q944" s="4"/>
      <c r="R944" s="4"/>
    </row>
    <row r="945" spans="1:18" ht="17.399999999999999" x14ac:dyDescent="0.25">
      <c r="A945" s="4"/>
      <c r="B945" s="23"/>
      <c r="C945" s="4"/>
      <c r="D945" s="4"/>
      <c r="E945" s="5"/>
      <c r="F945" s="4"/>
      <c r="G945" s="4"/>
      <c r="H945" s="4"/>
      <c r="I945" s="4"/>
      <c r="J945" s="4"/>
      <c r="K945" s="4"/>
      <c r="L945" s="4"/>
      <c r="M945" s="4"/>
      <c r="N945" s="4"/>
      <c r="O945" s="4"/>
      <c r="P945" s="4"/>
      <c r="Q945" s="4"/>
      <c r="R945" s="4"/>
    </row>
    <row r="946" spans="1:18" ht="17.399999999999999" x14ac:dyDescent="0.25">
      <c r="A946" s="4"/>
      <c r="B946" s="23"/>
      <c r="C946" s="4"/>
      <c r="D946" s="4"/>
      <c r="E946" s="5"/>
      <c r="F946" s="4"/>
      <c r="G946" s="4"/>
      <c r="H946" s="4"/>
      <c r="I946" s="4"/>
      <c r="J946" s="4"/>
      <c r="K946" s="4"/>
      <c r="L946" s="4"/>
      <c r="M946" s="4"/>
      <c r="N946" s="4"/>
      <c r="O946" s="4"/>
      <c r="P946" s="4"/>
      <c r="Q946" s="4"/>
      <c r="R946" s="4"/>
    </row>
    <row r="947" spans="1:18" ht="17.399999999999999" x14ac:dyDescent="0.25">
      <c r="A947" s="4"/>
      <c r="B947" s="23"/>
      <c r="C947" s="4"/>
      <c r="D947" s="4"/>
      <c r="E947" s="5"/>
      <c r="F947" s="4"/>
      <c r="G947" s="4"/>
      <c r="H947" s="4"/>
      <c r="I947" s="4"/>
      <c r="J947" s="4"/>
      <c r="K947" s="4"/>
      <c r="L947" s="4"/>
      <c r="M947" s="4"/>
      <c r="N947" s="4"/>
      <c r="O947" s="4"/>
      <c r="P947" s="4"/>
      <c r="Q947" s="4"/>
      <c r="R947" s="4"/>
    </row>
    <row r="948" spans="1:18" ht="17.399999999999999" x14ac:dyDescent="0.25">
      <c r="A948" s="4"/>
      <c r="B948" s="23"/>
      <c r="C948" s="4"/>
      <c r="D948" s="4"/>
      <c r="E948" s="5"/>
      <c r="F948" s="4"/>
      <c r="G948" s="4"/>
      <c r="H948" s="4"/>
      <c r="I948" s="4"/>
      <c r="J948" s="4"/>
      <c r="K948" s="4"/>
      <c r="L948" s="4"/>
      <c r="M948" s="4"/>
      <c r="N948" s="4"/>
      <c r="O948" s="4"/>
      <c r="P948" s="4"/>
      <c r="Q948" s="4"/>
      <c r="R948" s="4"/>
    </row>
    <row r="949" spans="1:18" ht="17.399999999999999" x14ac:dyDescent="0.25">
      <c r="A949" s="4"/>
      <c r="B949" s="23"/>
      <c r="C949" s="4"/>
      <c r="D949" s="4"/>
      <c r="E949" s="5"/>
      <c r="F949" s="4"/>
      <c r="G949" s="4"/>
      <c r="H949" s="4"/>
      <c r="I949" s="4"/>
      <c r="J949" s="4"/>
      <c r="K949" s="4"/>
      <c r="L949" s="4"/>
      <c r="M949" s="4"/>
      <c r="N949" s="4"/>
      <c r="O949" s="4"/>
      <c r="P949" s="4"/>
      <c r="Q949" s="4"/>
      <c r="R949" s="4"/>
    </row>
    <row r="950" spans="1:18" ht="17.399999999999999" x14ac:dyDescent="0.25">
      <c r="A950" s="4"/>
      <c r="B950" s="23"/>
      <c r="C950" s="4"/>
      <c r="D950" s="4"/>
      <c r="E950" s="5"/>
      <c r="F950" s="4"/>
      <c r="G950" s="4"/>
      <c r="H950" s="4"/>
      <c r="I950" s="4"/>
      <c r="J950" s="4"/>
      <c r="K950" s="4"/>
      <c r="L950" s="4"/>
      <c r="M950" s="4"/>
      <c r="N950" s="4"/>
      <c r="O950" s="4"/>
      <c r="P950" s="4"/>
      <c r="Q950" s="4"/>
      <c r="R950" s="4"/>
    </row>
    <row r="951" spans="1:18" ht="17.399999999999999" x14ac:dyDescent="0.25">
      <c r="A951" s="4"/>
      <c r="B951" s="23"/>
      <c r="C951" s="4"/>
      <c r="D951" s="4"/>
      <c r="E951" s="5"/>
      <c r="F951" s="4"/>
      <c r="G951" s="4"/>
      <c r="H951" s="4"/>
      <c r="I951" s="4"/>
      <c r="J951" s="4"/>
      <c r="K951" s="4"/>
      <c r="L951" s="4"/>
      <c r="M951" s="4"/>
      <c r="N951" s="4"/>
      <c r="O951" s="4"/>
      <c r="P951" s="4"/>
      <c r="Q951" s="4"/>
      <c r="R951" s="4"/>
    </row>
    <row r="952" spans="1:18" ht="17.399999999999999" x14ac:dyDescent="0.25">
      <c r="A952" s="4"/>
      <c r="B952" s="23"/>
      <c r="C952" s="4"/>
      <c r="D952" s="4"/>
      <c r="E952" s="5"/>
      <c r="F952" s="4"/>
      <c r="G952" s="4"/>
      <c r="H952" s="4"/>
      <c r="I952" s="4"/>
      <c r="J952" s="4"/>
      <c r="K952" s="4"/>
      <c r="L952" s="4"/>
      <c r="M952" s="4"/>
      <c r="N952" s="4"/>
      <c r="O952" s="4"/>
      <c r="P952" s="4"/>
      <c r="Q952" s="4"/>
      <c r="R952" s="4"/>
    </row>
    <row r="953" spans="1:18" ht="17.399999999999999" x14ac:dyDescent="0.25">
      <c r="A953" s="4"/>
      <c r="B953" s="23"/>
      <c r="C953" s="4"/>
      <c r="D953" s="4"/>
      <c r="E953" s="5"/>
      <c r="F953" s="4"/>
      <c r="G953" s="4"/>
      <c r="H953" s="4"/>
      <c r="I953" s="4"/>
      <c r="J953" s="4"/>
      <c r="K953" s="4"/>
      <c r="L953" s="4"/>
      <c r="M953" s="4"/>
      <c r="N953" s="4"/>
      <c r="O953" s="4"/>
      <c r="P953" s="4"/>
      <c r="Q953" s="4"/>
      <c r="R953" s="4"/>
    </row>
    <row r="954" spans="1:18" ht="17.399999999999999" x14ac:dyDescent="0.25">
      <c r="A954" s="4"/>
      <c r="B954" s="23"/>
      <c r="C954" s="4"/>
      <c r="D954" s="4"/>
      <c r="E954" s="5"/>
      <c r="F954" s="4"/>
      <c r="G954" s="4"/>
      <c r="H954" s="4"/>
      <c r="I954" s="4"/>
      <c r="J954" s="4"/>
      <c r="K954" s="4"/>
      <c r="L954" s="4"/>
      <c r="M954" s="4"/>
      <c r="N954" s="4"/>
      <c r="O954" s="4"/>
      <c r="P954" s="4"/>
      <c r="Q954" s="4"/>
      <c r="R954" s="4"/>
    </row>
    <row r="955" spans="1:18" ht="17.399999999999999" x14ac:dyDescent="0.25">
      <c r="A955" s="4"/>
      <c r="B955" s="23"/>
      <c r="C955" s="4"/>
      <c r="D955" s="4"/>
      <c r="E955" s="5"/>
      <c r="F955" s="4"/>
      <c r="G955" s="4"/>
      <c r="H955" s="4"/>
      <c r="I955" s="4"/>
      <c r="J955" s="4"/>
      <c r="K955" s="4"/>
      <c r="L955" s="4"/>
      <c r="M955" s="4"/>
      <c r="N955" s="4"/>
      <c r="O955" s="4"/>
      <c r="P955" s="4"/>
      <c r="Q955" s="4"/>
      <c r="R955" s="4"/>
    </row>
    <row r="956" spans="1:18" ht="17.399999999999999" x14ac:dyDescent="0.25">
      <c r="A956" s="4"/>
      <c r="B956" s="23"/>
      <c r="C956" s="4"/>
      <c r="D956" s="4"/>
      <c r="E956" s="5"/>
      <c r="F956" s="4"/>
      <c r="G956" s="4"/>
      <c r="H956" s="4"/>
      <c r="I956" s="4"/>
      <c r="J956" s="4"/>
      <c r="K956" s="4"/>
      <c r="L956" s="4"/>
      <c r="M956" s="4"/>
      <c r="N956" s="4"/>
      <c r="O956" s="4"/>
      <c r="P956" s="4"/>
      <c r="Q956" s="4"/>
      <c r="R956" s="4"/>
    </row>
    <row r="957" spans="1:18" ht="17.399999999999999" x14ac:dyDescent="0.25">
      <c r="A957" s="4"/>
      <c r="B957" s="23"/>
      <c r="C957" s="4"/>
      <c r="D957" s="4"/>
      <c r="E957" s="5"/>
      <c r="F957" s="4"/>
      <c r="G957" s="4"/>
      <c r="H957" s="4"/>
      <c r="I957" s="4"/>
      <c r="J957" s="4"/>
      <c r="K957" s="4"/>
      <c r="L957" s="4"/>
      <c r="M957" s="4"/>
      <c r="N957" s="4"/>
      <c r="O957" s="4"/>
      <c r="P957" s="4"/>
      <c r="Q957" s="4"/>
      <c r="R957" s="4"/>
    </row>
    <row r="958" spans="1:18" ht="17.399999999999999" x14ac:dyDescent="0.25">
      <c r="A958" s="4"/>
      <c r="B958" s="23"/>
      <c r="C958" s="4"/>
      <c r="D958" s="4"/>
      <c r="E958" s="5"/>
      <c r="F958" s="4"/>
      <c r="G958" s="4"/>
      <c r="H958" s="4"/>
      <c r="I958" s="4"/>
      <c r="J958" s="4"/>
      <c r="K958" s="4"/>
      <c r="L958" s="4"/>
      <c r="M958" s="4"/>
      <c r="N958" s="4"/>
      <c r="O958" s="4"/>
      <c r="P958" s="4"/>
      <c r="Q958" s="4"/>
      <c r="R958" s="4"/>
    </row>
    <row r="959" spans="1:18" ht="17.399999999999999" x14ac:dyDescent="0.25">
      <c r="A959" s="4"/>
      <c r="B959" s="23"/>
      <c r="C959" s="4"/>
      <c r="D959" s="4"/>
      <c r="E959" s="5"/>
      <c r="F959" s="4"/>
      <c r="G959" s="4"/>
      <c r="H959" s="4"/>
      <c r="I959" s="4"/>
      <c r="J959" s="4"/>
      <c r="K959" s="4"/>
      <c r="L959" s="4"/>
      <c r="M959" s="4"/>
      <c r="N959" s="4"/>
      <c r="O959" s="4"/>
      <c r="P959" s="4"/>
      <c r="Q959" s="4"/>
      <c r="R959" s="4"/>
    </row>
    <row r="960" spans="1:18" ht="17.399999999999999" x14ac:dyDescent="0.25">
      <c r="A960" s="4"/>
      <c r="B960" s="23"/>
      <c r="C960" s="4"/>
      <c r="D960" s="4"/>
      <c r="E960" s="5"/>
      <c r="F960" s="4"/>
      <c r="G960" s="4"/>
      <c r="H960" s="4"/>
      <c r="I960" s="4"/>
      <c r="J960" s="4"/>
      <c r="K960" s="4"/>
      <c r="L960" s="4"/>
      <c r="M960" s="4"/>
      <c r="N960" s="4"/>
      <c r="O960" s="4"/>
      <c r="P960" s="4"/>
      <c r="Q960" s="4"/>
      <c r="R960" s="4"/>
    </row>
    <row r="961" spans="1:18" ht="17.399999999999999" x14ac:dyDescent="0.25">
      <c r="A961" s="4"/>
      <c r="B961" s="23"/>
      <c r="C961" s="4"/>
      <c r="D961" s="4"/>
      <c r="E961" s="5"/>
      <c r="F961" s="4"/>
      <c r="G961" s="4"/>
      <c r="H961" s="4"/>
      <c r="I961" s="4"/>
      <c r="J961" s="4"/>
      <c r="K961" s="4"/>
      <c r="L961" s="4"/>
      <c r="M961" s="4"/>
      <c r="N961" s="4"/>
      <c r="O961" s="4"/>
      <c r="P961" s="4"/>
      <c r="Q961" s="4"/>
      <c r="R961" s="4"/>
    </row>
    <row r="962" spans="1:18" ht="17.399999999999999" x14ac:dyDescent="0.25">
      <c r="A962" s="4"/>
      <c r="B962" s="23"/>
      <c r="C962" s="4"/>
      <c r="D962" s="4"/>
      <c r="E962" s="5"/>
      <c r="F962" s="4"/>
      <c r="G962" s="4"/>
      <c r="H962" s="4"/>
      <c r="I962" s="4"/>
      <c r="J962" s="4"/>
      <c r="K962" s="4"/>
      <c r="L962" s="4"/>
      <c r="M962" s="4"/>
      <c r="N962" s="4"/>
      <c r="O962" s="4"/>
      <c r="P962" s="4"/>
      <c r="Q962" s="4"/>
      <c r="R962" s="4"/>
    </row>
    <row r="963" spans="1:18" ht="17.399999999999999" x14ac:dyDescent="0.25">
      <c r="A963" s="4"/>
      <c r="B963" s="23"/>
      <c r="C963" s="4"/>
      <c r="D963" s="4"/>
      <c r="E963" s="5"/>
      <c r="F963" s="4"/>
      <c r="G963" s="4"/>
      <c r="H963" s="4"/>
      <c r="I963" s="4"/>
      <c r="J963" s="4"/>
      <c r="K963" s="4"/>
      <c r="L963" s="4"/>
      <c r="M963" s="4"/>
      <c r="N963" s="4"/>
      <c r="O963" s="4"/>
      <c r="P963" s="4"/>
      <c r="Q963" s="4"/>
      <c r="R963" s="4"/>
    </row>
    <row r="964" spans="1:18" ht="17.399999999999999" x14ac:dyDescent="0.25">
      <c r="A964" s="4"/>
      <c r="B964" s="23"/>
      <c r="C964" s="4"/>
      <c r="D964" s="4"/>
      <c r="E964" s="5"/>
      <c r="F964" s="4"/>
      <c r="G964" s="4"/>
      <c r="H964" s="4"/>
      <c r="I964" s="4"/>
      <c r="J964" s="4"/>
      <c r="K964" s="4"/>
      <c r="L964" s="4"/>
      <c r="M964" s="4"/>
      <c r="N964" s="4"/>
      <c r="O964" s="4"/>
      <c r="P964" s="4"/>
      <c r="Q964" s="4"/>
      <c r="R964" s="4"/>
    </row>
    <row r="965" spans="1:18" ht="17.399999999999999" x14ac:dyDescent="0.25">
      <c r="A965" s="4"/>
      <c r="B965" s="23"/>
      <c r="C965" s="4"/>
      <c r="D965" s="4"/>
      <c r="E965" s="5"/>
      <c r="F965" s="4"/>
      <c r="G965" s="4"/>
      <c r="H965" s="4"/>
      <c r="I965" s="4"/>
      <c r="J965" s="4"/>
      <c r="K965" s="4"/>
      <c r="L965" s="4"/>
      <c r="M965" s="4"/>
      <c r="N965" s="4"/>
      <c r="O965" s="4"/>
      <c r="P965" s="4"/>
      <c r="Q965" s="4"/>
      <c r="R965" s="4"/>
    </row>
    <row r="966" spans="1:18" ht="17.399999999999999" x14ac:dyDescent="0.25">
      <c r="A966" s="4"/>
      <c r="B966" s="23"/>
      <c r="C966" s="4"/>
      <c r="D966" s="4"/>
      <c r="E966" s="5"/>
      <c r="F966" s="4"/>
      <c r="G966" s="4"/>
      <c r="H966" s="4"/>
      <c r="I966" s="4"/>
      <c r="J966" s="4"/>
      <c r="K966" s="4"/>
      <c r="L966" s="4"/>
      <c r="M966" s="4"/>
      <c r="N966" s="4"/>
      <c r="O966" s="4"/>
      <c r="P966" s="4"/>
      <c r="Q966" s="4"/>
      <c r="R966" s="4"/>
    </row>
    <row r="967" spans="1:18" ht="17.399999999999999" x14ac:dyDescent="0.25">
      <c r="A967" s="4"/>
      <c r="B967" s="23"/>
      <c r="C967" s="4"/>
      <c r="D967" s="4"/>
      <c r="E967" s="5"/>
      <c r="F967" s="4"/>
      <c r="G967" s="4"/>
      <c r="H967" s="4"/>
      <c r="I967" s="4"/>
      <c r="J967" s="4"/>
      <c r="K967" s="4"/>
      <c r="L967" s="4"/>
      <c r="M967" s="4"/>
      <c r="N967" s="4"/>
      <c r="O967" s="4"/>
      <c r="P967" s="4"/>
      <c r="Q967" s="4"/>
      <c r="R967" s="4"/>
    </row>
    <row r="968" spans="1:18" ht="17.399999999999999" x14ac:dyDescent="0.25">
      <c r="A968" s="4"/>
      <c r="B968" s="23"/>
      <c r="C968" s="4"/>
      <c r="D968" s="4"/>
      <c r="E968" s="5"/>
      <c r="F968" s="4"/>
      <c r="G968" s="4"/>
      <c r="H968" s="4"/>
      <c r="I968" s="4"/>
      <c r="J968" s="4"/>
      <c r="K968" s="4"/>
      <c r="L968" s="4"/>
      <c r="M968" s="4"/>
      <c r="N968" s="4"/>
      <c r="O968" s="4"/>
      <c r="P968" s="4"/>
      <c r="Q968" s="4"/>
      <c r="R968" s="4"/>
    </row>
    <row r="969" spans="1:18" ht="17.399999999999999" x14ac:dyDescent="0.25">
      <c r="A969" s="4"/>
      <c r="B969" s="23"/>
      <c r="C969" s="4"/>
      <c r="D969" s="4"/>
      <c r="E969" s="5"/>
      <c r="F969" s="4"/>
      <c r="G969" s="4"/>
      <c r="H969" s="4"/>
      <c r="I969" s="4"/>
      <c r="J969" s="4"/>
      <c r="K969" s="4"/>
      <c r="L969" s="4"/>
      <c r="M969" s="4"/>
      <c r="N969" s="4"/>
      <c r="O969" s="4"/>
      <c r="P969" s="4"/>
      <c r="Q969" s="4"/>
      <c r="R969" s="4"/>
    </row>
    <row r="970" spans="1:18" ht="17.399999999999999" x14ac:dyDescent="0.25">
      <c r="A970" s="4"/>
      <c r="B970" s="23"/>
      <c r="C970" s="4"/>
      <c r="D970" s="4"/>
      <c r="E970" s="5"/>
      <c r="F970" s="4"/>
      <c r="G970" s="4"/>
      <c r="H970" s="4"/>
      <c r="I970" s="4"/>
      <c r="J970" s="4"/>
      <c r="K970" s="4"/>
      <c r="L970" s="4"/>
      <c r="M970" s="4"/>
      <c r="N970" s="4"/>
      <c r="O970" s="4"/>
      <c r="P970" s="4"/>
      <c r="Q970" s="4"/>
      <c r="R970" s="4"/>
    </row>
    <row r="971" spans="1:18" ht="17.399999999999999" x14ac:dyDescent="0.25">
      <c r="A971" s="4"/>
      <c r="B971" s="23"/>
      <c r="C971" s="4"/>
      <c r="D971" s="4"/>
      <c r="E971" s="5"/>
      <c r="F971" s="4"/>
      <c r="G971" s="4"/>
      <c r="H971" s="4"/>
      <c r="I971" s="4"/>
      <c r="J971" s="4"/>
      <c r="K971" s="4"/>
      <c r="L971" s="4"/>
      <c r="M971" s="4"/>
      <c r="N971" s="4"/>
      <c r="O971" s="4"/>
      <c r="P971" s="4"/>
      <c r="Q971" s="4"/>
      <c r="R971" s="4"/>
    </row>
    <row r="972" spans="1:18" ht="17.399999999999999" x14ac:dyDescent="0.25">
      <c r="A972" s="4"/>
      <c r="B972" s="23"/>
      <c r="C972" s="4"/>
      <c r="D972" s="4"/>
      <c r="E972" s="5"/>
      <c r="F972" s="4"/>
      <c r="G972" s="4"/>
      <c r="H972" s="4"/>
      <c r="I972" s="4"/>
      <c r="J972" s="4"/>
      <c r="K972" s="4"/>
      <c r="L972" s="4"/>
      <c r="M972" s="4"/>
      <c r="N972" s="4"/>
      <c r="O972" s="4"/>
      <c r="P972" s="4"/>
      <c r="Q972" s="4"/>
      <c r="R972" s="4"/>
    </row>
    <row r="973" spans="1:18" ht="17.399999999999999" x14ac:dyDescent="0.25">
      <c r="A973" s="4"/>
      <c r="B973" s="23"/>
      <c r="C973" s="4"/>
      <c r="D973" s="4"/>
      <c r="E973" s="5"/>
      <c r="F973" s="4"/>
      <c r="G973" s="4"/>
      <c r="H973" s="4"/>
      <c r="I973" s="4"/>
      <c r="J973" s="4"/>
      <c r="K973" s="4"/>
      <c r="L973" s="4"/>
      <c r="M973" s="4"/>
      <c r="N973" s="4"/>
      <c r="O973" s="4"/>
      <c r="P973" s="4"/>
      <c r="Q973" s="4"/>
      <c r="R973" s="4"/>
    </row>
    <row r="974" spans="1:18" ht="17.399999999999999" x14ac:dyDescent="0.25">
      <c r="A974" s="4"/>
      <c r="B974" s="23"/>
      <c r="C974" s="4"/>
      <c r="D974" s="4"/>
      <c r="E974" s="5"/>
      <c r="F974" s="4"/>
      <c r="G974" s="4"/>
      <c r="H974" s="4"/>
      <c r="I974" s="4"/>
      <c r="J974" s="4"/>
      <c r="K974" s="4"/>
      <c r="L974" s="4"/>
      <c r="M974" s="4"/>
      <c r="N974" s="4"/>
      <c r="O974" s="4"/>
      <c r="P974" s="4"/>
      <c r="Q974" s="4"/>
      <c r="R974" s="4"/>
    </row>
    <row r="975" spans="1:18" ht="17.399999999999999" x14ac:dyDescent="0.25">
      <c r="A975" s="4"/>
      <c r="B975" s="23"/>
      <c r="C975" s="4"/>
      <c r="D975" s="4"/>
      <c r="E975" s="5"/>
      <c r="F975" s="4"/>
      <c r="G975" s="4"/>
      <c r="H975" s="4"/>
      <c r="I975" s="4"/>
      <c r="J975" s="4"/>
      <c r="K975" s="4"/>
      <c r="L975" s="4"/>
      <c r="M975" s="4"/>
      <c r="N975" s="4"/>
      <c r="O975" s="4"/>
      <c r="P975" s="4"/>
      <c r="Q975" s="4"/>
      <c r="R975" s="4"/>
    </row>
    <row r="976" spans="1:18" ht="17.399999999999999" x14ac:dyDescent="0.25">
      <c r="A976" s="4"/>
      <c r="B976" s="23"/>
      <c r="C976" s="4"/>
      <c r="D976" s="4"/>
      <c r="E976" s="5"/>
      <c r="F976" s="4"/>
      <c r="G976" s="4"/>
      <c r="H976" s="4"/>
      <c r="I976" s="4"/>
      <c r="J976" s="4"/>
      <c r="K976" s="4"/>
      <c r="L976" s="4"/>
      <c r="M976" s="4"/>
      <c r="N976" s="4"/>
      <c r="O976" s="4"/>
      <c r="P976" s="4"/>
      <c r="Q976" s="4"/>
      <c r="R976" s="4"/>
    </row>
    <row r="977" spans="1:18" ht="17.399999999999999" x14ac:dyDescent="0.25">
      <c r="A977" s="4"/>
      <c r="B977" s="23"/>
      <c r="C977" s="4"/>
      <c r="D977" s="4"/>
      <c r="E977" s="5"/>
      <c r="F977" s="4"/>
      <c r="G977" s="4"/>
      <c r="H977" s="4"/>
      <c r="I977" s="4"/>
      <c r="J977" s="4"/>
      <c r="K977" s="4"/>
      <c r="L977" s="4"/>
      <c r="M977" s="4"/>
      <c r="N977" s="4"/>
      <c r="O977" s="4"/>
      <c r="P977" s="4"/>
      <c r="Q977" s="4"/>
      <c r="R977" s="4"/>
    </row>
    <row r="978" spans="1:18" ht="17.399999999999999" x14ac:dyDescent="0.25">
      <c r="A978" s="4"/>
      <c r="B978" s="23"/>
      <c r="C978" s="4"/>
      <c r="D978" s="4"/>
      <c r="E978" s="5"/>
      <c r="F978" s="4"/>
      <c r="G978" s="4"/>
      <c r="H978" s="4"/>
      <c r="I978" s="4"/>
      <c r="J978" s="4"/>
      <c r="K978" s="4"/>
      <c r="L978" s="4"/>
      <c r="M978" s="4"/>
      <c r="N978" s="4"/>
      <c r="O978" s="4"/>
      <c r="P978" s="4"/>
      <c r="Q978" s="4"/>
      <c r="R978" s="4"/>
    </row>
    <row r="979" spans="1:18" ht="17.399999999999999" x14ac:dyDescent="0.25">
      <c r="A979" s="4"/>
      <c r="B979" s="23"/>
      <c r="C979" s="4"/>
      <c r="D979" s="4"/>
      <c r="E979" s="5"/>
      <c r="F979" s="4"/>
      <c r="G979" s="4"/>
      <c r="H979" s="4"/>
      <c r="I979" s="4"/>
      <c r="J979" s="4"/>
      <c r="K979" s="4"/>
      <c r="L979" s="4"/>
      <c r="M979" s="4"/>
      <c r="N979" s="4"/>
      <c r="O979" s="4"/>
      <c r="P979" s="4"/>
      <c r="Q979" s="4"/>
      <c r="R979" s="4"/>
    </row>
    <row r="980" spans="1:18" ht="17.399999999999999" x14ac:dyDescent="0.25">
      <c r="A980" s="4"/>
      <c r="B980" s="23"/>
      <c r="C980" s="4"/>
      <c r="D980" s="4"/>
      <c r="E980" s="5"/>
      <c r="F980" s="4"/>
      <c r="G980" s="4"/>
      <c r="H980" s="4"/>
      <c r="I980" s="4"/>
      <c r="J980" s="4"/>
      <c r="K980" s="4"/>
      <c r="L980" s="4"/>
      <c r="M980" s="4"/>
      <c r="N980" s="4"/>
      <c r="O980" s="4"/>
      <c r="P980" s="4"/>
      <c r="Q980" s="4"/>
      <c r="R980" s="4"/>
    </row>
    <row r="981" spans="1:18" ht="17.399999999999999" x14ac:dyDescent="0.25">
      <c r="A981" s="4"/>
      <c r="B981" s="23"/>
      <c r="C981" s="4"/>
      <c r="D981" s="4"/>
      <c r="E981" s="5"/>
      <c r="F981" s="4"/>
      <c r="G981" s="4"/>
      <c r="H981" s="4"/>
      <c r="I981" s="4"/>
      <c r="J981" s="4"/>
      <c r="K981" s="4"/>
      <c r="L981" s="4"/>
      <c r="M981" s="4"/>
      <c r="N981" s="4"/>
      <c r="O981" s="4"/>
      <c r="P981" s="4"/>
      <c r="Q981" s="4"/>
      <c r="R981" s="4"/>
    </row>
    <row r="982" spans="1:18" ht="17.399999999999999" x14ac:dyDescent="0.25">
      <c r="A982" s="4"/>
      <c r="B982" s="23"/>
      <c r="C982" s="4"/>
      <c r="D982" s="4"/>
      <c r="E982" s="5"/>
      <c r="F982" s="4"/>
      <c r="G982" s="4"/>
      <c r="H982" s="4"/>
      <c r="I982" s="4"/>
      <c r="J982" s="4"/>
      <c r="K982" s="4"/>
      <c r="L982" s="4"/>
      <c r="M982" s="4"/>
      <c r="N982" s="4"/>
      <c r="O982" s="4"/>
      <c r="P982" s="4"/>
      <c r="Q982" s="4"/>
      <c r="R982" s="4"/>
    </row>
    <row r="983" spans="1:18" ht="17.399999999999999" x14ac:dyDescent="0.25">
      <c r="A983" s="4"/>
      <c r="B983" s="23"/>
      <c r="C983" s="4"/>
      <c r="D983" s="4"/>
      <c r="E983" s="5"/>
      <c r="F983" s="4"/>
      <c r="G983" s="4"/>
      <c r="H983" s="4"/>
      <c r="I983" s="4"/>
      <c r="J983" s="4"/>
      <c r="K983" s="4"/>
      <c r="L983" s="4"/>
      <c r="M983" s="4"/>
      <c r="N983" s="4"/>
      <c r="O983" s="4"/>
      <c r="P983" s="4"/>
      <c r="Q983" s="4"/>
      <c r="R983" s="4"/>
    </row>
    <row r="984" spans="1:18" ht="17.399999999999999" x14ac:dyDescent="0.25">
      <c r="A984" s="4"/>
      <c r="B984" s="23"/>
      <c r="C984" s="4"/>
      <c r="D984" s="4"/>
      <c r="E984" s="5"/>
      <c r="F984" s="4"/>
      <c r="G984" s="4"/>
      <c r="H984" s="4"/>
      <c r="I984" s="4"/>
      <c r="J984" s="4"/>
      <c r="K984" s="4"/>
      <c r="L984" s="4"/>
      <c r="M984" s="4"/>
      <c r="N984" s="4"/>
      <c r="O984" s="4"/>
      <c r="P984" s="4"/>
      <c r="Q984" s="4"/>
      <c r="R984" s="4"/>
    </row>
    <row r="985" spans="1:18" ht="17.399999999999999" x14ac:dyDescent="0.25">
      <c r="A985" s="4"/>
      <c r="B985" s="23"/>
      <c r="C985" s="4"/>
      <c r="D985" s="4"/>
      <c r="E985" s="5"/>
      <c r="F985" s="4"/>
      <c r="G985" s="4"/>
      <c r="H985" s="4"/>
      <c r="I985" s="4"/>
      <c r="J985" s="4"/>
      <c r="K985" s="4"/>
      <c r="L985" s="4"/>
      <c r="M985" s="4"/>
      <c r="N985" s="4"/>
      <c r="O985" s="4"/>
      <c r="P985" s="4"/>
      <c r="Q985" s="4"/>
      <c r="R985" s="4"/>
    </row>
    <row r="986" spans="1:18" ht="17.399999999999999" x14ac:dyDescent="0.25">
      <c r="A986" s="4"/>
      <c r="B986" s="23"/>
      <c r="C986" s="4"/>
      <c r="D986" s="4"/>
      <c r="E986" s="5"/>
      <c r="F986" s="4"/>
      <c r="G986" s="4"/>
      <c r="H986" s="4"/>
      <c r="I986" s="4"/>
      <c r="J986" s="4"/>
      <c r="K986" s="4"/>
      <c r="L986" s="4"/>
      <c r="M986" s="4"/>
      <c r="N986" s="4"/>
      <c r="O986" s="4"/>
      <c r="P986" s="4"/>
      <c r="Q986" s="4"/>
      <c r="R986" s="4"/>
    </row>
    <row r="987" spans="1:18" ht="17.399999999999999" x14ac:dyDescent="0.25">
      <c r="A987" s="4"/>
      <c r="B987" s="23"/>
      <c r="C987" s="4"/>
      <c r="D987" s="4"/>
      <c r="E987" s="5"/>
      <c r="F987" s="4"/>
      <c r="G987" s="4"/>
      <c r="H987" s="4"/>
      <c r="I987" s="4"/>
      <c r="J987" s="4"/>
      <c r="K987" s="4"/>
      <c r="L987" s="4"/>
      <c r="M987" s="4"/>
      <c r="N987" s="4"/>
      <c r="O987" s="4"/>
      <c r="P987" s="4"/>
      <c r="Q987" s="4"/>
      <c r="R987" s="4"/>
    </row>
    <row r="988" spans="1:18" ht="17.399999999999999" x14ac:dyDescent="0.25">
      <c r="A988" s="4"/>
      <c r="B988" s="23"/>
      <c r="C988" s="4"/>
      <c r="D988" s="4"/>
      <c r="E988" s="5"/>
      <c r="F988" s="4"/>
      <c r="G988" s="4"/>
      <c r="H988" s="4"/>
      <c r="I988" s="4"/>
      <c r="J988" s="4"/>
      <c r="K988" s="4"/>
      <c r="L988" s="4"/>
      <c r="M988" s="4"/>
      <c r="N988" s="4"/>
      <c r="O988" s="4"/>
      <c r="P988" s="4"/>
      <c r="Q988" s="4"/>
      <c r="R988" s="4"/>
    </row>
    <row r="989" spans="1:18" ht="17.399999999999999" x14ac:dyDescent="0.25">
      <c r="A989" s="4"/>
      <c r="B989" s="23"/>
      <c r="C989" s="4"/>
      <c r="D989" s="4"/>
      <c r="E989" s="5"/>
      <c r="F989" s="4"/>
      <c r="G989" s="4"/>
      <c r="H989" s="4"/>
      <c r="I989" s="4"/>
      <c r="J989" s="4"/>
      <c r="K989" s="4"/>
      <c r="L989" s="4"/>
      <c r="M989" s="4"/>
      <c r="N989" s="4"/>
      <c r="O989" s="4"/>
      <c r="P989" s="4"/>
      <c r="Q989" s="4"/>
      <c r="R989" s="4"/>
    </row>
    <row r="990" spans="1:18" ht="17.399999999999999" x14ac:dyDescent="0.25">
      <c r="A990" s="4"/>
      <c r="B990" s="23"/>
      <c r="C990" s="4"/>
      <c r="D990" s="4"/>
      <c r="E990" s="5"/>
      <c r="F990" s="4"/>
      <c r="G990" s="4"/>
      <c r="H990" s="4"/>
      <c r="I990" s="4"/>
      <c r="J990" s="4"/>
      <c r="K990" s="4"/>
      <c r="L990" s="4"/>
      <c r="M990" s="4"/>
      <c r="N990" s="4"/>
      <c r="O990" s="4"/>
      <c r="P990" s="4"/>
      <c r="Q990" s="4"/>
      <c r="R990" s="4"/>
    </row>
    <row r="991" spans="1:18" ht="17.399999999999999" x14ac:dyDescent="0.25">
      <c r="A991" s="4"/>
      <c r="B991" s="23"/>
      <c r="C991" s="4"/>
      <c r="D991" s="4"/>
      <c r="E991" s="5"/>
      <c r="F991" s="4"/>
      <c r="G991" s="4"/>
      <c r="H991" s="4"/>
      <c r="I991" s="4"/>
      <c r="J991" s="4"/>
      <c r="K991" s="4"/>
      <c r="L991" s="4"/>
      <c r="M991" s="4"/>
      <c r="N991" s="4"/>
      <c r="O991" s="4"/>
      <c r="P991" s="4"/>
      <c r="Q991" s="4"/>
      <c r="R991" s="4"/>
    </row>
    <row r="992" spans="1:18" ht="17.399999999999999" x14ac:dyDescent="0.25">
      <c r="A992" s="4"/>
      <c r="B992" s="23"/>
      <c r="C992" s="4"/>
      <c r="D992" s="4"/>
      <c r="E992" s="5"/>
      <c r="F992" s="4"/>
      <c r="G992" s="4"/>
      <c r="H992" s="4"/>
      <c r="I992" s="4"/>
      <c r="J992" s="4"/>
      <c r="K992" s="4"/>
      <c r="L992" s="4"/>
      <c r="M992" s="4"/>
      <c r="N992" s="4"/>
      <c r="O992" s="4"/>
      <c r="P992" s="4"/>
      <c r="Q992" s="4"/>
      <c r="R992" s="4"/>
    </row>
    <row r="993" spans="1:18" ht="17.399999999999999" x14ac:dyDescent="0.25">
      <c r="A993" s="4"/>
      <c r="B993" s="23"/>
      <c r="C993" s="4"/>
      <c r="D993" s="4"/>
      <c r="E993" s="5"/>
      <c r="F993" s="4"/>
      <c r="G993" s="4"/>
      <c r="H993" s="4"/>
      <c r="I993" s="4"/>
      <c r="J993" s="4"/>
      <c r="K993" s="4"/>
      <c r="L993" s="4"/>
      <c r="M993" s="4"/>
      <c r="N993" s="4"/>
      <c r="O993" s="4"/>
      <c r="P993" s="4"/>
      <c r="Q993" s="4"/>
      <c r="R993" s="4"/>
    </row>
    <row r="994" spans="1:18" ht="17.399999999999999" x14ac:dyDescent="0.25">
      <c r="A994" s="4"/>
      <c r="B994" s="23"/>
      <c r="C994" s="4"/>
      <c r="D994" s="4"/>
      <c r="E994" s="5"/>
      <c r="F994" s="4"/>
      <c r="G994" s="4"/>
      <c r="H994" s="4"/>
      <c r="I994" s="4"/>
      <c r="J994" s="4"/>
      <c r="K994" s="4"/>
      <c r="L994" s="4"/>
      <c r="M994" s="4"/>
      <c r="N994" s="4"/>
      <c r="O994" s="4"/>
      <c r="P994" s="4"/>
      <c r="Q994" s="4"/>
      <c r="R994" s="4"/>
    </row>
    <row r="995" spans="1:18" ht="17.399999999999999" x14ac:dyDescent="0.25">
      <c r="A995" s="4"/>
      <c r="B995" s="23"/>
      <c r="C995" s="4"/>
      <c r="D995" s="4"/>
      <c r="E995" s="5"/>
      <c r="F995" s="4"/>
      <c r="G995" s="4"/>
      <c r="H995" s="4"/>
      <c r="I995" s="4"/>
      <c r="J995" s="4"/>
      <c r="K995" s="4"/>
      <c r="L995" s="4"/>
      <c r="M995" s="4"/>
      <c r="N995" s="4"/>
      <c r="O995" s="4"/>
      <c r="P995" s="4"/>
      <c r="Q995" s="4"/>
      <c r="R995" s="4"/>
    </row>
    <row r="996" spans="1:18" ht="17.399999999999999" x14ac:dyDescent="0.25">
      <c r="A996" s="4"/>
      <c r="B996" s="23"/>
      <c r="C996" s="4"/>
      <c r="D996" s="4"/>
      <c r="E996" s="5"/>
      <c r="F996" s="4"/>
      <c r="G996" s="4"/>
      <c r="H996" s="4"/>
      <c r="I996" s="4"/>
      <c r="J996" s="4"/>
      <c r="K996" s="4"/>
      <c r="L996" s="4"/>
      <c r="M996" s="4"/>
      <c r="N996" s="4"/>
      <c r="O996" s="4"/>
      <c r="P996" s="4"/>
      <c r="Q996" s="4"/>
      <c r="R996" s="4"/>
    </row>
    <row r="997" spans="1:18" ht="17.399999999999999" x14ac:dyDescent="0.25">
      <c r="A997" s="4"/>
      <c r="B997" s="23"/>
      <c r="C997" s="4"/>
      <c r="D997" s="4"/>
      <c r="E997" s="5"/>
      <c r="F997" s="4"/>
      <c r="G997" s="4"/>
      <c r="H997" s="4"/>
      <c r="I997" s="4"/>
      <c r="J997" s="4"/>
      <c r="K997" s="4"/>
      <c r="L997" s="4"/>
      <c r="M997" s="4"/>
      <c r="N997" s="4"/>
      <c r="O997" s="4"/>
      <c r="P997" s="4"/>
      <c r="Q997" s="4"/>
      <c r="R997" s="4"/>
    </row>
    <row r="998" spans="1:18" ht="17.399999999999999" x14ac:dyDescent="0.25">
      <c r="A998" s="4"/>
      <c r="B998" s="23"/>
      <c r="C998" s="4"/>
      <c r="D998" s="4"/>
      <c r="E998" s="5"/>
      <c r="F998" s="4"/>
      <c r="G998" s="4"/>
      <c r="H998" s="4"/>
      <c r="I998" s="4"/>
      <c r="J998" s="4"/>
      <c r="K998" s="4"/>
      <c r="L998" s="4"/>
      <c r="M998" s="4"/>
      <c r="N998" s="4"/>
      <c r="O998" s="4"/>
      <c r="P998" s="4"/>
      <c r="Q998" s="4"/>
      <c r="R998" s="4"/>
    </row>
    <row r="999" spans="1:18" ht="17.399999999999999" x14ac:dyDescent="0.25">
      <c r="A999" s="4"/>
      <c r="B999" s="23"/>
      <c r="C999" s="4"/>
      <c r="D999" s="4"/>
      <c r="E999" s="5"/>
      <c r="F999" s="4"/>
      <c r="G999" s="4"/>
      <c r="H999" s="4"/>
      <c r="I999" s="4"/>
      <c r="J999" s="4"/>
      <c r="K999" s="4"/>
      <c r="L999" s="4"/>
      <c r="M999" s="4"/>
      <c r="N999" s="4"/>
      <c r="O999" s="4"/>
      <c r="P999" s="4"/>
      <c r="Q999" s="4"/>
      <c r="R999" s="4"/>
    </row>
    <row r="1000" spans="1:18" ht="17.399999999999999" x14ac:dyDescent="0.25">
      <c r="A1000" s="4"/>
      <c r="B1000" s="23"/>
      <c r="C1000" s="4"/>
      <c r="D1000" s="4"/>
      <c r="E1000" s="5"/>
      <c r="F1000" s="4"/>
      <c r="G1000" s="4"/>
      <c r="H1000" s="4"/>
      <c r="I1000" s="4"/>
      <c r="J1000" s="4"/>
      <c r="K1000" s="4"/>
      <c r="L1000" s="4"/>
      <c r="M1000" s="4"/>
      <c r="N1000" s="4"/>
      <c r="O1000" s="4"/>
      <c r="P1000" s="4"/>
      <c r="Q1000" s="4"/>
      <c r="R1000" s="4"/>
    </row>
    <row r="1001" spans="1:18" ht="17.399999999999999" x14ac:dyDescent="0.25">
      <c r="A1001" s="4"/>
      <c r="B1001" s="23"/>
      <c r="C1001" s="4"/>
      <c r="D1001" s="4"/>
      <c r="E1001" s="5"/>
      <c r="F1001" s="4"/>
      <c r="G1001" s="4"/>
      <c r="H1001" s="4"/>
      <c r="I1001" s="4"/>
      <c r="J1001" s="4"/>
      <c r="K1001" s="4"/>
      <c r="L1001" s="4"/>
      <c r="M1001" s="4"/>
      <c r="N1001" s="4"/>
      <c r="O1001" s="4"/>
      <c r="P1001" s="4"/>
      <c r="Q1001" s="4"/>
      <c r="R1001" s="4"/>
    </row>
    <row r="1002" spans="1:18" ht="17.399999999999999" x14ac:dyDescent="0.25">
      <c r="A1002" s="4"/>
      <c r="B1002" s="23"/>
      <c r="C1002" s="4"/>
      <c r="D1002" s="4"/>
      <c r="E1002" s="5"/>
      <c r="F1002" s="4"/>
      <c r="G1002" s="4"/>
      <c r="H1002" s="4"/>
      <c r="I1002" s="4"/>
      <c r="J1002" s="4"/>
      <c r="K1002" s="4"/>
      <c r="L1002" s="4"/>
      <c r="M1002" s="4"/>
      <c r="N1002" s="4"/>
      <c r="O1002" s="4"/>
      <c r="P1002" s="4"/>
      <c r="Q1002" s="4"/>
      <c r="R1002" s="4"/>
    </row>
    <row r="1003" spans="1:18" ht="17.399999999999999" x14ac:dyDescent="0.25">
      <c r="A1003" s="4"/>
      <c r="B1003" s="23"/>
      <c r="C1003" s="4"/>
      <c r="D1003" s="4"/>
      <c r="E1003" s="5"/>
      <c r="F1003" s="4"/>
      <c r="G1003" s="4"/>
      <c r="H1003" s="4"/>
      <c r="I1003" s="4"/>
      <c r="J1003" s="4"/>
      <c r="K1003" s="4"/>
      <c r="L1003" s="4"/>
      <c r="M1003" s="4"/>
      <c r="N1003" s="4"/>
      <c r="O1003" s="4"/>
      <c r="P1003" s="4"/>
      <c r="Q1003" s="4"/>
      <c r="R1003" s="4"/>
    </row>
    <row r="1004" spans="1:18" ht="17.399999999999999" x14ac:dyDescent="0.25">
      <c r="A1004" s="4"/>
      <c r="B1004" s="23"/>
      <c r="C1004" s="4"/>
      <c r="D1004" s="4"/>
      <c r="E1004" s="5"/>
      <c r="F1004" s="4"/>
      <c r="G1004" s="4"/>
      <c r="H1004" s="4"/>
      <c r="I1004" s="4"/>
      <c r="J1004" s="4"/>
      <c r="K1004" s="4"/>
      <c r="L1004" s="4"/>
      <c r="M1004" s="4"/>
      <c r="N1004" s="4"/>
      <c r="O1004" s="4"/>
      <c r="P1004" s="4"/>
      <c r="Q1004" s="4"/>
      <c r="R1004" s="4"/>
    </row>
    <row r="1005" spans="1:18" ht="17.399999999999999" x14ac:dyDescent="0.25">
      <c r="A1005" s="4"/>
      <c r="B1005" s="23"/>
      <c r="C1005" s="4"/>
      <c r="D1005" s="4"/>
      <c r="E1005" s="5"/>
      <c r="F1005" s="4"/>
      <c r="G1005" s="4"/>
      <c r="H1005" s="4"/>
      <c r="I1005" s="4"/>
      <c r="J1005" s="4"/>
      <c r="K1005" s="4"/>
      <c r="L1005" s="4"/>
      <c r="M1005" s="4"/>
      <c r="N1005" s="4"/>
      <c r="O1005" s="4"/>
      <c r="P1005" s="4"/>
      <c r="Q1005" s="4"/>
      <c r="R1005" s="4"/>
    </row>
    <row r="1006" spans="1:18" ht="17.399999999999999" x14ac:dyDescent="0.25">
      <c r="A1006" s="4"/>
      <c r="B1006" s="23"/>
      <c r="C1006" s="4"/>
      <c r="D1006" s="4"/>
      <c r="E1006" s="5"/>
      <c r="F1006" s="4"/>
      <c r="G1006" s="4"/>
      <c r="H1006" s="4"/>
      <c r="I1006" s="4"/>
      <c r="J1006" s="4"/>
      <c r="K1006" s="4"/>
      <c r="L1006" s="4"/>
      <c r="M1006" s="4"/>
      <c r="N1006" s="4"/>
      <c r="O1006" s="4"/>
      <c r="P1006" s="4"/>
      <c r="Q1006" s="4"/>
      <c r="R1006" s="4"/>
    </row>
    <row r="1007" spans="1:18" ht="17.399999999999999" x14ac:dyDescent="0.25">
      <c r="A1007" s="4"/>
      <c r="B1007" s="23"/>
      <c r="C1007" s="4"/>
      <c r="D1007" s="4"/>
      <c r="E1007" s="5"/>
      <c r="F1007" s="4"/>
      <c r="G1007" s="4"/>
      <c r="H1007" s="4"/>
      <c r="I1007" s="4"/>
      <c r="J1007" s="4"/>
      <c r="K1007" s="4"/>
      <c r="L1007" s="4"/>
      <c r="M1007" s="4"/>
      <c r="N1007" s="4"/>
      <c r="O1007" s="4"/>
      <c r="P1007" s="4"/>
      <c r="Q1007" s="4"/>
      <c r="R1007" s="4"/>
    </row>
    <row r="1008" spans="1:18" ht="17.399999999999999" x14ac:dyDescent="0.25">
      <c r="A1008" s="4"/>
      <c r="B1008" s="23"/>
      <c r="C1008" s="4"/>
      <c r="D1008" s="4"/>
      <c r="E1008" s="5"/>
      <c r="F1008" s="4"/>
      <c r="G1008" s="4"/>
      <c r="H1008" s="4"/>
      <c r="I1008" s="4"/>
      <c r="J1008" s="4"/>
      <c r="K1008" s="4"/>
      <c r="L1008" s="4"/>
      <c r="M1008" s="4"/>
      <c r="N1008" s="4"/>
      <c r="O1008" s="4"/>
      <c r="P1008" s="4"/>
      <c r="Q1008" s="4"/>
      <c r="R1008" s="4"/>
    </row>
    <row r="1009" spans="1:18" ht="17.399999999999999" x14ac:dyDescent="0.25">
      <c r="A1009" s="4"/>
      <c r="B1009" s="23"/>
      <c r="C1009" s="4"/>
      <c r="D1009" s="4"/>
      <c r="E1009" s="5"/>
      <c r="F1009" s="4"/>
      <c r="G1009" s="4"/>
      <c r="H1009" s="4"/>
      <c r="I1009" s="4"/>
      <c r="J1009" s="4"/>
      <c r="K1009" s="4"/>
      <c r="L1009" s="4"/>
      <c r="M1009" s="4"/>
      <c r="N1009" s="4"/>
      <c r="O1009" s="4"/>
      <c r="P1009" s="4"/>
      <c r="Q1009" s="4"/>
      <c r="R1009" s="4"/>
    </row>
    <row r="1010" spans="1:18" ht="17.399999999999999" x14ac:dyDescent="0.25">
      <c r="A1010" s="4"/>
      <c r="B1010" s="23"/>
      <c r="C1010" s="4"/>
      <c r="D1010" s="4"/>
      <c r="E1010" s="5"/>
      <c r="F1010" s="4"/>
      <c r="G1010" s="4"/>
      <c r="H1010" s="4"/>
      <c r="I1010" s="4"/>
      <c r="J1010" s="4"/>
      <c r="K1010" s="4"/>
      <c r="L1010" s="4"/>
      <c r="M1010" s="4"/>
      <c r="N1010" s="4"/>
      <c r="O1010" s="4"/>
      <c r="P1010" s="4"/>
      <c r="Q1010" s="4"/>
      <c r="R1010" s="4"/>
    </row>
    <row r="1011" spans="1:18" ht="17.399999999999999" x14ac:dyDescent="0.25">
      <c r="A1011" s="4"/>
      <c r="B1011" s="23"/>
      <c r="C1011" s="4"/>
      <c r="D1011" s="4"/>
      <c r="E1011" s="5"/>
      <c r="F1011" s="4"/>
      <c r="G1011" s="4"/>
      <c r="H1011" s="4"/>
      <c r="I1011" s="4"/>
      <c r="J1011" s="4"/>
      <c r="K1011" s="4"/>
      <c r="L1011" s="4"/>
      <c r="M1011" s="4"/>
      <c r="N1011" s="4"/>
      <c r="O1011" s="4"/>
      <c r="P1011" s="4"/>
      <c r="Q1011" s="4"/>
      <c r="R1011" s="4"/>
    </row>
    <row r="1012" spans="1:18" ht="17.399999999999999" x14ac:dyDescent="0.25">
      <c r="G1012" s="4"/>
      <c r="H1012" s="4"/>
      <c r="I1012" s="4"/>
      <c r="J1012" s="4"/>
      <c r="K1012" s="4"/>
      <c r="L1012" s="4"/>
      <c r="M1012" s="4"/>
      <c r="N1012" s="4"/>
      <c r="O1012" s="4"/>
      <c r="P1012" s="4"/>
      <c r="Q1012" s="4"/>
      <c r="R1012" s="4"/>
    </row>
    <row r="1013" spans="1:18" ht="17.399999999999999" x14ac:dyDescent="0.25">
      <c r="G1013" s="4"/>
      <c r="H1013" s="4"/>
      <c r="I1013" s="4"/>
      <c r="J1013" s="4"/>
      <c r="K1013" s="4"/>
      <c r="L1013" s="4"/>
      <c r="M1013" s="4"/>
      <c r="N1013" s="4"/>
      <c r="O1013" s="4"/>
      <c r="P1013" s="4"/>
      <c r="Q1013" s="4"/>
      <c r="R1013" s="4"/>
    </row>
    <row r="1014" spans="1:18" ht="17.399999999999999" x14ac:dyDescent="0.25">
      <c r="G1014" s="4"/>
      <c r="H1014" s="4"/>
      <c r="I1014" s="4"/>
      <c r="J1014" s="4"/>
      <c r="K1014" s="4"/>
      <c r="L1014" s="4"/>
      <c r="M1014" s="4"/>
      <c r="N1014" s="4"/>
      <c r="O1014" s="4"/>
      <c r="P1014" s="4"/>
      <c r="Q1014" s="4"/>
      <c r="R1014"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73"/>
  <sheetViews>
    <sheetView topLeftCell="A16" workbookViewId="0">
      <selection activeCell="D8" sqref="D8"/>
    </sheetView>
  </sheetViews>
  <sheetFormatPr defaultColWidth="12.5546875" defaultRowHeight="13.2" x14ac:dyDescent="0.25"/>
  <cols>
    <col min="1" max="1" width="16.33203125" customWidth="1"/>
    <col min="2" max="2" width="16.33203125" style="24" customWidth="1"/>
    <col min="3" max="3" width="37.44140625" customWidth="1"/>
    <col min="4" max="4" width="45.5546875" customWidth="1"/>
    <col min="5" max="6" width="19.33203125" customWidth="1"/>
    <col min="7" max="18" width="19.33203125" hidden="1" customWidth="1"/>
    <col min="19" max="19" width="12.5546875" style="24"/>
  </cols>
  <sheetData>
    <row r="1" spans="1:19" ht="17.399999999999999" x14ac:dyDescent="0.25">
      <c r="A1" s="3" t="s">
        <v>20353</v>
      </c>
      <c r="B1" s="22" t="str">
        <f ca="1">IFERROR(__xludf.DUMMYFUNCTION("""COMPUTED_VALUE"""),"Date")</f>
        <v>Date</v>
      </c>
      <c r="C1" s="3" t="str">
        <f ca="1">IFERROR(__xludf.DUMMYFUNCTION("""COMPUTED_VALUE"""),"Payee")</f>
        <v>Payee</v>
      </c>
      <c r="D1" s="3" t="str">
        <f ca="1">IFERROR(__xludf.DUMMYFUNCTION("""COMPUTED_VALUE"""),"Particulars")</f>
        <v>Particulars</v>
      </c>
      <c r="E1" s="2" t="str">
        <f ca="1">IFERROR(__xludf.DUMMYFUNCTION("""COMPUTED_VALUE"""),"Amount")</f>
        <v>Amount</v>
      </c>
      <c r="F1" s="3" t="str">
        <f ca="1">IFERROR(__xludf.DUMMYFUNCTION("""COMPUTED_VALUE"""),"Fund")</f>
        <v>Fund</v>
      </c>
      <c r="G1" s="1"/>
      <c r="H1" s="1"/>
      <c r="I1" s="1"/>
      <c r="J1" s="1"/>
      <c r="K1" s="1"/>
      <c r="L1" s="1"/>
      <c r="M1" s="1"/>
      <c r="N1" s="1"/>
      <c r="O1" s="1"/>
      <c r="P1" s="1"/>
      <c r="Q1" s="1"/>
      <c r="R1" s="1"/>
      <c r="S1" s="25"/>
    </row>
    <row r="2" spans="1:19" ht="34.799999999999997" x14ac:dyDescent="0.25">
      <c r="A2" s="4">
        <f ca="1">IFERROR(__xludf.DUMMYFUNCTION("""COMPUTED_VALUE"""),2055336)</f>
        <v>2055336</v>
      </c>
      <c r="B2" s="23">
        <f ca="1">IFERROR(__xludf.DUMMYFUNCTION("""COMPUTED_VALUE"""),44713)</f>
        <v>44713</v>
      </c>
      <c r="C2" s="4" t="str">
        <f ca="1">IFERROR(__xludf.DUMMYFUNCTION("""COMPUTED_VALUE"""),"Rosalina A. Ilao ")</f>
        <v xml:space="preserve">Rosalina A. Ilao </v>
      </c>
      <c r="D2" s="4" t="str">
        <f ca="1">IFERROR(__xludf.DUMMYFUNCTION("""COMPUTED_VALUE"""),"Donation to Mhell Rose Ilao for her hospital bill QR: 052422011LGSF")</f>
        <v>Donation to Mhell Rose Ilao for her hospital bill QR: 052422011LGSF</v>
      </c>
      <c r="E2" s="5">
        <f ca="1">IFERROR(__xludf.DUMMYFUNCTION("""COMPUTED_VALUE"""),12000)</f>
        <v>12000</v>
      </c>
      <c r="F2" s="4" t="str">
        <f ca="1">IFERROR(__xludf.DUMMYFUNCTION("""COMPUTED_VALUE"""),"LBP Trust")</f>
        <v>LBP Trust</v>
      </c>
      <c r="G2" s="1"/>
      <c r="H2" s="1"/>
      <c r="I2" s="1"/>
      <c r="J2" s="1"/>
      <c r="K2" s="1"/>
      <c r="L2" s="1"/>
      <c r="M2" s="1"/>
      <c r="N2" s="1"/>
      <c r="O2" s="1"/>
      <c r="P2" s="1"/>
      <c r="Q2" s="1"/>
      <c r="R2" s="1"/>
    </row>
    <row r="3" spans="1:19" ht="34.799999999999997" x14ac:dyDescent="0.25">
      <c r="A3" s="4">
        <f ca="1">IFERROR(__xludf.DUMMYFUNCTION("""COMPUTED_VALUE"""),2055873)</f>
        <v>2055873</v>
      </c>
      <c r="B3" s="23">
        <f ca="1">IFERROR(__xludf.DUMMYFUNCTION("""COMPUTED_VALUE"""),44757)</f>
        <v>44757</v>
      </c>
      <c r="C3" s="4" t="str">
        <f ca="1">IFERROR(__xludf.DUMMYFUNCTION("""COMPUTED_VALUE"""),"Ben Gary C. Colman")</f>
        <v>Ben Gary C. Colman</v>
      </c>
      <c r="D3" s="4" t="str">
        <f ca="1">IFERROR(__xludf.DUMMYFUNCTION("""COMPUTED_VALUE"""),"Donation to Noemi Colman for her burial expenses")</f>
        <v>Donation to Noemi Colman for her burial expenses</v>
      </c>
      <c r="E3" s="5">
        <f ca="1">IFERROR(__xludf.DUMMYFUNCTION("""COMPUTED_VALUE"""),2000)</f>
        <v>2000</v>
      </c>
      <c r="F3" s="4" t="str">
        <f ca="1">IFERROR(__xludf.DUMMYFUNCTION("""COMPUTED_VALUE"""),"LBP Trust")</f>
        <v>LBP Trust</v>
      </c>
      <c r="G3" s="1"/>
      <c r="H3" s="1"/>
      <c r="I3" s="1"/>
      <c r="J3" s="1"/>
      <c r="K3" s="1"/>
      <c r="L3" s="1"/>
      <c r="M3" s="1"/>
      <c r="N3" s="1"/>
      <c r="O3" s="1"/>
      <c r="P3" s="1"/>
      <c r="Q3" s="1"/>
      <c r="R3" s="1"/>
    </row>
    <row r="4" spans="1:19" ht="34.799999999999997" x14ac:dyDescent="0.25">
      <c r="A4" s="4">
        <f ca="1">IFERROR(__xludf.DUMMYFUNCTION("""COMPUTED_VALUE"""),2055972)</f>
        <v>2055972</v>
      </c>
      <c r="B4" s="23">
        <f ca="1">IFERROR(__xludf.DUMMYFUNCTION("""COMPUTED_VALUE"""),44763)</f>
        <v>44763</v>
      </c>
      <c r="C4" s="4" t="str">
        <f ca="1">IFERROR(__xludf.DUMMYFUNCTION("""COMPUTED_VALUE"""),"St. Joseph Agrimarketing Corp. ")</f>
        <v xml:space="preserve">St. Joseph Agrimarketing Corp. </v>
      </c>
      <c r="D4" s="4" t="str">
        <f ca="1">IFERROR(__xludf.DUMMYFUNCTION("""COMPUTED_VALUE"""),"1% retention for different procurements of the PGB")</f>
        <v>1% retention for different procurements of the PGB</v>
      </c>
      <c r="E4" s="5">
        <f ca="1">IFERROR(__xludf.DUMMYFUNCTION("""COMPUTED_VALUE"""),64060.2)</f>
        <v>64060.2</v>
      </c>
      <c r="F4" s="4" t="str">
        <f ca="1">IFERROR(__xludf.DUMMYFUNCTION("""COMPUTED_VALUE"""),"LBP Trust")</f>
        <v>LBP Trust</v>
      </c>
      <c r="G4" s="3"/>
      <c r="H4" s="3"/>
      <c r="I4" s="3"/>
      <c r="J4" s="3"/>
      <c r="K4" s="3"/>
      <c r="L4" s="3"/>
      <c r="M4" s="3"/>
      <c r="N4" s="3"/>
      <c r="O4" s="3"/>
      <c r="P4" s="3"/>
      <c r="Q4" s="3"/>
      <c r="R4" s="3"/>
    </row>
    <row r="5" spans="1:19" ht="34.799999999999997" x14ac:dyDescent="0.25">
      <c r="A5" s="4">
        <f ca="1">IFERROR(__xludf.DUMMYFUNCTION("""COMPUTED_VALUE"""),2071311)</f>
        <v>2071311</v>
      </c>
      <c r="B5" s="23">
        <f ca="1">IFERROR(__xludf.DUMMYFUNCTION("""COMPUTED_VALUE"""),44795)</f>
        <v>44795</v>
      </c>
      <c r="C5" s="4" t="str">
        <f ca="1">IFERROR(__xludf.DUMMYFUNCTION("""COMPUTED_VALUE"""),"Ricardo C. Salenga ")</f>
        <v xml:space="preserve">Ricardo C. Salenga </v>
      </c>
      <c r="D5" s="4" t="str">
        <f ca="1">IFERROR(__xludf.DUMMYFUNCTION("""COMPUTED_VALUE"""),"Donation to the client for his medical needs QR: 081122001LGSF")</f>
        <v>Donation to the client for his medical needs QR: 081122001LGSF</v>
      </c>
      <c r="E5" s="5">
        <f ca="1">IFERROR(__xludf.DUMMYFUNCTION("""COMPUTED_VALUE"""),8000)</f>
        <v>8000</v>
      </c>
      <c r="F5" s="4" t="str">
        <f ca="1">IFERROR(__xludf.DUMMYFUNCTION("""COMPUTED_VALUE"""),"LBP Trust")</f>
        <v>LBP Trust</v>
      </c>
      <c r="G5" s="4"/>
      <c r="H5" s="4"/>
      <c r="I5" s="4"/>
      <c r="J5" s="4"/>
      <c r="K5" s="4"/>
      <c r="L5" s="4"/>
      <c r="M5" s="4"/>
      <c r="N5" s="4"/>
      <c r="O5" s="4"/>
      <c r="P5" s="4"/>
      <c r="Q5" s="4"/>
      <c r="R5" s="4"/>
    </row>
    <row r="6" spans="1:19" ht="34.799999999999997" x14ac:dyDescent="0.25">
      <c r="A6" s="4">
        <f ca="1">IFERROR(__xludf.DUMMYFUNCTION("""COMPUTED_VALUE"""),2071328)</f>
        <v>2071328</v>
      </c>
      <c r="B6" s="23">
        <f ca="1">IFERROR(__xludf.DUMMYFUNCTION("""COMPUTED_VALUE"""),44799)</f>
        <v>44799</v>
      </c>
      <c r="C6" s="4" t="str">
        <f ca="1">IFERROR(__xludf.DUMMYFUNCTION("""COMPUTED_VALUE"""),"Alicia Dimafiles ")</f>
        <v xml:space="preserve">Alicia Dimafiles </v>
      </c>
      <c r="D6" s="4" t="str">
        <f ca="1">IFERROR(__xludf.DUMMYFUNCTION("""COMPUTED_VALUE"""),"Donation to Client for her medical needs")</f>
        <v>Donation to Client for her medical needs</v>
      </c>
      <c r="E6" s="5">
        <f ca="1">IFERROR(__xludf.DUMMYFUNCTION("""COMPUTED_VALUE"""),4000)</f>
        <v>4000</v>
      </c>
      <c r="F6" s="4" t="str">
        <f ca="1">IFERROR(__xludf.DUMMYFUNCTION("""COMPUTED_VALUE"""),"LBP Trust")</f>
        <v>LBP Trust</v>
      </c>
      <c r="G6" s="4"/>
      <c r="H6" s="4"/>
      <c r="I6" s="4"/>
      <c r="J6" s="4"/>
      <c r="K6" s="4"/>
      <c r="L6" s="4"/>
      <c r="M6" s="4"/>
      <c r="N6" s="4"/>
      <c r="O6" s="4"/>
      <c r="P6" s="4"/>
      <c r="Q6" s="4"/>
      <c r="R6" s="4"/>
    </row>
    <row r="7" spans="1:19" ht="34.799999999999997" x14ac:dyDescent="0.25">
      <c r="A7" s="4">
        <f ca="1">IFERROR(__xludf.DUMMYFUNCTION("""COMPUTED_VALUE"""),2071352)</f>
        <v>2071352</v>
      </c>
      <c r="B7" s="23">
        <f ca="1">IFERROR(__xludf.DUMMYFUNCTION("""COMPUTED_VALUE"""),44804)</f>
        <v>44804</v>
      </c>
      <c r="C7" s="4" t="str">
        <f ca="1">IFERROR(__xludf.DUMMYFUNCTION("""COMPUTED_VALUE"""),"Vilma G. Pizarro ")</f>
        <v xml:space="preserve">Vilma G. Pizarro </v>
      </c>
      <c r="D7" s="4" t="str">
        <f ca="1">IFERROR(__xludf.DUMMYFUNCTION("""COMPUTED_VALUE"""),"Donation to the client for her medical needs QR: 081522006LGSF")</f>
        <v>Donation to the client for her medical needs QR: 081522006LGSF</v>
      </c>
      <c r="E7" s="5">
        <f ca="1">IFERROR(__xludf.DUMMYFUNCTION("""COMPUTED_VALUE"""),2000)</f>
        <v>2000</v>
      </c>
      <c r="F7" s="4" t="str">
        <f ca="1">IFERROR(__xludf.DUMMYFUNCTION("""COMPUTED_VALUE"""),"LBP Trust")</f>
        <v>LBP Trust</v>
      </c>
      <c r="G7" s="4"/>
      <c r="H7" s="4"/>
      <c r="I7" s="4"/>
      <c r="J7" s="4"/>
      <c r="K7" s="4"/>
      <c r="L7" s="4"/>
      <c r="M7" s="4"/>
      <c r="N7" s="4"/>
      <c r="O7" s="4"/>
      <c r="P7" s="4"/>
      <c r="Q7" s="4"/>
      <c r="R7" s="4"/>
    </row>
    <row r="8" spans="1:19" ht="34.799999999999997" x14ac:dyDescent="0.25">
      <c r="A8" s="4">
        <f ca="1">IFERROR(__xludf.DUMMYFUNCTION("""COMPUTED_VALUE"""),2071740)</f>
        <v>2071740</v>
      </c>
      <c r="B8" s="23">
        <f ca="1">IFERROR(__xludf.DUMMYFUNCTION("""COMPUTED_VALUE"""),44823)</f>
        <v>44823</v>
      </c>
      <c r="C8" s="4" t="str">
        <f ca="1">IFERROR(__xludf.DUMMYFUNCTION("""COMPUTED_VALUE"""),"Jericho V. Del Rosario ")</f>
        <v xml:space="preserve">Jericho V. Del Rosario </v>
      </c>
      <c r="D8" s="4" t="str">
        <f ca="1">IFERROR(__xludf.DUMMYFUNCTION("""COMPUTED_VALUE"""),"Donation to Ma. Soledad Del Rosario for her medical needs")</f>
        <v>Donation to Ma. Soledad Del Rosario for her medical needs</v>
      </c>
      <c r="E8" s="5">
        <f ca="1">IFERROR(__xludf.DUMMYFUNCTION("""COMPUTED_VALUE"""),4000)</f>
        <v>4000</v>
      </c>
      <c r="F8" s="4" t="str">
        <f ca="1">IFERROR(__xludf.DUMMYFUNCTION("""COMPUTED_VALUE"""),"LBP Trust")</f>
        <v>LBP Trust</v>
      </c>
      <c r="G8" s="4"/>
      <c r="H8" s="4"/>
      <c r="I8" s="4"/>
      <c r="J8" s="4"/>
      <c r="K8" s="4"/>
      <c r="L8" s="4"/>
      <c r="M8" s="4"/>
      <c r="N8" s="4"/>
      <c r="O8" s="4"/>
      <c r="P8" s="4"/>
      <c r="Q8" s="4"/>
      <c r="R8" s="4"/>
    </row>
    <row r="9" spans="1:19" ht="34.799999999999997" x14ac:dyDescent="0.25">
      <c r="A9" s="4">
        <f ca="1">IFERROR(__xludf.DUMMYFUNCTION("""COMPUTED_VALUE"""),2071936)</f>
        <v>2071936</v>
      </c>
      <c r="B9" s="23">
        <f ca="1">IFERROR(__xludf.DUMMYFUNCTION("""COMPUTED_VALUE"""),44827)</f>
        <v>44827</v>
      </c>
      <c r="C9" s="4" t="str">
        <f ca="1">IFERROR(__xludf.DUMMYFUNCTION("""COMPUTED_VALUE"""),"Arlee E. Ganda ")</f>
        <v xml:space="preserve">Arlee E. Ganda </v>
      </c>
      <c r="D9" s="4" t="str">
        <f ca="1">IFERROR(__xludf.DUMMYFUNCTION("""COMPUTED_VALUE"""),"Donation to Arturo Espartero for his burial expenses")</f>
        <v>Donation to Arturo Espartero for his burial expenses</v>
      </c>
      <c r="E9" s="5">
        <f ca="1">IFERROR(__xludf.DUMMYFUNCTION("""COMPUTED_VALUE"""),6000)</f>
        <v>6000</v>
      </c>
      <c r="F9" s="4" t="str">
        <f ca="1">IFERROR(__xludf.DUMMYFUNCTION("""COMPUTED_VALUE"""),"LBP Trust")</f>
        <v>LBP Trust</v>
      </c>
      <c r="G9" s="4"/>
      <c r="H9" s="4"/>
      <c r="I9" s="4"/>
      <c r="J9" s="4"/>
      <c r="K9" s="4"/>
      <c r="L9" s="4"/>
      <c r="M9" s="4"/>
      <c r="N9" s="4"/>
      <c r="O9" s="4"/>
      <c r="P9" s="4"/>
      <c r="Q9" s="4"/>
      <c r="R9" s="4"/>
    </row>
    <row r="10" spans="1:19" ht="34.799999999999997" x14ac:dyDescent="0.25">
      <c r="A10" s="4">
        <f ca="1">IFERROR(__xludf.DUMMYFUNCTION("""COMPUTED_VALUE"""),2071977)</f>
        <v>2071977</v>
      </c>
      <c r="B10" s="23">
        <f ca="1">IFERROR(__xludf.DUMMYFUNCTION("""COMPUTED_VALUE"""),44827)</f>
        <v>44827</v>
      </c>
      <c r="C10" s="4" t="str">
        <f ca="1">IFERROR(__xludf.DUMMYFUNCTION("""COMPUTED_VALUE"""),"Erlinda Tamundog ")</f>
        <v xml:space="preserve">Erlinda Tamundog </v>
      </c>
      <c r="D10" s="4" t="str">
        <f ca="1">IFERROR(__xludf.DUMMYFUNCTION("""COMPUTED_VALUE"""),"Donation to Remigio Tamundog for his burial expenses")</f>
        <v>Donation to Remigio Tamundog for his burial expenses</v>
      </c>
      <c r="E10" s="5">
        <f ca="1">IFERROR(__xludf.DUMMYFUNCTION("""COMPUTED_VALUE"""),20000)</f>
        <v>20000</v>
      </c>
      <c r="F10" s="4" t="str">
        <f ca="1">IFERROR(__xludf.DUMMYFUNCTION("""COMPUTED_VALUE"""),"LBP Trust")</f>
        <v>LBP Trust</v>
      </c>
      <c r="G10" s="4"/>
      <c r="H10" s="4"/>
      <c r="I10" s="4"/>
      <c r="J10" s="4"/>
      <c r="K10" s="4"/>
      <c r="L10" s="4"/>
      <c r="M10" s="4"/>
      <c r="N10" s="4"/>
      <c r="O10" s="4"/>
      <c r="P10" s="4"/>
      <c r="Q10" s="4"/>
      <c r="R10" s="4"/>
    </row>
    <row r="11" spans="1:19" ht="34.799999999999997" x14ac:dyDescent="0.25">
      <c r="A11" s="4">
        <f ca="1">IFERROR(__xludf.DUMMYFUNCTION("""COMPUTED_VALUE"""),2072069)</f>
        <v>2072069</v>
      </c>
      <c r="B11" s="23">
        <f ca="1">IFERROR(__xludf.DUMMYFUNCTION("""COMPUTED_VALUE"""),44832)</f>
        <v>44832</v>
      </c>
      <c r="C11" s="4" t="str">
        <f ca="1">IFERROR(__xludf.DUMMYFUNCTION("""COMPUTED_VALUE"""),"Rodrigo D. San Pedro ")</f>
        <v xml:space="preserve">Rodrigo D. San Pedro </v>
      </c>
      <c r="D11" s="4" t="str">
        <f ca="1">IFERROR(__xludf.DUMMYFUNCTION("""COMPUTED_VALUE"""),"Donation to client for his medical needs")</f>
        <v>Donation to client for his medical needs</v>
      </c>
      <c r="E11" s="5">
        <f ca="1">IFERROR(__xludf.DUMMYFUNCTION("""COMPUTED_VALUE"""),2000)</f>
        <v>2000</v>
      </c>
      <c r="F11" s="4" t="str">
        <f ca="1">IFERROR(__xludf.DUMMYFUNCTION("""COMPUTED_VALUE"""),"LBP Trust")</f>
        <v>LBP Trust</v>
      </c>
      <c r="G11" s="4"/>
      <c r="H11" s="4"/>
      <c r="I11" s="4"/>
      <c r="J11" s="4"/>
      <c r="K11" s="4"/>
      <c r="L11" s="4"/>
      <c r="M11" s="4"/>
      <c r="N11" s="4"/>
      <c r="O11" s="4"/>
      <c r="P11" s="4"/>
      <c r="Q11" s="4"/>
      <c r="R11" s="4"/>
    </row>
    <row r="12" spans="1:19" ht="17.399999999999999" x14ac:dyDescent="0.25">
      <c r="A12" s="4">
        <f ca="1">IFERROR(__xludf.DUMMYFUNCTION("""COMPUTED_VALUE"""),2072141)</f>
        <v>2072141</v>
      </c>
      <c r="B12" s="23">
        <f ca="1">IFERROR(__xludf.DUMMYFUNCTION("""COMPUTED_VALUE"""),44839)</f>
        <v>44839</v>
      </c>
      <c r="C12" s="4" t="str">
        <f ca="1">IFERROR(__xludf.DUMMYFUNCTION("""COMPUTED_VALUE"""),"Gloria L. de Jesus ")</f>
        <v xml:space="preserve">Gloria L. de Jesus </v>
      </c>
      <c r="D12" s="4" t="str">
        <f ca="1">IFERROR(__xludf.DUMMYFUNCTION("""COMPUTED_VALUE"""),"Donation to client for her hospital bill")</f>
        <v>Donation to client for her hospital bill</v>
      </c>
      <c r="E12" s="5">
        <f ca="1">IFERROR(__xludf.DUMMYFUNCTION("""COMPUTED_VALUE"""),8000)</f>
        <v>8000</v>
      </c>
      <c r="F12" s="4" t="str">
        <f ca="1">IFERROR(__xludf.DUMMYFUNCTION("""COMPUTED_VALUE"""),"LBP Trust")</f>
        <v>LBP Trust</v>
      </c>
      <c r="G12" s="4"/>
      <c r="H12" s="4"/>
      <c r="I12" s="4"/>
      <c r="J12" s="4"/>
      <c r="K12" s="4"/>
      <c r="L12" s="4"/>
      <c r="M12" s="4"/>
      <c r="N12" s="4"/>
      <c r="O12" s="4"/>
      <c r="P12" s="4"/>
      <c r="Q12" s="4"/>
      <c r="R12" s="4"/>
    </row>
    <row r="13" spans="1:19" ht="52.2" x14ac:dyDescent="0.25">
      <c r="A13" s="4">
        <f ca="1">IFERROR(__xludf.DUMMYFUNCTION("""COMPUTED_VALUE"""),2072152)</f>
        <v>2072152</v>
      </c>
      <c r="B13" s="23">
        <f ca="1">IFERROR(__xludf.DUMMYFUNCTION("""COMPUTED_VALUE"""),44840)</f>
        <v>44840</v>
      </c>
      <c r="C13" s="4" t="str">
        <f ca="1">IFERROR(__xludf.DUMMYFUNCTION("""COMPUTED_VALUE"""),"Enviro Scope Synergy, Inc. ")</f>
        <v xml:space="preserve">Enviro Scope Synergy, Inc. </v>
      </c>
      <c r="D13" s="4" t="str">
        <f ca="1">IFERROR(__xludf.DUMMYFUNCTION("""COMPUTED_VALUE"""),"1% retention for soil ameliorant liquid root exudates for rice production distributed within the province")</f>
        <v>1% retention for soil ameliorant liquid root exudates for rice production distributed within the province</v>
      </c>
      <c r="E13" s="5">
        <f ca="1">IFERROR(__xludf.DUMMYFUNCTION("""COMPUTED_VALUE"""),10800)</f>
        <v>10800</v>
      </c>
      <c r="F13" s="4" t="str">
        <f ca="1">IFERROR(__xludf.DUMMYFUNCTION("""COMPUTED_VALUE"""),"LBP Trust")</f>
        <v>LBP Trust</v>
      </c>
      <c r="G13" s="4"/>
      <c r="H13" s="4"/>
      <c r="I13" s="4"/>
      <c r="J13" s="4"/>
      <c r="K13" s="4"/>
      <c r="L13" s="4"/>
      <c r="M13" s="4"/>
      <c r="N13" s="4"/>
      <c r="O13" s="4"/>
      <c r="P13" s="4"/>
      <c r="Q13" s="4"/>
      <c r="R13" s="4"/>
    </row>
    <row r="14" spans="1:19" ht="34.799999999999997" x14ac:dyDescent="0.25">
      <c r="A14" s="4">
        <f ca="1">IFERROR(__xludf.DUMMYFUNCTION("""COMPUTED_VALUE"""),2072278)</f>
        <v>2072278</v>
      </c>
      <c r="B14" s="23">
        <f ca="1">IFERROR(__xludf.DUMMYFUNCTION("""COMPUTED_VALUE"""),44847)</f>
        <v>44847</v>
      </c>
      <c r="C14" s="4" t="str">
        <f ca="1">IFERROR(__xludf.DUMMYFUNCTION("""COMPUTED_VALUE"""),"Eden P. Tablang ")</f>
        <v xml:space="preserve">Eden P. Tablang </v>
      </c>
      <c r="D14" s="4" t="str">
        <f ca="1">IFERROR(__xludf.DUMMYFUNCTION("""COMPUTED_VALUE"""),"Donation to Evelyn E. Planco for her hospital bill")</f>
        <v>Donation to Evelyn E. Planco for her hospital bill</v>
      </c>
      <c r="E14" s="5">
        <f ca="1">IFERROR(__xludf.DUMMYFUNCTION("""COMPUTED_VALUE"""),4000)</f>
        <v>4000</v>
      </c>
      <c r="F14" s="4" t="str">
        <f ca="1">IFERROR(__xludf.DUMMYFUNCTION("""COMPUTED_VALUE"""),"LBP Trust")</f>
        <v>LBP Trust</v>
      </c>
      <c r="G14" s="4"/>
      <c r="H14" s="4"/>
      <c r="I14" s="4"/>
      <c r="J14" s="4"/>
      <c r="K14" s="4"/>
      <c r="L14" s="4"/>
      <c r="M14" s="4"/>
      <c r="N14" s="4"/>
      <c r="O14" s="4"/>
      <c r="P14" s="4"/>
      <c r="Q14" s="4"/>
      <c r="R14" s="4"/>
    </row>
    <row r="15" spans="1:19" ht="34.799999999999997" x14ac:dyDescent="0.25">
      <c r="A15" s="4">
        <f ca="1">IFERROR(__xludf.DUMMYFUNCTION("""COMPUTED_VALUE"""),2072536)</f>
        <v>2072536</v>
      </c>
      <c r="B15" s="23">
        <f ca="1">IFERROR(__xludf.DUMMYFUNCTION("""COMPUTED_VALUE"""),44859)</f>
        <v>44859</v>
      </c>
      <c r="C15" s="4" t="str">
        <f ca="1">IFERROR(__xludf.DUMMYFUNCTION("""COMPUTED_VALUE"""),"Lhanz CJ Trading and Computer Center Inc. ")</f>
        <v xml:space="preserve">Lhanz CJ Trading and Computer Center Inc. </v>
      </c>
      <c r="D15" s="4" t="str">
        <f ca="1">IFERROR(__xludf.DUMMYFUNCTION("""COMPUTED_VALUE"""),"1% retention for different procurements of the PGB")</f>
        <v>1% retention for different procurements of the PGB</v>
      </c>
      <c r="E15" s="5">
        <f ca="1">IFERROR(__xludf.DUMMYFUNCTION("""COMPUTED_VALUE"""),32037.12)</f>
        <v>32037.119999999999</v>
      </c>
      <c r="F15" s="4" t="str">
        <f ca="1">IFERROR(__xludf.DUMMYFUNCTION("""COMPUTED_VALUE"""),"LBP Trust")</f>
        <v>LBP Trust</v>
      </c>
      <c r="G15" s="4"/>
      <c r="H15" s="4"/>
      <c r="I15" s="4"/>
      <c r="J15" s="4"/>
      <c r="K15" s="4"/>
      <c r="L15" s="4"/>
      <c r="M15" s="4"/>
      <c r="N15" s="4"/>
      <c r="O15" s="4"/>
      <c r="P15" s="4"/>
      <c r="Q15" s="4"/>
      <c r="R15" s="4"/>
    </row>
    <row r="16" spans="1:19" ht="52.2" x14ac:dyDescent="0.25">
      <c r="A16" s="4">
        <f ca="1">IFERROR(__xludf.DUMMYFUNCTION("""COMPUTED_VALUE"""),2072572)</f>
        <v>2072572</v>
      </c>
      <c r="B16" s="23">
        <f ca="1">IFERROR(__xludf.DUMMYFUNCTION("""COMPUTED_VALUE"""),44875)</f>
        <v>44875</v>
      </c>
      <c r="C16" s="4" t="str">
        <f ca="1">IFERROR(__xludf.DUMMYFUNCTION("""COMPUTED_VALUE"""),"Converge Information and Communications Technology Solutions, Inc. ")</f>
        <v xml:space="preserve">Converge Information and Communications Technology Solutions, Inc. </v>
      </c>
      <c r="D16" s="4" t="str">
        <f ca="1">IFERROR(__xludf.DUMMYFUNCTION("""COMPUTED_VALUE"""),"Internet Subscription for Sept 29-30 to OCt 1-31, 2022")</f>
        <v>Internet Subscription for Sept 29-30 to OCt 1-31, 2022</v>
      </c>
      <c r="E16" s="5">
        <f ca="1">IFERROR(__xludf.DUMMYFUNCTION("""COMPUTED_VALUE"""),39562.5)</f>
        <v>39562.5</v>
      </c>
      <c r="F16" s="4" t="str">
        <f ca="1">IFERROR(__xludf.DUMMYFUNCTION("""COMPUTED_VALUE"""),"LBP Trust")</f>
        <v>LBP Trust</v>
      </c>
      <c r="G16" s="4"/>
      <c r="H16" s="4"/>
      <c r="I16" s="4"/>
      <c r="J16" s="4"/>
      <c r="K16" s="4"/>
      <c r="L16" s="4"/>
      <c r="M16" s="4"/>
      <c r="N16" s="4"/>
      <c r="O16" s="4"/>
      <c r="P16" s="4"/>
      <c r="Q16" s="4"/>
      <c r="R16" s="4"/>
    </row>
    <row r="17" spans="1:18" ht="34.799999999999997" x14ac:dyDescent="0.25">
      <c r="A17" s="4">
        <f ca="1">IFERROR(__xludf.DUMMYFUNCTION("""COMPUTED_VALUE"""),2072577)</f>
        <v>2072577</v>
      </c>
      <c r="B17" s="23">
        <f ca="1">IFERROR(__xludf.DUMMYFUNCTION("""COMPUTED_VALUE"""),44879)</f>
        <v>44879</v>
      </c>
      <c r="C17" s="4" t="str">
        <f ca="1">IFERROR(__xludf.DUMMYFUNCTION("""COMPUTED_VALUE"""),"Elannie May Cruz ")</f>
        <v xml:space="preserve">Elannie May Cruz </v>
      </c>
      <c r="D17" s="4" t="str">
        <f ca="1">IFERROR(__xludf.DUMMYFUNCTION("""COMPUTED_VALUE"""),"Donation to Marcuz Leon Felix Cruz for his medical needs")</f>
        <v>Donation to Marcuz Leon Felix Cruz for his medical needs</v>
      </c>
      <c r="E17" s="5">
        <f ca="1">IFERROR(__xludf.DUMMYFUNCTION("""COMPUTED_VALUE"""),6000)</f>
        <v>6000</v>
      </c>
      <c r="F17" s="4" t="str">
        <f ca="1">IFERROR(__xludf.DUMMYFUNCTION("""COMPUTED_VALUE"""),"LBP Trust")</f>
        <v>LBP Trust</v>
      </c>
      <c r="G17" s="4"/>
      <c r="H17" s="4"/>
      <c r="I17" s="4"/>
      <c r="J17" s="4"/>
      <c r="K17" s="4"/>
      <c r="L17" s="4"/>
      <c r="M17" s="4"/>
      <c r="N17" s="4"/>
      <c r="O17" s="4"/>
      <c r="P17" s="4"/>
      <c r="Q17" s="4"/>
      <c r="R17" s="4"/>
    </row>
    <row r="18" spans="1:18" ht="34.799999999999997" x14ac:dyDescent="0.25">
      <c r="A18" s="4">
        <f ca="1">IFERROR(__xludf.DUMMYFUNCTION("""COMPUTED_VALUE"""),2072578)</f>
        <v>2072578</v>
      </c>
      <c r="B18" s="23">
        <f ca="1">IFERROR(__xludf.DUMMYFUNCTION("""COMPUTED_VALUE"""),44879)</f>
        <v>44879</v>
      </c>
      <c r="C18" s="4" t="str">
        <f ca="1">IFERROR(__xludf.DUMMYFUNCTION("""COMPUTED_VALUE"""),"Maribel M. Española ")</f>
        <v xml:space="preserve">Maribel M. Española </v>
      </c>
      <c r="D18" s="4" t="str">
        <f ca="1">IFERROR(__xludf.DUMMYFUNCTION("""COMPUTED_VALUE"""),"Donation to Leonora Magpantay for her medical needs")</f>
        <v>Donation to Leonora Magpantay for her medical needs</v>
      </c>
      <c r="E18" s="5">
        <f ca="1">IFERROR(__xludf.DUMMYFUNCTION("""COMPUTED_VALUE"""),30000)</f>
        <v>30000</v>
      </c>
      <c r="F18" s="4" t="str">
        <f ca="1">IFERROR(__xludf.DUMMYFUNCTION("""COMPUTED_VALUE"""),"LBP Trust")</f>
        <v>LBP Trust</v>
      </c>
      <c r="G18" s="4"/>
      <c r="H18" s="4"/>
      <c r="I18" s="4"/>
      <c r="J18" s="4"/>
      <c r="K18" s="4"/>
      <c r="L18" s="4"/>
      <c r="M18" s="4"/>
      <c r="N18" s="4"/>
      <c r="O18" s="4"/>
      <c r="P18" s="4"/>
      <c r="Q18" s="4"/>
      <c r="R18" s="4"/>
    </row>
    <row r="19" spans="1:18" ht="17.399999999999999" x14ac:dyDescent="0.25">
      <c r="A19" s="4"/>
      <c r="B19" s="23"/>
      <c r="C19" s="4"/>
      <c r="D19" s="6"/>
      <c r="E19" s="7"/>
      <c r="F19" s="4"/>
      <c r="G19" s="4"/>
      <c r="H19" s="4"/>
      <c r="I19" s="4"/>
      <c r="J19" s="4"/>
      <c r="K19" s="4"/>
      <c r="L19" s="4"/>
      <c r="M19" s="4"/>
      <c r="N19" s="4"/>
      <c r="O19" s="4"/>
      <c r="P19" s="4"/>
      <c r="Q19" s="4"/>
      <c r="R19" s="4"/>
    </row>
    <row r="20" spans="1:18" ht="17.399999999999999" x14ac:dyDescent="0.25">
      <c r="A20" s="4"/>
      <c r="B20" s="23"/>
      <c r="C20" s="4"/>
      <c r="D20" s="4"/>
      <c r="E20" s="5"/>
      <c r="F20" s="4"/>
      <c r="G20" s="4"/>
      <c r="H20" s="4"/>
      <c r="I20" s="4"/>
      <c r="J20" s="4"/>
      <c r="K20" s="4"/>
      <c r="L20" s="4"/>
      <c r="M20" s="4"/>
      <c r="N20" s="4"/>
      <c r="O20" s="4"/>
      <c r="P20" s="4"/>
      <c r="Q20" s="4"/>
      <c r="R20" s="4"/>
    </row>
    <row r="21" spans="1:18" ht="17.399999999999999" x14ac:dyDescent="0.25">
      <c r="A21" s="4"/>
      <c r="B21" s="23"/>
      <c r="C21" s="4"/>
      <c r="D21" s="4"/>
      <c r="E21" s="5"/>
      <c r="F21" s="4"/>
      <c r="G21" s="4"/>
      <c r="H21" s="4"/>
      <c r="I21" s="4"/>
      <c r="J21" s="4"/>
      <c r="K21" s="4"/>
      <c r="L21" s="4"/>
      <c r="M21" s="4"/>
      <c r="N21" s="4"/>
      <c r="O21" s="4"/>
      <c r="P21" s="4"/>
      <c r="Q21" s="4"/>
      <c r="R21" s="4"/>
    </row>
    <row r="22" spans="1:18" ht="17.399999999999999" x14ac:dyDescent="0.25">
      <c r="A22" s="4"/>
      <c r="B22" s="23"/>
      <c r="C22" s="4"/>
      <c r="D22" s="4"/>
      <c r="E22" s="5"/>
      <c r="F22" s="4"/>
      <c r="G22" s="4"/>
      <c r="H22" s="4"/>
      <c r="I22" s="4"/>
      <c r="J22" s="4"/>
      <c r="K22" s="4"/>
      <c r="L22" s="4"/>
      <c r="M22" s="4"/>
      <c r="N22" s="4"/>
      <c r="O22" s="4"/>
      <c r="P22" s="4"/>
      <c r="Q22" s="4"/>
      <c r="R22" s="4"/>
    </row>
    <row r="23" spans="1:18" ht="17.399999999999999" x14ac:dyDescent="0.25">
      <c r="A23" s="4"/>
      <c r="B23" s="23"/>
      <c r="C23" s="4"/>
      <c r="D23" s="4"/>
      <c r="E23" s="5"/>
      <c r="F23" s="4"/>
      <c r="G23" s="4"/>
      <c r="H23" s="4"/>
      <c r="I23" s="4"/>
      <c r="J23" s="4"/>
      <c r="K23" s="4"/>
      <c r="L23" s="4"/>
      <c r="M23" s="4"/>
      <c r="N23" s="4"/>
      <c r="O23" s="4"/>
      <c r="P23" s="4"/>
      <c r="Q23" s="4"/>
      <c r="R23" s="4"/>
    </row>
    <row r="24" spans="1:18" ht="17.399999999999999" x14ac:dyDescent="0.25">
      <c r="A24" s="4"/>
      <c r="B24" s="23"/>
      <c r="C24" s="4"/>
      <c r="D24" s="4"/>
      <c r="E24" s="5"/>
      <c r="F24" s="4"/>
      <c r="G24" s="4"/>
      <c r="H24" s="4"/>
      <c r="I24" s="4"/>
      <c r="J24" s="4"/>
      <c r="K24" s="4"/>
      <c r="L24" s="4"/>
      <c r="M24" s="4"/>
      <c r="N24" s="4"/>
      <c r="O24" s="4"/>
      <c r="P24" s="4"/>
      <c r="Q24" s="4"/>
      <c r="R24" s="4"/>
    </row>
    <row r="25" spans="1:18" ht="17.399999999999999" x14ac:dyDescent="0.25">
      <c r="A25" s="4"/>
      <c r="B25" s="23"/>
      <c r="C25" s="4"/>
      <c r="D25" s="4"/>
      <c r="E25" s="5"/>
      <c r="F25" s="4"/>
      <c r="G25" s="4"/>
      <c r="H25" s="4"/>
      <c r="I25" s="4"/>
      <c r="J25" s="4"/>
      <c r="K25" s="4"/>
      <c r="L25" s="4"/>
      <c r="M25" s="4"/>
      <c r="N25" s="4"/>
      <c r="O25" s="4"/>
      <c r="P25" s="4"/>
      <c r="Q25" s="4"/>
      <c r="R25" s="4"/>
    </row>
    <row r="26" spans="1:18" ht="17.399999999999999" x14ac:dyDescent="0.25">
      <c r="A26" s="4"/>
      <c r="B26" s="23"/>
      <c r="C26" s="4"/>
      <c r="D26" s="4"/>
      <c r="E26" s="5"/>
      <c r="F26" s="4"/>
      <c r="G26" s="4"/>
      <c r="H26" s="4"/>
      <c r="I26" s="4"/>
      <c r="J26" s="4"/>
      <c r="K26" s="4"/>
      <c r="L26" s="4"/>
      <c r="M26" s="4"/>
      <c r="N26" s="4"/>
      <c r="O26" s="4"/>
      <c r="P26" s="4"/>
      <c r="Q26" s="4"/>
      <c r="R26" s="4"/>
    </row>
    <row r="27" spans="1:18" ht="17.399999999999999" x14ac:dyDescent="0.25">
      <c r="A27" s="4"/>
      <c r="B27" s="23"/>
      <c r="C27" s="4"/>
      <c r="D27" s="4"/>
      <c r="E27" s="5"/>
      <c r="F27" s="4"/>
      <c r="G27" s="4"/>
      <c r="H27" s="4"/>
      <c r="I27" s="4"/>
      <c r="J27" s="4"/>
      <c r="K27" s="4"/>
      <c r="L27" s="4"/>
      <c r="M27" s="4"/>
      <c r="N27" s="4"/>
      <c r="O27" s="4"/>
      <c r="P27" s="4"/>
      <c r="Q27" s="4"/>
      <c r="R27" s="4"/>
    </row>
    <row r="28" spans="1:18" ht="17.399999999999999" x14ac:dyDescent="0.25">
      <c r="A28" s="4"/>
      <c r="B28" s="23"/>
      <c r="C28" s="4"/>
      <c r="D28" s="4"/>
      <c r="E28" s="5"/>
      <c r="F28" s="4"/>
      <c r="G28" s="4"/>
      <c r="H28" s="4"/>
      <c r="I28" s="4"/>
      <c r="J28" s="4"/>
      <c r="K28" s="4"/>
      <c r="L28" s="4"/>
      <c r="M28" s="4"/>
      <c r="N28" s="4"/>
      <c r="O28" s="4"/>
      <c r="P28" s="4"/>
      <c r="Q28" s="4"/>
      <c r="R28" s="4"/>
    </row>
    <row r="29" spans="1:18" ht="17.399999999999999" x14ac:dyDescent="0.25">
      <c r="A29" s="4"/>
      <c r="B29" s="23"/>
      <c r="C29" s="4"/>
      <c r="D29" s="4"/>
      <c r="E29" s="5"/>
      <c r="F29" s="4"/>
      <c r="G29" s="4"/>
      <c r="H29" s="4"/>
      <c r="I29" s="4"/>
      <c r="J29" s="4"/>
      <c r="K29" s="4"/>
      <c r="L29" s="4"/>
      <c r="M29" s="4"/>
      <c r="N29" s="4"/>
      <c r="O29" s="4"/>
      <c r="P29" s="4"/>
      <c r="Q29" s="4"/>
      <c r="R29" s="4"/>
    </row>
    <row r="30" spans="1:18" ht="17.399999999999999" x14ac:dyDescent="0.25">
      <c r="A30" s="4"/>
      <c r="B30" s="23"/>
      <c r="C30" s="4"/>
      <c r="D30" s="4"/>
      <c r="E30" s="5"/>
      <c r="F30" s="4"/>
      <c r="G30" s="4"/>
      <c r="H30" s="4"/>
      <c r="I30" s="4"/>
      <c r="J30" s="4"/>
      <c r="K30" s="4"/>
      <c r="L30" s="4"/>
      <c r="M30" s="4"/>
      <c r="N30" s="4"/>
      <c r="O30" s="4"/>
      <c r="P30" s="4"/>
      <c r="Q30" s="4"/>
      <c r="R30" s="4"/>
    </row>
    <row r="31" spans="1:18" ht="17.399999999999999" x14ac:dyDescent="0.25">
      <c r="A31" s="4"/>
      <c r="B31" s="23"/>
      <c r="C31" s="4"/>
      <c r="D31" s="4"/>
      <c r="E31" s="5"/>
      <c r="F31" s="4"/>
      <c r="G31" s="4"/>
      <c r="H31" s="4"/>
      <c r="I31" s="4"/>
      <c r="J31" s="4"/>
      <c r="K31" s="4"/>
      <c r="L31" s="4"/>
      <c r="M31" s="4"/>
      <c r="N31" s="4"/>
      <c r="O31" s="4"/>
      <c r="P31" s="4"/>
      <c r="Q31" s="4"/>
      <c r="R31" s="4"/>
    </row>
    <row r="32" spans="1:18" ht="17.399999999999999" x14ac:dyDescent="0.25">
      <c r="A32" s="4"/>
      <c r="B32" s="23"/>
      <c r="C32" s="4"/>
      <c r="D32" s="4"/>
      <c r="E32" s="5"/>
      <c r="F32" s="4"/>
      <c r="G32" s="4"/>
      <c r="H32" s="4"/>
      <c r="I32" s="4"/>
      <c r="J32" s="4"/>
      <c r="K32" s="4"/>
      <c r="L32" s="4"/>
      <c r="M32" s="4"/>
      <c r="N32" s="4"/>
      <c r="O32" s="4"/>
      <c r="P32" s="4"/>
      <c r="Q32" s="4"/>
      <c r="R32" s="4"/>
    </row>
    <row r="33" spans="1:18" ht="17.399999999999999" x14ac:dyDescent="0.25">
      <c r="A33" s="4"/>
      <c r="B33" s="23"/>
      <c r="C33" s="4"/>
      <c r="D33" s="4"/>
      <c r="E33" s="5"/>
      <c r="F33" s="4"/>
      <c r="G33" s="4"/>
      <c r="H33" s="4"/>
      <c r="I33" s="4"/>
      <c r="J33" s="4"/>
      <c r="K33" s="4"/>
      <c r="L33" s="4"/>
      <c r="M33" s="4"/>
      <c r="N33" s="4"/>
      <c r="O33" s="4"/>
      <c r="P33" s="4"/>
      <c r="Q33" s="4"/>
      <c r="R33" s="4"/>
    </row>
    <row r="34" spans="1:18" ht="17.399999999999999" x14ac:dyDescent="0.25">
      <c r="A34" s="4"/>
      <c r="B34" s="23"/>
      <c r="C34" s="4"/>
      <c r="D34" s="4"/>
      <c r="E34" s="5"/>
      <c r="F34" s="4"/>
      <c r="G34" s="4"/>
      <c r="H34" s="4"/>
      <c r="I34" s="4"/>
      <c r="J34" s="4"/>
      <c r="K34" s="4"/>
      <c r="L34" s="4"/>
      <c r="M34" s="4"/>
      <c r="N34" s="4"/>
      <c r="O34" s="4"/>
      <c r="P34" s="4"/>
      <c r="Q34" s="4"/>
      <c r="R34" s="4"/>
    </row>
    <row r="35" spans="1:18" ht="17.399999999999999" x14ac:dyDescent="0.25">
      <c r="A35" s="4"/>
      <c r="B35" s="23"/>
      <c r="C35" s="4"/>
      <c r="D35" s="4"/>
      <c r="E35" s="5"/>
      <c r="F35" s="4"/>
      <c r="G35" s="4"/>
      <c r="H35" s="4"/>
      <c r="I35" s="4"/>
      <c r="J35" s="4"/>
      <c r="K35" s="4"/>
      <c r="L35" s="4"/>
      <c r="M35" s="4"/>
      <c r="N35" s="4"/>
      <c r="O35" s="4"/>
      <c r="P35" s="4"/>
      <c r="Q35" s="4"/>
      <c r="R35" s="4"/>
    </row>
    <row r="36" spans="1:18" ht="17.399999999999999" x14ac:dyDescent="0.25">
      <c r="A36" s="4"/>
      <c r="B36" s="23"/>
      <c r="C36" s="4"/>
      <c r="D36" s="4"/>
      <c r="E36" s="5"/>
      <c r="F36" s="4"/>
      <c r="G36" s="4"/>
      <c r="H36" s="4"/>
      <c r="I36" s="4"/>
      <c r="J36" s="4"/>
      <c r="K36" s="4"/>
      <c r="L36" s="4"/>
      <c r="M36" s="4"/>
      <c r="N36" s="4"/>
      <c r="O36" s="4"/>
      <c r="P36" s="4"/>
      <c r="Q36" s="4"/>
      <c r="R36" s="4"/>
    </row>
    <row r="37" spans="1:18" ht="17.399999999999999" x14ac:dyDescent="0.25">
      <c r="A37" s="4"/>
      <c r="B37" s="23"/>
      <c r="C37" s="4"/>
      <c r="D37" s="4"/>
      <c r="E37" s="5"/>
      <c r="F37" s="4"/>
      <c r="G37" s="4"/>
      <c r="H37" s="4"/>
      <c r="I37" s="4"/>
      <c r="J37" s="4"/>
      <c r="K37" s="4"/>
      <c r="L37" s="4"/>
      <c r="M37" s="4"/>
      <c r="N37" s="4"/>
      <c r="O37" s="4"/>
      <c r="P37" s="4"/>
      <c r="Q37" s="4"/>
      <c r="R37" s="4"/>
    </row>
    <row r="38" spans="1:18" ht="17.399999999999999" x14ac:dyDescent="0.25">
      <c r="A38" s="4"/>
      <c r="B38" s="23"/>
      <c r="C38" s="4"/>
      <c r="D38" s="4"/>
      <c r="E38" s="5"/>
      <c r="F38" s="4"/>
      <c r="G38" s="4"/>
      <c r="H38" s="4"/>
      <c r="I38" s="4"/>
      <c r="J38" s="4"/>
      <c r="K38" s="4"/>
      <c r="L38" s="4"/>
      <c r="M38" s="4"/>
      <c r="N38" s="4"/>
      <c r="O38" s="4"/>
      <c r="P38" s="4"/>
      <c r="Q38" s="4"/>
      <c r="R38" s="4"/>
    </row>
    <row r="39" spans="1:18" ht="17.399999999999999" x14ac:dyDescent="0.25">
      <c r="A39" s="4"/>
      <c r="B39" s="23"/>
      <c r="C39" s="4"/>
      <c r="D39" s="4"/>
      <c r="E39" s="5"/>
      <c r="F39" s="4"/>
      <c r="G39" s="4"/>
      <c r="H39" s="4"/>
      <c r="I39" s="4"/>
      <c r="J39" s="4"/>
      <c r="K39" s="4"/>
      <c r="L39" s="4"/>
      <c r="M39" s="4"/>
      <c r="N39" s="4"/>
      <c r="O39" s="4"/>
      <c r="P39" s="4"/>
      <c r="Q39" s="4"/>
      <c r="R39" s="4"/>
    </row>
    <row r="40" spans="1:18" ht="17.399999999999999" x14ac:dyDescent="0.25">
      <c r="A40" s="4"/>
      <c r="B40" s="23"/>
      <c r="C40" s="4"/>
      <c r="D40" s="4"/>
      <c r="E40" s="5"/>
      <c r="F40" s="4"/>
      <c r="G40" s="4"/>
      <c r="H40" s="4"/>
      <c r="I40" s="4"/>
      <c r="J40" s="4"/>
      <c r="K40" s="4"/>
      <c r="L40" s="4"/>
      <c r="M40" s="4"/>
      <c r="N40" s="4"/>
      <c r="O40" s="4"/>
      <c r="P40" s="4"/>
      <c r="Q40" s="4"/>
      <c r="R40" s="4"/>
    </row>
    <row r="41" spans="1:18" ht="17.399999999999999" x14ac:dyDescent="0.25">
      <c r="A41" s="4"/>
      <c r="B41" s="23"/>
      <c r="C41" s="4"/>
      <c r="D41" s="4"/>
      <c r="E41" s="5"/>
      <c r="F41" s="4"/>
      <c r="G41" s="4"/>
      <c r="H41" s="4"/>
      <c r="I41" s="4"/>
      <c r="J41" s="4"/>
      <c r="K41" s="4"/>
      <c r="L41" s="4"/>
      <c r="M41" s="4"/>
      <c r="N41" s="4"/>
      <c r="O41" s="4"/>
      <c r="P41" s="4"/>
      <c r="Q41" s="4"/>
      <c r="R41" s="4"/>
    </row>
    <row r="42" spans="1:18" ht="17.399999999999999" x14ac:dyDescent="0.25">
      <c r="A42" s="4"/>
      <c r="B42" s="23"/>
      <c r="C42" s="4"/>
      <c r="D42" s="4"/>
      <c r="E42" s="5"/>
      <c r="F42" s="4"/>
      <c r="G42" s="4"/>
      <c r="H42" s="4"/>
      <c r="I42" s="4"/>
      <c r="J42" s="4"/>
      <c r="K42" s="4"/>
      <c r="L42" s="4"/>
      <c r="M42" s="4"/>
      <c r="N42" s="4"/>
      <c r="O42" s="4"/>
      <c r="P42" s="4"/>
      <c r="Q42" s="4"/>
      <c r="R42" s="4"/>
    </row>
    <row r="43" spans="1:18" ht="17.399999999999999" x14ac:dyDescent="0.25">
      <c r="A43" s="4"/>
      <c r="B43" s="23"/>
      <c r="C43" s="4"/>
      <c r="D43" s="4"/>
      <c r="E43" s="5"/>
      <c r="F43" s="4"/>
      <c r="G43" s="4"/>
      <c r="H43" s="4"/>
      <c r="I43" s="4"/>
      <c r="J43" s="4"/>
      <c r="K43" s="4"/>
      <c r="L43" s="4"/>
      <c r="M43" s="4"/>
      <c r="N43" s="4"/>
      <c r="O43" s="4"/>
      <c r="P43" s="4"/>
      <c r="Q43" s="4"/>
      <c r="R43" s="4"/>
    </row>
    <row r="44" spans="1:18" ht="17.399999999999999" x14ac:dyDescent="0.25">
      <c r="A44" s="4"/>
      <c r="B44" s="23"/>
      <c r="C44" s="4"/>
      <c r="D44" s="4"/>
      <c r="E44" s="5"/>
      <c r="F44" s="4"/>
      <c r="G44" s="4"/>
      <c r="H44" s="4"/>
      <c r="I44" s="4"/>
      <c r="J44" s="4"/>
      <c r="K44" s="4"/>
      <c r="L44" s="4"/>
      <c r="M44" s="4"/>
      <c r="N44" s="4"/>
      <c r="O44" s="4"/>
      <c r="P44" s="4"/>
      <c r="Q44" s="4"/>
      <c r="R44" s="4"/>
    </row>
    <row r="45" spans="1:18" ht="17.399999999999999" x14ac:dyDescent="0.25">
      <c r="A45" s="4"/>
      <c r="B45" s="23"/>
      <c r="C45" s="4"/>
      <c r="D45" s="4"/>
      <c r="E45" s="5"/>
      <c r="F45" s="4"/>
      <c r="G45" s="4"/>
      <c r="H45" s="4"/>
      <c r="I45" s="4"/>
      <c r="J45" s="4"/>
      <c r="K45" s="4"/>
      <c r="L45" s="4"/>
      <c r="M45" s="4"/>
      <c r="N45" s="4"/>
      <c r="O45" s="4"/>
      <c r="P45" s="4"/>
      <c r="Q45" s="4"/>
      <c r="R45" s="4"/>
    </row>
    <row r="46" spans="1:18" ht="17.399999999999999" x14ac:dyDescent="0.25">
      <c r="A46" s="4"/>
      <c r="B46" s="23"/>
      <c r="C46" s="4"/>
      <c r="D46" s="4"/>
      <c r="E46" s="5"/>
      <c r="F46" s="4"/>
      <c r="G46" s="4"/>
      <c r="H46" s="4"/>
      <c r="I46" s="4"/>
      <c r="J46" s="4"/>
      <c r="K46" s="4"/>
      <c r="L46" s="4"/>
      <c r="M46" s="4"/>
      <c r="N46" s="4"/>
      <c r="O46" s="4"/>
      <c r="P46" s="4"/>
      <c r="Q46" s="4"/>
      <c r="R46" s="4"/>
    </row>
    <row r="47" spans="1:18" ht="17.399999999999999" x14ac:dyDescent="0.25">
      <c r="A47" s="4"/>
      <c r="B47" s="23"/>
      <c r="C47" s="4"/>
      <c r="D47" s="4"/>
      <c r="E47" s="5"/>
      <c r="F47" s="4"/>
      <c r="G47" s="4"/>
      <c r="H47" s="4"/>
      <c r="I47" s="4"/>
      <c r="J47" s="4"/>
      <c r="K47" s="4"/>
      <c r="L47" s="4"/>
      <c r="M47" s="4"/>
      <c r="N47" s="4"/>
      <c r="O47" s="4"/>
      <c r="P47" s="4"/>
      <c r="Q47" s="4"/>
      <c r="R47" s="4"/>
    </row>
    <row r="48" spans="1:18" ht="17.399999999999999" x14ac:dyDescent="0.25">
      <c r="A48" s="4"/>
      <c r="B48" s="23"/>
      <c r="C48" s="4"/>
      <c r="D48" s="4"/>
      <c r="E48" s="5"/>
      <c r="F48" s="4"/>
      <c r="G48" s="4"/>
      <c r="H48" s="4"/>
      <c r="I48" s="4"/>
      <c r="J48" s="4"/>
      <c r="K48" s="4"/>
      <c r="L48" s="4"/>
      <c r="M48" s="4"/>
      <c r="N48" s="4"/>
      <c r="O48" s="4"/>
      <c r="P48" s="4"/>
      <c r="Q48" s="4"/>
      <c r="R48" s="4"/>
    </row>
    <row r="49" spans="1:18" ht="17.399999999999999" x14ac:dyDescent="0.25">
      <c r="A49" s="4"/>
      <c r="B49" s="23"/>
      <c r="C49" s="4"/>
      <c r="D49" s="4"/>
      <c r="E49" s="5"/>
      <c r="F49" s="4"/>
      <c r="G49" s="4"/>
      <c r="H49" s="4"/>
      <c r="I49" s="4"/>
      <c r="J49" s="4"/>
      <c r="K49" s="4"/>
      <c r="L49" s="4"/>
      <c r="M49" s="4"/>
      <c r="N49" s="4"/>
      <c r="O49" s="4"/>
      <c r="P49" s="4"/>
      <c r="Q49" s="4"/>
      <c r="R49" s="4"/>
    </row>
    <row r="50" spans="1:18" ht="17.399999999999999" x14ac:dyDescent="0.25">
      <c r="A50" s="4"/>
      <c r="B50" s="23"/>
      <c r="C50" s="4"/>
      <c r="D50" s="4"/>
      <c r="E50" s="5"/>
      <c r="F50" s="4"/>
      <c r="G50" s="4"/>
      <c r="H50" s="4"/>
      <c r="I50" s="4"/>
      <c r="J50" s="4"/>
      <c r="K50" s="4"/>
      <c r="L50" s="4"/>
      <c r="M50" s="4"/>
      <c r="N50" s="4"/>
      <c r="O50" s="4"/>
      <c r="P50" s="4"/>
      <c r="Q50" s="4"/>
      <c r="R50" s="4"/>
    </row>
    <row r="51" spans="1:18" ht="17.399999999999999" x14ac:dyDescent="0.25">
      <c r="A51" s="4"/>
      <c r="B51" s="23"/>
      <c r="C51" s="4"/>
      <c r="D51" s="4"/>
      <c r="E51" s="5"/>
      <c r="F51" s="4"/>
      <c r="G51" s="4"/>
      <c r="H51" s="4"/>
      <c r="I51" s="4"/>
      <c r="J51" s="4"/>
      <c r="K51" s="4"/>
      <c r="L51" s="4"/>
      <c r="M51" s="4"/>
      <c r="N51" s="4"/>
      <c r="O51" s="4"/>
      <c r="P51" s="4"/>
      <c r="Q51" s="4"/>
      <c r="R51" s="4"/>
    </row>
    <row r="52" spans="1:18" ht="17.399999999999999" x14ac:dyDescent="0.25">
      <c r="A52" s="4"/>
      <c r="B52" s="23"/>
      <c r="C52" s="4"/>
      <c r="D52" s="4"/>
      <c r="E52" s="5"/>
      <c r="F52" s="4"/>
      <c r="G52" s="4"/>
      <c r="H52" s="4"/>
      <c r="I52" s="4"/>
      <c r="J52" s="4"/>
      <c r="K52" s="4"/>
      <c r="L52" s="4"/>
      <c r="M52" s="4"/>
      <c r="N52" s="4"/>
      <c r="O52" s="4"/>
      <c r="P52" s="4"/>
      <c r="Q52" s="4"/>
      <c r="R52" s="4"/>
    </row>
    <row r="53" spans="1:18" ht="17.399999999999999" x14ac:dyDescent="0.25">
      <c r="A53" s="4"/>
      <c r="B53" s="23"/>
      <c r="C53" s="4"/>
      <c r="D53" s="4"/>
      <c r="E53" s="5"/>
      <c r="F53" s="4"/>
      <c r="G53" s="4"/>
      <c r="H53" s="4"/>
      <c r="I53" s="4"/>
      <c r="J53" s="4"/>
      <c r="K53" s="4"/>
      <c r="L53" s="4"/>
      <c r="M53" s="4"/>
      <c r="N53" s="4"/>
      <c r="O53" s="4"/>
      <c r="P53" s="4"/>
      <c r="Q53" s="4"/>
      <c r="R53" s="4"/>
    </row>
    <row r="54" spans="1:18" ht="17.399999999999999" x14ac:dyDescent="0.25">
      <c r="A54" s="4"/>
      <c r="B54" s="23"/>
      <c r="C54" s="4"/>
      <c r="D54" s="4"/>
      <c r="E54" s="5"/>
      <c r="F54" s="4"/>
      <c r="G54" s="4"/>
      <c r="H54" s="4"/>
      <c r="I54" s="4"/>
      <c r="J54" s="4"/>
      <c r="K54" s="4"/>
      <c r="L54" s="4"/>
      <c r="M54" s="4"/>
      <c r="N54" s="4"/>
      <c r="O54" s="4"/>
      <c r="P54" s="4"/>
      <c r="Q54" s="4"/>
      <c r="R54" s="4"/>
    </row>
    <row r="55" spans="1:18" ht="17.399999999999999" x14ac:dyDescent="0.25">
      <c r="A55" s="4"/>
      <c r="B55" s="23"/>
      <c r="C55" s="4"/>
      <c r="D55" s="4"/>
      <c r="E55" s="5"/>
      <c r="F55" s="4"/>
      <c r="G55" s="4"/>
      <c r="H55" s="4"/>
      <c r="I55" s="4"/>
      <c r="J55" s="4"/>
      <c r="K55" s="4"/>
      <c r="L55" s="4"/>
      <c r="M55" s="4"/>
      <c r="N55" s="4"/>
      <c r="O55" s="4"/>
      <c r="P55" s="4"/>
      <c r="Q55" s="4"/>
      <c r="R55" s="4"/>
    </row>
    <row r="56" spans="1:18" ht="17.399999999999999" x14ac:dyDescent="0.25">
      <c r="A56" s="4"/>
      <c r="B56" s="23"/>
      <c r="C56" s="4"/>
      <c r="D56" s="4"/>
      <c r="E56" s="5"/>
      <c r="F56" s="4"/>
      <c r="G56" s="4"/>
      <c r="H56" s="4"/>
      <c r="I56" s="4"/>
      <c r="J56" s="4"/>
      <c r="K56" s="4"/>
      <c r="L56" s="4"/>
      <c r="M56" s="4"/>
      <c r="N56" s="4"/>
      <c r="O56" s="4"/>
      <c r="P56" s="4"/>
      <c r="Q56" s="4"/>
      <c r="R56" s="4"/>
    </row>
    <row r="57" spans="1:18" ht="17.399999999999999" x14ac:dyDescent="0.25">
      <c r="A57" s="4"/>
      <c r="B57" s="23"/>
      <c r="C57" s="4"/>
      <c r="D57" s="4"/>
      <c r="E57" s="5"/>
      <c r="F57" s="4"/>
      <c r="G57" s="4"/>
      <c r="H57" s="4"/>
      <c r="I57" s="4"/>
      <c r="J57" s="4"/>
      <c r="K57" s="4"/>
      <c r="L57" s="4"/>
      <c r="M57" s="4"/>
      <c r="N57" s="4"/>
      <c r="O57" s="4"/>
      <c r="P57" s="4"/>
      <c r="Q57" s="4"/>
      <c r="R57" s="4"/>
    </row>
    <row r="58" spans="1:18" ht="17.399999999999999" x14ac:dyDescent="0.25">
      <c r="A58" s="4"/>
      <c r="B58" s="23"/>
      <c r="C58" s="4"/>
      <c r="D58" s="4"/>
      <c r="E58" s="5"/>
      <c r="F58" s="4"/>
      <c r="G58" s="4"/>
      <c r="H58" s="4"/>
      <c r="I58" s="4"/>
      <c r="J58" s="4"/>
      <c r="K58" s="4"/>
      <c r="L58" s="4"/>
      <c r="M58" s="4"/>
      <c r="N58" s="4"/>
      <c r="O58" s="4"/>
      <c r="P58" s="4"/>
      <c r="Q58" s="4"/>
      <c r="R58" s="4"/>
    </row>
    <row r="59" spans="1:18" ht="17.399999999999999" x14ac:dyDescent="0.25">
      <c r="A59" s="4"/>
      <c r="B59" s="23"/>
      <c r="C59" s="4"/>
      <c r="D59" s="4"/>
      <c r="E59" s="5"/>
      <c r="F59" s="4"/>
      <c r="G59" s="4"/>
      <c r="H59" s="4"/>
      <c r="I59" s="4"/>
      <c r="J59" s="4"/>
      <c r="K59" s="4"/>
      <c r="L59" s="4"/>
      <c r="M59" s="4"/>
      <c r="N59" s="4"/>
      <c r="O59" s="4"/>
      <c r="P59" s="4"/>
      <c r="Q59" s="4"/>
      <c r="R59" s="4"/>
    </row>
    <row r="60" spans="1:18" ht="17.399999999999999" x14ac:dyDescent="0.25">
      <c r="A60" s="4"/>
      <c r="B60" s="23"/>
      <c r="C60" s="4"/>
      <c r="D60" s="4"/>
      <c r="E60" s="5"/>
      <c r="F60" s="4"/>
      <c r="G60" s="4"/>
      <c r="H60" s="4"/>
      <c r="I60" s="4"/>
      <c r="J60" s="4"/>
      <c r="K60" s="4"/>
      <c r="L60" s="4"/>
      <c r="M60" s="4"/>
      <c r="N60" s="4"/>
      <c r="O60" s="4"/>
      <c r="P60" s="4"/>
      <c r="Q60" s="4"/>
      <c r="R60" s="4"/>
    </row>
    <row r="61" spans="1:18" ht="17.399999999999999" x14ac:dyDescent="0.25">
      <c r="A61" s="4"/>
      <c r="B61" s="23"/>
      <c r="C61" s="4"/>
      <c r="D61" s="4"/>
      <c r="E61" s="5"/>
      <c r="F61" s="4"/>
      <c r="G61" s="4"/>
      <c r="H61" s="4"/>
      <c r="I61" s="4"/>
      <c r="J61" s="4"/>
      <c r="K61" s="4"/>
      <c r="L61" s="4"/>
      <c r="M61" s="4"/>
      <c r="N61" s="4"/>
      <c r="O61" s="4"/>
      <c r="P61" s="4"/>
      <c r="Q61" s="4"/>
      <c r="R61" s="4"/>
    </row>
    <row r="62" spans="1:18" ht="17.399999999999999" x14ac:dyDescent="0.25">
      <c r="A62" s="4"/>
      <c r="B62" s="23"/>
      <c r="C62" s="4"/>
      <c r="D62" s="4"/>
      <c r="E62" s="5"/>
      <c r="F62" s="4"/>
      <c r="G62" s="4"/>
      <c r="H62" s="4"/>
      <c r="I62" s="4"/>
      <c r="J62" s="4"/>
      <c r="K62" s="4"/>
      <c r="L62" s="4"/>
      <c r="M62" s="4"/>
      <c r="N62" s="4"/>
      <c r="O62" s="4"/>
      <c r="P62" s="4"/>
      <c r="Q62" s="4"/>
      <c r="R62" s="4"/>
    </row>
    <row r="63" spans="1:18" ht="17.399999999999999" x14ac:dyDescent="0.25">
      <c r="A63" s="4"/>
      <c r="B63" s="23"/>
      <c r="C63" s="4"/>
      <c r="D63" s="4"/>
      <c r="E63" s="5"/>
      <c r="F63" s="4"/>
      <c r="G63" s="4"/>
      <c r="H63" s="4"/>
      <c r="I63" s="4"/>
      <c r="J63" s="4"/>
      <c r="K63" s="4"/>
      <c r="L63" s="4"/>
      <c r="M63" s="4"/>
      <c r="N63" s="4"/>
      <c r="O63" s="4"/>
      <c r="P63" s="4"/>
      <c r="Q63" s="4"/>
      <c r="R63" s="4"/>
    </row>
    <row r="64" spans="1:18" ht="17.399999999999999" x14ac:dyDescent="0.25">
      <c r="A64" s="4"/>
      <c r="B64" s="23"/>
      <c r="C64" s="4"/>
      <c r="D64" s="4"/>
      <c r="E64" s="5"/>
      <c r="F64" s="4"/>
      <c r="G64" s="4"/>
      <c r="H64" s="4"/>
      <c r="I64" s="4"/>
      <c r="J64" s="4"/>
      <c r="K64" s="4"/>
      <c r="L64" s="4"/>
      <c r="M64" s="4"/>
      <c r="N64" s="4"/>
      <c r="O64" s="4"/>
      <c r="P64" s="4"/>
      <c r="Q64" s="4"/>
      <c r="R64" s="4"/>
    </row>
    <row r="65" spans="1:18" ht="17.399999999999999" x14ac:dyDescent="0.25">
      <c r="A65" s="4"/>
      <c r="B65" s="23"/>
      <c r="C65" s="4"/>
      <c r="D65" s="4"/>
      <c r="E65" s="5"/>
      <c r="F65" s="4"/>
      <c r="G65" s="4"/>
      <c r="H65" s="4"/>
      <c r="I65" s="4"/>
      <c r="J65" s="4"/>
      <c r="K65" s="4"/>
      <c r="L65" s="4"/>
      <c r="M65" s="4"/>
      <c r="N65" s="4"/>
      <c r="O65" s="4"/>
      <c r="P65" s="4"/>
      <c r="Q65" s="4"/>
      <c r="R65" s="4"/>
    </row>
    <row r="66" spans="1:18" ht="17.399999999999999" x14ac:dyDescent="0.25">
      <c r="A66" s="4"/>
      <c r="B66" s="23"/>
      <c r="C66" s="4"/>
      <c r="D66" s="4"/>
      <c r="E66" s="5"/>
      <c r="F66" s="4"/>
      <c r="G66" s="4"/>
      <c r="H66" s="4"/>
      <c r="I66" s="4"/>
      <c r="J66" s="4"/>
      <c r="K66" s="4"/>
      <c r="L66" s="4"/>
      <c r="M66" s="4"/>
      <c r="N66" s="4"/>
      <c r="O66" s="4"/>
      <c r="P66" s="4"/>
      <c r="Q66" s="4"/>
      <c r="R66" s="4"/>
    </row>
    <row r="67" spans="1:18" ht="17.399999999999999" x14ac:dyDescent="0.25">
      <c r="A67" s="4"/>
      <c r="B67" s="23"/>
      <c r="C67" s="4"/>
      <c r="D67" s="4"/>
      <c r="E67" s="5"/>
      <c r="F67" s="4"/>
      <c r="G67" s="4"/>
      <c r="H67" s="4"/>
      <c r="I67" s="4"/>
      <c r="J67" s="4"/>
      <c r="K67" s="4"/>
      <c r="L67" s="4"/>
      <c r="M67" s="4"/>
      <c r="N67" s="4"/>
      <c r="O67" s="4"/>
      <c r="P67" s="4"/>
      <c r="Q67" s="4"/>
      <c r="R67" s="4"/>
    </row>
    <row r="68" spans="1:18" ht="17.399999999999999" x14ac:dyDescent="0.25">
      <c r="A68" s="4"/>
      <c r="B68" s="23"/>
      <c r="C68" s="4"/>
      <c r="D68" s="4"/>
      <c r="E68" s="5"/>
      <c r="F68" s="4"/>
      <c r="G68" s="4"/>
      <c r="H68" s="4"/>
      <c r="I68" s="4"/>
      <c r="J68" s="4"/>
      <c r="K68" s="4"/>
      <c r="L68" s="4"/>
      <c r="M68" s="4"/>
      <c r="N68" s="4"/>
      <c r="O68" s="4"/>
      <c r="P68" s="4"/>
      <c r="Q68" s="4"/>
      <c r="R68" s="4"/>
    </row>
    <row r="69" spans="1:18" ht="17.399999999999999" x14ac:dyDescent="0.25">
      <c r="A69" s="4"/>
      <c r="B69" s="23"/>
      <c r="C69" s="4"/>
      <c r="D69" s="4"/>
      <c r="E69" s="5"/>
      <c r="F69" s="4"/>
      <c r="G69" s="4"/>
      <c r="H69" s="4"/>
      <c r="I69" s="4"/>
      <c r="J69" s="4"/>
      <c r="K69" s="4"/>
      <c r="L69" s="4"/>
      <c r="M69" s="4"/>
      <c r="N69" s="4"/>
      <c r="O69" s="4"/>
      <c r="P69" s="4"/>
      <c r="Q69" s="4"/>
      <c r="R69" s="4"/>
    </row>
    <row r="70" spans="1:18" ht="17.399999999999999" x14ac:dyDescent="0.25">
      <c r="A70" s="4"/>
      <c r="B70" s="23"/>
      <c r="C70" s="4"/>
      <c r="D70" s="4"/>
      <c r="E70" s="5"/>
      <c r="F70" s="4"/>
      <c r="G70" s="4"/>
      <c r="H70" s="4"/>
      <c r="I70" s="4"/>
      <c r="J70" s="4"/>
      <c r="K70" s="4"/>
      <c r="L70" s="4"/>
      <c r="M70" s="4"/>
      <c r="N70" s="4"/>
      <c r="O70" s="4"/>
      <c r="P70" s="4"/>
      <c r="Q70" s="4"/>
      <c r="R70" s="4"/>
    </row>
    <row r="71" spans="1:18" ht="17.399999999999999" x14ac:dyDescent="0.25">
      <c r="A71" s="4"/>
      <c r="B71" s="23"/>
      <c r="C71" s="4"/>
      <c r="D71" s="4"/>
      <c r="E71" s="5"/>
      <c r="F71" s="4"/>
      <c r="G71" s="4"/>
      <c r="H71" s="4"/>
      <c r="I71" s="4"/>
      <c r="J71" s="4"/>
      <c r="K71" s="4"/>
      <c r="L71" s="4"/>
      <c r="M71" s="4"/>
      <c r="N71" s="4"/>
      <c r="O71" s="4"/>
      <c r="P71" s="4"/>
      <c r="Q71" s="4"/>
      <c r="R71" s="4"/>
    </row>
    <row r="72" spans="1:18" ht="17.399999999999999" x14ac:dyDescent="0.25">
      <c r="A72" s="4"/>
      <c r="B72" s="23"/>
      <c r="C72" s="4"/>
      <c r="D72" s="4"/>
      <c r="E72" s="5"/>
      <c r="F72" s="4"/>
      <c r="G72" s="4"/>
      <c r="H72" s="4"/>
      <c r="I72" s="4"/>
      <c r="J72" s="4"/>
      <c r="K72" s="4"/>
      <c r="L72" s="4"/>
      <c r="M72" s="4"/>
      <c r="N72" s="4"/>
      <c r="O72" s="4"/>
      <c r="P72" s="4"/>
      <c r="Q72" s="4"/>
      <c r="R72" s="4"/>
    </row>
    <row r="73" spans="1:18" ht="17.399999999999999" x14ac:dyDescent="0.25">
      <c r="A73" s="4"/>
      <c r="B73" s="23"/>
      <c r="C73" s="4"/>
      <c r="D73" s="4"/>
      <c r="E73" s="5"/>
      <c r="F73" s="4"/>
      <c r="G73" s="4"/>
      <c r="H73" s="4"/>
      <c r="I73" s="4"/>
      <c r="J73" s="4"/>
      <c r="K73" s="4"/>
      <c r="L73" s="4"/>
      <c r="M73" s="4"/>
      <c r="N73" s="4"/>
      <c r="O73" s="4"/>
      <c r="P73" s="4"/>
      <c r="Q73" s="4"/>
      <c r="R73" s="4"/>
    </row>
    <row r="74" spans="1:18" ht="17.399999999999999" x14ac:dyDescent="0.25">
      <c r="A74" s="4"/>
      <c r="B74" s="23"/>
      <c r="C74" s="4"/>
      <c r="D74" s="4"/>
      <c r="E74" s="5"/>
      <c r="F74" s="4"/>
      <c r="G74" s="4"/>
      <c r="H74" s="4"/>
      <c r="I74" s="4"/>
      <c r="J74" s="4"/>
      <c r="K74" s="4"/>
      <c r="L74" s="4"/>
      <c r="M74" s="4"/>
      <c r="N74" s="4"/>
      <c r="O74" s="4"/>
      <c r="P74" s="4"/>
      <c r="Q74" s="4"/>
      <c r="R74" s="4"/>
    </row>
    <row r="75" spans="1:18" ht="17.399999999999999" x14ac:dyDescent="0.25">
      <c r="A75" s="4"/>
      <c r="B75" s="23"/>
      <c r="C75" s="4"/>
      <c r="D75" s="4"/>
      <c r="E75" s="5"/>
      <c r="F75" s="4"/>
      <c r="G75" s="4"/>
      <c r="H75" s="4"/>
      <c r="I75" s="4"/>
      <c r="J75" s="4"/>
      <c r="K75" s="4"/>
      <c r="L75" s="4"/>
      <c r="M75" s="4"/>
      <c r="N75" s="4"/>
      <c r="O75" s="4"/>
      <c r="P75" s="4"/>
      <c r="Q75" s="4"/>
      <c r="R75" s="4"/>
    </row>
    <row r="76" spans="1:18" ht="17.399999999999999" x14ac:dyDescent="0.25">
      <c r="A76" s="4"/>
      <c r="B76" s="23"/>
      <c r="C76" s="4"/>
      <c r="D76" s="4"/>
      <c r="E76" s="5"/>
      <c r="F76" s="4"/>
      <c r="G76" s="4"/>
      <c r="H76" s="4"/>
      <c r="I76" s="4"/>
      <c r="J76" s="4"/>
      <c r="K76" s="4"/>
      <c r="L76" s="4"/>
      <c r="M76" s="4"/>
      <c r="N76" s="4"/>
      <c r="O76" s="4"/>
      <c r="P76" s="4"/>
      <c r="Q76" s="4"/>
      <c r="R76" s="4"/>
    </row>
    <row r="77" spans="1:18" ht="17.399999999999999" x14ac:dyDescent="0.25">
      <c r="A77" s="4"/>
      <c r="B77" s="23"/>
      <c r="C77" s="4"/>
      <c r="D77" s="4"/>
      <c r="E77" s="5"/>
      <c r="F77" s="4"/>
      <c r="G77" s="4"/>
      <c r="H77" s="4"/>
      <c r="I77" s="4"/>
      <c r="J77" s="4"/>
      <c r="K77" s="4"/>
      <c r="L77" s="4"/>
      <c r="M77" s="4"/>
      <c r="N77" s="4"/>
      <c r="O77" s="4"/>
      <c r="P77" s="4"/>
      <c r="Q77" s="4"/>
      <c r="R77" s="4"/>
    </row>
    <row r="78" spans="1:18" ht="17.399999999999999" x14ac:dyDescent="0.25">
      <c r="A78" s="4"/>
      <c r="B78" s="23"/>
      <c r="C78" s="4"/>
      <c r="D78" s="4"/>
      <c r="E78" s="5"/>
      <c r="F78" s="4"/>
      <c r="G78" s="4"/>
      <c r="H78" s="4"/>
      <c r="I78" s="4"/>
      <c r="J78" s="4"/>
      <c r="K78" s="4"/>
      <c r="L78" s="4"/>
      <c r="M78" s="4"/>
      <c r="N78" s="4"/>
      <c r="O78" s="4"/>
      <c r="P78" s="4"/>
      <c r="Q78" s="4"/>
      <c r="R78" s="4"/>
    </row>
    <row r="79" spans="1:18" ht="17.399999999999999" x14ac:dyDescent="0.25">
      <c r="A79" s="4"/>
      <c r="B79" s="23"/>
      <c r="C79" s="4"/>
      <c r="D79" s="4"/>
      <c r="E79" s="5"/>
      <c r="F79" s="4"/>
      <c r="G79" s="4"/>
      <c r="H79" s="4"/>
      <c r="I79" s="4"/>
      <c r="J79" s="4"/>
      <c r="K79" s="4"/>
      <c r="L79" s="4"/>
      <c r="M79" s="4"/>
      <c r="N79" s="4"/>
      <c r="O79" s="4"/>
      <c r="P79" s="4"/>
      <c r="Q79" s="4"/>
      <c r="R79" s="4"/>
    </row>
    <row r="80" spans="1:18" ht="17.399999999999999" x14ac:dyDescent="0.25">
      <c r="A80" s="4"/>
      <c r="B80" s="23"/>
      <c r="C80" s="4"/>
      <c r="D80" s="4"/>
      <c r="E80" s="5"/>
      <c r="F80" s="4"/>
      <c r="G80" s="4"/>
      <c r="H80" s="4"/>
      <c r="I80" s="4"/>
      <c r="J80" s="4"/>
      <c r="K80" s="4"/>
      <c r="L80" s="4"/>
      <c r="M80" s="4"/>
      <c r="N80" s="4"/>
      <c r="O80" s="4"/>
      <c r="P80" s="4"/>
      <c r="Q80" s="4"/>
      <c r="R80" s="4"/>
    </row>
    <row r="81" spans="1:18" ht="17.399999999999999" x14ac:dyDescent="0.25">
      <c r="A81" s="4"/>
      <c r="B81" s="23"/>
      <c r="C81" s="4"/>
      <c r="D81" s="4"/>
      <c r="E81" s="5"/>
      <c r="F81" s="4"/>
      <c r="G81" s="4"/>
      <c r="H81" s="4"/>
      <c r="I81" s="4"/>
      <c r="J81" s="4"/>
      <c r="K81" s="4"/>
      <c r="L81" s="4"/>
      <c r="M81" s="4"/>
      <c r="N81" s="4"/>
      <c r="O81" s="4"/>
      <c r="P81" s="4"/>
      <c r="Q81" s="4"/>
      <c r="R81" s="4"/>
    </row>
    <row r="82" spans="1:18" ht="17.399999999999999" x14ac:dyDescent="0.25">
      <c r="A82" s="4"/>
      <c r="B82" s="23"/>
      <c r="C82" s="4"/>
      <c r="D82" s="4"/>
      <c r="E82" s="5"/>
      <c r="F82" s="4"/>
      <c r="G82" s="4"/>
      <c r="H82" s="4"/>
      <c r="I82" s="4"/>
      <c r="J82" s="4"/>
      <c r="K82" s="4"/>
      <c r="L82" s="4"/>
      <c r="M82" s="4"/>
      <c r="N82" s="4"/>
      <c r="O82" s="4"/>
      <c r="P82" s="4"/>
      <c r="Q82" s="4"/>
      <c r="R82" s="4"/>
    </row>
    <row r="83" spans="1:18" ht="17.399999999999999" x14ac:dyDescent="0.25">
      <c r="A83" s="4"/>
      <c r="B83" s="23"/>
      <c r="C83" s="4"/>
      <c r="D83" s="4"/>
      <c r="E83" s="5"/>
      <c r="F83" s="4"/>
      <c r="G83" s="4"/>
      <c r="H83" s="4"/>
      <c r="I83" s="4"/>
      <c r="J83" s="4"/>
      <c r="K83" s="4"/>
      <c r="L83" s="4"/>
      <c r="M83" s="4"/>
      <c r="N83" s="4"/>
      <c r="O83" s="4"/>
      <c r="P83" s="4"/>
      <c r="Q83" s="4"/>
      <c r="R83" s="4"/>
    </row>
    <row r="84" spans="1:18" ht="17.399999999999999" x14ac:dyDescent="0.25">
      <c r="A84" s="4"/>
      <c r="B84" s="23"/>
      <c r="C84" s="4"/>
      <c r="D84" s="4"/>
      <c r="E84" s="5"/>
      <c r="F84" s="4"/>
      <c r="G84" s="4"/>
      <c r="H84" s="4"/>
      <c r="I84" s="4"/>
      <c r="J84" s="4"/>
      <c r="K84" s="4"/>
      <c r="L84" s="4"/>
      <c r="M84" s="4"/>
      <c r="N84" s="4"/>
      <c r="O84" s="4"/>
      <c r="P84" s="4"/>
      <c r="Q84" s="4"/>
      <c r="R84" s="4"/>
    </row>
    <row r="85" spans="1:18" ht="17.399999999999999" x14ac:dyDescent="0.25">
      <c r="A85" s="4"/>
      <c r="B85" s="23"/>
      <c r="C85" s="4"/>
      <c r="D85" s="4"/>
      <c r="E85" s="5"/>
      <c r="F85" s="4"/>
      <c r="G85" s="4"/>
      <c r="H85" s="4"/>
      <c r="I85" s="4"/>
      <c r="J85" s="4"/>
      <c r="K85" s="4"/>
      <c r="L85" s="4"/>
      <c r="M85" s="4"/>
      <c r="N85" s="4"/>
      <c r="O85" s="4"/>
      <c r="P85" s="4"/>
      <c r="Q85" s="4"/>
      <c r="R85" s="4"/>
    </row>
    <row r="86" spans="1:18" ht="17.399999999999999" x14ac:dyDescent="0.25">
      <c r="A86" s="4"/>
      <c r="B86" s="23"/>
      <c r="C86" s="4"/>
      <c r="D86" s="4"/>
      <c r="E86" s="5"/>
      <c r="F86" s="4"/>
      <c r="G86" s="4"/>
      <c r="H86" s="4"/>
      <c r="I86" s="4"/>
      <c r="J86" s="4"/>
      <c r="K86" s="4"/>
      <c r="L86" s="4"/>
      <c r="M86" s="4"/>
      <c r="N86" s="4"/>
      <c r="O86" s="4"/>
      <c r="P86" s="4"/>
      <c r="Q86" s="4"/>
      <c r="R86" s="4"/>
    </row>
    <row r="87" spans="1:18" ht="17.399999999999999" x14ac:dyDescent="0.25">
      <c r="A87" s="4"/>
      <c r="B87" s="23"/>
      <c r="C87" s="4"/>
      <c r="D87" s="4"/>
      <c r="E87" s="5"/>
      <c r="F87" s="4"/>
      <c r="G87" s="4"/>
      <c r="H87" s="4"/>
      <c r="I87" s="4"/>
      <c r="J87" s="4"/>
      <c r="K87" s="4"/>
      <c r="L87" s="4"/>
      <c r="M87" s="4"/>
      <c r="N87" s="4"/>
      <c r="O87" s="4"/>
      <c r="P87" s="4"/>
      <c r="Q87" s="4"/>
      <c r="R87" s="4"/>
    </row>
    <row r="88" spans="1:18" ht="17.399999999999999" x14ac:dyDescent="0.25">
      <c r="A88" s="4"/>
      <c r="B88" s="23"/>
      <c r="C88" s="4"/>
      <c r="D88" s="4"/>
      <c r="E88" s="5"/>
      <c r="F88" s="4"/>
      <c r="G88" s="4"/>
      <c r="H88" s="4"/>
      <c r="I88" s="4"/>
      <c r="J88" s="4"/>
      <c r="K88" s="4"/>
      <c r="L88" s="4"/>
      <c r="M88" s="4"/>
      <c r="N88" s="4"/>
      <c r="O88" s="4"/>
      <c r="P88" s="4"/>
      <c r="Q88" s="4"/>
      <c r="R88" s="4"/>
    </row>
    <row r="89" spans="1:18" ht="17.399999999999999" x14ac:dyDescent="0.25">
      <c r="A89" s="4"/>
      <c r="B89" s="23"/>
      <c r="C89" s="4"/>
      <c r="D89" s="4"/>
      <c r="E89" s="5"/>
      <c r="F89" s="4"/>
      <c r="G89" s="4"/>
      <c r="H89" s="4"/>
      <c r="I89" s="4"/>
      <c r="J89" s="4"/>
      <c r="K89" s="4"/>
      <c r="L89" s="4"/>
      <c r="M89" s="4"/>
      <c r="N89" s="4"/>
      <c r="O89" s="4"/>
      <c r="P89" s="4"/>
      <c r="Q89" s="4"/>
      <c r="R89" s="4"/>
    </row>
    <row r="90" spans="1:18" ht="17.399999999999999" x14ac:dyDescent="0.25">
      <c r="A90" s="4"/>
      <c r="B90" s="23"/>
      <c r="C90" s="4"/>
      <c r="D90" s="4"/>
      <c r="E90" s="5"/>
      <c r="F90" s="4"/>
      <c r="G90" s="4"/>
      <c r="H90" s="4"/>
      <c r="I90" s="4"/>
      <c r="J90" s="4"/>
      <c r="K90" s="4"/>
      <c r="L90" s="4"/>
      <c r="M90" s="4"/>
      <c r="N90" s="4"/>
      <c r="O90" s="4"/>
      <c r="P90" s="4"/>
      <c r="Q90" s="4"/>
      <c r="R90" s="4"/>
    </row>
    <row r="91" spans="1:18" ht="17.399999999999999" x14ac:dyDescent="0.25">
      <c r="A91" s="4"/>
      <c r="B91" s="23"/>
      <c r="C91" s="4"/>
      <c r="D91" s="4"/>
      <c r="E91" s="5"/>
      <c r="F91" s="4"/>
      <c r="G91" s="4"/>
      <c r="H91" s="4"/>
      <c r="I91" s="4"/>
      <c r="J91" s="4"/>
      <c r="K91" s="4"/>
      <c r="L91" s="4"/>
      <c r="M91" s="4"/>
      <c r="N91" s="4"/>
      <c r="O91" s="4"/>
      <c r="P91" s="4"/>
      <c r="Q91" s="4"/>
      <c r="R91" s="4"/>
    </row>
    <row r="92" spans="1:18" ht="17.399999999999999" x14ac:dyDescent="0.25">
      <c r="A92" s="4"/>
      <c r="B92" s="23"/>
      <c r="C92" s="4"/>
      <c r="D92" s="4"/>
      <c r="E92" s="5"/>
      <c r="F92" s="4"/>
      <c r="G92" s="4"/>
      <c r="H92" s="4"/>
      <c r="I92" s="4"/>
      <c r="J92" s="4"/>
      <c r="K92" s="4"/>
      <c r="L92" s="4"/>
      <c r="M92" s="4"/>
      <c r="N92" s="4"/>
      <c r="O92" s="4"/>
      <c r="P92" s="4"/>
      <c r="Q92" s="4"/>
      <c r="R92" s="4"/>
    </row>
    <row r="93" spans="1:18" ht="17.399999999999999" x14ac:dyDescent="0.25">
      <c r="A93" s="4"/>
      <c r="B93" s="23"/>
      <c r="C93" s="4"/>
      <c r="D93" s="4"/>
      <c r="E93" s="5"/>
      <c r="F93" s="4"/>
      <c r="G93" s="4"/>
      <c r="H93" s="4"/>
      <c r="I93" s="4"/>
      <c r="J93" s="4"/>
      <c r="K93" s="4"/>
      <c r="L93" s="4"/>
      <c r="M93" s="4"/>
      <c r="N93" s="4"/>
      <c r="O93" s="4"/>
      <c r="P93" s="4"/>
      <c r="Q93" s="4"/>
      <c r="R93" s="4"/>
    </row>
    <row r="94" spans="1:18" ht="17.399999999999999" x14ac:dyDescent="0.25">
      <c r="A94" s="4"/>
      <c r="B94" s="23"/>
      <c r="C94" s="4"/>
      <c r="D94" s="4"/>
      <c r="E94" s="5"/>
      <c r="F94" s="4"/>
      <c r="G94" s="4"/>
      <c r="H94" s="4"/>
      <c r="I94" s="4"/>
      <c r="J94" s="4"/>
      <c r="K94" s="4"/>
      <c r="L94" s="4"/>
      <c r="M94" s="4"/>
      <c r="N94" s="4"/>
      <c r="O94" s="4"/>
      <c r="P94" s="4"/>
      <c r="Q94" s="4"/>
      <c r="R94" s="4"/>
    </row>
    <row r="95" spans="1:18" ht="17.399999999999999" x14ac:dyDescent="0.25">
      <c r="A95" s="4"/>
      <c r="B95" s="23"/>
      <c r="C95" s="4"/>
      <c r="D95" s="4"/>
      <c r="E95" s="5"/>
      <c r="F95" s="4"/>
      <c r="G95" s="4"/>
      <c r="H95" s="4"/>
      <c r="I95" s="4"/>
      <c r="J95" s="4"/>
      <c r="K95" s="4"/>
      <c r="L95" s="4"/>
      <c r="M95" s="4"/>
      <c r="N95" s="4"/>
      <c r="O95" s="4"/>
      <c r="P95" s="4"/>
      <c r="Q95" s="4"/>
      <c r="R95" s="4"/>
    </row>
    <row r="96" spans="1:18" ht="17.399999999999999" x14ac:dyDescent="0.25">
      <c r="A96" s="4"/>
      <c r="B96" s="23"/>
      <c r="C96" s="4"/>
      <c r="D96" s="4"/>
      <c r="E96" s="5"/>
      <c r="F96" s="4"/>
      <c r="G96" s="4"/>
      <c r="H96" s="4"/>
      <c r="I96" s="4"/>
      <c r="J96" s="4"/>
      <c r="K96" s="4"/>
      <c r="L96" s="4"/>
      <c r="M96" s="4"/>
      <c r="N96" s="4"/>
      <c r="O96" s="4"/>
      <c r="P96" s="4"/>
      <c r="Q96" s="4"/>
      <c r="R96" s="4"/>
    </row>
    <row r="97" spans="1:18" ht="17.399999999999999" x14ac:dyDescent="0.25">
      <c r="A97" s="4"/>
      <c r="B97" s="23"/>
      <c r="C97" s="4"/>
      <c r="D97" s="4"/>
      <c r="E97" s="5"/>
      <c r="F97" s="4"/>
      <c r="G97" s="4"/>
      <c r="H97" s="4"/>
      <c r="I97" s="4"/>
      <c r="J97" s="4"/>
      <c r="K97" s="4"/>
      <c r="L97" s="4"/>
      <c r="M97" s="4"/>
      <c r="N97" s="4"/>
      <c r="O97" s="4"/>
      <c r="P97" s="4"/>
      <c r="Q97" s="4"/>
      <c r="R97" s="4"/>
    </row>
    <row r="98" spans="1:18" ht="17.399999999999999" x14ac:dyDescent="0.25">
      <c r="A98" s="4"/>
      <c r="B98" s="23"/>
      <c r="C98" s="4"/>
      <c r="D98" s="4"/>
      <c r="E98" s="5"/>
      <c r="F98" s="4"/>
      <c r="G98" s="4"/>
      <c r="H98" s="4"/>
      <c r="I98" s="4"/>
      <c r="J98" s="4"/>
      <c r="K98" s="4"/>
      <c r="L98" s="4"/>
      <c r="M98" s="4"/>
      <c r="N98" s="4"/>
      <c r="O98" s="4"/>
      <c r="P98" s="4"/>
      <c r="Q98" s="4"/>
      <c r="R98" s="4"/>
    </row>
    <row r="99" spans="1:18" ht="17.399999999999999" x14ac:dyDescent="0.25">
      <c r="A99" s="4"/>
      <c r="B99" s="23"/>
      <c r="C99" s="4"/>
      <c r="D99" s="4"/>
      <c r="E99" s="5"/>
      <c r="F99" s="4"/>
      <c r="G99" s="4"/>
      <c r="H99" s="4"/>
      <c r="I99" s="4"/>
      <c r="J99" s="4"/>
      <c r="K99" s="4"/>
      <c r="L99" s="4"/>
      <c r="M99" s="4"/>
      <c r="N99" s="4"/>
      <c r="O99" s="4"/>
      <c r="P99" s="4"/>
      <c r="Q99" s="4"/>
      <c r="R99" s="4"/>
    </row>
    <row r="100" spans="1:18" ht="17.399999999999999" x14ac:dyDescent="0.25">
      <c r="A100" s="4"/>
      <c r="B100" s="23"/>
      <c r="C100" s="4"/>
      <c r="D100" s="4"/>
      <c r="E100" s="5"/>
      <c r="F100" s="4"/>
      <c r="G100" s="4"/>
      <c r="H100" s="4"/>
      <c r="I100" s="4"/>
      <c r="J100" s="4"/>
      <c r="K100" s="4"/>
      <c r="L100" s="4"/>
      <c r="M100" s="4"/>
      <c r="N100" s="4"/>
      <c r="O100" s="4"/>
      <c r="P100" s="4"/>
      <c r="Q100" s="4"/>
      <c r="R100" s="4"/>
    </row>
    <row r="101" spans="1:18" ht="17.399999999999999" x14ac:dyDescent="0.25">
      <c r="A101" s="4"/>
      <c r="B101" s="23"/>
      <c r="C101" s="4"/>
      <c r="D101" s="4"/>
      <c r="E101" s="5"/>
      <c r="F101" s="4"/>
      <c r="G101" s="4"/>
      <c r="H101" s="4"/>
      <c r="I101" s="4"/>
      <c r="J101" s="4"/>
      <c r="K101" s="4"/>
      <c r="L101" s="4"/>
      <c r="M101" s="4"/>
      <c r="N101" s="4"/>
      <c r="O101" s="4"/>
      <c r="P101" s="4"/>
      <c r="Q101" s="4"/>
      <c r="R101" s="4"/>
    </row>
    <row r="102" spans="1:18" ht="17.399999999999999" x14ac:dyDescent="0.25">
      <c r="A102" s="4"/>
      <c r="B102" s="23"/>
      <c r="C102" s="4"/>
      <c r="D102" s="4"/>
      <c r="E102" s="5"/>
      <c r="F102" s="4"/>
      <c r="G102" s="4"/>
      <c r="H102" s="4"/>
      <c r="I102" s="4"/>
      <c r="J102" s="4"/>
      <c r="K102" s="4"/>
      <c r="L102" s="4"/>
      <c r="M102" s="4"/>
      <c r="N102" s="4"/>
      <c r="O102" s="4"/>
      <c r="P102" s="4"/>
      <c r="Q102" s="4"/>
      <c r="R102" s="4"/>
    </row>
    <row r="103" spans="1:18" ht="17.399999999999999" x14ac:dyDescent="0.25">
      <c r="A103" s="4"/>
      <c r="B103" s="23"/>
      <c r="C103" s="4"/>
      <c r="D103" s="4"/>
      <c r="E103" s="5"/>
      <c r="F103" s="4"/>
      <c r="G103" s="4"/>
      <c r="H103" s="4"/>
      <c r="I103" s="4"/>
      <c r="J103" s="4"/>
      <c r="K103" s="4"/>
      <c r="L103" s="4"/>
      <c r="M103" s="4"/>
      <c r="N103" s="4"/>
      <c r="O103" s="4"/>
      <c r="P103" s="4"/>
      <c r="Q103" s="4"/>
      <c r="R103" s="4"/>
    </row>
    <row r="104" spans="1:18" ht="17.399999999999999" x14ac:dyDescent="0.25">
      <c r="A104" s="4"/>
      <c r="B104" s="23"/>
      <c r="C104" s="4"/>
      <c r="D104" s="4"/>
      <c r="E104" s="5"/>
      <c r="F104" s="4"/>
      <c r="G104" s="4"/>
      <c r="H104" s="4"/>
      <c r="I104" s="4"/>
      <c r="J104" s="4"/>
      <c r="K104" s="4"/>
      <c r="L104" s="4"/>
      <c r="M104" s="4"/>
      <c r="N104" s="4"/>
      <c r="O104" s="4"/>
      <c r="P104" s="4"/>
      <c r="Q104" s="4"/>
      <c r="R104" s="4"/>
    </row>
    <row r="105" spans="1:18" ht="17.399999999999999" x14ac:dyDescent="0.25">
      <c r="A105" s="4"/>
      <c r="B105" s="23"/>
      <c r="C105" s="4"/>
      <c r="D105" s="4"/>
      <c r="E105" s="5"/>
      <c r="F105" s="4"/>
      <c r="G105" s="4"/>
      <c r="H105" s="4"/>
      <c r="I105" s="4"/>
      <c r="J105" s="4"/>
      <c r="K105" s="4"/>
      <c r="L105" s="4"/>
      <c r="M105" s="4"/>
      <c r="N105" s="4"/>
      <c r="O105" s="4"/>
      <c r="P105" s="4"/>
      <c r="Q105" s="4"/>
      <c r="R105" s="4"/>
    </row>
    <row r="106" spans="1:18" ht="17.399999999999999" x14ac:dyDescent="0.25">
      <c r="A106" s="4"/>
      <c r="B106" s="23"/>
      <c r="C106" s="4"/>
      <c r="D106" s="4"/>
      <c r="E106" s="5"/>
      <c r="F106" s="4"/>
      <c r="G106" s="4"/>
      <c r="H106" s="4"/>
      <c r="I106" s="4"/>
      <c r="J106" s="4"/>
      <c r="K106" s="4"/>
      <c r="L106" s="4"/>
      <c r="M106" s="4"/>
      <c r="N106" s="4"/>
      <c r="O106" s="4"/>
      <c r="P106" s="4"/>
      <c r="Q106" s="4"/>
      <c r="R106" s="4"/>
    </row>
    <row r="107" spans="1:18" ht="17.399999999999999" x14ac:dyDescent="0.25">
      <c r="A107" s="4"/>
      <c r="B107" s="23"/>
      <c r="C107" s="4"/>
      <c r="D107" s="4"/>
      <c r="E107" s="5"/>
      <c r="F107" s="4"/>
      <c r="G107" s="4"/>
      <c r="H107" s="4"/>
      <c r="I107" s="4"/>
      <c r="J107" s="4"/>
      <c r="K107" s="4"/>
      <c r="L107" s="4"/>
      <c r="M107" s="4"/>
      <c r="N107" s="4"/>
      <c r="O107" s="4"/>
      <c r="P107" s="4"/>
      <c r="Q107" s="4"/>
      <c r="R107" s="4"/>
    </row>
    <row r="108" spans="1:18" ht="17.399999999999999" x14ac:dyDescent="0.25">
      <c r="A108" s="4"/>
      <c r="B108" s="23"/>
      <c r="C108" s="4"/>
      <c r="D108" s="4"/>
      <c r="E108" s="5"/>
      <c r="F108" s="4"/>
      <c r="G108" s="4"/>
      <c r="H108" s="4"/>
      <c r="I108" s="4"/>
      <c r="J108" s="4"/>
      <c r="K108" s="4"/>
      <c r="L108" s="4"/>
      <c r="M108" s="4"/>
      <c r="N108" s="4"/>
      <c r="O108" s="4"/>
      <c r="P108" s="4"/>
      <c r="Q108" s="4"/>
      <c r="R108" s="4"/>
    </row>
    <row r="109" spans="1:18" ht="17.399999999999999" x14ac:dyDescent="0.25">
      <c r="A109" s="4"/>
      <c r="B109" s="23"/>
      <c r="C109" s="4"/>
      <c r="D109" s="4"/>
      <c r="E109" s="5"/>
      <c r="F109" s="4"/>
      <c r="G109" s="4"/>
      <c r="H109" s="4"/>
      <c r="I109" s="4"/>
      <c r="J109" s="4"/>
      <c r="K109" s="4"/>
      <c r="L109" s="4"/>
      <c r="M109" s="4"/>
      <c r="N109" s="4"/>
      <c r="O109" s="4"/>
      <c r="P109" s="4"/>
      <c r="Q109" s="4"/>
      <c r="R109" s="4"/>
    </row>
    <row r="110" spans="1:18" ht="17.399999999999999" x14ac:dyDescent="0.25">
      <c r="A110" s="4"/>
      <c r="B110" s="23"/>
      <c r="C110" s="4"/>
      <c r="D110" s="4"/>
      <c r="E110" s="5"/>
      <c r="F110" s="4"/>
      <c r="G110" s="4"/>
      <c r="H110" s="4"/>
      <c r="I110" s="4"/>
      <c r="J110" s="4"/>
      <c r="K110" s="4"/>
      <c r="L110" s="4"/>
      <c r="M110" s="4"/>
      <c r="N110" s="4"/>
      <c r="O110" s="4"/>
      <c r="P110" s="4"/>
      <c r="Q110" s="4"/>
      <c r="R110" s="4"/>
    </row>
    <row r="111" spans="1:18" ht="17.399999999999999" x14ac:dyDescent="0.25">
      <c r="A111" s="4"/>
      <c r="B111" s="23"/>
      <c r="C111" s="4"/>
      <c r="D111" s="4"/>
      <c r="E111" s="5"/>
      <c r="F111" s="4"/>
      <c r="G111" s="4"/>
      <c r="H111" s="4"/>
      <c r="I111" s="4"/>
      <c r="J111" s="4"/>
      <c r="K111" s="4"/>
      <c r="L111" s="4"/>
      <c r="M111" s="4"/>
      <c r="N111" s="4"/>
      <c r="O111" s="4"/>
      <c r="P111" s="4"/>
      <c r="Q111" s="4"/>
      <c r="R111" s="4"/>
    </row>
    <row r="112" spans="1:18" ht="17.399999999999999" x14ac:dyDescent="0.25">
      <c r="A112" s="4"/>
      <c r="B112" s="23"/>
      <c r="C112" s="4"/>
      <c r="D112" s="4"/>
      <c r="E112" s="5"/>
      <c r="F112" s="4"/>
      <c r="G112" s="4"/>
      <c r="H112" s="4"/>
      <c r="I112" s="4"/>
      <c r="J112" s="4"/>
      <c r="K112" s="4"/>
      <c r="L112" s="4"/>
      <c r="M112" s="4"/>
      <c r="N112" s="4"/>
      <c r="O112" s="4"/>
      <c r="P112" s="4"/>
      <c r="Q112" s="4"/>
      <c r="R112" s="4"/>
    </row>
    <row r="113" spans="1:18" ht="17.399999999999999" x14ac:dyDescent="0.25">
      <c r="A113" s="4"/>
      <c r="B113" s="23"/>
      <c r="C113" s="4"/>
      <c r="D113" s="4"/>
      <c r="E113" s="5"/>
      <c r="F113" s="4"/>
      <c r="G113" s="4"/>
      <c r="H113" s="4"/>
      <c r="I113" s="4"/>
      <c r="J113" s="4"/>
      <c r="K113" s="4"/>
      <c r="L113" s="4"/>
      <c r="M113" s="4"/>
      <c r="N113" s="4"/>
      <c r="O113" s="4"/>
      <c r="P113" s="4"/>
      <c r="Q113" s="4"/>
      <c r="R113" s="4"/>
    </row>
    <row r="114" spans="1:18" ht="17.399999999999999" x14ac:dyDescent="0.25">
      <c r="A114" s="4"/>
      <c r="B114" s="23"/>
      <c r="C114" s="4"/>
      <c r="D114" s="4"/>
      <c r="E114" s="5"/>
      <c r="F114" s="4"/>
      <c r="G114" s="4"/>
      <c r="H114" s="4"/>
      <c r="I114" s="4"/>
      <c r="J114" s="4"/>
      <c r="K114" s="4"/>
      <c r="L114" s="4"/>
      <c r="M114" s="4"/>
      <c r="N114" s="4"/>
      <c r="O114" s="4"/>
      <c r="P114" s="4"/>
      <c r="Q114" s="4"/>
      <c r="R114" s="4"/>
    </row>
    <row r="115" spans="1:18" ht="17.399999999999999" x14ac:dyDescent="0.25">
      <c r="A115" s="4"/>
      <c r="B115" s="23"/>
      <c r="C115" s="4"/>
      <c r="D115" s="4"/>
      <c r="E115" s="5"/>
      <c r="F115" s="4"/>
      <c r="G115" s="4"/>
      <c r="H115" s="4"/>
      <c r="I115" s="4"/>
      <c r="J115" s="4"/>
      <c r="K115" s="4"/>
      <c r="L115" s="4"/>
      <c r="M115" s="4"/>
      <c r="N115" s="4"/>
      <c r="O115" s="4"/>
      <c r="P115" s="4"/>
      <c r="Q115" s="4"/>
      <c r="R115" s="4"/>
    </row>
    <row r="116" spans="1:18" ht="17.399999999999999" x14ac:dyDescent="0.25">
      <c r="A116" s="4"/>
      <c r="B116" s="23"/>
      <c r="C116" s="4"/>
      <c r="D116" s="4"/>
      <c r="E116" s="5"/>
      <c r="F116" s="4"/>
      <c r="G116" s="4"/>
      <c r="H116" s="4"/>
      <c r="I116" s="4"/>
      <c r="J116" s="4"/>
      <c r="K116" s="4"/>
      <c r="L116" s="4"/>
      <c r="M116" s="4"/>
      <c r="N116" s="4"/>
      <c r="O116" s="4"/>
      <c r="P116" s="4"/>
      <c r="Q116" s="4"/>
      <c r="R116" s="4"/>
    </row>
    <row r="117" spans="1:18" ht="17.399999999999999" x14ac:dyDescent="0.25">
      <c r="A117" s="4"/>
      <c r="B117" s="23"/>
      <c r="C117" s="4"/>
      <c r="D117" s="4"/>
      <c r="E117" s="5"/>
      <c r="F117" s="4"/>
      <c r="G117" s="4"/>
      <c r="H117" s="4"/>
      <c r="I117" s="4"/>
      <c r="J117" s="4"/>
      <c r="K117" s="4"/>
      <c r="L117" s="4"/>
      <c r="M117" s="4"/>
      <c r="N117" s="4"/>
      <c r="O117" s="4"/>
      <c r="P117" s="4"/>
      <c r="Q117" s="4"/>
      <c r="R117" s="4"/>
    </row>
    <row r="118" spans="1:18" ht="17.399999999999999" x14ac:dyDescent="0.25">
      <c r="A118" s="4"/>
      <c r="B118" s="23"/>
      <c r="C118" s="4"/>
      <c r="D118" s="4"/>
      <c r="E118" s="5"/>
      <c r="F118" s="4"/>
      <c r="G118" s="4"/>
      <c r="H118" s="4"/>
      <c r="I118" s="4"/>
      <c r="J118" s="4"/>
      <c r="K118" s="4"/>
      <c r="L118" s="4"/>
      <c r="M118" s="4"/>
      <c r="N118" s="4"/>
      <c r="O118" s="4"/>
      <c r="P118" s="4"/>
      <c r="Q118" s="4"/>
      <c r="R118" s="4"/>
    </row>
    <row r="119" spans="1:18" ht="17.399999999999999" x14ac:dyDescent="0.25">
      <c r="A119" s="4"/>
      <c r="B119" s="23"/>
      <c r="C119" s="4"/>
      <c r="D119" s="4"/>
      <c r="E119" s="5"/>
      <c r="F119" s="4"/>
      <c r="G119" s="4"/>
      <c r="H119" s="4"/>
      <c r="I119" s="4"/>
      <c r="J119" s="4"/>
      <c r="K119" s="4"/>
      <c r="L119" s="4"/>
      <c r="M119" s="4"/>
      <c r="N119" s="4"/>
      <c r="O119" s="4"/>
      <c r="P119" s="4"/>
      <c r="Q119" s="4"/>
      <c r="R119" s="4"/>
    </row>
    <row r="120" spans="1:18" ht="17.399999999999999" x14ac:dyDescent="0.25">
      <c r="A120" s="4"/>
      <c r="B120" s="23"/>
      <c r="C120" s="4"/>
      <c r="D120" s="4"/>
      <c r="E120" s="5"/>
      <c r="F120" s="4"/>
      <c r="G120" s="4"/>
      <c r="H120" s="4"/>
      <c r="I120" s="4"/>
      <c r="J120" s="4"/>
      <c r="K120" s="4"/>
      <c r="L120" s="4"/>
      <c r="M120" s="4"/>
      <c r="N120" s="4"/>
      <c r="O120" s="4"/>
      <c r="P120" s="4"/>
      <c r="Q120" s="4"/>
      <c r="R120" s="4"/>
    </row>
    <row r="121" spans="1:18" ht="17.399999999999999" x14ac:dyDescent="0.25">
      <c r="A121" s="4"/>
      <c r="B121" s="23"/>
      <c r="C121" s="4"/>
      <c r="D121" s="4"/>
      <c r="E121" s="5"/>
      <c r="F121" s="4"/>
      <c r="G121" s="4"/>
      <c r="H121" s="4"/>
      <c r="I121" s="4"/>
      <c r="J121" s="4"/>
      <c r="K121" s="4"/>
      <c r="L121" s="4"/>
      <c r="M121" s="4"/>
      <c r="N121" s="4"/>
      <c r="O121" s="4"/>
      <c r="P121" s="4"/>
      <c r="Q121" s="4"/>
      <c r="R121" s="4"/>
    </row>
    <row r="122" spans="1:18" ht="17.399999999999999" x14ac:dyDescent="0.25">
      <c r="A122" s="4"/>
      <c r="B122" s="23"/>
      <c r="C122" s="4"/>
      <c r="D122" s="4"/>
      <c r="E122" s="5"/>
      <c r="F122" s="4"/>
      <c r="G122" s="4"/>
      <c r="H122" s="4"/>
      <c r="I122" s="4"/>
      <c r="J122" s="4"/>
      <c r="K122" s="4"/>
      <c r="L122" s="4"/>
      <c r="M122" s="4"/>
      <c r="N122" s="4"/>
      <c r="O122" s="4"/>
      <c r="P122" s="4"/>
      <c r="Q122" s="4"/>
      <c r="R122" s="4"/>
    </row>
    <row r="123" spans="1:18" ht="17.399999999999999" x14ac:dyDescent="0.25">
      <c r="A123" s="4"/>
      <c r="B123" s="23"/>
      <c r="C123" s="4"/>
      <c r="D123" s="4"/>
      <c r="E123" s="5"/>
      <c r="F123" s="4"/>
      <c r="G123" s="4"/>
      <c r="H123" s="4"/>
      <c r="I123" s="4"/>
      <c r="J123" s="4"/>
      <c r="K123" s="4"/>
      <c r="L123" s="4"/>
      <c r="M123" s="4"/>
      <c r="N123" s="4"/>
      <c r="O123" s="4"/>
      <c r="P123" s="4"/>
      <c r="Q123" s="4"/>
      <c r="R123" s="4"/>
    </row>
    <row r="124" spans="1:18" ht="17.399999999999999" x14ac:dyDescent="0.25">
      <c r="A124" s="4"/>
      <c r="B124" s="23"/>
      <c r="C124" s="4"/>
      <c r="D124" s="4"/>
      <c r="E124" s="5"/>
      <c r="F124" s="4"/>
      <c r="G124" s="4"/>
      <c r="H124" s="4"/>
      <c r="I124" s="4"/>
      <c r="J124" s="4"/>
      <c r="K124" s="4"/>
      <c r="L124" s="4"/>
      <c r="M124" s="4"/>
      <c r="N124" s="4"/>
      <c r="O124" s="4"/>
      <c r="P124" s="4"/>
      <c r="Q124" s="4"/>
      <c r="R124" s="4"/>
    </row>
    <row r="125" spans="1:18" ht="17.399999999999999" x14ac:dyDescent="0.25">
      <c r="A125" s="4"/>
      <c r="B125" s="23"/>
      <c r="C125" s="4"/>
      <c r="D125" s="4"/>
      <c r="E125" s="5"/>
      <c r="F125" s="4"/>
      <c r="G125" s="4"/>
      <c r="H125" s="4"/>
      <c r="I125" s="4"/>
      <c r="J125" s="4"/>
      <c r="K125" s="4"/>
      <c r="L125" s="4"/>
      <c r="M125" s="4"/>
      <c r="N125" s="4"/>
      <c r="O125" s="4"/>
      <c r="P125" s="4"/>
      <c r="Q125" s="4"/>
      <c r="R125" s="4"/>
    </row>
    <row r="126" spans="1:18" ht="17.399999999999999" x14ac:dyDescent="0.25">
      <c r="A126" s="4"/>
      <c r="B126" s="23"/>
      <c r="C126" s="4"/>
      <c r="D126" s="4"/>
      <c r="E126" s="5"/>
      <c r="F126" s="4"/>
      <c r="G126" s="4"/>
      <c r="H126" s="4"/>
      <c r="I126" s="4"/>
      <c r="J126" s="4"/>
      <c r="K126" s="4"/>
      <c r="L126" s="4"/>
      <c r="M126" s="4"/>
      <c r="N126" s="4"/>
      <c r="O126" s="4"/>
      <c r="P126" s="4"/>
      <c r="Q126" s="4"/>
      <c r="R126" s="4"/>
    </row>
    <row r="127" spans="1:18" ht="17.399999999999999" x14ac:dyDescent="0.25">
      <c r="A127" s="4"/>
      <c r="B127" s="23"/>
      <c r="C127" s="4"/>
      <c r="D127" s="4"/>
      <c r="E127" s="5"/>
      <c r="F127" s="4"/>
      <c r="G127" s="4"/>
      <c r="H127" s="4"/>
      <c r="I127" s="4"/>
      <c r="J127" s="4"/>
      <c r="K127" s="4"/>
      <c r="L127" s="4"/>
      <c r="M127" s="4"/>
      <c r="N127" s="4"/>
      <c r="O127" s="4"/>
      <c r="P127" s="4"/>
      <c r="Q127" s="4"/>
      <c r="R127" s="4"/>
    </row>
    <row r="128" spans="1:18" ht="17.399999999999999" x14ac:dyDescent="0.25">
      <c r="A128" s="4"/>
      <c r="B128" s="23"/>
      <c r="C128" s="4"/>
      <c r="D128" s="4"/>
      <c r="E128" s="5"/>
      <c r="F128" s="4"/>
      <c r="G128" s="4"/>
      <c r="H128" s="4"/>
      <c r="I128" s="4"/>
      <c r="J128" s="4"/>
      <c r="K128" s="4"/>
      <c r="L128" s="4"/>
      <c r="M128" s="4"/>
      <c r="N128" s="4"/>
      <c r="O128" s="4"/>
      <c r="P128" s="4"/>
      <c r="Q128" s="4"/>
      <c r="R128" s="4"/>
    </row>
    <row r="129" spans="1:18" ht="17.399999999999999" x14ac:dyDescent="0.25">
      <c r="A129" s="4"/>
      <c r="B129" s="23"/>
      <c r="C129" s="4"/>
      <c r="D129" s="4"/>
      <c r="E129" s="5"/>
      <c r="F129" s="4"/>
      <c r="G129" s="4"/>
      <c r="H129" s="4"/>
      <c r="I129" s="4"/>
      <c r="J129" s="4"/>
      <c r="K129" s="4"/>
      <c r="L129" s="4"/>
      <c r="M129" s="4"/>
      <c r="N129" s="4"/>
      <c r="O129" s="4"/>
      <c r="P129" s="4"/>
      <c r="Q129" s="4"/>
      <c r="R129" s="4"/>
    </row>
    <row r="130" spans="1:18" ht="17.399999999999999" x14ac:dyDescent="0.25">
      <c r="A130" s="4"/>
      <c r="B130" s="23"/>
      <c r="C130" s="4"/>
      <c r="D130" s="4"/>
      <c r="E130" s="5"/>
      <c r="F130" s="4"/>
      <c r="G130" s="4"/>
      <c r="H130" s="4"/>
      <c r="I130" s="4"/>
      <c r="J130" s="4"/>
      <c r="K130" s="4"/>
      <c r="L130" s="4"/>
      <c r="M130" s="4"/>
      <c r="N130" s="4"/>
      <c r="O130" s="4"/>
      <c r="P130" s="4"/>
      <c r="Q130" s="4"/>
      <c r="R130" s="4"/>
    </row>
    <row r="131" spans="1:18" ht="17.399999999999999" x14ac:dyDescent="0.25">
      <c r="A131" s="4"/>
      <c r="B131" s="23"/>
      <c r="C131" s="4"/>
      <c r="D131" s="4"/>
      <c r="E131" s="5"/>
      <c r="F131" s="4"/>
      <c r="G131" s="4"/>
      <c r="H131" s="4"/>
      <c r="I131" s="4"/>
      <c r="J131" s="4"/>
      <c r="K131" s="4"/>
      <c r="L131" s="4"/>
      <c r="M131" s="4"/>
      <c r="N131" s="4"/>
      <c r="O131" s="4"/>
      <c r="P131" s="4"/>
      <c r="Q131" s="4"/>
      <c r="R131" s="4"/>
    </row>
    <row r="132" spans="1:18" ht="17.399999999999999" x14ac:dyDescent="0.25">
      <c r="A132" s="4"/>
      <c r="B132" s="23"/>
      <c r="C132" s="4"/>
      <c r="D132" s="4"/>
      <c r="E132" s="5"/>
      <c r="F132" s="4"/>
      <c r="G132" s="4"/>
      <c r="H132" s="4"/>
      <c r="I132" s="4"/>
      <c r="J132" s="4"/>
      <c r="K132" s="4"/>
      <c r="L132" s="4"/>
      <c r="M132" s="4"/>
      <c r="N132" s="4"/>
      <c r="O132" s="4"/>
      <c r="P132" s="4"/>
      <c r="Q132" s="4"/>
      <c r="R132" s="4"/>
    </row>
    <row r="133" spans="1:18" ht="17.399999999999999" x14ac:dyDescent="0.25">
      <c r="A133" s="4"/>
      <c r="B133" s="23"/>
      <c r="C133" s="4"/>
      <c r="D133" s="4"/>
      <c r="E133" s="5"/>
      <c r="F133" s="4"/>
      <c r="G133" s="4"/>
      <c r="H133" s="4"/>
      <c r="I133" s="4"/>
      <c r="J133" s="4"/>
      <c r="K133" s="4"/>
      <c r="L133" s="4"/>
      <c r="M133" s="4"/>
      <c r="N133" s="4"/>
      <c r="O133" s="4"/>
      <c r="P133" s="4"/>
      <c r="Q133" s="4"/>
      <c r="R133" s="4"/>
    </row>
    <row r="134" spans="1:18" ht="17.399999999999999" x14ac:dyDescent="0.25">
      <c r="A134" s="4"/>
      <c r="B134" s="23"/>
      <c r="C134" s="4"/>
      <c r="D134" s="4"/>
      <c r="E134" s="5"/>
      <c r="F134" s="4"/>
      <c r="G134" s="4"/>
      <c r="H134" s="4"/>
      <c r="I134" s="4"/>
      <c r="J134" s="4"/>
      <c r="K134" s="4"/>
      <c r="L134" s="4"/>
      <c r="M134" s="4"/>
      <c r="N134" s="4"/>
      <c r="O134" s="4"/>
      <c r="P134" s="4"/>
      <c r="Q134" s="4"/>
      <c r="R134" s="4"/>
    </row>
    <row r="135" spans="1:18" ht="17.399999999999999" x14ac:dyDescent="0.25">
      <c r="A135" s="4"/>
      <c r="B135" s="23"/>
      <c r="C135" s="4"/>
      <c r="D135" s="4"/>
      <c r="E135" s="5"/>
      <c r="F135" s="4"/>
      <c r="G135" s="4"/>
      <c r="H135" s="4"/>
      <c r="I135" s="4"/>
      <c r="J135" s="4"/>
      <c r="K135" s="4"/>
      <c r="L135" s="4"/>
      <c r="M135" s="4"/>
      <c r="N135" s="4"/>
      <c r="O135" s="4"/>
      <c r="P135" s="4"/>
      <c r="Q135" s="4"/>
      <c r="R135" s="4"/>
    </row>
    <row r="136" spans="1:18" ht="17.399999999999999" x14ac:dyDescent="0.25">
      <c r="A136" s="4"/>
      <c r="B136" s="23"/>
      <c r="C136" s="4"/>
      <c r="D136" s="4"/>
      <c r="E136" s="5"/>
      <c r="F136" s="4"/>
      <c r="G136" s="4"/>
      <c r="H136" s="4"/>
      <c r="I136" s="4"/>
      <c r="J136" s="4"/>
      <c r="K136" s="4"/>
      <c r="L136" s="4"/>
      <c r="M136" s="4"/>
      <c r="N136" s="4"/>
      <c r="O136" s="4"/>
      <c r="P136" s="4"/>
      <c r="Q136" s="4"/>
      <c r="R136" s="4"/>
    </row>
    <row r="137" spans="1:18" ht="17.399999999999999" x14ac:dyDescent="0.25">
      <c r="A137" s="4"/>
      <c r="B137" s="23"/>
      <c r="C137" s="4"/>
      <c r="D137" s="4"/>
      <c r="E137" s="5"/>
      <c r="F137" s="4"/>
      <c r="G137" s="4"/>
      <c r="H137" s="4"/>
      <c r="I137" s="4"/>
      <c r="J137" s="4"/>
      <c r="K137" s="4"/>
      <c r="L137" s="4"/>
      <c r="M137" s="4"/>
      <c r="N137" s="4"/>
      <c r="O137" s="4"/>
      <c r="P137" s="4"/>
      <c r="Q137" s="4"/>
      <c r="R137" s="4"/>
    </row>
    <row r="138" spans="1:18" ht="17.399999999999999" x14ac:dyDescent="0.25">
      <c r="A138" s="4"/>
      <c r="B138" s="23"/>
      <c r="C138" s="4"/>
      <c r="D138" s="4"/>
      <c r="E138" s="5"/>
      <c r="F138" s="4"/>
      <c r="G138" s="4"/>
      <c r="H138" s="4"/>
      <c r="I138" s="4"/>
      <c r="J138" s="4"/>
      <c r="K138" s="4"/>
      <c r="L138" s="4"/>
      <c r="M138" s="4"/>
      <c r="N138" s="4"/>
      <c r="O138" s="4"/>
      <c r="P138" s="4"/>
      <c r="Q138" s="4"/>
      <c r="R138" s="4"/>
    </row>
    <row r="139" spans="1:18" ht="17.399999999999999" x14ac:dyDescent="0.25">
      <c r="A139" s="4"/>
      <c r="B139" s="23"/>
      <c r="C139" s="4"/>
      <c r="D139" s="4"/>
      <c r="E139" s="5"/>
      <c r="F139" s="4"/>
      <c r="G139" s="4"/>
      <c r="H139" s="4"/>
      <c r="I139" s="4"/>
      <c r="J139" s="4"/>
      <c r="K139" s="4"/>
      <c r="L139" s="4"/>
      <c r="M139" s="4"/>
      <c r="N139" s="4"/>
      <c r="O139" s="4"/>
      <c r="P139" s="4"/>
      <c r="Q139" s="4"/>
      <c r="R139" s="4"/>
    </row>
    <row r="140" spans="1:18" ht="17.399999999999999" x14ac:dyDescent="0.25">
      <c r="A140" s="4"/>
      <c r="B140" s="23"/>
      <c r="C140" s="4"/>
      <c r="D140" s="4"/>
      <c r="E140" s="5"/>
      <c r="F140" s="4"/>
      <c r="G140" s="4"/>
      <c r="H140" s="4"/>
      <c r="I140" s="4"/>
      <c r="J140" s="4"/>
      <c r="K140" s="4"/>
      <c r="L140" s="4"/>
      <c r="M140" s="4"/>
      <c r="N140" s="4"/>
      <c r="O140" s="4"/>
      <c r="P140" s="4"/>
      <c r="Q140" s="4"/>
      <c r="R140" s="4"/>
    </row>
    <row r="141" spans="1:18" ht="17.399999999999999" x14ac:dyDescent="0.25">
      <c r="A141" s="4"/>
      <c r="B141" s="23"/>
      <c r="C141" s="4"/>
      <c r="D141" s="4"/>
      <c r="E141" s="5"/>
      <c r="F141" s="4"/>
      <c r="G141" s="4"/>
      <c r="H141" s="4"/>
      <c r="I141" s="4"/>
      <c r="J141" s="4"/>
      <c r="K141" s="4"/>
      <c r="L141" s="4"/>
      <c r="M141" s="4"/>
      <c r="N141" s="4"/>
      <c r="O141" s="4"/>
      <c r="P141" s="4"/>
      <c r="Q141" s="4"/>
      <c r="R141" s="4"/>
    </row>
    <row r="142" spans="1:18" ht="17.399999999999999" x14ac:dyDescent="0.25">
      <c r="A142" s="4"/>
      <c r="B142" s="23"/>
      <c r="C142" s="4"/>
      <c r="D142" s="4"/>
      <c r="E142" s="5"/>
      <c r="F142" s="4"/>
      <c r="G142" s="4"/>
      <c r="H142" s="4"/>
      <c r="I142" s="4"/>
      <c r="J142" s="4"/>
      <c r="K142" s="4"/>
      <c r="L142" s="4"/>
      <c r="M142" s="4"/>
      <c r="N142" s="4"/>
      <c r="O142" s="4"/>
      <c r="P142" s="4"/>
      <c r="Q142" s="4"/>
      <c r="R142" s="4"/>
    </row>
    <row r="143" spans="1:18" ht="17.399999999999999" x14ac:dyDescent="0.25">
      <c r="A143" s="4"/>
      <c r="B143" s="23"/>
      <c r="C143" s="4"/>
      <c r="D143" s="4"/>
      <c r="E143" s="5"/>
      <c r="F143" s="4"/>
      <c r="G143" s="4"/>
      <c r="H143" s="4"/>
      <c r="I143" s="4"/>
      <c r="J143" s="4"/>
      <c r="K143" s="4"/>
      <c r="L143" s="4"/>
      <c r="M143" s="4"/>
      <c r="N143" s="4"/>
      <c r="O143" s="4"/>
      <c r="P143" s="4"/>
      <c r="Q143" s="4"/>
      <c r="R143" s="4"/>
    </row>
    <row r="144" spans="1:18" ht="17.399999999999999" x14ac:dyDescent="0.25">
      <c r="A144" s="4"/>
      <c r="B144" s="23"/>
      <c r="C144" s="4"/>
      <c r="D144" s="4"/>
      <c r="E144" s="5"/>
      <c r="F144" s="4"/>
      <c r="G144" s="4"/>
      <c r="H144" s="4"/>
      <c r="I144" s="4"/>
      <c r="J144" s="4"/>
      <c r="K144" s="4"/>
      <c r="L144" s="4"/>
      <c r="M144" s="4"/>
      <c r="N144" s="4"/>
      <c r="O144" s="4"/>
      <c r="P144" s="4"/>
      <c r="Q144" s="4"/>
      <c r="R144" s="4"/>
    </row>
    <row r="145" spans="1:18" ht="17.399999999999999" x14ac:dyDescent="0.25">
      <c r="A145" s="4"/>
      <c r="B145" s="23"/>
      <c r="C145" s="4"/>
      <c r="D145" s="4"/>
      <c r="E145" s="5"/>
      <c r="F145" s="4"/>
      <c r="G145" s="4"/>
      <c r="H145" s="4"/>
      <c r="I145" s="4"/>
      <c r="J145" s="4"/>
      <c r="K145" s="4"/>
      <c r="L145" s="4"/>
      <c r="M145" s="4"/>
      <c r="N145" s="4"/>
      <c r="O145" s="4"/>
      <c r="P145" s="4"/>
      <c r="Q145" s="4"/>
      <c r="R145" s="4"/>
    </row>
    <row r="146" spans="1:18" ht="17.399999999999999" x14ac:dyDescent="0.25">
      <c r="A146" s="4"/>
      <c r="B146" s="23"/>
      <c r="C146" s="4"/>
      <c r="D146" s="4"/>
      <c r="E146" s="5"/>
      <c r="F146" s="4"/>
      <c r="G146" s="4"/>
      <c r="H146" s="4"/>
      <c r="I146" s="4"/>
      <c r="J146" s="4"/>
      <c r="K146" s="4"/>
      <c r="L146" s="4"/>
      <c r="M146" s="4"/>
      <c r="N146" s="4"/>
      <c r="O146" s="4"/>
      <c r="P146" s="4"/>
      <c r="Q146" s="4"/>
      <c r="R146" s="4"/>
    </row>
    <row r="147" spans="1:18" ht="17.399999999999999" x14ac:dyDescent="0.25">
      <c r="A147" s="4"/>
      <c r="B147" s="23"/>
      <c r="C147" s="4"/>
      <c r="D147" s="4"/>
      <c r="E147" s="5"/>
      <c r="F147" s="4"/>
      <c r="G147" s="4"/>
      <c r="H147" s="4"/>
      <c r="I147" s="4"/>
      <c r="J147" s="4"/>
      <c r="K147" s="4"/>
      <c r="L147" s="4"/>
      <c r="M147" s="4"/>
      <c r="N147" s="4"/>
      <c r="O147" s="4"/>
      <c r="P147" s="4"/>
      <c r="Q147" s="4"/>
      <c r="R147" s="4"/>
    </row>
    <row r="148" spans="1:18" ht="17.399999999999999" x14ac:dyDescent="0.25">
      <c r="A148" s="4"/>
      <c r="B148" s="23"/>
      <c r="C148" s="4"/>
      <c r="D148" s="4"/>
      <c r="E148" s="5"/>
      <c r="F148" s="4"/>
      <c r="G148" s="4"/>
      <c r="H148" s="4"/>
      <c r="I148" s="4"/>
      <c r="J148" s="4"/>
      <c r="K148" s="4"/>
      <c r="L148" s="4"/>
      <c r="M148" s="4"/>
      <c r="N148" s="4"/>
      <c r="O148" s="4"/>
      <c r="P148" s="4"/>
      <c r="Q148" s="4"/>
      <c r="R148" s="4"/>
    </row>
    <row r="149" spans="1:18" ht="17.399999999999999" x14ac:dyDescent="0.25">
      <c r="A149" s="4"/>
      <c r="B149" s="23"/>
      <c r="C149" s="4"/>
      <c r="D149" s="4"/>
      <c r="E149" s="5"/>
      <c r="F149" s="4"/>
      <c r="G149" s="4"/>
      <c r="H149" s="4"/>
      <c r="I149" s="4"/>
      <c r="J149" s="4"/>
      <c r="K149" s="4"/>
      <c r="L149" s="4"/>
      <c r="M149" s="4"/>
      <c r="N149" s="4"/>
      <c r="O149" s="4"/>
      <c r="P149" s="4"/>
      <c r="Q149" s="4"/>
      <c r="R149" s="4"/>
    </row>
    <row r="150" spans="1:18" ht="17.399999999999999" x14ac:dyDescent="0.25">
      <c r="A150" s="4"/>
      <c r="B150" s="23"/>
      <c r="C150" s="4"/>
      <c r="D150" s="4"/>
      <c r="E150" s="5"/>
      <c r="F150" s="4"/>
      <c r="G150" s="4"/>
      <c r="H150" s="4"/>
      <c r="I150" s="4"/>
      <c r="J150" s="4"/>
      <c r="K150" s="4"/>
      <c r="L150" s="4"/>
      <c r="M150" s="4"/>
      <c r="N150" s="4"/>
      <c r="O150" s="4"/>
      <c r="P150" s="4"/>
      <c r="Q150" s="4"/>
      <c r="R150" s="4"/>
    </row>
    <row r="151" spans="1:18" ht="17.399999999999999" x14ac:dyDescent="0.25">
      <c r="A151" s="4"/>
      <c r="B151" s="23"/>
      <c r="C151" s="4"/>
      <c r="D151" s="4"/>
      <c r="E151" s="5"/>
      <c r="F151" s="4"/>
      <c r="G151" s="4"/>
      <c r="H151" s="4"/>
      <c r="I151" s="4"/>
      <c r="J151" s="4"/>
      <c r="K151" s="4"/>
      <c r="L151" s="4"/>
      <c r="M151" s="4"/>
      <c r="N151" s="4"/>
      <c r="O151" s="4"/>
      <c r="P151" s="4"/>
      <c r="Q151" s="4"/>
      <c r="R151" s="4"/>
    </row>
    <row r="152" spans="1:18" ht="17.399999999999999" x14ac:dyDescent="0.25">
      <c r="A152" s="4"/>
      <c r="B152" s="23"/>
      <c r="C152" s="4"/>
      <c r="D152" s="4"/>
      <c r="E152" s="5"/>
      <c r="F152" s="4"/>
      <c r="G152" s="4"/>
      <c r="H152" s="4"/>
      <c r="I152" s="4"/>
      <c r="J152" s="4"/>
      <c r="K152" s="4"/>
      <c r="L152" s="4"/>
      <c r="M152" s="4"/>
      <c r="N152" s="4"/>
      <c r="O152" s="4"/>
      <c r="P152" s="4"/>
      <c r="Q152" s="4"/>
      <c r="R152" s="4"/>
    </row>
    <row r="153" spans="1:18" ht="17.399999999999999" x14ac:dyDescent="0.25">
      <c r="A153" s="4"/>
      <c r="B153" s="23"/>
      <c r="C153" s="4"/>
      <c r="D153" s="4"/>
      <c r="E153" s="5"/>
      <c r="F153" s="4"/>
      <c r="G153" s="4"/>
      <c r="H153" s="4"/>
      <c r="I153" s="4"/>
      <c r="J153" s="4"/>
      <c r="K153" s="4"/>
      <c r="L153" s="4"/>
      <c r="M153" s="4"/>
      <c r="N153" s="4"/>
      <c r="O153" s="4"/>
      <c r="P153" s="4"/>
      <c r="Q153" s="4"/>
      <c r="R153" s="4"/>
    </row>
    <row r="154" spans="1:18" ht="17.399999999999999" x14ac:dyDescent="0.25">
      <c r="A154" s="4"/>
      <c r="B154" s="23"/>
      <c r="C154" s="4"/>
      <c r="D154" s="4"/>
      <c r="E154" s="5"/>
      <c r="F154" s="4"/>
      <c r="G154" s="4"/>
      <c r="H154" s="4"/>
      <c r="I154" s="4"/>
      <c r="J154" s="4"/>
      <c r="K154" s="4"/>
      <c r="L154" s="4"/>
      <c r="M154" s="4"/>
      <c r="N154" s="4"/>
      <c r="O154" s="4"/>
      <c r="P154" s="4"/>
      <c r="Q154" s="4"/>
      <c r="R154" s="4"/>
    </row>
    <row r="155" spans="1:18" ht="17.399999999999999" x14ac:dyDescent="0.25">
      <c r="A155" s="4"/>
      <c r="B155" s="23"/>
      <c r="C155" s="4"/>
      <c r="D155" s="4"/>
      <c r="E155" s="5"/>
      <c r="F155" s="4"/>
      <c r="G155" s="4"/>
      <c r="H155" s="4"/>
      <c r="I155" s="4"/>
      <c r="J155" s="4"/>
      <c r="K155" s="4"/>
      <c r="L155" s="4"/>
      <c r="M155" s="4"/>
      <c r="N155" s="4"/>
      <c r="O155" s="4"/>
      <c r="P155" s="4"/>
      <c r="Q155" s="4"/>
      <c r="R155" s="4"/>
    </row>
    <row r="156" spans="1:18" ht="17.399999999999999" x14ac:dyDescent="0.25">
      <c r="A156" s="4"/>
      <c r="B156" s="23"/>
      <c r="C156" s="4"/>
      <c r="D156" s="4"/>
      <c r="E156" s="5"/>
      <c r="F156" s="4"/>
      <c r="G156" s="4"/>
      <c r="H156" s="4"/>
      <c r="I156" s="4"/>
      <c r="J156" s="4"/>
      <c r="K156" s="4"/>
      <c r="L156" s="4"/>
      <c r="M156" s="4"/>
      <c r="N156" s="4"/>
      <c r="O156" s="4"/>
      <c r="P156" s="4"/>
      <c r="Q156" s="4"/>
      <c r="R156" s="4"/>
    </row>
    <row r="157" spans="1:18" ht="17.399999999999999" x14ac:dyDescent="0.25">
      <c r="A157" s="4"/>
      <c r="B157" s="23"/>
      <c r="C157" s="4"/>
      <c r="D157" s="4"/>
      <c r="E157" s="5"/>
      <c r="F157" s="4"/>
      <c r="G157" s="4"/>
      <c r="H157" s="4"/>
      <c r="I157" s="4"/>
      <c r="J157" s="4"/>
      <c r="K157" s="4"/>
      <c r="L157" s="4"/>
      <c r="M157" s="4"/>
      <c r="N157" s="4"/>
      <c r="O157" s="4"/>
      <c r="P157" s="4"/>
      <c r="Q157" s="4"/>
      <c r="R157" s="4"/>
    </row>
    <row r="158" spans="1:18" ht="17.399999999999999" x14ac:dyDescent="0.25">
      <c r="A158" s="4"/>
      <c r="B158" s="23"/>
      <c r="C158" s="4"/>
      <c r="D158" s="4"/>
      <c r="E158" s="5"/>
      <c r="F158" s="4"/>
      <c r="G158" s="4"/>
      <c r="H158" s="4"/>
      <c r="I158" s="4"/>
      <c r="J158" s="4"/>
      <c r="K158" s="4"/>
      <c r="L158" s="4"/>
      <c r="M158" s="4"/>
      <c r="N158" s="4"/>
      <c r="O158" s="4"/>
      <c r="P158" s="4"/>
      <c r="Q158" s="4"/>
      <c r="R158" s="4"/>
    </row>
    <row r="159" spans="1:18" ht="17.399999999999999" x14ac:dyDescent="0.25">
      <c r="A159" s="4"/>
      <c r="B159" s="23"/>
      <c r="C159" s="4"/>
      <c r="D159" s="4"/>
      <c r="E159" s="5"/>
      <c r="F159" s="4"/>
      <c r="G159" s="4"/>
      <c r="H159" s="4"/>
      <c r="I159" s="4"/>
      <c r="J159" s="4"/>
      <c r="K159" s="4"/>
      <c r="L159" s="4"/>
      <c r="M159" s="4"/>
      <c r="N159" s="4"/>
      <c r="O159" s="4"/>
      <c r="P159" s="4"/>
      <c r="Q159" s="4"/>
      <c r="R159" s="4"/>
    </row>
    <row r="160" spans="1:18" ht="17.399999999999999" x14ac:dyDescent="0.25">
      <c r="A160" s="4"/>
      <c r="B160" s="23"/>
      <c r="C160" s="4"/>
      <c r="D160" s="4"/>
      <c r="E160" s="5"/>
      <c r="F160" s="4"/>
      <c r="G160" s="4"/>
      <c r="H160" s="4"/>
      <c r="I160" s="4"/>
      <c r="J160" s="4"/>
      <c r="K160" s="4"/>
      <c r="L160" s="4"/>
      <c r="M160" s="4"/>
      <c r="N160" s="4"/>
      <c r="O160" s="4"/>
      <c r="P160" s="4"/>
      <c r="Q160" s="4"/>
      <c r="R160" s="4"/>
    </row>
    <row r="161" spans="1:18" ht="17.399999999999999" x14ac:dyDescent="0.25">
      <c r="A161" s="4"/>
      <c r="B161" s="23"/>
      <c r="C161" s="4"/>
      <c r="D161" s="4"/>
      <c r="E161" s="5"/>
      <c r="F161" s="4"/>
      <c r="G161" s="4"/>
      <c r="H161" s="4"/>
      <c r="I161" s="4"/>
      <c r="J161" s="4"/>
      <c r="K161" s="4"/>
      <c r="L161" s="4"/>
      <c r="M161" s="4"/>
      <c r="N161" s="4"/>
      <c r="O161" s="4"/>
      <c r="P161" s="4"/>
      <c r="Q161" s="4"/>
      <c r="R161" s="4"/>
    </row>
    <row r="162" spans="1:18" ht="17.399999999999999" x14ac:dyDescent="0.25">
      <c r="A162" s="4"/>
      <c r="B162" s="23"/>
      <c r="C162" s="4"/>
      <c r="D162" s="4"/>
      <c r="E162" s="5"/>
      <c r="F162" s="4"/>
      <c r="G162" s="4"/>
      <c r="H162" s="4"/>
      <c r="I162" s="4"/>
      <c r="J162" s="4"/>
      <c r="K162" s="4"/>
      <c r="L162" s="4"/>
      <c r="M162" s="4"/>
      <c r="N162" s="4"/>
      <c r="O162" s="4"/>
      <c r="P162" s="4"/>
      <c r="Q162" s="4"/>
      <c r="R162" s="4"/>
    </row>
    <row r="163" spans="1:18" ht="17.399999999999999" x14ac:dyDescent="0.25">
      <c r="A163" s="4"/>
      <c r="B163" s="23"/>
      <c r="C163" s="4"/>
      <c r="D163" s="4"/>
      <c r="E163" s="5"/>
      <c r="F163" s="4"/>
      <c r="G163" s="4"/>
      <c r="H163" s="4"/>
      <c r="I163" s="4"/>
      <c r="J163" s="4"/>
      <c r="K163" s="4"/>
      <c r="L163" s="4"/>
      <c r="M163" s="4"/>
      <c r="N163" s="4"/>
      <c r="O163" s="4"/>
      <c r="P163" s="4"/>
      <c r="Q163" s="4"/>
      <c r="R163" s="4"/>
    </row>
    <row r="164" spans="1:18" ht="17.399999999999999" x14ac:dyDescent="0.25">
      <c r="A164" s="4"/>
      <c r="B164" s="23"/>
      <c r="C164" s="4"/>
      <c r="D164" s="4"/>
      <c r="E164" s="5"/>
      <c r="F164" s="4"/>
      <c r="G164" s="4"/>
      <c r="H164" s="4"/>
      <c r="I164" s="4"/>
      <c r="J164" s="4"/>
      <c r="K164" s="4"/>
      <c r="L164" s="4"/>
      <c r="M164" s="4"/>
      <c r="N164" s="4"/>
      <c r="O164" s="4"/>
      <c r="P164" s="4"/>
      <c r="Q164" s="4"/>
      <c r="R164" s="4"/>
    </row>
    <row r="165" spans="1:18" ht="17.399999999999999" x14ac:dyDescent="0.25">
      <c r="A165" s="4"/>
      <c r="B165" s="23"/>
      <c r="C165" s="4"/>
      <c r="D165" s="4"/>
      <c r="E165" s="5"/>
      <c r="F165" s="4"/>
      <c r="G165" s="4"/>
      <c r="H165" s="4"/>
      <c r="I165" s="4"/>
      <c r="J165" s="4"/>
      <c r="K165" s="4"/>
      <c r="L165" s="4"/>
      <c r="M165" s="4"/>
      <c r="N165" s="4"/>
      <c r="O165" s="4"/>
      <c r="P165" s="4"/>
      <c r="Q165" s="4"/>
      <c r="R165" s="4"/>
    </row>
    <row r="166" spans="1:18" ht="17.399999999999999" x14ac:dyDescent="0.25">
      <c r="A166" s="4"/>
      <c r="B166" s="23"/>
      <c r="C166" s="4"/>
      <c r="D166" s="4"/>
      <c r="E166" s="5"/>
      <c r="F166" s="4"/>
      <c r="G166" s="4"/>
      <c r="H166" s="4"/>
      <c r="I166" s="4"/>
      <c r="J166" s="4"/>
      <c r="K166" s="4"/>
      <c r="L166" s="4"/>
      <c r="M166" s="4"/>
      <c r="N166" s="4"/>
      <c r="O166" s="4"/>
      <c r="P166" s="4"/>
      <c r="Q166" s="4"/>
      <c r="R166" s="4"/>
    </row>
    <row r="167" spans="1:18" ht="17.399999999999999" x14ac:dyDescent="0.25">
      <c r="A167" s="4"/>
      <c r="B167" s="23"/>
      <c r="C167" s="4"/>
      <c r="D167" s="4"/>
      <c r="E167" s="5"/>
      <c r="F167" s="4"/>
      <c r="G167" s="4"/>
      <c r="H167" s="4"/>
      <c r="I167" s="4"/>
      <c r="J167" s="4"/>
      <c r="K167" s="4"/>
      <c r="L167" s="4"/>
      <c r="M167" s="4"/>
      <c r="N167" s="4"/>
      <c r="O167" s="4"/>
      <c r="P167" s="4"/>
      <c r="Q167" s="4"/>
      <c r="R167" s="4"/>
    </row>
    <row r="168" spans="1:18" ht="17.399999999999999" x14ac:dyDescent="0.25">
      <c r="A168" s="4"/>
      <c r="B168" s="23"/>
      <c r="C168" s="4"/>
      <c r="D168" s="4"/>
      <c r="E168" s="5"/>
      <c r="F168" s="4"/>
      <c r="G168" s="4"/>
      <c r="H168" s="4"/>
      <c r="I168" s="4"/>
      <c r="J168" s="4"/>
      <c r="K168" s="4"/>
      <c r="L168" s="4"/>
      <c r="M168" s="4"/>
      <c r="N168" s="4"/>
      <c r="O168" s="4"/>
      <c r="P168" s="4"/>
      <c r="Q168" s="4"/>
      <c r="R168" s="4"/>
    </row>
    <row r="169" spans="1:18" ht="17.399999999999999" x14ac:dyDescent="0.25">
      <c r="A169" s="4"/>
      <c r="B169" s="23"/>
      <c r="C169" s="4"/>
      <c r="D169" s="4"/>
      <c r="E169" s="5"/>
      <c r="F169" s="4"/>
      <c r="G169" s="4"/>
      <c r="H169" s="4"/>
      <c r="I169" s="4"/>
      <c r="J169" s="4"/>
      <c r="K169" s="4"/>
      <c r="L169" s="4"/>
      <c r="M169" s="4"/>
      <c r="N169" s="4"/>
      <c r="O169" s="4"/>
      <c r="P169" s="4"/>
      <c r="Q169" s="4"/>
      <c r="R169" s="4"/>
    </row>
    <row r="170" spans="1:18" ht="17.399999999999999" x14ac:dyDescent="0.25">
      <c r="A170" s="4"/>
      <c r="B170" s="23"/>
      <c r="C170" s="4"/>
      <c r="D170" s="4"/>
      <c r="E170" s="5"/>
      <c r="F170" s="4"/>
      <c r="G170" s="4"/>
      <c r="H170" s="4"/>
      <c r="I170" s="4"/>
      <c r="J170" s="4"/>
      <c r="K170" s="4"/>
      <c r="L170" s="4"/>
      <c r="M170" s="4"/>
      <c r="N170" s="4"/>
      <c r="O170" s="4"/>
      <c r="P170" s="4"/>
      <c r="Q170" s="4"/>
      <c r="R170" s="4"/>
    </row>
    <row r="171" spans="1:18" ht="17.399999999999999" x14ac:dyDescent="0.25">
      <c r="A171" s="4"/>
      <c r="B171" s="23"/>
      <c r="C171" s="4"/>
      <c r="D171" s="4"/>
      <c r="E171" s="5"/>
      <c r="F171" s="4"/>
      <c r="G171" s="4"/>
      <c r="H171" s="4"/>
      <c r="I171" s="4"/>
      <c r="J171" s="4"/>
      <c r="K171" s="4"/>
      <c r="L171" s="4"/>
      <c r="M171" s="4"/>
      <c r="N171" s="4"/>
      <c r="O171" s="4"/>
      <c r="P171" s="4"/>
      <c r="Q171" s="4"/>
      <c r="R171" s="4"/>
    </row>
    <row r="172" spans="1:18" ht="17.399999999999999" x14ac:dyDescent="0.25">
      <c r="A172" s="4"/>
      <c r="B172" s="23"/>
      <c r="C172" s="4"/>
      <c r="D172" s="4"/>
      <c r="E172" s="5"/>
      <c r="F172" s="4"/>
      <c r="G172" s="4"/>
      <c r="H172" s="4"/>
      <c r="I172" s="4"/>
      <c r="J172" s="4"/>
      <c r="K172" s="4"/>
      <c r="L172" s="4"/>
      <c r="M172" s="4"/>
      <c r="N172" s="4"/>
      <c r="O172" s="4"/>
      <c r="P172" s="4"/>
      <c r="Q172" s="4"/>
      <c r="R172" s="4"/>
    </row>
    <row r="173" spans="1:18" ht="17.399999999999999" x14ac:dyDescent="0.25">
      <c r="A173" s="4"/>
      <c r="B173" s="23"/>
      <c r="C173" s="4"/>
      <c r="D173" s="4"/>
      <c r="E173" s="5"/>
      <c r="F173" s="4"/>
      <c r="G173" s="4"/>
      <c r="H173" s="4"/>
      <c r="I173" s="4"/>
      <c r="J173" s="4"/>
      <c r="K173" s="4"/>
      <c r="L173" s="4"/>
      <c r="M173" s="4"/>
      <c r="N173" s="4"/>
      <c r="O173" s="4"/>
      <c r="P173" s="4"/>
      <c r="Q173" s="4"/>
      <c r="R173" s="4"/>
    </row>
    <row r="174" spans="1:18" ht="17.399999999999999" x14ac:dyDescent="0.25">
      <c r="A174" s="4"/>
      <c r="B174" s="23"/>
      <c r="C174" s="4"/>
      <c r="D174" s="4"/>
      <c r="E174" s="5"/>
      <c r="F174" s="4"/>
      <c r="G174" s="4"/>
      <c r="H174" s="4"/>
      <c r="I174" s="4"/>
      <c r="J174" s="4"/>
      <c r="K174" s="4"/>
      <c r="L174" s="4"/>
      <c r="M174" s="4"/>
      <c r="N174" s="4"/>
      <c r="O174" s="4"/>
      <c r="P174" s="4"/>
      <c r="Q174" s="4"/>
      <c r="R174" s="4"/>
    </row>
    <row r="175" spans="1:18" ht="17.399999999999999" x14ac:dyDescent="0.25">
      <c r="A175" s="4"/>
      <c r="B175" s="23"/>
      <c r="C175" s="4"/>
      <c r="D175" s="4"/>
      <c r="E175" s="5"/>
      <c r="F175" s="4"/>
      <c r="G175" s="4"/>
      <c r="H175" s="4"/>
      <c r="I175" s="4"/>
      <c r="J175" s="4"/>
      <c r="K175" s="4"/>
      <c r="L175" s="4"/>
      <c r="M175" s="4"/>
      <c r="N175" s="4"/>
      <c r="O175" s="4"/>
      <c r="P175" s="4"/>
      <c r="Q175" s="4"/>
      <c r="R175" s="4"/>
    </row>
    <row r="176" spans="1:18" ht="17.399999999999999" x14ac:dyDescent="0.25">
      <c r="A176" s="4"/>
      <c r="B176" s="23"/>
      <c r="C176" s="4"/>
      <c r="D176" s="4"/>
      <c r="E176" s="5"/>
      <c r="F176" s="4"/>
      <c r="G176" s="4"/>
      <c r="H176" s="4"/>
      <c r="I176" s="4"/>
      <c r="J176" s="4"/>
      <c r="K176" s="4"/>
      <c r="L176" s="4"/>
      <c r="M176" s="4"/>
      <c r="N176" s="4"/>
      <c r="O176" s="4"/>
      <c r="P176" s="4"/>
      <c r="Q176" s="4"/>
      <c r="R176" s="4"/>
    </row>
    <row r="177" spans="1:18" ht="17.399999999999999" x14ac:dyDescent="0.25">
      <c r="A177" s="4"/>
      <c r="B177" s="23"/>
      <c r="C177" s="4"/>
      <c r="D177" s="4"/>
      <c r="E177" s="5"/>
      <c r="F177" s="4"/>
      <c r="G177" s="4"/>
      <c r="H177" s="4"/>
      <c r="I177" s="4"/>
      <c r="J177" s="4"/>
      <c r="K177" s="4"/>
      <c r="L177" s="4"/>
      <c r="M177" s="4"/>
      <c r="N177" s="4"/>
      <c r="O177" s="4"/>
      <c r="P177" s="4"/>
      <c r="Q177" s="4"/>
      <c r="R177" s="4"/>
    </row>
    <row r="178" spans="1:18" ht="17.399999999999999" x14ac:dyDescent="0.25">
      <c r="A178" s="4"/>
      <c r="B178" s="23"/>
      <c r="C178" s="4"/>
      <c r="D178" s="4"/>
      <c r="E178" s="5"/>
      <c r="F178" s="4"/>
      <c r="G178" s="4"/>
      <c r="H178" s="4"/>
      <c r="I178" s="4"/>
      <c r="J178" s="4"/>
      <c r="K178" s="4"/>
      <c r="L178" s="4"/>
      <c r="M178" s="4"/>
      <c r="N178" s="4"/>
      <c r="O178" s="4"/>
      <c r="P178" s="4"/>
      <c r="Q178" s="4"/>
      <c r="R178" s="4"/>
    </row>
    <row r="179" spans="1:18" ht="17.399999999999999" x14ac:dyDescent="0.25">
      <c r="A179" s="4"/>
      <c r="B179" s="23"/>
      <c r="C179" s="4"/>
      <c r="D179" s="4"/>
      <c r="E179" s="5"/>
      <c r="F179" s="4"/>
      <c r="G179" s="4"/>
      <c r="H179" s="4"/>
      <c r="I179" s="4"/>
      <c r="J179" s="4"/>
      <c r="K179" s="4"/>
      <c r="L179" s="4"/>
      <c r="M179" s="4"/>
      <c r="N179" s="4"/>
      <c r="O179" s="4"/>
      <c r="P179" s="4"/>
      <c r="Q179" s="4"/>
      <c r="R179" s="4"/>
    </row>
    <row r="180" spans="1:18" ht="17.399999999999999" x14ac:dyDescent="0.25">
      <c r="A180" s="4"/>
      <c r="B180" s="23"/>
      <c r="C180" s="4"/>
      <c r="D180" s="4"/>
      <c r="E180" s="5"/>
      <c r="F180" s="4"/>
      <c r="G180" s="4"/>
      <c r="H180" s="4"/>
      <c r="I180" s="4"/>
      <c r="J180" s="4"/>
      <c r="K180" s="4"/>
      <c r="L180" s="4"/>
      <c r="M180" s="4"/>
      <c r="N180" s="4"/>
      <c r="O180" s="4"/>
      <c r="P180" s="4"/>
      <c r="Q180" s="4"/>
      <c r="R180" s="4"/>
    </row>
    <row r="181" spans="1:18" ht="17.399999999999999" x14ac:dyDescent="0.25">
      <c r="A181" s="4"/>
      <c r="B181" s="23"/>
      <c r="C181" s="4"/>
      <c r="D181" s="4"/>
      <c r="E181" s="5"/>
      <c r="F181" s="4"/>
      <c r="G181" s="4"/>
      <c r="H181" s="4"/>
      <c r="I181" s="4"/>
      <c r="J181" s="4"/>
      <c r="K181" s="4"/>
      <c r="L181" s="4"/>
      <c r="M181" s="4"/>
      <c r="N181" s="4"/>
      <c r="O181" s="4"/>
      <c r="P181" s="4"/>
      <c r="Q181" s="4"/>
      <c r="R181" s="4"/>
    </row>
    <row r="182" spans="1:18" ht="17.399999999999999" x14ac:dyDescent="0.25">
      <c r="A182" s="4"/>
      <c r="B182" s="23"/>
      <c r="C182" s="4"/>
      <c r="D182" s="4"/>
      <c r="E182" s="5"/>
      <c r="F182" s="4"/>
      <c r="G182" s="4"/>
      <c r="H182" s="4"/>
      <c r="I182" s="4"/>
      <c r="J182" s="4"/>
      <c r="K182" s="4"/>
      <c r="L182" s="4"/>
      <c r="M182" s="4"/>
      <c r="N182" s="4"/>
      <c r="O182" s="4"/>
      <c r="P182" s="4"/>
      <c r="Q182" s="4"/>
      <c r="R182" s="4"/>
    </row>
    <row r="183" spans="1:18" ht="17.399999999999999" x14ac:dyDescent="0.25">
      <c r="A183" s="4"/>
      <c r="B183" s="23"/>
      <c r="C183" s="4"/>
      <c r="D183" s="4"/>
      <c r="E183" s="5"/>
      <c r="F183" s="4"/>
      <c r="G183" s="4"/>
      <c r="H183" s="4"/>
      <c r="I183" s="4"/>
      <c r="J183" s="4"/>
      <c r="K183" s="4"/>
      <c r="L183" s="4"/>
      <c r="M183" s="4"/>
      <c r="N183" s="4"/>
      <c r="O183" s="4"/>
      <c r="P183" s="4"/>
      <c r="Q183" s="4"/>
      <c r="R183" s="4"/>
    </row>
    <row r="184" spans="1:18" ht="17.399999999999999" x14ac:dyDescent="0.25">
      <c r="A184" s="4"/>
      <c r="B184" s="23"/>
      <c r="C184" s="4"/>
      <c r="D184" s="4"/>
      <c r="E184" s="5"/>
      <c r="F184" s="4"/>
      <c r="G184" s="4"/>
      <c r="H184" s="4"/>
      <c r="I184" s="4"/>
      <c r="J184" s="4"/>
      <c r="K184" s="4"/>
      <c r="L184" s="4"/>
      <c r="M184" s="4"/>
      <c r="N184" s="4"/>
      <c r="O184" s="4"/>
      <c r="P184" s="4"/>
      <c r="Q184" s="4"/>
      <c r="R184" s="4"/>
    </row>
    <row r="185" spans="1:18" ht="17.399999999999999" x14ac:dyDescent="0.25">
      <c r="A185" s="4"/>
      <c r="B185" s="23"/>
      <c r="C185" s="4"/>
      <c r="D185" s="4"/>
      <c r="E185" s="5"/>
      <c r="F185" s="4"/>
      <c r="G185" s="4"/>
      <c r="H185" s="4"/>
      <c r="I185" s="4"/>
      <c r="J185" s="4"/>
      <c r="K185" s="4"/>
      <c r="L185" s="4"/>
      <c r="M185" s="4"/>
      <c r="N185" s="4"/>
      <c r="O185" s="4"/>
      <c r="P185" s="4"/>
      <c r="Q185" s="4"/>
      <c r="R185" s="4"/>
    </row>
    <row r="186" spans="1:18" ht="17.399999999999999" x14ac:dyDescent="0.25">
      <c r="A186" s="4"/>
      <c r="B186" s="23"/>
      <c r="C186" s="4"/>
      <c r="D186" s="4"/>
      <c r="E186" s="5"/>
      <c r="F186" s="4"/>
      <c r="G186" s="4"/>
      <c r="H186" s="4"/>
      <c r="I186" s="4"/>
      <c r="J186" s="4"/>
      <c r="K186" s="4"/>
      <c r="L186" s="4"/>
      <c r="M186" s="4"/>
      <c r="N186" s="4"/>
      <c r="O186" s="4"/>
      <c r="P186" s="4"/>
      <c r="Q186" s="4"/>
      <c r="R186" s="4"/>
    </row>
    <row r="187" spans="1:18" ht="17.399999999999999" x14ac:dyDescent="0.25">
      <c r="A187" s="4"/>
      <c r="B187" s="23"/>
      <c r="C187" s="4"/>
      <c r="D187" s="4"/>
      <c r="E187" s="5"/>
      <c r="F187" s="4"/>
      <c r="G187" s="4"/>
      <c r="H187" s="4"/>
      <c r="I187" s="4"/>
      <c r="J187" s="4"/>
      <c r="K187" s="4"/>
      <c r="L187" s="4"/>
      <c r="M187" s="4"/>
      <c r="N187" s="4"/>
      <c r="O187" s="4"/>
      <c r="P187" s="4"/>
      <c r="Q187" s="4"/>
      <c r="R187" s="4"/>
    </row>
    <row r="188" spans="1:18" ht="17.399999999999999" x14ac:dyDescent="0.25">
      <c r="A188" s="4"/>
      <c r="B188" s="23"/>
      <c r="C188" s="4"/>
      <c r="D188" s="4"/>
      <c r="E188" s="5"/>
      <c r="F188" s="4"/>
      <c r="G188" s="4"/>
      <c r="H188" s="4"/>
      <c r="I188" s="4"/>
      <c r="J188" s="4"/>
      <c r="K188" s="4"/>
      <c r="L188" s="4"/>
      <c r="M188" s="4"/>
      <c r="N188" s="4"/>
      <c r="O188" s="4"/>
      <c r="P188" s="4"/>
      <c r="Q188" s="4"/>
      <c r="R188" s="4"/>
    </row>
    <row r="189" spans="1:18" ht="17.399999999999999" x14ac:dyDescent="0.25">
      <c r="A189" s="4"/>
      <c r="B189" s="23"/>
      <c r="C189" s="4"/>
      <c r="D189" s="4"/>
      <c r="E189" s="5"/>
      <c r="F189" s="4"/>
      <c r="G189" s="4"/>
      <c r="H189" s="4"/>
      <c r="I189" s="4"/>
      <c r="J189" s="4"/>
      <c r="K189" s="4"/>
      <c r="L189" s="4"/>
      <c r="M189" s="4"/>
      <c r="N189" s="4"/>
      <c r="O189" s="4"/>
      <c r="P189" s="4"/>
      <c r="Q189" s="4"/>
      <c r="R189" s="4"/>
    </row>
    <row r="190" spans="1:18" ht="17.399999999999999" x14ac:dyDescent="0.25">
      <c r="A190" s="4"/>
      <c r="B190" s="23"/>
      <c r="C190" s="4"/>
      <c r="D190" s="4"/>
      <c r="E190" s="5"/>
      <c r="F190" s="4"/>
      <c r="G190" s="4"/>
      <c r="H190" s="4"/>
      <c r="I190" s="4"/>
      <c r="J190" s="4"/>
      <c r="K190" s="4"/>
      <c r="L190" s="4"/>
      <c r="M190" s="4"/>
      <c r="N190" s="4"/>
      <c r="O190" s="4"/>
      <c r="P190" s="4"/>
      <c r="Q190" s="4"/>
      <c r="R190" s="4"/>
    </row>
    <row r="191" spans="1:18" ht="17.399999999999999" x14ac:dyDescent="0.25">
      <c r="A191" s="4"/>
      <c r="B191" s="23"/>
      <c r="C191" s="4"/>
      <c r="D191" s="4"/>
      <c r="E191" s="5"/>
      <c r="F191" s="4"/>
      <c r="G191" s="4"/>
      <c r="H191" s="4"/>
      <c r="I191" s="4"/>
      <c r="J191" s="4"/>
      <c r="K191" s="4"/>
      <c r="L191" s="4"/>
      <c r="M191" s="4"/>
      <c r="N191" s="4"/>
      <c r="O191" s="4"/>
      <c r="P191" s="4"/>
      <c r="Q191" s="4"/>
      <c r="R191" s="4"/>
    </row>
    <row r="192" spans="1:18" ht="17.399999999999999" x14ac:dyDescent="0.25">
      <c r="A192" s="4"/>
      <c r="B192" s="23"/>
      <c r="C192" s="4"/>
      <c r="D192" s="4"/>
      <c r="E192" s="5"/>
      <c r="F192" s="4"/>
      <c r="G192" s="4"/>
      <c r="H192" s="4"/>
      <c r="I192" s="4"/>
      <c r="J192" s="4"/>
      <c r="K192" s="4"/>
      <c r="L192" s="4"/>
      <c r="M192" s="4"/>
      <c r="N192" s="4"/>
      <c r="O192" s="4"/>
      <c r="P192" s="4"/>
      <c r="Q192" s="4"/>
      <c r="R192" s="4"/>
    </row>
    <row r="193" spans="1:18" ht="17.399999999999999" x14ac:dyDescent="0.25">
      <c r="A193" s="4"/>
      <c r="B193" s="23"/>
      <c r="C193" s="4"/>
      <c r="D193" s="4"/>
      <c r="E193" s="5"/>
      <c r="F193" s="4"/>
      <c r="G193" s="4"/>
      <c r="H193" s="4"/>
      <c r="I193" s="4"/>
      <c r="J193" s="4"/>
      <c r="K193" s="4"/>
      <c r="L193" s="4"/>
      <c r="M193" s="4"/>
      <c r="N193" s="4"/>
      <c r="O193" s="4"/>
      <c r="P193" s="4"/>
      <c r="Q193" s="4"/>
      <c r="R193" s="4"/>
    </row>
    <row r="194" spans="1:18" ht="17.399999999999999" x14ac:dyDescent="0.25">
      <c r="A194" s="4"/>
      <c r="B194" s="23"/>
      <c r="C194" s="4"/>
      <c r="D194" s="4"/>
      <c r="E194" s="5"/>
      <c r="F194" s="4"/>
      <c r="G194" s="4"/>
      <c r="H194" s="4"/>
      <c r="I194" s="4"/>
      <c r="J194" s="4"/>
      <c r="K194" s="4"/>
      <c r="L194" s="4"/>
      <c r="M194" s="4"/>
      <c r="N194" s="4"/>
      <c r="O194" s="4"/>
      <c r="P194" s="4"/>
      <c r="Q194" s="4"/>
      <c r="R194" s="4"/>
    </row>
    <row r="195" spans="1:18" ht="17.399999999999999" x14ac:dyDescent="0.25">
      <c r="A195" s="4"/>
      <c r="B195" s="23"/>
      <c r="C195" s="4"/>
      <c r="D195" s="4"/>
      <c r="E195" s="5"/>
      <c r="F195" s="4"/>
      <c r="G195" s="4"/>
      <c r="H195" s="4"/>
      <c r="I195" s="4"/>
      <c r="J195" s="4"/>
      <c r="K195" s="4"/>
      <c r="L195" s="4"/>
      <c r="M195" s="4"/>
      <c r="N195" s="4"/>
      <c r="O195" s="4"/>
      <c r="P195" s="4"/>
      <c r="Q195" s="4"/>
      <c r="R195" s="4"/>
    </row>
    <row r="196" spans="1:18" ht="17.399999999999999" x14ac:dyDescent="0.25">
      <c r="A196" s="4"/>
      <c r="B196" s="23"/>
      <c r="C196" s="4"/>
      <c r="D196" s="4"/>
      <c r="E196" s="5"/>
      <c r="F196" s="4"/>
      <c r="G196" s="4"/>
      <c r="H196" s="4"/>
      <c r="I196" s="4"/>
      <c r="J196" s="4"/>
      <c r="K196" s="4"/>
      <c r="L196" s="4"/>
      <c r="M196" s="4"/>
      <c r="N196" s="4"/>
      <c r="O196" s="4"/>
      <c r="P196" s="4"/>
      <c r="Q196" s="4"/>
      <c r="R196" s="4"/>
    </row>
    <row r="197" spans="1:18" ht="17.399999999999999" x14ac:dyDescent="0.25">
      <c r="A197" s="4"/>
      <c r="B197" s="23"/>
      <c r="C197" s="4"/>
      <c r="D197" s="4"/>
      <c r="E197" s="5"/>
      <c r="F197" s="4"/>
      <c r="G197" s="4"/>
      <c r="H197" s="4"/>
      <c r="I197" s="4"/>
      <c r="J197" s="4"/>
      <c r="K197" s="4"/>
      <c r="L197" s="4"/>
      <c r="M197" s="4"/>
      <c r="N197" s="4"/>
      <c r="O197" s="4"/>
      <c r="P197" s="4"/>
      <c r="Q197" s="4"/>
      <c r="R197" s="4"/>
    </row>
    <row r="198" spans="1:18" ht="17.399999999999999" x14ac:dyDescent="0.25">
      <c r="A198" s="4"/>
      <c r="B198" s="23"/>
      <c r="C198" s="4"/>
      <c r="D198" s="4"/>
      <c r="E198" s="5"/>
      <c r="F198" s="4"/>
      <c r="G198" s="4"/>
      <c r="H198" s="4"/>
      <c r="I198" s="4"/>
      <c r="J198" s="4"/>
      <c r="K198" s="4"/>
      <c r="L198" s="4"/>
      <c r="M198" s="4"/>
      <c r="N198" s="4"/>
      <c r="O198" s="4"/>
      <c r="P198" s="4"/>
      <c r="Q198" s="4"/>
      <c r="R198" s="4"/>
    </row>
    <row r="199" spans="1:18" ht="17.399999999999999" x14ac:dyDescent="0.25">
      <c r="A199" s="4"/>
      <c r="B199" s="23"/>
      <c r="C199" s="4"/>
      <c r="D199" s="4"/>
      <c r="E199" s="5"/>
      <c r="F199" s="4"/>
      <c r="G199" s="4"/>
      <c r="H199" s="4"/>
      <c r="I199" s="4"/>
      <c r="J199" s="4"/>
      <c r="K199" s="4"/>
      <c r="L199" s="4"/>
      <c r="M199" s="4"/>
      <c r="N199" s="4"/>
      <c r="O199" s="4"/>
      <c r="P199" s="4"/>
      <c r="Q199" s="4"/>
      <c r="R199" s="4"/>
    </row>
    <row r="200" spans="1:18" ht="17.399999999999999" x14ac:dyDescent="0.25">
      <c r="A200" s="4"/>
      <c r="B200" s="23"/>
      <c r="C200" s="4"/>
      <c r="D200" s="4"/>
      <c r="E200" s="5"/>
      <c r="F200" s="4"/>
      <c r="G200" s="4"/>
      <c r="H200" s="4"/>
      <c r="I200" s="4"/>
      <c r="J200" s="4"/>
      <c r="K200" s="4"/>
      <c r="L200" s="4"/>
      <c r="M200" s="4"/>
      <c r="N200" s="4"/>
      <c r="O200" s="4"/>
      <c r="P200" s="4"/>
      <c r="Q200" s="4"/>
      <c r="R200" s="4"/>
    </row>
    <row r="201" spans="1:18" ht="17.399999999999999" x14ac:dyDescent="0.25">
      <c r="A201" s="4"/>
      <c r="B201" s="23"/>
      <c r="C201" s="4"/>
      <c r="D201" s="4"/>
      <c r="E201" s="5"/>
      <c r="F201" s="4"/>
      <c r="G201" s="4"/>
      <c r="H201" s="4"/>
      <c r="I201" s="4"/>
      <c r="J201" s="4"/>
      <c r="K201" s="4"/>
      <c r="L201" s="4"/>
      <c r="M201" s="4"/>
      <c r="N201" s="4"/>
      <c r="O201" s="4"/>
      <c r="P201" s="4"/>
      <c r="Q201" s="4"/>
      <c r="R201" s="4"/>
    </row>
    <row r="202" spans="1:18" ht="17.399999999999999" x14ac:dyDescent="0.25">
      <c r="A202" s="4"/>
      <c r="B202" s="23"/>
      <c r="C202" s="4"/>
      <c r="D202" s="4"/>
      <c r="E202" s="5"/>
      <c r="F202" s="4"/>
      <c r="G202" s="4"/>
      <c r="H202" s="4"/>
      <c r="I202" s="4"/>
      <c r="J202" s="4"/>
      <c r="K202" s="4"/>
      <c r="L202" s="4"/>
      <c r="M202" s="4"/>
      <c r="N202" s="4"/>
      <c r="O202" s="4"/>
      <c r="P202" s="4"/>
      <c r="Q202" s="4"/>
      <c r="R202" s="4"/>
    </row>
    <row r="203" spans="1:18" ht="17.399999999999999" x14ac:dyDescent="0.25">
      <c r="A203" s="4"/>
      <c r="B203" s="23"/>
      <c r="C203" s="4"/>
      <c r="D203" s="4"/>
      <c r="E203" s="5"/>
      <c r="F203" s="4"/>
      <c r="G203" s="4"/>
      <c r="H203" s="4"/>
      <c r="I203" s="4"/>
      <c r="J203" s="4"/>
      <c r="K203" s="4"/>
      <c r="L203" s="4"/>
      <c r="M203" s="4"/>
      <c r="N203" s="4"/>
      <c r="O203" s="4"/>
      <c r="P203" s="4"/>
      <c r="Q203" s="4"/>
      <c r="R203" s="4"/>
    </row>
    <row r="204" spans="1:18" ht="17.399999999999999" x14ac:dyDescent="0.25">
      <c r="A204" s="4"/>
      <c r="B204" s="23"/>
      <c r="C204" s="4"/>
      <c r="D204" s="4"/>
      <c r="E204" s="5"/>
      <c r="F204" s="4"/>
      <c r="G204" s="4"/>
      <c r="H204" s="4"/>
      <c r="I204" s="4"/>
      <c r="J204" s="4"/>
      <c r="K204" s="4"/>
      <c r="L204" s="4"/>
      <c r="M204" s="4"/>
      <c r="N204" s="4"/>
      <c r="O204" s="4"/>
      <c r="P204" s="4"/>
      <c r="Q204" s="4"/>
      <c r="R204" s="4"/>
    </row>
    <row r="205" spans="1:18" ht="17.399999999999999" x14ac:dyDescent="0.25">
      <c r="A205" s="4"/>
      <c r="B205" s="23"/>
      <c r="C205" s="4"/>
      <c r="D205" s="4"/>
      <c r="E205" s="5"/>
      <c r="F205" s="4"/>
      <c r="G205" s="4"/>
      <c r="H205" s="4"/>
      <c r="I205" s="4"/>
      <c r="J205" s="4"/>
      <c r="K205" s="4"/>
      <c r="L205" s="4"/>
      <c r="M205" s="4"/>
      <c r="N205" s="4"/>
      <c r="O205" s="4"/>
      <c r="P205" s="4"/>
      <c r="Q205" s="4"/>
      <c r="R205" s="4"/>
    </row>
    <row r="206" spans="1:18" ht="17.399999999999999" x14ac:dyDescent="0.25">
      <c r="A206" s="4"/>
      <c r="B206" s="23"/>
      <c r="C206" s="4"/>
      <c r="D206" s="4"/>
      <c r="E206" s="5"/>
      <c r="F206" s="4"/>
      <c r="G206" s="4"/>
      <c r="H206" s="4"/>
      <c r="I206" s="4"/>
      <c r="J206" s="4"/>
      <c r="K206" s="4"/>
      <c r="L206" s="4"/>
      <c r="M206" s="4"/>
      <c r="N206" s="4"/>
      <c r="O206" s="4"/>
      <c r="P206" s="4"/>
      <c r="Q206" s="4"/>
      <c r="R206" s="4"/>
    </row>
    <row r="207" spans="1:18" ht="17.399999999999999" x14ac:dyDescent="0.25">
      <c r="A207" s="4"/>
      <c r="B207" s="23"/>
      <c r="C207" s="4"/>
      <c r="D207" s="4"/>
      <c r="E207" s="5"/>
      <c r="F207" s="4"/>
      <c r="G207" s="4"/>
      <c r="H207" s="4"/>
      <c r="I207" s="4"/>
      <c r="J207" s="4"/>
      <c r="K207" s="4"/>
      <c r="L207" s="4"/>
      <c r="M207" s="4"/>
      <c r="N207" s="4"/>
      <c r="O207" s="4"/>
      <c r="P207" s="4"/>
      <c r="Q207" s="4"/>
      <c r="R207" s="4"/>
    </row>
    <row r="208" spans="1:18" ht="17.399999999999999" x14ac:dyDescent="0.25">
      <c r="A208" s="4"/>
      <c r="B208" s="23"/>
      <c r="C208" s="4"/>
      <c r="D208" s="4"/>
      <c r="E208" s="5"/>
      <c r="F208" s="4"/>
      <c r="G208" s="4"/>
      <c r="H208" s="4"/>
      <c r="I208" s="4"/>
      <c r="J208" s="4"/>
      <c r="K208" s="4"/>
      <c r="L208" s="4"/>
      <c r="M208" s="4"/>
      <c r="N208" s="4"/>
      <c r="O208" s="4"/>
      <c r="P208" s="4"/>
      <c r="Q208" s="4"/>
      <c r="R208" s="4"/>
    </row>
    <row r="209" spans="1:18" ht="17.399999999999999" x14ac:dyDescent="0.25">
      <c r="A209" s="4"/>
      <c r="B209" s="23"/>
      <c r="C209" s="4"/>
      <c r="D209" s="4"/>
      <c r="E209" s="5"/>
      <c r="F209" s="4"/>
      <c r="G209" s="4"/>
      <c r="H209" s="4"/>
      <c r="I209" s="4"/>
      <c r="J209" s="4"/>
      <c r="K209" s="4"/>
      <c r="L209" s="4"/>
      <c r="M209" s="4"/>
      <c r="N209" s="4"/>
      <c r="O209" s="4"/>
      <c r="P209" s="4"/>
      <c r="Q209" s="4"/>
      <c r="R209" s="4"/>
    </row>
    <row r="210" spans="1:18" ht="17.399999999999999" x14ac:dyDescent="0.25">
      <c r="A210" s="4"/>
      <c r="B210" s="23"/>
      <c r="C210" s="4"/>
      <c r="D210" s="4"/>
      <c r="E210" s="5"/>
      <c r="F210" s="4"/>
      <c r="G210" s="4"/>
      <c r="H210" s="4"/>
      <c r="I210" s="4"/>
      <c r="J210" s="4"/>
      <c r="K210" s="4"/>
      <c r="L210" s="4"/>
      <c r="M210" s="4"/>
      <c r="N210" s="4"/>
      <c r="O210" s="4"/>
      <c r="P210" s="4"/>
      <c r="Q210" s="4"/>
      <c r="R210" s="4"/>
    </row>
    <row r="211" spans="1:18" ht="17.399999999999999" x14ac:dyDescent="0.25">
      <c r="A211" s="4"/>
      <c r="B211" s="23"/>
      <c r="C211" s="4"/>
      <c r="D211" s="4"/>
      <c r="E211" s="5"/>
      <c r="F211" s="4"/>
      <c r="G211" s="4"/>
      <c r="H211" s="4"/>
      <c r="I211" s="4"/>
      <c r="J211" s="4"/>
      <c r="K211" s="4"/>
      <c r="L211" s="4"/>
      <c r="M211" s="4"/>
      <c r="N211" s="4"/>
      <c r="O211" s="4"/>
      <c r="P211" s="4"/>
      <c r="Q211" s="4"/>
      <c r="R211" s="4"/>
    </row>
    <row r="212" spans="1:18" ht="17.399999999999999" x14ac:dyDescent="0.25">
      <c r="A212" s="4"/>
      <c r="B212" s="23"/>
      <c r="C212" s="4"/>
      <c r="D212" s="4"/>
      <c r="E212" s="5"/>
      <c r="F212" s="4"/>
      <c r="G212" s="4"/>
      <c r="H212" s="4"/>
      <c r="I212" s="4"/>
      <c r="J212" s="4"/>
      <c r="K212" s="4"/>
      <c r="L212" s="4"/>
      <c r="M212" s="4"/>
      <c r="N212" s="4"/>
      <c r="O212" s="4"/>
      <c r="P212" s="4"/>
      <c r="Q212" s="4"/>
      <c r="R212" s="4"/>
    </row>
    <row r="213" spans="1:18" ht="17.399999999999999" x14ac:dyDescent="0.25">
      <c r="A213" s="4"/>
      <c r="B213" s="23"/>
      <c r="C213" s="4"/>
      <c r="D213" s="4"/>
      <c r="E213" s="5"/>
      <c r="F213" s="4"/>
      <c r="G213" s="4"/>
      <c r="H213" s="4"/>
      <c r="I213" s="4"/>
      <c r="J213" s="4"/>
      <c r="K213" s="4"/>
      <c r="L213" s="4"/>
      <c r="M213" s="4"/>
      <c r="N213" s="4"/>
      <c r="O213" s="4"/>
      <c r="P213" s="4"/>
      <c r="Q213" s="4"/>
      <c r="R213" s="4"/>
    </row>
    <row r="214" spans="1:18" ht="17.399999999999999" x14ac:dyDescent="0.25">
      <c r="A214" s="4"/>
      <c r="B214" s="23"/>
      <c r="C214" s="4"/>
      <c r="D214" s="4"/>
      <c r="E214" s="5"/>
      <c r="F214" s="4"/>
      <c r="G214" s="4"/>
      <c r="H214" s="4"/>
      <c r="I214" s="4"/>
      <c r="J214" s="4"/>
      <c r="K214" s="4"/>
      <c r="L214" s="4"/>
      <c r="M214" s="4"/>
      <c r="N214" s="4"/>
      <c r="O214" s="4"/>
      <c r="P214" s="4"/>
      <c r="Q214" s="4"/>
      <c r="R214" s="4"/>
    </row>
    <row r="215" spans="1:18" ht="17.399999999999999" x14ac:dyDescent="0.25">
      <c r="A215" s="4"/>
      <c r="B215" s="23"/>
      <c r="C215" s="4"/>
      <c r="D215" s="4"/>
      <c r="E215" s="5"/>
      <c r="F215" s="4"/>
      <c r="G215" s="4"/>
      <c r="H215" s="4"/>
      <c r="I215" s="4"/>
      <c r="J215" s="4"/>
      <c r="K215" s="4"/>
      <c r="L215" s="4"/>
      <c r="M215" s="4"/>
      <c r="N215" s="4"/>
      <c r="O215" s="4"/>
      <c r="P215" s="4"/>
      <c r="Q215" s="4"/>
      <c r="R215" s="4"/>
    </row>
    <row r="216" spans="1:18" ht="17.399999999999999" x14ac:dyDescent="0.25">
      <c r="A216" s="4"/>
      <c r="B216" s="23"/>
      <c r="C216" s="4"/>
      <c r="D216" s="4"/>
      <c r="E216" s="5"/>
      <c r="F216" s="4"/>
      <c r="G216" s="4"/>
      <c r="H216" s="4"/>
      <c r="I216" s="4"/>
      <c r="J216" s="4"/>
      <c r="K216" s="4"/>
      <c r="L216" s="4"/>
      <c r="M216" s="4"/>
      <c r="N216" s="4"/>
      <c r="O216" s="4"/>
      <c r="P216" s="4"/>
      <c r="Q216" s="4"/>
      <c r="R216" s="4"/>
    </row>
    <row r="217" spans="1:18" ht="17.399999999999999" x14ac:dyDescent="0.25">
      <c r="A217" s="4"/>
      <c r="B217" s="23"/>
      <c r="C217" s="4"/>
      <c r="D217" s="4"/>
      <c r="E217" s="5"/>
      <c r="F217" s="4"/>
      <c r="G217" s="4"/>
      <c r="H217" s="4"/>
      <c r="I217" s="4"/>
      <c r="J217" s="4"/>
      <c r="K217" s="4"/>
      <c r="L217" s="4"/>
      <c r="M217" s="4"/>
      <c r="N217" s="4"/>
      <c r="O217" s="4"/>
      <c r="P217" s="4"/>
      <c r="Q217" s="4"/>
      <c r="R217" s="4"/>
    </row>
    <row r="218" spans="1:18" ht="17.399999999999999" x14ac:dyDescent="0.25">
      <c r="A218" s="4"/>
      <c r="B218" s="23"/>
      <c r="C218" s="4"/>
      <c r="D218" s="4"/>
      <c r="E218" s="5"/>
      <c r="F218" s="4"/>
      <c r="G218" s="4"/>
      <c r="H218" s="4"/>
      <c r="I218" s="4"/>
      <c r="J218" s="4"/>
      <c r="K218" s="4"/>
      <c r="L218" s="4"/>
      <c r="M218" s="4"/>
      <c r="N218" s="4"/>
      <c r="O218" s="4"/>
      <c r="P218" s="4"/>
      <c r="Q218" s="4"/>
      <c r="R218" s="4"/>
    </row>
    <row r="219" spans="1:18" ht="17.399999999999999" x14ac:dyDescent="0.25">
      <c r="A219" s="4"/>
      <c r="B219" s="23"/>
      <c r="C219" s="4"/>
      <c r="D219" s="4"/>
      <c r="E219" s="5"/>
      <c r="F219" s="4"/>
      <c r="G219" s="4"/>
      <c r="H219" s="4"/>
      <c r="I219" s="4"/>
      <c r="J219" s="4"/>
      <c r="K219" s="4"/>
      <c r="L219" s="4"/>
      <c r="M219" s="4"/>
      <c r="N219" s="4"/>
      <c r="O219" s="4"/>
      <c r="P219" s="4"/>
      <c r="Q219" s="4"/>
      <c r="R219" s="4"/>
    </row>
    <row r="220" spans="1:18" ht="17.399999999999999" x14ac:dyDescent="0.25">
      <c r="A220" s="4"/>
      <c r="B220" s="23"/>
      <c r="C220" s="4"/>
      <c r="D220" s="4"/>
      <c r="E220" s="5"/>
      <c r="F220" s="4"/>
      <c r="G220" s="4"/>
      <c r="H220" s="4"/>
      <c r="I220" s="4"/>
      <c r="J220" s="4"/>
      <c r="K220" s="4"/>
      <c r="L220" s="4"/>
      <c r="M220" s="4"/>
      <c r="N220" s="4"/>
      <c r="O220" s="4"/>
      <c r="P220" s="4"/>
      <c r="Q220" s="4"/>
      <c r="R220" s="4"/>
    </row>
    <row r="221" spans="1:18" ht="17.399999999999999" x14ac:dyDescent="0.25">
      <c r="A221" s="4"/>
      <c r="B221" s="23"/>
      <c r="C221" s="4"/>
      <c r="D221" s="4"/>
      <c r="E221" s="5"/>
      <c r="F221" s="4"/>
      <c r="G221" s="4"/>
      <c r="H221" s="4"/>
      <c r="I221" s="4"/>
      <c r="J221" s="4"/>
      <c r="K221" s="4"/>
      <c r="L221" s="4"/>
      <c r="M221" s="4"/>
      <c r="N221" s="4"/>
      <c r="O221" s="4"/>
      <c r="P221" s="4"/>
      <c r="Q221" s="4"/>
      <c r="R221" s="4"/>
    </row>
    <row r="222" spans="1:18" ht="17.399999999999999" x14ac:dyDescent="0.25">
      <c r="A222" s="4"/>
      <c r="B222" s="23"/>
      <c r="C222" s="4"/>
      <c r="D222" s="4"/>
      <c r="E222" s="5"/>
      <c r="F222" s="4"/>
      <c r="G222" s="4"/>
      <c r="H222" s="4"/>
      <c r="I222" s="4"/>
      <c r="J222" s="4"/>
      <c r="K222" s="4"/>
      <c r="L222" s="4"/>
      <c r="M222" s="4"/>
      <c r="N222" s="4"/>
      <c r="O222" s="4"/>
      <c r="P222" s="4"/>
      <c r="Q222" s="4"/>
      <c r="R222" s="4"/>
    </row>
    <row r="223" spans="1:18" ht="17.399999999999999" x14ac:dyDescent="0.25">
      <c r="A223" s="4"/>
      <c r="B223" s="23"/>
      <c r="C223" s="4"/>
      <c r="D223" s="4"/>
      <c r="E223" s="5"/>
      <c r="F223" s="4"/>
      <c r="G223" s="4"/>
      <c r="H223" s="4"/>
      <c r="I223" s="4"/>
      <c r="J223" s="4"/>
      <c r="K223" s="4"/>
      <c r="L223" s="4"/>
      <c r="M223" s="4"/>
      <c r="N223" s="4"/>
      <c r="O223" s="4"/>
      <c r="P223" s="4"/>
      <c r="Q223" s="4"/>
      <c r="R223" s="4"/>
    </row>
    <row r="224" spans="1:18" ht="17.399999999999999" x14ac:dyDescent="0.25">
      <c r="A224" s="4"/>
      <c r="B224" s="23"/>
      <c r="C224" s="4"/>
      <c r="D224" s="4"/>
      <c r="E224" s="5"/>
      <c r="F224" s="4"/>
      <c r="G224" s="4"/>
      <c r="H224" s="4"/>
      <c r="I224" s="4"/>
      <c r="J224" s="4"/>
      <c r="K224" s="4"/>
      <c r="L224" s="4"/>
      <c r="M224" s="4"/>
      <c r="N224" s="4"/>
      <c r="O224" s="4"/>
      <c r="P224" s="4"/>
      <c r="Q224" s="4"/>
      <c r="R224" s="4"/>
    </row>
    <row r="225" spans="1:18" ht="17.399999999999999" x14ac:dyDescent="0.25">
      <c r="A225" s="4"/>
      <c r="B225" s="23"/>
      <c r="C225" s="4"/>
      <c r="D225" s="4"/>
      <c r="E225" s="5"/>
      <c r="F225" s="4"/>
      <c r="G225" s="4"/>
      <c r="H225" s="4"/>
      <c r="I225" s="4"/>
      <c r="J225" s="4"/>
      <c r="K225" s="4"/>
      <c r="L225" s="4"/>
      <c r="M225" s="4"/>
      <c r="N225" s="4"/>
      <c r="O225" s="4"/>
      <c r="P225" s="4"/>
      <c r="Q225" s="4"/>
      <c r="R225" s="4"/>
    </row>
    <row r="226" spans="1:18" ht="17.399999999999999" x14ac:dyDescent="0.25">
      <c r="A226" s="4"/>
      <c r="B226" s="23"/>
      <c r="C226" s="4"/>
      <c r="D226" s="4"/>
      <c r="E226" s="5"/>
      <c r="F226" s="4"/>
      <c r="G226" s="4"/>
      <c r="H226" s="4"/>
      <c r="I226" s="4"/>
      <c r="J226" s="4"/>
      <c r="K226" s="4"/>
      <c r="L226" s="4"/>
      <c r="M226" s="4"/>
      <c r="N226" s="4"/>
      <c r="O226" s="4"/>
      <c r="P226" s="4"/>
      <c r="Q226" s="4"/>
      <c r="R226" s="4"/>
    </row>
    <row r="227" spans="1:18" ht="17.399999999999999" x14ac:dyDescent="0.25">
      <c r="A227" s="4"/>
      <c r="B227" s="23"/>
      <c r="C227" s="4"/>
      <c r="D227" s="4"/>
      <c r="E227" s="5"/>
      <c r="F227" s="4"/>
      <c r="G227" s="4"/>
      <c r="H227" s="4"/>
      <c r="I227" s="4"/>
      <c r="J227" s="4"/>
      <c r="K227" s="4"/>
      <c r="L227" s="4"/>
      <c r="M227" s="4"/>
      <c r="N227" s="4"/>
      <c r="O227" s="4"/>
      <c r="P227" s="4"/>
      <c r="Q227" s="4"/>
      <c r="R227" s="4"/>
    </row>
    <row r="228" spans="1:18" ht="17.399999999999999" x14ac:dyDescent="0.25">
      <c r="A228" s="4"/>
      <c r="B228" s="23"/>
      <c r="C228" s="4"/>
      <c r="D228" s="4"/>
      <c r="E228" s="5"/>
      <c r="F228" s="4"/>
      <c r="G228" s="4"/>
      <c r="H228" s="4"/>
      <c r="I228" s="4"/>
      <c r="J228" s="4"/>
      <c r="K228" s="4"/>
      <c r="L228" s="4"/>
      <c r="M228" s="4"/>
      <c r="N228" s="4"/>
      <c r="O228" s="4"/>
      <c r="P228" s="4"/>
      <c r="Q228" s="4"/>
      <c r="R228" s="4"/>
    </row>
    <row r="229" spans="1:18" ht="17.399999999999999" x14ac:dyDescent="0.25">
      <c r="A229" s="4"/>
      <c r="B229" s="23"/>
      <c r="C229" s="4"/>
      <c r="D229" s="4"/>
      <c r="E229" s="5"/>
      <c r="F229" s="4"/>
      <c r="G229" s="4"/>
      <c r="H229" s="4"/>
      <c r="I229" s="4"/>
      <c r="J229" s="4"/>
      <c r="K229" s="4"/>
      <c r="L229" s="4"/>
      <c r="M229" s="4"/>
      <c r="N229" s="4"/>
      <c r="O229" s="4"/>
      <c r="P229" s="4"/>
      <c r="Q229" s="4"/>
      <c r="R229" s="4"/>
    </row>
    <row r="230" spans="1:18" ht="17.399999999999999" x14ac:dyDescent="0.25">
      <c r="A230" s="4"/>
      <c r="B230" s="23"/>
      <c r="C230" s="4"/>
      <c r="D230" s="4"/>
      <c r="E230" s="5"/>
      <c r="F230" s="4"/>
      <c r="G230" s="4"/>
      <c r="H230" s="4"/>
      <c r="I230" s="4"/>
      <c r="J230" s="4"/>
      <c r="K230" s="4"/>
      <c r="L230" s="4"/>
      <c r="M230" s="4"/>
      <c r="N230" s="4"/>
      <c r="O230" s="4"/>
      <c r="P230" s="4"/>
      <c r="Q230" s="4"/>
      <c r="R230" s="4"/>
    </row>
    <row r="231" spans="1:18" ht="17.399999999999999" x14ac:dyDescent="0.25">
      <c r="A231" s="4"/>
      <c r="B231" s="23"/>
      <c r="C231" s="4"/>
      <c r="D231" s="4"/>
      <c r="E231" s="5"/>
      <c r="F231" s="4"/>
      <c r="G231" s="4"/>
      <c r="H231" s="4"/>
      <c r="I231" s="4"/>
      <c r="J231" s="4"/>
      <c r="K231" s="4"/>
      <c r="L231" s="4"/>
      <c r="M231" s="4"/>
      <c r="N231" s="4"/>
      <c r="O231" s="4"/>
      <c r="P231" s="4"/>
      <c r="Q231" s="4"/>
      <c r="R231" s="4"/>
    </row>
    <row r="232" spans="1:18" ht="17.399999999999999" x14ac:dyDescent="0.25">
      <c r="A232" s="4"/>
      <c r="B232" s="23"/>
      <c r="C232" s="4"/>
      <c r="D232" s="4"/>
      <c r="E232" s="5"/>
      <c r="F232" s="4"/>
      <c r="G232" s="4"/>
      <c r="H232" s="4"/>
      <c r="I232" s="4"/>
      <c r="J232" s="4"/>
      <c r="K232" s="4"/>
      <c r="L232" s="4"/>
      <c r="M232" s="4"/>
      <c r="N232" s="4"/>
      <c r="O232" s="4"/>
      <c r="P232" s="4"/>
      <c r="Q232" s="4"/>
      <c r="R232" s="4"/>
    </row>
    <row r="233" spans="1:18" ht="17.399999999999999" x14ac:dyDescent="0.25">
      <c r="A233" s="4"/>
      <c r="B233" s="23"/>
      <c r="C233" s="4"/>
      <c r="D233" s="4"/>
      <c r="E233" s="5"/>
      <c r="F233" s="4"/>
      <c r="G233" s="4"/>
      <c r="H233" s="4"/>
      <c r="I233" s="4"/>
      <c r="J233" s="4"/>
      <c r="K233" s="4"/>
      <c r="L233" s="4"/>
      <c r="M233" s="4"/>
      <c r="N233" s="4"/>
      <c r="O233" s="4"/>
      <c r="P233" s="4"/>
      <c r="Q233" s="4"/>
      <c r="R233" s="4"/>
    </row>
    <row r="234" spans="1:18" ht="17.399999999999999" x14ac:dyDescent="0.25">
      <c r="A234" s="4"/>
      <c r="B234" s="23"/>
      <c r="C234" s="4"/>
      <c r="D234" s="4"/>
      <c r="E234" s="5"/>
      <c r="F234" s="4"/>
      <c r="G234" s="4"/>
      <c r="H234" s="4"/>
      <c r="I234" s="4"/>
      <c r="J234" s="4"/>
      <c r="K234" s="4"/>
      <c r="L234" s="4"/>
      <c r="M234" s="4"/>
      <c r="N234" s="4"/>
      <c r="O234" s="4"/>
      <c r="P234" s="4"/>
      <c r="Q234" s="4"/>
      <c r="R234" s="4"/>
    </row>
    <row r="235" spans="1:18" ht="17.399999999999999" x14ac:dyDescent="0.25">
      <c r="A235" s="4"/>
      <c r="B235" s="23"/>
      <c r="C235" s="4"/>
      <c r="D235" s="4"/>
      <c r="E235" s="5"/>
      <c r="F235" s="4"/>
      <c r="G235" s="4"/>
      <c r="H235" s="4"/>
      <c r="I235" s="4"/>
      <c r="J235" s="4"/>
      <c r="K235" s="4"/>
      <c r="L235" s="4"/>
      <c r="M235" s="4"/>
      <c r="N235" s="4"/>
      <c r="O235" s="4"/>
      <c r="P235" s="4"/>
      <c r="Q235" s="4"/>
      <c r="R235" s="4"/>
    </row>
    <row r="236" spans="1:18" ht="17.399999999999999" x14ac:dyDescent="0.25">
      <c r="A236" s="4"/>
      <c r="B236" s="23"/>
      <c r="C236" s="4"/>
      <c r="D236" s="4"/>
      <c r="E236" s="5"/>
      <c r="F236" s="4"/>
      <c r="G236" s="4"/>
      <c r="H236" s="4"/>
      <c r="I236" s="4"/>
      <c r="J236" s="4"/>
      <c r="K236" s="4"/>
      <c r="L236" s="4"/>
      <c r="M236" s="4"/>
      <c r="N236" s="4"/>
      <c r="O236" s="4"/>
      <c r="P236" s="4"/>
      <c r="Q236" s="4"/>
      <c r="R236" s="4"/>
    </row>
    <row r="237" spans="1:18" ht="17.399999999999999" x14ac:dyDescent="0.25">
      <c r="A237" s="4"/>
      <c r="B237" s="23"/>
      <c r="C237" s="4"/>
      <c r="D237" s="4"/>
      <c r="E237" s="5"/>
      <c r="F237" s="4"/>
      <c r="G237" s="4"/>
      <c r="H237" s="4"/>
      <c r="I237" s="4"/>
      <c r="J237" s="4"/>
      <c r="K237" s="4"/>
      <c r="L237" s="4"/>
      <c r="M237" s="4"/>
      <c r="N237" s="4"/>
      <c r="O237" s="4"/>
      <c r="P237" s="4"/>
      <c r="Q237" s="4"/>
      <c r="R237" s="4"/>
    </row>
    <row r="238" spans="1:18" ht="17.399999999999999" x14ac:dyDescent="0.25">
      <c r="A238" s="4"/>
      <c r="B238" s="23"/>
      <c r="C238" s="4"/>
      <c r="D238" s="4"/>
      <c r="E238" s="5"/>
      <c r="F238" s="4"/>
      <c r="G238" s="4"/>
      <c r="H238" s="4"/>
      <c r="I238" s="4"/>
      <c r="J238" s="4"/>
      <c r="K238" s="4"/>
      <c r="L238" s="4"/>
      <c r="M238" s="4"/>
      <c r="N238" s="4"/>
      <c r="O238" s="4"/>
      <c r="P238" s="4"/>
      <c r="Q238" s="4"/>
      <c r="R238" s="4"/>
    </row>
    <row r="239" spans="1:18" ht="17.399999999999999" x14ac:dyDescent="0.25">
      <c r="A239" s="4"/>
      <c r="B239" s="23"/>
      <c r="C239" s="4"/>
      <c r="D239" s="4"/>
      <c r="E239" s="5"/>
      <c r="F239" s="4"/>
      <c r="G239" s="4"/>
      <c r="H239" s="4"/>
      <c r="I239" s="4"/>
      <c r="J239" s="4"/>
      <c r="K239" s="4"/>
      <c r="L239" s="4"/>
      <c r="M239" s="4"/>
      <c r="N239" s="4"/>
      <c r="O239" s="4"/>
      <c r="P239" s="4"/>
      <c r="Q239" s="4"/>
      <c r="R239" s="4"/>
    </row>
    <row r="240" spans="1:18" ht="17.399999999999999" x14ac:dyDescent="0.25">
      <c r="A240" s="4"/>
      <c r="B240" s="23"/>
      <c r="C240" s="4"/>
      <c r="D240" s="4"/>
      <c r="E240" s="5"/>
      <c r="F240" s="4"/>
      <c r="G240" s="4"/>
      <c r="H240" s="4"/>
      <c r="I240" s="4"/>
      <c r="J240" s="4"/>
      <c r="K240" s="4"/>
      <c r="L240" s="4"/>
      <c r="M240" s="4"/>
      <c r="N240" s="4"/>
      <c r="O240" s="4"/>
      <c r="P240" s="4"/>
      <c r="Q240" s="4"/>
      <c r="R240" s="4"/>
    </row>
    <row r="241" spans="1:18" ht="17.399999999999999" x14ac:dyDescent="0.25">
      <c r="A241" s="4"/>
      <c r="B241" s="23"/>
      <c r="C241" s="4"/>
      <c r="D241" s="4"/>
      <c r="E241" s="5"/>
      <c r="F241" s="4"/>
      <c r="G241" s="4"/>
      <c r="H241" s="4"/>
      <c r="I241" s="4"/>
      <c r="J241" s="4"/>
      <c r="K241" s="4"/>
      <c r="L241" s="4"/>
      <c r="M241" s="4"/>
      <c r="N241" s="4"/>
      <c r="O241" s="4"/>
      <c r="P241" s="4"/>
      <c r="Q241" s="4"/>
      <c r="R241" s="4"/>
    </row>
    <row r="242" spans="1:18" ht="17.399999999999999" x14ac:dyDescent="0.25">
      <c r="A242" s="4"/>
      <c r="B242" s="23"/>
      <c r="C242" s="4"/>
      <c r="D242" s="4"/>
      <c r="E242" s="5"/>
      <c r="F242" s="4"/>
      <c r="G242" s="4"/>
      <c r="H242" s="4"/>
      <c r="I242" s="4"/>
      <c r="J242" s="4"/>
      <c r="K242" s="4"/>
      <c r="L242" s="4"/>
      <c r="M242" s="4"/>
      <c r="N242" s="4"/>
      <c r="O242" s="4"/>
      <c r="P242" s="4"/>
      <c r="Q242" s="4"/>
      <c r="R242" s="4"/>
    </row>
    <row r="243" spans="1:18" ht="17.399999999999999" x14ac:dyDescent="0.25">
      <c r="A243" s="4"/>
      <c r="B243" s="23"/>
      <c r="C243" s="4"/>
      <c r="D243" s="4"/>
      <c r="E243" s="5"/>
      <c r="F243" s="4"/>
      <c r="G243" s="4"/>
      <c r="H243" s="4"/>
      <c r="I243" s="4"/>
      <c r="J243" s="4"/>
      <c r="K243" s="4"/>
      <c r="L243" s="4"/>
      <c r="M243" s="4"/>
      <c r="N243" s="4"/>
      <c r="O243" s="4"/>
      <c r="P243" s="4"/>
      <c r="Q243" s="4"/>
      <c r="R243" s="4"/>
    </row>
    <row r="244" spans="1:18" ht="17.399999999999999" x14ac:dyDescent="0.25">
      <c r="A244" s="4"/>
      <c r="B244" s="23"/>
      <c r="C244" s="4"/>
      <c r="D244" s="4"/>
      <c r="E244" s="5"/>
      <c r="F244" s="4"/>
      <c r="G244" s="4"/>
      <c r="H244" s="4"/>
      <c r="I244" s="4"/>
      <c r="J244" s="4"/>
      <c r="K244" s="4"/>
      <c r="L244" s="4"/>
      <c r="M244" s="4"/>
      <c r="N244" s="4"/>
      <c r="O244" s="4"/>
      <c r="P244" s="4"/>
      <c r="Q244" s="4"/>
      <c r="R244" s="4"/>
    </row>
    <row r="245" spans="1:18" ht="17.399999999999999" x14ac:dyDescent="0.25">
      <c r="A245" s="4"/>
      <c r="B245" s="23"/>
      <c r="C245" s="4"/>
      <c r="D245" s="4"/>
      <c r="E245" s="5"/>
      <c r="F245" s="4"/>
      <c r="G245" s="4"/>
      <c r="H245" s="4"/>
      <c r="I245" s="4"/>
      <c r="J245" s="4"/>
      <c r="K245" s="4"/>
      <c r="L245" s="4"/>
      <c r="M245" s="4"/>
      <c r="N245" s="4"/>
      <c r="O245" s="4"/>
      <c r="P245" s="4"/>
      <c r="Q245" s="4"/>
      <c r="R245" s="4"/>
    </row>
    <row r="246" spans="1:18" ht="17.399999999999999" x14ac:dyDescent="0.25">
      <c r="A246" s="4"/>
      <c r="B246" s="23"/>
      <c r="C246" s="4"/>
      <c r="D246" s="4"/>
      <c r="E246" s="5"/>
      <c r="F246" s="4"/>
      <c r="G246" s="4"/>
      <c r="H246" s="4"/>
      <c r="I246" s="4"/>
      <c r="J246" s="4"/>
      <c r="K246" s="4"/>
      <c r="L246" s="4"/>
      <c r="M246" s="4"/>
      <c r="N246" s="4"/>
      <c r="O246" s="4"/>
      <c r="P246" s="4"/>
      <c r="Q246" s="4"/>
      <c r="R246" s="4"/>
    </row>
    <row r="247" spans="1:18" ht="17.399999999999999" x14ac:dyDescent="0.25">
      <c r="A247" s="4"/>
      <c r="B247" s="23"/>
      <c r="C247" s="4"/>
      <c r="D247" s="4"/>
      <c r="E247" s="5"/>
      <c r="F247" s="4"/>
      <c r="G247" s="4"/>
      <c r="H247" s="4"/>
      <c r="I247" s="4"/>
      <c r="J247" s="4"/>
      <c r="K247" s="4"/>
      <c r="L247" s="4"/>
      <c r="M247" s="4"/>
      <c r="N247" s="4"/>
      <c r="O247" s="4"/>
      <c r="P247" s="4"/>
      <c r="Q247" s="4"/>
      <c r="R247" s="4"/>
    </row>
    <row r="248" spans="1:18" ht="17.399999999999999" x14ac:dyDescent="0.25">
      <c r="A248" s="4"/>
      <c r="B248" s="23"/>
      <c r="C248" s="4"/>
      <c r="D248" s="4"/>
      <c r="E248" s="5"/>
      <c r="F248" s="4"/>
      <c r="G248" s="4"/>
      <c r="H248" s="4"/>
      <c r="I248" s="4"/>
      <c r="J248" s="4"/>
      <c r="K248" s="4"/>
      <c r="L248" s="4"/>
      <c r="M248" s="4"/>
      <c r="N248" s="4"/>
      <c r="O248" s="4"/>
      <c r="P248" s="4"/>
      <c r="Q248" s="4"/>
      <c r="R248" s="4"/>
    </row>
    <row r="249" spans="1:18" ht="17.399999999999999" x14ac:dyDescent="0.25">
      <c r="A249" s="4"/>
      <c r="B249" s="23"/>
      <c r="C249" s="4"/>
      <c r="D249" s="4"/>
      <c r="E249" s="5"/>
      <c r="F249" s="4"/>
      <c r="G249" s="4"/>
      <c r="H249" s="4"/>
      <c r="I249" s="4"/>
      <c r="J249" s="4"/>
      <c r="K249" s="4"/>
      <c r="L249" s="4"/>
      <c r="M249" s="4"/>
      <c r="N249" s="4"/>
      <c r="O249" s="4"/>
      <c r="P249" s="4"/>
      <c r="Q249" s="4"/>
      <c r="R249" s="4"/>
    </row>
    <row r="250" spans="1:18" ht="17.399999999999999" x14ac:dyDescent="0.25">
      <c r="A250" s="4"/>
      <c r="B250" s="23"/>
      <c r="C250" s="4"/>
      <c r="D250" s="4"/>
      <c r="E250" s="5"/>
      <c r="F250" s="4"/>
      <c r="G250" s="4"/>
      <c r="H250" s="4"/>
      <c r="I250" s="4"/>
      <c r="J250" s="4"/>
      <c r="K250" s="4"/>
      <c r="L250" s="4"/>
      <c r="M250" s="4"/>
      <c r="N250" s="4"/>
      <c r="O250" s="4"/>
      <c r="P250" s="4"/>
      <c r="Q250" s="4"/>
      <c r="R250" s="4"/>
    </row>
    <row r="251" spans="1:18" ht="17.399999999999999" x14ac:dyDescent="0.25">
      <c r="A251" s="4"/>
      <c r="B251" s="23"/>
      <c r="C251" s="4"/>
      <c r="D251" s="4"/>
      <c r="E251" s="5"/>
      <c r="F251" s="4"/>
      <c r="G251" s="4"/>
      <c r="H251" s="4"/>
      <c r="I251" s="4"/>
      <c r="J251" s="4"/>
      <c r="K251" s="4"/>
      <c r="L251" s="4"/>
      <c r="M251" s="4"/>
      <c r="N251" s="4"/>
      <c r="O251" s="4"/>
      <c r="P251" s="4"/>
      <c r="Q251" s="4"/>
      <c r="R251" s="4"/>
    </row>
    <row r="252" spans="1:18" ht="17.399999999999999" x14ac:dyDescent="0.25">
      <c r="A252" s="4"/>
      <c r="B252" s="23"/>
      <c r="C252" s="4"/>
      <c r="D252" s="4"/>
      <c r="E252" s="5"/>
      <c r="F252" s="4"/>
      <c r="G252" s="4"/>
      <c r="H252" s="4"/>
      <c r="I252" s="4"/>
      <c r="J252" s="4"/>
      <c r="K252" s="4"/>
      <c r="L252" s="4"/>
      <c r="M252" s="4"/>
      <c r="N252" s="4"/>
      <c r="O252" s="4"/>
      <c r="P252" s="4"/>
      <c r="Q252" s="4"/>
      <c r="R252" s="4"/>
    </row>
    <row r="253" spans="1:18" ht="17.399999999999999" x14ac:dyDescent="0.25">
      <c r="A253" s="4"/>
      <c r="B253" s="23"/>
      <c r="C253" s="4"/>
      <c r="D253" s="4"/>
      <c r="E253" s="5"/>
      <c r="F253" s="4"/>
      <c r="G253" s="4"/>
      <c r="H253" s="4"/>
      <c r="I253" s="4"/>
      <c r="J253" s="4"/>
      <c r="K253" s="4"/>
      <c r="L253" s="4"/>
      <c r="M253" s="4"/>
      <c r="N253" s="4"/>
      <c r="O253" s="4"/>
      <c r="P253" s="4"/>
      <c r="Q253" s="4"/>
      <c r="R253" s="4"/>
    </row>
    <row r="254" spans="1:18" ht="17.399999999999999" x14ac:dyDescent="0.25">
      <c r="A254" s="4"/>
      <c r="B254" s="23"/>
      <c r="C254" s="4"/>
      <c r="D254" s="4"/>
      <c r="E254" s="5"/>
      <c r="F254" s="4"/>
      <c r="G254" s="4"/>
      <c r="H254" s="4"/>
      <c r="I254" s="4"/>
      <c r="J254" s="4"/>
      <c r="K254" s="4"/>
      <c r="L254" s="4"/>
      <c r="M254" s="4"/>
      <c r="N254" s="4"/>
      <c r="O254" s="4"/>
      <c r="P254" s="4"/>
      <c r="Q254" s="4"/>
      <c r="R254" s="4"/>
    </row>
    <row r="255" spans="1:18" ht="17.399999999999999" x14ac:dyDescent="0.25">
      <c r="A255" s="4"/>
      <c r="B255" s="23"/>
      <c r="C255" s="4"/>
      <c r="D255" s="4"/>
      <c r="E255" s="5"/>
      <c r="F255" s="4"/>
      <c r="G255" s="4"/>
      <c r="H255" s="4"/>
      <c r="I255" s="4"/>
      <c r="J255" s="4"/>
      <c r="K255" s="4"/>
      <c r="L255" s="4"/>
      <c r="M255" s="4"/>
      <c r="N255" s="4"/>
      <c r="O255" s="4"/>
      <c r="P255" s="4"/>
      <c r="Q255" s="4"/>
      <c r="R255" s="4"/>
    </row>
    <row r="256" spans="1:18" ht="17.399999999999999" x14ac:dyDescent="0.25">
      <c r="A256" s="4"/>
      <c r="B256" s="23"/>
      <c r="C256" s="4"/>
      <c r="D256" s="4"/>
      <c r="E256" s="5"/>
      <c r="F256" s="4"/>
      <c r="G256" s="4"/>
      <c r="H256" s="4"/>
      <c r="I256" s="4"/>
      <c r="J256" s="4"/>
      <c r="K256" s="4"/>
      <c r="L256" s="4"/>
      <c r="M256" s="4"/>
      <c r="N256" s="4"/>
      <c r="O256" s="4"/>
      <c r="P256" s="4"/>
      <c r="Q256" s="4"/>
      <c r="R256" s="4"/>
    </row>
    <row r="257" spans="1:18" ht="17.399999999999999" x14ac:dyDescent="0.25">
      <c r="A257" s="4"/>
      <c r="B257" s="23"/>
      <c r="C257" s="4"/>
      <c r="D257" s="4"/>
      <c r="E257" s="5"/>
      <c r="F257" s="4"/>
      <c r="G257" s="4"/>
      <c r="H257" s="4"/>
      <c r="I257" s="4"/>
      <c r="J257" s="4"/>
      <c r="K257" s="4"/>
      <c r="L257" s="4"/>
      <c r="M257" s="4"/>
      <c r="N257" s="4"/>
      <c r="O257" s="4"/>
      <c r="P257" s="4"/>
      <c r="Q257" s="4"/>
      <c r="R257" s="4"/>
    </row>
    <row r="258" spans="1:18" ht="17.399999999999999" x14ac:dyDescent="0.25">
      <c r="A258" s="4"/>
      <c r="B258" s="23"/>
      <c r="C258" s="4"/>
      <c r="D258" s="4"/>
      <c r="E258" s="5"/>
      <c r="F258" s="4"/>
      <c r="G258" s="4"/>
      <c r="H258" s="4"/>
      <c r="I258" s="4"/>
      <c r="J258" s="4"/>
      <c r="K258" s="4"/>
      <c r="L258" s="4"/>
      <c r="M258" s="4"/>
      <c r="N258" s="4"/>
      <c r="O258" s="4"/>
      <c r="P258" s="4"/>
      <c r="Q258" s="4"/>
      <c r="R258" s="4"/>
    </row>
    <row r="259" spans="1:18" ht="17.399999999999999" x14ac:dyDescent="0.25">
      <c r="A259" s="4"/>
      <c r="B259" s="23"/>
      <c r="C259" s="4"/>
      <c r="D259" s="4"/>
      <c r="E259" s="5"/>
      <c r="F259" s="4"/>
      <c r="G259" s="4"/>
      <c r="H259" s="4"/>
      <c r="I259" s="4"/>
      <c r="J259" s="4"/>
      <c r="K259" s="4"/>
      <c r="L259" s="4"/>
      <c r="M259" s="4"/>
      <c r="N259" s="4"/>
      <c r="O259" s="4"/>
      <c r="P259" s="4"/>
      <c r="Q259" s="4"/>
      <c r="R259" s="4"/>
    </row>
    <row r="260" spans="1:18" ht="17.399999999999999" x14ac:dyDescent="0.25">
      <c r="A260" s="4"/>
      <c r="B260" s="23"/>
      <c r="C260" s="4"/>
      <c r="D260" s="4"/>
      <c r="E260" s="5"/>
      <c r="F260" s="4"/>
      <c r="G260" s="4"/>
      <c r="H260" s="4"/>
      <c r="I260" s="4"/>
      <c r="J260" s="4"/>
      <c r="K260" s="4"/>
      <c r="L260" s="4"/>
      <c r="M260" s="4"/>
      <c r="N260" s="4"/>
      <c r="O260" s="4"/>
      <c r="P260" s="4"/>
      <c r="Q260" s="4"/>
      <c r="R260" s="4"/>
    </row>
    <row r="261" spans="1:18" ht="17.399999999999999" x14ac:dyDescent="0.25">
      <c r="A261" s="4"/>
      <c r="B261" s="23"/>
      <c r="C261" s="4"/>
      <c r="D261" s="4"/>
      <c r="E261" s="5"/>
      <c r="F261" s="4"/>
      <c r="G261" s="4"/>
      <c r="H261" s="4"/>
      <c r="I261" s="4"/>
      <c r="J261" s="4"/>
      <c r="K261" s="4"/>
      <c r="L261" s="4"/>
      <c r="M261" s="4"/>
      <c r="N261" s="4"/>
      <c r="O261" s="4"/>
      <c r="P261" s="4"/>
      <c r="Q261" s="4"/>
      <c r="R261" s="4"/>
    </row>
    <row r="262" spans="1:18" ht="17.399999999999999" x14ac:dyDescent="0.25">
      <c r="A262" s="4"/>
      <c r="B262" s="23"/>
      <c r="C262" s="4"/>
      <c r="D262" s="4"/>
      <c r="E262" s="5"/>
      <c r="F262" s="4"/>
      <c r="G262" s="4"/>
      <c r="H262" s="4"/>
      <c r="I262" s="4"/>
      <c r="J262" s="4"/>
      <c r="K262" s="4"/>
      <c r="L262" s="4"/>
      <c r="M262" s="4"/>
      <c r="N262" s="4"/>
      <c r="O262" s="4"/>
      <c r="P262" s="4"/>
      <c r="Q262" s="4"/>
      <c r="R262" s="4"/>
    </row>
    <row r="263" spans="1:18" ht="17.399999999999999" x14ac:dyDescent="0.25">
      <c r="A263" s="4"/>
      <c r="B263" s="23"/>
      <c r="C263" s="4"/>
      <c r="D263" s="4"/>
      <c r="E263" s="5"/>
      <c r="F263" s="4"/>
      <c r="G263" s="4"/>
      <c r="H263" s="4"/>
      <c r="I263" s="4"/>
      <c r="J263" s="4"/>
      <c r="K263" s="4"/>
      <c r="L263" s="4"/>
      <c r="M263" s="4"/>
      <c r="N263" s="4"/>
      <c r="O263" s="4"/>
      <c r="P263" s="4"/>
      <c r="Q263" s="4"/>
      <c r="R263" s="4"/>
    </row>
    <row r="264" spans="1:18" ht="17.399999999999999" x14ac:dyDescent="0.25">
      <c r="A264" s="4"/>
      <c r="B264" s="23"/>
      <c r="C264" s="4"/>
      <c r="D264" s="4"/>
      <c r="E264" s="5"/>
      <c r="F264" s="4"/>
      <c r="G264" s="4"/>
      <c r="H264" s="4"/>
      <c r="I264" s="4"/>
      <c r="J264" s="4"/>
      <c r="K264" s="4"/>
      <c r="L264" s="4"/>
      <c r="M264" s="4"/>
      <c r="N264" s="4"/>
      <c r="O264" s="4"/>
      <c r="P264" s="4"/>
      <c r="Q264" s="4"/>
      <c r="R264" s="4"/>
    </row>
    <row r="265" spans="1:18" ht="17.399999999999999" x14ac:dyDescent="0.25">
      <c r="A265" s="4"/>
      <c r="B265" s="23"/>
      <c r="C265" s="4"/>
      <c r="D265" s="4"/>
      <c r="E265" s="5"/>
      <c r="F265" s="4"/>
      <c r="G265" s="4"/>
      <c r="H265" s="4"/>
      <c r="I265" s="4"/>
      <c r="J265" s="4"/>
      <c r="K265" s="4"/>
      <c r="L265" s="4"/>
      <c r="M265" s="4"/>
      <c r="N265" s="4"/>
      <c r="O265" s="4"/>
      <c r="P265" s="4"/>
      <c r="Q265" s="4"/>
      <c r="R265" s="4"/>
    </row>
    <row r="266" spans="1:18" ht="17.399999999999999" x14ac:dyDescent="0.25">
      <c r="A266" s="4"/>
      <c r="B266" s="23"/>
      <c r="C266" s="4"/>
      <c r="D266" s="4"/>
      <c r="E266" s="5"/>
      <c r="F266" s="4"/>
      <c r="G266" s="4"/>
      <c r="H266" s="4"/>
      <c r="I266" s="4"/>
      <c r="J266" s="4"/>
      <c r="K266" s="4"/>
      <c r="L266" s="4"/>
      <c r="M266" s="4"/>
      <c r="N266" s="4"/>
      <c r="O266" s="4"/>
      <c r="P266" s="4"/>
      <c r="Q266" s="4"/>
      <c r="R266" s="4"/>
    </row>
    <row r="267" spans="1:18" ht="17.399999999999999" x14ac:dyDescent="0.25">
      <c r="A267" s="4"/>
      <c r="B267" s="23"/>
      <c r="C267" s="4"/>
      <c r="D267" s="4"/>
      <c r="E267" s="5"/>
      <c r="F267" s="4"/>
      <c r="G267" s="4"/>
      <c r="H267" s="4"/>
      <c r="I267" s="4"/>
      <c r="J267" s="4"/>
      <c r="K267" s="4"/>
      <c r="L267" s="4"/>
      <c r="M267" s="4"/>
      <c r="N267" s="4"/>
      <c r="O267" s="4"/>
      <c r="P267" s="4"/>
      <c r="Q267" s="4"/>
      <c r="R267" s="4"/>
    </row>
    <row r="268" spans="1:18" ht="17.399999999999999" x14ac:dyDescent="0.25">
      <c r="A268" s="4"/>
      <c r="B268" s="23"/>
      <c r="C268" s="4"/>
      <c r="D268" s="4"/>
      <c r="E268" s="5"/>
      <c r="F268" s="4"/>
      <c r="G268" s="4"/>
      <c r="H268" s="4"/>
      <c r="I268" s="4"/>
      <c r="J268" s="4"/>
      <c r="K268" s="4"/>
      <c r="L268" s="4"/>
      <c r="M268" s="4"/>
      <c r="N268" s="4"/>
      <c r="O268" s="4"/>
      <c r="P268" s="4"/>
      <c r="Q268" s="4"/>
      <c r="R268" s="4"/>
    </row>
    <row r="269" spans="1:18" ht="17.399999999999999" x14ac:dyDescent="0.25">
      <c r="A269" s="4"/>
      <c r="B269" s="23"/>
      <c r="C269" s="4"/>
      <c r="D269" s="4"/>
      <c r="E269" s="5"/>
      <c r="F269" s="4"/>
      <c r="G269" s="4"/>
      <c r="H269" s="4"/>
      <c r="I269" s="4"/>
      <c r="J269" s="4"/>
      <c r="K269" s="4"/>
      <c r="L269" s="4"/>
      <c r="M269" s="4"/>
      <c r="N269" s="4"/>
      <c r="O269" s="4"/>
      <c r="P269" s="4"/>
      <c r="Q269" s="4"/>
      <c r="R269" s="4"/>
    </row>
    <row r="270" spans="1:18" ht="17.399999999999999" x14ac:dyDescent="0.25">
      <c r="A270" s="4"/>
      <c r="B270" s="23"/>
      <c r="C270" s="4"/>
      <c r="D270" s="4"/>
      <c r="E270" s="5"/>
      <c r="F270" s="4"/>
      <c r="G270" s="4"/>
      <c r="H270" s="4"/>
      <c r="I270" s="4"/>
      <c r="J270" s="4"/>
      <c r="K270" s="4"/>
      <c r="L270" s="4"/>
      <c r="M270" s="4"/>
      <c r="N270" s="4"/>
      <c r="O270" s="4"/>
      <c r="P270" s="4"/>
      <c r="Q270" s="4"/>
      <c r="R270" s="4"/>
    </row>
    <row r="271" spans="1:18" ht="17.399999999999999" x14ac:dyDescent="0.25">
      <c r="A271" s="4"/>
      <c r="B271" s="23"/>
      <c r="C271" s="4"/>
      <c r="D271" s="4"/>
      <c r="E271" s="5"/>
      <c r="F271" s="4"/>
      <c r="G271" s="4"/>
      <c r="H271" s="4"/>
      <c r="I271" s="4"/>
      <c r="J271" s="4"/>
      <c r="K271" s="4"/>
      <c r="L271" s="4"/>
      <c r="M271" s="4"/>
      <c r="N271" s="4"/>
      <c r="O271" s="4"/>
      <c r="P271" s="4"/>
      <c r="Q271" s="4"/>
      <c r="R271" s="4"/>
    </row>
    <row r="272" spans="1:18" ht="17.399999999999999" x14ac:dyDescent="0.25">
      <c r="A272" s="4"/>
      <c r="B272" s="23"/>
      <c r="C272" s="4"/>
      <c r="D272" s="4"/>
      <c r="E272" s="5"/>
      <c r="F272" s="4"/>
      <c r="G272" s="4"/>
      <c r="H272" s="4"/>
      <c r="I272" s="4"/>
      <c r="J272" s="4"/>
      <c r="K272" s="4"/>
      <c r="L272" s="4"/>
      <c r="M272" s="4"/>
      <c r="N272" s="4"/>
      <c r="O272" s="4"/>
      <c r="P272" s="4"/>
      <c r="Q272" s="4"/>
      <c r="R272" s="4"/>
    </row>
    <row r="273" spans="1:18" ht="17.399999999999999" x14ac:dyDescent="0.25">
      <c r="A273" s="4"/>
      <c r="B273" s="23"/>
      <c r="C273" s="4"/>
      <c r="D273" s="4"/>
      <c r="E273" s="5"/>
      <c r="F273" s="4"/>
      <c r="G273" s="4"/>
      <c r="H273" s="4"/>
      <c r="I273" s="4"/>
      <c r="J273" s="4"/>
      <c r="K273" s="4"/>
      <c r="L273" s="4"/>
      <c r="M273" s="4"/>
      <c r="N273" s="4"/>
      <c r="O273" s="4"/>
      <c r="P273" s="4"/>
      <c r="Q273" s="4"/>
      <c r="R273" s="4"/>
    </row>
    <row r="274" spans="1:18" ht="17.399999999999999" x14ac:dyDescent="0.25">
      <c r="A274" s="4"/>
      <c r="B274" s="23"/>
      <c r="C274" s="4"/>
      <c r="D274" s="4"/>
      <c r="E274" s="5"/>
      <c r="F274" s="4"/>
      <c r="G274" s="4"/>
      <c r="H274" s="4"/>
      <c r="I274" s="4"/>
      <c r="J274" s="4"/>
      <c r="K274" s="4"/>
      <c r="L274" s="4"/>
      <c r="M274" s="4"/>
      <c r="N274" s="4"/>
      <c r="O274" s="4"/>
      <c r="P274" s="4"/>
      <c r="Q274" s="4"/>
      <c r="R274" s="4"/>
    </row>
    <row r="275" spans="1:18" ht="17.399999999999999" x14ac:dyDescent="0.25">
      <c r="A275" s="4"/>
      <c r="B275" s="23"/>
      <c r="C275" s="4"/>
      <c r="D275" s="4"/>
      <c r="E275" s="5"/>
      <c r="F275" s="4"/>
      <c r="G275" s="4"/>
      <c r="H275" s="4"/>
      <c r="I275" s="4"/>
      <c r="J275" s="4"/>
      <c r="K275" s="4"/>
      <c r="L275" s="4"/>
      <c r="M275" s="4"/>
      <c r="N275" s="4"/>
      <c r="O275" s="4"/>
      <c r="P275" s="4"/>
      <c r="Q275" s="4"/>
      <c r="R275" s="4"/>
    </row>
    <row r="276" spans="1:18" ht="17.399999999999999" x14ac:dyDescent="0.25">
      <c r="A276" s="4"/>
      <c r="B276" s="23"/>
      <c r="C276" s="4"/>
      <c r="D276" s="4"/>
      <c r="E276" s="5"/>
      <c r="F276" s="4"/>
      <c r="G276" s="4"/>
      <c r="H276" s="4"/>
      <c r="I276" s="4"/>
      <c r="J276" s="4"/>
      <c r="K276" s="4"/>
      <c r="L276" s="4"/>
      <c r="M276" s="4"/>
      <c r="N276" s="4"/>
      <c r="O276" s="4"/>
      <c r="P276" s="4"/>
      <c r="Q276" s="4"/>
      <c r="R276" s="4"/>
    </row>
    <row r="277" spans="1:18" ht="17.399999999999999" x14ac:dyDescent="0.25">
      <c r="A277" s="4"/>
      <c r="B277" s="23"/>
      <c r="C277" s="4"/>
      <c r="D277" s="4"/>
      <c r="E277" s="5"/>
      <c r="F277" s="4"/>
      <c r="G277" s="4"/>
      <c r="H277" s="4"/>
      <c r="I277" s="4"/>
      <c r="J277" s="4"/>
      <c r="K277" s="4"/>
      <c r="L277" s="4"/>
      <c r="M277" s="4"/>
      <c r="N277" s="4"/>
      <c r="O277" s="4"/>
      <c r="P277" s="4"/>
      <c r="Q277" s="4"/>
      <c r="R277" s="4"/>
    </row>
    <row r="278" spans="1:18" ht="17.399999999999999" x14ac:dyDescent="0.25">
      <c r="A278" s="4"/>
      <c r="B278" s="23"/>
      <c r="C278" s="4"/>
      <c r="D278" s="4"/>
      <c r="E278" s="5"/>
      <c r="F278" s="4"/>
      <c r="G278" s="4"/>
      <c r="H278" s="4"/>
      <c r="I278" s="4"/>
      <c r="J278" s="4"/>
      <c r="K278" s="4"/>
      <c r="L278" s="4"/>
      <c r="M278" s="4"/>
      <c r="N278" s="4"/>
      <c r="O278" s="4"/>
      <c r="P278" s="4"/>
      <c r="Q278" s="4"/>
      <c r="R278" s="4"/>
    </row>
    <row r="279" spans="1:18" ht="17.399999999999999" x14ac:dyDescent="0.25">
      <c r="A279" s="4"/>
      <c r="B279" s="23"/>
      <c r="C279" s="4"/>
      <c r="D279" s="4"/>
      <c r="E279" s="5"/>
      <c r="F279" s="4"/>
      <c r="G279" s="4"/>
      <c r="H279" s="4"/>
      <c r="I279" s="4"/>
      <c r="J279" s="4"/>
      <c r="K279" s="4"/>
      <c r="L279" s="4"/>
      <c r="M279" s="4"/>
      <c r="N279" s="4"/>
      <c r="O279" s="4"/>
      <c r="P279" s="4"/>
      <c r="Q279" s="4"/>
      <c r="R279" s="4"/>
    </row>
    <row r="280" spans="1:18" ht="17.399999999999999" x14ac:dyDescent="0.25">
      <c r="A280" s="4"/>
      <c r="B280" s="23"/>
      <c r="C280" s="4"/>
      <c r="D280" s="4"/>
      <c r="E280" s="5"/>
      <c r="F280" s="4"/>
      <c r="G280" s="4"/>
      <c r="H280" s="4"/>
      <c r="I280" s="4"/>
      <c r="J280" s="4"/>
      <c r="K280" s="4"/>
      <c r="L280" s="4"/>
      <c r="M280" s="4"/>
      <c r="N280" s="4"/>
      <c r="O280" s="4"/>
      <c r="P280" s="4"/>
      <c r="Q280" s="4"/>
      <c r="R280" s="4"/>
    </row>
    <row r="281" spans="1:18" ht="17.399999999999999" x14ac:dyDescent="0.25">
      <c r="A281" s="4"/>
      <c r="B281" s="23"/>
      <c r="C281" s="4"/>
      <c r="D281" s="4"/>
      <c r="E281" s="5"/>
      <c r="F281" s="4"/>
      <c r="G281" s="4"/>
      <c r="H281" s="4"/>
      <c r="I281" s="4"/>
      <c r="J281" s="4"/>
      <c r="K281" s="4"/>
      <c r="L281" s="4"/>
      <c r="M281" s="4"/>
      <c r="N281" s="4"/>
      <c r="O281" s="4"/>
      <c r="P281" s="4"/>
      <c r="Q281" s="4"/>
      <c r="R281" s="4"/>
    </row>
    <row r="282" spans="1:18" ht="17.399999999999999" x14ac:dyDescent="0.25">
      <c r="A282" s="4"/>
      <c r="B282" s="23"/>
      <c r="C282" s="4"/>
      <c r="D282" s="4"/>
      <c r="E282" s="5"/>
      <c r="F282" s="4"/>
      <c r="G282" s="4"/>
      <c r="H282" s="4"/>
      <c r="I282" s="4"/>
      <c r="J282" s="4"/>
      <c r="K282" s="4"/>
      <c r="L282" s="4"/>
      <c r="M282" s="4"/>
      <c r="N282" s="4"/>
      <c r="O282" s="4"/>
      <c r="P282" s="4"/>
      <c r="Q282" s="4"/>
      <c r="R282" s="4"/>
    </row>
    <row r="283" spans="1:18" ht="17.399999999999999" x14ac:dyDescent="0.25">
      <c r="A283" s="4"/>
      <c r="B283" s="23"/>
      <c r="C283" s="4"/>
      <c r="D283" s="4"/>
      <c r="E283" s="5"/>
      <c r="F283" s="4"/>
      <c r="G283" s="4"/>
      <c r="H283" s="4"/>
      <c r="I283" s="4"/>
      <c r="J283" s="4"/>
      <c r="K283" s="4"/>
      <c r="L283" s="4"/>
      <c r="M283" s="4"/>
      <c r="N283" s="4"/>
      <c r="O283" s="4"/>
      <c r="P283" s="4"/>
      <c r="Q283" s="4"/>
      <c r="R283" s="4"/>
    </row>
    <row r="284" spans="1:18" ht="17.399999999999999" x14ac:dyDescent="0.25">
      <c r="A284" s="4"/>
      <c r="B284" s="23"/>
      <c r="C284" s="4"/>
      <c r="D284" s="4"/>
      <c r="E284" s="5"/>
      <c r="F284" s="4"/>
      <c r="G284" s="4"/>
      <c r="H284" s="4"/>
      <c r="I284" s="4"/>
      <c r="J284" s="4"/>
      <c r="K284" s="4"/>
      <c r="L284" s="4"/>
      <c r="M284" s="4"/>
      <c r="N284" s="4"/>
      <c r="O284" s="4"/>
      <c r="P284" s="4"/>
      <c r="Q284" s="4"/>
      <c r="R284" s="4"/>
    </row>
    <row r="285" spans="1:18" ht="17.399999999999999" x14ac:dyDescent="0.25">
      <c r="A285" s="4"/>
      <c r="B285" s="23"/>
      <c r="C285" s="4"/>
      <c r="D285" s="4"/>
      <c r="E285" s="5"/>
      <c r="F285" s="4"/>
      <c r="G285" s="4"/>
      <c r="H285" s="4"/>
      <c r="I285" s="4"/>
      <c r="J285" s="4"/>
      <c r="K285" s="4"/>
      <c r="L285" s="4"/>
      <c r="M285" s="4"/>
      <c r="N285" s="4"/>
      <c r="O285" s="4"/>
      <c r="P285" s="4"/>
      <c r="Q285" s="4"/>
      <c r="R285" s="4"/>
    </row>
    <row r="286" spans="1:18" ht="17.399999999999999" x14ac:dyDescent="0.25">
      <c r="A286" s="4"/>
      <c r="B286" s="23"/>
      <c r="C286" s="4"/>
      <c r="D286" s="4"/>
      <c r="E286" s="5"/>
      <c r="F286" s="4"/>
      <c r="G286" s="4"/>
      <c r="H286" s="4"/>
      <c r="I286" s="4"/>
      <c r="J286" s="4"/>
      <c r="K286" s="4"/>
      <c r="L286" s="4"/>
      <c r="M286" s="4"/>
      <c r="N286" s="4"/>
      <c r="O286" s="4"/>
      <c r="P286" s="4"/>
      <c r="Q286" s="4"/>
      <c r="R286" s="4"/>
    </row>
    <row r="287" spans="1:18" ht="17.399999999999999" x14ac:dyDescent="0.25">
      <c r="A287" s="4"/>
      <c r="B287" s="23"/>
      <c r="C287" s="4"/>
      <c r="D287" s="4"/>
      <c r="E287" s="5"/>
      <c r="F287" s="4"/>
      <c r="G287" s="4"/>
      <c r="H287" s="4"/>
      <c r="I287" s="4"/>
      <c r="J287" s="4"/>
      <c r="K287" s="4"/>
      <c r="L287" s="4"/>
      <c r="M287" s="4"/>
      <c r="N287" s="4"/>
      <c r="O287" s="4"/>
      <c r="P287" s="4"/>
      <c r="Q287" s="4"/>
      <c r="R287" s="4"/>
    </row>
    <row r="288" spans="1:18" ht="17.399999999999999" x14ac:dyDescent="0.25">
      <c r="A288" s="4"/>
      <c r="B288" s="23"/>
      <c r="C288" s="4"/>
      <c r="D288" s="4"/>
      <c r="E288" s="5"/>
      <c r="F288" s="4"/>
      <c r="G288" s="4"/>
      <c r="H288" s="4"/>
      <c r="I288" s="4"/>
      <c r="J288" s="4"/>
      <c r="K288" s="4"/>
      <c r="L288" s="4"/>
      <c r="M288" s="4"/>
      <c r="N288" s="4"/>
      <c r="O288" s="4"/>
      <c r="P288" s="4"/>
      <c r="Q288" s="4"/>
      <c r="R288" s="4"/>
    </row>
    <row r="289" spans="1:18" ht="17.399999999999999" x14ac:dyDescent="0.25">
      <c r="A289" s="4"/>
      <c r="B289" s="23"/>
      <c r="C289" s="4"/>
      <c r="D289" s="4"/>
      <c r="E289" s="5"/>
      <c r="F289" s="4"/>
      <c r="G289" s="4"/>
      <c r="H289" s="4"/>
      <c r="I289" s="4"/>
      <c r="J289" s="4"/>
      <c r="K289" s="4"/>
      <c r="L289" s="4"/>
      <c r="M289" s="4"/>
      <c r="N289" s="4"/>
      <c r="O289" s="4"/>
      <c r="P289" s="4"/>
      <c r="Q289" s="4"/>
      <c r="R289" s="4"/>
    </row>
    <row r="290" spans="1:18" ht="17.399999999999999" x14ac:dyDescent="0.25">
      <c r="A290" s="4"/>
      <c r="B290" s="23"/>
      <c r="C290" s="4"/>
      <c r="D290" s="4"/>
      <c r="E290" s="5"/>
      <c r="F290" s="4"/>
      <c r="G290" s="4"/>
      <c r="H290" s="4"/>
      <c r="I290" s="4"/>
      <c r="J290" s="4"/>
      <c r="K290" s="4"/>
      <c r="L290" s="4"/>
      <c r="M290" s="4"/>
      <c r="N290" s="4"/>
      <c r="O290" s="4"/>
      <c r="P290" s="4"/>
      <c r="Q290" s="4"/>
      <c r="R290" s="4"/>
    </row>
    <row r="291" spans="1:18" ht="17.399999999999999" x14ac:dyDescent="0.25">
      <c r="A291" s="4"/>
      <c r="B291" s="23"/>
      <c r="C291" s="4"/>
      <c r="D291" s="4"/>
      <c r="E291" s="5"/>
      <c r="F291" s="4"/>
      <c r="G291" s="4"/>
      <c r="H291" s="4"/>
      <c r="I291" s="4"/>
      <c r="J291" s="4"/>
      <c r="K291" s="4"/>
      <c r="L291" s="4"/>
      <c r="M291" s="4"/>
      <c r="N291" s="4"/>
      <c r="O291" s="4"/>
      <c r="P291" s="4"/>
      <c r="Q291" s="4"/>
      <c r="R291" s="4"/>
    </row>
    <row r="292" spans="1:18" ht="17.399999999999999" x14ac:dyDescent="0.25">
      <c r="A292" s="4"/>
      <c r="B292" s="23"/>
      <c r="C292" s="4"/>
      <c r="D292" s="4"/>
      <c r="E292" s="5"/>
      <c r="F292" s="4"/>
      <c r="G292" s="4"/>
      <c r="H292" s="4"/>
      <c r="I292" s="4"/>
      <c r="J292" s="4"/>
      <c r="K292" s="4"/>
      <c r="L292" s="4"/>
      <c r="M292" s="4"/>
      <c r="N292" s="4"/>
      <c r="O292" s="4"/>
      <c r="P292" s="4"/>
      <c r="Q292" s="4"/>
      <c r="R292" s="4"/>
    </row>
    <row r="293" spans="1:18" ht="17.399999999999999" x14ac:dyDescent="0.25">
      <c r="A293" s="4"/>
      <c r="B293" s="23"/>
      <c r="C293" s="4"/>
      <c r="D293" s="4"/>
      <c r="E293" s="5"/>
      <c r="F293" s="4"/>
      <c r="G293" s="4"/>
      <c r="H293" s="4"/>
      <c r="I293" s="4"/>
      <c r="J293" s="4"/>
      <c r="K293" s="4"/>
      <c r="L293" s="4"/>
      <c r="M293" s="4"/>
      <c r="N293" s="4"/>
      <c r="O293" s="4"/>
      <c r="P293" s="4"/>
      <c r="Q293" s="4"/>
      <c r="R293" s="4"/>
    </row>
    <row r="294" spans="1:18" ht="17.399999999999999" x14ac:dyDescent="0.25">
      <c r="A294" s="4"/>
      <c r="B294" s="23"/>
      <c r="C294" s="4"/>
      <c r="D294" s="4"/>
      <c r="E294" s="5"/>
      <c r="F294" s="4"/>
      <c r="G294" s="4"/>
      <c r="H294" s="4"/>
      <c r="I294" s="4"/>
      <c r="J294" s="4"/>
      <c r="K294" s="4"/>
      <c r="L294" s="4"/>
      <c r="M294" s="4"/>
      <c r="N294" s="4"/>
      <c r="O294" s="4"/>
      <c r="P294" s="4"/>
      <c r="Q294" s="4"/>
      <c r="R294" s="4"/>
    </row>
    <row r="295" spans="1:18" ht="17.399999999999999" x14ac:dyDescent="0.25">
      <c r="A295" s="4"/>
      <c r="B295" s="23"/>
      <c r="C295" s="4"/>
      <c r="D295" s="4"/>
      <c r="E295" s="5"/>
      <c r="F295" s="4"/>
      <c r="G295" s="4"/>
      <c r="H295" s="4"/>
      <c r="I295" s="4"/>
      <c r="J295" s="4"/>
      <c r="K295" s="4"/>
      <c r="L295" s="4"/>
      <c r="M295" s="4"/>
      <c r="N295" s="4"/>
      <c r="O295" s="4"/>
      <c r="P295" s="4"/>
      <c r="Q295" s="4"/>
      <c r="R295" s="4"/>
    </row>
    <row r="296" spans="1:18" ht="17.399999999999999" x14ac:dyDescent="0.25">
      <c r="A296" s="4"/>
      <c r="B296" s="23"/>
      <c r="C296" s="4"/>
      <c r="D296" s="4"/>
      <c r="E296" s="5"/>
      <c r="F296" s="4"/>
      <c r="G296" s="4"/>
      <c r="H296" s="4"/>
      <c r="I296" s="4"/>
      <c r="J296" s="4"/>
      <c r="K296" s="4"/>
      <c r="L296" s="4"/>
      <c r="M296" s="4"/>
      <c r="N296" s="4"/>
      <c r="O296" s="4"/>
      <c r="P296" s="4"/>
      <c r="Q296" s="4"/>
      <c r="R296" s="4"/>
    </row>
    <row r="297" spans="1:18" ht="17.399999999999999" x14ac:dyDescent="0.25">
      <c r="A297" s="4"/>
      <c r="B297" s="23"/>
      <c r="C297" s="4"/>
      <c r="D297" s="4"/>
      <c r="E297" s="5"/>
      <c r="F297" s="4"/>
      <c r="G297" s="4"/>
      <c r="H297" s="4"/>
      <c r="I297" s="4"/>
      <c r="J297" s="4"/>
      <c r="K297" s="4"/>
      <c r="L297" s="4"/>
      <c r="M297" s="4"/>
      <c r="N297" s="4"/>
      <c r="O297" s="4"/>
      <c r="P297" s="4"/>
      <c r="Q297" s="4"/>
      <c r="R297" s="4"/>
    </row>
    <row r="298" spans="1:18" ht="17.399999999999999" x14ac:dyDescent="0.25">
      <c r="A298" s="4"/>
      <c r="B298" s="23"/>
      <c r="C298" s="4"/>
      <c r="D298" s="4"/>
      <c r="E298" s="5"/>
      <c r="F298" s="4"/>
      <c r="G298" s="4"/>
      <c r="H298" s="4"/>
      <c r="I298" s="4"/>
      <c r="J298" s="4"/>
      <c r="K298" s="4"/>
      <c r="L298" s="4"/>
      <c r="M298" s="4"/>
      <c r="N298" s="4"/>
      <c r="O298" s="4"/>
      <c r="P298" s="4"/>
      <c r="Q298" s="4"/>
      <c r="R298" s="4"/>
    </row>
    <row r="299" spans="1:18" ht="17.399999999999999" x14ac:dyDescent="0.25">
      <c r="A299" s="4"/>
      <c r="B299" s="23"/>
      <c r="C299" s="4"/>
      <c r="D299" s="4"/>
      <c r="E299" s="5"/>
      <c r="F299" s="4"/>
      <c r="G299" s="4"/>
      <c r="H299" s="4"/>
      <c r="I299" s="4"/>
      <c r="J299" s="4"/>
      <c r="K299" s="4"/>
      <c r="L299" s="4"/>
      <c r="M299" s="4"/>
      <c r="N299" s="4"/>
      <c r="O299" s="4"/>
      <c r="P299" s="4"/>
      <c r="Q299" s="4"/>
      <c r="R299" s="4"/>
    </row>
    <row r="300" spans="1:18" ht="17.399999999999999" x14ac:dyDescent="0.25">
      <c r="A300" s="4"/>
      <c r="B300" s="23"/>
      <c r="C300" s="4"/>
      <c r="D300" s="4"/>
      <c r="E300" s="5"/>
      <c r="F300" s="4"/>
      <c r="G300" s="4"/>
      <c r="H300" s="4"/>
      <c r="I300" s="4"/>
      <c r="J300" s="4"/>
      <c r="K300" s="4"/>
      <c r="L300" s="4"/>
      <c r="M300" s="4"/>
      <c r="N300" s="4"/>
      <c r="O300" s="4"/>
      <c r="P300" s="4"/>
      <c r="Q300" s="4"/>
      <c r="R300" s="4"/>
    </row>
    <row r="301" spans="1:18" ht="17.399999999999999" x14ac:dyDescent="0.25">
      <c r="A301" s="4"/>
      <c r="B301" s="23"/>
      <c r="C301" s="4"/>
      <c r="D301" s="4"/>
      <c r="E301" s="5"/>
      <c r="F301" s="4"/>
      <c r="G301" s="4"/>
      <c r="H301" s="4"/>
      <c r="I301" s="4"/>
      <c r="J301" s="4"/>
      <c r="K301" s="4"/>
      <c r="L301" s="4"/>
      <c r="M301" s="4"/>
      <c r="N301" s="4"/>
      <c r="O301" s="4"/>
      <c r="P301" s="4"/>
      <c r="Q301" s="4"/>
      <c r="R301" s="4"/>
    </row>
    <row r="302" spans="1:18" ht="17.399999999999999" x14ac:dyDescent="0.25">
      <c r="A302" s="4"/>
      <c r="B302" s="23"/>
      <c r="C302" s="4"/>
      <c r="D302" s="4"/>
      <c r="E302" s="5"/>
      <c r="F302" s="4"/>
      <c r="G302" s="4"/>
      <c r="H302" s="4"/>
      <c r="I302" s="4"/>
      <c r="J302" s="4"/>
      <c r="K302" s="4"/>
      <c r="L302" s="4"/>
      <c r="M302" s="4"/>
      <c r="N302" s="4"/>
      <c r="O302" s="4"/>
      <c r="P302" s="4"/>
      <c r="Q302" s="4"/>
      <c r="R302" s="4"/>
    </row>
    <row r="303" spans="1:18" ht="17.399999999999999" x14ac:dyDescent="0.25">
      <c r="A303" s="4"/>
      <c r="B303" s="23"/>
      <c r="C303" s="4"/>
      <c r="D303" s="4"/>
      <c r="E303" s="5"/>
      <c r="F303" s="4"/>
      <c r="G303" s="4"/>
      <c r="H303" s="4"/>
      <c r="I303" s="4"/>
      <c r="J303" s="4"/>
      <c r="K303" s="4"/>
      <c r="L303" s="4"/>
      <c r="M303" s="4"/>
      <c r="N303" s="4"/>
      <c r="O303" s="4"/>
      <c r="P303" s="4"/>
      <c r="Q303" s="4"/>
      <c r="R303" s="4"/>
    </row>
    <row r="304" spans="1:18" ht="17.399999999999999" x14ac:dyDescent="0.25">
      <c r="A304" s="4"/>
      <c r="B304" s="23"/>
      <c r="C304" s="4"/>
      <c r="D304" s="4"/>
      <c r="E304" s="5"/>
      <c r="F304" s="4"/>
      <c r="G304" s="4"/>
      <c r="H304" s="4"/>
      <c r="I304" s="4"/>
      <c r="J304" s="4"/>
      <c r="K304" s="4"/>
      <c r="L304" s="4"/>
      <c r="M304" s="4"/>
      <c r="N304" s="4"/>
      <c r="O304" s="4"/>
      <c r="P304" s="4"/>
      <c r="Q304" s="4"/>
      <c r="R304" s="4"/>
    </row>
    <row r="305" spans="1:18" ht="17.399999999999999" x14ac:dyDescent="0.25">
      <c r="A305" s="4"/>
      <c r="B305" s="23"/>
      <c r="C305" s="4"/>
      <c r="D305" s="4"/>
      <c r="E305" s="5"/>
      <c r="F305" s="4"/>
      <c r="G305" s="4"/>
      <c r="H305" s="4"/>
      <c r="I305" s="4"/>
      <c r="J305" s="4"/>
      <c r="K305" s="4"/>
      <c r="L305" s="4"/>
      <c r="M305" s="4"/>
      <c r="N305" s="4"/>
      <c r="O305" s="4"/>
      <c r="P305" s="4"/>
      <c r="Q305" s="4"/>
      <c r="R305" s="4"/>
    </row>
    <row r="306" spans="1:18" ht="17.399999999999999" x14ac:dyDescent="0.25">
      <c r="A306" s="4"/>
      <c r="B306" s="23"/>
      <c r="C306" s="4"/>
      <c r="D306" s="4"/>
      <c r="E306" s="5"/>
      <c r="F306" s="4"/>
      <c r="G306" s="4"/>
      <c r="H306" s="4"/>
      <c r="I306" s="4"/>
      <c r="J306" s="4"/>
      <c r="K306" s="4"/>
      <c r="L306" s="4"/>
      <c r="M306" s="4"/>
      <c r="N306" s="4"/>
      <c r="O306" s="4"/>
      <c r="P306" s="4"/>
      <c r="Q306" s="4"/>
      <c r="R306" s="4"/>
    </row>
    <row r="307" spans="1:18" ht="17.399999999999999" x14ac:dyDescent="0.25">
      <c r="A307" s="4"/>
      <c r="B307" s="23"/>
      <c r="C307" s="4"/>
      <c r="D307" s="4"/>
      <c r="E307" s="5"/>
      <c r="F307" s="4"/>
      <c r="G307" s="4"/>
      <c r="H307" s="4"/>
      <c r="I307" s="4"/>
      <c r="J307" s="4"/>
      <c r="K307" s="4"/>
      <c r="L307" s="4"/>
      <c r="M307" s="4"/>
      <c r="N307" s="4"/>
      <c r="O307" s="4"/>
      <c r="P307" s="4"/>
      <c r="Q307" s="4"/>
      <c r="R307" s="4"/>
    </row>
    <row r="308" spans="1:18" ht="17.399999999999999" x14ac:dyDescent="0.25">
      <c r="A308" s="4"/>
      <c r="B308" s="23"/>
      <c r="C308" s="4"/>
      <c r="D308" s="4"/>
      <c r="E308" s="5"/>
      <c r="F308" s="4"/>
      <c r="G308" s="4"/>
      <c r="H308" s="4"/>
      <c r="I308" s="4"/>
      <c r="J308" s="4"/>
      <c r="K308" s="4"/>
      <c r="L308" s="4"/>
      <c r="M308" s="4"/>
      <c r="N308" s="4"/>
      <c r="O308" s="4"/>
      <c r="P308" s="4"/>
      <c r="Q308" s="4"/>
      <c r="R308" s="4"/>
    </row>
    <row r="309" spans="1:18" ht="17.399999999999999" x14ac:dyDescent="0.25">
      <c r="A309" s="4"/>
      <c r="B309" s="23"/>
      <c r="C309" s="4"/>
      <c r="D309" s="4"/>
      <c r="E309" s="5"/>
      <c r="F309" s="4"/>
      <c r="G309" s="4"/>
      <c r="H309" s="4"/>
      <c r="I309" s="4"/>
      <c r="J309" s="4"/>
      <c r="K309" s="4"/>
      <c r="L309" s="4"/>
      <c r="M309" s="4"/>
      <c r="N309" s="4"/>
      <c r="O309" s="4"/>
      <c r="P309" s="4"/>
      <c r="Q309" s="4"/>
      <c r="R309" s="4"/>
    </row>
    <row r="310" spans="1:18" ht="17.399999999999999" x14ac:dyDescent="0.25">
      <c r="A310" s="4"/>
      <c r="B310" s="23"/>
      <c r="C310" s="4"/>
      <c r="D310" s="4"/>
      <c r="E310" s="5"/>
      <c r="F310" s="4"/>
      <c r="G310" s="4"/>
      <c r="H310" s="4"/>
      <c r="I310" s="4"/>
      <c r="J310" s="4"/>
      <c r="K310" s="4"/>
      <c r="L310" s="4"/>
      <c r="M310" s="4"/>
      <c r="N310" s="4"/>
      <c r="O310" s="4"/>
      <c r="P310" s="4"/>
      <c r="Q310" s="4"/>
      <c r="R310" s="4"/>
    </row>
    <row r="311" spans="1:18" ht="17.399999999999999" x14ac:dyDescent="0.25">
      <c r="A311" s="4"/>
      <c r="B311" s="23"/>
      <c r="C311" s="4"/>
      <c r="D311" s="4"/>
      <c r="E311" s="5"/>
      <c r="F311" s="4"/>
      <c r="G311" s="4"/>
      <c r="H311" s="4"/>
      <c r="I311" s="4"/>
      <c r="J311" s="4"/>
      <c r="K311" s="4"/>
      <c r="L311" s="4"/>
      <c r="M311" s="4"/>
      <c r="N311" s="4"/>
      <c r="O311" s="4"/>
      <c r="P311" s="4"/>
      <c r="Q311" s="4"/>
      <c r="R311" s="4"/>
    </row>
    <row r="312" spans="1:18" ht="17.399999999999999" x14ac:dyDescent="0.25">
      <c r="A312" s="4"/>
      <c r="B312" s="23"/>
      <c r="C312" s="4"/>
      <c r="D312" s="4"/>
      <c r="E312" s="5"/>
      <c r="F312" s="4"/>
      <c r="G312" s="4"/>
      <c r="H312" s="4"/>
      <c r="I312" s="4"/>
      <c r="J312" s="4"/>
      <c r="K312" s="4"/>
      <c r="L312" s="4"/>
      <c r="M312" s="4"/>
      <c r="N312" s="4"/>
      <c r="O312" s="4"/>
      <c r="P312" s="4"/>
      <c r="Q312" s="4"/>
      <c r="R312" s="4"/>
    </row>
    <row r="313" spans="1:18" ht="17.399999999999999" x14ac:dyDescent="0.25">
      <c r="A313" s="4"/>
      <c r="B313" s="23"/>
      <c r="C313" s="4"/>
      <c r="D313" s="4"/>
      <c r="E313" s="5"/>
      <c r="F313" s="4"/>
      <c r="G313" s="4"/>
      <c r="H313" s="4"/>
      <c r="I313" s="4"/>
      <c r="J313" s="4"/>
      <c r="K313" s="4"/>
      <c r="L313" s="4"/>
      <c r="M313" s="4"/>
      <c r="N313" s="4"/>
      <c r="O313" s="4"/>
      <c r="P313" s="4"/>
      <c r="Q313" s="4"/>
      <c r="R313" s="4"/>
    </row>
    <row r="314" spans="1:18" ht="17.399999999999999" x14ac:dyDescent="0.25">
      <c r="A314" s="4"/>
      <c r="B314" s="23"/>
      <c r="C314" s="4"/>
      <c r="D314" s="4"/>
      <c r="E314" s="5"/>
      <c r="F314" s="4"/>
      <c r="G314" s="4"/>
      <c r="H314" s="4"/>
      <c r="I314" s="4"/>
      <c r="J314" s="4"/>
      <c r="K314" s="4"/>
      <c r="L314" s="4"/>
      <c r="M314" s="4"/>
      <c r="N314" s="4"/>
      <c r="O314" s="4"/>
      <c r="P314" s="4"/>
      <c r="Q314" s="4"/>
      <c r="R314" s="4"/>
    </row>
    <row r="315" spans="1:18" ht="17.399999999999999" x14ac:dyDescent="0.25">
      <c r="A315" s="4"/>
      <c r="B315" s="23"/>
      <c r="C315" s="4"/>
      <c r="D315" s="4"/>
      <c r="E315" s="5"/>
      <c r="F315" s="4"/>
      <c r="G315" s="4"/>
      <c r="H315" s="4"/>
      <c r="I315" s="4"/>
      <c r="J315" s="4"/>
      <c r="K315" s="4"/>
      <c r="L315" s="4"/>
      <c r="M315" s="4"/>
      <c r="N315" s="4"/>
      <c r="O315" s="4"/>
      <c r="P315" s="4"/>
      <c r="Q315" s="4"/>
      <c r="R315" s="4"/>
    </row>
    <row r="316" spans="1:18" ht="17.399999999999999" x14ac:dyDescent="0.25">
      <c r="A316" s="4"/>
      <c r="B316" s="23"/>
      <c r="C316" s="4"/>
      <c r="D316" s="4"/>
      <c r="E316" s="5"/>
      <c r="F316" s="4"/>
      <c r="G316" s="4"/>
      <c r="H316" s="4"/>
      <c r="I316" s="4"/>
      <c r="J316" s="4"/>
      <c r="K316" s="4"/>
      <c r="L316" s="4"/>
      <c r="M316" s="4"/>
      <c r="N316" s="4"/>
      <c r="O316" s="4"/>
      <c r="P316" s="4"/>
      <c r="Q316" s="4"/>
      <c r="R316" s="4"/>
    </row>
    <row r="317" spans="1:18" ht="17.399999999999999" x14ac:dyDescent="0.25">
      <c r="A317" s="4"/>
      <c r="B317" s="23"/>
      <c r="C317" s="4"/>
      <c r="D317" s="4"/>
      <c r="E317" s="5"/>
      <c r="F317" s="4"/>
      <c r="G317" s="4"/>
      <c r="H317" s="4"/>
      <c r="I317" s="4"/>
      <c r="J317" s="4"/>
      <c r="K317" s="4"/>
      <c r="L317" s="4"/>
      <c r="M317" s="4"/>
      <c r="N317" s="4"/>
      <c r="O317" s="4"/>
      <c r="P317" s="4"/>
      <c r="Q317" s="4"/>
      <c r="R317" s="4"/>
    </row>
    <row r="318" spans="1:18" ht="17.399999999999999" x14ac:dyDescent="0.25">
      <c r="A318" s="4"/>
      <c r="B318" s="23"/>
      <c r="C318" s="4"/>
      <c r="D318" s="4"/>
      <c r="E318" s="5"/>
      <c r="F318" s="4"/>
      <c r="G318" s="4"/>
      <c r="H318" s="4"/>
      <c r="I318" s="4"/>
      <c r="J318" s="4"/>
      <c r="K318" s="4"/>
      <c r="L318" s="4"/>
      <c r="M318" s="4"/>
      <c r="N318" s="4"/>
      <c r="O318" s="4"/>
      <c r="P318" s="4"/>
      <c r="Q318" s="4"/>
      <c r="R318" s="4"/>
    </row>
    <row r="319" spans="1:18" ht="17.399999999999999" x14ac:dyDescent="0.25">
      <c r="A319" s="4"/>
      <c r="B319" s="23"/>
      <c r="C319" s="4"/>
      <c r="D319" s="4"/>
      <c r="E319" s="5"/>
      <c r="F319" s="4"/>
      <c r="G319" s="4"/>
      <c r="H319" s="4"/>
      <c r="I319" s="4"/>
      <c r="J319" s="4"/>
      <c r="K319" s="4"/>
      <c r="L319" s="4"/>
      <c r="M319" s="4"/>
      <c r="N319" s="4"/>
      <c r="O319" s="4"/>
      <c r="P319" s="4"/>
      <c r="Q319" s="4"/>
      <c r="R319" s="4"/>
    </row>
    <row r="320" spans="1:18" ht="17.399999999999999" x14ac:dyDescent="0.25">
      <c r="A320" s="4"/>
      <c r="B320" s="23"/>
      <c r="C320" s="4"/>
      <c r="D320" s="4"/>
      <c r="E320" s="5"/>
      <c r="F320" s="4"/>
      <c r="G320" s="4"/>
      <c r="H320" s="4"/>
      <c r="I320" s="4"/>
      <c r="J320" s="4"/>
      <c r="K320" s="4"/>
      <c r="L320" s="4"/>
      <c r="M320" s="4"/>
      <c r="N320" s="4"/>
      <c r="O320" s="4"/>
      <c r="P320" s="4"/>
      <c r="Q320" s="4"/>
      <c r="R320" s="4"/>
    </row>
    <row r="321" spans="1:18" ht="17.399999999999999" x14ac:dyDescent="0.25">
      <c r="A321" s="4"/>
      <c r="B321" s="23"/>
      <c r="C321" s="4"/>
      <c r="D321" s="4"/>
      <c r="E321" s="5"/>
      <c r="F321" s="4"/>
      <c r="G321" s="4"/>
      <c r="H321" s="4"/>
      <c r="I321" s="4"/>
      <c r="J321" s="4"/>
      <c r="K321" s="4"/>
      <c r="L321" s="4"/>
      <c r="M321" s="4"/>
      <c r="N321" s="4"/>
      <c r="O321" s="4"/>
      <c r="P321" s="4"/>
      <c r="Q321" s="4"/>
      <c r="R321" s="4"/>
    </row>
    <row r="322" spans="1:18" ht="17.399999999999999" x14ac:dyDescent="0.25">
      <c r="A322" s="4"/>
      <c r="B322" s="23"/>
      <c r="C322" s="4"/>
      <c r="D322" s="4"/>
      <c r="E322" s="5"/>
      <c r="F322" s="4"/>
      <c r="G322" s="4"/>
      <c r="H322" s="4"/>
      <c r="I322" s="4"/>
      <c r="J322" s="4"/>
      <c r="K322" s="4"/>
      <c r="L322" s="4"/>
      <c r="M322" s="4"/>
      <c r="N322" s="4"/>
      <c r="O322" s="4"/>
      <c r="P322" s="4"/>
      <c r="Q322" s="4"/>
      <c r="R322" s="4"/>
    </row>
    <row r="323" spans="1:18" ht="17.399999999999999" x14ac:dyDescent="0.25">
      <c r="A323" s="4"/>
      <c r="B323" s="23"/>
      <c r="C323" s="4"/>
      <c r="D323" s="4"/>
      <c r="E323" s="5"/>
      <c r="F323" s="4"/>
      <c r="G323" s="4"/>
      <c r="H323" s="4"/>
      <c r="I323" s="4"/>
      <c r="J323" s="4"/>
      <c r="K323" s="4"/>
      <c r="L323" s="4"/>
      <c r="M323" s="4"/>
      <c r="N323" s="4"/>
      <c r="O323" s="4"/>
      <c r="P323" s="4"/>
      <c r="Q323" s="4"/>
      <c r="R323" s="4"/>
    </row>
    <row r="324" spans="1:18" ht="17.399999999999999" x14ac:dyDescent="0.25">
      <c r="A324" s="4"/>
      <c r="B324" s="23"/>
      <c r="C324" s="4"/>
      <c r="D324" s="4"/>
      <c r="E324" s="5"/>
      <c r="F324" s="4"/>
      <c r="G324" s="4"/>
      <c r="H324" s="4"/>
      <c r="I324" s="4"/>
      <c r="J324" s="4"/>
      <c r="K324" s="4"/>
      <c r="L324" s="4"/>
      <c r="M324" s="4"/>
      <c r="N324" s="4"/>
      <c r="O324" s="4"/>
      <c r="P324" s="4"/>
      <c r="Q324" s="4"/>
      <c r="R324" s="4"/>
    </row>
    <row r="325" spans="1:18" ht="17.399999999999999" x14ac:dyDescent="0.25">
      <c r="A325" s="4"/>
      <c r="B325" s="23"/>
      <c r="C325" s="4"/>
      <c r="D325" s="4"/>
      <c r="E325" s="5"/>
      <c r="F325" s="4"/>
      <c r="G325" s="4"/>
      <c r="H325" s="4"/>
      <c r="I325" s="4"/>
      <c r="J325" s="4"/>
      <c r="K325" s="4"/>
      <c r="L325" s="4"/>
      <c r="M325" s="4"/>
      <c r="N325" s="4"/>
      <c r="O325" s="4"/>
      <c r="P325" s="4"/>
      <c r="Q325" s="4"/>
      <c r="R325" s="4"/>
    </row>
    <row r="326" spans="1:18" ht="17.399999999999999" x14ac:dyDescent="0.25">
      <c r="A326" s="4"/>
      <c r="B326" s="23"/>
      <c r="C326" s="4"/>
      <c r="D326" s="4"/>
      <c r="E326" s="5"/>
      <c r="F326" s="4"/>
      <c r="G326" s="4"/>
      <c r="H326" s="4"/>
      <c r="I326" s="4"/>
      <c r="J326" s="4"/>
      <c r="K326" s="4"/>
      <c r="L326" s="4"/>
      <c r="M326" s="4"/>
      <c r="N326" s="4"/>
      <c r="O326" s="4"/>
      <c r="P326" s="4"/>
      <c r="Q326" s="4"/>
      <c r="R326" s="4"/>
    </row>
    <row r="327" spans="1:18" ht="17.399999999999999" x14ac:dyDescent="0.25">
      <c r="A327" s="4"/>
      <c r="B327" s="23"/>
      <c r="C327" s="4"/>
      <c r="D327" s="4"/>
      <c r="E327" s="5"/>
      <c r="F327" s="4"/>
      <c r="G327" s="4"/>
      <c r="H327" s="4"/>
      <c r="I327" s="4"/>
      <c r="J327" s="4"/>
      <c r="K327" s="4"/>
      <c r="L327" s="4"/>
      <c r="M327" s="4"/>
      <c r="N327" s="4"/>
      <c r="O327" s="4"/>
      <c r="P327" s="4"/>
      <c r="Q327" s="4"/>
      <c r="R327" s="4"/>
    </row>
    <row r="328" spans="1:18" ht="17.399999999999999" x14ac:dyDescent="0.25">
      <c r="A328" s="4"/>
      <c r="B328" s="23"/>
      <c r="C328" s="4"/>
      <c r="D328" s="4"/>
      <c r="E328" s="5"/>
      <c r="F328" s="4"/>
      <c r="G328" s="4"/>
      <c r="H328" s="4"/>
      <c r="I328" s="4"/>
      <c r="J328" s="4"/>
      <c r="K328" s="4"/>
      <c r="L328" s="4"/>
      <c r="M328" s="4"/>
      <c r="N328" s="4"/>
      <c r="O328" s="4"/>
      <c r="P328" s="4"/>
      <c r="Q328" s="4"/>
      <c r="R328" s="4"/>
    </row>
    <row r="329" spans="1:18" ht="17.399999999999999" x14ac:dyDescent="0.25">
      <c r="A329" s="4"/>
      <c r="B329" s="23"/>
      <c r="C329" s="4"/>
      <c r="D329" s="4"/>
      <c r="E329" s="5"/>
      <c r="F329" s="4"/>
      <c r="G329" s="4"/>
      <c r="H329" s="4"/>
      <c r="I329" s="4"/>
      <c r="J329" s="4"/>
      <c r="K329" s="4"/>
      <c r="L329" s="4"/>
      <c r="M329" s="4"/>
      <c r="N329" s="4"/>
      <c r="O329" s="4"/>
      <c r="P329" s="4"/>
      <c r="Q329" s="4"/>
      <c r="R329" s="4"/>
    </row>
    <row r="330" spans="1:18" ht="17.399999999999999" x14ac:dyDescent="0.25">
      <c r="A330" s="4"/>
      <c r="B330" s="23"/>
      <c r="C330" s="4"/>
      <c r="D330" s="4"/>
      <c r="E330" s="5"/>
      <c r="F330" s="4"/>
      <c r="G330" s="4"/>
      <c r="H330" s="4"/>
      <c r="I330" s="4"/>
      <c r="J330" s="4"/>
      <c r="K330" s="4"/>
      <c r="L330" s="4"/>
      <c r="M330" s="4"/>
      <c r="N330" s="4"/>
      <c r="O330" s="4"/>
      <c r="P330" s="4"/>
      <c r="Q330" s="4"/>
      <c r="R330" s="4"/>
    </row>
    <row r="331" spans="1:18" ht="17.399999999999999" x14ac:dyDescent="0.25">
      <c r="A331" s="4"/>
      <c r="B331" s="23"/>
      <c r="C331" s="4"/>
      <c r="D331" s="4"/>
      <c r="E331" s="5"/>
      <c r="F331" s="4"/>
      <c r="G331" s="4"/>
      <c r="H331" s="4"/>
      <c r="I331" s="4"/>
      <c r="J331" s="4"/>
      <c r="K331" s="4"/>
      <c r="L331" s="4"/>
      <c r="M331" s="4"/>
      <c r="N331" s="4"/>
      <c r="O331" s="4"/>
      <c r="P331" s="4"/>
      <c r="Q331" s="4"/>
      <c r="R331" s="4"/>
    </row>
    <row r="332" spans="1:18" ht="17.399999999999999" x14ac:dyDescent="0.25">
      <c r="A332" s="4"/>
      <c r="B332" s="23"/>
      <c r="C332" s="4"/>
      <c r="D332" s="4"/>
      <c r="E332" s="5"/>
      <c r="F332" s="4"/>
      <c r="G332" s="4"/>
      <c r="H332" s="4"/>
      <c r="I332" s="4"/>
      <c r="J332" s="4"/>
      <c r="K332" s="4"/>
      <c r="L332" s="4"/>
      <c r="M332" s="4"/>
      <c r="N332" s="4"/>
      <c r="O332" s="4"/>
      <c r="P332" s="4"/>
      <c r="Q332" s="4"/>
      <c r="R332" s="4"/>
    </row>
    <row r="333" spans="1:18" ht="17.399999999999999" x14ac:dyDescent="0.25">
      <c r="A333" s="4"/>
      <c r="B333" s="23"/>
      <c r="C333" s="4"/>
      <c r="D333" s="4"/>
      <c r="E333" s="5"/>
      <c r="F333" s="4"/>
      <c r="G333" s="4"/>
      <c r="H333" s="4"/>
      <c r="I333" s="4"/>
      <c r="J333" s="4"/>
      <c r="K333" s="4"/>
      <c r="L333" s="4"/>
      <c r="M333" s="4"/>
      <c r="N333" s="4"/>
      <c r="O333" s="4"/>
      <c r="P333" s="4"/>
      <c r="Q333" s="4"/>
      <c r="R333" s="4"/>
    </row>
    <row r="334" spans="1:18" ht="17.399999999999999" x14ac:dyDescent="0.25">
      <c r="A334" s="4"/>
      <c r="B334" s="23"/>
      <c r="C334" s="4"/>
      <c r="D334" s="4"/>
      <c r="E334" s="5"/>
      <c r="F334" s="4"/>
      <c r="G334" s="4"/>
      <c r="H334" s="4"/>
      <c r="I334" s="4"/>
      <c r="J334" s="4"/>
      <c r="K334" s="4"/>
      <c r="L334" s="4"/>
      <c r="M334" s="4"/>
      <c r="N334" s="4"/>
      <c r="O334" s="4"/>
      <c r="P334" s="4"/>
      <c r="Q334" s="4"/>
      <c r="R334" s="4"/>
    </row>
    <row r="335" spans="1:18" ht="17.399999999999999" x14ac:dyDescent="0.25">
      <c r="A335" s="4"/>
      <c r="B335" s="23"/>
      <c r="C335" s="4"/>
      <c r="D335" s="4"/>
      <c r="E335" s="5"/>
      <c r="F335" s="4"/>
      <c r="G335" s="4"/>
      <c r="H335" s="4"/>
      <c r="I335" s="4"/>
      <c r="J335" s="4"/>
      <c r="K335" s="4"/>
      <c r="L335" s="4"/>
      <c r="M335" s="4"/>
      <c r="N335" s="4"/>
      <c r="O335" s="4"/>
      <c r="P335" s="4"/>
      <c r="Q335" s="4"/>
      <c r="R335" s="4"/>
    </row>
    <row r="336" spans="1:18" ht="17.399999999999999" x14ac:dyDescent="0.25">
      <c r="A336" s="4"/>
      <c r="B336" s="23"/>
      <c r="C336" s="4"/>
      <c r="D336" s="4"/>
      <c r="E336" s="5"/>
      <c r="F336" s="4"/>
      <c r="G336" s="4"/>
      <c r="H336" s="4"/>
      <c r="I336" s="4"/>
      <c r="J336" s="4"/>
      <c r="K336" s="4"/>
      <c r="L336" s="4"/>
      <c r="M336" s="4"/>
      <c r="N336" s="4"/>
      <c r="O336" s="4"/>
      <c r="P336" s="4"/>
      <c r="Q336" s="4"/>
      <c r="R336" s="4"/>
    </row>
    <row r="337" spans="1:18" ht="17.399999999999999" x14ac:dyDescent="0.25">
      <c r="A337" s="4"/>
      <c r="B337" s="23"/>
      <c r="C337" s="4"/>
      <c r="D337" s="4"/>
      <c r="E337" s="5"/>
      <c r="F337" s="4"/>
      <c r="G337" s="4"/>
      <c r="H337" s="4"/>
      <c r="I337" s="4"/>
      <c r="J337" s="4"/>
      <c r="K337" s="4"/>
      <c r="L337" s="4"/>
      <c r="M337" s="4"/>
      <c r="N337" s="4"/>
      <c r="O337" s="4"/>
      <c r="P337" s="4"/>
      <c r="Q337" s="4"/>
      <c r="R337" s="4"/>
    </row>
    <row r="338" spans="1:18" ht="17.399999999999999" x14ac:dyDescent="0.25">
      <c r="A338" s="4"/>
      <c r="B338" s="23"/>
      <c r="C338" s="4"/>
      <c r="D338" s="4"/>
      <c r="E338" s="5"/>
      <c r="F338" s="4"/>
      <c r="G338" s="4"/>
      <c r="H338" s="4"/>
      <c r="I338" s="4"/>
      <c r="J338" s="4"/>
      <c r="K338" s="4"/>
      <c r="L338" s="4"/>
      <c r="M338" s="4"/>
      <c r="N338" s="4"/>
      <c r="O338" s="4"/>
      <c r="P338" s="4"/>
      <c r="Q338" s="4"/>
      <c r="R338" s="4"/>
    </row>
    <row r="339" spans="1:18" ht="17.399999999999999" x14ac:dyDescent="0.25">
      <c r="A339" s="4"/>
      <c r="B339" s="23"/>
      <c r="C339" s="4"/>
      <c r="D339" s="4"/>
      <c r="E339" s="5"/>
      <c r="F339" s="4"/>
      <c r="G339" s="4"/>
      <c r="H339" s="4"/>
      <c r="I339" s="4"/>
      <c r="J339" s="4"/>
      <c r="K339" s="4"/>
      <c r="L339" s="4"/>
      <c r="M339" s="4"/>
      <c r="N339" s="4"/>
      <c r="O339" s="4"/>
      <c r="P339" s="4"/>
      <c r="Q339" s="4"/>
      <c r="R339" s="4"/>
    </row>
    <row r="340" spans="1:18" ht="17.399999999999999" x14ac:dyDescent="0.25">
      <c r="A340" s="4"/>
      <c r="B340" s="23"/>
      <c r="C340" s="4"/>
      <c r="D340" s="4"/>
      <c r="E340" s="5"/>
      <c r="F340" s="4"/>
      <c r="G340" s="4"/>
      <c r="H340" s="4"/>
      <c r="I340" s="4"/>
      <c r="J340" s="4"/>
      <c r="K340" s="4"/>
      <c r="L340" s="4"/>
      <c r="M340" s="4"/>
      <c r="N340" s="4"/>
      <c r="O340" s="4"/>
      <c r="P340" s="4"/>
      <c r="Q340" s="4"/>
      <c r="R340" s="4"/>
    </row>
    <row r="341" spans="1:18" ht="17.399999999999999" x14ac:dyDescent="0.25">
      <c r="A341" s="4"/>
      <c r="B341" s="23"/>
      <c r="C341" s="4"/>
      <c r="D341" s="4"/>
      <c r="E341" s="5"/>
      <c r="F341" s="4"/>
      <c r="G341" s="4"/>
      <c r="H341" s="4"/>
      <c r="I341" s="4"/>
      <c r="J341" s="4"/>
      <c r="K341" s="4"/>
      <c r="L341" s="4"/>
      <c r="M341" s="4"/>
      <c r="N341" s="4"/>
      <c r="O341" s="4"/>
      <c r="P341" s="4"/>
      <c r="Q341" s="4"/>
      <c r="R341" s="4"/>
    </row>
    <row r="342" spans="1:18" ht="17.399999999999999" x14ac:dyDescent="0.25">
      <c r="A342" s="4"/>
      <c r="B342" s="23"/>
      <c r="C342" s="4"/>
      <c r="D342" s="4"/>
      <c r="E342" s="5"/>
      <c r="F342" s="4"/>
      <c r="G342" s="4"/>
      <c r="H342" s="4"/>
      <c r="I342" s="4"/>
      <c r="J342" s="4"/>
      <c r="K342" s="4"/>
      <c r="L342" s="4"/>
      <c r="M342" s="4"/>
      <c r="N342" s="4"/>
      <c r="O342" s="4"/>
      <c r="P342" s="4"/>
      <c r="Q342" s="4"/>
      <c r="R342" s="4"/>
    </row>
    <row r="343" spans="1:18" ht="17.399999999999999" x14ac:dyDescent="0.25">
      <c r="A343" s="4"/>
      <c r="B343" s="23"/>
      <c r="C343" s="4"/>
      <c r="D343" s="4"/>
      <c r="E343" s="5"/>
      <c r="F343" s="4"/>
      <c r="G343" s="4"/>
      <c r="H343" s="4"/>
      <c r="I343" s="4"/>
      <c r="J343" s="4"/>
      <c r="K343" s="4"/>
      <c r="L343" s="4"/>
      <c r="M343" s="4"/>
      <c r="N343" s="4"/>
      <c r="O343" s="4"/>
      <c r="P343" s="4"/>
      <c r="Q343" s="4"/>
      <c r="R343" s="4"/>
    </row>
    <row r="344" spans="1:18" ht="17.399999999999999" x14ac:dyDescent="0.25">
      <c r="A344" s="4"/>
      <c r="B344" s="23"/>
      <c r="C344" s="4"/>
      <c r="D344" s="4"/>
      <c r="E344" s="5"/>
      <c r="F344" s="4"/>
      <c r="G344" s="4"/>
      <c r="H344" s="4"/>
      <c r="I344" s="4"/>
      <c r="J344" s="4"/>
      <c r="K344" s="4"/>
      <c r="L344" s="4"/>
      <c r="M344" s="4"/>
      <c r="N344" s="4"/>
      <c r="O344" s="4"/>
      <c r="P344" s="4"/>
      <c r="Q344" s="4"/>
      <c r="R344" s="4"/>
    </row>
    <row r="345" spans="1:18" ht="17.399999999999999" x14ac:dyDescent="0.25">
      <c r="A345" s="4"/>
      <c r="B345" s="23"/>
      <c r="C345" s="4"/>
      <c r="D345" s="4"/>
      <c r="E345" s="5"/>
      <c r="F345" s="4"/>
      <c r="G345" s="4"/>
      <c r="H345" s="4"/>
      <c r="I345" s="4"/>
      <c r="J345" s="4"/>
      <c r="K345" s="4"/>
      <c r="L345" s="4"/>
      <c r="M345" s="4"/>
      <c r="N345" s="4"/>
      <c r="O345" s="4"/>
      <c r="P345" s="4"/>
      <c r="Q345" s="4"/>
      <c r="R345" s="4"/>
    </row>
    <row r="346" spans="1:18" ht="17.399999999999999" x14ac:dyDescent="0.25">
      <c r="A346" s="4"/>
      <c r="B346" s="23"/>
      <c r="C346" s="4"/>
      <c r="D346" s="4"/>
      <c r="E346" s="5"/>
      <c r="F346" s="4"/>
      <c r="G346" s="4"/>
      <c r="H346" s="4"/>
      <c r="I346" s="4"/>
      <c r="J346" s="4"/>
      <c r="K346" s="4"/>
      <c r="L346" s="4"/>
      <c r="M346" s="4"/>
      <c r="N346" s="4"/>
      <c r="O346" s="4"/>
      <c r="P346" s="4"/>
      <c r="Q346" s="4"/>
      <c r="R346" s="4"/>
    </row>
    <row r="347" spans="1:18" ht="17.399999999999999" x14ac:dyDescent="0.25">
      <c r="A347" s="4"/>
      <c r="B347" s="23"/>
      <c r="C347" s="4"/>
      <c r="D347" s="4"/>
      <c r="E347" s="5"/>
      <c r="F347" s="4"/>
      <c r="G347" s="4"/>
      <c r="H347" s="4"/>
      <c r="I347" s="4"/>
      <c r="J347" s="4"/>
      <c r="K347" s="4"/>
      <c r="L347" s="4"/>
      <c r="M347" s="4"/>
      <c r="N347" s="4"/>
      <c r="O347" s="4"/>
      <c r="P347" s="4"/>
      <c r="Q347" s="4"/>
      <c r="R347" s="4"/>
    </row>
    <row r="348" spans="1:18" ht="17.399999999999999" x14ac:dyDescent="0.25">
      <c r="A348" s="4"/>
      <c r="B348" s="23"/>
      <c r="C348" s="4"/>
      <c r="D348" s="4"/>
      <c r="E348" s="5"/>
      <c r="F348" s="4"/>
      <c r="G348" s="4"/>
      <c r="H348" s="4"/>
      <c r="I348" s="4"/>
      <c r="J348" s="4"/>
      <c r="K348" s="4"/>
      <c r="L348" s="4"/>
      <c r="M348" s="4"/>
      <c r="N348" s="4"/>
      <c r="O348" s="4"/>
      <c r="P348" s="4"/>
      <c r="Q348" s="4"/>
      <c r="R348" s="4"/>
    </row>
    <row r="349" spans="1:18" ht="17.399999999999999" x14ac:dyDescent="0.25">
      <c r="A349" s="4"/>
      <c r="B349" s="23"/>
      <c r="C349" s="4"/>
      <c r="D349" s="4"/>
      <c r="E349" s="5"/>
      <c r="F349" s="4"/>
      <c r="G349" s="4"/>
      <c r="H349" s="4"/>
      <c r="I349" s="4"/>
      <c r="J349" s="4"/>
      <c r="K349" s="4"/>
      <c r="L349" s="4"/>
      <c r="M349" s="4"/>
      <c r="N349" s="4"/>
      <c r="O349" s="4"/>
      <c r="P349" s="4"/>
      <c r="Q349" s="4"/>
      <c r="R349" s="4"/>
    </row>
    <row r="350" spans="1:18" ht="17.399999999999999" x14ac:dyDescent="0.25">
      <c r="A350" s="4"/>
      <c r="B350" s="23"/>
      <c r="C350" s="4"/>
      <c r="D350" s="4"/>
      <c r="E350" s="5"/>
      <c r="F350" s="4"/>
      <c r="G350" s="4"/>
      <c r="H350" s="4"/>
      <c r="I350" s="4"/>
      <c r="J350" s="4"/>
      <c r="K350" s="4"/>
      <c r="L350" s="4"/>
      <c r="M350" s="4"/>
      <c r="N350" s="4"/>
      <c r="O350" s="4"/>
      <c r="P350" s="4"/>
      <c r="Q350" s="4"/>
      <c r="R350" s="4"/>
    </row>
    <row r="351" spans="1:18" ht="17.399999999999999" x14ac:dyDescent="0.25">
      <c r="A351" s="4"/>
      <c r="B351" s="23"/>
      <c r="C351" s="4"/>
      <c r="D351" s="4"/>
      <c r="E351" s="5"/>
      <c r="F351" s="4"/>
      <c r="G351" s="4"/>
      <c r="H351" s="4"/>
      <c r="I351" s="4"/>
      <c r="J351" s="4"/>
      <c r="K351" s="4"/>
      <c r="L351" s="4"/>
      <c r="M351" s="4"/>
      <c r="N351" s="4"/>
      <c r="O351" s="4"/>
      <c r="P351" s="4"/>
      <c r="Q351" s="4"/>
      <c r="R351" s="4"/>
    </row>
    <row r="352" spans="1:18" ht="17.399999999999999" x14ac:dyDescent="0.25">
      <c r="A352" s="4"/>
      <c r="B352" s="23"/>
      <c r="C352" s="4"/>
      <c r="D352" s="4"/>
      <c r="E352" s="5"/>
      <c r="F352" s="4"/>
      <c r="G352" s="4"/>
      <c r="H352" s="4"/>
      <c r="I352" s="4"/>
      <c r="J352" s="4"/>
      <c r="K352" s="4"/>
      <c r="L352" s="4"/>
      <c r="M352" s="4"/>
      <c r="N352" s="4"/>
      <c r="O352" s="4"/>
      <c r="P352" s="4"/>
      <c r="Q352" s="4"/>
      <c r="R352" s="4"/>
    </row>
    <row r="353" spans="1:18" ht="17.399999999999999" x14ac:dyDescent="0.25">
      <c r="A353" s="4"/>
      <c r="B353" s="23"/>
      <c r="C353" s="4"/>
      <c r="D353" s="4"/>
      <c r="E353" s="5"/>
      <c r="F353" s="4"/>
      <c r="G353" s="4"/>
      <c r="H353" s="4"/>
      <c r="I353" s="4"/>
      <c r="J353" s="4"/>
      <c r="K353" s="4"/>
      <c r="L353" s="4"/>
      <c r="M353" s="4"/>
      <c r="N353" s="4"/>
      <c r="O353" s="4"/>
      <c r="P353" s="4"/>
      <c r="Q353" s="4"/>
      <c r="R353" s="4"/>
    </row>
    <row r="354" spans="1:18" ht="17.399999999999999" x14ac:dyDescent="0.25">
      <c r="A354" s="4"/>
      <c r="B354" s="23"/>
      <c r="C354" s="4"/>
      <c r="D354" s="4"/>
      <c r="E354" s="5"/>
      <c r="F354" s="4"/>
      <c r="G354" s="4"/>
      <c r="H354" s="4"/>
      <c r="I354" s="4"/>
      <c r="J354" s="4"/>
      <c r="K354" s="4"/>
      <c r="L354" s="4"/>
      <c r="M354" s="4"/>
      <c r="N354" s="4"/>
      <c r="O354" s="4"/>
      <c r="P354" s="4"/>
      <c r="Q354" s="4"/>
      <c r="R354" s="4"/>
    </row>
    <row r="355" spans="1:18" ht="17.399999999999999" x14ac:dyDescent="0.25">
      <c r="A355" s="4"/>
      <c r="B355" s="23"/>
      <c r="C355" s="4"/>
      <c r="D355" s="4"/>
      <c r="E355" s="5"/>
      <c r="F355" s="4"/>
      <c r="G355" s="4"/>
      <c r="H355" s="4"/>
      <c r="I355" s="4"/>
      <c r="J355" s="4"/>
      <c r="K355" s="4"/>
      <c r="L355" s="4"/>
      <c r="M355" s="4"/>
      <c r="N355" s="4"/>
      <c r="O355" s="4"/>
      <c r="P355" s="4"/>
      <c r="Q355" s="4"/>
      <c r="R355" s="4"/>
    </row>
    <row r="356" spans="1:18" ht="17.399999999999999" x14ac:dyDescent="0.25">
      <c r="A356" s="4"/>
      <c r="B356" s="23"/>
      <c r="C356" s="4"/>
      <c r="D356" s="4"/>
      <c r="E356" s="5"/>
      <c r="F356" s="4"/>
      <c r="G356" s="4"/>
      <c r="H356" s="4"/>
      <c r="I356" s="4"/>
      <c r="J356" s="4"/>
      <c r="K356" s="4"/>
      <c r="L356" s="4"/>
      <c r="M356" s="4"/>
      <c r="N356" s="4"/>
      <c r="O356" s="4"/>
      <c r="P356" s="4"/>
      <c r="Q356" s="4"/>
      <c r="R356" s="4"/>
    </row>
    <row r="357" spans="1:18" ht="17.399999999999999" x14ac:dyDescent="0.25">
      <c r="A357" s="4"/>
      <c r="B357" s="23"/>
      <c r="C357" s="4"/>
      <c r="D357" s="4"/>
      <c r="E357" s="5"/>
      <c r="F357" s="4"/>
      <c r="G357" s="4"/>
      <c r="H357" s="4"/>
      <c r="I357" s="4"/>
      <c r="J357" s="4"/>
      <c r="K357" s="4"/>
      <c r="L357" s="4"/>
      <c r="M357" s="4"/>
      <c r="N357" s="4"/>
      <c r="O357" s="4"/>
      <c r="P357" s="4"/>
      <c r="Q357" s="4"/>
      <c r="R357" s="4"/>
    </row>
    <row r="358" spans="1:18" ht="17.399999999999999" x14ac:dyDescent="0.25">
      <c r="A358" s="4"/>
      <c r="B358" s="23"/>
      <c r="C358" s="4"/>
      <c r="D358" s="4"/>
      <c r="E358" s="5"/>
      <c r="F358" s="4"/>
      <c r="G358" s="4"/>
      <c r="H358" s="4"/>
      <c r="I358" s="4"/>
      <c r="J358" s="4"/>
      <c r="K358" s="4"/>
      <c r="L358" s="4"/>
      <c r="M358" s="4"/>
      <c r="N358" s="4"/>
      <c r="O358" s="4"/>
      <c r="P358" s="4"/>
      <c r="Q358" s="4"/>
      <c r="R358" s="4"/>
    </row>
    <row r="359" spans="1:18" ht="17.399999999999999" x14ac:dyDescent="0.25">
      <c r="A359" s="4"/>
      <c r="B359" s="23"/>
      <c r="C359" s="4"/>
      <c r="D359" s="4"/>
      <c r="E359" s="5"/>
      <c r="F359" s="4"/>
      <c r="G359" s="4"/>
      <c r="H359" s="4"/>
      <c r="I359" s="4"/>
      <c r="J359" s="4"/>
      <c r="K359" s="4"/>
      <c r="L359" s="4"/>
      <c r="M359" s="4"/>
      <c r="N359" s="4"/>
      <c r="O359" s="4"/>
      <c r="P359" s="4"/>
      <c r="Q359" s="4"/>
      <c r="R359" s="4"/>
    </row>
    <row r="360" spans="1:18" ht="17.399999999999999" x14ac:dyDescent="0.25">
      <c r="A360" s="4"/>
      <c r="B360" s="23"/>
      <c r="C360" s="4"/>
      <c r="D360" s="4"/>
      <c r="E360" s="5"/>
      <c r="F360" s="4"/>
      <c r="G360" s="4"/>
      <c r="H360" s="4"/>
      <c r="I360" s="4"/>
      <c r="J360" s="4"/>
      <c r="K360" s="4"/>
      <c r="L360" s="4"/>
      <c r="M360" s="4"/>
      <c r="N360" s="4"/>
      <c r="O360" s="4"/>
      <c r="P360" s="4"/>
      <c r="Q360" s="4"/>
      <c r="R360" s="4"/>
    </row>
    <row r="361" spans="1:18" ht="17.399999999999999" x14ac:dyDescent="0.25">
      <c r="A361" s="4"/>
      <c r="B361" s="23"/>
      <c r="C361" s="4"/>
      <c r="D361" s="4"/>
      <c r="E361" s="5"/>
      <c r="F361" s="4"/>
      <c r="G361" s="4"/>
      <c r="H361" s="4"/>
      <c r="I361" s="4"/>
      <c r="J361" s="4"/>
      <c r="K361" s="4"/>
      <c r="L361" s="4"/>
      <c r="M361" s="4"/>
      <c r="N361" s="4"/>
      <c r="O361" s="4"/>
      <c r="P361" s="4"/>
      <c r="Q361" s="4"/>
      <c r="R361" s="4"/>
    </row>
    <row r="362" spans="1:18" ht="17.399999999999999" x14ac:dyDescent="0.25">
      <c r="A362" s="4"/>
      <c r="B362" s="23"/>
      <c r="C362" s="4"/>
      <c r="D362" s="4"/>
      <c r="E362" s="5"/>
      <c r="F362" s="4"/>
      <c r="G362" s="4"/>
      <c r="H362" s="4"/>
      <c r="I362" s="4"/>
      <c r="J362" s="4"/>
      <c r="K362" s="4"/>
      <c r="L362" s="4"/>
      <c r="M362" s="4"/>
      <c r="N362" s="4"/>
      <c r="O362" s="4"/>
      <c r="P362" s="4"/>
      <c r="Q362" s="4"/>
      <c r="R362" s="4"/>
    </row>
    <row r="363" spans="1:18" ht="17.399999999999999" x14ac:dyDescent="0.25">
      <c r="A363" s="4"/>
      <c r="B363" s="23"/>
      <c r="C363" s="4"/>
      <c r="D363" s="4"/>
      <c r="E363" s="5"/>
      <c r="F363" s="4"/>
      <c r="G363" s="4"/>
      <c r="H363" s="4"/>
      <c r="I363" s="4"/>
      <c r="J363" s="4"/>
      <c r="K363" s="4"/>
      <c r="L363" s="4"/>
      <c r="M363" s="4"/>
      <c r="N363" s="4"/>
      <c r="O363" s="4"/>
      <c r="P363" s="4"/>
      <c r="Q363" s="4"/>
      <c r="R363" s="4"/>
    </row>
    <row r="364" spans="1:18" ht="17.399999999999999" x14ac:dyDescent="0.25">
      <c r="A364" s="4"/>
      <c r="B364" s="23"/>
      <c r="C364" s="4"/>
      <c r="D364" s="4"/>
      <c r="E364" s="5"/>
      <c r="F364" s="4"/>
      <c r="G364" s="4"/>
      <c r="H364" s="4"/>
      <c r="I364" s="4"/>
      <c r="J364" s="4"/>
      <c r="K364" s="4"/>
      <c r="L364" s="4"/>
      <c r="M364" s="4"/>
      <c r="N364" s="4"/>
      <c r="O364" s="4"/>
      <c r="P364" s="4"/>
      <c r="Q364" s="4"/>
      <c r="R364" s="4"/>
    </row>
    <row r="365" spans="1:18" ht="17.399999999999999" x14ac:dyDescent="0.25">
      <c r="A365" s="4"/>
      <c r="B365" s="23"/>
      <c r="C365" s="4"/>
      <c r="D365" s="4"/>
      <c r="E365" s="5"/>
      <c r="F365" s="4"/>
      <c r="G365" s="4"/>
      <c r="H365" s="4"/>
      <c r="I365" s="4"/>
      <c r="J365" s="4"/>
      <c r="K365" s="4"/>
      <c r="L365" s="4"/>
      <c r="M365" s="4"/>
      <c r="N365" s="4"/>
      <c r="O365" s="4"/>
      <c r="P365" s="4"/>
      <c r="Q365" s="4"/>
      <c r="R365" s="4"/>
    </row>
    <row r="366" spans="1:18" ht="17.399999999999999" x14ac:dyDescent="0.25">
      <c r="A366" s="4"/>
      <c r="B366" s="23"/>
      <c r="C366" s="4"/>
      <c r="D366" s="4"/>
      <c r="E366" s="5"/>
      <c r="F366" s="4"/>
      <c r="G366" s="4"/>
      <c r="H366" s="4"/>
      <c r="I366" s="4"/>
      <c r="J366" s="4"/>
      <c r="K366" s="4"/>
      <c r="L366" s="4"/>
      <c r="M366" s="4"/>
      <c r="N366" s="4"/>
      <c r="O366" s="4"/>
      <c r="P366" s="4"/>
      <c r="Q366" s="4"/>
      <c r="R366" s="4"/>
    </row>
    <row r="367" spans="1:18" ht="17.399999999999999" x14ac:dyDescent="0.25">
      <c r="A367" s="4"/>
      <c r="B367" s="23"/>
      <c r="C367" s="4"/>
      <c r="D367" s="4"/>
      <c r="E367" s="5"/>
      <c r="F367" s="4"/>
      <c r="G367" s="4"/>
      <c r="H367" s="4"/>
      <c r="I367" s="4"/>
      <c r="J367" s="4"/>
      <c r="K367" s="4"/>
      <c r="L367" s="4"/>
      <c r="M367" s="4"/>
      <c r="N367" s="4"/>
      <c r="O367" s="4"/>
      <c r="P367" s="4"/>
      <c r="Q367" s="4"/>
      <c r="R367" s="4"/>
    </row>
    <row r="368" spans="1:18" ht="17.399999999999999" x14ac:dyDescent="0.25">
      <c r="A368" s="4"/>
      <c r="B368" s="23"/>
      <c r="C368" s="4"/>
      <c r="D368" s="4"/>
      <c r="E368" s="5"/>
      <c r="F368" s="4"/>
      <c r="G368" s="4"/>
      <c r="H368" s="4"/>
      <c r="I368" s="4"/>
      <c r="J368" s="4"/>
      <c r="K368" s="4"/>
      <c r="L368" s="4"/>
      <c r="M368" s="4"/>
      <c r="N368" s="4"/>
      <c r="O368" s="4"/>
      <c r="P368" s="4"/>
      <c r="Q368" s="4"/>
      <c r="R368" s="4"/>
    </row>
    <row r="369" spans="1:18" ht="17.399999999999999" x14ac:dyDescent="0.25">
      <c r="A369" s="4"/>
      <c r="B369" s="23"/>
      <c r="C369" s="4"/>
      <c r="D369" s="4"/>
      <c r="E369" s="5"/>
      <c r="F369" s="4"/>
      <c r="G369" s="4"/>
      <c r="H369" s="4"/>
      <c r="I369" s="4"/>
      <c r="J369" s="4"/>
      <c r="K369" s="4"/>
      <c r="L369" s="4"/>
      <c r="M369" s="4"/>
      <c r="N369" s="4"/>
      <c r="O369" s="4"/>
      <c r="P369" s="4"/>
      <c r="Q369" s="4"/>
      <c r="R369" s="4"/>
    </row>
    <row r="370" spans="1:18" ht="17.399999999999999" x14ac:dyDescent="0.25">
      <c r="A370" s="4"/>
      <c r="B370" s="23"/>
      <c r="C370" s="4"/>
      <c r="D370" s="4"/>
      <c r="E370" s="5"/>
      <c r="F370" s="4"/>
      <c r="G370" s="4"/>
      <c r="H370" s="4"/>
      <c r="I370" s="4"/>
      <c r="J370" s="4"/>
      <c r="K370" s="4"/>
      <c r="L370" s="4"/>
      <c r="M370" s="4"/>
      <c r="N370" s="4"/>
      <c r="O370" s="4"/>
      <c r="P370" s="4"/>
      <c r="Q370" s="4"/>
      <c r="R370" s="4"/>
    </row>
    <row r="371" spans="1:18" ht="17.399999999999999" x14ac:dyDescent="0.25">
      <c r="A371" s="4"/>
      <c r="B371" s="23"/>
      <c r="C371" s="4"/>
      <c r="D371" s="4"/>
      <c r="E371" s="5"/>
      <c r="F371" s="4"/>
      <c r="G371" s="4"/>
      <c r="H371" s="4"/>
      <c r="I371" s="4"/>
      <c r="J371" s="4"/>
      <c r="K371" s="4"/>
      <c r="L371" s="4"/>
      <c r="M371" s="4"/>
      <c r="N371" s="4"/>
      <c r="O371" s="4"/>
      <c r="P371" s="4"/>
      <c r="Q371" s="4"/>
      <c r="R371" s="4"/>
    </row>
    <row r="372" spans="1:18" ht="17.399999999999999" x14ac:dyDescent="0.25">
      <c r="A372" s="4"/>
      <c r="B372" s="23"/>
      <c r="C372" s="4"/>
      <c r="D372" s="4"/>
      <c r="E372" s="5"/>
      <c r="F372" s="4"/>
      <c r="G372" s="4"/>
      <c r="H372" s="4"/>
      <c r="I372" s="4"/>
      <c r="J372" s="4"/>
      <c r="K372" s="4"/>
      <c r="L372" s="4"/>
      <c r="M372" s="4"/>
      <c r="N372" s="4"/>
      <c r="O372" s="4"/>
      <c r="P372" s="4"/>
      <c r="Q372" s="4"/>
      <c r="R372" s="4"/>
    </row>
    <row r="373" spans="1:18" ht="17.399999999999999" x14ac:dyDescent="0.25">
      <c r="A373" s="4"/>
      <c r="B373" s="23"/>
      <c r="C373" s="4"/>
      <c r="D373" s="4"/>
      <c r="E373" s="5"/>
      <c r="F373" s="4"/>
      <c r="G373" s="4"/>
      <c r="H373" s="4"/>
      <c r="I373" s="4"/>
      <c r="J373" s="4"/>
      <c r="K373" s="4"/>
      <c r="L373" s="4"/>
      <c r="M373" s="4"/>
      <c r="N373" s="4"/>
      <c r="O373" s="4"/>
      <c r="P373" s="4"/>
      <c r="Q373" s="4"/>
      <c r="R373" s="4"/>
    </row>
    <row r="374" spans="1:18" ht="17.399999999999999" x14ac:dyDescent="0.25">
      <c r="A374" s="4"/>
      <c r="B374" s="23"/>
      <c r="C374" s="4"/>
      <c r="D374" s="4"/>
      <c r="E374" s="5"/>
      <c r="F374" s="4"/>
      <c r="G374" s="4"/>
      <c r="H374" s="4"/>
      <c r="I374" s="4"/>
      <c r="J374" s="4"/>
      <c r="K374" s="4"/>
      <c r="L374" s="4"/>
      <c r="M374" s="4"/>
      <c r="N374" s="4"/>
      <c r="O374" s="4"/>
      <c r="P374" s="4"/>
      <c r="Q374" s="4"/>
      <c r="R374" s="4"/>
    </row>
    <row r="375" spans="1:18" ht="17.399999999999999" x14ac:dyDescent="0.25">
      <c r="A375" s="4"/>
      <c r="B375" s="23"/>
      <c r="C375" s="4"/>
      <c r="D375" s="4"/>
      <c r="E375" s="5"/>
      <c r="F375" s="4"/>
      <c r="G375" s="4"/>
      <c r="H375" s="4"/>
      <c r="I375" s="4"/>
      <c r="J375" s="4"/>
      <c r="K375" s="4"/>
      <c r="L375" s="4"/>
      <c r="M375" s="4"/>
      <c r="N375" s="4"/>
      <c r="O375" s="4"/>
      <c r="P375" s="4"/>
      <c r="Q375" s="4"/>
      <c r="R375" s="4"/>
    </row>
    <row r="376" spans="1:18" ht="17.399999999999999" x14ac:dyDescent="0.25">
      <c r="A376" s="4"/>
      <c r="B376" s="23"/>
      <c r="C376" s="4"/>
      <c r="D376" s="4"/>
      <c r="E376" s="5"/>
      <c r="F376" s="4"/>
      <c r="G376" s="4"/>
      <c r="H376" s="4"/>
      <c r="I376" s="4"/>
      <c r="J376" s="4"/>
      <c r="K376" s="4"/>
      <c r="L376" s="4"/>
      <c r="M376" s="4"/>
      <c r="N376" s="4"/>
      <c r="O376" s="4"/>
      <c r="P376" s="4"/>
      <c r="Q376" s="4"/>
      <c r="R376" s="4"/>
    </row>
    <row r="377" spans="1:18" ht="17.399999999999999" x14ac:dyDescent="0.25">
      <c r="A377" s="4"/>
      <c r="B377" s="23"/>
      <c r="C377" s="4"/>
      <c r="D377" s="4"/>
      <c r="E377" s="5"/>
      <c r="F377" s="4"/>
      <c r="G377" s="4"/>
      <c r="H377" s="4"/>
      <c r="I377" s="4"/>
      <c r="J377" s="4"/>
      <c r="K377" s="4"/>
      <c r="L377" s="4"/>
      <c r="M377" s="4"/>
      <c r="N377" s="4"/>
      <c r="O377" s="4"/>
      <c r="P377" s="4"/>
      <c r="Q377" s="4"/>
      <c r="R377" s="4"/>
    </row>
    <row r="378" spans="1:18" ht="17.399999999999999" x14ac:dyDescent="0.25">
      <c r="A378" s="4"/>
      <c r="B378" s="23"/>
      <c r="C378" s="4"/>
      <c r="D378" s="4"/>
      <c r="E378" s="5"/>
      <c r="F378" s="4"/>
      <c r="G378" s="4"/>
      <c r="H378" s="4"/>
      <c r="I378" s="4"/>
      <c r="J378" s="4"/>
      <c r="K378" s="4"/>
      <c r="L378" s="4"/>
      <c r="M378" s="4"/>
      <c r="N378" s="4"/>
      <c r="O378" s="4"/>
      <c r="P378" s="4"/>
      <c r="Q378" s="4"/>
      <c r="R378" s="4"/>
    </row>
    <row r="379" spans="1:18" ht="17.399999999999999" x14ac:dyDescent="0.25">
      <c r="A379" s="4"/>
      <c r="B379" s="23"/>
      <c r="C379" s="4"/>
      <c r="D379" s="4"/>
      <c r="E379" s="5"/>
      <c r="F379" s="4"/>
      <c r="G379" s="4"/>
      <c r="H379" s="4"/>
      <c r="I379" s="4"/>
      <c r="J379" s="4"/>
      <c r="K379" s="4"/>
      <c r="L379" s="4"/>
      <c r="M379" s="4"/>
      <c r="N379" s="4"/>
      <c r="O379" s="4"/>
      <c r="P379" s="4"/>
      <c r="Q379" s="4"/>
      <c r="R379" s="4"/>
    </row>
    <row r="380" spans="1:18" ht="17.399999999999999" x14ac:dyDescent="0.25">
      <c r="A380" s="4"/>
      <c r="B380" s="23"/>
      <c r="C380" s="4"/>
      <c r="D380" s="4"/>
      <c r="E380" s="5"/>
      <c r="F380" s="4"/>
      <c r="G380" s="4"/>
      <c r="H380" s="4"/>
      <c r="I380" s="4"/>
      <c r="J380" s="4"/>
      <c r="K380" s="4"/>
      <c r="L380" s="4"/>
      <c r="M380" s="4"/>
      <c r="N380" s="4"/>
      <c r="O380" s="4"/>
      <c r="P380" s="4"/>
      <c r="Q380" s="4"/>
      <c r="R380" s="4"/>
    </row>
    <row r="381" spans="1:18" ht="17.399999999999999" x14ac:dyDescent="0.25">
      <c r="A381" s="4"/>
      <c r="B381" s="23"/>
      <c r="C381" s="4"/>
      <c r="D381" s="4"/>
      <c r="E381" s="5"/>
      <c r="F381" s="4"/>
      <c r="G381" s="4"/>
      <c r="H381" s="4"/>
      <c r="I381" s="4"/>
      <c r="J381" s="4"/>
      <c r="K381" s="4"/>
      <c r="L381" s="4"/>
      <c r="M381" s="4"/>
      <c r="N381" s="4"/>
      <c r="O381" s="4"/>
      <c r="P381" s="4"/>
      <c r="Q381" s="4"/>
      <c r="R381" s="4"/>
    </row>
    <row r="382" spans="1:18" ht="17.399999999999999" x14ac:dyDescent="0.25">
      <c r="A382" s="4"/>
      <c r="B382" s="23"/>
      <c r="C382" s="4"/>
      <c r="D382" s="4"/>
      <c r="E382" s="5"/>
      <c r="F382" s="4"/>
      <c r="G382" s="4"/>
      <c r="H382" s="4"/>
      <c r="I382" s="4"/>
      <c r="J382" s="4"/>
      <c r="K382" s="4"/>
      <c r="L382" s="4"/>
      <c r="M382" s="4"/>
      <c r="N382" s="4"/>
      <c r="O382" s="4"/>
      <c r="P382" s="4"/>
      <c r="Q382" s="4"/>
      <c r="R382" s="4"/>
    </row>
    <row r="383" spans="1:18" ht="17.399999999999999" x14ac:dyDescent="0.25">
      <c r="A383" s="4"/>
      <c r="B383" s="23"/>
      <c r="C383" s="4"/>
      <c r="D383" s="4"/>
      <c r="E383" s="5"/>
      <c r="F383" s="4"/>
      <c r="G383" s="4"/>
      <c r="H383" s="4"/>
      <c r="I383" s="4"/>
      <c r="J383" s="4"/>
      <c r="K383" s="4"/>
      <c r="L383" s="4"/>
      <c r="M383" s="4"/>
      <c r="N383" s="4"/>
      <c r="O383" s="4"/>
      <c r="P383" s="4"/>
      <c r="Q383" s="4"/>
      <c r="R383" s="4"/>
    </row>
    <row r="384" spans="1:18" ht="17.399999999999999" x14ac:dyDescent="0.25">
      <c r="A384" s="4"/>
      <c r="B384" s="23"/>
      <c r="C384" s="4"/>
      <c r="D384" s="4"/>
      <c r="E384" s="5"/>
      <c r="F384" s="4"/>
      <c r="G384" s="4"/>
      <c r="H384" s="4"/>
      <c r="I384" s="4"/>
      <c r="J384" s="4"/>
      <c r="K384" s="4"/>
      <c r="L384" s="4"/>
      <c r="M384" s="4"/>
      <c r="N384" s="4"/>
      <c r="O384" s="4"/>
      <c r="P384" s="4"/>
      <c r="Q384" s="4"/>
      <c r="R384" s="4"/>
    </row>
    <row r="385" spans="1:18" ht="17.399999999999999" x14ac:dyDescent="0.25">
      <c r="A385" s="4"/>
      <c r="B385" s="23"/>
      <c r="C385" s="4"/>
      <c r="D385" s="4"/>
      <c r="E385" s="5"/>
      <c r="F385" s="4"/>
      <c r="G385" s="4"/>
      <c r="H385" s="4"/>
      <c r="I385" s="4"/>
      <c r="J385" s="4"/>
      <c r="K385" s="4"/>
      <c r="L385" s="4"/>
      <c r="M385" s="4"/>
      <c r="N385" s="4"/>
      <c r="O385" s="4"/>
      <c r="P385" s="4"/>
      <c r="Q385" s="4"/>
      <c r="R385" s="4"/>
    </row>
    <row r="386" spans="1:18" ht="17.399999999999999" x14ac:dyDescent="0.25">
      <c r="A386" s="4"/>
      <c r="B386" s="23"/>
      <c r="C386" s="4"/>
      <c r="D386" s="4"/>
      <c r="E386" s="5"/>
      <c r="F386" s="4"/>
      <c r="G386" s="4"/>
      <c r="H386" s="4"/>
      <c r="I386" s="4"/>
      <c r="J386" s="4"/>
      <c r="K386" s="4"/>
      <c r="L386" s="4"/>
      <c r="M386" s="4"/>
      <c r="N386" s="4"/>
      <c r="O386" s="4"/>
      <c r="P386" s="4"/>
      <c r="Q386" s="4"/>
      <c r="R386" s="4"/>
    </row>
    <row r="387" spans="1:18" ht="17.399999999999999" x14ac:dyDescent="0.25">
      <c r="A387" s="4"/>
      <c r="B387" s="23"/>
      <c r="C387" s="4"/>
      <c r="D387" s="4"/>
      <c r="E387" s="5"/>
      <c r="F387" s="4"/>
      <c r="G387" s="4"/>
      <c r="H387" s="4"/>
      <c r="I387" s="4"/>
      <c r="J387" s="4"/>
      <c r="K387" s="4"/>
      <c r="L387" s="4"/>
      <c r="M387" s="4"/>
      <c r="N387" s="4"/>
      <c r="O387" s="4"/>
      <c r="P387" s="4"/>
      <c r="Q387" s="4"/>
      <c r="R387" s="4"/>
    </row>
    <row r="388" spans="1:18" ht="17.399999999999999" x14ac:dyDescent="0.25">
      <c r="A388" s="4"/>
      <c r="B388" s="23"/>
      <c r="C388" s="4"/>
      <c r="D388" s="4"/>
      <c r="E388" s="5"/>
      <c r="F388" s="4"/>
      <c r="G388" s="4"/>
      <c r="H388" s="4"/>
      <c r="I388" s="4"/>
      <c r="J388" s="4"/>
      <c r="K388" s="4"/>
      <c r="L388" s="4"/>
      <c r="M388" s="4"/>
      <c r="N388" s="4"/>
      <c r="O388" s="4"/>
      <c r="P388" s="4"/>
      <c r="Q388" s="4"/>
      <c r="R388" s="4"/>
    </row>
    <row r="389" spans="1:18" ht="17.399999999999999" x14ac:dyDescent="0.25">
      <c r="A389" s="4"/>
      <c r="B389" s="23"/>
      <c r="C389" s="4"/>
      <c r="D389" s="4"/>
      <c r="E389" s="5"/>
      <c r="F389" s="4"/>
      <c r="G389" s="4"/>
      <c r="H389" s="4"/>
      <c r="I389" s="4"/>
      <c r="J389" s="4"/>
      <c r="K389" s="4"/>
      <c r="L389" s="4"/>
      <c r="M389" s="4"/>
      <c r="N389" s="4"/>
      <c r="O389" s="4"/>
      <c r="P389" s="4"/>
      <c r="Q389" s="4"/>
      <c r="R389" s="4"/>
    </row>
    <row r="390" spans="1:18" ht="17.399999999999999" x14ac:dyDescent="0.25">
      <c r="A390" s="4"/>
      <c r="B390" s="23"/>
      <c r="C390" s="4"/>
      <c r="D390" s="4"/>
      <c r="E390" s="5"/>
      <c r="F390" s="4"/>
      <c r="G390" s="4"/>
      <c r="H390" s="4"/>
      <c r="I390" s="4"/>
      <c r="J390" s="4"/>
      <c r="K390" s="4"/>
      <c r="L390" s="4"/>
      <c r="M390" s="4"/>
      <c r="N390" s="4"/>
      <c r="O390" s="4"/>
      <c r="P390" s="4"/>
      <c r="Q390" s="4"/>
      <c r="R390" s="4"/>
    </row>
    <row r="391" spans="1:18" ht="17.399999999999999" x14ac:dyDescent="0.25">
      <c r="A391" s="4"/>
      <c r="B391" s="23"/>
      <c r="C391" s="4"/>
      <c r="D391" s="4"/>
      <c r="E391" s="5"/>
      <c r="F391" s="4"/>
      <c r="G391" s="4"/>
      <c r="H391" s="4"/>
      <c r="I391" s="4"/>
      <c r="J391" s="4"/>
      <c r="K391" s="4"/>
      <c r="L391" s="4"/>
      <c r="M391" s="4"/>
      <c r="N391" s="4"/>
      <c r="O391" s="4"/>
      <c r="P391" s="4"/>
      <c r="Q391" s="4"/>
      <c r="R391" s="4"/>
    </row>
    <row r="392" spans="1:18" ht="17.399999999999999" x14ac:dyDescent="0.25">
      <c r="A392" s="4"/>
      <c r="B392" s="23"/>
      <c r="C392" s="4"/>
      <c r="D392" s="4"/>
      <c r="E392" s="5"/>
      <c r="F392" s="4"/>
      <c r="G392" s="4"/>
      <c r="H392" s="4"/>
      <c r="I392" s="4"/>
      <c r="J392" s="4"/>
      <c r="K392" s="4"/>
      <c r="L392" s="4"/>
      <c r="M392" s="4"/>
      <c r="N392" s="4"/>
      <c r="O392" s="4"/>
      <c r="P392" s="4"/>
      <c r="Q392" s="4"/>
      <c r="R392" s="4"/>
    </row>
    <row r="393" spans="1:18" ht="17.399999999999999" x14ac:dyDescent="0.25">
      <c r="A393" s="4"/>
      <c r="B393" s="23"/>
      <c r="C393" s="4"/>
      <c r="D393" s="4"/>
      <c r="E393" s="5"/>
      <c r="F393" s="4"/>
      <c r="G393" s="4"/>
      <c r="H393" s="4"/>
      <c r="I393" s="4"/>
      <c r="J393" s="4"/>
      <c r="K393" s="4"/>
      <c r="L393" s="4"/>
      <c r="M393" s="4"/>
      <c r="N393" s="4"/>
      <c r="O393" s="4"/>
      <c r="P393" s="4"/>
      <c r="Q393" s="4"/>
      <c r="R393" s="4"/>
    </row>
    <row r="394" spans="1:18" ht="17.399999999999999" x14ac:dyDescent="0.25">
      <c r="A394" s="4"/>
      <c r="B394" s="23"/>
      <c r="C394" s="4"/>
      <c r="D394" s="4"/>
      <c r="E394" s="5"/>
      <c r="F394" s="4"/>
      <c r="G394" s="4"/>
      <c r="H394" s="4"/>
      <c r="I394" s="4"/>
      <c r="J394" s="4"/>
      <c r="K394" s="4"/>
      <c r="L394" s="4"/>
      <c r="M394" s="4"/>
      <c r="N394" s="4"/>
      <c r="O394" s="4"/>
      <c r="P394" s="4"/>
      <c r="Q394" s="4"/>
      <c r="R394" s="4"/>
    </row>
    <row r="395" spans="1:18" ht="17.399999999999999" x14ac:dyDescent="0.25">
      <c r="A395" s="4"/>
      <c r="B395" s="23"/>
      <c r="C395" s="4"/>
      <c r="D395" s="4"/>
      <c r="E395" s="5"/>
      <c r="F395" s="4"/>
      <c r="G395" s="4"/>
      <c r="H395" s="4"/>
      <c r="I395" s="4"/>
      <c r="J395" s="4"/>
      <c r="K395" s="4"/>
      <c r="L395" s="4"/>
      <c r="M395" s="4"/>
      <c r="N395" s="4"/>
      <c r="O395" s="4"/>
      <c r="P395" s="4"/>
      <c r="Q395" s="4"/>
      <c r="R395" s="4"/>
    </row>
    <row r="396" spans="1:18" ht="17.399999999999999" x14ac:dyDescent="0.25">
      <c r="A396" s="4"/>
      <c r="B396" s="23"/>
      <c r="C396" s="4"/>
      <c r="D396" s="4"/>
      <c r="E396" s="5"/>
      <c r="F396" s="4"/>
      <c r="G396" s="4"/>
      <c r="H396" s="4"/>
      <c r="I396" s="4"/>
      <c r="J396" s="4"/>
      <c r="K396" s="4"/>
      <c r="L396" s="4"/>
      <c r="M396" s="4"/>
      <c r="N396" s="4"/>
      <c r="O396" s="4"/>
      <c r="P396" s="4"/>
      <c r="Q396" s="4"/>
      <c r="R396" s="4"/>
    </row>
    <row r="397" spans="1:18" ht="17.399999999999999" x14ac:dyDescent="0.25">
      <c r="A397" s="4"/>
      <c r="B397" s="23"/>
      <c r="C397" s="4"/>
      <c r="D397" s="4"/>
      <c r="E397" s="5"/>
      <c r="F397" s="4"/>
      <c r="G397" s="4"/>
      <c r="H397" s="4"/>
      <c r="I397" s="4"/>
      <c r="J397" s="4"/>
      <c r="K397" s="4"/>
      <c r="L397" s="4"/>
      <c r="M397" s="4"/>
      <c r="N397" s="4"/>
      <c r="O397" s="4"/>
      <c r="P397" s="4"/>
      <c r="Q397" s="4"/>
      <c r="R397" s="4"/>
    </row>
    <row r="398" spans="1:18" ht="17.399999999999999" x14ac:dyDescent="0.25">
      <c r="A398" s="4"/>
      <c r="B398" s="23"/>
      <c r="C398" s="4"/>
      <c r="D398" s="4"/>
      <c r="E398" s="5"/>
      <c r="F398" s="4"/>
      <c r="G398" s="4"/>
      <c r="H398" s="4"/>
      <c r="I398" s="4"/>
      <c r="J398" s="4"/>
      <c r="K398" s="4"/>
      <c r="L398" s="4"/>
      <c r="M398" s="4"/>
      <c r="N398" s="4"/>
      <c r="O398" s="4"/>
      <c r="P398" s="4"/>
      <c r="Q398" s="4"/>
      <c r="R398" s="4"/>
    </row>
    <row r="399" spans="1:18" ht="17.399999999999999" x14ac:dyDescent="0.25">
      <c r="A399" s="4"/>
      <c r="B399" s="23"/>
      <c r="C399" s="4"/>
      <c r="D399" s="4"/>
      <c r="E399" s="5"/>
      <c r="F399" s="4"/>
      <c r="G399" s="4"/>
      <c r="H399" s="4"/>
      <c r="I399" s="4"/>
      <c r="J399" s="4"/>
      <c r="K399" s="4"/>
      <c r="L399" s="4"/>
      <c r="M399" s="4"/>
      <c r="N399" s="4"/>
      <c r="O399" s="4"/>
      <c r="P399" s="4"/>
      <c r="Q399" s="4"/>
      <c r="R399" s="4"/>
    </row>
    <row r="400" spans="1:18" ht="17.399999999999999" x14ac:dyDescent="0.25">
      <c r="A400" s="4"/>
      <c r="B400" s="23"/>
      <c r="C400" s="4"/>
      <c r="D400" s="4"/>
      <c r="E400" s="5"/>
      <c r="F400" s="4"/>
      <c r="G400" s="4"/>
      <c r="H400" s="4"/>
      <c r="I400" s="4"/>
      <c r="J400" s="4"/>
      <c r="K400" s="4"/>
      <c r="L400" s="4"/>
      <c r="M400" s="4"/>
      <c r="N400" s="4"/>
      <c r="O400" s="4"/>
      <c r="P400" s="4"/>
      <c r="Q400" s="4"/>
      <c r="R400" s="4"/>
    </row>
    <row r="401" spans="1:18" ht="17.399999999999999" x14ac:dyDescent="0.25">
      <c r="A401" s="4"/>
      <c r="B401" s="23"/>
      <c r="C401" s="4"/>
      <c r="D401" s="4"/>
      <c r="E401" s="5"/>
      <c r="F401" s="4"/>
      <c r="G401" s="4"/>
      <c r="H401" s="4"/>
      <c r="I401" s="4"/>
      <c r="J401" s="4"/>
      <c r="K401" s="4"/>
      <c r="L401" s="4"/>
      <c r="M401" s="4"/>
      <c r="N401" s="4"/>
      <c r="O401" s="4"/>
      <c r="P401" s="4"/>
      <c r="Q401" s="4"/>
      <c r="R401" s="4"/>
    </row>
    <row r="402" spans="1:18" ht="17.399999999999999" x14ac:dyDescent="0.25">
      <c r="A402" s="4"/>
      <c r="B402" s="23"/>
      <c r="C402" s="4"/>
      <c r="D402" s="4"/>
      <c r="E402" s="5"/>
      <c r="F402" s="4"/>
      <c r="G402" s="4"/>
      <c r="H402" s="4"/>
      <c r="I402" s="4"/>
      <c r="J402" s="4"/>
      <c r="K402" s="4"/>
      <c r="L402" s="4"/>
      <c r="M402" s="4"/>
      <c r="N402" s="4"/>
      <c r="O402" s="4"/>
      <c r="P402" s="4"/>
      <c r="Q402" s="4"/>
      <c r="R402" s="4"/>
    </row>
    <row r="403" spans="1:18" ht="17.399999999999999" x14ac:dyDescent="0.25">
      <c r="A403" s="4"/>
      <c r="B403" s="23"/>
      <c r="C403" s="4"/>
      <c r="D403" s="4"/>
      <c r="E403" s="5"/>
      <c r="F403" s="4"/>
      <c r="G403" s="4"/>
      <c r="H403" s="4"/>
      <c r="I403" s="4"/>
      <c r="J403" s="4"/>
      <c r="K403" s="4"/>
      <c r="L403" s="4"/>
      <c r="M403" s="4"/>
      <c r="N403" s="4"/>
      <c r="O403" s="4"/>
      <c r="P403" s="4"/>
      <c r="Q403" s="4"/>
      <c r="R403" s="4"/>
    </row>
    <row r="404" spans="1:18" ht="17.399999999999999" x14ac:dyDescent="0.25">
      <c r="A404" s="4"/>
      <c r="B404" s="23"/>
      <c r="C404" s="4"/>
      <c r="D404" s="4"/>
      <c r="E404" s="5"/>
      <c r="F404" s="4"/>
      <c r="G404" s="4"/>
      <c r="H404" s="4"/>
      <c r="I404" s="4"/>
      <c r="J404" s="4"/>
      <c r="K404" s="4"/>
      <c r="L404" s="4"/>
      <c r="M404" s="4"/>
      <c r="N404" s="4"/>
      <c r="O404" s="4"/>
      <c r="P404" s="4"/>
      <c r="Q404" s="4"/>
      <c r="R404" s="4"/>
    </row>
    <row r="405" spans="1:18" ht="17.399999999999999" x14ac:dyDescent="0.25">
      <c r="A405" s="4"/>
      <c r="B405" s="23"/>
      <c r="C405" s="4"/>
      <c r="D405" s="4"/>
      <c r="E405" s="5"/>
      <c r="F405" s="4"/>
      <c r="G405" s="4"/>
      <c r="H405" s="4"/>
      <c r="I405" s="4"/>
      <c r="J405" s="4"/>
      <c r="K405" s="4"/>
      <c r="L405" s="4"/>
      <c r="M405" s="4"/>
      <c r="N405" s="4"/>
      <c r="O405" s="4"/>
      <c r="P405" s="4"/>
      <c r="Q405" s="4"/>
      <c r="R405" s="4"/>
    </row>
    <row r="406" spans="1:18" ht="17.399999999999999" x14ac:dyDescent="0.25">
      <c r="A406" s="4"/>
      <c r="B406" s="23"/>
      <c r="C406" s="4"/>
      <c r="D406" s="4"/>
      <c r="E406" s="5"/>
      <c r="F406" s="4"/>
      <c r="G406" s="4"/>
      <c r="H406" s="4"/>
      <c r="I406" s="4"/>
      <c r="J406" s="4"/>
      <c r="K406" s="4"/>
      <c r="L406" s="4"/>
      <c r="M406" s="4"/>
      <c r="N406" s="4"/>
      <c r="O406" s="4"/>
      <c r="P406" s="4"/>
      <c r="Q406" s="4"/>
      <c r="R406" s="4"/>
    </row>
    <row r="407" spans="1:18" ht="17.399999999999999" x14ac:dyDescent="0.25">
      <c r="A407" s="4"/>
      <c r="B407" s="23"/>
      <c r="C407" s="4"/>
      <c r="D407" s="4"/>
      <c r="E407" s="5"/>
      <c r="F407" s="4"/>
      <c r="G407" s="4"/>
      <c r="H407" s="4"/>
      <c r="I407" s="4"/>
      <c r="J407" s="4"/>
      <c r="K407" s="4"/>
      <c r="L407" s="4"/>
      <c r="M407" s="4"/>
      <c r="N407" s="4"/>
      <c r="O407" s="4"/>
      <c r="P407" s="4"/>
      <c r="Q407" s="4"/>
      <c r="R407" s="4"/>
    </row>
    <row r="408" spans="1:18" ht="17.399999999999999" x14ac:dyDescent="0.25">
      <c r="A408" s="4"/>
      <c r="B408" s="23"/>
      <c r="C408" s="4"/>
      <c r="D408" s="4"/>
      <c r="E408" s="5"/>
      <c r="F408" s="4"/>
      <c r="G408" s="4"/>
      <c r="H408" s="4"/>
      <c r="I408" s="4"/>
      <c r="J408" s="4"/>
      <c r="K408" s="4"/>
      <c r="L408" s="4"/>
      <c r="M408" s="4"/>
      <c r="N408" s="4"/>
      <c r="O408" s="4"/>
      <c r="P408" s="4"/>
      <c r="Q408" s="4"/>
      <c r="R408" s="4"/>
    </row>
    <row r="409" spans="1:18" ht="17.399999999999999" x14ac:dyDescent="0.25">
      <c r="A409" s="4"/>
      <c r="B409" s="23"/>
      <c r="C409" s="4"/>
      <c r="D409" s="4"/>
      <c r="E409" s="5"/>
      <c r="F409" s="4"/>
      <c r="G409" s="4"/>
      <c r="H409" s="4"/>
      <c r="I409" s="4"/>
      <c r="J409" s="4"/>
      <c r="K409" s="4"/>
      <c r="L409" s="4"/>
      <c r="M409" s="4"/>
      <c r="N409" s="4"/>
      <c r="O409" s="4"/>
      <c r="P409" s="4"/>
      <c r="Q409" s="4"/>
      <c r="R409" s="4"/>
    </row>
    <row r="410" spans="1:18" ht="17.399999999999999" x14ac:dyDescent="0.25">
      <c r="A410" s="4"/>
      <c r="B410" s="23"/>
      <c r="C410" s="4"/>
      <c r="D410" s="4"/>
      <c r="E410" s="5"/>
      <c r="F410" s="4"/>
      <c r="G410" s="4"/>
      <c r="H410" s="4"/>
      <c r="I410" s="4"/>
      <c r="J410" s="4"/>
      <c r="K410" s="4"/>
      <c r="L410" s="4"/>
      <c r="M410" s="4"/>
      <c r="N410" s="4"/>
      <c r="O410" s="4"/>
      <c r="P410" s="4"/>
      <c r="Q410" s="4"/>
      <c r="R410" s="4"/>
    </row>
    <row r="411" spans="1:18" ht="17.399999999999999" x14ac:dyDescent="0.25">
      <c r="A411" s="4"/>
      <c r="B411" s="23"/>
      <c r="C411" s="4"/>
      <c r="D411" s="4"/>
      <c r="E411" s="5"/>
      <c r="F411" s="4"/>
      <c r="G411" s="4"/>
      <c r="H411" s="4"/>
      <c r="I411" s="4"/>
      <c r="J411" s="4"/>
      <c r="K411" s="4"/>
      <c r="L411" s="4"/>
      <c r="M411" s="4"/>
      <c r="N411" s="4"/>
      <c r="O411" s="4"/>
      <c r="P411" s="4"/>
      <c r="Q411" s="4"/>
      <c r="R411" s="4"/>
    </row>
    <row r="412" spans="1:18" ht="17.399999999999999" x14ac:dyDescent="0.25">
      <c r="A412" s="4"/>
      <c r="B412" s="23"/>
      <c r="C412" s="4"/>
      <c r="D412" s="4"/>
      <c r="E412" s="5"/>
      <c r="F412" s="4"/>
      <c r="G412" s="4"/>
      <c r="H412" s="4"/>
      <c r="I412" s="4"/>
      <c r="J412" s="4"/>
      <c r="K412" s="4"/>
      <c r="L412" s="4"/>
      <c r="M412" s="4"/>
      <c r="N412" s="4"/>
      <c r="O412" s="4"/>
      <c r="P412" s="4"/>
      <c r="Q412" s="4"/>
      <c r="R412" s="4"/>
    </row>
    <row r="413" spans="1:18" ht="17.399999999999999" x14ac:dyDescent="0.25">
      <c r="A413" s="4"/>
      <c r="B413" s="23"/>
      <c r="C413" s="4"/>
      <c r="D413" s="4"/>
      <c r="E413" s="5"/>
      <c r="F413" s="4"/>
      <c r="G413" s="4"/>
      <c r="H413" s="4"/>
      <c r="I413" s="4"/>
      <c r="J413" s="4"/>
      <c r="K413" s="4"/>
      <c r="L413" s="4"/>
      <c r="M413" s="4"/>
      <c r="N413" s="4"/>
      <c r="O413" s="4"/>
      <c r="P413" s="4"/>
      <c r="Q413" s="4"/>
      <c r="R413" s="4"/>
    </row>
    <row r="414" spans="1:18" ht="17.399999999999999" x14ac:dyDescent="0.25">
      <c r="A414" s="4"/>
      <c r="B414" s="23"/>
      <c r="C414" s="4"/>
      <c r="D414" s="4"/>
      <c r="E414" s="5"/>
      <c r="F414" s="4"/>
      <c r="G414" s="4"/>
      <c r="H414" s="4"/>
      <c r="I414" s="4"/>
      <c r="J414" s="4"/>
      <c r="K414" s="4"/>
      <c r="L414" s="4"/>
      <c r="M414" s="4"/>
      <c r="N414" s="4"/>
      <c r="O414" s="4"/>
      <c r="P414" s="4"/>
      <c r="Q414" s="4"/>
      <c r="R414" s="4"/>
    </row>
    <row r="415" spans="1:18" ht="17.399999999999999" x14ac:dyDescent="0.25">
      <c r="A415" s="4"/>
      <c r="B415" s="23"/>
      <c r="C415" s="4"/>
      <c r="D415" s="4"/>
      <c r="E415" s="5"/>
      <c r="F415" s="4"/>
      <c r="G415" s="4"/>
      <c r="H415" s="4"/>
      <c r="I415" s="4"/>
      <c r="J415" s="4"/>
      <c r="K415" s="4"/>
      <c r="L415" s="4"/>
      <c r="M415" s="4"/>
      <c r="N415" s="4"/>
      <c r="O415" s="4"/>
      <c r="P415" s="4"/>
      <c r="Q415" s="4"/>
      <c r="R415" s="4"/>
    </row>
    <row r="416" spans="1:18" ht="17.399999999999999" x14ac:dyDescent="0.25">
      <c r="A416" s="4"/>
      <c r="B416" s="23"/>
      <c r="C416" s="4"/>
      <c r="D416" s="4"/>
      <c r="E416" s="5"/>
      <c r="F416" s="4"/>
      <c r="G416" s="4"/>
      <c r="H416" s="4"/>
      <c r="I416" s="4"/>
      <c r="J416" s="4"/>
      <c r="K416" s="4"/>
      <c r="L416" s="4"/>
      <c r="M416" s="4"/>
      <c r="N416" s="4"/>
      <c r="O416" s="4"/>
      <c r="P416" s="4"/>
      <c r="Q416" s="4"/>
      <c r="R416" s="4"/>
    </row>
    <row r="417" spans="1:18" ht="17.399999999999999" x14ac:dyDescent="0.25">
      <c r="A417" s="4"/>
      <c r="B417" s="23"/>
      <c r="C417" s="4"/>
      <c r="D417" s="4"/>
      <c r="E417" s="5"/>
      <c r="F417" s="4"/>
      <c r="G417" s="4"/>
      <c r="H417" s="4"/>
      <c r="I417" s="4"/>
      <c r="J417" s="4"/>
      <c r="K417" s="4"/>
      <c r="L417" s="4"/>
      <c r="M417" s="4"/>
      <c r="N417" s="4"/>
      <c r="O417" s="4"/>
      <c r="P417" s="4"/>
      <c r="Q417" s="4"/>
      <c r="R417" s="4"/>
    </row>
    <row r="418" spans="1:18" ht="17.399999999999999" x14ac:dyDescent="0.25">
      <c r="A418" s="4"/>
      <c r="B418" s="23"/>
      <c r="C418" s="4"/>
      <c r="D418" s="4"/>
      <c r="E418" s="5"/>
      <c r="F418" s="4"/>
      <c r="G418" s="4"/>
      <c r="H418" s="4"/>
      <c r="I418" s="4"/>
      <c r="J418" s="4"/>
      <c r="K418" s="4"/>
      <c r="L418" s="4"/>
      <c r="M418" s="4"/>
      <c r="N418" s="4"/>
      <c r="O418" s="4"/>
      <c r="P418" s="4"/>
      <c r="Q418" s="4"/>
      <c r="R418" s="4"/>
    </row>
    <row r="419" spans="1:18" ht="17.399999999999999" x14ac:dyDescent="0.25">
      <c r="A419" s="4"/>
      <c r="B419" s="23"/>
      <c r="C419" s="4"/>
      <c r="D419" s="4"/>
      <c r="E419" s="5"/>
      <c r="F419" s="4"/>
      <c r="G419" s="4"/>
      <c r="H419" s="4"/>
      <c r="I419" s="4"/>
      <c r="J419" s="4"/>
      <c r="K419" s="4"/>
      <c r="L419" s="4"/>
      <c r="M419" s="4"/>
      <c r="N419" s="4"/>
      <c r="O419" s="4"/>
      <c r="P419" s="4"/>
      <c r="Q419" s="4"/>
      <c r="R419" s="4"/>
    </row>
    <row r="420" spans="1:18" ht="17.399999999999999" x14ac:dyDescent="0.25">
      <c r="A420" s="4"/>
      <c r="B420" s="23"/>
      <c r="C420" s="4"/>
      <c r="D420" s="4"/>
      <c r="E420" s="5"/>
      <c r="F420" s="4"/>
      <c r="G420" s="4"/>
      <c r="H420" s="4"/>
      <c r="I420" s="4"/>
      <c r="J420" s="4"/>
      <c r="K420" s="4"/>
      <c r="L420" s="4"/>
      <c r="M420" s="4"/>
      <c r="N420" s="4"/>
      <c r="O420" s="4"/>
      <c r="P420" s="4"/>
      <c r="Q420" s="4"/>
      <c r="R420" s="4"/>
    </row>
    <row r="421" spans="1:18" ht="17.399999999999999" x14ac:dyDescent="0.25">
      <c r="A421" s="4"/>
      <c r="B421" s="23"/>
      <c r="C421" s="4"/>
      <c r="D421" s="4"/>
      <c r="E421" s="5"/>
      <c r="F421" s="4"/>
      <c r="G421" s="4"/>
      <c r="H421" s="4"/>
      <c r="I421" s="4"/>
      <c r="J421" s="4"/>
      <c r="K421" s="4"/>
      <c r="L421" s="4"/>
      <c r="M421" s="4"/>
      <c r="N421" s="4"/>
      <c r="O421" s="4"/>
      <c r="P421" s="4"/>
      <c r="Q421" s="4"/>
      <c r="R421" s="4"/>
    </row>
    <row r="422" spans="1:18" ht="17.399999999999999" x14ac:dyDescent="0.25">
      <c r="A422" s="4"/>
      <c r="B422" s="23"/>
      <c r="C422" s="4"/>
      <c r="D422" s="4"/>
      <c r="E422" s="5"/>
      <c r="F422" s="4"/>
      <c r="G422" s="4"/>
      <c r="H422" s="4"/>
      <c r="I422" s="4"/>
      <c r="J422" s="4"/>
      <c r="K422" s="4"/>
      <c r="L422" s="4"/>
      <c r="M422" s="4"/>
      <c r="N422" s="4"/>
      <c r="O422" s="4"/>
      <c r="P422" s="4"/>
      <c r="Q422" s="4"/>
      <c r="R422" s="4"/>
    </row>
    <row r="423" spans="1:18" ht="17.399999999999999" x14ac:dyDescent="0.25">
      <c r="A423" s="4"/>
      <c r="B423" s="23"/>
      <c r="C423" s="4"/>
      <c r="D423" s="4"/>
      <c r="E423" s="5"/>
      <c r="F423" s="4"/>
      <c r="G423" s="4"/>
      <c r="H423" s="4"/>
      <c r="I423" s="4"/>
      <c r="J423" s="4"/>
      <c r="K423" s="4"/>
      <c r="L423" s="4"/>
      <c r="M423" s="4"/>
      <c r="N423" s="4"/>
      <c r="O423" s="4"/>
      <c r="P423" s="4"/>
      <c r="Q423" s="4"/>
      <c r="R423" s="4"/>
    </row>
    <row r="424" spans="1:18" ht="17.399999999999999" x14ac:dyDescent="0.25">
      <c r="A424" s="4"/>
      <c r="B424" s="23"/>
      <c r="C424" s="4"/>
      <c r="D424" s="4"/>
      <c r="E424" s="5"/>
      <c r="F424" s="4"/>
      <c r="G424" s="4"/>
      <c r="H424" s="4"/>
      <c r="I424" s="4"/>
      <c r="J424" s="4"/>
      <c r="K424" s="4"/>
      <c r="L424" s="4"/>
      <c r="M424" s="4"/>
      <c r="N424" s="4"/>
      <c r="O424" s="4"/>
      <c r="P424" s="4"/>
      <c r="Q424" s="4"/>
      <c r="R424" s="4"/>
    </row>
    <row r="425" spans="1:18" ht="17.399999999999999" x14ac:dyDescent="0.25">
      <c r="A425" s="4"/>
      <c r="B425" s="23"/>
      <c r="C425" s="4"/>
      <c r="D425" s="4"/>
      <c r="E425" s="5"/>
      <c r="F425" s="4"/>
      <c r="G425" s="4"/>
      <c r="H425" s="4"/>
      <c r="I425" s="4"/>
      <c r="J425" s="4"/>
      <c r="K425" s="4"/>
      <c r="L425" s="4"/>
      <c r="M425" s="4"/>
      <c r="N425" s="4"/>
      <c r="O425" s="4"/>
      <c r="P425" s="4"/>
      <c r="Q425" s="4"/>
      <c r="R425" s="4"/>
    </row>
    <row r="426" spans="1:18" ht="17.399999999999999" x14ac:dyDescent="0.25">
      <c r="A426" s="4"/>
      <c r="B426" s="23"/>
      <c r="C426" s="4"/>
      <c r="D426" s="4"/>
      <c r="E426" s="5"/>
      <c r="F426" s="4"/>
      <c r="G426" s="4"/>
      <c r="H426" s="4"/>
      <c r="I426" s="4"/>
      <c r="J426" s="4"/>
      <c r="K426" s="4"/>
      <c r="L426" s="4"/>
      <c r="M426" s="4"/>
      <c r="N426" s="4"/>
      <c r="O426" s="4"/>
      <c r="P426" s="4"/>
      <c r="Q426" s="4"/>
      <c r="R426" s="4"/>
    </row>
    <row r="427" spans="1:18" ht="17.399999999999999" x14ac:dyDescent="0.25">
      <c r="A427" s="4"/>
      <c r="B427" s="23"/>
      <c r="C427" s="4"/>
      <c r="D427" s="4"/>
      <c r="E427" s="5"/>
      <c r="F427" s="4"/>
      <c r="G427" s="4"/>
      <c r="H427" s="4"/>
      <c r="I427" s="4"/>
      <c r="J427" s="4"/>
      <c r="K427" s="4"/>
      <c r="L427" s="4"/>
      <c r="M427" s="4"/>
      <c r="N427" s="4"/>
      <c r="O427" s="4"/>
      <c r="P427" s="4"/>
      <c r="Q427" s="4"/>
      <c r="R427" s="4"/>
    </row>
    <row r="428" spans="1:18" ht="17.399999999999999" x14ac:dyDescent="0.25">
      <c r="A428" s="4"/>
      <c r="B428" s="23"/>
      <c r="C428" s="4"/>
      <c r="D428" s="4"/>
      <c r="E428" s="5"/>
      <c r="F428" s="4"/>
      <c r="G428" s="4"/>
      <c r="H428" s="4"/>
      <c r="I428" s="4"/>
      <c r="J428" s="4"/>
      <c r="K428" s="4"/>
      <c r="L428" s="4"/>
      <c r="M428" s="4"/>
      <c r="N428" s="4"/>
      <c r="O428" s="4"/>
      <c r="P428" s="4"/>
      <c r="Q428" s="4"/>
      <c r="R428" s="4"/>
    </row>
    <row r="429" spans="1:18" ht="17.399999999999999" x14ac:dyDescent="0.25">
      <c r="A429" s="4"/>
      <c r="B429" s="23"/>
      <c r="C429" s="4"/>
      <c r="D429" s="4"/>
      <c r="E429" s="5"/>
      <c r="F429" s="4"/>
      <c r="G429" s="4"/>
      <c r="H429" s="4"/>
      <c r="I429" s="4"/>
      <c r="J429" s="4"/>
      <c r="K429" s="4"/>
      <c r="L429" s="4"/>
      <c r="M429" s="4"/>
      <c r="N429" s="4"/>
      <c r="O429" s="4"/>
      <c r="P429" s="4"/>
      <c r="Q429" s="4"/>
      <c r="R429" s="4"/>
    </row>
    <row r="430" spans="1:18" ht="17.399999999999999" x14ac:dyDescent="0.25">
      <c r="A430" s="4"/>
      <c r="B430" s="23"/>
      <c r="C430" s="4"/>
      <c r="D430" s="4"/>
      <c r="E430" s="5"/>
      <c r="F430" s="4"/>
      <c r="G430" s="4"/>
      <c r="H430" s="4"/>
      <c r="I430" s="4"/>
      <c r="J430" s="4"/>
      <c r="K430" s="4"/>
      <c r="L430" s="4"/>
      <c r="M430" s="4"/>
      <c r="N430" s="4"/>
      <c r="O430" s="4"/>
      <c r="P430" s="4"/>
      <c r="Q430" s="4"/>
      <c r="R430" s="4"/>
    </row>
    <row r="431" spans="1:18" ht="17.399999999999999" x14ac:dyDescent="0.25">
      <c r="A431" s="4"/>
      <c r="B431" s="23"/>
      <c r="C431" s="4"/>
      <c r="D431" s="4"/>
      <c r="E431" s="5"/>
      <c r="F431" s="4"/>
      <c r="G431" s="4"/>
      <c r="H431" s="4"/>
      <c r="I431" s="4"/>
      <c r="J431" s="4"/>
      <c r="K431" s="4"/>
      <c r="L431" s="4"/>
      <c r="M431" s="4"/>
      <c r="N431" s="4"/>
      <c r="O431" s="4"/>
      <c r="P431" s="4"/>
      <c r="Q431" s="4"/>
      <c r="R431" s="4"/>
    </row>
    <row r="432" spans="1:18" ht="17.399999999999999" x14ac:dyDescent="0.25">
      <c r="A432" s="4"/>
      <c r="B432" s="23"/>
      <c r="C432" s="4"/>
      <c r="D432" s="4"/>
      <c r="E432" s="5"/>
      <c r="F432" s="4"/>
      <c r="G432" s="4"/>
      <c r="H432" s="4"/>
      <c r="I432" s="4"/>
      <c r="J432" s="4"/>
      <c r="K432" s="4"/>
      <c r="L432" s="4"/>
      <c r="M432" s="4"/>
      <c r="N432" s="4"/>
      <c r="O432" s="4"/>
      <c r="P432" s="4"/>
      <c r="Q432" s="4"/>
      <c r="R432" s="4"/>
    </row>
    <row r="433" spans="1:18" ht="17.399999999999999" x14ac:dyDescent="0.25">
      <c r="A433" s="4"/>
      <c r="B433" s="23"/>
      <c r="C433" s="4"/>
      <c r="D433" s="4"/>
      <c r="E433" s="5"/>
      <c r="F433" s="4"/>
      <c r="G433" s="4"/>
      <c r="H433" s="4"/>
      <c r="I433" s="4"/>
      <c r="J433" s="4"/>
      <c r="K433" s="4"/>
      <c r="L433" s="4"/>
      <c r="M433" s="4"/>
      <c r="N433" s="4"/>
      <c r="O433" s="4"/>
      <c r="P433" s="4"/>
      <c r="Q433" s="4"/>
      <c r="R433" s="4"/>
    </row>
    <row r="434" spans="1:18" ht="17.399999999999999" x14ac:dyDescent="0.25">
      <c r="A434" s="4"/>
      <c r="B434" s="23"/>
      <c r="C434" s="4"/>
      <c r="D434" s="4"/>
      <c r="E434" s="5"/>
      <c r="F434" s="4"/>
      <c r="G434" s="4"/>
      <c r="H434" s="4"/>
      <c r="I434" s="4"/>
      <c r="J434" s="4"/>
      <c r="K434" s="4"/>
      <c r="L434" s="4"/>
      <c r="M434" s="4"/>
      <c r="N434" s="4"/>
      <c r="O434" s="4"/>
      <c r="P434" s="4"/>
      <c r="Q434" s="4"/>
      <c r="R434" s="4"/>
    </row>
    <row r="435" spans="1:18" ht="17.399999999999999" x14ac:dyDescent="0.25">
      <c r="A435" s="4"/>
      <c r="B435" s="23"/>
      <c r="C435" s="4"/>
      <c r="D435" s="4"/>
      <c r="E435" s="5"/>
      <c r="F435" s="4"/>
      <c r="G435" s="4"/>
      <c r="H435" s="4"/>
      <c r="I435" s="4"/>
      <c r="J435" s="4"/>
      <c r="K435" s="4"/>
      <c r="L435" s="4"/>
      <c r="M435" s="4"/>
      <c r="N435" s="4"/>
      <c r="O435" s="4"/>
      <c r="P435" s="4"/>
      <c r="Q435" s="4"/>
      <c r="R435" s="4"/>
    </row>
    <row r="436" spans="1:18" ht="17.399999999999999" x14ac:dyDescent="0.25">
      <c r="A436" s="4"/>
      <c r="B436" s="23"/>
      <c r="C436" s="4"/>
      <c r="D436" s="4"/>
      <c r="E436" s="5"/>
      <c r="F436" s="4"/>
      <c r="G436" s="4"/>
      <c r="H436" s="4"/>
      <c r="I436" s="4"/>
      <c r="J436" s="4"/>
      <c r="K436" s="4"/>
      <c r="L436" s="4"/>
      <c r="M436" s="4"/>
      <c r="N436" s="4"/>
      <c r="O436" s="4"/>
      <c r="P436" s="4"/>
      <c r="Q436" s="4"/>
      <c r="R436" s="4"/>
    </row>
    <row r="437" spans="1:18" ht="17.399999999999999" x14ac:dyDescent="0.25">
      <c r="A437" s="4"/>
      <c r="B437" s="23"/>
      <c r="C437" s="4"/>
      <c r="D437" s="4"/>
      <c r="E437" s="5"/>
      <c r="F437" s="4"/>
      <c r="G437" s="4"/>
      <c r="H437" s="4"/>
      <c r="I437" s="4"/>
      <c r="J437" s="4"/>
      <c r="K437" s="4"/>
      <c r="L437" s="4"/>
      <c r="M437" s="4"/>
      <c r="N437" s="4"/>
      <c r="O437" s="4"/>
      <c r="P437" s="4"/>
      <c r="Q437" s="4"/>
      <c r="R437" s="4"/>
    </row>
    <row r="438" spans="1:18" ht="17.399999999999999" x14ac:dyDescent="0.25">
      <c r="A438" s="4"/>
      <c r="B438" s="23"/>
      <c r="C438" s="4"/>
      <c r="D438" s="4"/>
      <c r="E438" s="5"/>
      <c r="F438" s="4"/>
      <c r="G438" s="4"/>
      <c r="H438" s="4"/>
      <c r="I438" s="4"/>
      <c r="J438" s="4"/>
      <c r="K438" s="4"/>
      <c r="L438" s="4"/>
      <c r="M438" s="4"/>
      <c r="N438" s="4"/>
      <c r="O438" s="4"/>
      <c r="P438" s="4"/>
      <c r="Q438" s="4"/>
      <c r="R438" s="4"/>
    </row>
    <row r="439" spans="1:18" ht="17.399999999999999" x14ac:dyDescent="0.25">
      <c r="A439" s="4"/>
      <c r="B439" s="23"/>
      <c r="C439" s="4"/>
      <c r="D439" s="4"/>
      <c r="E439" s="5"/>
      <c r="F439" s="4"/>
      <c r="G439" s="4"/>
      <c r="H439" s="4"/>
      <c r="I439" s="4"/>
      <c r="J439" s="4"/>
      <c r="K439" s="4"/>
      <c r="L439" s="4"/>
      <c r="M439" s="4"/>
      <c r="N439" s="4"/>
      <c r="O439" s="4"/>
      <c r="P439" s="4"/>
      <c r="Q439" s="4"/>
      <c r="R439" s="4"/>
    </row>
    <row r="440" spans="1:18" ht="17.399999999999999" x14ac:dyDescent="0.25">
      <c r="A440" s="4"/>
      <c r="B440" s="23"/>
      <c r="C440" s="4"/>
      <c r="D440" s="4"/>
      <c r="E440" s="5"/>
      <c r="F440" s="4"/>
      <c r="G440" s="4"/>
      <c r="H440" s="4"/>
      <c r="I440" s="4"/>
      <c r="J440" s="4"/>
      <c r="K440" s="4"/>
      <c r="L440" s="4"/>
      <c r="M440" s="4"/>
      <c r="N440" s="4"/>
      <c r="O440" s="4"/>
      <c r="P440" s="4"/>
      <c r="Q440" s="4"/>
      <c r="R440" s="4"/>
    </row>
    <row r="441" spans="1:18" ht="17.399999999999999" x14ac:dyDescent="0.25">
      <c r="A441" s="4"/>
      <c r="B441" s="23"/>
      <c r="C441" s="4"/>
      <c r="D441" s="4"/>
      <c r="E441" s="5"/>
      <c r="F441" s="4"/>
      <c r="G441" s="4"/>
      <c r="H441" s="4"/>
      <c r="I441" s="4"/>
      <c r="J441" s="4"/>
      <c r="K441" s="4"/>
      <c r="L441" s="4"/>
      <c r="M441" s="4"/>
      <c r="N441" s="4"/>
      <c r="O441" s="4"/>
      <c r="P441" s="4"/>
      <c r="Q441" s="4"/>
      <c r="R441" s="4"/>
    </row>
    <row r="442" spans="1:18" ht="17.399999999999999" x14ac:dyDescent="0.25">
      <c r="A442" s="4"/>
      <c r="B442" s="23"/>
      <c r="C442" s="4"/>
      <c r="D442" s="4"/>
      <c r="E442" s="5"/>
      <c r="F442" s="4"/>
      <c r="G442" s="4"/>
      <c r="H442" s="4"/>
      <c r="I442" s="4"/>
      <c r="J442" s="4"/>
      <c r="K442" s="4"/>
      <c r="L442" s="4"/>
      <c r="M442" s="4"/>
      <c r="N442" s="4"/>
      <c r="O442" s="4"/>
      <c r="P442" s="4"/>
      <c r="Q442" s="4"/>
      <c r="R442" s="4"/>
    </row>
    <row r="443" spans="1:18" ht="17.399999999999999" x14ac:dyDescent="0.25">
      <c r="A443" s="4"/>
      <c r="B443" s="23"/>
      <c r="C443" s="4"/>
      <c r="D443" s="4"/>
      <c r="E443" s="5"/>
      <c r="F443" s="4"/>
      <c r="G443" s="4"/>
      <c r="H443" s="4"/>
      <c r="I443" s="4"/>
      <c r="J443" s="4"/>
      <c r="K443" s="4"/>
      <c r="L443" s="4"/>
      <c r="M443" s="4"/>
      <c r="N443" s="4"/>
      <c r="O443" s="4"/>
      <c r="P443" s="4"/>
      <c r="Q443" s="4"/>
      <c r="R443" s="4"/>
    </row>
    <row r="444" spans="1:18" ht="17.399999999999999" x14ac:dyDescent="0.25">
      <c r="A444" s="4"/>
      <c r="B444" s="23"/>
      <c r="C444" s="4"/>
      <c r="D444" s="4"/>
      <c r="E444" s="5"/>
      <c r="F444" s="4"/>
      <c r="G444" s="4"/>
      <c r="H444" s="4"/>
      <c r="I444" s="4"/>
      <c r="J444" s="4"/>
      <c r="K444" s="4"/>
      <c r="L444" s="4"/>
      <c r="M444" s="4"/>
      <c r="N444" s="4"/>
      <c r="O444" s="4"/>
      <c r="P444" s="4"/>
      <c r="Q444" s="4"/>
      <c r="R444" s="4"/>
    </row>
    <row r="445" spans="1:18" ht="17.399999999999999" x14ac:dyDescent="0.25">
      <c r="A445" s="4"/>
      <c r="B445" s="23"/>
      <c r="C445" s="4"/>
      <c r="D445" s="4"/>
      <c r="E445" s="5"/>
      <c r="F445" s="4"/>
      <c r="G445" s="4"/>
      <c r="H445" s="4"/>
      <c r="I445" s="4"/>
      <c r="J445" s="4"/>
      <c r="K445" s="4"/>
      <c r="L445" s="4"/>
      <c r="M445" s="4"/>
      <c r="N445" s="4"/>
      <c r="O445" s="4"/>
      <c r="P445" s="4"/>
      <c r="Q445" s="4"/>
      <c r="R445" s="4"/>
    </row>
    <row r="446" spans="1:18" ht="17.399999999999999" x14ac:dyDescent="0.25">
      <c r="A446" s="4"/>
      <c r="B446" s="23"/>
      <c r="C446" s="4"/>
      <c r="D446" s="4"/>
      <c r="E446" s="5"/>
      <c r="F446" s="4"/>
      <c r="G446" s="4"/>
      <c r="H446" s="4"/>
      <c r="I446" s="4"/>
      <c r="J446" s="4"/>
      <c r="K446" s="4"/>
      <c r="L446" s="4"/>
      <c r="M446" s="4"/>
      <c r="N446" s="4"/>
      <c r="O446" s="4"/>
      <c r="P446" s="4"/>
      <c r="Q446" s="4"/>
      <c r="R446" s="4"/>
    </row>
    <row r="447" spans="1:18" ht="17.399999999999999" x14ac:dyDescent="0.25">
      <c r="A447" s="4"/>
      <c r="B447" s="23"/>
      <c r="C447" s="4"/>
      <c r="D447" s="4"/>
      <c r="E447" s="5"/>
      <c r="F447" s="4"/>
      <c r="G447" s="4"/>
      <c r="H447" s="4"/>
      <c r="I447" s="4"/>
      <c r="J447" s="4"/>
      <c r="K447" s="4"/>
      <c r="L447" s="4"/>
      <c r="M447" s="4"/>
      <c r="N447" s="4"/>
      <c r="O447" s="4"/>
      <c r="P447" s="4"/>
      <c r="Q447" s="4"/>
      <c r="R447" s="4"/>
    </row>
    <row r="448" spans="1:18" ht="17.399999999999999" x14ac:dyDescent="0.25">
      <c r="A448" s="4"/>
      <c r="B448" s="23"/>
      <c r="C448" s="4"/>
      <c r="D448" s="4"/>
      <c r="E448" s="5"/>
      <c r="F448" s="4"/>
      <c r="G448" s="4"/>
      <c r="H448" s="4"/>
      <c r="I448" s="4"/>
      <c r="J448" s="4"/>
      <c r="K448" s="4"/>
      <c r="L448" s="4"/>
      <c r="M448" s="4"/>
      <c r="N448" s="4"/>
      <c r="O448" s="4"/>
      <c r="P448" s="4"/>
      <c r="Q448" s="4"/>
      <c r="R448" s="4"/>
    </row>
    <row r="449" spans="1:18" ht="17.399999999999999" x14ac:dyDescent="0.25">
      <c r="A449" s="4"/>
      <c r="B449" s="23"/>
      <c r="C449" s="4"/>
      <c r="D449" s="4"/>
      <c r="E449" s="5"/>
      <c r="F449" s="4"/>
      <c r="G449" s="4"/>
      <c r="H449" s="4"/>
      <c r="I449" s="4"/>
      <c r="J449" s="4"/>
      <c r="K449" s="4"/>
      <c r="L449" s="4"/>
      <c r="M449" s="4"/>
      <c r="N449" s="4"/>
      <c r="O449" s="4"/>
      <c r="P449" s="4"/>
      <c r="Q449" s="4"/>
      <c r="R449" s="4"/>
    </row>
    <row r="450" spans="1:18" ht="17.399999999999999" x14ac:dyDescent="0.25">
      <c r="A450" s="4"/>
      <c r="B450" s="23"/>
      <c r="C450" s="4"/>
      <c r="D450" s="4"/>
      <c r="E450" s="5"/>
      <c r="F450" s="4"/>
      <c r="G450" s="4"/>
      <c r="H450" s="4"/>
      <c r="I450" s="4"/>
      <c r="J450" s="4"/>
      <c r="K450" s="4"/>
      <c r="L450" s="4"/>
      <c r="M450" s="4"/>
      <c r="N450" s="4"/>
      <c r="O450" s="4"/>
      <c r="P450" s="4"/>
      <c r="Q450" s="4"/>
      <c r="R450" s="4"/>
    </row>
    <row r="451" spans="1:18" ht="17.399999999999999" x14ac:dyDescent="0.25">
      <c r="A451" s="4"/>
      <c r="B451" s="23"/>
      <c r="C451" s="4"/>
      <c r="D451" s="4"/>
      <c r="E451" s="5"/>
      <c r="F451" s="4"/>
      <c r="G451" s="4"/>
      <c r="H451" s="4"/>
      <c r="I451" s="4"/>
      <c r="J451" s="4"/>
      <c r="K451" s="4"/>
      <c r="L451" s="4"/>
      <c r="M451" s="4"/>
      <c r="N451" s="4"/>
      <c r="O451" s="4"/>
      <c r="P451" s="4"/>
      <c r="Q451" s="4"/>
      <c r="R451" s="4"/>
    </row>
    <row r="452" spans="1:18" ht="17.399999999999999" x14ac:dyDescent="0.25">
      <c r="A452" s="4"/>
      <c r="B452" s="23"/>
      <c r="C452" s="4"/>
      <c r="D452" s="4"/>
      <c r="E452" s="5"/>
      <c r="F452" s="4"/>
      <c r="G452" s="4"/>
      <c r="H452" s="4"/>
      <c r="I452" s="4"/>
      <c r="J452" s="4"/>
      <c r="K452" s="4"/>
      <c r="L452" s="4"/>
      <c r="M452" s="4"/>
      <c r="N452" s="4"/>
      <c r="O452" s="4"/>
      <c r="P452" s="4"/>
      <c r="Q452" s="4"/>
      <c r="R452" s="4"/>
    </row>
    <row r="453" spans="1:18" ht="17.399999999999999" x14ac:dyDescent="0.25">
      <c r="A453" s="4"/>
      <c r="B453" s="23"/>
      <c r="C453" s="4"/>
      <c r="D453" s="4"/>
      <c r="E453" s="5"/>
      <c r="F453" s="4"/>
      <c r="G453" s="4"/>
      <c r="H453" s="4"/>
      <c r="I453" s="4"/>
      <c r="J453" s="4"/>
      <c r="K453" s="4"/>
      <c r="L453" s="4"/>
      <c r="M453" s="4"/>
      <c r="N453" s="4"/>
      <c r="O453" s="4"/>
      <c r="P453" s="4"/>
      <c r="Q453" s="4"/>
      <c r="R453" s="4"/>
    </row>
    <row r="454" spans="1:18" ht="17.399999999999999" x14ac:dyDescent="0.25">
      <c r="A454" s="4"/>
      <c r="B454" s="23"/>
      <c r="C454" s="4"/>
      <c r="D454" s="4"/>
      <c r="E454" s="5"/>
      <c r="F454" s="4"/>
      <c r="G454" s="4"/>
      <c r="H454" s="4"/>
      <c r="I454" s="4"/>
      <c r="J454" s="4"/>
      <c r="K454" s="4"/>
      <c r="L454" s="4"/>
      <c r="M454" s="4"/>
      <c r="N454" s="4"/>
      <c r="O454" s="4"/>
      <c r="P454" s="4"/>
      <c r="Q454" s="4"/>
      <c r="R454" s="4"/>
    </row>
    <row r="455" spans="1:18" ht="17.399999999999999" x14ac:dyDescent="0.25">
      <c r="A455" s="4"/>
      <c r="B455" s="23"/>
      <c r="C455" s="4"/>
      <c r="D455" s="4"/>
      <c r="E455" s="5"/>
      <c r="F455" s="4"/>
      <c r="G455" s="4"/>
      <c r="H455" s="4"/>
      <c r="I455" s="4"/>
      <c r="J455" s="4"/>
      <c r="K455" s="4"/>
      <c r="L455" s="4"/>
      <c r="M455" s="4"/>
      <c r="N455" s="4"/>
      <c r="O455" s="4"/>
      <c r="P455" s="4"/>
      <c r="Q455" s="4"/>
      <c r="R455" s="4"/>
    </row>
    <row r="456" spans="1:18" ht="17.399999999999999" x14ac:dyDescent="0.25">
      <c r="A456" s="4"/>
      <c r="B456" s="23"/>
      <c r="C456" s="4"/>
      <c r="D456" s="4"/>
      <c r="E456" s="5"/>
      <c r="F456" s="4"/>
      <c r="G456" s="4"/>
      <c r="H456" s="4"/>
      <c r="I456" s="4"/>
      <c r="J456" s="4"/>
      <c r="K456" s="4"/>
      <c r="L456" s="4"/>
      <c r="M456" s="4"/>
      <c r="N456" s="4"/>
      <c r="O456" s="4"/>
      <c r="P456" s="4"/>
      <c r="Q456" s="4"/>
      <c r="R456" s="4"/>
    </row>
    <row r="457" spans="1:18" ht="17.399999999999999" x14ac:dyDescent="0.25">
      <c r="A457" s="4"/>
      <c r="B457" s="23"/>
      <c r="C457" s="4"/>
      <c r="D457" s="4"/>
      <c r="E457" s="5"/>
      <c r="F457" s="4"/>
      <c r="G457" s="4"/>
      <c r="H457" s="4"/>
      <c r="I457" s="4"/>
      <c r="J457" s="4"/>
      <c r="K457" s="4"/>
      <c r="L457" s="4"/>
      <c r="M457" s="4"/>
      <c r="N457" s="4"/>
      <c r="O457" s="4"/>
      <c r="P457" s="4"/>
      <c r="Q457" s="4"/>
      <c r="R457" s="4"/>
    </row>
    <row r="458" spans="1:18" ht="17.399999999999999" x14ac:dyDescent="0.25">
      <c r="A458" s="4"/>
      <c r="B458" s="23"/>
      <c r="C458" s="4"/>
      <c r="D458" s="4"/>
      <c r="E458" s="5"/>
      <c r="F458" s="4"/>
      <c r="G458" s="4"/>
      <c r="H458" s="4"/>
      <c r="I458" s="4"/>
      <c r="J458" s="4"/>
      <c r="K458" s="4"/>
      <c r="L458" s="4"/>
      <c r="M458" s="4"/>
      <c r="N458" s="4"/>
      <c r="O458" s="4"/>
      <c r="P458" s="4"/>
      <c r="Q458" s="4"/>
      <c r="R458" s="4"/>
    </row>
    <row r="459" spans="1:18" ht="17.399999999999999" x14ac:dyDescent="0.25">
      <c r="A459" s="4"/>
      <c r="B459" s="23"/>
      <c r="C459" s="4"/>
      <c r="D459" s="4"/>
      <c r="E459" s="5"/>
      <c r="F459" s="4"/>
      <c r="G459" s="4"/>
      <c r="H459" s="4"/>
      <c r="I459" s="4"/>
      <c r="J459" s="4"/>
      <c r="K459" s="4"/>
      <c r="L459" s="4"/>
      <c r="M459" s="4"/>
      <c r="N459" s="4"/>
      <c r="O459" s="4"/>
      <c r="P459" s="4"/>
      <c r="Q459" s="4"/>
      <c r="R459" s="4"/>
    </row>
    <row r="460" spans="1:18" ht="17.399999999999999" x14ac:dyDescent="0.25">
      <c r="A460" s="4"/>
      <c r="B460" s="23"/>
      <c r="C460" s="4"/>
      <c r="D460" s="4"/>
      <c r="E460" s="5"/>
      <c r="F460" s="4"/>
      <c r="G460" s="4"/>
      <c r="H460" s="4"/>
      <c r="I460" s="4"/>
      <c r="J460" s="4"/>
      <c r="K460" s="4"/>
      <c r="L460" s="4"/>
      <c r="M460" s="4"/>
      <c r="N460" s="4"/>
      <c r="O460" s="4"/>
      <c r="P460" s="4"/>
      <c r="Q460" s="4"/>
      <c r="R460" s="4"/>
    </row>
    <row r="461" spans="1:18" ht="17.399999999999999" x14ac:dyDescent="0.25">
      <c r="A461" s="4"/>
      <c r="B461" s="23"/>
      <c r="C461" s="4"/>
      <c r="D461" s="4"/>
      <c r="E461" s="5"/>
      <c r="F461" s="4"/>
      <c r="G461" s="4"/>
      <c r="H461" s="4"/>
      <c r="I461" s="4"/>
      <c r="J461" s="4"/>
      <c r="K461" s="4"/>
      <c r="L461" s="4"/>
      <c r="M461" s="4"/>
      <c r="N461" s="4"/>
      <c r="O461" s="4"/>
      <c r="P461" s="4"/>
      <c r="Q461" s="4"/>
      <c r="R461" s="4"/>
    </row>
    <row r="462" spans="1:18" ht="17.399999999999999" x14ac:dyDescent="0.25">
      <c r="A462" s="4"/>
      <c r="B462" s="23"/>
      <c r="C462" s="4"/>
      <c r="D462" s="4"/>
      <c r="E462" s="5"/>
      <c r="F462" s="4"/>
      <c r="G462" s="4"/>
      <c r="H462" s="4"/>
      <c r="I462" s="4"/>
      <c r="J462" s="4"/>
      <c r="K462" s="4"/>
      <c r="L462" s="4"/>
      <c r="M462" s="4"/>
      <c r="N462" s="4"/>
      <c r="O462" s="4"/>
      <c r="P462" s="4"/>
      <c r="Q462" s="4"/>
      <c r="R462" s="4"/>
    </row>
    <row r="463" spans="1:18" ht="17.399999999999999" x14ac:dyDescent="0.25">
      <c r="A463" s="4"/>
      <c r="B463" s="23"/>
      <c r="C463" s="4"/>
      <c r="D463" s="4"/>
      <c r="E463" s="5"/>
      <c r="F463" s="4"/>
      <c r="G463" s="4"/>
      <c r="H463" s="4"/>
      <c r="I463" s="4"/>
      <c r="J463" s="4"/>
      <c r="K463" s="4"/>
      <c r="L463" s="4"/>
      <c r="M463" s="4"/>
      <c r="N463" s="4"/>
      <c r="O463" s="4"/>
      <c r="P463" s="4"/>
      <c r="Q463" s="4"/>
      <c r="R463" s="4"/>
    </row>
    <row r="464" spans="1:18" ht="17.399999999999999" x14ac:dyDescent="0.25">
      <c r="A464" s="4"/>
      <c r="B464" s="23"/>
      <c r="C464" s="4"/>
      <c r="D464" s="4"/>
      <c r="E464" s="5"/>
      <c r="F464" s="4"/>
      <c r="G464" s="4"/>
      <c r="H464" s="4"/>
      <c r="I464" s="4"/>
      <c r="J464" s="4"/>
      <c r="K464" s="4"/>
      <c r="L464" s="4"/>
      <c r="M464" s="4"/>
      <c r="N464" s="4"/>
      <c r="O464" s="4"/>
      <c r="P464" s="4"/>
      <c r="Q464" s="4"/>
      <c r="R464" s="4"/>
    </row>
    <row r="465" spans="1:18" ht="17.399999999999999" x14ac:dyDescent="0.25">
      <c r="A465" s="4"/>
      <c r="B465" s="23"/>
      <c r="C465" s="4"/>
      <c r="D465" s="4"/>
      <c r="E465" s="5"/>
      <c r="F465" s="4"/>
      <c r="G465" s="4"/>
      <c r="H465" s="4"/>
      <c r="I465" s="4"/>
      <c r="J465" s="4"/>
      <c r="K465" s="4"/>
      <c r="L465" s="4"/>
      <c r="M465" s="4"/>
      <c r="N465" s="4"/>
      <c r="O465" s="4"/>
      <c r="P465" s="4"/>
      <c r="Q465" s="4"/>
      <c r="R465" s="4"/>
    </row>
    <row r="466" spans="1:18" ht="17.399999999999999" x14ac:dyDescent="0.25">
      <c r="A466" s="4"/>
      <c r="B466" s="23"/>
      <c r="C466" s="4"/>
      <c r="D466" s="4"/>
      <c r="E466" s="5"/>
      <c r="F466" s="4"/>
      <c r="G466" s="4"/>
      <c r="H466" s="4"/>
      <c r="I466" s="4"/>
      <c r="J466" s="4"/>
      <c r="K466" s="4"/>
      <c r="L466" s="4"/>
      <c r="M466" s="4"/>
      <c r="N466" s="4"/>
      <c r="O466" s="4"/>
      <c r="P466" s="4"/>
      <c r="Q466" s="4"/>
      <c r="R466" s="4"/>
    </row>
    <row r="467" spans="1:18" ht="17.399999999999999" x14ac:dyDescent="0.25">
      <c r="A467" s="4"/>
      <c r="B467" s="23"/>
      <c r="C467" s="4"/>
      <c r="D467" s="4"/>
      <c r="E467" s="5"/>
      <c r="F467" s="4"/>
      <c r="G467" s="4"/>
      <c r="H467" s="4"/>
      <c r="I467" s="4"/>
      <c r="J467" s="4"/>
      <c r="K467" s="4"/>
      <c r="L467" s="4"/>
      <c r="M467" s="4"/>
      <c r="N467" s="4"/>
      <c r="O467" s="4"/>
      <c r="P467" s="4"/>
      <c r="Q467" s="4"/>
      <c r="R467" s="4"/>
    </row>
    <row r="468" spans="1:18" ht="17.399999999999999" x14ac:dyDescent="0.25">
      <c r="A468" s="4"/>
      <c r="B468" s="23"/>
      <c r="C468" s="4"/>
      <c r="D468" s="4"/>
      <c r="E468" s="5"/>
      <c r="F468" s="4"/>
      <c r="G468" s="4"/>
      <c r="H468" s="4"/>
      <c r="I468" s="4"/>
      <c r="J468" s="4"/>
      <c r="K468" s="4"/>
      <c r="L468" s="4"/>
      <c r="M468" s="4"/>
      <c r="N468" s="4"/>
      <c r="O468" s="4"/>
      <c r="P468" s="4"/>
      <c r="Q468" s="4"/>
      <c r="R468" s="4"/>
    </row>
    <row r="469" spans="1:18" ht="17.399999999999999" x14ac:dyDescent="0.25">
      <c r="A469" s="4"/>
      <c r="B469" s="23"/>
      <c r="C469" s="4"/>
      <c r="D469" s="4"/>
      <c r="E469" s="5"/>
      <c r="F469" s="4"/>
      <c r="G469" s="4"/>
      <c r="H469" s="4"/>
      <c r="I469" s="4"/>
      <c r="J469" s="4"/>
      <c r="K469" s="4"/>
      <c r="L469" s="4"/>
      <c r="M469" s="4"/>
      <c r="N469" s="4"/>
      <c r="O469" s="4"/>
      <c r="P469" s="4"/>
      <c r="Q469" s="4"/>
      <c r="R469" s="4"/>
    </row>
    <row r="470" spans="1:18" ht="17.399999999999999" x14ac:dyDescent="0.25">
      <c r="A470" s="4"/>
      <c r="B470" s="23"/>
      <c r="C470" s="4"/>
      <c r="D470" s="4"/>
      <c r="E470" s="5"/>
      <c r="F470" s="4"/>
      <c r="G470" s="4"/>
      <c r="H470" s="4"/>
      <c r="I470" s="4"/>
      <c r="J470" s="4"/>
      <c r="K470" s="4"/>
      <c r="L470" s="4"/>
      <c r="M470" s="4"/>
      <c r="N470" s="4"/>
      <c r="O470" s="4"/>
      <c r="P470" s="4"/>
      <c r="Q470" s="4"/>
      <c r="R470" s="4"/>
    </row>
    <row r="471" spans="1:18" ht="17.399999999999999" x14ac:dyDescent="0.25">
      <c r="A471" s="4"/>
      <c r="B471" s="23"/>
      <c r="C471" s="4"/>
      <c r="D471" s="4"/>
      <c r="E471" s="5"/>
      <c r="F471" s="4"/>
      <c r="G471" s="4"/>
      <c r="H471" s="4"/>
      <c r="I471" s="4"/>
      <c r="J471" s="4"/>
      <c r="K471" s="4"/>
      <c r="L471" s="4"/>
      <c r="M471" s="4"/>
      <c r="N471" s="4"/>
      <c r="O471" s="4"/>
      <c r="P471" s="4"/>
      <c r="Q471" s="4"/>
      <c r="R471" s="4"/>
    </row>
    <row r="472" spans="1:18" ht="17.399999999999999" x14ac:dyDescent="0.25">
      <c r="A472" s="4"/>
      <c r="B472" s="23"/>
      <c r="C472" s="4"/>
      <c r="D472" s="4"/>
      <c r="E472" s="5"/>
      <c r="F472" s="4"/>
      <c r="G472" s="4"/>
      <c r="H472" s="4"/>
      <c r="I472" s="4"/>
      <c r="J472" s="4"/>
      <c r="K472" s="4"/>
      <c r="L472" s="4"/>
      <c r="M472" s="4"/>
      <c r="N472" s="4"/>
      <c r="O472" s="4"/>
      <c r="P472" s="4"/>
      <c r="Q472" s="4"/>
      <c r="R472" s="4"/>
    </row>
    <row r="473" spans="1:18" ht="17.399999999999999" x14ac:dyDescent="0.25">
      <c r="A473" s="4"/>
      <c r="B473" s="23"/>
      <c r="C473" s="4"/>
      <c r="D473" s="4"/>
      <c r="E473" s="5"/>
      <c r="F473" s="4"/>
      <c r="G473" s="4"/>
      <c r="H473" s="4"/>
      <c r="I473" s="4"/>
      <c r="J473" s="4"/>
      <c r="K473" s="4"/>
      <c r="L473" s="4"/>
      <c r="M473" s="4"/>
      <c r="N473" s="4"/>
      <c r="O473" s="4"/>
      <c r="P473" s="4"/>
      <c r="Q473" s="4"/>
      <c r="R473" s="4"/>
    </row>
    <row r="474" spans="1:18" ht="17.399999999999999" x14ac:dyDescent="0.25">
      <c r="A474" s="4"/>
      <c r="B474" s="23"/>
      <c r="C474" s="4"/>
      <c r="D474" s="4"/>
      <c r="E474" s="5"/>
      <c r="F474" s="4"/>
      <c r="G474" s="4"/>
      <c r="H474" s="4"/>
      <c r="I474" s="4"/>
      <c r="J474" s="4"/>
      <c r="K474" s="4"/>
      <c r="L474" s="4"/>
      <c r="M474" s="4"/>
      <c r="N474" s="4"/>
      <c r="O474" s="4"/>
      <c r="P474" s="4"/>
      <c r="Q474" s="4"/>
      <c r="R474" s="4"/>
    </row>
    <row r="475" spans="1:18" ht="17.399999999999999" x14ac:dyDescent="0.25">
      <c r="A475" s="4"/>
      <c r="B475" s="23"/>
      <c r="C475" s="4"/>
      <c r="D475" s="4"/>
      <c r="E475" s="5"/>
      <c r="F475" s="4"/>
      <c r="G475" s="4"/>
      <c r="H475" s="4"/>
      <c r="I475" s="4"/>
      <c r="J475" s="4"/>
      <c r="K475" s="4"/>
      <c r="L475" s="4"/>
      <c r="M475" s="4"/>
      <c r="N475" s="4"/>
      <c r="O475" s="4"/>
      <c r="P475" s="4"/>
      <c r="Q475" s="4"/>
      <c r="R475" s="4"/>
    </row>
    <row r="476" spans="1:18" ht="17.399999999999999" x14ac:dyDescent="0.25">
      <c r="A476" s="4"/>
      <c r="B476" s="23"/>
      <c r="C476" s="4"/>
      <c r="D476" s="4"/>
      <c r="E476" s="5"/>
      <c r="F476" s="4"/>
      <c r="G476" s="4"/>
      <c r="H476" s="4"/>
      <c r="I476" s="4"/>
      <c r="J476" s="4"/>
      <c r="K476" s="4"/>
      <c r="L476" s="4"/>
      <c r="M476" s="4"/>
      <c r="N476" s="4"/>
      <c r="O476" s="4"/>
      <c r="P476" s="4"/>
      <c r="Q476" s="4"/>
      <c r="R476" s="4"/>
    </row>
    <row r="477" spans="1:18" ht="17.399999999999999" x14ac:dyDescent="0.25">
      <c r="A477" s="4"/>
      <c r="B477" s="23"/>
      <c r="C477" s="4"/>
      <c r="D477" s="4"/>
      <c r="E477" s="5"/>
      <c r="F477" s="4"/>
      <c r="G477" s="4"/>
      <c r="H477" s="4"/>
      <c r="I477" s="4"/>
      <c r="J477" s="4"/>
      <c r="K477" s="4"/>
      <c r="L477" s="4"/>
      <c r="M477" s="4"/>
      <c r="N477" s="4"/>
      <c r="O477" s="4"/>
      <c r="P477" s="4"/>
      <c r="Q477" s="4"/>
      <c r="R477" s="4"/>
    </row>
    <row r="478" spans="1:18" ht="17.399999999999999" x14ac:dyDescent="0.25">
      <c r="A478" s="4"/>
      <c r="B478" s="23"/>
      <c r="C478" s="4"/>
      <c r="D478" s="4"/>
      <c r="E478" s="5"/>
      <c r="F478" s="4"/>
      <c r="G478" s="4"/>
      <c r="H478" s="4"/>
      <c r="I478" s="4"/>
      <c r="J478" s="4"/>
      <c r="K478" s="4"/>
      <c r="L478" s="4"/>
      <c r="M478" s="4"/>
      <c r="N478" s="4"/>
      <c r="O478" s="4"/>
      <c r="P478" s="4"/>
      <c r="Q478" s="4"/>
      <c r="R478" s="4"/>
    </row>
    <row r="479" spans="1:18" ht="17.399999999999999" x14ac:dyDescent="0.25">
      <c r="A479" s="4"/>
      <c r="B479" s="23"/>
      <c r="C479" s="4"/>
      <c r="D479" s="4"/>
      <c r="E479" s="5"/>
      <c r="F479" s="4"/>
      <c r="G479" s="4"/>
      <c r="H479" s="4"/>
      <c r="I479" s="4"/>
      <c r="J479" s="4"/>
      <c r="K479" s="4"/>
      <c r="L479" s="4"/>
      <c r="M479" s="4"/>
      <c r="N479" s="4"/>
      <c r="O479" s="4"/>
      <c r="P479" s="4"/>
      <c r="Q479" s="4"/>
      <c r="R479" s="4"/>
    </row>
    <row r="480" spans="1:18" ht="17.399999999999999" x14ac:dyDescent="0.25">
      <c r="A480" s="4"/>
      <c r="B480" s="23"/>
      <c r="C480" s="4"/>
      <c r="D480" s="4"/>
      <c r="E480" s="5"/>
      <c r="F480" s="4"/>
      <c r="G480" s="4"/>
      <c r="H480" s="4"/>
      <c r="I480" s="4"/>
      <c r="J480" s="4"/>
      <c r="K480" s="4"/>
      <c r="L480" s="4"/>
      <c r="M480" s="4"/>
      <c r="N480" s="4"/>
      <c r="O480" s="4"/>
      <c r="P480" s="4"/>
      <c r="Q480" s="4"/>
      <c r="R480" s="4"/>
    </row>
    <row r="481" spans="1:18" ht="17.399999999999999" x14ac:dyDescent="0.25">
      <c r="A481" s="4"/>
      <c r="B481" s="23"/>
      <c r="C481" s="4"/>
      <c r="D481" s="4"/>
      <c r="E481" s="5"/>
      <c r="F481" s="4"/>
      <c r="G481" s="4"/>
      <c r="H481" s="4"/>
      <c r="I481" s="4"/>
      <c r="J481" s="4"/>
      <c r="K481" s="4"/>
      <c r="L481" s="4"/>
      <c r="M481" s="4"/>
      <c r="N481" s="4"/>
      <c r="O481" s="4"/>
      <c r="P481" s="4"/>
      <c r="Q481" s="4"/>
      <c r="R481" s="4"/>
    </row>
    <row r="482" spans="1:18" ht="17.399999999999999" x14ac:dyDescent="0.25">
      <c r="A482" s="4"/>
      <c r="B482" s="23"/>
      <c r="C482" s="4"/>
      <c r="D482" s="4"/>
      <c r="E482" s="5"/>
      <c r="F482" s="4"/>
      <c r="G482" s="4"/>
      <c r="H482" s="4"/>
      <c r="I482" s="4"/>
      <c r="J482" s="4"/>
      <c r="K482" s="4"/>
      <c r="L482" s="4"/>
      <c r="M482" s="4"/>
      <c r="N482" s="4"/>
      <c r="O482" s="4"/>
      <c r="P482" s="4"/>
      <c r="Q482" s="4"/>
      <c r="R482" s="4"/>
    </row>
    <row r="483" spans="1:18" ht="17.399999999999999" x14ac:dyDescent="0.25">
      <c r="A483" s="4"/>
      <c r="B483" s="23"/>
      <c r="C483" s="4"/>
      <c r="D483" s="4"/>
      <c r="E483" s="5"/>
      <c r="F483" s="4"/>
      <c r="G483" s="4"/>
      <c r="H483" s="4"/>
      <c r="I483" s="4"/>
      <c r="J483" s="4"/>
      <c r="K483" s="4"/>
      <c r="L483" s="4"/>
      <c r="M483" s="4"/>
      <c r="N483" s="4"/>
      <c r="O483" s="4"/>
      <c r="P483" s="4"/>
      <c r="Q483" s="4"/>
      <c r="R483" s="4"/>
    </row>
    <row r="484" spans="1:18" ht="17.399999999999999" x14ac:dyDescent="0.25">
      <c r="A484" s="4"/>
      <c r="B484" s="23"/>
      <c r="C484" s="4"/>
      <c r="D484" s="4"/>
      <c r="E484" s="5"/>
      <c r="F484" s="4"/>
      <c r="G484" s="4"/>
      <c r="H484" s="4"/>
      <c r="I484" s="4"/>
      <c r="J484" s="4"/>
      <c r="K484" s="4"/>
      <c r="L484" s="4"/>
      <c r="M484" s="4"/>
      <c r="N484" s="4"/>
      <c r="O484" s="4"/>
      <c r="P484" s="4"/>
      <c r="Q484" s="4"/>
      <c r="R484" s="4"/>
    </row>
    <row r="485" spans="1:18" ht="17.399999999999999" x14ac:dyDescent="0.25">
      <c r="A485" s="4"/>
      <c r="B485" s="23"/>
      <c r="C485" s="4"/>
      <c r="D485" s="4"/>
      <c r="E485" s="5"/>
      <c r="F485" s="4"/>
      <c r="G485" s="4"/>
      <c r="H485" s="4"/>
      <c r="I485" s="4"/>
      <c r="J485" s="4"/>
      <c r="K485" s="4"/>
      <c r="L485" s="4"/>
      <c r="M485" s="4"/>
      <c r="N485" s="4"/>
      <c r="O485" s="4"/>
      <c r="P485" s="4"/>
      <c r="Q485" s="4"/>
      <c r="R485" s="4"/>
    </row>
    <row r="486" spans="1:18" ht="17.399999999999999" x14ac:dyDescent="0.25">
      <c r="A486" s="4"/>
      <c r="B486" s="23"/>
      <c r="C486" s="4"/>
      <c r="D486" s="4"/>
      <c r="E486" s="5"/>
      <c r="F486" s="4"/>
      <c r="G486" s="4"/>
      <c r="H486" s="4"/>
      <c r="I486" s="4"/>
      <c r="J486" s="4"/>
      <c r="K486" s="4"/>
      <c r="L486" s="4"/>
      <c r="M486" s="4"/>
      <c r="N486" s="4"/>
      <c r="O486" s="4"/>
      <c r="P486" s="4"/>
      <c r="Q486" s="4"/>
      <c r="R486" s="4"/>
    </row>
    <row r="487" spans="1:18" ht="17.399999999999999" x14ac:dyDescent="0.25">
      <c r="A487" s="4"/>
      <c r="B487" s="23"/>
      <c r="C487" s="4"/>
      <c r="D487" s="4"/>
      <c r="E487" s="5"/>
      <c r="F487" s="4"/>
      <c r="G487" s="4"/>
      <c r="H487" s="4"/>
      <c r="I487" s="4"/>
      <c r="J487" s="4"/>
      <c r="K487" s="4"/>
      <c r="L487" s="4"/>
      <c r="M487" s="4"/>
      <c r="N487" s="4"/>
      <c r="O487" s="4"/>
      <c r="P487" s="4"/>
      <c r="Q487" s="4"/>
      <c r="R487" s="4"/>
    </row>
    <row r="488" spans="1:18" ht="17.399999999999999" x14ac:dyDescent="0.25">
      <c r="A488" s="4"/>
      <c r="B488" s="23"/>
      <c r="C488" s="4"/>
      <c r="D488" s="4"/>
      <c r="E488" s="5"/>
      <c r="F488" s="4"/>
      <c r="G488" s="4"/>
      <c r="H488" s="4"/>
      <c r="I488" s="4"/>
      <c r="J488" s="4"/>
      <c r="K488" s="4"/>
      <c r="L488" s="4"/>
      <c r="M488" s="4"/>
      <c r="N488" s="4"/>
      <c r="O488" s="4"/>
      <c r="P488" s="4"/>
      <c r="Q488" s="4"/>
      <c r="R488" s="4"/>
    </row>
    <row r="489" spans="1:18" ht="17.399999999999999" x14ac:dyDescent="0.25">
      <c r="A489" s="4"/>
      <c r="B489" s="23"/>
      <c r="C489" s="4"/>
      <c r="D489" s="4"/>
      <c r="E489" s="5"/>
      <c r="F489" s="4"/>
      <c r="G489" s="4"/>
      <c r="H489" s="4"/>
      <c r="I489" s="4"/>
      <c r="J489" s="4"/>
      <c r="K489" s="4"/>
      <c r="L489" s="4"/>
      <c r="M489" s="4"/>
      <c r="N489" s="4"/>
      <c r="O489" s="4"/>
      <c r="P489" s="4"/>
      <c r="Q489" s="4"/>
      <c r="R489" s="4"/>
    </row>
    <row r="490" spans="1:18" ht="17.399999999999999" x14ac:dyDescent="0.25">
      <c r="A490" s="4"/>
      <c r="B490" s="23"/>
      <c r="C490" s="4"/>
      <c r="D490" s="4"/>
      <c r="E490" s="5"/>
      <c r="F490" s="4"/>
      <c r="G490" s="4"/>
      <c r="H490" s="4"/>
      <c r="I490" s="4"/>
      <c r="J490" s="4"/>
      <c r="K490" s="4"/>
      <c r="L490" s="4"/>
      <c r="M490" s="4"/>
      <c r="N490" s="4"/>
      <c r="O490" s="4"/>
      <c r="P490" s="4"/>
      <c r="Q490" s="4"/>
      <c r="R490" s="4"/>
    </row>
    <row r="491" spans="1:18" ht="17.399999999999999" x14ac:dyDescent="0.25">
      <c r="A491" s="4"/>
      <c r="B491" s="23"/>
      <c r="C491" s="4"/>
      <c r="D491" s="4"/>
      <c r="E491" s="5"/>
      <c r="F491" s="4"/>
      <c r="G491" s="4"/>
      <c r="H491" s="4"/>
      <c r="I491" s="4"/>
      <c r="J491" s="4"/>
      <c r="K491" s="4"/>
      <c r="L491" s="4"/>
      <c r="M491" s="4"/>
      <c r="N491" s="4"/>
      <c r="O491" s="4"/>
      <c r="P491" s="4"/>
      <c r="Q491" s="4"/>
      <c r="R491" s="4"/>
    </row>
    <row r="492" spans="1:18" ht="17.399999999999999" x14ac:dyDescent="0.25">
      <c r="A492" s="4"/>
      <c r="B492" s="23"/>
      <c r="C492" s="4"/>
      <c r="D492" s="4"/>
      <c r="E492" s="5"/>
      <c r="F492" s="4"/>
      <c r="G492" s="4"/>
      <c r="H492" s="4"/>
      <c r="I492" s="4"/>
      <c r="J492" s="4"/>
      <c r="K492" s="4"/>
      <c r="L492" s="4"/>
      <c r="M492" s="4"/>
      <c r="N492" s="4"/>
      <c r="O492" s="4"/>
      <c r="P492" s="4"/>
      <c r="Q492" s="4"/>
      <c r="R492" s="4"/>
    </row>
    <row r="493" spans="1:18" ht="17.399999999999999" x14ac:dyDescent="0.25">
      <c r="A493" s="4"/>
      <c r="B493" s="23"/>
      <c r="C493" s="4"/>
      <c r="D493" s="4"/>
      <c r="E493" s="5"/>
      <c r="F493" s="4"/>
      <c r="G493" s="4"/>
      <c r="H493" s="4"/>
      <c r="I493" s="4"/>
      <c r="J493" s="4"/>
      <c r="K493" s="4"/>
      <c r="L493" s="4"/>
      <c r="M493" s="4"/>
      <c r="N493" s="4"/>
      <c r="O493" s="4"/>
      <c r="P493" s="4"/>
      <c r="Q493" s="4"/>
      <c r="R493" s="4"/>
    </row>
    <row r="494" spans="1:18" ht="17.399999999999999" x14ac:dyDescent="0.25">
      <c r="A494" s="4"/>
      <c r="B494" s="23"/>
      <c r="C494" s="4"/>
      <c r="D494" s="4"/>
      <c r="E494" s="5"/>
      <c r="F494" s="4"/>
      <c r="G494" s="4"/>
      <c r="H494" s="4"/>
      <c r="I494" s="4"/>
      <c r="J494" s="4"/>
      <c r="K494" s="4"/>
      <c r="L494" s="4"/>
      <c r="M494" s="4"/>
      <c r="N494" s="4"/>
      <c r="O494" s="4"/>
      <c r="P494" s="4"/>
      <c r="Q494" s="4"/>
      <c r="R494" s="4"/>
    </row>
    <row r="495" spans="1:18" ht="17.399999999999999" x14ac:dyDescent="0.25">
      <c r="A495" s="4"/>
      <c r="B495" s="23"/>
      <c r="C495" s="4"/>
      <c r="D495" s="4"/>
      <c r="E495" s="5"/>
      <c r="F495" s="4"/>
      <c r="G495" s="4"/>
      <c r="H495" s="4"/>
      <c r="I495" s="4"/>
      <c r="J495" s="4"/>
      <c r="K495" s="4"/>
      <c r="L495" s="4"/>
      <c r="M495" s="4"/>
      <c r="N495" s="4"/>
      <c r="O495" s="4"/>
      <c r="P495" s="4"/>
      <c r="Q495" s="4"/>
      <c r="R495" s="4"/>
    </row>
    <row r="496" spans="1:18" ht="17.399999999999999" x14ac:dyDescent="0.25">
      <c r="A496" s="4"/>
      <c r="B496" s="23"/>
      <c r="C496" s="4"/>
      <c r="D496" s="4"/>
      <c r="E496" s="5"/>
      <c r="F496" s="4"/>
      <c r="G496" s="4"/>
      <c r="H496" s="4"/>
      <c r="I496" s="4"/>
      <c r="J496" s="4"/>
      <c r="K496" s="4"/>
      <c r="L496" s="4"/>
      <c r="M496" s="4"/>
      <c r="N496" s="4"/>
      <c r="O496" s="4"/>
      <c r="P496" s="4"/>
      <c r="Q496" s="4"/>
      <c r="R496" s="4"/>
    </row>
    <row r="497" spans="1:18" ht="17.399999999999999" x14ac:dyDescent="0.25">
      <c r="A497" s="4"/>
      <c r="B497" s="23"/>
      <c r="C497" s="4"/>
      <c r="D497" s="4"/>
      <c r="E497" s="5"/>
      <c r="F497" s="4"/>
      <c r="G497" s="4"/>
      <c r="H497" s="4"/>
      <c r="I497" s="4"/>
      <c r="J497" s="4"/>
      <c r="K497" s="4"/>
      <c r="L497" s="4"/>
      <c r="M497" s="4"/>
      <c r="N497" s="4"/>
      <c r="O497" s="4"/>
      <c r="P497" s="4"/>
      <c r="Q497" s="4"/>
      <c r="R497" s="4"/>
    </row>
    <row r="498" spans="1:18" ht="17.399999999999999" x14ac:dyDescent="0.25">
      <c r="A498" s="4"/>
      <c r="B498" s="23"/>
      <c r="C498" s="4"/>
      <c r="D498" s="4"/>
      <c r="E498" s="5"/>
      <c r="F498" s="4"/>
      <c r="G498" s="4"/>
      <c r="H498" s="4"/>
      <c r="I498" s="4"/>
      <c r="J498" s="4"/>
      <c r="K498" s="4"/>
      <c r="L498" s="4"/>
      <c r="M498" s="4"/>
      <c r="N498" s="4"/>
      <c r="O498" s="4"/>
      <c r="P498" s="4"/>
      <c r="Q498" s="4"/>
      <c r="R498" s="4"/>
    </row>
    <row r="499" spans="1:18" ht="17.399999999999999" x14ac:dyDescent="0.25">
      <c r="A499" s="4"/>
      <c r="B499" s="23"/>
      <c r="C499" s="4"/>
      <c r="D499" s="4"/>
      <c r="E499" s="5"/>
      <c r="F499" s="4"/>
      <c r="G499" s="4"/>
      <c r="H499" s="4"/>
      <c r="I499" s="4"/>
      <c r="J499" s="4"/>
      <c r="K499" s="4"/>
      <c r="L499" s="4"/>
      <c r="M499" s="4"/>
      <c r="N499" s="4"/>
      <c r="O499" s="4"/>
      <c r="P499" s="4"/>
      <c r="Q499" s="4"/>
      <c r="R499" s="4"/>
    </row>
    <row r="500" spans="1:18" ht="17.399999999999999" x14ac:dyDescent="0.25">
      <c r="A500" s="4"/>
      <c r="B500" s="23"/>
      <c r="C500" s="4"/>
      <c r="D500" s="4"/>
      <c r="E500" s="5"/>
      <c r="F500" s="4"/>
      <c r="G500" s="4"/>
      <c r="H500" s="4"/>
      <c r="I500" s="4"/>
      <c r="J500" s="4"/>
      <c r="K500" s="4"/>
      <c r="L500" s="4"/>
      <c r="M500" s="4"/>
      <c r="N500" s="4"/>
      <c r="O500" s="4"/>
      <c r="P500" s="4"/>
      <c r="Q500" s="4"/>
      <c r="R500" s="4"/>
    </row>
    <row r="501" spans="1:18" ht="17.399999999999999" x14ac:dyDescent="0.25">
      <c r="A501" s="4"/>
      <c r="B501" s="23"/>
      <c r="C501" s="4"/>
      <c r="D501" s="4"/>
      <c r="E501" s="5"/>
      <c r="F501" s="4"/>
      <c r="G501" s="4"/>
      <c r="H501" s="4"/>
      <c r="I501" s="4"/>
      <c r="J501" s="4"/>
      <c r="K501" s="4"/>
      <c r="L501" s="4"/>
      <c r="M501" s="4"/>
      <c r="N501" s="4"/>
      <c r="O501" s="4"/>
      <c r="P501" s="4"/>
      <c r="Q501" s="4"/>
      <c r="R501" s="4"/>
    </row>
    <row r="502" spans="1:18" ht="17.399999999999999" x14ac:dyDescent="0.25">
      <c r="A502" s="4"/>
      <c r="B502" s="23"/>
      <c r="C502" s="4"/>
      <c r="D502" s="4"/>
      <c r="E502" s="5"/>
      <c r="F502" s="4"/>
      <c r="G502" s="4"/>
      <c r="H502" s="4"/>
      <c r="I502" s="4"/>
      <c r="J502" s="4"/>
      <c r="K502" s="4"/>
      <c r="L502" s="4"/>
      <c r="M502" s="4"/>
      <c r="N502" s="4"/>
      <c r="O502" s="4"/>
      <c r="P502" s="4"/>
      <c r="Q502" s="4"/>
      <c r="R502" s="4"/>
    </row>
    <row r="503" spans="1:18" ht="17.399999999999999" x14ac:dyDescent="0.25">
      <c r="A503" s="4"/>
      <c r="B503" s="23"/>
      <c r="C503" s="4"/>
      <c r="D503" s="4"/>
      <c r="E503" s="5"/>
      <c r="F503" s="4"/>
      <c r="G503" s="4"/>
      <c r="H503" s="4"/>
      <c r="I503" s="4"/>
      <c r="J503" s="4"/>
      <c r="K503" s="4"/>
      <c r="L503" s="4"/>
      <c r="M503" s="4"/>
      <c r="N503" s="4"/>
      <c r="O503" s="4"/>
      <c r="P503" s="4"/>
      <c r="Q503" s="4"/>
      <c r="R503" s="4"/>
    </row>
    <row r="504" spans="1:18" ht="17.399999999999999" x14ac:dyDescent="0.25">
      <c r="A504" s="4"/>
      <c r="B504" s="23"/>
      <c r="C504" s="4"/>
      <c r="D504" s="4"/>
      <c r="E504" s="5"/>
      <c r="F504" s="4"/>
      <c r="G504" s="4"/>
      <c r="H504" s="4"/>
      <c r="I504" s="4"/>
      <c r="J504" s="4"/>
      <c r="K504" s="4"/>
      <c r="L504" s="4"/>
      <c r="M504" s="4"/>
      <c r="N504" s="4"/>
      <c r="O504" s="4"/>
      <c r="P504" s="4"/>
      <c r="Q504" s="4"/>
      <c r="R504" s="4"/>
    </row>
    <row r="505" spans="1:18" ht="17.399999999999999" x14ac:dyDescent="0.25">
      <c r="A505" s="4"/>
      <c r="B505" s="23"/>
      <c r="C505" s="4"/>
      <c r="D505" s="4"/>
      <c r="E505" s="5"/>
      <c r="F505" s="4"/>
      <c r="G505" s="4"/>
      <c r="H505" s="4"/>
      <c r="I505" s="4"/>
      <c r="J505" s="4"/>
      <c r="K505" s="4"/>
      <c r="L505" s="4"/>
      <c r="M505" s="4"/>
      <c r="N505" s="4"/>
      <c r="O505" s="4"/>
      <c r="P505" s="4"/>
      <c r="Q505" s="4"/>
      <c r="R505" s="4"/>
    </row>
    <row r="506" spans="1:18" ht="17.399999999999999" x14ac:dyDescent="0.25">
      <c r="A506" s="4"/>
      <c r="B506" s="23"/>
      <c r="C506" s="4"/>
      <c r="D506" s="4"/>
      <c r="E506" s="5"/>
      <c r="F506" s="4"/>
      <c r="G506" s="4"/>
      <c r="H506" s="4"/>
      <c r="I506" s="4"/>
      <c r="J506" s="4"/>
      <c r="K506" s="4"/>
      <c r="L506" s="4"/>
      <c r="M506" s="4"/>
      <c r="N506" s="4"/>
      <c r="O506" s="4"/>
      <c r="P506" s="4"/>
      <c r="Q506" s="4"/>
      <c r="R506" s="4"/>
    </row>
    <row r="507" spans="1:18" ht="17.399999999999999" x14ac:dyDescent="0.25">
      <c r="A507" s="4"/>
      <c r="B507" s="23"/>
      <c r="C507" s="4"/>
      <c r="D507" s="4"/>
      <c r="E507" s="5"/>
      <c r="F507" s="4"/>
      <c r="G507" s="4"/>
      <c r="H507" s="4"/>
      <c r="I507" s="4"/>
      <c r="J507" s="4"/>
      <c r="K507" s="4"/>
      <c r="L507" s="4"/>
      <c r="M507" s="4"/>
      <c r="N507" s="4"/>
      <c r="O507" s="4"/>
      <c r="P507" s="4"/>
      <c r="Q507" s="4"/>
      <c r="R507" s="4"/>
    </row>
    <row r="508" spans="1:18" ht="17.399999999999999" x14ac:dyDescent="0.25">
      <c r="A508" s="4"/>
      <c r="B508" s="23"/>
      <c r="C508" s="4"/>
      <c r="D508" s="4"/>
      <c r="E508" s="5"/>
      <c r="F508" s="4"/>
      <c r="G508" s="4"/>
      <c r="H508" s="4"/>
      <c r="I508" s="4"/>
      <c r="J508" s="4"/>
      <c r="K508" s="4"/>
      <c r="L508" s="4"/>
      <c r="M508" s="4"/>
      <c r="N508" s="4"/>
      <c r="O508" s="4"/>
      <c r="P508" s="4"/>
      <c r="Q508" s="4"/>
      <c r="R508" s="4"/>
    </row>
    <row r="509" spans="1:18" ht="17.399999999999999" x14ac:dyDescent="0.25">
      <c r="A509" s="4"/>
      <c r="B509" s="23"/>
      <c r="C509" s="4"/>
      <c r="D509" s="4"/>
      <c r="E509" s="5"/>
      <c r="F509" s="4"/>
      <c r="G509" s="4"/>
      <c r="H509" s="4"/>
      <c r="I509" s="4"/>
      <c r="J509" s="4"/>
      <c r="K509" s="4"/>
      <c r="L509" s="4"/>
      <c r="M509" s="4"/>
      <c r="N509" s="4"/>
      <c r="O509" s="4"/>
      <c r="P509" s="4"/>
      <c r="Q509" s="4"/>
      <c r="R509" s="4"/>
    </row>
    <row r="510" spans="1:18" ht="17.399999999999999" x14ac:dyDescent="0.25">
      <c r="A510" s="4"/>
      <c r="B510" s="23"/>
      <c r="C510" s="4"/>
      <c r="D510" s="4"/>
      <c r="E510" s="5"/>
      <c r="F510" s="4"/>
      <c r="G510" s="4"/>
      <c r="H510" s="4"/>
      <c r="I510" s="4"/>
      <c r="J510" s="4"/>
      <c r="K510" s="4"/>
      <c r="L510" s="4"/>
      <c r="M510" s="4"/>
      <c r="N510" s="4"/>
      <c r="O510" s="4"/>
      <c r="P510" s="4"/>
      <c r="Q510" s="4"/>
      <c r="R510" s="4"/>
    </row>
    <row r="511" spans="1:18" ht="17.399999999999999" x14ac:dyDescent="0.25">
      <c r="A511" s="4"/>
      <c r="B511" s="23"/>
      <c r="C511" s="4"/>
      <c r="D511" s="4"/>
      <c r="E511" s="5"/>
      <c r="F511" s="4"/>
      <c r="G511" s="4"/>
      <c r="H511" s="4"/>
      <c r="I511" s="4"/>
      <c r="J511" s="4"/>
      <c r="K511" s="4"/>
      <c r="L511" s="4"/>
      <c r="M511" s="4"/>
      <c r="N511" s="4"/>
      <c r="O511" s="4"/>
      <c r="P511" s="4"/>
      <c r="Q511" s="4"/>
      <c r="R511" s="4"/>
    </row>
    <row r="512" spans="1:18" ht="17.399999999999999" x14ac:dyDescent="0.25">
      <c r="A512" s="4"/>
      <c r="B512" s="23"/>
      <c r="C512" s="4"/>
      <c r="D512" s="4"/>
      <c r="E512" s="5"/>
      <c r="F512" s="4"/>
      <c r="G512" s="4"/>
      <c r="H512" s="4"/>
      <c r="I512" s="4"/>
      <c r="J512" s="4"/>
      <c r="K512" s="4"/>
      <c r="L512" s="4"/>
      <c r="M512" s="4"/>
      <c r="N512" s="4"/>
      <c r="O512" s="4"/>
      <c r="P512" s="4"/>
      <c r="Q512" s="4"/>
      <c r="R512" s="4"/>
    </row>
    <row r="513" spans="1:18" ht="17.399999999999999" x14ac:dyDescent="0.25">
      <c r="A513" s="4"/>
      <c r="B513" s="23"/>
      <c r="C513" s="4"/>
      <c r="D513" s="4"/>
      <c r="E513" s="5"/>
      <c r="F513" s="4"/>
      <c r="G513" s="4"/>
      <c r="H513" s="4"/>
      <c r="I513" s="4"/>
      <c r="J513" s="4"/>
      <c r="K513" s="4"/>
      <c r="L513" s="4"/>
      <c r="M513" s="4"/>
      <c r="N513" s="4"/>
      <c r="O513" s="4"/>
      <c r="P513" s="4"/>
      <c r="Q513" s="4"/>
      <c r="R513" s="4"/>
    </row>
    <row r="514" spans="1:18" ht="17.399999999999999" x14ac:dyDescent="0.25">
      <c r="A514" s="4"/>
      <c r="B514" s="23"/>
      <c r="C514" s="4"/>
      <c r="D514" s="4"/>
      <c r="E514" s="5"/>
      <c r="F514" s="4"/>
      <c r="G514" s="4"/>
      <c r="H514" s="4"/>
      <c r="I514" s="4"/>
      <c r="J514" s="4"/>
      <c r="K514" s="4"/>
      <c r="L514" s="4"/>
      <c r="M514" s="4"/>
      <c r="N514" s="4"/>
      <c r="O514" s="4"/>
      <c r="P514" s="4"/>
      <c r="Q514" s="4"/>
      <c r="R514" s="4"/>
    </row>
    <row r="515" spans="1:18" ht="17.399999999999999" x14ac:dyDescent="0.25">
      <c r="A515" s="4"/>
      <c r="B515" s="23"/>
      <c r="C515" s="4"/>
      <c r="D515" s="4"/>
      <c r="E515" s="5"/>
      <c r="F515" s="4"/>
      <c r="G515" s="4"/>
      <c r="H515" s="4"/>
      <c r="I515" s="4"/>
      <c r="J515" s="4"/>
      <c r="K515" s="4"/>
      <c r="L515" s="4"/>
      <c r="M515" s="4"/>
      <c r="N515" s="4"/>
      <c r="O515" s="4"/>
      <c r="P515" s="4"/>
      <c r="Q515" s="4"/>
      <c r="R515" s="4"/>
    </row>
    <row r="516" spans="1:18" ht="17.399999999999999" x14ac:dyDescent="0.25">
      <c r="A516" s="4"/>
      <c r="B516" s="23"/>
      <c r="C516" s="4"/>
      <c r="D516" s="4"/>
      <c r="E516" s="5"/>
      <c r="F516" s="4"/>
      <c r="G516" s="4"/>
      <c r="H516" s="4"/>
      <c r="I516" s="4"/>
      <c r="J516" s="4"/>
      <c r="K516" s="4"/>
      <c r="L516" s="4"/>
      <c r="M516" s="4"/>
      <c r="N516" s="4"/>
      <c r="O516" s="4"/>
      <c r="P516" s="4"/>
      <c r="Q516" s="4"/>
      <c r="R516" s="4"/>
    </row>
    <row r="517" spans="1:18" ht="17.399999999999999" x14ac:dyDescent="0.25">
      <c r="A517" s="4"/>
      <c r="B517" s="23"/>
      <c r="C517" s="4"/>
      <c r="D517" s="4"/>
      <c r="E517" s="5"/>
      <c r="F517" s="4"/>
      <c r="G517" s="4"/>
      <c r="H517" s="4"/>
      <c r="I517" s="4"/>
      <c r="J517" s="4"/>
      <c r="K517" s="4"/>
      <c r="L517" s="4"/>
      <c r="M517" s="4"/>
      <c r="N517" s="4"/>
      <c r="O517" s="4"/>
      <c r="P517" s="4"/>
      <c r="Q517" s="4"/>
      <c r="R517" s="4"/>
    </row>
    <row r="518" spans="1:18" ht="17.399999999999999" x14ac:dyDescent="0.25">
      <c r="A518" s="4"/>
      <c r="B518" s="23"/>
      <c r="C518" s="4"/>
      <c r="D518" s="4"/>
      <c r="E518" s="5"/>
      <c r="F518" s="4"/>
      <c r="G518" s="4"/>
      <c r="H518" s="4"/>
      <c r="I518" s="4"/>
      <c r="J518" s="4"/>
      <c r="K518" s="4"/>
      <c r="L518" s="4"/>
      <c r="M518" s="4"/>
      <c r="N518" s="4"/>
      <c r="O518" s="4"/>
      <c r="P518" s="4"/>
      <c r="Q518" s="4"/>
      <c r="R518" s="4"/>
    </row>
    <row r="519" spans="1:18" ht="17.399999999999999" x14ac:dyDescent="0.25">
      <c r="A519" s="4"/>
      <c r="B519" s="23"/>
      <c r="C519" s="4"/>
      <c r="D519" s="4"/>
      <c r="E519" s="5"/>
      <c r="F519" s="4"/>
      <c r="G519" s="4"/>
      <c r="H519" s="4"/>
      <c r="I519" s="4"/>
      <c r="J519" s="4"/>
      <c r="K519" s="4"/>
      <c r="L519" s="4"/>
      <c r="M519" s="4"/>
      <c r="N519" s="4"/>
      <c r="O519" s="4"/>
      <c r="P519" s="4"/>
      <c r="Q519" s="4"/>
      <c r="R519" s="4"/>
    </row>
    <row r="520" spans="1:18" ht="17.399999999999999" x14ac:dyDescent="0.25">
      <c r="A520" s="4"/>
      <c r="B520" s="23"/>
      <c r="C520" s="4"/>
      <c r="D520" s="4"/>
      <c r="E520" s="5"/>
      <c r="F520" s="4"/>
      <c r="G520" s="4"/>
      <c r="H520" s="4"/>
      <c r="I520" s="4"/>
      <c r="J520" s="4"/>
      <c r="K520" s="4"/>
      <c r="L520" s="4"/>
      <c r="M520" s="4"/>
      <c r="N520" s="4"/>
      <c r="O520" s="4"/>
      <c r="P520" s="4"/>
      <c r="Q520" s="4"/>
      <c r="R520" s="4"/>
    </row>
    <row r="521" spans="1:18" ht="17.399999999999999" x14ac:dyDescent="0.25">
      <c r="A521" s="4"/>
      <c r="B521" s="23"/>
      <c r="C521" s="4"/>
      <c r="D521" s="4"/>
      <c r="E521" s="5"/>
      <c r="F521" s="4"/>
      <c r="G521" s="4"/>
      <c r="H521" s="4"/>
      <c r="I521" s="4"/>
      <c r="J521" s="4"/>
      <c r="K521" s="4"/>
      <c r="L521" s="4"/>
      <c r="M521" s="4"/>
      <c r="N521" s="4"/>
      <c r="O521" s="4"/>
      <c r="P521" s="4"/>
      <c r="Q521" s="4"/>
      <c r="R521" s="4"/>
    </row>
    <row r="522" spans="1:18" ht="17.399999999999999" x14ac:dyDescent="0.25">
      <c r="A522" s="4"/>
      <c r="B522" s="23"/>
      <c r="C522" s="4"/>
      <c r="D522" s="4"/>
      <c r="E522" s="5"/>
      <c r="F522" s="4"/>
      <c r="G522" s="4"/>
      <c r="H522" s="4"/>
      <c r="I522" s="4"/>
      <c r="J522" s="4"/>
      <c r="K522" s="4"/>
      <c r="L522" s="4"/>
      <c r="M522" s="4"/>
      <c r="N522" s="4"/>
      <c r="O522" s="4"/>
      <c r="P522" s="4"/>
      <c r="Q522" s="4"/>
      <c r="R522" s="4"/>
    </row>
    <row r="523" spans="1:18" ht="17.399999999999999" x14ac:dyDescent="0.25">
      <c r="A523" s="4"/>
      <c r="B523" s="23"/>
      <c r="C523" s="4"/>
      <c r="D523" s="4"/>
      <c r="E523" s="5"/>
      <c r="F523" s="4"/>
      <c r="G523" s="4"/>
      <c r="H523" s="4"/>
      <c r="I523" s="4"/>
      <c r="J523" s="4"/>
      <c r="K523" s="4"/>
      <c r="L523" s="4"/>
      <c r="M523" s="4"/>
      <c r="N523" s="4"/>
      <c r="O523" s="4"/>
      <c r="P523" s="4"/>
      <c r="Q523" s="4"/>
      <c r="R523" s="4"/>
    </row>
    <row r="524" spans="1:18" ht="17.399999999999999" x14ac:dyDescent="0.25">
      <c r="A524" s="4"/>
      <c r="B524" s="23"/>
      <c r="C524" s="4"/>
      <c r="D524" s="4"/>
      <c r="E524" s="5"/>
      <c r="F524" s="4"/>
      <c r="G524" s="4"/>
      <c r="H524" s="4"/>
      <c r="I524" s="4"/>
      <c r="J524" s="4"/>
      <c r="K524" s="4"/>
      <c r="L524" s="4"/>
      <c r="M524" s="4"/>
      <c r="N524" s="4"/>
      <c r="O524" s="4"/>
      <c r="P524" s="4"/>
      <c r="Q524" s="4"/>
      <c r="R524" s="4"/>
    </row>
    <row r="525" spans="1:18" ht="17.399999999999999" x14ac:dyDescent="0.25">
      <c r="A525" s="4"/>
      <c r="B525" s="23"/>
      <c r="C525" s="4"/>
      <c r="D525" s="4"/>
      <c r="E525" s="5"/>
      <c r="F525" s="4"/>
      <c r="G525" s="4"/>
      <c r="H525" s="4"/>
      <c r="I525" s="4"/>
      <c r="J525" s="4"/>
      <c r="K525" s="4"/>
      <c r="L525" s="4"/>
      <c r="M525" s="4"/>
      <c r="N525" s="4"/>
      <c r="O525" s="4"/>
      <c r="P525" s="4"/>
      <c r="Q525" s="4"/>
      <c r="R525" s="4"/>
    </row>
    <row r="526" spans="1:18" ht="17.399999999999999" x14ac:dyDescent="0.25">
      <c r="A526" s="4"/>
      <c r="B526" s="23"/>
      <c r="C526" s="4"/>
      <c r="D526" s="4"/>
      <c r="E526" s="5"/>
      <c r="F526" s="4"/>
      <c r="G526" s="4"/>
      <c r="H526" s="4"/>
      <c r="I526" s="4"/>
      <c r="J526" s="4"/>
      <c r="K526" s="4"/>
      <c r="L526" s="4"/>
      <c r="M526" s="4"/>
      <c r="N526" s="4"/>
      <c r="O526" s="4"/>
      <c r="P526" s="4"/>
      <c r="Q526" s="4"/>
      <c r="R526" s="4"/>
    </row>
    <row r="527" spans="1:18" ht="17.399999999999999" x14ac:dyDescent="0.25">
      <c r="A527" s="4"/>
      <c r="B527" s="23"/>
      <c r="C527" s="4"/>
      <c r="D527" s="4"/>
      <c r="E527" s="5"/>
      <c r="F527" s="4"/>
      <c r="G527" s="4"/>
      <c r="H527" s="4"/>
      <c r="I527" s="4"/>
      <c r="J527" s="4"/>
      <c r="K527" s="4"/>
      <c r="L527" s="4"/>
      <c r="M527" s="4"/>
      <c r="N527" s="4"/>
      <c r="O527" s="4"/>
      <c r="P527" s="4"/>
      <c r="Q527" s="4"/>
      <c r="R527" s="4"/>
    </row>
    <row r="528" spans="1:18" ht="17.399999999999999" x14ac:dyDescent="0.25">
      <c r="A528" s="4"/>
      <c r="B528" s="23"/>
      <c r="C528" s="4"/>
      <c r="D528" s="4"/>
      <c r="E528" s="5"/>
      <c r="F528" s="4"/>
      <c r="G528" s="4"/>
      <c r="H528" s="4"/>
      <c r="I528" s="4"/>
      <c r="J528" s="4"/>
      <c r="K528" s="4"/>
      <c r="L528" s="4"/>
      <c r="M528" s="4"/>
      <c r="N528" s="4"/>
      <c r="O528" s="4"/>
      <c r="P528" s="4"/>
      <c r="Q528" s="4"/>
      <c r="R528" s="4"/>
    </row>
    <row r="529" spans="1:18" ht="17.399999999999999" x14ac:dyDescent="0.25">
      <c r="A529" s="4"/>
      <c r="B529" s="23"/>
      <c r="C529" s="4"/>
      <c r="D529" s="4"/>
      <c r="E529" s="5"/>
      <c r="F529" s="4"/>
      <c r="G529" s="4"/>
      <c r="H529" s="4"/>
      <c r="I529" s="4"/>
      <c r="J529" s="4"/>
      <c r="K529" s="4"/>
      <c r="L529" s="4"/>
      <c r="M529" s="4"/>
      <c r="N529" s="4"/>
      <c r="O529" s="4"/>
      <c r="P529" s="4"/>
      <c r="Q529" s="4"/>
      <c r="R529" s="4"/>
    </row>
    <row r="530" spans="1:18" ht="17.399999999999999" x14ac:dyDescent="0.25">
      <c r="A530" s="4"/>
      <c r="B530" s="23"/>
      <c r="C530" s="4"/>
      <c r="D530" s="4"/>
      <c r="E530" s="5"/>
      <c r="F530" s="4"/>
      <c r="G530" s="4"/>
      <c r="H530" s="4"/>
      <c r="I530" s="4"/>
      <c r="J530" s="4"/>
      <c r="K530" s="4"/>
      <c r="L530" s="4"/>
      <c r="M530" s="4"/>
      <c r="N530" s="4"/>
      <c r="O530" s="4"/>
      <c r="P530" s="4"/>
      <c r="Q530" s="4"/>
      <c r="R530" s="4"/>
    </row>
    <row r="531" spans="1:18" ht="17.399999999999999" x14ac:dyDescent="0.25">
      <c r="A531" s="4"/>
      <c r="B531" s="23"/>
      <c r="C531" s="4"/>
      <c r="D531" s="4"/>
      <c r="E531" s="5"/>
      <c r="F531" s="4"/>
      <c r="G531" s="4"/>
      <c r="H531" s="4"/>
      <c r="I531" s="4"/>
      <c r="J531" s="4"/>
      <c r="K531" s="4"/>
      <c r="L531" s="4"/>
      <c r="M531" s="4"/>
      <c r="N531" s="4"/>
      <c r="O531" s="4"/>
      <c r="P531" s="4"/>
      <c r="Q531" s="4"/>
      <c r="R531" s="4"/>
    </row>
    <row r="532" spans="1:18" ht="17.399999999999999" x14ac:dyDescent="0.25">
      <c r="A532" s="4"/>
      <c r="B532" s="23"/>
      <c r="C532" s="4"/>
      <c r="D532" s="4"/>
      <c r="E532" s="5"/>
      <c r="F532" s="4"/>
      <c r="G532" s="4"/>
      <c r="H532" s="4"/>
      <c r="I532" s="4"/>
      <c r="J532" s="4"/>
      <c r="K532" s="4"/>
      <c r="L532" s="4"/>
      <c r="M532" s="4"/>
      <c r="N532" s="4"/>
      <c r="O532" s="4"/>
      <c r="P532" s="4"/>
      <c r="Q532" s="4"/>
      <c r="R532" s="4"/>
    </row>
    <row r="533" spans="1:18" ht="17.399999999999999" x14ac:dyDescent="0.25">
      <c r="A533" s="4"/>
      <c r="B533" s="23"/>
      <c r="C533" s="4"/>
      <c r="D533" s="4"/>
      <c r="E533" s="5"/>
      <c r="F533" s="4"/>
      <c r="G533" s="4"/>
      <c r="H533" s="4"/>
      <c r="I533" s="4"/>
      <c r="J533" s="4"/>
      <c r="K533" s="4"/>
      <c r="L533" s="4"/>
      <c r="M533" s="4"/>
      <c r="N533" s="4"/>
      <c r="O533" s="4"/>
      <c r="P533" s="4"/>
      <c r="Q533" s="4"/>
      <c r="R533" s="4"/>
    </row>
    <row r="534" spans="1:18" ht="17.399999999999999" x14ac:dyDescent="0.25">
      <c r="A534" s="4"/>
      <c r="B534" s="23"/>
      <c r="C534" s="4"/>
      <c r="D534" s="4"/>
      <c r="E534" s="5"/>
      <c r="F534" s="4"/>
      <c r="G534" s="4"/>
      <c r="H534" s="4"/>
      <c r="I534" s="4"/>
      <c r="J534" s="4"/>
      <c r="K534" s="4"/>
      <c r="L534" s="4"/>
      <c r="M534" s="4"/>
      <c r="N534" s="4"/>
      <c r="O534" s="4"/>
      <c r="P534" s="4"/>
      <c r="Q534" s="4"/>
      <c r="R534" s="4"/>
    </row>
    <row r="535" spans="1:18" ht="17.399999999999999" x14ac:dyDescent="0.25">
      <c r="A535" s="4"/>
      <c r="B535" s="23"/>
      <c r="C535" s="4"/>
      <c r="D535" s="4"/>
      <c r="E535" s="5"/>
      <c r="F535" s="4"/>
      <c r="G535" s="4"/>
      <c r="H535" s="4"/>
      <c r="I535" s="4"/>
      <c r="J535" s="4"/>
      <c r="K535" s="4"/>
      <c r="L535" s="4"/>
      <c r="M535" s="4"/>
      <c r="N535" s="4"/>
      <c r="O535" s="4"/>
      <c r="P535" s="4"/>
      <c r="Q535" s="4"/>
      <c r="R535" s="4"/>
    </row>
    <row r="536" spans="1:18" ht="17.399999999999999" x14ac:dyDescent="0.25">
      <c r="A536" s="4"/>
      <c r="B536" s="23"/>
      <c r="C536" s="4"/>
      <c r="D536" s="4"/>
      <c r="E536" s="5"/>
      <c r="F536" s="4"/>
      <c r="G536" s="4"/>
      <c r="H536" s="4"/>
      <c r="I536" s="4"/>
      <c r="J536" s="4"/>
      <c r="K536" s="4"/>
      <c r="L536" s="4"/>
      <c r="M536" s="4"/>
      <c r="N536" s="4"/>
      <c r="O536" s="4"/>
      <c r="P536" s="4"/>
      <c r="Q536" s="4"/>
      <c r="R536" s="4"/>
    </row>
    <row r="537" spans="1:18" ht="17.399999999999999" x14ac:dyDescent="0.25">
      <c r="A537" s="4"/>
      <c r="B537" s="23"/>
      <c r="C537" s="4"/>
      <c r="D537" s="4"/>
      <c r="E537" s="5"/>
      <c r="F537" s="4"/>
      <c r="G537" s="4"/>
      <c r="H537" s="4"/>
      <c r="I537" s="4"/>
      <c r="J537" s="4"/>
      <c r="K537" s="4"/>
      <c r="L537" s="4"/>
      <c r="M537" s="4"/>
      <c r="N537" s="4"/>
      <c r="O537" s="4"/>
      <c r="P537" s="4"/>
      <c r="Q537" s="4"/>
      <c r="R537" s="4"/>
    </row>
    <row r="538" spans="1:18" ht="17.399999999999999" x14ac:dyDescent="0.25">
      <c r="A538" s="4"/>
      <c r="B538" s="23"/>
      <c r="C538" s="4"/>
      <c r="D538" s="4"/>
      <c r="E538" s="5"/>
      <c r="F538" s="4"/>
      <c r="G538" s="4"/>
      <c r="H538" s="4"/>
      <c r="I538" s="4"/>
      <c r="J538" s="4"/>
      <c r="K538" s="4"/>
      <c r="L538" s="4"/>
      <c r="M538" s="4"/>
      <c r="N538" s="4"/>
      <c r="O538" s="4"/>
      <c r="P538" s="4"/>
      <c r="Q538" s="4"/>
      <c r="R538" s="4"/>
    </row>
    <row r="539" spans="1:18" ht="17.399999999999999" x14ac:dyDescent="0.25">
      <c r="A539" s="4"/>
      <c r="B539" s="23"/>
      <c r="C539" s="4"/>
      <c r="D539" s="4"/>
      <c r="E539" s="5"/>
      <c r="F539" s="4"/>
      <c r="G539" s="4"/>
      <c r="H539" s="4"/>
      <c r="I539" s="4"/>
      <c r="J539" s="4"/>
      <c r="K539" s="4"/>
      <c r="L539" s="4"/>
      <c r="M539" s="4"/>
      <c r="N539" s="4"/>
      <c r="O539" s="4"/>
      <c r="P539" s="4"/>
      <c r="Q539" s="4"/>
      <c r="R539" s="4"/>
    </row>
    <row r="540" spans="1:18" ht="17.399999999999999" x14ac:dyDescent="0.25">
      <c r="A540" s="4"/>
      <c r="B540" s="23"/>
      <c r="C540" s="4"/>
      <c r="D540" s="4"/>
      <c r="E540" s="5"/>
      <c r="F540" s="4"/>
      <c r="G540" s="4"/>
      <c r="H540" s="4"/>
      <c r="I540" s="4"/>
      <c r="J540" s="4"/>
      <c r="K540" s="4"/>
      <c r="L540" s="4"/>
      <c r="M540" s="4"/>
      <c r="N540" s="4"/>
      <c r="O540" s="4"/>
      <c r="P540" s="4"/>
      <c r="Q540" s="4"/>
      <c r="R540" s="4"/>
    </row>
    <row r="541" spans="1:18" ht="17.399999999999999" x14ac:dyDescent="0.25">
      <c r="A541" s="4"/>
      <c r="B541" s="23"/>
      <c r="C541" s="4"/>
      <c r="D541" s="4"/>
      <c r="E541" s="5"/>
      <c r="F541" s="4"/>
      <c r="G541" s="4"/>
      <c r="H541" s="4"/>
      <c r="I541" s="4"/>
      <c r="J541" s="4"/>
      <c r="K541" s="4"/>
      <c r="L541" s="4"/>
      <c r="M541" s="4"/>
      <c r="N541" s="4"/>
      <c r="O541" s="4"/>
      <c r="P541" s="4"/>
      <c r="Q541" s="4"/>
      <c r="R541" s="4"/>
    </row>
    <row r="542" spans="1:18" ht="17.399999999999999" x14ac:dyDescent="0.25">
      <c r="A542" s="4"/>
      <c r="B542" s="23"/>
      <c r="C542" s="4"/>
      <c r="D542" s="4"/>
      <c r="E542" s="5"/>
      <c r="F542" s="4"/>
      <c r="G542" s="4"/>
      <c r="H542" s="4"/>
      <c r="I542" s="4"/>
      <c r="J542" s="4"/>
      <c r="K542" s="4"/>
      <c r="L542" s="4"/>
      <c r="M542" s="4"/>
      <c r="N542" s="4"/>
      <c r="O542" s="4"/>
      <c r="P542" s="4"/>
      <c r="Q542" s="4"/>
      <c r="R542" s="4"/>
    </row>
    <row r="543" spans="1:18" ht="17.399999999999999" x14ac:dyDescent="0.25">
      <c r="A543" s="4"/>
      <c r="B543" s="23"/>
      <c r="C543" s="4"/>
      <c r="D543" s="4"/>
      <c r="E543" s="5"/>
      <c r="F543" s="4"/>
      <c r="G543" s="4"/>
      <c r="H543" s="4"/>
      <c r="I543" s="4"/>
      <c r="J543" s="4"/>
      <c r="K543" s="4"/>
      <c r="L543" s="4"/>
      <c r="M543" s="4"/>
      <c r="N543" s="4"/>
      <c r="O543" s="4"/>
      <c r="P543" s="4"/>
      <c r="Q543" s="4"/>
      <c r="R543" s="4"/>
    </row>
    <row r="544" spans="1:18" ht="17.399999999999999" x14ac:dyDescent="0.25">
      <c r="A544" s="4"/>
      <c r="B544" s="23"/>
      <c r="C544" s="4"/>
      <c r="D544" s="4"/>
      <c r="E544" s="5"/>
      <c r="F544" s="4"/>
      <c r="G544" s="4"/>
      <c r="H544" s="4"/>
      <c r="I544" s="4"/>
      <c r="J544" s="4"/>
      <c r="K544" s="4"/>
      <c r="L544" s="4"/>
      <c r="M544" s="4"/>
      <c r="N544" s="4"/>
      <c r="O544" s="4"/>
      <c r="P544" s="4"/>
      <c r="Q544" s="4"/>
      <c r="R544" s="4"/>
    </row>
    <row r="545" spans="1:18" ht="17.399999999999999" x14ac:dyDescent="0.25">
      <c r="A545" s="4"/>
      <c r="B545" s="23"/>
      <c r="C545" s="4"/>
      <c r="D545" s="4"/>
      <c r="E545" s="5"/>
      <c r="F545" s="4"/>
      <c r="G545" s="4"/>
      <c r="H545" s="4"/>
      <c r="I545" s="4"/>
      <c r="J545" s="4"/>
      <c r="K545" s="4"/>
      <c r="L545" s="4"/>
      <c r="M545" s="4"/>
      <c r="N545" s="4"/>
      <c r="O545" s="4"/>
      <c r="P545" s="4"/>
      <c r="Q545" s="4"/>
      <c r="R545" s="4"/>
    </row>
    <row r="546" spans="1:18" ht="17.399999999999999" x14ac:dyDescent="0.25">
      <c r="A546" s="4"/>
      <c r="B546" s="23"/>
      <c r="C546" s="4"/>
      <c r="D546" s="4"/>
      <c r="E546" s="5"/>
      <c r="F546" s="4"/>
      <c r="G546" s="4"/>
      <c r="H546" s="4"/>
      <c r="I546" s="4"/>
      <c r="J546" s="4"/>
      <c r="K546" s="4"/>
      <c r="L546" s="4"/>
      <c r="M546" s="4"/>
      <c r="N546" s="4"/>
      <c r="O546" s="4"/>
      <c r="P546" s="4"/>
      <c r="Q546" s="4"/>
      <c r="R546" s="4"/>
    </row>
    <row r="547" spans="1:18" ht="17.399999999999999" x14ac:dyDescent="0.25">
      <c r="A547" s="4"/>
      <c r="B547" s="23"/>
      <c r="C547" s="4"/>
      <c r="D547" s="4"/>
      <c r="E547" s="5"/>
      <c r="F547" s="4"/>
      <c r="G547" s="4"/>
      <c r="H547" s="4"/>
      <c r="I547" s="4"/>
      <c r="J547" s="4"/>
      <c r="K547" s="4"/>
      <c r="L547" s="4"/>
      <c r="M547" s="4"/>
      <c r="N547" s="4"/>
      <c r="O547" s="4"/>
      <c r="P547" s="4"/>
      <c r="Q547" s="4"/>
      <c r="R547" s="4"/>
    </row>
    <row r="548" spans="1:18" ht="17.399999999999999" x14ac:dyDescent="0.25">
      <c r="A548" s="4"/>
      <c r="B548" s="23"/>
      <c r="C548" s="4"/>
      <c r="D548" s="4"/>
      <c r="E548" s="5"/>
      <c r="F548" s="4"/>
      <c r="G548" s="4"/>
      <c r="H548" s="4"/>
      <c r="I548" s="4"/>
      <c r="J548" s="4"/>
      <c r="K548" s="4"/>
      <c r="L548" s="4"/>
      <c r="M548" s="4"/>
      <c r="N548" s="4"/>
      <c r="O548" s="4"/>
      <c r="P548" s="4"/>
      <c r="Q548" s="4"/>
      <c r="R548" s="4"/>
    </row>
    <row r="549" spans="1:18" ht="17.399999999999999" x14ac:dyDescent="0.25">
      <c r="A549" s="4"/>
      <c r="B549" s="23"/>
      <c r="C549" s="4"/>
      <c r="D549" s="4"/>
      <c r="E549" s="5"/>
      <c r="F549" s="4"/>
      <c r="G549" s="4"/>
      <c r="H549" s="4"/>
      <c r="I549" s="4"/>
      <c r="J549" s="4"/>
      <c r="K549" s="4"/>
      <c r="L549" s="4"/>
      <c r="M549" s="4"/>
      <c r="N549" s="4"/>
      <c r="O549" s="4"/>
      <c r="P549" s="4"/>
      <c r="Q549" s="4"/>
      <c r="R549" s="4"/>
    </row>
    <row r="550" spans="1:18" ht="17.399999999999999" x14ac:dyDescent="0.25">
      <c r="A550" s="4"/>
      <c r="B550" s="23"/>
      <c r="C550" s="4"/>
      <c r="D550" s="4"/>
      <c r="E550" s="5"/>
      <c r="F550" s="4"/>
      <c r="G550" s="4"/>
      <c r="H550" s="4"/>
      <c r="I550" s="4"/>
      <c r="J550" s="4"/>
      <c r="K550" s="4"/>
      <c r="L550" s="4"/>
      <c r="M550" s="4"/>
      <c r="N550" s="4"/>
      <c r="O550" s="4"/>
      <c r="P550" s="4"/>
      <c r="Q550" s="4"/>
      <c r="R550" s="4"/>
    </row>
    <row r="551" spans="1:18" ht="17.399999999999999" x14ac:dyDescent="0.25">
      <c r="A551" s="4"/>
      <c r="B551" s="23"/>
      <c r="C551" s="4"/>
      <c r="D551" s="4"/>
      <c r="E551" s="5"/>
      <c r="F551" s="4"/>
      <c r="G551" s="4"/>
      <c r="H551" s="4"/>
      <c r="I551" s="4"/>
      <c r="J551" s="4"/>
      <c r="K551" s="4"/>
      <c r="L551" s="4"/>
      <c r="M551" s="4"/>
      <c r="N551" s="4"/>
      <c r="O551" s="4"/>
      <c r="P551" s="4"/>
      <c r="Q551" s="4"/>
      <c r="R551" s="4"/>
    </row>
    <row r="552" spans="1:18" ht="17.399999999999999" x14ac:dyDescent="0.25">
      <c r="A552" s="4"/>
      <c r="B552" s="23"/>
      <c r="C552" s="4"/>
      <c r="D552" s="4"/>
      <c r="E552" s="5"/>
      <c r="F552" s="4"/>
      <c r="G552" s="4"/>
      <c r="H552" s="4"/>
      <c r="I552" s="4"/>
      <c r="J552" s="4"/>
      <c r="K552" s="4"/>
      <c r="L552" s="4"/>
      <c r="M552" s="4"/>
      <c r="N552" s="4"/>
      <c r="O552" s="4"/>
      <c r="P552" s="4"/>
      <c r="Q552" s="4"/>
      <c r="R552" s="4"/>
    </row>
    <row r="553" spans="1:18" ht="17.399999999999999" x14ac:dyDescent="0.25">
      <c r="A553" s="4"/>
      <c r="B553" s="23"/>
      <c r="C553" s="4"/>
      <c r="D553" s="4"/>
      <c r="E553" s="5"/>
      <c r="F553" s="4"/>
      <c r="G553" s="4"/>
      <c r="H553" s="4"/>
      <c r="I553" s="4"/>
      <c r="J553" s="4"/>
      <c r="K553" s="4"/>
      <c r="L553" s="4"/>
      <c r="M553" s="4"/>
      <c r="N553" s="4"/>
      <c r="O553" s="4"/>
      <c r="P553" s="4"/>
      <c r="Q553" s="4"/>
      <c r="R553" s="4"/>
    </row>
    <row r="554" spans="1:18" ht="17.399999999999999" x14ac:dyDescent="0.25">
      <c r="A554" s="4"/>
      <c r="B554" s="23"/>
      <c r="C554" s="4"/>
      <c r="D554" s="4"/>
      <c r="E554" s="5"/>
      <c r="F554" s="4"/>
      <c r="G554" s="4"/>
      <c r="H554" s="4"/>
      <c r="I554" s="4"/>
      <c r="J554" s="4"/>
      <c r="K554" s="4"/>
      <c r="L554" s="4"/>
      <c r="M554" s="4"/>
      <c r="N554" s="4"/>
      <c r="O554" s="4"/>
      <c r="P554" s="4"/>
      <c r="Q554" s="4"/>
      <c r="R554" s="4"/>
    </row>
    <row r="555" spans="1:18" ht="17.399999999999999" x14ac:dyDescent="0.25">
      <c r="A555" s="4"/>
      <c r="B555" s="23"/>
      <c r="C555" s="4"/>
      <c r="D555" s="4"/>
      <c r="E555" s="5"/>
      <c r="F555" s="4"/>
      <c r="G555" s="4"/>
      <c r="H555" s="4"/>
      <c r="I555" s="4"/>
      <c r="J555" s="4"/>
      <c r="K555" s="4"/>
      <c r="L555" s="4"/>
      <c r="M555" s="4"/>
      <c r="N555" s="4"/>
      <c r="O555" s="4"/>
      <c r="P555" s="4"/>
      <c r="Q555" s="4"/>
      <c r="R555" s="4"/>
    </row>
    <row r="556" spans="1:18" ht="17.399999999999999" x14ac:dyDescent="0.25">
      <c r="A556" s="4"/>
      <c r="B556" s="23"/>
      <c r="C556" s="4"/>
      <c r="D556" s="4"/>
      <c r="E556" s="5"/>
      <c r="F556" s="4"/>
      <c r="G556" s="4"/>
      <c r="H556" s="4"/>
      <c r="I556" s="4"/>
      <c r="J556" s="4"/>
      <c r="K556" s="4"/>
      <c r="L556" s="4"/>
      <c r="M556" s="4"/>
      <c r="N556" s="4"/>
      <c r="O556" s="4"/>
      <c r="P556" s="4"/>
      <c r="Q556" s="4"/>
      <c r="R556" s="4"/>
    </row>
    <row r="557" spans="1:18" ht="17.399999999999999" x14ac:dyDescent="0.25">
      <c r="A557" s="4"/>
      <c r="B557" s="23"/>
      <c r="C557" s="4"/>
      <c r="D557" s="4"/>
      <c r="E557" s="5"/>
      <c r="F557" s="4"/>
      <c r="G557" s="4"/>
      <c r="H557" s="4"/>
      <c r="I557" s="4"/>
      <c r="J557" s="4"/>
      <c r="K557" s="4"/>
      <c r="L557" s="4"/>
      <c r="M557" s="4"/>
      <c r="N557" s="4"/>
      <c r="O557" s="4"/>
      <c r="P557" s="4"/>
      <c r="Q557" s="4"/>
      <c r="R557" s="4"/>
    </row>
    <row r="558" spans="1:18" ht="17.399999999999999" x14ac:dyDescent="0.25">
      <c r="A558" s="4"/>
      <c r="B558" s="23"/>
      <c r="C558" s="4"/>
      <c r="D558" s="4"/>
      <c r="E558" s="5"/>
      <c r="F558" s="4"/>
      <c r="G558" s="4"/>
      <c r="H558" s="4"/>
      <c r="I558" s="4"/>
      <c r="J558" s="4"/>
      <c r="K558" s="4"/>
      <c r="L558" s="4"/>
      <c r="M558" s="4"/>
      <c r="N558" s="4"/>
      <c r="O558" s="4"/>
      <c r="P558" s="4"/>
      <c r="Q558" s="4"/>
      <c r="R558" s="4"/>
    </row>
    <row r="559" spans="1:18" ht="17.399999999999999" x14ac:dyDescent="0.25">
      <c r="A559" s="4"/>
      <c r="B559" s="23"/>
      <c r="C559" s="4"/>
      <c r="D559" s="4"/>
      <c r="E559" s="5"/>
      <c r="F559" s="4"/>
      <c r="G559" s="4"/>
      <c r="H559" s="4"/>
      <c r="I559" s="4"/>
      <c r="J559" s="4"/>
      <c r="K559" s="4"/>
      <c r="L559" s="4"/>
      <c r="M559" s="4"/>
      <c r="N559" s="4"/>
      <c r="O559" s="4"/>
      <c r="P559" s="4"/>
      <c r="Q559" s="4"/>
      <c r="R559" s="4"/>
    </row>
    <row r="560" spans="1:18" ht="17.399999999999999" x14ac:dyDescent="0.25">
      <c r="A560" s="4"/>
      <c r="B560" s="23"/>
      <c r="C560" s="4"/>
      <c r="D560" s="4"/>
      <c r="E560" s="5"/>
      <c r="F560" s="4"/>
      <c r="G560" s="4"/>
      <c r="H560" s="4"/>
      <c r="I560" s="4"/>
      <c r="J560" s="4"/>
      <c r="K560" s="4"/>
      <c r="L560" s="4"/>
      <c r="M560" s="4"/>
      <c r="N560" s="4"/>
      <c r="O560" s="4"/>
      <c r="P560" s="4"/>
      <c r="Q560" s="4"/>
      <c r="R560" s="4"/>
    </row>
    <row r="561" spans="1:18" ht="17.399999999999999" x14ac:dyDescent="0.25">
      <c r="A561" s="4"/>
      <c r="B561" s="23"/>
      <c r="C561" s="4"/>
      <c r="D561" s="4"/>
      <c r="E561" s="5"/>
      <c r="F561" s="4"/>
      <c r="G561" s="4"/>
      <c r="H561" s="4"/>
      <c r="I561" s="4"/>
      <c r="J561" s="4"/>
      <c r="K561" s="4"/>
      <c r="L561" s="4"/>
      <c r="M561" s="4"/>
      <c r="N561" s="4"/>
      <c r="O561" s="4"/>
      <c r="P561" s="4"/>
      <c r="Q561" s="4"/>
      <c r="R561" s="4"/>
    </row>
    <row r="562" spans="1:18" ht="17.399999999999999" x14ac:dyDescent="0.25">
      <c r="A562" s="4"/>
      <c r="B562" s="23"/>
      <c r="C562" s="4"/>
      <c r="D562" s="4"/>
      <c r="E562" s="5"/>
      <c r="F562" s="4"/>
      <c r="G562" s="4"/>
      <c r="H562" s="4"/>
      <c r="I562" s="4"/>
      <c r="J562" s="4"/>
      <c r="K562" s="4"/>
      <c r="L562" s="4"/>
      <c r="M562" s="4"/>
      <c r="N562" s="4"/>
      <c r="O562" s="4"/>
      <c r="P562" s="4"/>
      <c r="Q562" s="4"/>
      <c r="R562" s="4"/>
    </row>
    <row r="563" spans="1:18" ht="17.399999999999999" x14ac:dyDescent="0.25">
      <c r="A563" s="4"/>
      <c r="B563" s="23"/>
      <c r="C563" s="4"/>
      <c r="D563" s="4"/>
      <c r="E563" s="5"/>
      <c r="F563" s="4"/>
      <c r="G563" s="4"/>
      <c r="H563" s="4"/>
      <c r="I563" s="4"/>
      <c r="J563" s="4"/>
      <c r="K563" s="4"/>
      <c r="L563" s="4"/>
      <c r="M563" s="4"/>
      <c r="N563" s="4"/>
      <c r="O563" s="4"/>
      <c r="P563" s="4"/>
      <c r="Q563" s="4"/>
      <c r="R563" s="4"/>
    </row>
    <row r="564" spans="1:18" ht="17.399999999999999" x14ac:dyDescent="0.25">
      <c r="A564" s="4"/>
      <c r="B564" s="23"/>
      <c r="C564" s="4"/>
      <c r="D564" s="4"/>
      <c r="E564" s="5"/>
      <c r="F564" s="4"/>
      <c r="G564" s="4"/>
      <c r="H564" s="4"/>
      <c r="I564" s="4"/>
      <c r="J564" s="4"/>
      <c r="K564" s="4"/>
      <c r="L564" s="4"/>
      <c r="M564" s="4"/>
      <c r="N564" s="4"/>
      <c r="O564" s="4"/>
      <c r="P564" s="4"/>
      <c r="Q564" s="4"/>
      <c r="R564" s="4"/>
    </row>
    <row r="565" spans="1:18" ht="17.399999999999999" x14ac:dyDescent="0.25">
      <c r="A565" s="4"/>
      <c r="B565" s="23"/>
      <c r="C565" s="4"/>
      <c r="D565" s="4"/>
      <c r="E565" s="5"/>
      <c r="F565" s="4"/>
      <c r="G565" s="4"/>
      <c r="H565" s="4"/>
      <c r="I565" s="4"/>
      <c r="J565" s="4"/>
      <c r="K565" s="4"/>
      <c r="L565" s="4"/>
      <c r="M565" s="4"/>
      <c r="N565" s="4"/>
      <c r="O565" s="4"/>
      <c r="P565" s="4"/>
      <c r="Q565" s="4"/>
      <c r="R565" s="4"/>
    </row>
    <row r="566" spans="1:18" ht="17.399999999999999" x14ac:dyDescent="0.25">
      <c r="A566" s="4"/>
      <c r="B566" s="23"/>
      <c r="C566" s="4"/>
      <c r="D566" s="4"/>
      <c r="E566" s="5"/>
      <c r="F566" s="4"/>
      <c r="G566" s="4"/>
      <c r="H566" s="4"/>
      <c r="I566" s="4"/>
      <c r="J566" s="4"/>
      <c r="K566" s="4"/>
      <c r="L566" s="4"/>
      <c r="M566" s="4"/>
      <c r="N566" s="4"/>
      <c r="O566" s="4"/>
      <c r="P566" s="4"/>
      <c r="Q566" s="4"/>
      <c r="R566" s="4"/>
    </row>
    <row r="567" spans="1:18" ht="17.399999999999999" x14ac:dyDescent="0.25">
      <c r="A567" s="4"/>
      <c r="B567" s="23"/>
      <c r="C567" s="4"/>
      <c r="D567" s="4"/>
      <c r="E567" s="5"/>
      <c r="F567" s="4"/>
      <c r="G567" s="4"/>
      <c r="H567" s="4"/>
      <c r="I567" s="4"/>
      <c r="J567" s="4"/>
      <c r="K567" s="4"/>
      <c r="L567" s="4"/>
      <c r="M567" s="4"/>
      <c r="N567" s="4"/>
      <c r="O567" s="4"/>
      <c r="P567" s="4"/>
      <c r="Q567" s="4"/>
      <c r="R567" s="4"/>
    </row>
    <row r="568" spans="1:18" ht="17.399999999999999" x14ac:dyDescent="0.25">
      <c r="A568" s="4"/>
      <c r="B568" s="23"/>
      <c r="C568" s="4"/>
      <c r="D568" s="4"/>
      <c r="E568" s="5"/>
      <c r="F568" s="4"/>
      <c r="G568" s="4"/>
      <c r="H568" s="4"/>
      <c r="I568" s="4"/>
      <c r="J568" s="4"/>
      <c r="K568" s="4"/>
      <c r="L568" s="4"/>
      <c r="M568" s="4"/>
      <c r="N568" s="4"/>
      <c r="O568" s="4"/>
      <c r="P568" s="4"/>
      <c r="Q568" s="4"/>
      <c r="R568" s="4"/>
    </row>
    <row r="569" spans="1:18" ht="17.399999999999999" x14ac:dyDescent="0.25">
      <c r="A569" s="4"/>
      <c r="B569" s="23"/>
      <c r="C569" s="4"/>
      <c r="D569" s="4"/>
      <c r="E569" s="5"/>
      <c r="F569" s="4"/>
      <c r="G569" s="4"/>
      <c r="H569" s="4"/>
      <c r="I569" s="4"/>
      <c r="J569" s="4"/>
      <c r="K569" s="4"/>
      <c r="L569" s="4"/>
      <c r="M569" s="4"/>
      <c r="N569" s="4"/>
      <c r="O569" s="4"/>
      <c r="P569" s="4"/>
      <c r="Q569" s="4"/>
      <c r="R569" s="4"/>
    </row>
    <row r="570" spans="1:18" ht="17.399999999999999" x14ac:dyDescent="0.25">
      <c r="A570" s="4"/>
      <c r="B570" s="23"/>
      <c r="C570" s="4"/>
      <c r="D570" s="4"/>
      <c r="E570" s="5"/>
      <c r="F570" s="4"/>
      <c r="G570" s="4"/>
      <c r="H570" s="4"/>
      <c r="I570" s="4"/>
      <c r="J570" s="4"/>
      <c r="K570" s="4"/>
      <c r="L570" s="4"/>
      <c r="M570" s="4"/>
      <c r="N570" s="4"/>
      <c r="O570" s="4"/>
      <c r="P570" s="4"/>
      <c r="Q570" s="4"/>
      <c r="R570" s="4"/>
    </row>
    <row r="571" spans="1:18" ht="17.399999999999999" x14ac:dyDescent="0.25">
      <c r="A571" s="4"/>
      <c r="B571" s="23"/>
      <c r="C571" s="4"/>
      <c r="D571" s="4"/>
      <c r="E571" s="5"/>
      <c r="F571" s="4"/>
      <c r="G571" s="4"/>
      <c r="H571" s="4"/>
      <c r="I571" s="4"/>
      <c r="J571" s="4"/>
      <c r="K571" s="4"/>
      <c r="L571" s="4"/>
      <c r="M571" s="4"/>
      <c r="N571" s="4"/>
      <c r="O571" s="4"/>
      <c r="P571" s="4"/>
      <c r="Q571" s="4"/>
      <c r="R571" s="4"/>
    </row>
    <row r="572" spans="1:18" ht="17.399999999999999" x14ac:dyDescent="0.25">
      <c r="A572" s="4"/>
      <c r="B572" s="23"/>
      <c r="C572" s="4"/>
      <c r="D572" s="4"/>
      <c r="E572" s="5"/>
      <c r="F572" s="4"/>
      <c r="G572" s="4"/>
      <c r="H572" s="4"/>
      <c r="I572" s="4"/>
      <c r="J572" s="4"/>
      <c r="K572" s="4"/>
      <c r="L572" s="4"/>
      <c r="M572" s="4"/>
      <c r="N572" s="4"/>
      <c r="O572" s="4"/>
      <c r="P572" s="4"/>
      <c r="Q572" s="4"/>
      <c r="R572" s="4"/>
    </row>
    <row r="573" spans="1:18" ht="17.399999999999999" x14ac:dyDescent="0.25">
      <c r="A573" s="4"/>
      <c r="B573" s="23"/>
      <c r="C573" s="4"/>
      <c r="D573" s="4"/>
      <c r="E573" s="5"/>
      <c r="F573" s="4"/>
      <c r="G573" s="4"/>
      <c r="H573" s="4"/>
      <c r="I573" s="4"/>
      <c r="J573" s="4"/>
      <c r="K573" s="4"/>
      <c r="L573" s="4"/>
      <c r="M573" s="4"/>
      <c r="N573" s="4"/>
      <c r="O573" s="4"/>
      <c r="P573" s="4"/>
      <c r="Q573" s="4"/>
      <c r="R573" s="4"/>
    </row>
    <row r="574" spans="1:18" ht="17.399999999999999" x14ac:dyDescent="0.25">
      <c r="A574" s="4"/>
      <c r="B574" s="23"/>
      <c r="C574" s="4"/>
      <c r="D574" s="4"/>
      <c r="E574" s="5"/>
      <c r="F574" s="4"/>
      <c r="G574" s="4"/>
      <c r="H574" s="4"/>
      <c r="I574" s="4"/>
      <c r="J574" s="4"/>
      <c r="K574" s="4"/>
      <c r="L574" s="4"/>
      <c r="M574" s="4"/>
      <c r="N574" s="4"/>
      <c r="O574" s="4"/>
      <c r="P574" s="4"/>
      <c r="Q574" s="4"/>
      <c r="R574" s="4"/>
    </row>
    <row r="575" spans="1:18" ht="17.399999999999999" x14ac:dyDescent="0.25">
      <c r="A575" s="4"/>
      <c r="B575" s="23"/>
      <c r="C575" s="4"/>
      <c r="D575" s="4"/>
      <c r="E575" s="5"/>
      <c r="F575" s="4"/>
      <c r="G575" s="4"/>
      <c r="H575" s="4"/>
      <c r="I575" s="4"/>
      <c r="J575" s="4"/>
      <c r="K575" s="4"/>
      <c r="L575" s="4"/>
      <c r="M575" s="4"/>
      <c r="N575" s="4"/>
      <c r="O575" s="4"/>
      <c r="P575" s="4"/>
      <c r="Q575" s="4"/>
      <c r="R575" s="4"/>
    </row>
    <row r="576" spans="1:18" ht="17.399999999999999" x14ac:dyDescent="0.25">
      <c r="A576" s="4"/>
      <c r="B576" s="23"/>
      <c r="C576" s="4"/>
      <c r="D576" s="4"/>
      <c r="E576" s="5"/>
      <c r="F576" s="4"/>
      <c r="G576" s="4"/>
      <c r="H576" s="4"/>
      <c r="I576" s="4"/>
      <c r="J576" s="4"/>
      <c r="K576" s="4"/>
      <c r="L576" s="4"/>
      <c r="M576" s="4"/>
      <c r="N576" s="4"/>
      <c r="O576" s="4"/>
      <c r="P576" s="4"/>
      <c r="Q576" s="4"/>
      <c r="R576" s="4"/>
    </row>
    <row r="577" spans="1:18" ht="17.399999999999999" x14ac:dyDescent="0.25">
      <c r="A577" s="4"/>
      <c r="B577" s="23"/>
      <c r="C577" s="4"/>
      <c r="D577" s="4"/>
      <c r="E577" s="5"/>
      <c r="F577" s="4"/>
      <c r="G577" s="4"/>
      <c r="H577" s="4"/>
      <c r="I577" s="4"/>
      <c r="J577" s="4"/>
      <c r="K577" s="4"/>
      <c r="L577" s="4"/>
      <c r="M577" s="4"/>
      <c r="N577" s="4"/>
      <c r="O577" s="4"/>
      <c r="P577" s="4"/>
      <c r="Q577" s="4"/>
      <c r="R577" s="4"/>
    </row>
    <row r="578" spans="1:18" ht="17.399999999999999" x14ac:dyDescent="0.25">
      <c r="A578" s="4"/>
      <c r="B578" s="23"/>
      <c r="C578" s="4"/>
      <c r="D578" s="4"/>
      <c r="E578" s="5"/>
      <c r="F578" s="4"/>
      <c r="G578" s="4"/>
      <c r="H578" s="4"/>
      <c r="I578" s="4"/>
      <c r="J578" s="4"/>
      <c r="K578" s="4"/>
      <c r="L578" s="4"/>
      <c r="M578" s="4"/>
      <c r="N578" s="4"/>
      <c r="O578" s="4"/>
      <c r="P578" s="4"/>
      <c r="Q578" s="4"/>
      <c r="R578" s="4"/>
    </row>
    <row r="579" spans="1:18" ht="17.399999999999999" x14ac:dyDescent="0.25">
      <c r="A579" s="4"/>
      <c r="B579" s="23"/>
      <c r="C579" s="4"/>
      <c r="D579" s="4"/>
      <c r="E579" s="5"/>
      <c r="F579" s="4"/>
      <c r="G579" s="4"/>
      <c r="H579" s="4"/>
      <c r="I579" s="4"/>
      <c r="J579" s="4"/>
      <c r="K579" s="4"/>
      <c r="L579" s="4"/>
      <c r="M579" s="4"/>
      <c r="N579" s="4"/>
      <c r="O579" s="4"/>
      <c r="P579" s="4"/>
      <c r="Q579" s="4"/>
      <c r="R579" s="4"/>
    </row>
    <row r="580" spans="1:18" ht="17.399999999999999" x14ac:dyDescent="0.25">
      <c r="A580" s="4"/>
      <c r="B580" s="23"/>
      <c r="C580" s="4"/>
      <c r="D580" s="4"/>
      <c r="E580" s="5"/>
      <c r="F580" s="4"/>
      <c r="G580" s="4"/>
      <c r="H580" s="4"/>
      <c r="I580" s="4"/>
      <c r="J580" s="4"/>
      <c r="K580" s="4"/>
      <c r="L580" s="4"/>
      <c r="M580" s="4"/>
      <c r="N580" s="4"/>
      <c r="O580" s="4"/>
      <c r="P580" s="4"/>
      <c r="Q580" s="4"/>
      <c r="R580" s="4"/>
    </row>
    <row r="581" spans="1:18" ht="17.399999999999999" x14ac:dyDescent="0.25">
      <c r="A581" s="4"/>
      <c r="B581" s="23"/>
      <c r="C581" s="4"/>
      <c r="D581" s="4"/>
      <c r="E581" s="5"/>
      <c r="F581" s="4"/>
      <c r="G581" s="4"/>
      <c r="H581" s="4"/>
      <c r="I581" s="4"/>
      <c r="J581" s="4"/>
      <c r="K581" s="4"/>
      <c r="L581" s="4"/>
      <c r="M581" s="4"/>
      <c r="N581" s="4"/>
      <c r="O581" s="4"/>
      <c r="P581" s="4"/>
      <c r="Q581" s="4"/>
      <c r="R581" s="4"/>
    </row>
    <row r="582" spans="1:18" ht="17.399999999999999" x14ac:dyDescent="0.25">
      <c r="A582" s="4"/>
      <c r="B582" s="23"/>
      <c r="C582" s="4"/>
      <c r="D582" s="4"/>
      <c r="E582" s="5"/>
      <c r="F582" s="4"/>
      <c r="G582" s="4"/>
      <c r="H582" s="4"/>
      <c r="I582" s="4"/>
      <c r="J582" s="4"/>
      <c r="K582" s="4"/>
      <c r="L582" s="4"/>
      <c r="M582" s="4"/>
      <c r="N582" s="4"/>
      <c r="O582" s="4"/>
      <c r="P582" s="4"/>
      <c r="Q582" s="4"/>
      <c r="R582" s="4"/>
    </row>
    <row r="583" spans="1:18" ht="17.399999999999999" x14ac:dyDescent="0.25">
      <c r="A583" s="4"/>
      <c r="B583" s="23"/>
      <c r="C583" s="4"/>
      <c r="D583" s="4"/>
      <c r="E583" s="5"/>
      <c r="F583" s="4"/>
      <c r="G583" s="4"/>
      <c r="H583" s="4"/>
      <c r="I583" s="4"/>
      <c r="J583" s="4"/>
      <c r="K583" s="4"/>
      <c r="L583" s="4"/>
      <c r="M583" s="4"/>
      <c r="N583" s="4"/>
      <c r="O583" s="4"/>
      <c r="P583" s="4"/>
      <c r="Q583" s="4"/>
      <c r="R583" s="4"/>
    </row>
    <row r="584" spans="1:18" ht="17.399999999999999" x14ac:dyDescent="0.25">
      <c r="A584" s="4"/>
      <c r="B584" s="23"/>
      <c r="C584" s="4"/>
      <c r="D584" s="4"/>
      <c r="E584" s="5"/>
      <c r="F584" s="4"/>
      <c r="G584" s="4"/>
      <c r="H584" s="4"/>
      <c r="I584" s="4"/>
      <c r="J584" s="4"/>
      <c r="K584" s="4"/>
      <c r="L584" s="4"/>
      <c r="M584" s="4"/>
      <c r="N584" s="4"/>
      <c r="O584" s="4"/>
      <c r="P584" s="4"/>
      <c r="Q584" s="4"/>
      <c r="R584" s="4"/>
    </row>
    <row r="585" spans="1:18" ht="17.399999999999999" x14ac:dyDescent="0.25">
      <c r="A585" s="4"/>
      <c r="B585" s="23"/>
      <c r="C585" s="4"/>
      <c r="D585" s="4"/>
      <c r="E585" s="5"/>
      <c r="F585" s="4"/>
      <c r="G585" s="4"/>
      <c r="H585" s="4"/>
      <c r="I585" s="4"/>
      <c r="J585" s="4"/>
      <c r="K585" s="4"/>
      <c r="L585" s="4"/>
      <c r="M585" s="4"/>
      <c r="N585" s="4"/>
      <c r="O585" s="4"/>
      <c r="P585" s="4"/>
      <c r="Q585" s="4"/>
      <c r="R585" s="4"/>
    </row>
    <row r="586" spans="1:18" ht="17.399999999999999" x14ac:dyDescent="0.25">
      <c r="A586" s="4"/>
      <c r="B586" s="23"/>
      <c r="C586" s="4"/>
      <c r="D586" s="4"/>
      <c r="E586" s="5"/>
      <c r="F586" s="4"/>
      <c r="G586" s="4"/>
      <c r="H586" s="4"/>
      <c r="I586" s="4"/>
      <c r="J586" s="4"/>
      <c r="K586" s="4"/>
      <c r="L586" s="4"/>
      <c r="M586" s="4"/>
      <c r="N586" s="4"/>
      <c r="O586" s="4"/>
      <c r="P586" s="4"/>
      <c r="Q586" s="4"/>
      <c r="R586" s="4"/>
    </row>
    <row r="587" spans="1:18" ht="17.399999999999999" x14ac:dyDescent="0.25">
      <c r="A587" s="4"/>
      <c r="B587" s="23"/>
      <c r="C587" s="4"/>
      <c r="D587" s="4"/>
      <c r="E587" s="5"/>
      <c r="F587" s="4"/>
      <c r="G587" s="4"/>
      <c r="H587" s="4"/>
      <c r="I587" s="4"/>
      <c r="J587" s="4"/>
      <c r="K587" s="4"/>
      <c r="L587" s="4"/>
      <c r="M587" s="4"/>
      <c r="N587" s="4"/>
      <c r="O587" s="4"/>
      <c r="P587" s="4"/>
      <c r="Q587" s="4"/>
      <c r="R587" s="4"/>
    </row>
    <row r="588" spans="1:18" ht="17.399999999999999" x14ac:dyDescent="0.25">
      <c r="A588" s="4"/>
      <c r="B588" s="23"/>
      <c r="C588" s="4"/>
      <c r="D588" s="4"/>
      <c r="E588" s="5"/>
      <c r="F588" s="4"/>
      <c r="G588" s="4"/>
      <c r="H588" s="4"/>
      <c r="I588" s="4"/>
      <c r="J588" s="4"/>
      <c r="K588" s="4"/>
      <c r="L588" s="4"/>
      <c r="M588" s="4"/>
      <c r="N588" s="4"/>
      <c r="O588" s="4"/>
      <c r="P588" s="4"/>
      <c r="Q588" s="4"/>
      <c r="R588" s="4"/>
    </row>
    <row r="589" spans="1:18" ht="17.399999999999999" x14ac:dyDescent="0.25">
      <c r="A589" s="4"/>
      <c r="B589" s="23"/>
      <c r="C589" s="4"/>
      <c r="D589" s="4"/>
      <c r="E589" s="5"/>
      <c r="F589" s="4"/>
      <c r="G589" s="4"/>
      <c r="H589" s="4"/>
      <c r="I589" s="4"/>
      <c r="J589" s="4"/>
      <c r="K589" s="4"/>
      <c r="L589" s="4"/>
      <c r="M589" s="4"/>
      <c r="N589" s="4"/>
      <c r="O589" s="4"/>
      <c r="P589" s="4"/>
      <c r="Q589" s="4"/>
      <c r="R589" s="4"/>
    </row>
    <row r="590" spans="1:18" ht="17.399999999999999" x14ac:dyDescent="0.25">
      <c r="A590" s="4"/>
      <c r="B590" s="23"/>
      <c r="C590" s="4"/>
      <c r="D590" s="4"/>
      <c r="E590" s="5"/>
      <c r="F590" s="4"/>
      <c r="G590" s="4"/>
      <c r="H590" s="4"/>
      <c r="I590" s="4"/>
      <c r="J590" s="4"/>
      <c r="K590" s="4"/>
      <c r="L590" s="4"/>
      <c r="M590" s="4"/>
      <c r="N590" s="4"/>
      <c r="O590" s="4"/>
      <c r="P590" s="4"/>
      <c r="Q590" s="4"/>
      <c r="R590" s="4"/>
    </row>
    <row r="591" spans="1:18" ht="17.399999999999999" x14ac:dyDescent="0.25">
      <c r="A591" s="4"/>
      <c r="B591" s="23"/>
      <c r="C591" s="4"/>
      <c r="D591" s="4"/>
      <c r="E591" s="5"/>
      <c r="F591" s="4"/>
      <c r="G591" s="4"/>
      <c r="H591" s="4"/>
      <c r="I591" s="4"/>
      <c r="J591" s="4"/>
      <c r="K591" s="4"/>
      <c r="L591" s="4"/>
      <c r="M591" s="4"/>
      <c r="N591" s="4"/>
      <c r="O591" s="4"/>
      <c r="P591" s="4"/>
      <c r="Q591" s="4"/>
      <c r="R591" s="4"/>
    </row>
    <row r="592" spans="1:18" ht="17.399999999999999" x14ac:dyDescent="0.25">
      <c r="A592" s="4"/>
      <c r="B592" s="23"/>
      <c r="C592" s="4"/>
      <c r="D592" s="4"/>
      <c r="E592" s="5"/>
      <c r="F592" s="4"/>
      <c r="G592" s="4"/>
      <c r="H592" s="4"/>
      <c r="I592" s="4"/>
      <c r="J592" s="4"/>
      <c r="K592" s="4"/>
      <c r="L592" s="4"/>
      <c r="M592" s="4"/>
      <c r="N592" s="4"/>
      <c r="O592" s="4"/>
      <c r="P592" s="4"/>
      <c r="Q592" s="4"/>
      <c r="R592" s="4"/>
    </row>
    <row r="593" spans="1:18" ht="17.399999999999999" x14ac:dyDescent="0.25">
      <c r="A593" s="4"/>
      <c r="B593" s="23"/>
      <c r="C593" s="4"/>
      <c r="D593" s="4"/>
      <c r="E593" s="5"/>
      <c r="F593" s="4"/>
      <c r="G593" s="4"/>
      <c r="H593" s="4"/>
      <c r="I593" s="4"/>
      <c r="J593" s="4"/>
      <c r="K593" s="4"/>
      <c r="L593" s="4"/>
      <c r="M593" s="4"/>
      <c r="N593" s="4"/>
      <c r="O593" s="4"/>
      <c r="P593" s="4"/>
      <c r="Q593" s="4"/>
      <c r="R593" s="4"/>
    </row>
    <row r="594" spans="1:18" ht="17.399999999999999" x14ac:dyDescent="0.25">
      <c r="A594" s="4"/>
      <c r="B594" s="23"/>
      <c r="C594" s="4"/>
      <c r="D594" s="4"/>
      <c r="E594" s="5"/>
      <c r="F594" s="4"/>
      <c r="G594" s="4"/>
      <c r="H594" s="4"/>
      <c r="I594" s="4"/>
      <c r="J594" s="4"/>
      <c r="K594" s="4"/>
      <c r="L594" s="4"/>
      <c r="M594" s="4"/>
      <c r="N594" s="4"/>
      <c r="O594" s="4"/>
      <c r="P594" s="4"/>
      <c r="Q594" s="4"/>
      <c r="R594" s="4"/>
    </row>
    <row r="595" spans="1:18" ht="17.399999999999999" x14ac:dyDescent="0.25">
      <c r="A595" s="4"/>
      <c r="B595" s="23"/>
      <c r="C595" s="4"/>
      <c r="D595" s="4"/>
      <c r="E595" s="5"/>
      <c r="F595" s="4"/>
      <c r="G595" s="4"/>
      <c r="H595" s="4"/>
      <c r="I595" s="4"/>
      <c r="J595" s="4"/>
      <c r="K595" s="4"/>
      <c r="L595" s="4"/>
      <c r="M595" s="4"/>
      <c r="N595" s="4"/>
      <c r="O595" s="4"/>
      <c r="P595" s="4"/>
      <c r="Q595" s="4"/>
      <c r="R595" s="4"/>
    </row>
    <row r="596" spans="1:18" ht="17.399999999999999" x14ac:dyDescent="0.25">
      <c r="A596" s="4"/>
      <c r="B596" s="23"/>
      <c r="C596" s="4"/>
      <c r="D596" s="4"/>
      <c r="E596" s="5"/>
      <c r="F596" s="4"/>
      <c r="G596" s="4"/>
      <c r="H596" s="4"/>
      <c r="I596" s="4"/>
      <c r="J596" s="4"/>
      <c r="K596" s="4"/>
      <c r="L596" s="4"/>
      <c r="M596" s="4"/>
      <c r="N596" s="4"/>
      <c r="O596" s="4"/>
      <c r="P596" s="4"/>
      <c r="Q596" s="4"/>
      <c r="R596" s="4"/>
    </row>
    <row r="597" spans="1:18" ht="17.399999999999999" x14ac:dyDescent="0.25">
      <c r="A597" s="4"/>
      <c r="B597" s="23"/>
      <c r="C597" s="4"/>
      <c r="D597" s="4"/>
      <c r="E597" s="5"/>
      <c r="F597" s="4"/>
      <c r="G597" s="4"/>
      <c r="H597" s="4"/>
      <c r="I597" s="4"/>
      <c r="J597" s="4"/>
      <c r="K597" s="4"/>
      <c r="L597" s="4"/>
      <c r="M597" s="4"/>
      <c r="N597" s="4"/>
      <c r="O597" s="4"/>
      <c r="P597" s="4"/>
      <c r="Q597" s="4"/>
      <c r="R597" s="4"/>
    </row>
    <row r="598" spans="1:18" ht="17.399999999999999" x14ac:dyDescent="0.25">
      <c r="A598" s="4"/>
      <c r="B598" s="23"/>
      <c r="C598" s="4"/>
      <c r="D598" s="4"/>
      <c r="E598" s="5"/>
      <c r="F598" s="4"/>
      <c r="G598" s="4"/>
      <c r="H598" s="4"/>
      <c r="I598" s="4"/>
      <c r="J598" s="4"/>
      <c r="K598" s="4"/>
      <c r="L598" s="4"/>
      <c r="M598" s="4"/>
      <c r="N598" s="4"/>
      <c r="O598" s="4"/>
      <c r="P598" s="4"/>
      <c r="Q598" s="4"/>
      <c r="R598" s="4"/>
    </row>
    <row r="599" spans="1:18" ht="17.399999999999999" x14ac:dyDescent="0.25">
      <c r="A599" s="4"/>
      <c r="B599" s="23"/>
      <c r="C599" s="4"/>
      <c r="D599" s="4"/>
      <c r="E599" s="5"/>
      <c r="F599" s="4"/>
      <c r="G599" s="4"/>
      <c r="H599" s="4"/>
      <c r="I599" s="4"/>
      <c r="J599" s="4"/>
      <c r="K599" s="4"/>
      <c r="L599" s="4"/>
      <c r="M599" s="4"/>
      <c r="N599" s="4"/>
      <c r="O599" s="4"/>
      <c r="P599" s="4"/>
      <c r="Q599" s="4"/>
      <c r="R599" s="4"/>
    </row>
    <row r="600" spans="1:18" ht="17.399999999999999" x14ac:dyDescent="0.25">
      <c r="A600" s="4"/>
      <c r="B600" s="23"/>
      <c r="C600" s="4"/>
      <c r="D600" s="4"/>
      <c r="E600" s="5"/>
      <c r="F600" s="4"/>
      <c r="G600" s="4"/>
      <c r="H600" s="4"/>
      <c r="I600" s="4"/>
      <c r="J600" s="4"/>
      <c r="K600" s="4"/>
      <c r="L600" s="4"/>
      <c r="M600" s="4"/>
      <c r="N600" s="4"/>
      <c r="O600" s="4"/>
      <c r="P600" s="4"/>
      <c r="Q600" s="4"/>
      <c r="R600" s="4"/>
    </row>
    <row r="601" spans="1:18" ht="17.399999999999999" x14ac:dyDescent="0.25">
      <c r="A601" s="4"/>
      <c r="B601" s="23"/>
      <c r="C601" s="4"/>
      <c r="D601" s="4"/>
      <c r="E601" s="5"/>
      <c r="F601" s="4"/>
      <c r="G601" s="4"/>
      <c r="H601" s="4"/>
      <c r="I601" s="4"/>
      <c r="J601" s="4"/>
      <c r="K601" s="4"/>
      <c r="L601" s="4"/>
      <c r="M601" s="4"/>
      <c r="N601" s="4"/>
      <c r="O601" s="4"/>
      <c r="P601" s="4"/>
      <c r="Q601" s="4"/>
      <c r="R601" s="4"/>
    </row>
    <row r="602" spans="1:18" ht="17.399999999999999" x14ac:dyDescent="0.25">
      <c r="A602" s="4"/>
      <c r="B602" s="23"/>
      <c r="C602" s="4"/>
      <c r="D602" s="4"/>
      <c r="E602" s="5"/>
      <c r="F602" s="4"/>
      <c r="G602" s="4"/>
      <c r="H602" s="4"/>
      <c r="I602" s="4"/>
      <c r="J602" s="4"/>
      <c r="K602" s="4"/>
      <c r="L602" s="4"/>
      <c r="M602" s="4"/>
      <c r="N602" s="4"/>
      <c r="O602" s="4"/>
      <c r="P602" s="4"/>
      <c r="Q602" s="4"/>
      <c r="R602" s="4"/>
    </row>
    <row r="603" spans="1:18" ht="17.399999999999999" x14ac:dyDescent="0.25">
      <c r="A603" s="4"/>
      <c r="B603" s="23"/>
      <c r="C603" s="4"/>
      <c r="D603" s="4"/>
      <c r="E603" s="5"/>
      <c r="F603" s="4"/>
      <c r="G603" s="4"/>
      <c r="H603" s="4"/>
      <c r="I603" s="4"/>
      <c r="J603" s="4"/>
      <c r="K603" s="4"/>
      <c r="L603" s="4"/>
      <c r="M603" s="4"/>
      <c r="N603" s="4"/>
      <c r="O603" s="4"/>
      <c r="P603" s="4"/>
      <c r="Q603" s="4"/>
      <c r="R603" s="4"/>
    </row>
    <row r="604" spans="1:18" ht="17.399999999999999" x14ac:dyDescent="0.25">
      <c r="A604" s="4"/>
      <c r="B604" s="23"/>
      <c r="C604" s="4"/>
      <c r="D604" s="4"/>
      <c r="E604" s="5"/>
      <c r="F604" s="4"/>
      <c r="G604" s="4"/>
      <c r="H604" s="4"/>
      <c r="I604" s="4"/>
      <c r="J604" s="4"/>
      <c r="K604" s="4"/>
      <c r="L604" s="4"/>
      <c r="M604" s="4"/>
      <c r="N604" s="4"/>
      <c r="O604" s="4"/>
      <c r="P604" s="4"/>
      <c r="Q604" s="4"/>
      <c r="R604" s="4"/>
    </row>
    <row r="605" spans="1:18" ht="17.399999999999999" x14ac:dyDescent="0.25">
      <c r="A605" s="4"/>
      <c r="B605" s="23"/>
      <c r="C605" s="4"/>
      <c r="D605" s="4"/>
      <c r="E605" s="5"/>
      <c r="F605" s="4"/>
      <c r="G605" s="4"/>
      <c r="H605" s="4"/>
      <c r="I605" s="4"/>
      <c r="J605" s="4"/>
      <c r="K605" s="4"/>
      <c r="L605" s="4"/>
      <c r="M605" s="4"/>
      <c r="N605" s="4"/>
      <c r="O605" s="4"/>
      <c r="P605" s="4"/>
      <c r="Q605" s="4"/>
      <c r="R605" s="4"/>
    </row>
    <row r="606" spans="1:18" ht="17.399999999999999" x14ac:dyDescent="0.25">
      <c r="A606" s="4"/>
      <c r="B606" s="23"/>
      <c r="C606" s="4"/>
      <c r="D606" s="4"/>
      <c r="E606" s="5"/>
      <c r="F606" s="4"/>
      <c r="G606" s="4"/>
      <c r="H606" s="4"/>
      <c r="I606" s="4"/>
      <c r="J606" s="4"/>
      <c r="K606" s="4"/>
      <c r="L606" s="4"/>
      <c r="M606" s="4"/>
      <c r="N606" s="4"/>
      <c r="O606" s="4"/>
      <c r="P606" s="4"/>
      <c r="Q606" s="4"/>
      <c r="R606" s="4"/>
    </row>
    <row r="607" spans="1:18" ht="17.399999999999999" x14ac:dyDescent="0.25">
      <c r="A607" s="4"/>
      <c r="B607" s="23"/>
      <c r="C607" s="4"/>
      <c r="D607" s="4"/>
      <c r="E607" s="5"/>
      <c r="F607" s="4"/>
      <c r="G607" s="4"/>
      <c r="H607" s="4"/>
      <c r="I607" s="4"/>
      <c r="J607" s="4"/>
      <c r="K607" s="4"/>
      <c r="L607" s="4"/>
      <c r="M607" s="4"/>
      <c r="N607" s="4"/>
      <c r="O607" s="4"/>
      <c r="P607" s="4"/>
      <c r="Q607" s="4"/>
      <c r="R607" s="4"/>
    </row>
    <row r="608" spans="1:18" ht="17.399999999999999" x14ac:dyDescent="0.25">
      <c r="A608" s="4"/>
      <c r="B608" s="23"/>
      <c r="C608" s="4"/>
      <c r="D608" s="4"/>
      <c r="E608" s="5"/>
      <c r="F608" s="4"/>
      <c r="G608" s="4"/>
      <c r="H608" s="4"/>
      <c r="I608" s="4"/>
      <c r="J608" s="4"/>
      <c r="K608" s="4"/>
      <c r="L608" s="4"/>
      <c r="M608" s="4"/>
      <c r="N608" s="4"/>
      <c r="O608" s="4"/>
      <c r="P608" s="4"/>
      <c r="Q608" s="4"/>
      <c r="R608" s="4"/>
    </row>
    <row r="609" spans="1:18" ht="17.399999999999999" x14ac:dyDescent="0.25">
      <c r="A609" s="4"/>
      <c r="B609" s="23"/>
      <c r="C609" s="4"/>
      <c r="D609" s="4"/>
      <c r="E609" s="5"/>
      <c r="F609" s="4"/>
      <c r="G609" s="4"/>
      <c r="H609" s="4"/>
      <c r="I609" s="4"/>
      <c r="J609" s="4"/>
      <c r="K609" s="4"/>
      <c r="L609" s="4"/>
      <c r="M609" s="4"/>
      <c r="N609" s="4"/>
      <c r="O609" s="4"/>
      <c r="P609" s="4"/>
      <c r="Q609" s="4"/>
      <c r="R609" s="4"/>
    </row>
    <row r="610" spans="1:18" ht="17.399999999999999" x14ac:dyDescent="0.25">
      <c r="A610" s="4"/>
      <c r="B610" s="23"/>
      <c r="C610" s="4"/>
      <c r="D610" s="4"/>
      <c r="E610" s="5"/>
      <c r="F610" s="4"/>
      <c r="G610" s="4"/>
      <c r="H610" s="4"/>
      <c r="I610" s="4"/>
      <c r="J610" s="4"/>
      <c r="K610" s="4"/>
      <c r="L610" s="4"/>
      <c r="M610" s="4"/>
      <c r="N610" s="4"/>
      <c r="O610" s="4"/>
      <c r="P610" s="4"/>
      <c r="Q610" s="4"/>
      <c r="R610" s="4"/>
    </row>
    <row r="611" spans="1:18" ht="17.399999999999999" x14ac:dyDescent="0.25">
      <c r="A611" s="4"/>
      <c r="B611" s="23"/>
      <c r="C611" s="4"/>
      <c r="D611" s="4"/>
      <c r="E611" s="5"/>
      <c r="F611" s="4"/>
      <c r="G611" s="4"/>
      <c r="H611" s="4"/>
      <c r="I611" s="4"/>
      <c r="J611" s="4"/>
      <c r="K611" s="4"/>
      <c r="L611" s="4"/>
      <c r="M611" s="4"/>
      <c r="N611" s="4"/>
      <c r="O611" s="4"/>
      <c r="P611" s="4"/>
      <c r="Q611" s="4"/>
      <c r="R611" s="4"/>
    </row>
    <row r="612" spans="1:18" ht="17.399999999999999" x14ac:dyDescent="0.25">
      <c r="A612" s="4"/>
      <c r="B612" s="23"/>
      <c r="C612" s="4"/>
      <c r="D612" s="4"/>
      <c r="E612" s="5"/>
      <c r="F612" s="4"/>
      <c r="G612" s="4"/>
      <c r="H612" s="4"/>
      <c r="I612" s="4"/>
      <c r="J612" s="4"/>
      <c r="K612" s="4"/>
      <c r="L612" s="4"/>
      <c r="M612" s="4"/>
      <c r="N612" s="4"/>
      <c r="O612" s="4"/>
      <c r="P612" s="4"/>
      <c r="Q612" s="4"/>
      <c r="R612" s="4"/>
    </row>
    <row r="613" spans="1:18" ht="17.399999999999999" x14ac:dyDescent="0.25">
      <c r="A613" s="4"/>
      <c r="B613" s="23"/>
      <c r="C613" s="4"/>
      <c r="D613" s="4"/>
      <c r="E613" s="5"/>
      <c r="F613" s="4"/>
      <c r="G613" s="4"/>
      <c r="H613" s="4"/>
      <c r="I613" s="4"/>
      <c r="J613" s="4"/>
      <c r="K613" s="4"/>
      <c r="L613" s="4"/>
      <c r="M613" s="4"/>
      <c r="N613" s="4"/>
      <c r="O613" s="4"/>
      <c r="P613" s="4"/>
      <c r="Q613" s="4"/>
      <c r="R613" s="4"/>
    </row>
    <row r="614" spans="1:18" ht="17.399999999999999" x14ac:dyDescent="0.25">
      <c r="A614" s="4"/>
      <c r="B614" s="23"/>
      <c r="C614" s="4"/>
      <c r="D614" s="4"/>
      <c r="E614" s="5"/>
      <c r="F614" s="4"/>
      <c r="G614" s="4"/>
      <c r="H614" s="4"/>
      <c r="I614" s="4"/>
      <c r="J614" s="4"/>
      <c r="K614" s="4"/>
      <c r="L614" s="4"/>
      <c r="M614" s="4"/>
      <c r="N614" s="4"/>
      <c r="O614" s="4"/>
      <c r="P614" s="4"/>
      <c r="Q614" s="4"/>
      <c r="R614" s="4"/>
    </row>
    <row r="615" spans="1:18" ht="17.399999999999999" x14ac:dyDescent="0.25">
      <c r="A615" s="4"/>
      <c r="B615" s="23"/>
      <c r="C615" s="4"/>
      <c r="D615" s="4"/>
      <c r="E615" s="5"/>
      <c r="F615" s="4"/>
      <c r="G615" s="4"/>
      <c r="H615" s="4"/>
      <c r="I615" s="4"/>
      <c r="J615" s="4"/>
      <c r="K615" s="4"/>
      <c r="L615" s="4"/>
      <c r="M615" s="4"/>
      <c r="N615" s="4"/>
      <c r="O615" s="4"/>
      <c r="P615" s="4"/>
      <c r="Q615" s="4"/>
      <c r="R615" s="4"/>
    </row>
    <row r="616" spans="1:18" ht="17.399999999999999" x14ac:dyDescent="0.25">
      <c r="A616" s="4"/>
      <c r="B616" s="23"/>
      <c r="C616" s="4"/>
      <c r="D616" s="4"/>
      <c r="E616" s="5"/>
      <c r="F616" s="4"/>
      <c r="G616" s="4"/>
      <c r="H616" s="4"/>
      <c r="I616" s="4"/>
      <c r="J616" s="4"/>
      <c r="K616" s="4"/>
      <c r="L616" s="4"/>
      <c r="M616" s="4"/>
      <c r="N616" s="4"/>
      <c r="O616" s="4"/>
      <c r="P616" s="4"/>
      <c r="Q616" s="4"/>
      <c r="R616" s="4"/>
    </row>
    <row r="617" spans="1:18" ht="17.399999999999999" x14ac:dyDescent="0.25">
      <c r="A617" s="4"/>
      <c r="B617" s="23"/>
      <c r="C617" s="4"/>
      <c r="D617" s="4"/>
      <c r="E617" s="5"/>
      <c r="F617" s="4"/>
      <c r="G617" s="4"/>
      <c r="H617" s="4"/>
      <c r="I617" s="4"/>
      <c r="J617" s="4"/>
      <c r="K617" s="4"/>
      <c r="L617" s="4"/>
      <c r="M617" s="4"/>
      <c r="N617" s="4"/>
      <c r="O617" s="4"/>
      <c r="P617" s="4"/>
      <c r="Q617" s="4"/>
      <c r="R617" s="4"/>
    </row>
    <row r="618" spans="1:18" ht="17.399999999999999" x14ac:dyDescent="0.25">
      <c r="A618" s="4"/>
      <c r="B618" s="23"/>
      <c r="C618" s="4"/>
      <c r="D618" s="4"/>
      <c r="E618" s="5"/>
      <c r="F618" s="4"/>
      <c r="G618" s="4"/>
      <c r="H618" s="4"/>
      <c r="I618" s="4"/>
      <c r="J618" s="4"/>
      <c r="K618" s="4"/>
      <c r="L618" s="4"/>
      <c r="M618" s="4"/>
      <c r="N618" s="4"/>
      <c r="O618" s="4"/>
      <c r="P618" s="4"/>
      <c r="Q618" s="4"/>
      <c r="R618" s="4"/>
    </row>
    <row r="619" spans="1:18" ht="17.399999999999999" x14ac:dyDescent="0.25">
      <c r="A619" s="4"/>
      <c r="B619" s="23"/>
      <c r="C619" s="4"/>
      <c r="D619" s="4"/>
      <c r="E619" s="5"/>
      <c r="F619" s="4"/>
      <c r="G619" s="4"/>
      <c r="H619" s="4"/>
      <c r="I619" s="4"/>
      <c r="J619" s="4"/>
      <c r="K619" s="4"/>
      <c r="L619" s="4"/>
      <c r="M619" s="4"/>
      <c r="N619" s="4"/>
      <c r="O619" s="4"/>
      <c r="P619" s="4"/>
      <c r="Q619" s="4"/>
      <c r="R619" s="4"/>
    </row>
    <row r="620" spans="1:18" ht="17.399999999999999" x14ac:dyDescent="0.25">
      <c r="A620" s="4"/>
      <c r="B620" s="23"/>
      <c r="C620" s="4"/>
      <c r="D620" s="4"/>
      <c r="E620" s="5"/>
      <c r="F620" s="4"/>
      <c r="G620" s="4"/>
      <c r="H620" s="4"/>
      <c r="I620" s="4"/>
      <c r="J620" s="4"/>
      <c r="K620" s="4"/>
      <c r="L620" s="4"/>
      <c r="M620" s="4"/>
      <c r="N620" s="4"/>
      <c r="O620" s="4"/>
      <c r="P620" s="4"/>
      <c r="Q620" s="4"/>
      <c r="R620" s="4"/>
    </row>
    <row r="621" spans="1:18" ht="17.399999999999999" x14ac:dyDescent="0.25">
      <c r="A621" s="4"/>
      <c r="B621" s="23"/>
      <c r="C621" s="4"/>
      <c r="D621" s="4"/>
      <c r="E621" s="5"/>
      <c r="F621" s="4"/>
      <c r="G621" s="4"/>
      <c r="H621" s="4"/>
      <c r="I621" s="4"/>
      <c r="J621" s="4"/>
      <c r="K621" s="4"/>
      <c r="L621" s="4"/>
      <c r="M621" s="4"/>
      <c r="N621" s="4"/>
      <c r="O621" s="4"/>
      <c r="P621" s="4"/>
      <c r="Q621" s="4"/>
      <c r="R621" s="4"/>
    </row>
    <row r="622" spans="1:18" ht="17.399999999999999" x14ac:dyDescent="0.25">
      <c r="A622" s="4"/>
      <c r="B622" s="23"/>
      <c r="C622" s="4"/>
      <c r="D622" s="4"/>
      <c r="E622" s="5"/>
      <c r="F622" s="4"/>
      <c r="G622" s="4"/>
      <c r="H622" s="4"/>
      <c r="I622" s="4"/>
      <c r="J622" s="4"/>
      <c r="K622" s="4"/>
      <c r="L622" s="4"/>
      <c r="M622" s="4"/>
      <c r="N622" s="4"/>
      <c r="O622" s="4"/>
      <c r="P622" s="4"/>
      <c r="Q622" s="4"/>
      <c r="R622" s="4"/>
    </row>
    <row r="623" spans="1:18" ht="17.399999999999999" x14ac:dyDescent="0.25">
      <c r="A623" s="4"/>
      <c r="B623" s="23"/>
      <c r="C623" s="4"/>
      <c r="D623" s="4"/>
      <c r="E623" s="5"/>
      <c r="F623" s="4"/>
      <c r="G623" s="4"/>
      <c r="H623" s="4"/>
      <c r="I623" s="4"/>
      <c r="J623" s="4"/>
      <c r="K623" s="4"/>
      <c r="L623" s="4"/>
      <c r="M623" s="4"/>
      <c r="N623" s="4"/>
      <c r="O623" s="4"/>
      <c r="P623" s="4"/>
      <c r="Q623" s="4"/>
      <c r="R623" s="4"/>
    </row>
    <row r="624" spans="1:18" ht="17.399999999999999" x14ac:dyDescent="0.25">
      <c r="A624" s="4"/>
      <c r="B624" s="23"/>
      <c r="C624" s="4"/>
      <c r="D624" s="4"/>
      <c r="E624" s="5"/>
      <c r="F624" s="4"/>
      <c r="G624" s="4"/>
      <c r="H624" s="4"/>
      <c r="I624" s="4"/>
      <c r="J624" s="4"/>
      <c r="K624" s="4"/>
      <c r="L624" s="4"/>
      <c r="M624" s="4"/>
      <c r="N624" s="4"/>
      <c r="O624" s="4"/>
      <c r="P624" s="4"/>
      <c r="Q624" s="4"/>
      <c r="R624" s="4"/>
    </row>
    <row r="625" spans="1:18" ht="17.399999999999999" x14ac:dyDescent="0.25">
      <c r="A625" s="4"/>
      <c r="B625" s="23"/>
      <c r="C625" s="4"/>
      <c r="D625" s="4"/>
      <c r="E625" s="5"/>
      <c r="F625" s="4"/>
      <c r="G625" s="4"/>
      <c r="H625" s="4"/>
      <c r="I625" s="4"/>
      <c r="J625" s="4"/>
      <c r="K625" s="4"/>
      <c r="L625" s="4"/>
      <c r="M625" s="4"/>
      <c r="N625" s="4"/>
      <c r="O625" s="4"/>
      <c r="P625" s="4"/>
      <c r="Q625" s="4"/>
      <c r="R625" s="4"/>
    </row>
    <row r="626" spans="1:18" ht="17.399999999999999" x14ac:dyDescent="0.25">
      <c r="A626" s="4"/>
      <c r="B626" s="23"/>
      <c r="C626" s="4"/>
      <c r="D626" s="4"/>
      <c r="E626" s="5"/>
      <c r="F626" s="4"/>
      <c r="G626" s="4"/>
      <c r="H626" s="4"/>
      <c r="I626" s="4"/>
      <c r="J626" s="4"/>
      <c r="K626" s="4"/>
      <c r="L626" s="4"/>
      <c r="M626" s="4"/>
      <c r="N626" s="4"/>
      <c r="O626" s="4"/>
      <c r="P626" s="4"/>
      <c r="Q626" s="4"/>
      <c r="R626" s="4"/>
    </row>
    <row r="627" spans="1:18" ht="17.399999999999999" x14ac:dyDescent="0.25">
      <c r="A627" s="4"/>
      <c r="B627" s="23"/>
      <c r="C627" s="4"/>
      <c r="D627" s="4"/>
      <c r="E627" s="5"/>
      <c r="F627" s="4"/>
      <c r="G627" s="4"/>
      <c r="H627" s="4"/>
      <c r="I627" s="4"/>
      <c r="J627" s="4"/>
      <c r="K627" s="4"/>
      <c r="L627" s="4"/>
      <c r="M627" s="4"/>
      <c r="N627" s="4"/>
      <c r="O627" s="4"/>
      <c r="P627" s="4"/>
      <c r="Q627" s="4"/>
      <c r="R627" s="4"/>
    </row>
    <row r="628" spans="1:18" ht="17.399999999999999" x14ac:dyDescent="0.25">
      <c r="A628" s="4"/>
      <c r="B628" s="23"/>
      <c r="C628" s="4"/>
      <c r="D628" s="4"/>
      <c r="E628" s="5"/>
      <c r="F628" s="4"/>
      <c r="G628" s="4"/>
      <c r="H628" s="4"/>
      <c r="I628" s="4"/>
      <c r="J628" s="4"/>
      <c r="K628" s="4"/>
      <c r="L628" s="4"/>
      <c r="M628" s="4"/>
      <c r="N628" s="4"/>
      <c r="O628" s="4"/>
      <c r="P628" s="4"/>
      <c r="Q628" s="4"/>
      <c r="R628" s="4"/>
    </row>
    <row r="629" spans="1:18" ht="17.399999999999999" x14ac:dyDescent="0.25">
      <c r="A629" s="4"/>
      <c r="B629" s="23"/>
      <c r="C629" s="4"/>
      <c r="D629" s="4"/>
      <c r="E629" s="5"/>
      <c r="F629" s="4"/>
      <c r="G629" s="4"/>
      <c r="H629" s="4"/>
      <c r="I629" s="4"/>
      <c r="J629" s="4"/>
      <c r="K629" s="4"/>
      <c r="L629" s="4"/>
      <c r="M629" s="4"/>
      <c r="N629" s="4"/>
      <c r="O629" s="4"/>
      <c r="P629" s="4"/>
      <c r="Q629" s="4"/>
      <c r="R629" s="4"/>
    </row>
    <row r="630" spans="1:18" ht="17.399999999999999" x14ac:dyDescent="0.25">
      <c r="A630" s="4"/>
      <c r="B630" s="23"/>
      <c r="C630" s="4"/>
      <c r="D630" s="4"/>
      <c r="E630" s="5"/>
      <c r="F630" s="4"/>
      <c r="G630" s="4"/>
      <c r="H630" s="4"/>
      <c r="I630" s="4"/>
      <c r="J630" s="4"/>
      <c r="K630" s="4"/>
      <c r="L630" s="4"/>
      <c r="M630" s="4"/>
      <c r="N630" s="4"/>
      <c r="O630" s="4"/>
      <c r="P630" s="4"/>
      <c r="Q630" s="4"/>
      <c r="R630" s="4"/>
    </row>
    <row r="631" spans="1:18" ht="17.399999999999999" x14ac:dyDescent="0.25">
      <c r="A631" s="4"/>
      <c r="B631" s="23"/>
      <c r="C631" s="4"/>
      <c r="D631" s="4"/>
      <c r="E631" s="5"/>
      <c r="F631" s="4"/>
      <c r="G631" s="4"/>
      <c r="H631" s="4"/>
      <c r="I631" s="4"/>
      <c r="J631" s="4"/>
      <c r="K631" s="4"/>
      <c r="L631" s="4"/>
      <c r="M631" s="4"/>
      <c r="N631" s="4"/>
      <c r="O631" s="4"/>
      <c r="P631" s="4"/>
      <c r="Q631" s="4"/>
      <c r="R631" s="4"/>
    </row>
    <row r="632" spans="1:18" ht="17.399999999999999" x14ac:dyDescent="0.25">
      <c r="A632" s="4"/>
      <c r="B632" s="23"/>
      <c r="C632" s="4"/>
      <c r="D632" s="4"/>
      <c r="E632" s="5"/>
      <c r="F632" s="4"/>
      <c r="G632" s="4"/>
      <c r="H632" s="4"/>
      <c r="I632" s="4"/>
      <c r="J632" s="4"/>
      <c r="K632" s="4"/>
      <c r="L632" s="4"/>
      <c r="M632" s="4"/>
      <c r="N632" s="4"/>
      <c r="O632" s="4"/>
      <c r="P632" s="4"/>
      <c r="Q632" s="4"/>
      <c r="R632" s="4"/>
    </row>
    <row r="633" spans="1:18" ht="17.399999999999999" x14ac:dyDescent="0.25">
      <c r="A633" s="4"/>
      <c r="B633" s="23"/>
      <c r="C633" s="4"/>
      <c r="D633" s="4"/>
      <c r="E633" s="5"/>
      <c r="F633" s="4"/>
      <c r="G633" s="4"/>
      <c r="H633" s="4"/>
      <c r="I633" s="4"/>
      <c r="J633" s="4"/>
      <c r="K633" s="4"/>
      <c r="L633" s="4"/>
      <c r="M633" s="4"/>
      <c r="N633" s="4"/>
      <c r="O633" s="4"/>
      <c r="P633" s="4"/>
      <c r="Q633" s="4"/>
      <c r="R633" s="4"/>
    </row>
    <row r="634" spans="1:18" ht="17.399999999999999" x14ac:dyDescent="0.25">
      <c r="A634" s="4"/>
      <c r="B634" s="23"/>
      <c r="C634" s="4"/>
      <c r="D634" s="4"/>
      <c r="E634" s="5"/>
      <c r="F634" s="4"/>
      <c r="G634" s="4"/>
      <c r="H634" s="4"/>
      <c r="I634" s="4"/>
      <c r="J634" s="4"/>
      <c r="K634" s="4"/>
      <c r="L634" s="4"/>
      <c r="M634" s="4"/>
      <c r="N634" s="4"/>
      <c r="O634" s="4"/>
      <c r="P634" s="4"/>
      <c r="Q634" s="4"/>
      <c r="R634" s="4"/>
    </row>
    <row r="635" spans="1:18" ht="17.399999999999999" x14ac:dyDescent="0.25">
      <c r="A635" s="4"/>
      <c r="B635" s="23"/>
      <c r="C635" s="4"/>
      <c r="D635" s="4"/>
      <c r="E635" s="5"/>
      <c r="F635" s="4"/>
      <c r="G635" s="4"/>
      <c r="H635" s="4"/>
      <c r="I635" s="4"/>
      <c r="J635" s="4"/>
      <c r="K635" s="4"/>
      <c r="L635" s="4"/>
      <c r="M635" s="4"/>
      <c r="N635" s="4"/>
      <c r="O635" s="4"/>
      <c r="P635" s="4"/>
      <c r="Q635" s="4"/>
      <c r="R635" s="4"/>
    </row>
    <row r="636" spans="1:18" ht="17.399999999999999" x14ac:dyDescent="0.25">
      <c r="A636" s="4"/>
      <c r="B636" s="23"/>
      <c r="C636" s="4"/>
      <c r="D636" s="4"/>
      <c r="E636" s="5"/>
      <c r="F636" s="4"/>
      <c r="G636" s="4"/>
      <c r="H636" s="4"/>
      <c r="I636" s="4"/>
      <c r="J636" s="4"/>
      <c r="K636" s="4"/>
      <c r="L636" s="4"/>
      <c r="M636" s="4"/>
      <c r="N636" s="4"/>
      <c r="O636" s="4"/>
      <c r="P636" s="4"/>
      <c r="Q636" s="4"/>
      <c r="R636" s="4"/>
    </row>
    <row r="637" spans="1:18" ht="17.399999999999999" x14ac:dyDescent="0.25">
      <c r="A637" s="4"/>
      <c r="B637" s="23"/>
      <c r="C637" s="4"/>
      <c r="D637" s="4"/>
      <c r="E637" s="5"/>
      <c r="F637" s="4"/>
      <c r="G637" s="4"/>
      <c r="H637" s="4"/>
      <c r="I637" s="4"/>
      <c r="J637" s="4"/>
      <c r="K637" s="4"/>
      <c r="L637" s="4"/>
      <c r="M637" s="4"/>
      <c r="N637" s="4"/>
      <c r="O637" s="4"/>
      <c r="P637" s="4"/>
      <c r="Q637" s="4"/>
      <c r="R637" s="4"/>
    </row>
    <row r="638" spans="1:18" ht="17.399999999999999" x14ac:dyDescent="0.25">
      <c r="A638" s="4"/>
      <c r="B638" s="23"/>
      <c r="C638" s="4"/>
      <c r="D638" s="4"/>
      <c r="E638" s="5"/>
      <c r="F638" s="4"/>
      <c r="G638" s="4"/>
      <c r="H638" s="4"/>
      <c r="I638" s="4"/>
      <c r="J638" s="4"/>
      <c r="K638" s="4"/>
      <c r="L638" s="4"/>
      <c r="M638" s="4"/>
      <c r="N638" s="4"/>
      <c r="O638" s="4"/>
      <c r="P638" s="4"/>
      <c r="Q638" s="4"/>
      <c r="R638" s="4"/>
    </row>
    <row r="639" spans="1:18" ht="17.399999999999999" x14ac:dyDescent="0.25">
      <c r="A639" s="4"/>
      <c r="B639" s="23"/>
      <c r="C639" s="4"/>
      <c r="D639" s="4"/>
      <c r="E639" s="5"/>
      <c r="F639" s="4"/>
      <c r="G639" s="4"/>
      <c r="H639" s="4"/>
      <c r="I639" s="4"/>
      <c r="J639" s="4"/>
      <c r="K639" s="4"/>
      <c r="L639" s="4"/>
      <c r="M639" s="4"/>
      <c r="N639" s="4"/>
      <c r="O639" s="4"/>
      <c r="P639" s="4"/>
      <c r="Q639" s="4"/>
      <c r="R639" s="4"/>
    </row>
    <row r="640" spans="1:18" ht="17.399999999999999" x14ac:dyDescent="0.25">
      <c r="A640" s="4"/>
      <c r="B640" s="23"/>
      <c r="C640" s="4"/>
      <c r="D640" s="4"/>
      <c r="E640" s="5"/>
      <c r="F640" s="4"/>
      <c r="G640" s="4"/>
      <c r="H640" s="4"/>
      <c r="I640" s="4"/>
      <c r="J640" s="4"/>
      <c r="K640" s="4"/>
      <c r="L640" s="4"/>
      <c r="M640" s="4"/>
      <c r="N640" s="4"/>
      <c r="O640" s="4"/>
      <c r="P640" s="4"/>
      <c r="Q640" s="4"/>
      <c r="R640" s="4"/>
    </row>
    <row r="641" spans="1:18" ht="17.399999999999999" x14ac:dyDescent="0.25">
      <c r="A641" s="4"/>
      <c r="B641" s="23"/>
      <c r="C641" s="4"/>
      <c r="D641" s="4"/>
      <c r="E641" s="5"/>
      <c r="F641" s="4"/>
      <c r="G641" s="4"/>
      <c r="H641" s="4"/>
      <c r="I641" s="4"/>
      <c r="J641" s="4"/>
      <c r="K641" s="4"/>
      <c r="L641" s="4"/>
      <c r="M641" s="4"/>
      <c r="N641" s="4"/>
      <c r="O641" s="4"/>
      <c r="P641" s="4"/>
      <c r="Q641" s="4"/>
      <c r="R641" s="4"/>
    </row>
    <row r="642" spans="1:18" ht="17.399999999999999" x14ac:dyDescent="0.25">
      <c r="A642" s="4"/>
      <c r="B642" s="23"/>
      <c r="C642" s="4"/>
      <c r="D642" s="4"/>
      <c r="E642" s="5"/>
      <c r="F642" s="4"/>
      <c r="G642" s="4"/>
      <c r="H642" s="4"/>
      <c r="I642" s="4"/>
      <c r="J642" s="4"/>
      <c r="K642" s="4"/>
      <c r="L642" s="4"/>
      <c r="M642" s="4"/>
      <c r="N642" s="4"/>
      <c r="O642" s="4"/>
      <c r="P642" s="4"/>
      <c r="Q642" s="4"/>
      <c r="R642" s="4"/>
    </row>
    <row r="643" spans="1:18" ht="17.399999999999999" x14ac:dyDescent="0.25">
      <c r="A643" s="4"/>
      <c r="B643" s="23"/>
      <c r="C643" s="4"/>
      <c r="D643" s="4"/>
      <c r="E643" s="5"/>
      <c r="F643" s="4"/>
      <c r="G643" s="4"/>
      <c r="H643" s="4"/>
      <c r="I643" s="4"/>
      <c r="J643" s="4"/>
      <c r="K643" s="4"/>
      <c r="L643" s="4"/>
      <c r="M643" s="4"/>
      <c r="N643" s="4"/>
      <c r="O643" s="4"/>
      <c r="P643" s="4"/>
      <c r="Q643" s="4"/>
      <c r="R643" s="4"/>
    </row>
    <row r="644" spans="1:18" ht="17.399999999999999" x14ac:dyDescent="0.25">
      <c r="A644" s="4"/>
      <c r="B644" s="23"/>
      <c r="C644" s="4"/>
      <c r="D644" s="4"/>
      <c r="E644" s="5"/>
      <c r="F644" s="4"/>
      <c r="G644" s="4"/>
      <c r="H644" s="4"/>
      <c r="I644" s="4"/>
      <c r="J644" s="4"/>
      <c r="K644" s="4"/>
      <c r="L644" s="4"/>
      <c r="M644" s="4"/>
      <c r="N644" s="4"/>
      <c r="O644" s="4"/>
      <c r="P644" s="4"/>
      <c r="Q644" s="4"/>
      <c r="R644" s="4"/>
    </row>
    <row r="645" spans="1:18" ht="17.399999999999999" x14ac:dyDescent="0.25">
      <c r="A645" s="4"/>
      <c r="B645" s="23"/>
      <c r="C645" s="4"/>
      <c r="D645" s="4"/>
      <c r="E645" s="5"/>
      <c r="F645" s="4"/>
      <c r="G645" s="4"/>
      <c r="H645" s="4"/>
      <c r="I645" s="4"/>
      <c r="J645" s="4"/>
      <c r="K645" s="4"/>
      <c r="L645" s="4"/>
      <c r="M645" s="4"/>
      <c r="N645" s="4"/>
      <c r="O645" s="4"/>
      <c r="P645" s="4"/>
      <c r="Q645" s="4"/>
      <c r="R645" s="4"/>
    </row>
    <row r="646" spans="1:18" ht="17.399999999999999" x14ac:dyDescent="0.25">
      <c r="A646" s="4"/>
      <c r="B646" s="23"/>
      <c r="C646" s="4"/>
      <c r="D646" s="4"/>
      <c r="E646" s="5"/>
      <c r="F646" s="4"/>
      <c r="G646" s="4"/>
      <c r="H646" s="4"/>
      <c r="I646" s="4"/>
      <c r="J646" s="4"/>
      <c r="K646" s="4"/>
      <c r="L646" s="4"/>
      <c r="M646" s="4"/>
      <c r="N646" s="4"/>
      <c r="O646" s="4"/>
      <c r="P646" s="4"/>
      <c r="Q646" s="4"/>
      <c r="R646" s="4"/>
    </row>
    <row r="647" spans="1:18" ht="17.399999999999999" x14ac:dyDescent="0.25">
      <c r="A647" s="4"/>
      <c r="B647" s="23"/>
      <c r="C647" s="4"/>
      <c r="D647" s="4"/>
      <c r="E647" s="5"/>
      <c r="F647" s="4"/>
      <c r="G647" s="4"/>
      <c r="H647" s="4"/>
      <c r="I647" s="4"/>
      <c r="J647" s="4"/>
      <c r="K647" s="4"/>
      <c r="L647" s="4"/>
      <c r="M647" s="4"/>
      <c r="N647" s="4"/>
      <c r="O647" s="4"/>
      <c r="P647" s="4"/>
      <c r="Q647" s="4"/>
      <c r="R647" s="4"/>
    </row>
    <row r="648" spans="1:18" ht="17.399999999999999" x14ac:dyDescent="0.25">
      <c r="A648" s="4"/>
      <c r="B648" s="23"/>
      <c r="C648" s="4"/>
      <c r="D648" s="4"/>
      <c r="E648" s="5"/>
      <c r="F648" s="4"/>
      <c r="G648" s="4"/>
      <c r="H648" s="4"/>
      <c r="I648" s="4"/>
      <c r="J648" s="4"/>
      <c r="K648" s="4"/>
      <c r="L648" s="4"/>
      <c r="M648" s="4"/>
      <c r="N648" s="4"/>
      <c r="O648" s="4"/>
      <c r="P648" s="4"/>
      <c r="Q648" s="4"/>
      <c r="R648" s="4"/>
    </row>
    <row r="649" spans="1:18" ht="17.399999999999999" x14ac:dyDescent="0.25">
      <c r="A649" s="4"/>
      <c r="B649" s="23"/>
      <c r="C649" s="4"/>
      <c r="D649" s="4"/>
      <c r="E649" s="5"/>
      <c r="F649" s="4"/>
      <c r="G649" s="4"/>
      <c r="H649" s="4"/>
      <c r="I649" s="4"/>
      <c r="J649" s="4"/>
      <c r="K649" s="4"/>
      <c r="L649" s="4"/>
      <c r="M649" s="4"/>
      <c r="N649" s="4"/>
      <c r="O649" s="4"/>
      <c r="P649" s="4"/>
      <c r="Q649" s="4"/>
      <c r="R649" s="4"/>
    </row>
    <row r="650" spans="1:18" ht="17.399999999999999" x14ac:dyDescent="0.25">
      <c r="A650" s="4"/>
      <c r="B650" s="23"/>
      <c r="C650" s="4"/>
      <c r="D650" s="4"/>
      <c r="E650" s="5"/>
      <c r="F650" s="4"/>
      <c r="G650" s="4"/>
      <c r="H650" s="4"/>
      <c r="I650" s="4"/>
      <c r="J650" s="4"/>
      <c r="K650" s="4"/>
      <c r="L650" s="4"/>
      <c r="M650" s="4"/>
      <c r="N650" s="4"/>
      <c r="O650" s="4"/>
      <c r="P650" s="4"/>
      <c r="Q650" s="4"/>
      <c r="R650" s="4"/>
    </row>
    <row r="651" spans="1:18" ht="17.399999999999999" x14ac:dyDescent="0.25">
      <c r="A651" s="4"/>
      <c r="B651" s="23"/>
      <c r="C651" s="4"/>
      <c r="D651" s="4"/>
      <c r="E651" s="5"/>
      <c r="F651" s="4"/>
      <c r="G651" s="4"/>
      <c r="H651" s="4"/>
      <c r="I651" s="4"/>
      <c r="J651" s="4"/>
      <c r="K651" s="4"/>
      <c r="L651" s="4"/>
      <c r="M651" s="4"/>
      <c r="N651" s="4"/>
      <c r="O651" s="4"/>
      <c r="P651" s="4"/>
      <c r="Q651" s="4"/>
      <c r="R651" s="4"/>
    </row>
    <row r="652" spans="1:18" ht="17.399999999999999" x14ac:dyDescent="0.25">
      <c r="A652" s="4"/>
      <c r="B652" s="23"/>
      <c r="C652" s="4"/>
      <c r="D652" s="4"/>
      <c r="E652" s="5"/>
      <c r="F652" s="4"/>
      <c r="G652" s="4"/>
      <c r="H652" s="4"/>
      <c r="I652" s="4"/>
      <c r="J652" s="4"/>
      <c r="K652" s="4"/>
      <c r="L652" s="4"/>
      <c r="M652" s="4"/>
      <c r="N652" s="4"/>
      <c r="O652" s="4"/>
      <c r="P652" s="4"/>
      <c r="Q652" s="4"/>
      <c r="R652" s="4"/>
    </row>
    <row r="653" spans="1:18" ht="17.399999999999999" x14ac:dyDescent="0.25">
      <c r="A653" s="4"/>
      <c r="B653" s="23"/>
      <c r="C653" s="4"/>
      <c r="D653" s="4"/>
      <c r="E653" s="5"/>
      <c r="F653" s="4"/>
      <c r="G653" s="4"/>
      <c r="H653" s="4"/>
      <c r="I653" s="4"/>
      <c r="J653" s="4"/>
      <c r="K653" s="4"/>
      <c r="L653" s="4"/>
      <c r="M653" s="4"/>
      <c r="N653" s="4"/>
      <c r="O653" s="4"/>
      <c r="P653" s="4"/>
      <c r="Q653" s="4"/>
      <c r="R653" s="4"/>
    </row>
    <row r="654" spans="1:18" ht="17.399999999999999" x14ac:dyDescent="0.25">
      <c r="A654" s="4"/>
      <c r="B654" s="23"/>
      <c r="C654" s="4"/>
      <c r="D654" s="4"/>
      <c r="E654" s="5"/>
      <c r="F654" s="4"/>
      <c r="G654" s="4"/>
      <c r="H654" s="4"/>
      <c r="I654" s="4"/>
      <c r="J654" s="4"/>
      <c r="K654" s="4"/>
      <c r="L654" s="4"/>
      <c r="M654" s="4"/>
      <c r="N654" s="4"/>
      <c r="O654" s="4"/>
      <c r="P654" s="4"/>
      <c r="Q654" s="4"/>
      <c r="R654" s="4"/>
    </row>
    <row r="655" spans="1:18" ht="17.399999999999999" x14ac:dyDescent="0.25">
      <c r="A655" s="4"/>
      <c r="B655" s="23"/>
      <c r="C655" s="4"/>
      <c r="D655" s="4"/>
      <c r="E655" s="5"/>
      <c r="F655" s="4"/>
      <c r="G655" s="4"/>
      <c r="H655" s="4"/>
      <c r="I655" s="4"/>
      <c r="J655" s="4"/>
      <c r="K655" s="4"/>
      <c r="L655" s="4"/>
      <c r="M655" s="4"/>
      <c r="N655" s="4"/>
      <c r="O655" s="4"/>
      <c r="P655" s="4"/>
      <c r="Q655" s="4"/>
      <c r="R655" s="4"/>
    </row>
    <row r="656" spans="1:18" ht="17.399999999999999" x14ac:dyDescent="0.25">
      <c r="A656" s="4"/>
      <c r="B656" s="23"/>
      <c r="C656" s="4"/>
      <c r="D656" s="4"/>
      <c r="E656" s="5"/>
      <c r="F656" s="4"/>
      <c r="G656" s="4"/>
      <c r="H656" s="4"/>
      <c r="I656" s="4"/>
      <c r="J656" s="4"/>
      <c r="K656" s="4"/>
      <c r="L656" s="4"/>
      <c r="M656" s="4"/>
      <c r="N656" s="4"/>
      <c r="O656" s="4"/>
      <c r="P656" s="4"/>
      <c r="Q656" s="4"/>
      <c r="R656" s="4"/>
    </row>
    <row r="657" spans="1:18" ht="17.399999999999999" x14ac:dyDescent="0.25">
      <c r="A657" s="4"/>
      <c r="B657" s="23"/>
      <c r="C657" s="4"/>
      <c r="D657" s="4"/>
      <c r="E657" s="5"/>
      <c r="F657" s="4"/>
      <c r="G657" s="4"/>
      <c r="H657" s="4"/>
      <c r="I657" s="4"/>
      <c r="J657" s="4"/>
      <c r="K657" s="4"/>
      <c r="L657" s="4"/>
      <c r="M657" s="4"/>
      <c r="N657" s="4"/>
      <c r="O657" s="4"/>
      <c r="P657" s="4"/>
      <c r="Q657" s="4"/>
      <c r="R657" s="4"/>
    </row>
    <row r="658" spans="1:18" ht="17.399999999999999" x14ac:dyDescent="0.25">
      <c r="A658" s="4"/>
      <c r="B658" s="23"/>
      <c r="C658" s="4"/>
      <c r="D658" s="4"/>
      <c r="E658" s="5"/>
      <c r="F658" s="4"/>
      <c r="G658" s="4"/>
      <c r="H658" s="4"/>
      <c r="I658" s="4"/>
      <c r="J658" s="4"/>
      <c r="K658" s="4"/>
      <c r="L658" s="4"/>
      <c r="M658" s="4"/>
      <c r="N658" s="4"/>
      <c r="O658" s="4"/>
      <c r="P658" s="4"/>
      <c r="Q658" s="4"/>
      <c r="R658" s="4"/>
    </row>
    <row r="659" spans="1:18" ht="17.399999999999999" x14ac:dyDescent="0.25">
      <c r="A659" s="4"/>
      <c r="B659" s="23"/>
      <c r="C659" s="4"/>
      <c r="D659" s="4"/>
      <c r="E659" s="5"/>
      <c r="F659" s="4"/>
      <c r="G659" s="4"/>
      <c r="H659" s="4"/>
      <c r="I659" s="4"/>
      <c r="J659" s="4"/>
      <c r="K659" s="4"/>
      <c r="L659" s="4"/>
      <c r="M659" s="4"/>
      <c r="N659" s="4"/>
      <c r="O659" s="4"/>
      <c r="P659" s="4"/>
      <c r="Q659" s="4"/>
      <c r="R659" s="4"/>
    </row>
    <row r="660" spans="1:18" ht="17.399999999999999" x14ac:dyDescent="0.25">
      <c r="A660" s="4"/>
      <c r="B660" s="23"/>
      <c r="C660" s="4"/>
      <c r="D660" s="4"/>
      <c r="E660" s="5"/>
      <c r="F660" s="4"/>
      <c r="G660" s="4"/>
      <c r="H660" s="4"/>
      <c r="I660" s="4"/>
      <c r="J660" s="4"/>
      <c r="K660" s="4"/>
      <c r="L660" s="4"/>
      <c r="M660" s="4"/>
      <c r="N660" s="4"/>
      <c r="O660" s="4"/>
      <c r="P660" s="4"/>
      <c r="Q660" s="4"/>
      <c r="R660" s="4"/>
    </row>
    <row r="661" spans="1:18" ht="17.399999999999999" x14ac:dyDescent="0.25">
      <c r="A661" s="4"/>
      <c r="B661" s="23"/>
      <c r="C661" s="4"/>
      <c r="D661" s="4"/>
      <c r="E661" s="5"/>
      <c r="F661" s="4"/>
      <c r="G661" s="4"/>
      <c r="H661" s="4"/>
      <c r="I661" s="4"/>
      <c r="J661" s="4"/>
      <c r="K661" s="4"/>
      <c r="L661" s="4"/>
      <c r="M661" s="4"/>
      <c r="N661" s="4"/>
      <c r="O661" s="4"/>
      <c r="P661" s="4"/>
      <c r="Q661" s="4"/>
      <c r="R661" s="4"/>
    </row>
    <row r="662" spans="1:18" ht="17.399999999999999" x14ac:dyDescent="0.25">
      <c r="A662" s="4"/>
      <c r="B662" s="23"/>
      <c r="C662" s="4"/>
      <c r="D662" s="4"/>
      <c r="E662" s="5"/>
      <c r="F662" s="4"/>
      <c r="G662" s="4"/>
      <c r="H662" s="4"/>
      <c r="I662" s="4"/>
      <c r="J662" s="4"/>
      <c r="K662" s="4"/>
      <c r="L662" s="4"/>
      <c r="M662" s="4"/>
      <c r="N662" s="4"/>
      <c r="O662" s="4"/>
      <c r="P662" s="4"/>
      <c r="Q662" s="4"/>
      <c r="R662" s="4"/>
    </row>
    <row r="663" spans="1:18" ht="17.399999999999999" x14ac:dyDescent="0.25">
      <c r="A663" s="4"/>
      <c r="B663" s="23"/>
      <c r="C663" s="4"/>
      <c r="D663" s="4"/>
      <c r="E663" s="5"/>
      <c r="F663" s="4"/>
      <c r="G663" s="4"/>
      <c r="H663" s="4"/>
      <c r="I663" s="4"/>
      <c r="J663" s="4"/>
      <c r="K663" s="4"/>
      <c r="L663" s="4"/>
      <c r="M663" s="4"/>
      <c r="N663" s="4"/>
      <c r="O663" s="4"/>
      <c r="P663" s="4"/>
      <c r="Q663" s="4"/>
      <c r="R663" s="4"/>
    </row>
    <row r="664" spans="1:18" ht="17.399999999999999" x14ac:dyDescent="0.25">
      <c r="A664" s="4"/>
      <c r="B664" s="23"/>
      <c r="C664" s="4"/>
      <c r="D664" s="4"/>
      <c r="E664" s="5"/>
      <c r="F664" s="4"/>
      <c r="G664" s="4"/>
      <c r="H664" s="4"/>
      <c r="I664" s="4"/>
      <c r="J664" s="4"/>
      <c r="K664" s="4"/>
      <c r="L664" s="4"/>
      <c r="M664" s="4"/>
      <c r="N664" s="4"/>
      <c r="O664" s="4"/>
      <c r="P664" s="4"/>
      <c r="Q664" s="4"/>
      <c r="R664" s="4"/>
    </row>
    <row r="665" spans="1:18" ht="17.399999999999999" x14ac:dyDescent="0.25">
      <c r="A665" s="4"/>
      <c r="B665" s="23"/>
      <c r="C665" s="4"/>
      <c r="D665" s="4"/>
      <c r="E665" s="5"/>
      <c r="F665" s="4"/>
      <c r="G665" s="4"/>
      <c r="H665" s="4"/>
      <c r="I665" s="4"/>
      <c r="J665" s="4"/>
      <c r="K665" s="4"/>
      <c r="L665" s="4"/>
      <c r="M665" s="4"/>
      <c r="N665" s="4"/>
      <c r="O665" s="4"/>
      <c r="P665" s="4"/>
      <c r="Q665" s="4"/>
      <c r="R665" s="4"/>
    </row>
    <row r="666" spans="1:18" ht="17.399999999999999" x14ac:dyDescent="0.25">
      <c r="A666" s="4"/>
      <c r="B666" s="23"/>
      <c r="C666" s="4"/>
      <c r="D666" s="4"/>
      <c r="E666" s="5"/>
      <c r="F666" s="4"/>
      <c r="G666" s="4"/>
      <c r="H666" s="4"/>
      <c r="I666" s="4"/>
      <c r="J666" s="4"/>
      <c r="K666" s="4"/>
      <c r="L666" s="4"/>
      <c r="M666" s="4"/>
      <c r="N666" s="4"/>
      <c r="O666" s="4"/>
      <c r="P666" s="4"/>
      <c r="Q666" s="4"/>
      <c r="R666" s="4"/>
    </row>
    <row r="667" spans="1:18" ht="17.399999999999999" x14ac:dyDescent="0.25">
      <c r="A667" s="4"/>
      <c r="B667" s="23"/>
      <c r="C667" s="4"/>
      <c r="D667" s="4"/>
      <c r="E667" s="5"/>
      <c r="F667" s="4"/>
      <c r="G667" s="4"/>
      <c r="H667" s="4"/>
      <c r="I667" s="4"/>
      <c r="J667" s="4"/>
      <c r="K667" s="4"/>
      <c r="L667" s="4"/>
      <c r="M667" s="4"/>
      <c r="N667" s="4"/>
      <c r="O667" s="4"/>
      <c r="P667" s="4"/>
      <c r="Q667" s="4"/>
      <c r="R667" s="4"/>
    </row>
    <row r="668" spans="1:18" ht="17.399999999999999" x14ac:dyDescent="0.25">
      <c r="A668" s="4"/>
      <c r="B668" s="23"/>
      <c r="C668" s="4"/>
      <c r="D668" s="4"/>
      <c r="E668" s="5"/>
      <c r="F668" s="4"/>
      <c r="G668" s="4"/>
      <c r="H668" s="4"/>
      <c r="I668" s="4"/>
      <c r="J668" s="4"/>
      <c r="K668" s="4"/>
      <c r="L668" s="4"/>
      <c r="M668" s="4"/>
      <c r="N668" s="4"/>
      <c r="O668" s="4"/>
      <c r="P668" s="4"/>
      <c r="Q668" s="4"/>
      <c r="R668" s="4"/>
    </row>
    <row r="669" spans="1:18" ht="17.399999999999999" x14ac:dyDescent="0.25">
      <c r="A669" s="4"/>
      <c r="B669" s="23"/>
      <c r="C669" s="4"/>
      <c r="D669" s="4"/>
      <c r="E669" s="5"/>
      <c r="F669" s="4"/>
      <c r="G669" s="4"/>
      <c r="H669" s="4"/>
      <c r="I669" s="4"/>
      <c r="J669" s="4"/>
      <c r="K669" s="4"/>
      <c r="L669" s="4"/>
      <c r="M669" s="4"/>
      <c r="N669" s="4"/>
      <c r="O669" s="4"/>
      <c r="P669" s="4"/>
      <c r="Q669" s="4"/>
      <c r="R669" s="4"/>
    </row>
    <row r="670" spans="1:18" ht="17.399999999999999" x14ac:dyDescent="0.25">
      <c r="A670" s="4"/>
      <c r="B670" s="23"/>
      <c r="C670" s="4"/>
      <c r="D670" s="4"/>
      <c r="E670" s="5"/>
      <c r="F670" s="4"/>
      <c r="G670" s="4"/>
      <c r="H670" s="4"/>
      <c r="I670" s="4"/>
      <c r="J670" s="4"/>
      <c r="K670" s="4"/>
      <c r="L670" s="4"/>
      <c r="M670" s="4"/>
      <c r="N670" s="4"/>
      <c r="O670" s="4"/>
      <c r="P670" s="4"/>
      <c r="Q670" s="4"/>
      <c r="R670" s="4"/>
    </row>
    <row r="671" spans="1:18" ht="17.399999999999999" x14ac:dyDescent="0.25">
      <c r="A671" s="4"/>
      <c r="B671" s="23"/>
      <c r="C671" s="4"/>
      <c r="D671" s="4"/>
      <c r="E671" s="5"/>
      <c r="F671" s="4"/>
      <c r="G671" s="4"/>
      <c r="H671" s="4"/>
      <c r="I671" s="4"/>
      <c r="J671" s="4"/>
      <c r="K671" s="4"/>
      <c r="L671" s="4"/>
      <c r="M671" s="4"/>
      <c r="N671" s="4"/>
      <c r="O671" s="4"/>
      <c r="P671" s="4"/>
      <c r="Q671" s="4"/>
      <c r="R671" s="4"/>
    </row>
    <row r="672" spans="1:18" ht="17.399999999999999" x14ac:dyDescent="0.25">
      <c r="A672" s="4"/>
      <c r="B672" s="23"/>
      <c r="C672" s="4"/>
      <c r="D672" s="4"/>
      <c r="E672" s="5"/>
      <c r="F672" s="4"/>
      <c r="G672" s="4"/>
      <c r="H672" s="4"/>
      <c r="I672" s="4"/>
      <c r="J672" s="4"/>
      <c r="K672" s="4"/>
      <c r="L672" s="4"/>
      <c r="M672" s="4"/>
      <c r="N672" s="4"/>
      <c r="O672" s="4"/>
      <c r="P672" s="4"/>
      <c r="Q672" s="4"/>
      <c r="R672" s="4"/>
    </row>
    <row r="673" spans="1:18" ht="17.399999999999999" x14ac:dyDescent="0.25">
      <c r="A673" s="4"/>
      <c r="B673" s="23"/>
      <c r="C673" s="4"/>
      <c r="D673" s="4"/>
      <c r="E673" s="5"/>
      <c r="F673" s="4"/>
      <c r="G673" s="4"/>
      <c r="H673" s="4"/>
      <c r="I673" s="4"/>
      <c r="J673" s="4"/>
      <c r="K673" s="4"/>
      <c r="L673" s="4"/>
      <c r="M673" s="4"/>
      <c r="N673" s="4"/>
      <c r="O673" s="4"/>
      <c r="P673" s="4"/>
      <c r="Q673" s="4"/>
      <c r="R673" s="4"/>
    </row>
    <row r="674" spans="1:18" ht="17.399999999999999" x14ac:dyDescent="0.25">
      <c r="A674" s="4"/>
      <c r="B674" s="23"/>
      <c r="C674" s="4"/>
      <c r="D674" s="4"/>
      <c r="E674" s="5"/>
      <c r="F674" s="4"/>
      <c r="G674" s="4"/>
      <c r="H674" s="4"/>
      <c r="I674" s="4"/>
      <c r="J674" s="4"/>
      <c r="K674" s="4"/>
      <c r="L674" s="4"/>
      <c r="M674" s="4"/>
      <c r="N674" s="4"/>
      <c r="O674" s="4"/>
      <c r="P674" s="4"/>
      <c r="Q674" s="4"/>
      <c r="R674" s="4"/>
    </row>
    <row r="675" spans="1:18" ht="17.399999999999999" x14ac:dyDescent="0.25">
      <c r="A675" s="4"/>
      <c r="B675" s="23"/>
      <c r="C675" s="4"/>
      <c r="D675" s="4"/>
      <c r="E675" s="5"/>
      <c r="F675" s="4"/>
      <c r="G675" s="4"/>
      <c r="H675" s="4"/>
      <c r="I675" s="4"/>
      <c r="J675" s="4"/>
      <c r="K675" s="4"/>
      <c r="L675" s="4"/>
      <c r="M675" s="4"/>
      <c r="N675" s="4"/>
      <c r="O675" s="4"/>
      <c r="P675" s="4"/>
      <c r="Q675" s="4"/>
      <c r="R675" s="4"/>
    </row>
    <row r="676" spans="1:18" ht="17.399999999999999" x14ac:dyDescent="0.25">
      <c r="A676" s="4"/>
      <c r="B676" s="23"/>
      <c r="C676" s="4"/>
      <c r="D676" s="4"/>
      <c r="E676" s="5"/>
      <c r="F676" s="4"/>
      <c r="G676" s="4"/>
      <c r="H676" s="4"/>
      <c r="I676" s="4"/>
      <c r="J676" s="4"/>
      <c r="K676" s="4"/>
      <c r="L676" s="4"/>
      <c r="M676" s="4"/>
      <c r="N676" s="4"/>
      <c r="O676" s="4"/>
      <c r="P676" s="4"/>
      <c r="Q676" s="4"/>
      <c r="R676" s="4"/>
    </row>
    <row r="677" spans="1:18" ht="17.399999999999999" x14ac:dyDescent="0.25">
      <c r="A677" s="4"/>
      <c r="B677" s="23"/>
      <c r="C677" s="4"/>
      <c r="D677" s="4"/>
      <c r="E677" s="5"/>
      <c r="F677" s="4"/>
      <c r="G677" s="4"/>
      <c r="H677" s="4"/>
      <c r="I677" s="4"/>
      <c r="J677" s="4"/>
      <c r="K677" s="4"/>
      <c r="L677" s="4"/>
      <c r="M677" s="4"/>
      <c r="N677" s="4"/>
      <c r="O677" s="4"/>
      <c r="P677" s="4"/>
      <c r="Q677" s="4"/>
      <c r="R677" s="4"/>
    </row>
    <row r="678" spans="1:18" ht="17.399999999999999" x14ac:dyDescent="0.25">
      <c r="A678" s="4"/>
      <c r="B678" s="23"/>
      <c r="C678" s="4"/>
      <c r="D678" s="4"/>
      <c r="E678" s="5"/>
      <c r="F678" s="4"/>
      <c r="G678" s="4"/>
      <c r="H678" s="4"/>
      <c r="I678" s="4"/>
      <c r="J678" s="4"/>
      <c r="K678" s="4"/>
      <c r="L678" s="4"/>
      <c r="M678" s="4"/>
      <c r="N678" s="4"/>
      <c r="O678" s="4"/>
      <c r="P678" s="4"/>
      <c r="Q678" s="4"/>
      <c r="R678" s="4"/>
    </row>
    <row r="679" spans="1:18" ht="17.399999999999999" x14ac:dyDescent="0.25">
      <c r="A679" s="4"/>
      <c r="B679" s="23"/>
      <c r="C679" s="4"/>
      <c r="D679" s="4"/>
      <c r="E679" s="5"/>
      <c r="F679" s="4"/>
      <c r="G679" s="4"/>
      <c r="H679" s="4"/>
      <c r="I679" s="4"/>
      <c r="J679" s="4"/>
      <c r="K679" s="4"/>
      <c r="L679" s="4"/>
      <c r="M679" s="4"/>
      <c r="N679" s="4"/>
      <c r="O679" s="4"/>
      <c r="P679" s="4"/>
      <c r="Q679" s="4"/>
      <c r="R679" s="4"/>
    </row>
    <row r="680" spans="1:18" ht="17.399999999999999" x14ac:dyDescent="0.25">
      <c r="A680" s="4"/>
      <c r="B680" s="23"/>
      <c r="C680" s="4"/>
      <c r="D680" s="4"/>
      <c r="E680" s="5"/>
      <c r="F680" s="4"/>
      <c r="G680" s="4"/>
      <c r="H680" s="4"/>
      <c r="I680" s="4"/>
      <c r="J680" s="4"/>
      <c r="K680" s="4"/>
      <c r="L680" s="4"/>
      <c r="M680" s="4"/>
      <c r="N680" s="4"/>
      <c r="O680" s="4"/>
      <c r="P680" s="4"/>
      <c r="Q680" s="4"/>
      <c r="R680" s="4"/>
    </row>
    <row r="681" spans="1:18" ht="17.399999999999999" x14ac:dyDescent="0.25">
      <c r="A681" s="4"/>
      <c r="B681" s="23"/>
      <c r="C681" s="4"/>
      <c r="D681" s="4"/>
      <c r="E681" s="5"/>
      <c r="F681" s="4"/>
      <c r="G681" s="4"/>
      <c r="H681" s="4"/>
      <c r="I681" s="4"/>
      <c r="J681" s="4"/>
      <c r="K681" s="4"/>
      <c r="L681" s="4"/>
      <c r="M681" s="4"/>
      <c r="N681" s="4"/>
      <c r="O681" s="4"/>
      <c r="P681" s="4"/>
      <c r="Q681" s="4"/>
      <c r="R681" s="4"/>
    </row>
    <row r="682" spans="1:18" ht="17.399999999999999" x14ac:dyDescent="0.25">
      <c r="A682" s="4"/>
      <c r="B682" s="23"/>
      <c r="C682" s="4"/>
      <c r="D682" s="4"/>
      <c r="E682" s="5"/>
      <c r="F682" s="4"/>
      <c r="G682" s="4"/>
      <c r="H682" s="4"/>
      <c r="I682" s="4"/>
      <c r="J682" s="4"/>
      <c r="K682" s="4"/>
      <c r="L682" s="4"/>
      <c r="M682" s="4"/>
      <c r="N682" s="4"/>
      <c r="O682" s="4"/>
      <c r="P682" s="4"/>
      <c r="Q682" s="4"/>
      <c r="R682" s="4"/>
    </row>
    <row r="683" spans="1:18" ht="17.399999999999999" x14ac:dyDescent="0.25">
      <c r="A683" s="4"/>
      <c r="B683" s="23"/>
      <c r="C683" s="4"/>
      <c r="D683" s="4"/>
      <c r="E683" s="5"/>
      <c r="F683" s="4"/>
      <c r="G683" s="4"/>
      <c r="H683" s="4"/>
      <c r="I683" s="4"/>
      <c r="J683" s="4"/>
      <c r="K683" s="4"/>
      <c r="L683" s="4"/>
      <c r="M683" s="4"/>
      <c r="N683" s="4"/>
      <c r="O683" s="4"/>
      <c r="P683" s="4"/>
      <c r="Q683" s="4"/>
      <c r="R683" s="4"/>
    </row>
    <row r="684" spans="1:18" ht="17.399999999999999" x14ac:dyDescent="0.25">
      <c r="A684" s="4"/>
      <c r="B684" s="23"/>
      <c r="C684" s="4"/>
      <c r="D684" s="4"/>
      <c r="E684" s="5"/>
      <c r="F684" s="4"/>
      <c r="G684" s="4"/>
      <c r="H684" s="4"/>
      <c r="I684" s="4"/>
      <c r="J684" s="4"/>
      <c r="K684" s="4"/>
      <c r="L684" s="4"/>
      <c r="M684" s="4"/>
      <c r="N684" s="4"/>
      <c r="O684" s="4"/>
      <c r="P684" s="4"/>
      <c r="Q684" s="4"/>
      <c r="R684" s="4"/>
    </row>
    <row r="685" spans="1:18" ht="17.399999999999999" x14ac:dyDescent="0.25">
      <c r="A685" s="4"/>
      <c r="B685" s="23"/>
      <c r="C685" s="4"/>
      <c r="D685" s="4"/>
      <c r="E685" s="5"/>
      <c r="F685" s="4"/>
      <c r="G685" s="4"/>
      <c r="H685" s="4"/>
      <c r="I685" s="4"/>
      <c r="J685" s="4"/>
      <c r="K685" s="4"/>
      <c r="L685" s="4"/>
      <c r="M685" s="4"/>
      <c r="N685" s="4"/>
      <c r="O685" s="4"/>
      <c r="P685" s="4"/>
      <c r="Q685" s="4"/>
      <c r="R685" s="4"/>
    </row>
    <row r="686" spans="1:18" ht="17.399999999999999" x14ac:dyDescent="0.25">
      <c r="A686" s="4"/>
      <c r="B686" s="23"/>
      <c r="C686" s="4"/>
      <c r="D686" s="4"/>
      <c r="E686" s="5"/>
      <c r="F686" s="4"/>
      <c r="G686" s="4"/>
      <c r="H686" s="4"/>
      <c r="I686" s="4"/>
      <c r="J686" s="4"/>
      <c r="K686" s="4"/>
      <c r="L686" s="4"/>
      <c r="M686" s="4"/>
      <c r="N686" s="4"/>
      <c r="O686" s="4"/>
      <c r="P686" s="4"/>
      <c r="Q686" s="4"/>
      <c r="R686" s="4"/>
    </row>
    <row r="687" spans="1:18" ht="17.399999999999999" x14ac:dyDescent="0.25">
      <c r="A687" s="4"/>
      <c r="B687" s="23"/>
      <c r="C687" s="4"/>
      <c r="D687" s="4"/>
      <c r="E687" s="5"/>
      <c r="F687" s="4"/>
      <c r="G687" s="4"/>
      <c r="H687" s="4"/>
      <c r="I687" s="4"/>
      <c r="J687" s="4"/>
      <c r="K687" s="4"/>
      <c r="L687" s="4"/>
      <c r="M687" s="4"/>
      <c r="N687" s="4"/>
      <c r="O687" s="4"/>
      <c r="P687" s="4"/>
      <c r="Q687" s="4"/>
      <c r="R687" s="4"/>
    </row>
    <row r="688" spans="1:18" ht="17.399999999999999" x14ac:dyDescent="0.25">
      <c r="A688" s="4"/>
      <c r="B688" s="23"/>
      <c r="C688" s="4"/>
      <c r="D688" s="4"/>
      <c r="E688" s="5"/>
      <c r="F688" s="4"/>
      <c r="G688" s="4"/>
      <c r="H688" s="4"/>
      <c r="I688" s="4"/>
      <c r="J688" s="4"/>
      <c r="K688" s="4"/>
      <c r="L688" s="4"/>
      <c r="M688" s="4"/>
      <c r="N688" s="4"/>
      <c r="O688" s="4"/>
      <c r="P688" s="4"/>
      <c r="Q688" s="4"/>
      <c r="R688" s="4"/>
    </row>
    <row r="689" spans="1:18" ht="17.399999999999999" x14ac:dyDescent="0.25">
      <c r="A689" s="4"/>
      <c r="B689" s="23"/>
      <c r="C689" s="4"/>
      <c r="D689" s="4"/>
      <c r="E689" s="5"/>
      <c r="F689" s="4"/>
      <c r="G689" s="4"/>
      <c r="H689" s="4"/>
      <c r="I689" s="4"/>
      <c r="J689" s="4"/>
      <c r="K689" s="4"/>
      <c r="L689" s="4"/>
      <c r="M689" s="4"/>
      <c r="N689" s="4"/>
      <c r="O689" s="4"/>
      <c r="P689" s="4"/>
      <c r="Q689" s="4"/>
      <c r="R689" s="4"/>
    </row>
    <row r="690" spans="1:18" ht="17.399999999999999" x14ac:dyDescent="0.25">
      <c r="A690" s="4"/>
      <c r="B690" s="23"/>
      <c r="C690" s="4"/>
      <c r="D690" s="4"/>
      <c r="E690" s="5"/>
      <c r="F690" s="4"/>
      <c r="G690" s="4"/>
      <c r="H690" s="4"/>
      <c r="I690" s="4"/>
      <c r="J690" s="4"/>
      <c r="K690" s="4"/>
      <c r="L690" s="4"/>
      <c r="M690" s="4"/>
      <c r="N690" s="4"/>
      <c r="O690" s="4"/>
      <c r="P690" s="4"/>
      <c r="Q690" s="4"/>
      <c r="R690" s="4"/>
    </row>
    <row r="691" spans="1:18" ht="17.399999999999999" x14ac:dyDescent="0.25">
      <c r="A691" s="4"/>
      <c r="B691" s="23"/>
      <c r="C691" s="4"/>
      <c r="D691" s="4"/>
      <c r="E691" s="5"/>
      <c r="F691" s="4"/>
      <c r="G691" s="4"/>
      <c r="H691" s="4"/>
      <c r="I691" s="4"/>
      <c r="J691" s="4"/>
      <c r="K691" s="4"/>
      <c r="L691" s="4"/>
      <c r="M691" s="4"/>
      <c r="N691" s="4"/>
      <c r="O691" s="4"/>
      <c r="P691" s="4"/>
      <c r="Q691" s="4"/>
      <c r="R691" s="4"/>
    </row>
    <row r="692" spans="1:18" ht="17.399999999999999" x14ac:dyDescent="0.25">
      <c r="A692" s="4"/>
      <c r="B692" s="23"/>
      <c r="C692" s="4"/>
      <c r="D692" s="4"/>
      <c r="E692" s="5"/>
      <c r="F692" s="4"/>
      <c r="G692" s="4"/>
      <c r="H692" s="4"/>
      <c r="I692" s="4"/>
      <c r="J692" s="4"/>
      <c r="K692" s="4"/>
      <c r="L692" s="4"/>
      <c r="M692" s="4"/>
      <c r="N692" s="4"/>
      <c r="O692" s="4"/>
      <c r="P692" s="4"/>
      <c r="Q692" s="4"/>
      <c r="R692" s="4"/>
    </row>
    <row r="693" spans="1:18" ht="17.399999999999999" x14ac:dyDescent="0.25">
      <c r="A693" s="4"/>
      <c r="B693" s="23"/>
      <c r="C693" s="4"/>
      <c r="D693" s="4"/>
      <c r="E693" s="5"/>
      <c r="F693" s="4"/>
      <c r="G693" s="4"/>
      <c r="H693" s="4"/>
      <c r="I693" s="4"/>
      <c r="J693" s="4"/>
      <c r="K693" s="4"/>
      <c r="L693" s="4"/>
      <c r="M693" s="4"/>
      <c r="N693" s="4"/>
      <c r="O693" s="4"/>
      <c r="P693" s="4"/>
      <c r="Q693" s="4"/>
      <c r="R693" s="4"/>
    </row>
    <row r="694" spans="1:18" ht="17.399999999999999" x14ac:dyDescent="0.25">
      <c r="A694" s="4"/>
      <c r="B694" s="23"/>
      <c r="C694" s="4"/>
      <c r="D694" s="4"/>
      <c r="E694" s="5"/>
      <c r="F694" s="4"/>
      <c r="G694" s="4"/>
      <c r="H694" s="4"/>
      <c r="I694" s="4"/>
      <c r="J694" s="4"/>
      <c r="K694" s="4"/>
      <c r="L694" s="4"/>
      <c r="M694" s="4"/>
      <c r="N694" s="4"/>
      <c r="O694" s="4"/>
      <c r="P694" s="4"/>
      <c r="Q694" s="4"/>
      <c r="R694" s="4"/>
    </row>
    <row r="695" spans="1:18" ht="17.399999999999999" x14ac:dyDescent="0.25">
      <c r="A695" s="4"/>
      <c r="B695" s="23"/>
      <c r="C695" s="4"/>
      <c r="D695" s="4"/>
      <c r="E695" s="5"/>
      <c r="F695" s="4"/>
      <c r="G695" s="4"/>
      <c r="H695" s="4"/>
      <c r="I695" s="4"/>
      <c r="J695" s="4"/>
      <c r="K695" s="4"/>
      <c r="L695" s="4"/>
      <c r="M695" s="4"/>
      <c r="N695" s="4"/>
      <c r="O695" s="4"/>
      <c r="P695" s="4"/>
      <c r="Q695" s="4"/>
      <c r="R695" s="4"/>
    </row>
    <row r="696" spans="1:18" ht="17.399999999999999" x14ac:dyDescent="0.25">
      <c r="A696" s="4"/>
      <c r="B696" s="23"/>
      <c r="C696" s="4"/>
      <c r="D696" s="4"/>
      <c r="E696" s="5"/>
      <c r="F696" s="4"/>
      <c r="G696" s="4"/>
      <c r="H696" s="4"/>
      <c r="I696" s="4"/>
      <c r="J696" s="4"/>
      <c r="K696" s="4"/>
      <c r="L696" s="4"/>
      <c r="M696" s="4"/>
      <c r="N696" s="4"/>
      <c r="O696" s="4"/>
      <c r="P696" s="4"/>
      <c r="Q696" s="4"/>
      <c r="R696" s="4"/>
    </row>
    <row r="697" spans="1:18" ht="17.399999999999999" x14ac:dyDescent="0.25">
      <c r="A697" s="4"/>
      <c r="B697" s="23"/>
      <c r="C697" s="4"/>
      <c r="D697" s="4"/>
      <c r="E697" s="5"/>
      <c r="F697" s="4"/>
      <c r="G697" s="4"/>
      <c r="H697" s="4"/>
      <c r="I697" s="4"/>
      <c r="J697" s="4"/>
      <c r="K697" s="4"/>
      <c r="L697" s="4"/>
      <c r="M697" s="4"/>
      <c r="N697" s="4"/>
      <c r="O697" s="4"/>
      <c r="P697" s="4"/>
      <c r="Q697" s="4"/>
      <c r="R697" s="4"/>
    </row>
    <row r="698" spans="1:18" ht="17.399999999999999" x14ac:dyDescent="0.25">
      <c r="A698" s="4"/>
      <c r="B698" s="23"/>
      <c r="C698" s="4"/>
      <c r="D698" s="4"/>
      <c r="E698" s="5"/>
      <c r="F698" s="4"/>
      <c r="G698" s="4"/>
      <c r="H698" s="4"/>
      <c r="I698" s="4"/>
      <c r="J698" s="4"/>
      <c r="K698" s="4"/>
      <c r="L698" s="4"/>
      <c r="M698" s="4"/>
      <c r="N698" s="4"/>
      <c r="O698" s="4"/>
      <c r="P698" s="4"/>
      <c r="Q698" s="4"/>
      <c r="R698" s="4"/>
    </row>
    <row r="699" spans="1:18" ht="17.399999999999999" x14ac:dyDescent="0.25">
      <c r="A699" s="4"/>
      <c r="B699" s="23"/>
      <c r="C699" s="4"/>
      <c r="D699" s="4"/>
      <c r="E699" s="5"/>
      <c r="F699" s="4"/>
      <c r="G699" s="4"/>
      <c r="H699" s="4"/>
      <c r="I699" s="4"/>
      <c r="J699" s="4"/>
      <c r="K699" s="4"/>
      <c r="L699" s="4"/>
      <c r="M699" s="4"/>
      <c r="N699" s="4"/>
      <c r="O699" s="4"/>
      <c r="P699" s="4"/>
      <c r="Q699" s="4"/>
      <c r="R699" s="4"/>
    </row>
    <row r="700" spans="1:18" ht="17.399999999999999" x14ac:dyDescent="0.25">
      <c r="A700" s="4"/>
      <c r="B700" s="23"/>
      <c r="C700" s="4"/>
      <c r="D700" s="4"/>
      <c r="E700" s="5"/>
      <c r="F700" s="4"/>
      <c r="G700" s="4"/>
      <c r="H700" s="4"/>
      <c r="I700" s="4"/>
      <c r="J700" s="4"/>
      <c r="K700" s="4"/>
      <c r="L700" s="4"/>
      <c r="M700" s="4"/>
      <c r="N700" s="4"/>
      <c r="O700" s="4"/>
      <c r="P700" s="4"/>
      <c r="Q700" s="4"/>
      <c r="R700" s="4"/>
    </row>
    <row r="701" spans="1:18" ht="17.399999999999999" x14ac:dyDescent="0.25">
      <c r="A701" s="4"/>
      <c r="B701" s="23"/>
      <c r="C701" s="4"/>
      <c r="D701" s="4"/>
      <c r="E701" s="5"/>
      <c r="F701" s="4"/>
      <c r="G701" s="4"/>
      <c r="H701" s="4"/>
      <c r="I701" s="4"/>
      <c r="J701" s="4"/>
      <c r="K701" s="4"/>
      <c r="L701" s="4"/>
      <c r="M701" s="4"/>
      <c r="N701" s="4"/>
      <c r="O701" s="4"/>
      <c r="P701" s="4"/>
      <c r="Q701" s="4"/>
      <c r="R701" s="4"/>
    </row>
    <row r="702" spans="1:18" ht="17.399999999999999" x14ac:dyDescent="0.25">
      <c r="A702" s="4"/>
      <c r="B702" s="23"/>
      <c r="C702" s="4"/>
      <c r="D702" s="4"/>
      <c r="E702" s="5"/>
      <c r="F702" s="4"/>
      <c r="G702" s="4"/>
      <c r="H702" s="4"/>
      <c r="I702" s="4"/>
      <c r="J702" s="4"/>
      <c r="K702" s="4"/>
      <c r="L702" s="4"/>
      <c r="M702" s="4"/>
      <c r="N702" s="4"/>
      <c r="O702" s="4"/>
      <c r="P702" s="4"/>
      <c r="Q702" s="4"/>
      <c r="R702" s="4"/>
    </row>
    <row r="703" spans="1:18" ht="17.399999999999999" x14ac:dyDescent="0.25">
      <c r="A703" s="4"/>
      <c r="B703" s="23"/>
      <c r="C703" s="4"/>
      <c r="D703" s="4"/>
      <c r="E703" s="5"/>
      <c r="F703" s="4"/>
      <c r="G703" s="4"/>
      <c r="H703" s="4"/>
      <c r="I703" s="4"/>
      <c r="J703" s="4"/>
      <c r="K703" s="4"/>
      <c r="L703" s="4"/>
      <c r="M703" s="4"/>
      <c r="N703" s="4"/>
      <c r="O703" s="4"/>
      <c r="P703" s="4"/>
      <c r="Q703" s="4"/>
      <c r="R703" s="4"/>
    </row>
    <row r="704" spans="1:18" ht="17.399999999999999" x14ac:dyDescent="0.25">
      <c r="A704" s="4"/>
      <c r="B704" s="23"/>
      <c r="C704" s="4"/>
      <c r="D704" s="4"/>
      <c r="E704" s="5"/>
      <c r="F704" s="4"/>
      <c r="G704" s="4"/>
      <c r="H704" s="4"/>
      <c r="I704" s="4"/>
      <c r="J704" s="4"/>
      <c r="K704" s="4"/>
      <c r="L704" s="4"/>
      <c r="M704" s="4"/>
      <c r="N704" s="4"/>
      <c r="O704" s="4"/>
      <c r="P704" s="4"/>
      <c r="Q704" s="4"/>
      <c r="R704" s="4"/>
    </row>
    <row r="705" spans="1:18" ht="17.399999999999999" x14ac:dyDescent="0.25">
      <c r="A705" s="4"/>
      <c r="B705" s="23"/>
      <c r="C705" s="4"/>
      <c r="D705" s="4"/>
      <c r="E705" s="5"/>
      <c r="F705" s="4"/>
      <c r="G705" s="4"/>
      <c r="H705" s="4"/>
      <c r="I705" s="4"/>
      <c r="J705" s="4"/>
      <c r="K705" s="4"/>
      <c r="L705" s="4"/>
      <c r="M705" s="4"/>
      <c r="N705" s="4"/>
      <c r="O705" s="4"/>
      <c r="P705" s="4"/>
      <c r="Q705" s="4"/>
      <c r="R705" s="4"/>
    </row>
    <row r="706" spans="1:18" ht="17.399999999999999" x14ac:dyDescent="0.25">
      <c r="A706" s="4"/>
      <c r="B706" s="23"/>
      <c r="C706" s="4"/>
      <c r="D706" s="4"/>
      <c r="E706" s="5"/>
      <c r="F706" s="4"/>
      <c r="G706" s="4"/>
      <c r="H706" s="4"/>
      <c r="I706" s="4"/>
      <c r="J706" s="4"/>
      <c r="K706" s="4"/>
      <c r="L706" s="4"/>
      <c r="M706" s="4"/>
      <c r="N706" s="4"/>
      <c r="O706" s="4"/>
      <c r="P706" s="4"/>
      <c r="Q706" s="4"/>
      <c r="R706" s="4"/>
    </row>
    <row r="707" spans="1:18" ht="17.399999999999999" x14ac:dyDescent="0.25">
      <c r="A707" s="4"/>
      <c r="B707" s="23"/>
      <c r="C707" s="4"/>
      <c r="D707" s="4"/>
      <c r="E707" s="5"/>
      <c r="F707" s="4"/>
      <c r="G707" s="4"/>
      <c r="H707" s="4"/>
      <c r="I707" s="4"/>
      <c r="J707" s="4"/>
      <c r="K707" s="4"/>
      <c r="L707" s="4"/>
      <c r="M707" s="4"/>
      <c r="N707" s="4"/>
      <c r="O707" s="4"/>
      <c r="P707" s="4"/>
      <c r="Q707" s="4"/>
      <c r="R707" s="4"/>
    </row>
    <row r="708" spans="1:18" ht="17.399999999999999" x14ac:dyDescent="0.25">
      <c r="A708" s="4"/>
      <c r="B708" s="23"/>
      <c r="C708" s="4"/>
      <c r="D708" s="4"/>
      <c r="E708" s="5"/>
      <c r="F708" s="4"/>
      <c r="G708" s="4"/>
      <c r="H708" s="4"/>
      <c r="I708" s="4"/>
      <c r="J708" s="4"/>
      <c r="K708" s="4"/>
      <c r="L708" s="4"/>
      <c r="M708" s="4"/>
      <c r="N708" s="4"/>
      <c r="O708" s="4"/>
      <c r="P708" s="4"/>
      <c r="Q708" s="4"/>
      <c r="R708" s="4"/>
    </row>
    <row r="709" spans="1:18" ht="17.399999999999999" x14ac:dyDescent="0.25">
      <c r="A709" s="4"/>
      <c r="B709" s="23"/>
      <c r="C709" s="4"/>
      <c r="D709" s="4"/>
      <c r="E709" s="5"/>
      <c r="F709" s="4"/>
      <c r="G709" s="4"/>
      <c r="H709" s="4"/>
      <c r="I709" s="4"/>
      <c r="J709" s="4"/>
      <c r="K709" s="4"/>
      <c r="L709" s="4"/>
      <c r="M709" s="4"/>
      <c r="N709" s="4"/>
      <c r="O709" s="4"/>
      <c r="P709" s="4"/>
      <c r="Q709" s="4"/>
      <c r="R709" s="4"/>
    </row>
    <row r="710" spans="1:18" ht="17.399999999999999" x14ac:dyDescent="0.25">
      <c r="A710" s="4"/>
      <c r="B710" s="23"/>
      <c r="C710" s="4"/>
      <c r="D710" s="4"/>
      <c r="E710" s="5"/>
      <c r="F710" s="4"/>
      <c r="G710" s="4"/>
      <c r="H710" s="4"/>
      <c r="I710" s="4"/>
      <c r="J710" s="4"/>
      <c r="K710" s="4"/>
      <c r="L710" s="4"/>
      <c r="M710" s="4"/>
      <c r="N710" s="4"/>
      <c r="O710" s="4"/>
      <c r="P710" s="4"/>
      <c r="Q710" s="4"/>
      <c r="R710" s="4"/>
    </row>
    <row r="711" spans="1:18" ht="17.399999999999999" x14ac:dyDescent="0.25">
      <c r="A711" s="4"/>
      <c r="B711" s="23"/>
      <c r="C711" s="4"/>
      <c r="D711" s="4"/>
      <c r="E711" s="5"/>
      <c r="F711" s="4"/>
      <c r="G711" s="4"/>
      <c r="H711" s="4"/>
      <c r="I711" s="4"/>
      <c r="J711" s="4"/>
      <c r="K711" s="4"/>
      <c r="L711" s="4"/>
      <c r="M711" s="4"/>
      <c r="N711" s="4"/>
      <c r="O711" s="4"/>
      <c r="P711" s="4"/>
      <c r="Q711" s="4"/>
      <c r="R711" s="4"/>
    </row>
    <row r="712" spans="1:18" ht="17.399999999999999" x14ac:dyDescent="0.25">
      <c r="A712" s="4"/>
      <c r="B712" s="23"/>
      <c r="C712" s="4"/>
      <c r="D712" s="4"/>
      <c r="E712" s="5"/>
      <c r="F712" s="4"/>
      <c r="G712" s="4"/>
      <c r="H712" s="4"/>
      <c r="I712" s="4"/>
      <c r="J712" s="4"/>
      <c r="K712" s="4"/>
      <c r="L712" s="4"/>
      <c r="M712" s="4"/>
      <c r="N712" s="4"/>
      <c r="O712" s="4"/>
      <c r="P712" s="4"/>
      <c r="Q712" s="4"/>
      <c r="R712" s="4"/>
    </row>
    <row r="713" spans="1:18" ht="17.399999999999999" x14ac:dyDescent="0.25">
      <c r="A713" s="4"/>
      <c r="B713" s="23"/>
      <c r="C713" s="4"/>
      <c r="D713" s="4"/>
      <c r="E713" s="5"/>
      <c r="F713" s="4"/>
      <c r="G713" s="4"/>
      <c r="H713" s="4"/>
      <c r="I713" s="4"/>
      <c r="J713" s="4"/>
      <c r="K713" s="4"/>
      <c r="L713" s="4"/>
      <c r="M713" s="4"/>
      <c r="N713" s="4"/>
      <c r="O713" s="4"/>
      <c r="P713" s="4"/>
      <c r="Q713" s="4"/>
      <c r="R713" s="4"/>
    </row>
    <row r="714" spans="1:18" ht="17.399999999999999" x14ac:dyDescent="0.25">
      <c r="A714" s="4"/>
      <c r="B714" s="23"/>
      <c r="C714" s="4"/>
      <c r="D714" s="4"/>
      <c r="E714" s="5"/>
      <c r="F714" s="4"/>
      <c r="G714" s="4"/>
      <c r="H714" s="4"/>
      <c r="I714" s="4"/>
      <c r="J714" s="4"/>
      <c r="K714" s="4"/>
      <c r="L714" s="4"/>
      <c r="M714" s="4"/>
      <c r="N714" s="4"/>
      <c r="O714" s="4"/>
      <c r="P714" s="4"/>
      <c r="Q714" s="4"/>
      <c r="R714" s="4"/>
    </row>
    <row r="715" spans="1:18" ht="17.399999999999999" x14ac:dyDescent="0.25">
      <c r="A715" s="4"/>
      <c r="B715" s="23"/>
      <c r="C715" s="4"/>
      <c r="D715" s="4"/>
      <c r="E715" s="5"/>
      <c r="F715" s="4"/>
      <c r="G715" s="4"/>
      <c r="H715" s="4"/>
      <c r="I715" s="4"/>
      <c r="J715" s="4"/>
      <c r="K715" s="4"/>
      <c r="L715" s="4"/>
      <c r="M715" s="4"/>
      <c r="N715" s="4"/>
      <c r="O715" s="4"/>
      <c r="P715" s="4"/>
      <c r="Q715" s="4"/>
      <c r="R715" s="4"/>
    </row>
    <row r="716" spans="1:18" ht="17.399999999999999" x14ac:dyDescent="0.25">
      <c r="A716" s="4"/>
      <c r="B716" s="23"/>
      <c r="C716" s="4"/>
      <c r="D716" s="4"/>
      <c r="E716" s="5"/>
      <c r="F716" s="4"/>
      <c r="G716" s="4"/>
      <c r="H716" s="4"/>
      <c r="I716" s="4"/>
      <c r="J716" s="4"/>
      <c r="K716" s="4"/>
      <c r="L716" s="4"/>
      <c r="M716" s="4"/>
      <c r="N716" s="4"/>
      <c r="O716" s="4"/>
      <c r="P716" s="4"/>
      <c r="Q716" s="4"/>
      <c r="R716" s="4"/>
    </row>
    <row r="717" spans="1:18" ht="17.399999999999999" x14ac:dyDescent="0.25">
      <c r="A717" s="4"/>
      <c r="B717" s="23"/>
      <c r="C717" s="4"/>
      <c r="D717" s="4"/>
      <c r="E717" s="5"/>
      <c r="F717" s="4"/>
      <c r="G717" s="4"/>
      <c r="H717" s="4"/>
      <c r="I717" s="4"/>
      <c r="J717" s="4"/>
      <c r="K717" s="4"/>
      <c r="L717" s="4"/>
      <c r="M717" s="4"/>
      <c r="N717" s="4"/>
      <c r="O717" s="4"/>
      <c r="P717" s="4"/>
      <c r="Q717" s="4"/>
      <c r="R717" s="4"/>
    </row>
    <row r="718" spans="1:18" ht="17.399999999999999" x14ac:dyDescent="0.25">
      <c r="A718" s="4"/>
      <c r="B718" s="23"/>
      <c r="C718" s="4"/>
      <c r="D718" s="4"/>
      <c r="E718" s="5"/>
      <c r="F718" s="4"/>
      <c r="G718" s="4"/>
      <c r="H718" s="4"/>
      <c r="I718" s="4"/>
      <c r="J718" s="4"/>
      <c r="K718" s="4"/>
      <c r="L718" s="4"/>
      <c r="M718" s="4"/>
      <c r="N718" s="4"/>
      <c r="O718" s="4"/>
      <c r="P718" s="4"/>
      <c r="Q718" s="4"/>
      <c r="R718" s="4"/>
    </row>
    <row r="719" spans="1:18" ht="17.399999999999999" x14ac:dyDescent="0.25">
      <c r="A719" s="4"/>
      <c r="B719" s="23"/>
      <c r="C719" s="4"/>
      <c r="D719" s="4"/>
      <c r="E719" s="5"/>
      <c r="F719" s="4"/>
      <c r="G719" s="4"/>
      <c r="H719" s="4"/>
      <c r="I719" s="4"/>
      <c r="J719" s="4"/>
      <c r="K719" s="4"/>
      <c r="L719" s="4"/>
      <c r="M719" s="4"/>
      <c r="N719" s="4"/>
      <c r="O719" s="4"/>
      <c r="P719" s="4"/>
      <c r="Q719" s="4"/>
      <c r="R719" s="4"/>
    </row>
    <row r="720" spans="1:18" ht="17.399999999999999" x14ac:dyDescent="0.25">
      <c r="A720" s="4"/>
      <c r="B720" s="23"/>
      <c r="C720" s="4"/>
      <c r="D720" s="4"/>
      <c r="E720" s="5"/>
      <c r="F720" s="4"/>
      <c r="G720" s="4"/>
      <c r="H720" s="4"/>
      <c r="I720" s="4"/>
      <c r="J720" s="4"/>
      <c r="K720" s="4"/>
      <c r="L720" s="4"/>
      <c r="M720" s="4"/>
      <c r="N720" s="4"/>
      <c r="O720" s="4"/>
      <c r="P720" s="4"/>
      <c r="Q720" s="4"/>
      <c r="R720" s="4"/>
    </row>
    <row r="721" spans="1:18" ht="17.399999999999999" x14ac:dyDescent="0.25">
      <c r="A721" s="4"/>
      <c r="B721" s="23"/>
      <c r="C721" s="4"/>
      <c r="D721" s="4"/>
      <c r="E721" s="5"/>
      <c r="F721" s="4"/>
      <c r="G721" s="4"/>
      <c r="H721" s="4"/>
      <c r="I721" s="4"/>
      <c r="J721" s="4"/>
      <c r="K721" s="4"/>
      <c r="L721" s="4"/>
      <c r="M721" s="4"/>
      <c r="N721" s="4"/>
      <c r="O721" s="4"/>
      <c r="P721" s="4"/>
      <c r="Q721" s="4"/>
      <c r="R721" s="4"/>
    </row>
    <row r="722" spans="1:18" ht="17.399999999999999" x14ac:dyDescent="0.25">
      <c r="A722" s="4"/>
      <c r="B722" s="23"/>
      <c r="C722" s="4"/>
      <c r="D722" s="4"/>
      <c r="E722" s="5"/>
      <c r="F722" s="4"/>
      <c r="G722" s="4"/>
      <c r="H722" s="4"/>
      <c r="I722" s="4"/>
      <c r="J722" s="4"/>
      <c r="K722" s="4"/>
      <c r="L722" s="4"/>
      <c r="M722" s="4"/>
      <c r="N722" s="4"/>
      <c r="O722" s="4"/>
      <c r="P722" s="4"/>
      <c r="Q722" s="4"/>
      <c r="R722" s="4"/>
    </row>
    <row r="723" spans="1:18" ht="17.399999999999999" x14ac:dyDescent="0.25">
      <c r="A723" s="4"/>
      <c r="B723" s="23"/>
      <c r="C723" s="4"/>
      <c r="D723" s="4"/>
      <c r="E723" s="5"/>
      <c r="F723" s="4"/>
      <c r="G723" s="4"/>
      <c r="H723" s="4"/>
      <c r="I723" s="4"/>
      <c r="J723" s="4"/>
      <c r="K723" s="4"/>
      <c r="L723" s="4"/>
      <c r="M723" s="4"/>
      <c r="N723" s="4"/>
      <c r="O723" s="4"/>
      <c r="P723" s="4"/>
      <c r="Q723" s="4"/>
      <c r="R723" s="4"/>
    </row>
    <row r="724" spans="1:18" ht="17.399999999999999" x14ac:dyDescent="0.25">
      <c r="A724" s="4"/>
      <c r="B724" s="23"/>
      <c r="C724" s="4"/>
      <c r="D724" s="4"/>
      <c r="E724" s="5"/>
      <c r="F724" s="4"/>
      <c r="G724" s="4"/>
      <c r="H724" s="4"/>
      <c r="I724" s="4"/>
      <c r="J724" s="4"/>
      <c r="K724" s="4"/>
      <c r="L724" s="4"/>
      <c r="M724" s="4"/>
      <c r="N724" s="4"/>
      <c r="O724" s="4"/>
      <c r="P724" s="4"/>
      <c r="Q724" s="4"/>
      <c r="R724" s="4"/>
    </row>
    <row r="725" spans="1:18" ht="17.399999999999999" x14ac:dyDescent="0.25">
      <c r="A725" s="4"/>
      <c r="B725" s="23"/>
      <c r="C725" s="4"/>
      <c r="D725" s="4"/>
      <c r="E725" s="5"/>
      <c r="F725" s="4"/>
      <c r="G725" s="4"/>
      <c r="H725" s="4"/>
      <c r="I725" s="4"/>
      <c r="J725" s="4"/>
      <c r="K725" s="4"/>
      <c r="L725" s="4"/>
      <c r="M725" s="4"/>
      <c r="N725" s="4"/>
      <c r="O725" s="4"/>
      <c r="P725" s="4"/>
      <c r="Q725" s="4"/>
      <c r="R725" s="4"/>
    </row>
    <row r="726" spans="1:18" ht="17.399999999999999" x14ac:dyDescent="0.25">
      <c r="A726" s="4"/>
      <c r="B726" s="23"/>
      <c r="C726" s="4"/>
      <c r="D726" s="4"/>
      <c r="E726" s="5"/>
      <c r="F726" s="4"/>
      <c r="G726" s="4"/>
      <c r="H726" s="4"/>
      <c r="I726" s="4"/>
      <c r="J726" s="4"/>
      <c r="K726" s="4"/>
      <c r="L726" s="4"/>
      <c r="M726" s="4"/>
      <c r="N726" s="4"/>
      <c r="O726" s="4"/>
      <c r="P726" s="4"/>
      <c r="Q726" s="4"/>
      <c r="R726" s="4"/>
    </row>
    <row r="727" spans="1:18" ht="17.399999999999999" x14ac:dyDescent="0.25">
      <c r="A727" s="4"/>
      <c r="B727" s="23"/>
      <c r="C727" s="4"/>
      <c r="D727" s="4"/>
      <c r="E727" s="5"/>
      <c r="F727" s="4"/>
      <c r="G727" s="4"/>
      <c r="H727" s="4"/>
      <c r="I727" s="4"/>
      <c r="J727" s="4"/>
      <c r="K727" s="4"/>
      <c r="L727" s="4"/>
      <c r="M727" s="4"/>
      <c r="N727" s="4"/>
      <c r="O727" s="4"/>
      <c r="P727" s="4"/>
      <c r="Q727" s="4"/>
      <c r="R727" s="4"/>
    </row>
    <row r="728" spans="1:18" ht="17.399999999999999" x14ac:dyDescent="0.25">
      <c r="A728" s="4"/>
      <c r="B728" s="23"/>
      <c r="C728" s="4"/>
      <c r="D728" s="4"/>
      <c r="E728" s="5"/>
      <c r="F728" s="4"/>
      <c r="G728" s="4"/>
      <c r="H728" s="4"/>
      <c r="I728" s="4"/>
      <c r="J728" s="4"/>
      <c r="K728" s="4"/>
      <c r="L728" s="4"/>
      <c r="M728" s="4"/>
      <c r="N728" s="4"/>
      <c r="O728" s="4"/>
      <c r="P728" s="4"/>
      <c r="Q728" s="4"/>
      <c r="R728" s="4"/>
    </row>
    <row r="729" spans="1:18" ht="17.399999999999999" x14ac:dyDescent="0.25">
      <c r="A729" s="4"/>
      <c r="B729" s="23"/>
      <c r="C729" s="4"/>
      <c r="D729" s="4"/>
      <c r="E729" s="5"/>
      <c r="F729" s="4"/>
      <c r="G729" s="4"/>
      <c r="H729" s="4"/>
      <c r="I729" s="4"/>
      <c r="J729" s="4"/>
      <c r="K729" s="4"/>
      <c r="L729" s="4"/>
      <c r="M729" s="4"/>
      <c r="N729" s="4"/>
      <c r="O729" s="4"/>
      <c r="P729" s="4"/>
      <c r="Q729" s="4"/>
      <c r="R729" s="4"/>
    </row>
    <row r="730" spans="1:18" ht="17.399999999999999" x14ac:dyDescent="0.25">
      <c r="A730" s="4"/>
      <c r="B730" s="23"/>
      <c r="C730" s="4"/>
      <c r="D730" s="4"/>
      <c r="E730" s="5"/>
      <c r="F730" s="4"/>
      <c r="G730" s="4"/>
      <c r="H730" s="4"/>
      <c r="I730" s="4"/>
      <c r="J730" s="4"/>
      <c r="K730" s="4"/>
      <c r="L730" s="4"/>
      <c r="M730" s="4"/>
      <c r="N730" s="4"/>
      <c r="O730" s="4"/>
      <c r="P730" s="4"/>
      <c r="Q730" s="4"/>
      <c r="R730" s="4"/>
    </row>
    <row r="731" spans="1:18" ht="17.399999999999999" x14ac:dyDescent="0.25">
      <c r="A731" s="4"/>
      <c r="B731" s="23"/>
      <c r="C731" s="4"/>
      <c r="D731" s="4"/>
      <c r="E731" s="5"/>
      <c r="F731" s="4"/>
      <c r="G731" s="4"/>
      <c r="H731" s="4"/>
      <c r="I731" s="4"/>
      <c r="J731" s="4"/>
      <c r="K731" s="4"/>
      <c r="L731" s="4"/>
      <c r="M731" s="4"/>
      <c r="N731" s="4"/>
      <c r="O731" s="4"/>
      <c r="P731" s="4"/>
      <c r="Q731" s="4"/>
      <c r="R731" s="4"/>
    </row>
    <row r="732" spans="1:18" ht="17.399999999999999" x14ac:dyDescent="0.25">
      <c r="A732" s="4"/>
      <c r="B732" s="23"/>
      <c r="C732" s="4"/>
      <c r="D732" s="4"/>
      <c r="E732" s="5"/>
      <c r="F732" s="4"/>
      <c r="G732" s="4"/>
      <c r="H732" s="4"/>
      <c r="I732" s="4"/>
      <c r="J732" s="4"/>
      <c r="K732" s="4"/>
      <c r="L732" s="4"/>
      <c r="M732" s="4"/>
      <c r="N732" s="4"/>
      <c r="O732" s="4"/>
      <c r="P732" s="4"/>
      <c r="Q732" s="4"/>
      <c r="R732" s="4"/>
    </row>
    <row r="733" spans="1:18" ht="17.399999999999999" x14ac:dyDescent="0.25">
      <c r="A733" s="4"/>
      <c r="B733" s="23"/>
      <c r="C733" s="4"/>
      <c r="D733" s="4"/>
      <c r="E733" s="5"/>
      <c r="F733" s="4"/>
      <c r="G733" s="4"/>
      <c r="H733" s="4"/>
      <c r="I733" s="4"/>
      <c r="J733" s="4"/>
      <c r="K733" s="4"/>
      <c r="L733" s="4"/>
      <c r="M733" s="4"/>
      <c r="N733" s="4"/>
      <c r="O733" s="4"/>
      <c r="P733" s="4"/>
      <c r="Q733" s="4"/>
      <c r="R733" s="4"/>
    </row>
    <row r="734" spans="1:18" ht="17.399999999999999" x14ac:dyDescent="0.25">
      <c r="A734" s="4"/>
      <c r="B734" s="23"/>
      <c r="C734" s="4"/>
      <c r="D734" s="4"/>
      <c r="E734" s="5"/>
      <c r="F734" s="4"/>
      <c r="G734" s="4"/>
      <c r="H734" s="4"/>
      <c r="I734" s="4"/>
      <c r="J734" s="4"/>
      <c r="K734" s="4"/>
      <c r="L734" s="4"/>
      <c r="M734" s="4"/>
      <c r="N734" s="4"/>
      <c r="O734" s="4"/>
      <c r="P734" s="4"/>
      <c r="Q734" s="4"/>
      <c r="R734" s="4"/>
    </row>
    <row r="735" spans="1:18" ht="17.399999999999999" x14ac:dyDescent="0.25">
      <c r="A735" s="4"/>
      <c r="B735" s="23"/>
      <c r="C735" s="4"/>
      <c r="D735" s="4"/>
      <c r="E735" s="5"/>
      <c r="F735" s="4"/>
      <c r="G735" s="4"/>
      <c r="H735" s="4"/>
      <c r="I735" s="4"/>
      <c r="J735" s="4"/>
      <c r="K735" s="4"/>
      <c r="L735" s="4"/>
      <c r="M735" s="4"/>
      <c r="N735" s="4"/>
      <c r="O735" s="4"/>
      <c r="P735" s="4"/>
      <c r="Q735" s="4"/>
      <c r="R735" s="4"/>
    </row>
    <row r="736" spans="1:18" ht="17.399999999999999" x14ac:dyDescent="0.25">
      <c r="A736" s="4"/>
      <c r="B736" s="23"/>
      <c r="C736" s="4"/>
      <c r="D736" s="4"/>
      <c r="E736" s="5"/>
      <c r="F736" s="4"/>
      <c r="G736" s="4"/>
      <c r="H736" s="4"/>
      <c r="I736" s="4"/>
      <c r="J736" s="4"/>
      <c r="K736" s="4"/>
      <c r="L736" s="4"/>
      <c r="M736" s="4"/>
      <c r="N736" s="4"/>
      <c r="O736" s="4"/>
      <c r="P736" s="4"/>
      <c r="Q736" s="4"/>
      <c r="R736" s="4"/>
    </row>
    <row r="737" spans="1:18" ht="17.399999999999999" x14ac:dyDescent="0.25">
      <c r="A737" s="4"/>
      <c r="B737" s="23"/>
      <c r="C737" s="4"/>
      <c r="D737" s="4"/>
      <c r="E737" s="5"/>
      <c r="F737" s="4"/>
      <c r="G737" s="4"/>
      <c r="H737" s="4"/>
      <c r="I737" s="4"/>
      <c r="J737" s="4"/>
      <c r="K737" s="4"/>
      <c r="L737" s="4"/>
      <c r="M737" s="4"/>
      <c r="N737" s="4"/>
      <c r="O737" s="4"/>
      <c r="P737" s="4"/>
      <c r="Q737" s="4"/>
      <c r="R737" s="4"/>
    </row>
    <row r="738" spans="1:18" ht="17.399999999999999" x14ac:dyDescent="0.25">
      <c r="A738" s="4"/>
      <c r="B738" s="23"/>
      <c r="C738" s="4"/>
      <c r="D738" s="4"/>
      <c r="E738" s="5"/>
      <c r="F738" s="4"/>
      <c r="G738" s="4"/>
      <c r="H738" s="4"/>
      <c r="I738" s="4"/>
      <c r="J738" s="4"/>
      <c r="K738" s="4"/>
      <c r="L738" s="4"/>
      <c r="M738" s="4"/>
      <c r="N738" s="4"/>
      <c r="O738" s="4"/>
      <c r="P738" s="4"/>
      <c r="Q738" s="4"/>
      <c r="R738" s="4"/>
    </row>
    <row r="739" spans="1:18" ht="17.399999999999999" x14ac:dyDescent="0.25">
      <c r="A739" s="4"/>
      <c r="B739" s="23"/>
      <c r="C739" s="4"/>
      <c r="D739" s="4"/>
      <c r="E739" s="5"/>
      <c r="F739" s="4"/>
      <c r="G739" s="4"/>
      <c r="H739" s="4"/>
      <c r="I739" s="4"/>
      <c r="J739" s="4"/>
      <c r="K739" s="4"/>
      <c r="L739" s="4"/>
      <c r="M739" s="4"/>
      <c r="N739" s="4"/>
      <c r="O739" s="4"/>
      <c r="P739" s="4"/>
      <c r="Q739" s="4"/>
      <c r="R739" s="4"/>
    </row>
    <row r="740" spans="1:18" ht="17.399999999999999" x14ac:dyDescent="0.25">
      <c r="A740" s="4"/>
      <c r="B740" s="23"/>
      <c r="C740" s="4"/>
      <c r="D740" s="4"/>
      <c r="E740" s="5"/>
      <c r="F740" s="4"/>
      <c r="G740" s="4"/>
      <c r="H740" s="4"/>
      <c r="I740" s="4"/>
      <c r="J740" s="4"/>
      <c r="K740" s="4"/>
      <c r="L740" s="4"/>
      <c r="M740" s="4"/>
      <c r="N740" s="4"/>
      <c r="O740" s="4"/>
      <c r="P740" s="4"/>
      <c r="Q740" s="4"/>
      <c r="R740" s="4"/>
    </row>
    <row r="741" spans="1:18" ht="17.399999999999999" x14ac:dyDescent="0.25">
      <c r="A741" s="4"/>
      <c r="B741" s="23"/>
      <c r="C741" s="4"/>
      <c r="D741" s="4"/>
      <c r="E741" s="5"/>
      <c r="F741" s="4"/>
      <c r="G741" s="4"/>
      <c r="H741" s="4"/>
      <c r="I741" s="4"/>
      <c r="J741" s="4"/>
      <c r="K741" s="4"/>
      <c r="L741" s="4"/>
      <c r="M741" s="4"/>
      <c r="N741" s="4"/>
      <c r="O741" s="4"/>
      <c r="P741" s="4"/>
      <c r="Q741" s="4"/>
      <c r="R741" s="4"/>
    </row>
    <row r="742" spans="1:18" ht="17.399999999999999" x14ac:dyDescent="0.25">
      <c r="A742" s="4"/>
      <c r="B742" s="23"/>
      <c r="C742" s="4"/>
      <c r="D742" s="4"/>
      <c r="E742" s="5"/>
      <c r="F742" s="4"/>
      <c r="G742" s="4"/>
      <c r="H742" s="4"/>
      <c r="I742" s="4"/>
      <c r="J742" s="4"/>
      <c r="K742" s="4"/>
      <c r="L742" s="4"/>
      <c r="M742" s="4"/>
      <c r="N742" s="4"/>
      <c r="O742" s="4"/>
      <c r="P742" s="4"/>
      <c r="Q742" s="4"/>
      <c r="R742" s="4"/>
    </row>
    <row r="743" spans="1:18" ht="17.399999999999999" x14ac:dyDescent="0.25">
      <c r="A743" s="4"/>
      <c r="B743" s="23"/>
      <c r="C743" s="4"/>
      <c r="D743" s="4"/>
      <c r="E743" s="5"/>
      <c r="F743" s="4"/>
      <c r="G743" s="4"/>
      <c r="H743" s="4"/>
      <c r="I743" s="4"/>
      <c r="J743" s="4"/>
      <c r="K743" s="4"/>
      <c r="L743" s="4"/>
      <c r="M743" s="4"/>
      <c r="N743" s="4"/>
      <c r="O743" s="4"/>
      <c r="P743" s="4"/>
      <c r="Q743" s="4"/>
      <c r="R743" s="4"/>
    </row>
    <row r="744" spans="1:18" ht="17.399999999999999" x14ac:dyDescent="0.25">
      <c r="A744" s="4"/>
      <c r="B744" s="23"/>
      <c r="C744" s="4"/>
      <c r="D744" s="4"/>
      <c r="E744" s="5"/>
      <c r="F744" s="4"/>
      <c r="G744" s="4"/>
      <c r="H744" s="4"/>
      <c r="I744" s="4"/>
      <c r="J744" s="4"/>
      <c r="K744" s="4"/>
      <c r="L744" s="4"/>
      <c r="M744" s="4"/>
      <c r="N744" s="4"/>
      <c r="O744" s="4"/>
      <c r="P744" s="4"/>
      <c r="Q744" s="4"/>
      <c r="R744" s="4"/>
    </row>
    <row r="745" spans="1:18" ht="17.399999999999999" x14ac:dyDescent="0.25">
      <c r="A745" s="4"/>
      <c r="B745" s="23"/>
      <c r="C745" s="4"/>
      <c r="D745" s="4"/>
      <c r="E745" s="5"/>
      <c r="F745" s="4"/>
      <c r="G745" s="4"/>
      <c r="H745" s="4"/>
      <c r="I745" s="4"/>
      <c r="J745" s="4"/>
      <c r="K745" s="4"/>
      <c r="L745" s="4"/>
      <c r="M745" s="4"/>
      <c r="N745" s="4"/>
      <c r="O745" s="4"/>
      <c r="P745" s="4"/>
      <c r="Q745" s="4"/>
      <c r="R745" s="4"/>
    </row>
    <row r="746" spans="1:18" ht="17.399999999999999" x14ac:dyDescent="0.25">
      <c r="A746" s="4"/>
      <c r="B746" s="23"/>
      <c r="C746" s="4"/>
      <c r="D746" s="4"/>
      <c r="E746" s="5"/>
      <c r="F746" s="4"/>
      <c r="G746" s="4"/>
      <c r="H746" s="4"/>
      <c r="I746" s="4"/>
      <c r="J746" s="4"/>
      <c r="K746" s="4"/>
      <c r="L746" s="4"/>
      <c r="M746" s="4"/>
      <c r="N746" s="4"/>
      <c r="O746" s="4"/>
      <c r="P746" s="4"/>
      <c r="Q746" s="4"/>
      <c r="R746" s="4"/>
    </row>
    <row r="747" spans="1:18" ht="17.399999999999999" x14ac:dyDescent="0.25">
      <c r="A747" s="4"/>
      <c r="B747" s="23"/>
      <c r="C747" s="4"/>
      <c r="D747" s="4"/>
      <c r="E747" s="5"/>
      <c r="F747" s="4"/>
      <c r="G747" s="4"/>
      <c r="H747" s="4"/>
      <c r="I747" s="4"/>
      <c r="J747" s="4"/>
      <c r="K747" s="4"/>
      <c r="L747" s="4"/>
      <c r="M747" s="4"/>
      <c r="N747" s="4"/>
      <c r="O747" s="4"/>
      <c r="P747" s="4"/>
      <c r="Q747" s="4"/>
      <c r="R747" s="4"/>
    </row>
    <row r="748" spans="1:18" ht="17.399999999999999" x14ac:dyDescent="0.25">
      <c r="A748" s="4"/>
      <c r="B748" s="23"/>
      <c r="C748" s="4"/>
      <c r="D748" s="4"/>
      <c r="E748" s="5"/>
      <c r="F748" s="4"/>
      <c r="G748" s="4"/>
      <c r="H748" s="4"/>
      <c r="I748" s="4"/>
      <c r="J748" s="4"/>
      <c r="K748" s="4"/>
      <c r="L748" s="4"/>
      <c r="M748" s="4"/>
      <c r="N748" s="4"/>
      <c r="O748" s="4"/>
      <c r="P748" s="4"/>
      <c r="Q748" s="4"/>
      <c r="R748" s="4"/>
    </row>
    <row r="749" spans="1:18" ht="17.399999999999999" x14ac:dyDescent="0.25">
      <c r="A749" s="4"/>
      <c r="B749" s="23"/>
      <c r="C749" s="4"/>
      <c r="D749" s="4"/>
      <c r="E749" s="5"/>
      <c r="F749" s="4"/>
      <c r="G749" s="4"/>
      <c r="H749" s="4"/>
      <c r="I749" s="4"/>
      <c r="J749" s="4"/>
      <c r="K749" s="4"/>
      <c r="L749" s="4"/>
      <c r="M749" s="4"/>
      <c r="N749" s="4"/>
      <c r="O749" s="4"/>
      <c r="P749" s="4"/>
      <c r="Q749" s="4"/>
      <c r="R749" s="4"/>
    </row>
    <row r="750" spans="1:18" ht="17.399999999999999" x14ac:dyDescent="0.25">
      <c r="A750" s="4"/>
      <c r="B750" s="23"/>
      <c r="C750" s="4"/>
      <c r="D750" s="4"/>
      <c r="E750" s="5"/>
      <c r="F750" s="4"/>
      <c r="G750" s="4"/>
      <c r="H750" s="4"/>
      <c r="I750" s="4"/>
      <c r="J750" s="4"/>
      <c r="K750" s="4"/>
      <c r="L750" s="4"/>
      <c r="M750" s="4"/>
      <c r="N750" s="4"/>
      <c r="O750" s="4"/>
      <c r="P750" s="4"/>
      <c r="Q750" s="4"/>
      <c r="R750" s="4"/>
    </row>
    <row r="751" spans="1:18" ht="17.399999999999999" x14ac:dyDescent="0.25">
      <c r="A751" s="4"/>
      <c r="B751" s="23"/>
      <c r="C751" s="4"/>
      <c r="D751" s="4"/>
      <c r="E751" s="5"/>
      <c r="F751" s="4"/>
      <c r="G751" s="4"/>
      <c r="H751" s="4"/>
      <c r="I751" s="4"/>
      <c r="J751" s="4"/>
      <c r="K751" s="4"/>
      <c r="L751" s="4"/>
      <c r="M751" s="4"/>
      <c r="N751" s="4"/>
      <c r="O751" s="4"/>
      <c r="P751" s="4"/>
      <c r="Q751" s="4"/>
      <c r="R751" s="4"/>
    </row>
    <row r="752" spans="1:18" ht="17.399999999999999" x14ac:dyDescent="0.25">
      <c r="A752" s="4"/>
      <c r="B752" s="23"/>
      <c r="C752" s="4"/>
      <c r="D752" s="4"/>
      <c r="E752" s="5"/>
      <c r="F752" s="4"/>
      <c r="G752" s="4"/>
      <c r="H752" s="4"/>
      <c r="I752" s="4"/>
      <c r="J752" s="4"/>
      <c r="K752" s="4"/>
      <c r="L752" s="4"/>
      <c r="M752" s="4"/>
      <c r="N752" s="4"/>
      <c r="O752" s="4"/>
      <c r="P752" s="4"/>
      <c r="Q752" s="4"/>
      <c r="R752" s="4"/>
    </row>
    <row r="753" spans="1:18" ht="17.399999999999999" x14ac:dyDescent="0.25">
      <c r="A753" s="4"/>
      <c r="B753" s="23"/>
      <c r="C753" s="4"/>
      <c r="D753" s="4"/>
      <c r="E753" s="5"/>
      <c r="F753" s="4"/>
      <c r="G753" s="4"/>
      <c r="H753" s="4"/>
      <c r="I753" s="4"/>
      <c r="J753" s="4"/>
      <c r="K753" s="4"/>
      <c r="L753" s="4"/>
      <c r="M753" s="4"/>
      <c r="N753" s="4"/>
      <c r="O753" s="4"/>
      <c r="P753" s="4"/>
      <c r="Q753" s="4"/>
      <c r="R753" s="4"/>
    </row>
    <row r="754" spans="1:18" ht="17.399999999999999" x14ac:dyDescent="0.25">
      <c r="A754" s="4"/>
      <c r="B754" s="23"/>
      <c r="C754" s="4"/>
      <c r="D754" s="4"/>
      <c r="E754" s="5"/>
      <c r="F754" s="4"/>
      <c r="G754" s="4"/>
      <c r="H754" s="4"/>
      <c r="I754" s="4"/>
      <c r="J754" s="4"/>
      <c r="K754" s="4"/>
      <c r="L754" s="4"/>
      <c r="M754" s="4"/>
      <c r="N754" s="4"/>
      <c r="O754" s="4"/>
      <c r="P754" s="4"/>
      <c r="Q754" s="4"/>
      <c r="R754" s="4"/>
    </row>
    <row r="755" spans="1:18" ht="17.399999999999999" x14ac:dyDescent="0.25">
      <c r="A755" s="4"/>
      <c r="B755" s="23"/>
      <c r="C755" s="4"/>
      <c r="D755" s="4"/>
      <c r="E755" s="5"/>
      <c r="F755" s="4"/>
      <c r="G755" s="4"/>
      <c r="H755" s="4"/>
      <c r="I755" s="4"/>
      <c r="J755" s="4"/>
      <c r="K755" s="4"/>
      <c r="L755" s="4"/>
      <c r="M755" s="4"/>
      <c r="N755" s="4"/>
      <c r="O755" s="4"/>
      <c r="P755" s="4"/>
      <c r="Q755" s="4"/>
      <c r="R755" s="4"/>
    </row>
    <row r="756" spans="1:18" ht="17.399999999999999" x14ac:dyDescent="0.25">
      <c r="A756" s="4"/>
      <c r="B756" s="23"/>
      <c r="C756" s="4"/>
      <c r="D756" s="4"/>
      <c r="E756" s="5"/>
      <c r="F756" s="4"/>
      <c r="G756" s="4"/>
      <c r="H756" s="4"/>
      <c r="I756" s="4"/>
      <c r="J756" s="4"/>
      <c r="K756" s="4"/>
      <c r="L756" s="4"/>
      <c r="M756" s="4"/>
      <c r="N756" s="4"/>
      <c r="O756" s="4"/>
      <c r="P756" s="4"/>
      <c r="Q756" s="4"/>
      <c r="R756" s="4"/>
    </row>
    <row r="757" spans="1:18" ht="17.399999999999999" x14ac:dyDescent="0.25">
      <c r="A757" s="4"/>
      <c r="B757" s="23"/>
      <c r="C757" s="4"/>
      <c r="D757" s="4"/>
      <c r="E757" s="5"/>
      <c r="F757" s="4"/>
      <c r="G757" s="4"/>
      <c r="H757" s="4"/>
      <c r="I757" s="4"/>
      <c r="J757" s="4"/>
      <c r="K757" s="4"/>
      <c r="L757" s="4"/>
      <c r="M757" s="4"/>
      <c r="N757" s="4"/>
      <c r="O757" s="4"/>
      <c r="P757" s="4"/>
      <c r="Q757" s="4"/>
      <c r="R757" s="4"/>
    </row>
    <row r="758" spans="1:18" ht="17.399999999999999" x14ac:dyDescent="0.25">
      <c r="A758" s="4"/>
      <c r="B758" s="23"/>
      <c r="C758" s="4"/>
      <c r="D758" s="4"/>
      <c r="E758" s="5"/>
      <c r="F758" s="4"/>
      <c r="G758" s="4"/>
      <c r="H758" s="4"/>
      <c r="I758" s="4"/>
      <c r="J758" s="4"/>
      <c r="K758" s="4"/>
      <c r="L758" s="4"/>
      <c r="M758" s="4"/>
      <c r="N758" s="4"/>
      <c r="O758" s="4"/>
      <c r="P758" s="4"/>
      <c r="Q758" s="4"/>
      <c r="R758" s="4"/>
    </row>
    <row r="759" spans="1:18" ht="17.399999999999999" x14ac:dyDescent="0.25">
      <c r="A759" s="4"/>
      <c r="B759" s="23"/>
      <c r="C759" s="4"/>
      <c r="D759" s="4"/>
      <c r="E759" s="5"/>
      <c r="F759" s="4"/>
      <c r="G759" s="4"/>
      <c r="H759" s="4"/>
      <c r="I759" s="4"/>
      <c r="J759" s="4"/>
      <c r="K759" s="4"/>
      <c r="L759" s="4"/>
      <c r="M759" s="4"/>
      <c r="N759" s="4"/>
      <c r="O759" s="4"/>
      <c r="P759" s="4"/>
      <c r="Q759" s="4"/>
      <c r="R759" s="4"/>
    </row>
    <row r="760" spans="1:18" ht="17.399999999999999" x14ac:dyDescent="0.25">
      <c r="A760" s="4"/>
      <c r="B760" s="23"/>
      <c r="C760" s="4"/>
      <c r="D760" s="4"/>
      <c r="E760" s="5"/>
      <c r="F760" s="4"/>
      <c r="G760" s="4"/>
      <c r="H760" s="4"/>
      <c r="I760" s="4"/>
      <c r="J760" s="4"/>
      <c r="K760" s="4"/>
      <c r="L760" s="4"/>
      <c r="M760" s="4"/>
      <c r="N760" s="4"/>
      <c r="O760" s="4"/>
      <c r="P760" s="4"/>
      <c r="Q760" s="4"/>
      <c r="R760" s="4"/>
    </row>
    <row r="761" spans="1:18" ht="17.399999999999999" x14ac:dyDescent="0.25">
      <c r="A761" s="4"/>
      <c r="B761" s="23"/>
      <c r="C761" s="4"/>
      <c r="D761" s="4"/>
      <c r="E761" s="5"/>
      <c r="F761" s="4"/>
      <c r="G761" s="4"/>
      <c r="H761" s="4"/>
      <c r="I761" s="4"/>
      <c r="J761" s="4"/>
      <c r="K761" s="4"/>
      <c r="L761" s="4"/>
      <c r="M761" s="4"/>
      <c r="N761" s="4"/>
      <c r="O761" s="4"/>
      <c r="P761" s="4"/>
      <c r="Q761" s="4"/>
      <c r="R761" s="4"/>
    </row>
    <row r="762" spans="1:18" ht="17.399999999999999" x14ac:dyDescent="0.25">
      <c r="A762" s="4"/>
      <c r="B762" s="23"/>
      <c r="C762" s="4"/>
      <c r="D762" s="4"/>
      <c r="E762" s="5"/>
      <c r="F762" s="4"/>
      <c r="G762" s="4"/>
      <c r="H762" s="4"/>
      <c r="I762" s="4"/>
      <c r="J762" s="4"/>
      <c r="K762" s="4"/>
      <c r="L762" s="4"/>
      <c r="M762" s="4"/>
      <c r="N762" s="4"/>
      <c r="O762" s="4"/>
      <c r="P762" s="4"/>
      <c r="Q762" s="4"/>
      <c r="R762" s="4"/>
    </row>
    <row r="763" spans="1:18" ht="17.399999999999999" x14ac:dyDescent="0.25">
      <c r="A763" s="4"/>
      <c r="B763" s="23"/>
      <c r="C763" s="4"/>
      <c r="D763" s="4"/>
      <c r="E763" s="5"/>
      <c r="F763" s="4"/>
      <c r="G763" s="4"/>
      <c r="H763" s="4"/>
      <c r="I763" s="4"/>
      <c r="J763" s="4"/>
      <c r="K763" s="4"/>
      <c r="L763" s="4"/>
      <c r="M763" s="4"/>
      <c r="N763" s="4"/>
      <c r="O763" s="4"/>
      <c r="P763" s="4"/>
      <c r="Q763" s="4"/>
      <c r="R763" s="4"/>
    </row>
    <row r="764" spans="1:18" ht="17.399999999999999" x14ac:dyDescent="0.25">
      <c r="A764" s="4"/>
      <c r="B764" s="23"/>
      <c r="C764" s="4"/>
      <c r="D764" s="4"/>
      <c r="E764" s="5"/>
      <c r="F764" s="4"/>
      <c r="G764" s="4"/>
      <c r="H764" s="4"/>
      <c r="I764" s="4"/>
      <c r="J764" s="4"/>
      <c r="K764" s="4"/>
      <c r="L764" s="4"/>
      <c r="M764" s="4"/>
      <c r="N764" s="4"/>
      <c r="O764" s="4"/>
      <c r="P764" s="4"/>
      <c r="Q764" s="4"/>
      <c r="R764" s="4"/>
    </row>
    <row r="765" spans="1:18" ht="17.399999999999999" x14ac:dyDescent="0.25">
      <c r="A765" s="4"/>
      <c r="B765" s="23"/>
      <c r="C765" s="4"/>
      <c r="D765" s="4"/>
      <c r="E765" s="5"/>
      <c r="F765" s="4"/>
      <c r="G765" s="4"/>
      <c r="H765" s="4"/>
      <c r="I765" s="4"/>
      <c r="J765" s="4"/>
      <c r="K765" s="4"/>
      <c r="L765" s="4"/>
      <c r="M765" s="4"/>
      <c r="N765" s="4"/>
      <c r="O765" s="4"/>
      <c r="P765" s="4"/>
      <c r="Q765" s="4"/>
      <c r="R765" s="4"/>
    </row>
    <row r="766" spans="1:18" ht="17.399999999999999" x14ac:dyDescent="0.25">
      <c r="A766" s="4"/>
      <c r="B766" s="23"/>
      <c r="C766" s="4"/>
      <c r="D766" s="4"/>
      <c r="E766" s="5"/>
      <c r="F766" s="4"/>
      <c r="G766" s="4"/>
      <c r="H766" s="4"/>
      <c r="I766" s="4"/>
      <c r="J766" s="4"/>
      <c r="K766" s="4"/>
      <c r="L766" s="4"/>
      <c r="M766" s="4"/>
      <c r="N766" s="4"/>
      <c r="O766" s="4"/>
      <c r="P766" s="4"/>
      <c r="Q766" s="4"/>
      <c r="R766" s="4"/>
    </row>
    <row r="767" spans="1:18" ht="17.399999999999999" x14ac:dyDescent="0.25">
      <c r="A767" s="4"/>
      <c r="B767" s="23"/>
      <c r="C767" s="4"/>
      <c r="D767" s="4"/>
      <c r="E767" s="5"/>
      <c r="F767" s="4"/>
      <c r="G767" s="4"/>
      <c r="H767" s="4"/>
      <c r="I767" s="4"/>
      <c r="J767" s="4"/>
      <c r="K767" s="4"/>
      <c r="L767" s="4"/>
      <c r="M767" s="4"/>
      <c r="N767" s="4"/>
      <c r="O767" s="4"/>
      <c r="P767" s="4"/>
      <c r="Q767" s="4"/>
      <c r="R767" s="4"/>
    </row>
    <row r="768" spans="1:18" ht="17.399999999999999" x14ac:dyDescent="0.25">
      <c r="A768" s="4"/>
      <c r="B768" s="23"/>
      <c r="C768" s="4"/>
      <c r="D768" s="4"/>
      <c r="E768" s="5"/>
      <c r="F768" s="4"/>
      <c r="G768" s="4"/>
      <c r="H768" s="4"/>
      <c r="I768" s="4"/>
      <c r="J768" s="4"/>
      <c r="K768" s="4"/>
      <c r="L768" s="4"/>
      <c r="M768" s="4"/>
      <c r="N768" s="4"/>
      <c r="O768" s="4"/>
      <c r="P768" s="4"/>
      <c r="Q768" s="4"/>
      <c r="R768" s="4"/>
    </row>
    <row r="769" spans="1:18" ht="17.399999999999999" x14ac:dyDescent="0.25">
      <c r="A769" s="4"/>
      <c r="B769" s="23"/>
      <c r="C769" s="4"/>
      <c r="D769" s="4"/>
      <c r="E769" s="5"/>
      <c r="F769" s="4"/>
      <c r="G769" s="4"/>
      <c r="H769" s="4"/>
      <c r="I769" s="4"/>
      <c r="J769" s="4"/>
      <c r="K769" s="4"/>
      <c r="L769" s="4"/>
      <c r="M769" s="4"/>
      <c r="N769" s="4"/>
      <c r="O769" s="4"/>
      <c r="P769" s="4"/>
      <c r="Q769" s="4"/>
      <c r="R769" s="4"/>
    </row>
    <row r="770" spans="1:18" ht="17.399999999999999" x14ac:dyDescent="0.25">
      <c r="A770" s="4"/>
      <c r="B770" s="23"/>
      <c r="C770" s="4"/>
      <c r="D770" s="4"/>
      <c r="E770" s="5"/>
      <c r="F770" s="4"/>
      <c r="G770" s="4"/>
      <c r="H770" s="4"/>
      <c r="I770" s="4"/>
      <c r="J770" s="4"/>
      <c r="K770" s="4"/>
      <c r="L770" s="4"/>
      <c r="M770" s="4"/>
      <c r="N770" s="4"/>
      <c r="O770" s="4"/>
      <c r="P770" s="4"/>
      <c r="Q770" s="4"/>
      <c r="R770" s="4"/>
    </row>
    <row r="771" spans="1:18" ht="17.399999999999999" x14ac:dyDescent="0.25">
      <c r="A771" s="4"/>
      <c r="B771" s="23"/>
      <c r="C771" s="4"/>
      <c r="D771" s="4"/>
      <c r="E771" s="5"/>
      <c r="F771" s="4"/>
      <c r="G771" s="4"/>
      <c r="H771" s="4"/>
      <c r="I771" s="4"/>
      <c r="J771" s="4"/>
      <c r="K771" s="4"/>
      <c r="L771" s="4"/>
      <c r="M771" s="4"/>
      <c r="N771" s="4"/>
      <c r="O771" s="4"/>
      <c r="P771" s="4"/>
      <c r="Q771" s="4"/>
      <c r="R771" s="4"/>
    </row>
    <row r="772" spans="1:18" ht="17.399999999999999" x14ac:dyDescent="0.25">
      <c r="A772" s="4"/>
      <c r="B772" s="23"/>
      <c r="C772" s="4"/>
      <c r="D772" s="4"/>
      <c r="E772" s="5"/>
      <c r="F772" s="4"/>
      <c r="G772" s="4"/>
      <c r="H772" s="4"/>
      <c r="I772" s="4"/>
      <c r="J772" s="4"/>
      <c r="K772" s="4"/>
      <c r="L772" s="4"/>
      <c r="M772" s="4"/>
      <c r="N772" s="4"/>
      <c r="O772" s="4"/>
      <c r="P772" s="4"/>
      <c r="Q772" s="4"/>
      <c r="R772" s="4"/>
    </row>
    <row r="773" spans="1:18" ht="17.399999999999999" x14ac:dyDescent="0.25">
      <c r="A773" s="4"/>
      <c r="B773" s="23"/>
      <c r="C773" s="4"/>
      <c r="D773" s="4"/>
      <c r="E773" s="5"/>
      <c r="F773" s="4"/>
      <c r="G773" s="4"/>
      <c r="H773" s="4"/>
      <c r="I773" s="4"/>
      <c r="J773" s="4"/>
      <c r="K773" s="4"/>
      <c r="L773" s="4"/>
      <c r="M773" s="4"/>
      <c r="N773" s="4"/>
      <c r="O773" s="4"/>
      <c r="P773" s="4"/>
      <c r="Q773" s="4"/>
      <c r="R773" s="4"/>
    </row>
    <row r="774" spans="1:18" ht="17.399999999999999" x14ac:dyDescent="0.25">
      <c r="A774" s="4"/>
      <c r="B774" s="23"/>
      <c r="C774" s="4"/>
      <c r="D774" s="4"/>
      <c r="E774" s="5"/>
      <c r="F774" s="4"/>
      <c r="G774" s="4"/>
      <c r="H774" s="4"/>
      <c r="I774" s="4"/>
      <c r="J774" s="4"/>
      <c r="K774" s="4"/>
      <c r="L774" s="4"/>
      <c r="M774" s="4"/>
      <c r="N774" s="4"/>
      <c r="O774" s="4"/>
      <c r="P774" s="4"/>
      <c r="Q774" s="4"/>
      <c r="R774" s="4"/>
    </row>
    <row r="775" spans="1:18" ht="17.399999999999999" x14ac:dyDescent="0.25">
      <c r="A775" s="4"/>
      <c r="B775" s="23"/>
      <c r="C775" s="4"/>
      <c r="D775" s="4"/>
      <c r="E775" s="5"/>
      <c r="F775" s="4"/>
      <c r="G775" s="4"/>
      <c r="H775" s="4"/>
      <c r="I775" s="4"/>
      <c r="J775" s="4"/>
      <c r="K775" s="4"/>
      <c r="L775" s="4"/>
      <c r="M775" s="4"/>
      <c r="N775" s="4"/>
      <c r="O775" s="4"/>
      <c r="P775" s="4"/>
      <c r="Q775" s="4"/>
      <c r="R775" s="4"/>
    </row>
    <row r="776" spans="1:18" ht="17.399999999999999" x14ac:dyDescent="0.25">
      <c r="A776" s="4"/>
      <c r="B776" s="23"/>
      <c r="C776" s="4"/>
      <c r="D776" s="4"/>
      <c r="E776" s="5"/>
      <c r="F776" s="4"/>
      <c r="G776" s="4"/>
      <c r="H776" s="4"/>
      <c r="I776" s="4"/>
      <c r="J776" s="4"/>
      <c r="K776" s="4"/>
      <c r="L776" s="4"/>
      <c r="M776" s="4"/>
      <c r="N776" s="4"/>
      <c r="O776" s="4"/>
      <c r="P776" s="4"/>
      <c r="Q776" s="4"/>
      <c r="R776" s="4"/>
    </row>
    <row r="777" spans="1:18" ht="17.399999999999999" x14ac:dyDescent="0.25">
      <c r="A777" s="4"/>
      <c r="B777" s="23"/>
      <c r="C777" s="4"/>
      <c r="D777" s="4"/>
      <c r="E777" s="5"/>
      <c r="F777" s="4"/>
      <c r="G777" s="4"/>
      <c r="H777" s="4"/>
      <c r="I777" s="4"/>
      <c r="J777" s="4"/>
      <c r="K777" s="4"/>
      <c r="L777" s="4"/>
      <c r="M777" s="4"/>
      <c r="N777" s="4"/>
      <c r="O777" s="4"/>
      <c r="P777" s="4"/>
      <c r="Q777" s="4"/>
      <c r="R777" s="4"/>
    </row>
    <row r="778" spans="1:18" ht="17.399999999999999" x14ac:dyDescent="0.25">
      <c r="A778" s="4"/>
      <c r="B778" s="23"/>
      <c r="C778" s="4"/>
      <c r="D778" s="4"/>
      <c r="E778" s="5"/>
      <c r="F778" s="4"/>
      <c r="G778" s="4"/>
      <c r="H778" s="4"/>
      <c r="I778" s="4"/>
      <c r="J778" s="4"/>
      <c r="K778" s="4"/>
      <c r="L778" s="4"/>
      <c r="M778" s="4"/>
      <c r="N778" s="4"/>
      <c r="O778" s="4"/>
      <c r="P778" s="4"/>
      <c r="Q778" s="4"/>
      <c r="R778" s="4"/>
    </row>
    <row r="779" spans="1:18" ht="17.399999999999999" x14ac:dyDescent="0.25">
      <c r="A779" s="4"/>
      <c r="B779" s="23"/>
      <c r="C779" s="4"/>
      <c r="D779" s="4"/>
      <c r="E779" s="5"/>
      <c r="F779" s="4"/>
      <c r="G779" s="4"/>
      <c r="H779" s="4"/>
      <c r="I779" s="4"/>
      <c r="J779" s="4"/>
      <c r="K779" s="4"/>
      <c r="L779" s="4"/>
      <c r="M779" s="4"/>
      <c r="N779" s="4"/>
      <c r="O779" s="4"/>
      <c r="P779" s="4"/>
      <c r="Q779" s="4"/>
      <c r="R779" s="4"/>
    </row>
    <row r="780" spans="1:18" ht="17.399999999999999" x14ac:dyDescent="0.25">
      <c r="A780" s="4"/>
      <c r="B780" s="23"/>
      <c r="C780" s="4"/>
      <c r="D780" s="4"/>
      <c r="E780" s="5"/>
      <c r="F780" s="4"/>
      <c r="G780" s="4"/>
      <c r="H780" s="4"/>
      <c r="I780" s="4"/>
      <c r="J780" s="4"/>
      <c r="K780" s="4"/>
      <c r="L780" s="4"/>
      <c r="M780" s="4"/>
      <c r="N780" s="4"/>
      <c r="O780" s="4"/>
      <c r="P780" s="4"/>
      <c r="Q780" s="4"/>
      <c r="R780" s="4"/>
    </row>
    <row r="781" spans="1:18" ht="17.399999999999999" x14ac:dyDescent="0.25">
      <c r="A781" s="4"/>
      <c r="B781" s="23"/>
      <c r="C781" s="4"/>
      <c r="D781" s="4"/>
      <c r="E781" s="5"/>
      <c r="F781" s="4"/>
      <c r="G781" s="4"/>
      <c r="H781" s="4"/>
      <c r="I781" s="4"/>
      <c r="J781" s="4"/>
      <c r="K781" s="4"/>
      <c r="L781" s="4"/>
      <c r="M781" s="4"/>
      <c r="N781" s="4"/>
      <c r="O781" s="4"/>
      <c r="P781" s="4"/>
      <c r="Q781" s="4"/>
      <c r="R781" s="4"/>
    </row>
    <row r="782" spans="1:18" ht="17.399999999999999" x14ac:dyDescent="0.25">
      <c r="A782" s="4"/>
      <c r="B782" s="23"/>
      <c r="C782" s="4"/>
      <c r="D782" s="4"/>
      <c r="E782" s="5"/>
      <c r="F782" s="4"/>
      <c r="G782" s="4"/>
      <c r="H782" s="4"/>
      <c r="I782" s="4"/>
      <c r="J782" s="4"/>
      <c r="K782" s="4"/>
      <c r="L782" s="4"/>
      <c r="M782" s="4"/>
      <c r="N782" s="4"/>
      <c r="O782" s="4"/>
      <c r="P782" s="4"/>
      <c r="Q782" s="4"/>
      <c r="R782" s="4"/>
    </row>
    <row r="783" spans="1:18" ht="17.399999999999999" x14ac:dyDescent="0.25">
      <c r="A783" s="4"/>
      <c r="B783" s="23"/>
      <c r="C783" s="4"/>
      <c r="D783" s="4"/>
      <c r="E783" s="5"/>
      <c r="F783" s="4"/>
      <c r="G783" s="4"/>
      <c r="H783" s="4"/>
      <c r="I783" s="4"/>
      <c r="J783" s="4"/>
      <c r="K783" s="4"/>
      <c r="L783" s="4"/>
      <c r="M783" s="4"/>
      <c r="N783" s="4"/>
      <c r="O783" s="4"/>
      <c r="P783" s="4"/>
      <c r="Q783" s="4"/>
      <c r="R783" s="4"/>
    </row>
    <row r="784" spans="1:18" ht="17.399999999999999" x14ac:dyDescent="0.25">
      <c r="A784" s="4"/>
      <c r="B784" s="23"/>
      <c r="C784" s="4"/>
      <c r="D784" s="4"/>
      <c r="E784" s="5"/>
      <c r="F784" s="4"/>
      <c r="G784" s="4"/>
      <c r="H784" s="4"/>
      <c r="I784" s="4"/>
      <c r="J784" s="4"/>
      <c r="K784" s="4"/>
      <c r="L784" s="4"/>
      <c r="M784" s="4"/>
      <c r="N784" s="4"/>
      <c r="O784" s="4"/>
      <c r="P784" s="4"/>
      <c r="Q784" s="4"/>
      <c r="R784" s="4"/>
    </row>
    <row r="785" spans="1:18" ht="17.399999999999999" x14ac:dyDescent="0.25">
      <c r="A785" s="4"/>
      <c r="B785" s="23"/>
      <c r="C785" s="4"/>
      <c r="D785" s="4"/>
      <c r="E785" s="5"/>
      <c r="F785" s="4"/>
      <c r="G785" s="4"/>
      <c r="H785" s="4"/>
      <c r="I785" s="4"/>
      <c r="J785" s="4"/>
      <c r="K785" s="4"/>
      <c r="L785" s="4"/>
      <c r="M785" s="4"/>
      <c r="N785" s="4"/>
      <c r="O785" s="4"/>
      <c r="P785" s="4"/>
      <c r="Q785" s="4"/>
      <c r="R785" s="4"/>
    </row>
    <row r="786" spans="1:18" ht="17.399999999999999" x14ac:dyDescent="0.25">
      <c r="A786" s="4"/>
      <c r="B786" s="23"/>
      <c r="C786" s="4"/>
      <c r="D786" s="4"/>
      <c r="E786" s="5"/>
      <c r="F786" s="4"/>
      <c r="G786" s="4"/>
      <c r="H786" s="4"/>
      <c r="I786" s="4"/>
      <c r="J786" s="4"/>
      <c r="K786" s="4"/>
      <c r="L786" s="4"/>
      <c r="M786" s="4"/>
      <c r="N786" s="4"/>
      <c r="O786" s="4"/>
      <c r="P786" s="4"/>
      <c r="Q786" s="4"/>
      <c r="R786" s="4"/>
    </row>
    <row r="787" spans="1:18" ht="17.399999999999999" x14ac:dyDescent="0.25">
      <c r="A787" s="4"/>
      <c r="B787" s="23"/>
      <c r="C787" s="4"/>
      <c r="D787" s="4"/>
      <c r="E787" s="5"/>
      <c r="F787" s="4"/>
      <c r="G787" s="4"/>
      <c r="H787" s="4"/>
      <c r="I787" s="4"/>
      <c r="J787" s="4"/>
      <c r="K787" s="4"/>
      <c r="L787" s="4"/>
      <c r="M787" s="4"/>
      <c r="N787" s="4"/>
      <c r="O787" s="4"/>
      <c r="P787" s="4"/>
      <c r="Q787" s="4"/>
      <c r="R787" s="4"/>
    </row>
    <row r="788" spans="1:18" ht="17.399999999999999" x14ac:dyDescent="0.25">
      <c r="A788" s="4"/>
      <c r="B788" s="23"/>
      <c r="C788" s="4"/>
      <c r="D788" s="4"/>
      <c r="E788" s="5"/>
      <c r="F788" s="4"/>
      <c r="G788" s="4"/>
      <c r="H788" s="4"/>
      <c r="I788" s="4"/>
      <c r="J788" s="4"/>
      <c r="K788" s="4"/>
      <c r="L788" s="4"/>
      <c r="M788" s="4"/>
      <c r="N788" s="4"/>
      <c r="O788" s="4"/>
      <c r="P788" s="4"/>
      <c r="Q788" s="4"/>
      <c r="R788" s="4"/>
    </row>
    <row r="789" spans="1:18" ht="17.399999999999999" x14ac:dyDescent="0.25">
      <c r="A789" s="4"/>
      <c r="B789" s="23"/>
      <c r="C789" s="4"/>
      <c r="D789" s="4"/>
      <c r="E789" s="5"/>
      <c r="F789" s="4"/>
      <c r="G789" s="4"/>
      <c r="H789" s="4"/>
      <c r="I789" s="4"/>
      <c r="J789" s="4"/>
      <c r="K789" s="4"/>
      <c r="L789" s="4"/>
      <c r="M789" s="4"/>
      <c r="N789" s="4"/>
      <c r="O789" s="4"/>
      <c r="P789" s="4"/>
      <c r="Q789" s="4"/>
      <c r="R789" s="4"/>
    </row>
    <row r="790" spans="1:18" ht="17.399999999999999" x14ac:dyDescent="0.25">
      <c r="A790" s="4"/>
      <c r="B790" s="23"/>
      <c r="C790" s="4"/>
      <c r="D790" s="4"/>
      <c r="E790" s="5"/>
      <c r="F790" s="4"/>
      <c r="G790" s="4"/>
      <c r="H790" s="4"/>
      <c r="I790" s="4"/>
      <c r="J790" s="4"/>
      <c r="K790" s="4"/>
      <c r="L790" s="4"/>
      <c r="M790" s="4"/>
      <c r="N790" s="4"/>
      <c r="O790" s="4"/>
      <c r="P790" s="4"/>
      <c r="Q790" s="4"/>
      <c r="R790" s="4"/>
    </row>
    <row r="791" spans="1:18" ht="17.399999999999999" x14ac:dyDescent="0.25">
      <c r="A791" s="4"/>
      <c r="B791" s="23"/>
      <c r="C791" s="4"/>
      <c r="D791" s="4"/>
      <c r="E791" s="5"/>
      <c r="F791" s="4"/>
      <c r="G791" s="4"/>
      <c r="H791" s="4"/>
      <c r="I791" s="4"/>
      <c r="J791" s="4"/>
      <c r="K791" s="4"/>
      <c r="L791" s="4"/>
      <c r="M791" s="4"/>
      <c r="N791" s="4"/>
      <c r="O791" s="4"/>
      <c r="P791" s="4"/>
      <c r="Q791" s="4"/>
      <c r="R791" s="4"/>
    </row>
    <row r="792" spans="1:18" ht="17.399999999999999" x14ac:dyDescent="0.25">
      <c r="A792" s="4"/>
      <c r="B792" s="23"/>
      <c r="C792" s="4"/>
      <c r="D792" s="4"/>
      <c r="E792" s="5"/>
      <c r="F792" s="4"/>
      <c r="G792" s="4"/>
      <c r="H792" s="4"/>
      <c r="I792" s="4"/>
      <c r="J792" s="4"/>
      <c r="K792" s="4"/>
      <c r="L792" s="4"/>
      <c r="M792" s="4"/>
      <c r="N792" s="4"/>
      <c r="O792" s="4"/>
      <c r="P792" s="4"/>
      <c r="Q792" s="4"/>
      <c r="R792" s="4"/>
    </row>
    <row r="793" spans="1:18" ht="17.399999999999999" x14ac:dyDescent="0.25">
      <c r="A793" s="4"/>
      <c r="B793" s="23"/>
      <c r="C793" s="4"/>
      <c r="D793" s="4"/>
      <c r="E793" s="5"/>
      <c r="F793" s="4"/>
      <c r="G793" s="4"/>
      <c r="H793" s="4"/>
      <c r="I793" s="4"/>
      <c r="J793" s="4"/>
      <c r="K793" s="4"/>
      <c r="L793" s="4"/>
      <c r="M793" s="4"/>
      <c r="N793" s="4"/>
      <c r="O793" s="4"/>
      <c r="P793" s="4"/>
      <c r="Q793" s="4"/>
      <c r="R793" s="4"/>
    </row>
    <row r="794" spans="1:18" ht="17.399999999999999" x14ac:dyDescent="0.25">
      <c r="A794" s="4"/>
      <c r="B794" s="23"/>
      <c r="C794" s="4"/>
      <c r="D794" s="4"/>
      <c r="E794" s="5"/>
      <c r="F794" s="4"/>
      <c r="G794" s="4"/>
      <c r="H794" s="4"/>
      <c r="I794" s="4"/>
      <c r="J794" s="4"/>
      <c r="K794" s="4"/>
      <c r="L794" s="4"/>
      <c r="M794" s="4"/>
      <c r="N794" s="4"/>
      <c r="O794" s="4"/>
      <c r="P794" s="4"/>
      <c r="Q794" s="4"/>
      <c r="R794" s="4"/>
    </row>
    <row r="795" spans="1:18" ht="17.399999999999999" x14ac:dyDescent="0.25">
      <c r="A795" s="4"/>
      <c r="B795" s="23"/>
      <c r="C795" s="4"/>
      <c r="D795" s="4"/>
      <c r="E795" s="5"/>
      <c r="F795" s="4"/>
      <c r="G795" s="4"/>
      <c r="H795" s="4"/>
      <c r="I795" s="4"/>
      <c r="J795" s="4"/>
      <c r="K795" s="4"/>
      <c r="L795" s="4"/>
      <c r="M795" s="4"/>
      <c r="N795" s="4"/>
      <c r="O795" s="4"/>
      <c r="P795" s="4"/>
      <c r="Q795" s="4"/>
      <c r="R795" s="4"/>
    </row>
    <row r="796" spans="1:18" ht="17.399999999999999" x14ac:dyDescent="0.25">
      <c r="A796" s="4"/>
      <c r="B796" s="23"/>
      <c r="C796" s="4"/>
      <c r="D796" s="4"/>
      <c r="E796" s="5"/>
      <c r="F796" s="4"/>
      <c r="G796" s="4"/>
      <c r="H796" s="4"/>
      <c r="I796" s="4"/>
      <c r="J796" s="4"/>
      <c r="K796" s="4"/>
      <c r="L796" s="4"/>
      <c r="M796" s="4"/>
      <c r="N796" s="4"/>
      <c r="O796" s="4"/>
      <c r="P796" s="4"/>
      <c r="Q796" s="4"/>
      <c r="R796" s="4"/>
    </row>
    <row r="797" spans="1:18" ht="17.399999999999999" x14ac:dyDescent="0.25">
      <c r="A797" s="4"/>
      <c r="B797" s="23"/>
      <c r="C797" s="4"/>
      <c r="D797" s="4"/>
      <c r="E797" s="5"/>
      <c r="F797" s="4"/>
      <c r="G797" s="4"/>
      <c r="H797" s="4"/>
      <c r="I797" s="4"/>
      <c r="J797" s="4"/>
      <c r="K797" s="4"/>
      <c r="L797" s="4"/>
      <c r="M797" s="4"/>
      <c r="N797" s="4"/>
      <c r="O797" s="4"/>
      <c r="P797" s="4"/>
      <c r="Q797" s="4"/>
      <c r="R797" s="4"/>
    </row>
    <row r="798" spans="1:18" ht="17.399999999999999" x14ac:dyDescent="0.25">
      <c r="A798" s="4"/>
      <c r="B798" s="23"/>
      <c r="C798" s="4"/>
      <c r="D798" s="4"/>
      <c r="E798" s="5"/>
      <c r="F798" s="4"/>
      <c r="G798" s="4"/>
      <c r="H798" s="4"/>
      <c r="I798" s="4"/>
      <c r="J798" s="4"/>
      <c r="K798" s="4"/>
      <c r="L798" s="4"/>
      <c r="M798" s="4"/>
      <c r="N798" s="4"/>
      <c r="O798" s="4"/>
      <c r="P798" s="4"/>
      <c r="Q798" s="4"/>
      <c r="R798" s="4"/>
    </row>
    <row r="799" spans="1:18" ht="17.399999999999999" x14ac:dyDescent="0.25">
      <c r="A799" s="4"/>
      <c r="B799" s="23"/>
      <c r="C799" s="4"/>
      <c r="D799" s="4"/>
      <c r="E799" s="5"/>
      <c r="F799" s="4"/>
      <c r="G799" s="4"/>
      <c r="H799" s="4"/>
      <c r="I799" s="4"/>
      <c r="J799" s="4"/>
      <c r="K799" s="4"/>
      <c r="L799" s="4"/>
      <c r="M799" s="4"/>
      <c r="N799" s="4"/>
      <c r="O799" s="4"/>
      <c r="P799" s="4"/>
      <c r="Q799" s="4"/>
      <c r="R799" s="4"/>
    </row>
    <row r="800" spans="1:18" ht="17.399999999999999" x14ac:dyDescent="0.25">
      <c r="A800" s="4"/>
      <c r="B800" s="23"/>
      <c r="C800" s="4"/>
      <c r="D800" s="4"/>
      <c r="E800" s="5"/>
      <c r="F800" s="4"/>
      <c r="G800" s="4"/>
      <c r="H800" s="4"/>
      <c r="I800" s="4"/>
      <c r="J800" s="4"/>
      <c r="K800" s="4"/>
      <c r="L800" s="4"/>
      <c r="M800" s="4"/>
      <c r="N800" s="4"/>
      <c r="O800" s="4"/>
      <c r="P800" s="4"/>
      <c r="Q800" s="4"/>
      <c r="R800" s="4"/>
    </row>
    <row r="801" spans="1:18" ht="17.399999999999999" x14ac:dyDescent="0.25">
      <c r="A801" s="4"/>
      <c r="B801" s="23"/>
      <c r="C801" s="4"/>
      <c r="D801" s="4"/>
      <c r="E801" s="5"/>
      <c r="F801" s="4"/>
      <c r="G801" s="4"/>
      <c r="H801" s="4"/>
      <c r="I801" s="4"/>
      <c r="J801" s="4"/>
      <c r="K801" s="4"/>
      <c r="L801" s="4"/>
      <c r="M801" s="4"/>
      <c r="N801" s="4"/>
      <c r="O801" s="4"/>
      <c r="P801" s="4"/>
      <c r="Q801" s="4"/>
      <c r="R801" s="4"/>
    </row>
    <row r="802" spans="1:18" ht="17.399999999999999" x14ac:dyDescent="0.25">
      <c r="A802" s="4"/>
      <c r="B802" s="23"/>
      <c r="C802" s="4"/>
      <c r="D802" s="4"/>
      <c r="E802" s="5"/>
      <c r="F802" s="4"/>
      <c r="G802" s="4"/>
      <c r="H802" s="4"/>
      <c r="I802" s="4"/>
      <c r="J802" s="4"/>
      <c r="K802" s="4"/>
      <c r="L802" s="4"/>
      <c r="M802" s="4"/>
      <c r="N802" s="4"/>
      <c r="O802" s="4"/>
      <c r="P802" s="4"/>
      <c r="Q802" s="4"/>
      <c r="R802" s="4"/>
    </row>
    <row r="803" spans="1:18" ht="17.399999999999999" x14ac:dyDescent="0.25">
      <c r="A803" s="4"/>
      <c r="B803" s="23"/>
      <c r="C803" s="4"/>
      <c r="D803" s="4"/>
      <c r="E803" s="5"/>
      <c r="F803" s="4"/>
      <c r="G803" s="4"/>
      <c r="H803" s="4"/>
      <c r="I803" s="4"/>
      <c r="J803" s="4"/>
      <c r="K803" s="4"/>
      <c r="L803" s="4"/>
      <c r="M803" s="4"/>
      <c r="N803" s="4"/>
      <c r="O803" s="4"/>
      <c r="P803" s="4"/>
      <c r="Q803" s="4"/>
      <c r="R803" s="4"/>
    </row>
    <row r="804" spans="1:18" ht="17.399999999999999" x14ac:dyDescent="0.25">
      <c r="A804" s="4"/>
      <c r="B804" s="23"/>
      <c r="C804" s="4"/>
      <c r="D804" s="4"/>
      <c r="E804" s="5"/>
      <c r="F804" s="4"/>
      <c r="G804" s="4"/>
      <c r="H804" s="4"/>
      <c r="I804" s="4"/>
      <c r="J804" s="4"/>
      <c r="K804" s="4"/>
      <c r="L804" s="4"/>
      <c r="M804" s="4"/>
      <c r="N804" s="4"/>
      <c r="O804" s="4"/>
      <c r="P804" s="4"/>
      <c r="Q804" s="4"/>
      <c r="R804" s="4"/>
    </row>
    <row r="805" spans="1:18" ht="17.399999999999999" x14ac:dyDescent="0.25">
      <c r="A805" s="4"/>
      <c r="B805" s="23"/>
      <c r="C805" s="4"/>
      <c r="D805" s="4"/>
      <c r="E805" s="5"/>
      <c r="F805" s="4"/>
      <c r="G805" s="4"/>
      <c r="H805" s="4"/>
      <c r="I805" s="4"/>
      <c r="J805" s="4"/>
      <c r="K805" s="4"/>
      <c r="L805" s="4"/>
      <c r="M805" s="4"/>
      <c r="N805" s="4"/>
      <c r="O805" s="4"/>
      <c r="P805" s="4"/>
      <c r="Q805" s="4"/>
      <c r="R805" s="4"/>
    </row>
    <row r="806" spans="1:18" ht="17.399999999999999" x14ac:dyDescent="0.25">
      <c r="A806" s="4"/>
      <c r="B806" s="23"/>
      <c r="C806" s="4"/>
      <c r="D806" s="4"/>
      <c r="E806" s="5"/>
      <c r="F806" s="4"/>
      <c r="G806" s="4"/>
      <c r="H806" s="4"/>
      <c r="I806" s="4"/>
      <c r="J806" s="4"/>
      <c r="K806" s="4"/>
      <c r="L806" s="4"/>
      <c r="M806" s="4"/>
      <c r="N806" s="4"/>
      <c r="O806" s="4"/>
      <c r="P806" s="4"/>
      <c r="Q806" s="4"/>
      <c r="R806" s="4"/>
    </row>
    <row r="807" spans="1:18" ht="17.399999999999999" x14ac:dyDescent="0.25">
      <c r="A807" s="4"/>
      <c r="B807" s="23"/>
      <c r="C807" s="4"/>
      <c r="D807" s="4"/>
      <c r="E807" s="5"/>
      <c r="F807" s="4"/>
      <c r="G807" s="4"/>
      <c r="H807" s="4"/>
      <c r="I807" s="4"/>
      <c r="J807" s="4"/>
      <c r="K807" s="4"/>
      <c r="L807" s="4"/>
      <c r="M807" s="4"/>
      <c r="N807" s="4"/>
      <c r="O807" s="4"/>
      <c r="P807" s="4"/>
      <c r="Q807" s="4"/>
      <c r="R807" s="4"/>
    </row>
    <row r="808" spans="1:18" ht="17.399999999999999" x14ac:dyDescent="0.25">
      <c r="A808" s="4"/>
      <c r="B808" s="23"/>
      <c r="C808" s="4"/>
      <c r="D808" s="4"/>
      <c r="E808" s="5"/>
      <c r="F808" s="4"/>
      <c r="G808" s="4"/>
      <c r="H808" s="4"/>
      <c r="I808" s="4"/>
      <c r="J808" s="4"/>
      <c r="K808" s="4"/>
      <c r="L808" s="4"/>
      <c r="M808" s="4"/>
      <c r="N808" s="4"/>
      <c r="O808" s="4"/>
      <c r="P808" s="4"/>
      <c r="Q808" s="4"/>
      <c r="R808" s="4"/>
    </row>
    <row r="809" spans="1:18" ht="17.399999999999999" x14ac:dyDescent="0.25">
      <c r="A809" s="4"/>
      <c r="B809" s="23"/>
      <c r="C809" s="4"/>
      <c r="D809" s="4"/>
      <c r="E809" s="5"/>
      <c r="F809" s="4"/>
      <c r="G809" s="4"/>
      <c r="H809" s="4"/>
      <c r="I809" s="4"/>
      <c r="J809" s="4"/>
      <c r="K809" s="4"/>
      <c r="L809" s="4"/>
      <c r="M809" s="4"/>
      <c r="N809" s="4"/>
      <c r="O809" s="4"/>
      <c r="P809" s="4"/>
      <c r="Q809" s="4"/>
      <c r="R809" s="4"/>
    </row>
    <row r="810" spans="1:18" ht="17.399999999999999" x14ac:dyDescent="0.25">
      <c r="A810" s="4"/>
      <c r="B810" s="23"/>
      <c r="C810" s="4"/>
      <c r="D810" s="4"/>
      <c r="E810" s="5"/>
      <c r="F810" s="4"/>
      <c r="G810" s="4"/>
      <c r="H810" s="4"/>
      <c r="I810" s="4"/>
      <c r="J810" s="4"/>
      <c r="K810" s="4"/>
      <c r="L810" s="4"/>
      <c r="M810" s="4"/>
      <c r="N810" s="4"/>
      <c r="O810" s="4"/>
      <c r="P810" s="4"/>
      <c r="Q810" s="4"/>
      <c r="R810" s="4"/>
    </row>
    <row r="811" spans="1:18" ht="17.399999999999999" x14ac:dyDescent="0.25">
      <c r="A811" s="4"/>
      <c r="B811" s="23"/>
      <c r="C811" s="4"/>
      <c r="D811" s="4"/>
      <c r="E811" s="5"/>
      <c r="F811" s="4"/>
      <c r="G811" s="4"/>
      <c r="H811" s="4"/>
      <c r="I811" s="4"/>
      <c r="J811" s="4"/>
      <c r="K811" s="4"/>
      <c r="L811" s="4"/>
      <c r="M811" s="4"/>
      <c r="N811" s="4"/>
      <c r="O811" s="4"/>
      <c r="P811" s="4"/>
      <c r="Q811" s="4"/>
      <c r="R811" s="4"/>
    </row>
    <row r="812" spans="1:18" ht="17.399999999999999" x14ac:dyDescent="0.25">
      <c r="A812" s="4"/>
      <c r="B812" s="23"/>
      <c r="C812" s="4"/>
      <c r="D812" s="4"/>
      <c r="E812" s="5"/>
      <c r="F812" s="4"/>
      <c r="G812" s="4"/>
      <c r="H812" s="4"/>
      <c r="I812" s="4"/>
      <c r="J812" s="4"/>
      <c r="K812" s="4"/>
      <c r="L812" s="4"/>
      <c r="M812" s="4"/>
      <c r="N812" s="4"/>
      <c r="O812" s="4"/>
      <c r="P812" s="4"/>
      <c r="Q812" s="4"/>
      <c r="R812" s="4"/>
    </row>
    <row r="813" spans="1:18" ht="17.399999999999999" x14ac:dyDescent="0.25">
      <c r="A813" s="4"/>
      <c r="B813" s="23"/>
      <c r="C813" s="4"/>
      <c r="D813" s="4"/>
      <c r="E813" s="5"/>
      <c r="F813" s="4"/>
      <c r="G813" s="4"/>
      <c r="H813" s="4"/>
      <c r="I813" s="4"/>
      <c r="J813" s="4"/>
      <c r="K813" s="4"/>
      <c r="L813" s="4"/>
      <c r="M813" s="4"/>
      <c r="N813" s="4"/>
      <c r="O813" s="4"/>
      <c r="P813" s="4"/>
      <c r="Q813" s="4"/>
      <c r="R813" s="4"/>
    </row>
    <row r="814" spans="1:18" ht="17.399999999999999" x14ac:dyDescent="0.25">
      <c r="A814" s="4"/>
      <c r="B814" s="23"/>
      <c r="C814" s="4"/>
      <c r="D814" s="4"/>
      <c r="E814" s="5"/>
      <c r="F814" s="4"/>
      <c r="G814" s="4"/>
      <c r="H814" s="4"/>
      <c r="I814" s="4"/>
      <c r="J814" s="4"/>
      <c r="K814" s="4"/>
      <c r="L814" s="4"/>
      <c r="M814" s="4"/>
      <c r="N814" s="4"/>
      <c r="O814" s="4"/>
      <c r="P814" s="4"/>
      <c r="Q814" s="4"/>
      <c r="R814" s="4"/>
    </row>
    <row r="815" spans="1:18" ht="17.399999999999999" x14ac:dyDescent="0.25">
      <c r="A815" s="4"/>
      <c r="B815" s="23"/>
      <c r="C815" s="4"/>
      <c r="D815" s="4"/>
      <c r="E815" s="5"/>
      <c r="F815" s="4"/>
      <c r="G815" s="4"/>
      <c r="H815" s="4"/>
      <c r="I815" s="4"/>
      <c r="J815" s="4"/>
      <c r="K815" s="4"/>
      <c r="L815" s="4"/>
      <c r="M815" s="4"/>
      <c r="N815" s="4"/>
      <c r="O815" s="4"/>
      <c r="P815" s="4"/>
      <c r="Q815" s="4"/>
      <c r="R815" s="4"/>
    </row>
    <row r="816" spans="1:18" ht="17.399999999999999" x14ac:dyDescent="0.25">
      <c r="A816" s="4"/>
      <c r="B816" s="23"/>
      <c r="C816" s="4"/>
      <c r="D816" s="4"/>
      <c r="E816" s="5"/>
      <c r="F816" s="4"/>
      <c r="G816" s="4"/>
      <c r="H816" s="4"/>
      <c r="I816" s="4"/>
      <c r="J816" s="4"/>
      <c r="K816" s="4"/>
      <c r="L816" s="4"/>
      <c r="M816" s="4"/>
      <c r="N816" s="4"/>
      <c r="O816" s="4"/>
      <c r="P816" s="4"/>
      <c r="Q816" s="4"/>
      <c r="R816" s="4"/>
    </row>
    <row r="817" spans="1:18" ht="17.399999999999999" x14ac:dyDescent="0.25">
      <c r="A817" s="4"/>
      <c r="B817" s="23"/>
      <c r="C817" s="4"/>
      <c r="D817" s="4"/>
      <c r="E817" s="5"/>
      <c r="F817" s="4"/>
      <c r="G817" s="4"/>
      <c r="H817" s="4"/>
      <c r="I817" s="4"/>
      <c r="J817" s="4"/>
      <c r="K817" s="4"/>
      <c r="L817" s="4"/>
      <c r="M817" s="4"/>
      <c r="N817" s="4"/>
      <c r="O817" s="4"/>
      <c r="P817" s="4"/>
      <c r="Q817" s="4"/>
      <c r="R817" s="4"/>
    </row>
    <row r="818" spans="1:18" ht="17.399999999999999" x14ac:dyDescent="0.25">
      <c r="A818" s="4"/>
      <c r="B818" s="23"/>
      <c r="C818" s="4"/>
      <c r="D818" s="4"/>
      <c r="E818" s="5"/>
      <c r="F818" s="4"/>
      <c r="G818" s="4"/>
      <c r="H818" s="4"/>
      <c r="I818" s="4"/>
      <c r="J818" s="4"/>
      <c r="K818" s="4"/>
      <c r="L818" s="4"/>
      <c r="M818" s="4"/>
      <c r="N818" s="4"/>
      <c r="O818" s="4"/>
      <c r="P818" s="4"/>
      <c r="Q818" s="4"/>
      <c r="R818" s="4"/>
    </row>
    <row r="819" spans="1:18" ht="17.399999999999999" x14ac:dyDescent="0.25">
      <c r="A819" s="4"/>
      <c r="B819" s="23"/>
      <c r="C819" s="4"/>
      <c r="D819" s="4"/>
      <c r="E819" s="5"/>
      <c r="F819" s="4"/>
      <c r="G819" s="4"/>
      <c r="H819" s="4"/>
      <c r="I819" s="4"/>
      <c r="J819" s="4"/>
      <c r="K819" s="4"/>
      <c r="L819" s="4"/>
      <c r="M819" s="4"/>
      <c r="N819" s="4"/>
      <c r="O819" s="4"/>
      <c r="P819" s="4"/>
      <c r="Q819" s="4"/>
      <c r="R819" s="4"/>
    </row>
    <row r="820" spans="1:18" ht="17.399999999999999" x14ac:dyDescent="0.25">
      <c r="A820" s="4"/>
      <c r="B820" s="23"/>
      <c r="C820" s="4"/>
      <c r="D820" s="4"/>
      <c r="E820" s="5"/>
      <c r="F820" s="4"/>
      <c r="G820" s="4"/>
      <c r="H820" s="4"/>
      <c r="I820" s="4"/>
      <c r="J820" s="4"/>
      <c r="K820" s="4"/>
      <c r="L820" s="4"/>
      <c r="M820" s="4"/>
      <c r="N820" s="4"/>
      <c r="O820" s="4"/>
      <c r="P820" s="4"/>
      <c r="Q820" s="4"/>
      <c r="R820" s="4"/>
    </row>
    <row r="821" spans="1:18" ht="17.399999999999999" x14ac:dyDescent="0.25">
      <c r="A821" s="4"/>
      <c r="B821" s="23"/>
      <c r="C821" s="4"/>
      <c r="D821" s="4"/>
      <c r="E821" s="5"/>
      <c r="F821" s="4"/>
      <c r="G821" s="4"/>
      <c r="H821" s="4"/>
      <c r="I821" s="4"/>
      <c r="J821" s="4"/>
      <c r="K821" s="4"/>
      <c r="L821" s="4"/>
      <c r="M821" s="4"/>
      <c r="N821" s="4"/>
      <c r="O821" s="4"/>
      <c r="P821" s="4"/>
      <c r="Q821" s="4"/>
      <c r="R821" s="4"/>
    </row>
    <row r="822" spans="1:18" ht="17.399999999999999" x14ac:dyDescent="0.25">
      <c r="A822" s="4"/>
      <c r="B822" s="23"/>
      <c r="C822" s="4"/>
      <c r="D822" s="4"/>
      <c r="E822" s="5"/>
      <c r="F822" s="4"/>
      <c r="G822" s="4"/>
      <c r="H822" s="4"/>
      <c r="I822" s="4"/>
      <c r="J822" s="4"/>
      <c r="K822" s="4"/>
      <c r="L822" s="4"/>
      <c r="M822" s="4"/>
      <c r="N822" s="4"/>
      <c r="O822" s="4"/>
      <c r="P822" s="4"/>
      <c r="Q822" s="4"/>
      <c r="R822" s="4"/>
    </row>
    <row r="823" spans="1:18" ht="17.399999999999999" x14ac:dyDescent="0.25">
      <c r="A823" s="4"/>
      <c r="B823" s="23"/>
      <c r="C823" s="4"/>
      <c r="D823" s="4"/>
      <c r="E823" s="5"/>
      <c r="F823" s="4"/>
      <c r="G823" s="4"/>
      <c r="H823" s="4"/>
      <c r="I823" s="4"/>
      <c r="J823" s="4"/>
      <c r="K823" s="4"/>
      <c r="L823" s="4"/>
      <c r="M823" s="4"/>
      <c r="N823" s="4"/>
      <c r="O823" s="4"/>
      <c r="P823" s="4"/>
      <c r="Q823" s="4"/>
      <c r="R823" s="4"/>
    </row>
    <row r="824" spans="1:18" ht="17.399999999999999" x14ac:dyDescent="0.25">
      <c r="A824" s="4"/>
      <c r="B824" s="23"/>
      <c r="C824" s="4"/>
      <c r="D824" s="4"/>
      <c r="E824" s="5"/>
      <c r="F824" s="4"/>
      <c r="G824" s="4"/>
      <c r="H824" s="4"/>
      <c r="I824" s="4"/>
      <c r="J824" s="4"/>
      <c r="K824" s="4"/>
      <c r="L824" s="4"/>
      <c r="M824" s="4"/>
      <c r="N824" s="4"/>
      <c r="O824" s="4"/>
      <c r="P824" s="4"/>
      <c r="Q824" s="4"/>
      <c r="R824" s="4"/>
    </row>
    <row r="825" spans="1:18" ht="17.399999999999999" x14ac:dyDescent="0.25">
      <c r="A825" s="4"/>
      <c r="B825" s="23"/>
      <c r="C825" s="4"/>
      <c r="D825" s="4"/>
      <c r="E825" s="5"/>
      <c r="F825" s="4"/>
      <c r="G825" s="4"/>
      <c r="H825" s="4"/>
      <c r="I825" s="4"/>
      <c r="J825" s="4"/>
      <c r="K825" s="4"/>
      <c r="L825" s="4"/>
      <c r="M825" s="4"/>
      <c r="N825" s="4"/>
      <c r="O825" s="4"/>
      <c r="P825" s="4"/>
      <c r="Q825" s="4"/>
      <c r="R825" s="4"/>
    </row>
    <row r="826" spans="1:18" ht="17.399999999999999" x14ac:dyDescent="0.25">
      <c r="A826" s="4"/>
      <c r="B826" s="23"/>
      <c r="C826" s="4"/>
      <c r="D826" s="4"/>
      <c r="E826" s="5"/>
      <c r="F826" s="4"/>
      <c r="G826" s="4"/>
      <c r="H826" s="4"/>
      <c r="I826" s="4"/>
      <c r="J826" s="4"/>
      <c r="K826" s="4"/>
      <c r="L826" s="4"/>
      <c r="M826" s="4"/>
      <c r="N826" s="4"/>
      <c r="O826" s="4"/>
      <c r="P826" s="4"/>
      <c r="Q826" s="4"/>
      <c r="R826" s="4"/>
    </row>
    <row r="827" spans="1:18" ht="17.399999999999999" x14ac:dyDescent="0.25">
      <c r="A827" s="4"/>
      <c r="B827" s="23"/>
      <c r="C827" s="4"/>
      <c r="D827" s="4"/>
      <c r="E827" s="5"/>
      <c r="F827" s="4"/>
      <c r="G827" s="4"/>
      <c r="H827" s="4"/>
      <c r="I827" s="4"/>
      <c r="J827" s="4"/>
      <c r="K827" s="4"/>
      <c r="L827" s="4"/>
      <c r="M827" s="4"/>
      <c r="N827" s="4"/>
      <c r="O827" s="4"/>
      <c r="P827" s="4"/>
      <c r="Q827" s="4"/>
      <c r="R827" s="4"/>
    </row>
    <row r="828" spans="1:18" ht="17.399999999999999" x14ac:dyDescent="0.25">
      <c r="A828" s="4"/>
      <c r="B828" s="23"/>
      <c r="C828" s="4"/>
      <c r="D828" s="4"/>
      <c r="E828" s="5"/>
      <c r="F828" s="4"/>
      <c r="G828" s="4"/>
      <c r="H828" s="4"/>
      <c r="I828" s="4"/>
      <c r="J828" s="4"/>
      <c r="K828" s="4"/>
      <c r="L828" s="4"/>
      <c r="M828" s="4"/>
      <c r="N828" s="4"/>
      <c r="O828" s="4"/>
      <c r="P828" s="4"/>
      <c r="Q828" s="4"/>
      <c r="R828" s="4"/>
    </row>
    <row r="829" spans="1:18" ht="17.399999999999999" x14ac:dyDescent="0.25">
      <c r="A829" s="4"/>
      <c r="B829" s="23"/>
      <c r="C829" s="4"/>
      <c r="D829" s="4"/>
      <c r="E829" s="5"/>
      <c r="F829" s="4"/>
      <c r="G829" s="4"/>
      <c r="H829" s="4"/>
      <c r="I829" s="4"/>
      <c r="J829" s="4"/>
      <c r="K829" s="4"/>
      <c r="L829" s="4"/>
      <c r="M829" s="4"/>
      <c r="N829" s="4"/>
      <c r="O829" s="4"/>
      <c r="P829" s="4"/>
      <c r="Q829" s="4"/>
      <c r="R829" s="4"/>
    </row>
    <row r="830" spans="1:18" ht="17.399999999999999" x14ac:dyDescent="0.25">
      <c r="A830" s="4"/>
      <c r="B830" s="23"/>
      <c r="C830" s="4"/>
      <c r="D830" s="4"/>
      <c r="E830" s="5"/>
      <c r="F830" s="4"/>
      <c r="G830" s="4"/>
      <c r="H830" s="4"/>
      <c r="I830" s="4"/>
      <c r="J830" s="4"/>
      <c r="K830" s="4"/>
      <c r="L830" s="4"/>
      <c r="M830" s="4"/>
      <c r="N830" s="4"/>
      <c r="O830" s="4"/>
      <c r="P830" s="4"/>
      <c r="Q830" s="4"/>
      <c r="R830" s="4"/>
    </row>
    <row r="831" spans="1:18" ht="17.399999999999999" x14ac:dyDescent="0.25">
      <c r="A831" s="4"/>
      <c r="B831" s="23"/>
      <c r="C831" s="4"/>
      <c r="D831" s="4"/>
      <c r="E831" s="5"/>
      <c r="F831" s="4"/>
      <c r="G831" s="4"/>
      <c r="H831" s="4"/>
      <c r="I831" s="4"/>
      <c r="J831" s="4"/>
      <c r="K831" s="4"/>
      <c r="L831" s="4"/>
      <c r="M831" s="4"/>
      <c r="N831" s="4"/>
      <c r="O831" s="4"/>
      <c r="P831" s="4"/>
      <c r="Q831" s="4"/>
      <c r="R831" s="4"/>
    </row>
    <row r="832" spans="1:18" ht="17.399999999999999" x14ac:dyDescent="0.25">
      <c r="A832" s="4"/>
      <c r="B832" s="23"/>
      <c r="C832" s="4"/>
      <c r="D832" s="4"/>
      <c r="E832" s="5"/>
      <c r="F832" s="4"/>
      <c r="G832" s="4"/>
      <c r="H832" s="4"/>
      <c r="I832" s="4"/>
      <c r="J832" s="4"/>
      <c r="K832" s="4"/>
      <c r="L832" s="4"/>
      <c r="M832" s="4"/>
      <c r="N832" s="4"/>
      <c r="O832" s="4"/>
      <c r="P832" s="4"/>
      <c r="Q832" s="4"/>
      <c r="R832" s="4"/>
    </row>
    <row r="833" spans="1:18" ht="17.399999999999999" x14ac:dyDescent="0.25">
      <c r="A833" s="4"/>
      <c r="B833" s="23"/>
      <c r="C833" s="4"/>
      <c r="D833" s="4"/>
      <c r="E833" s="5"/>
      <c r="F833" s="4"/>
      <c r="G833" s="4"/>
      <c r="H833" s="4"/>
      <c r="I833" s="4"/>
      <c r="J833" s="4"/>
      <c r="K833" s="4"/>
      <c r="L833" s="4"/>
      <c r="M833" s="4"/>
      <c r="N833" s="4"/>
      <c r="O833" s="4"/>
      <c r="P833" s="4"/>
      <c r="Q833" s="4"/>
      <c r="R833" s="4"/>
    </row>
    <row r="834" spans="1:18" ht="17.399999999999999" x14ac:dyDescent="0.25">
      <c r="A834" s="4"/>
      <c r="B834" s="23"/>
      <c r="C834" s="4"/>
      <c r="D834" s="4"/>
      <c r="E834" s="5"/>
      <c r="F834" s="4"/>
      <c r="G834" s="4"/>
      <c r="H834" s="4"/>
      <c r="I834" s="4"/>
      <c r="J834" s="4"/>
      <c r="K834" s="4"/>
      <c r="L834" s="4"/>
      <c r="M834" s="4"/>
      <c r="N834" s="4"/>
      <c r="O834" s="4"/>
      <c r="P834" s="4"/>
      <c r="Q834" s="4"/>
      <c r="R834" s="4"/>
    </row>
    <row r="835" spans="1:18" ht="17.399999999999999" x14ac:dyDescent="0.25">
      <c r="A835" s="4"/>
      <c r="B835" s="23"/>
      <c r="C835" s="4"/>
      <c r="D835" s="4"/>
      <c r="E835" s="5"/>
      <c r="F835" s="4"/>
      <c r="G835" s="4"/>
      <c r="H835" s="4"/>
      <c r="I835" s="4"/>
      <c r="J835" s="4"/>
      <c r="K835" s="4"/>
      <c r="L835" s="4"/>
      <c r="M835" s="4"/>
      <c r="N835" s="4"/>
      <c r="O835" s="4"/>
      <c r="P835" s="4"/>
      <c r="Q835" s="4"/>
      <c r="R835" s="4"/>
    </row>
    <row r="836" spans="1:18" ht="17.399999999999999" x14ac:dyDescent="0.25">
      <c r="A836" s="4"/>
      <c r="B836" s="23"/>
      <c r="C836" s="4"/>
      <c r="D836" s="4"/>
      <c r="E836" s="5"/>
      <c r="F836" s="4"/>
      <c r="G836" s="4"/>
      <c r="H836" s="4"/>
      <c r="I836" s="4"/>
      <c r="J836" s="4"/>
      <c r="K836" s="4"/>
      <c r="L836" s="4"/>
      <c r="M836" s="4"/>
      <c r="N836" s="4"/>
      <c r="O836" s="4"/>
      <c r="P836" s="4"/>
      <c r="Q836" s="4"/>
      <c r="R836" s="4"/>
    </row>
    <row r="837" spans="1:18" ht="17.399999999999999" x14ac:dyDescent="0.25">
      <c r="A837" s="4"/>
      <c r="B837" s="23"/>
      <c r="C837" s="4"/>
      <c r="D837" s="4"/>
      <c r="E837" s="5"/>
      <c r="F837" s="4"/>
      <c r="G837" s="4"/>
      <c r="H837" s="4"/>
      <c r="I837" s="4"/>
      <c r="J837" s="4"/>
      <c r="K837" s="4"/>
      <c r="L837" s="4"/>
      <c r="M837" s="4"/>
      <c r="N837" s="4"/>
      <c r="O837" s="4"/>
      <c r="P837" s="4"/>
      <c r="Q837" s="4"/>
      <c r="R837" s="4"/>
    </row>
    <row r="838" spans="1:18" ht="17.399999999999999" x14ac:dyDescent="0.25">
      <c r="A838" s="4"/>
      <c r="B838" s="23"/>
      <c r="C838" s="4"/>
      <c r="D838" s="4"/>
      <c r="E838" s="5"/>
      <c r="F838" s="4"/>
      <c r="G838" s="4"/>
      <c r="H838" s="4"/>
      <c r="I838" s="4"/>
      <c r="J838" s="4"/>
      <c r="K838" s="4"/>
      <c r="L838" s="4"/>
      <c r="M838" s="4"/>
      <c r="N838" s="4"/>
      <c r="O838" s="4"/>
      <c r="P838" s="4"/>
      <c r="Q838" s="4"/>
      <c r="R838" s="4"/>
    </row>
    <row r="839" spans="1:18" ht="17.399999999999999" x14ac:dyDescent="0.25">
      <c r="A839" s="4"/>
      <c r="B839" s="23"/>
      <c r="C839" s="4"/>
      <c r="D839" s="4"/>
      <c r="E839" s="5"/>
      <c r="F839" s="4"/>
      <c r="G839" s="4"/>
      <c r="H839" s="4"/>
      <c r="I839" s="4"/>
      <c r="J839" s="4"/>
      <c r="K839" s="4"/>
      <c r="L839" s="4"/>
      <c r="M839" s="4"/>
      <c r="N839" s="4"/>
      <c r="O839" s="4"/>
      <c r="P839" s="4"/>
      <c r="Q839" s="4"/>
      <c r="R839" s="4"/>
    </row>
    <row r="840" spans="1:18" ht="17.399999999999999" x14ac:dyDescent="0.25">
      <c r="A840" s="4"/>
      <c r="B840" s="23"/>
      <c r="C840" s="4"/>
      <c r="D840" s="4"/>
      <c r="E840" s="5"/>
      <c r="F840" s="4"/>
      <c r="G840" s="4"/>
      <c r="H840" s="4"/>
      <c r="I840" s="4"/>
      <c r="J840" s="4"/>
      <c r="K840" s="4"/>
      <c r="L840" s="4"/>
      <c r="M840" s="4"/>
      <c r="N840" s="4"/>
      <c r="O840" s="4"/>
      <c r="P840" s="4"/>
      <c r="Q840" s="4"/>
      <c r="R840" s="4"/>
    </row>
    <row r="841" spans="1:18" ht="17.399999999999999" x14ac:dyDescent="0.25">
      <c r="A841" s="4"/>
      <c r="B841" s="23"/>
      <c r="C841" s="4"/>
      <c r="D841" s="4"/>
      <c r="E841" s="5"/>
      <c r="F841" s="4"/>
      <c r="G841" s="4"/>
      <c r="H841" s="4"/>
      <c r="I841" s="4"/>
      <c r="J841" s="4"/>
      <c r="K841" s="4"/>
      <c r="L841" s="4"/>
      <c r="M841" s="4"/>
      <c r="N841" s="4"/>
      <c r="O841" s="4"/>
      <c r="P841" s="4"/>
      <c r="Q841" s="4"/>
      <c r="R841" s="4"/>
    </row>
    <row r="842" spans="1:18" ht="17.399999999999999" x14ac:dyDescent="0.25">
      <c r="A842" s="4"/>
      <c r="B842" s="23"/>
      <c r="C842" s="4"/>
      <c r="D842" s="4"/>
      <c r="E842" s="5"/>
      <c r="F842" s="4"/>
      <c r="G842" s="4"/>
      <c r="H842" s="4"/>
      <c r="I842" s="4"/>
      <c r="J842" s="4"/>
      <c r="K842" s="4"/>
      <c r="L842" s="4"/>
      <c r="M842" s="4"/>
      <c r="N842" s="4"/>
      <c r="O842" s="4"/>
      <c r="P842" s="4"/>
      <c r="Q842" s="4"/>
      <c r="R842" s="4"/>
    </row>
    <row r="843" spans="1:18" ht="17.399999999999999" x14ac:dyDescent="0.25">
      <c r="A843" s="4"/>
      <c r="B843" s="23"/>
      <c r="C843" s="4"/>
      <c r="D843" s="4"/>
      <c r="E843" s="5"/>
      <c r="F843" s="4"/>
      <c r="G843" s="4"/>
      <c r="H843" s="4"/>
      <c r="I843" s="4"/>
      <c r="J843" s="4"/>
      <c r="K843" s="4"/>
      <c r="L843" s="4"/>
      <c r="M843" s="4"/>
      <c r="N843" s="4"/>
      <c r="O843" s="4"/>
      <c r="P843" s="4"/>
      <c r="Q843" s="4"/>
      <c r="R843" s="4"/>
    </row>
    <row r="844" spans="1:18" ht="17.399999999999999" x14ac:dyDescent="0.25">
      <c r="A844" s="4"/>
      <c r="B844" s="23"/>
      <c r="C844" s="4"/>
      <c r="D844" s="4"/>
      <c r="E844" s="5"/>
      <c r="F844" s="4"/>
      <c r="G844" s="4"/>
      <c r="H844" s="4"/>
      <c r="I844" s="4"/>
      <c r="J844" s="4"/>
      <c r="K844" s="4"/>
      <c r="L844" s="4"/>
      <c r="M844" s="4"/>
      <c r="N844" s="4"/>
      <c r="O844" s="4"/>
      <c r="P844" s="4"/>
      <c r="Q844" s="4"/>
      <c r="R844" s="4"/>
    </row>
    <row r="845" spans="1:18" ht="17.399999999999999" x14ac:dyDescent="0.25">
      <c r="A845" s="4"/>
      <c r="B845" s="23"/>
      <c r="C845" s="4"/>
      <c r="D845" s="4"/>
      <c r="E845" s="5"/>
      <c r="F845" s="4"/>
      <c r="G845" s="4"/>
      <c r="H845" s="4"/>
      <c r="I845" s="4"/>
      <c r="J845" s="4"/>
      <c r="K845" s="4"/>
      <c r="L845" s="4"/>
      <c r="M845" s="4"/>
      <c r="N845" s="4"/>
      <c r="O845" s="4"/>
      <c r="P845" s="4"/>
      <c r="Q845" s="4"/>
      <c r="R845" s="4"/>
    </row>
    <row r="846" spans="1:18" ht="17.399999999999999" x14ac:dyDescent="0.25">
      <c r="A846" s="4"/>
      <c r="B846" s="23"/>
      <c r="C846" s="4"/>
      <c r="D846" s="4"/>
      <c r="E846" s="5"/>
      <c r="F846" s="4"/>
      <c r="G846" s="4"/>
      <c r="H846" s="4"/>
      <c r="I846" s="4"/>
      <c r="J846" s="4"/>
      <c r="K846" s="4"/>
      <c r="L846" s="4"/>
      <c r="M846" s="4"/>
      <c r="N846" s="4"/>
      <c r="O846" s="4"/>
      <c r="P846" s="4"/>
      <c r="Q846" s="4"/>
      <c r="R846" s="4"/>
    </row>
    <row r="847" spans="1:18" ht="17.399999999999999" x14ac:dyDescent="0.25">
      <c r="A847" s="4"/>
      <c r="B847" s="23"/>
      <c r="C847" s="4"/>
      <c r="D847" s="4"/>
      <c r="E847" s="5"/>
      <c r="F847" s="4"/>
      <c r="G847" s="4"/>
      <c r="H847" s="4"/>
      <c r="I847" s="4"/>
      <c r="J847" s="4"/>
      <c r="K847" s="4"/>
      <c r="L847" s="4"/>
      <c r="M847" s="4"/>
      <c r="N847" s="4"/>
      <c r="O847" s="4"/>
      <c r="P847" s="4"/>
      <c r="Q847" s="4"/>
      <c r="R847" s="4"/>
    </row>
    <row r="848" spans="1:18" ht="17.399999999999999" x14ac:dyDescent="0.25">
      <c r="A848" s="4"/>
      <c r="B848" s="23"/>
      <c r="C848" s="4"/>
      <c r="D848" s="4"/>
      <c r="E848" s="5"/>
      <c r="F848" s="4"/>
      <c r="G848" s="4"/>
      <c r="H848" s="4"/>
      <c r="I848" s="4"/>
      <c r="J848" s="4"/>
      <c r="K848" s="4"/>
      <c r="L848" s="4"/>
      <c r="M848" s="4"/>
      <c r="N848" s="4"/>
      <c r="O848" s="4"/>
      <c r="P848" s="4"/>
      <c r="Q848" s="4"/>
      <c r="R848" s="4"/>
    </row>
    <row r="849" spans="1:18" ht="17.399999999999999" x14ac:dyDescent="0.25">
      <c r="A849" s="4"/>
      <c r="B849" s="23"/>
      <c r="C849" s="4"/>
      <c r="D849" s="4"/>
      <c r="E849" s="5"/>
      <c r="F849" s="4"/>
      <c r="G849" s="4"/>
      <c r="H849" s="4"/>
      <c r="I849" s="4"/>
      <c r="J849" s="4"/>
      <c r="K849" s="4"/>
      <c r="L849" s="4"/>
      <c r="M849" s="4"/>
      <c r="N849" s="4"/>
      <c r="O849" s="4"/>
      <c r="P849" s="4"/>
      <c r="Q849" s="4"/>
      <c r="R849" s="4"/>
    </row>
    <row r="850" spans="1:18" ht="17.399999999999999" x14ac:dyDescent="0.25">
      <c r="A850" s="4"/>
      <c r="B850" s="23"/>
      <c r="C850" s="4"/>
      <c r="D850" s="4"/>
      <c r="E850" s="5"/>
      <c r="F850" s="4"/>
      <c r="G850" s="4"/>
      <c r="H850" s="4"/>
      <c r="I850" s="4"/>
      <c r="J850" s="4"/>
      <c r="K850" s="4"/>
      <c r="L850" s="4"/>
      <c r="M850" s="4"/>
      <c r="N850" s="4"/>
      <c r="O850" s="4"/>
      <c r="P850" s="4"/>
      <c r="Q850" s="4"/>
      <c r="R850" s="4"/>
    </row>
    <row r="851" spans="1:18" ht="17.399999999999999" x14ac:dyDescent="0.25">
      <c r="A851" s="4"/>
      <c r="B851" s="23"/>
      <c r="C851" s="4"/>
      <c r="D851" s="4"/>
      <c r="E851" s="5"/>
      <c r="F851" s="4"/>
      <c r="G851" s="4"/>
      <c r="H851" s="4"/>
      <c r="I851" s="4"/>
      <c r="J851" s="4"/>
      <c r="K851" s="4"/>
      <c r="L851" s="4"/>
      <c r="M851" s="4"/>
      <c r="N851" s="4"/>
      <c r="O851" s="4"/>
      <c r="P851" s="4"/>
      <c r="Q851" s="4"/>
      <c r="R851" s="4"/>
    </row>
    <row r="852" spans="1:18" ht="17.399999999999999" x14ac:dyDescent="0.25">
      <c r="A852" s="4"/>
      <c r="B852" s="23"/>
      <c r="C852" s="4"/>
      <c r="D852" s="4"/>
      <c r="E852" s="5"/>
      <c r="F852" s="4"/>
      <c r="G852" s="4"/>
      <c r="H852" s="4"/>
      <c r="I852" s="4"/>
      <c r="J852" s="4"/>
      <c r="K852" s="4"/>
      <c r="L852" s="4"/>
      <c r="M852" s="4"/>
      <c r="N852" s="4"/>
      <c r="O852" s="4"/>
      <c r="P852" s="4"/>
      <c r="Q852" s="4"/>
      <c r="R852" s="4"/>
    </row>
    <row r="853" spans="1:18" ht="17.399999999999999" x14ac:dyDescent="0.25">
      <c r="A853" s="4"/>
      <c r="B853" s="23"/>
      <c r="C853" s="4"/>
      <c r="D853" s="4"/>
      <c r="E853" s="5"/>
      <c r="F853" s="4"/>
      <c r="G853" s="4"/>
      <c r="H853" s="4"/>
      <c r="I853" s="4"/>
      <c r="J853" s="4"/>
      <c r="K853" s="4"/>
      <c r="L853" s="4"/>
      <c r="M853" s="4"/>
      <c r="N853" s="4"/>
      <c r="O853" s="4"/>
      <c r="P853" s="4"/>
      <c r="Q853" s="4"/>
      <c r="R853" s="4"/>
    </row>
    <row r="854" spans="1:18" ht="17.399999999999999" x14ac:dyDescent="0.25">
      <c r="A854" s="4"/>
      <c r="B854" s="23"/>
      <c r="C854" s="4"/>
      <c r="D854" s="4"/>
      <c r="E854" s="5"/>
      <c r="F854" s="4"/>
      <c r="G854" s="4"/>
      <c r="H854" s="4"/>
      <c r="I854" s="4"/>
      <c r="J854" s="4"/>
      <c r="K854" s="4"/>
      <c r="L854" s="4"/>
      <c r="M854" s="4"/>
      <c r="N854" s="4"/>
      <c r="O854" s="4"/>
      <c r="P854" s="4"/>
      <c r="Q854" s="4"/>
      <c r="R854" s="4"/>
    </row>
    <row r="855" spans="1:18" ht="17.399999999999999" x14ac:dyDescent="0.25">
      <c r="A855" s="4"/>
      <c r="B855" s="23"/>
      <c r="C855" s="4"/>
      <c r="D855" s="4"/>
      <c r="E855" s="5"/>
      <c r="F855" s="4"/>
      <c r="G855" s="4"/>
      <c r="H855" s="4"/>
      <c r="I855" s="4"/>
      <c r="J855" s="4"/>
      <c r="K855" s="4"/>
      <c r="L855" s="4"/>
      <c r="M855" s="4"/>
      <c r="N855" s="4"/>
      <c r="O855" s="4"/>
      <c r="P855" s="4"/>
      <c r="Q855" s="4"/>
      <c r="R855" s="4"/>
    </row>
    <row r="856" spans="1:18" ht="17.399999999999999" x14ac:dyDescent="0.25">
      <c r="A856" s="4"/>
      <c r="B856" s="23"/>
      <c r="C856" s="4"/>
      <c r="D856" s="4"/>
      <c r="E856" s="5"/>
      <c r="F856" s="4"/>
      <c r="G856" s="4"/>
      <c r="H856" s="4"/>
      <c r="I856" s="4"/>
      <c r="J856" s="4"/>
      <c r="K856" s="4"/>
      <c r="L856" s="4"/>
      <c r="M856" s="4"/>
      <c r="N856" s="4"/>
      <c r="O856" s="4"/>
      <c r="P856" s="4"/>
      <c r="Q856" s="4"/>
      <c r="R856" s="4"/>
    </row>
    <row r="857" spans="1:18" ht="17.399999999999999" x14ac:dyDescent="0.25">
      <c r="A857" s="4"/>
      <c r="B857" s="23"/>
      <c r="C857" s="4"/>
      <c r="D857" s="4"/>
      <c r="E857" s="5"/>
      <c r="F857" s="4"/>
      <c r="G857" s="4"/>
      <c r="H857" s="4"/>
      <c r="I857" s="4"/>
      <c r="J857" s="4"/>
      <c r="K857" s="4"/>
      <c r="L857" s="4"/>
      <c r="M857" s="4"/>
      <c r="N857" s="4"/>
      <c r="O857" s="4"/>
      <c r="P857" s="4"/>
      <c r="Q857" s="4"/>
      <c r="R857" s="4"/>
    </row>
    <row r="858" spans="1:18" ht="17.399999999999999" x14ac:dyDescent="0.25">
      <c r="A858" s="4"/>
      <c r="B858" s="23"/>
      <c r="C858" s="4"/>
      <c r="D858" s="4"/>
      <c r="E858" s="5"/>
      <c r="F858" s="4"/>
      <c r="G858" s="4"/>
      <c r="H858" s="4"/>
      <c r="I858" s="4"/>
      <c r="J858" s="4"/>
      <c r="K858" s="4"/>
      <c r="L858" s="4"/>
      <c r="M858" s="4"/>
      <c r="N858" s="4"/>
      <c r="O858" s="4"/>
      <c r="P858" s="4"/>
      <c r="Q858" s="4"/>
      <c r="R858" s="4"/>
    </row>
    <row r="859" spans="1:18" ht="17.399999999999999" x14ac:dyDescent="0.25">
      <c r="A859" s="4"/>
      <c r="B859" s="23"/>
      <c r="C859" s="4"/>
      <c r="D859" s="4"/>
      <c r="E859" s="5"/>
      <c r="F859" s="4"/>
      <c r="G859" s="4"/>
      <c r="H859" s="4"/>
      <c r="I859" s="4"/>
      <c r="J859" s="4"/>
      <c r="K859" s="4"/>
      <c r="L859" s="4"/>
      <c r="M859" s="4"/>
      <c r="N859" s="4"/>
      <c r="O859" s="4"/>
      <c r="P859" s="4"/>
      <c r="Q859" s="4"/>
      <c r="R859" s="4"/>
    </row>
    <row r="860" spans="1:18" ht="17.399999999999999" x14ac:dyDescent="0.25">
      <c r="A860" s="4"/>
      <c r="B860" s="23"/>
      <c r="C860" s="4"/>
      <c r="D860" s="4"/>
      <c r="E860" s="5"/>
      <c r="F860" s="4"/>
      <c r="G860" s="4"/>
      <c r="H860" s="4"/>
      <c r="I860" s="4"/>
      <c r="J860" s="4"/>
      <c r="K860" s="4"/>
      <c r="L860" s="4"/>
      <c r="M860" s="4"/>
      <c r="N860" s="4"/>
      <c r="O860" s="4"/>
      <c r="P860" s="4"/>
      <c r="Q860" s="4"/>
      <c r="R860" s="4"/>
    </row>
    <row r="861" spans="1:18" ht="17.399999999999999" x14ac:dyDescent="0.25">
      <c r="A861" s="4"/>
      <c r="B861" s="23"/>
      <c r="C861" s="4"/>
      <c r="D861" s="4"/>
      <c r="E861" s="5"/>
      <c r="F861" s="4"/>
      <c r="G861" s="4"/>
      <c r="H861" s="4"/>
      <c r="I861" s="4"/>
      <c r="J861" s="4"/>
      <c r="K861" s="4"/>
      <c r="L861" s="4"/>
      <c r="M861" s="4"/>
      <c r="N861" s="4"/>
      <c r="O861" s="4"/>
      <c r="P861" s="4"/>
      <c r="Q861" s="4"/>
      <c r="R861" s="4"/>
    </row>
    <row r="862" spans="1:18" ht="17.399999999999999" x14ac:dyDescent="0.25">
      <c r="A862" s="4"/>
      <c r="B862" s="23"/>
      <c r="C862" s="4"/>
      <c r="D862" s="4"/>
      <c r="E862" s="5"/>
      <c r="F862" s="4"/>
      <c r="G862" s="4"/>
      <c r="H862" s="4"/>
      <c r="I862" s="4"/>
      <c r="J862" s="4"/>
      <c r="K862" s="4"/>
      <c r="L862" s="4"/>
      <c r="M862" s="4"/>
      <c r="N862" s="4"/>
      <c r="O862" s="4"/>
      <c r="P862" s="4"/>
      <c r="Q862" s="4"/>
      <c r="R862" s="4"/>
    </row>
    <row r="863" spans="1:18" ht="17.399999999999999" x14ac:dyDescent="0.25">
      <c r="A863" s="4"/>
      <c r="B863" s="23"/>
      <c r="C863" s="4"/>
      <c r="D863" s="4"/>
      <c r="E863" s="5"/>
      <c r="F863" s="4"/>
      <c r="G863" s="4"/>
      <c r="H863" s="4"/>
      <c r="I863" s="4"/>
      <c r="J863" s="4"/>
      <c r="K863" s="4"/>
      <c r="L863" s="4"/>
      <c r="M863" s="4"/>
      <c r="N863" s="4"/>
      <c r="O863" s="4"/>
      <c r="P863" s="4"/>
      <c r="Q863" s="4"/>
      <c r="R863" s="4"/>
    </row>
    <row r="864" spans="1:18" ht="17.399999999999999" x14ac:dyDescent="0.25">
      <c r="A864" s="4"/>
      <c r="B864" s="23"/>
      <c r="C864" s="4"/>
      <c r="D864" s="4"/>
      <c r="E864" s="5"/>
      <c r="F864" s="4"/>
      <c r="G864" s="4"/>
      <c r="H864" s="4"/>
      <c r="I864" s="4"/>
      <c r="J864" s="4"/>
      <c r="K864" s="4"/>
      <c r="L864" s="4"/>
      <c r="M864" s="4"/>
      <c r="N864" s="4"/>
      <c r="O864" s="4"/>
      <c r="P864" s="4"/>
      <c r="Q864" s="4"/>
      <c r="R864" s="4"/>
    </row>
    <row r="865" spans="1:18" ht="17.399999999999999" x14ac:dyDescent="0.25">
      <c r="A865" s="4"/>
      <c r="B865" s="23"/>
      <c r="C865" s="4"/>
      <c r="D865" s="4"/>
      <c r="E865" s="5"/>
      <c r="F865" s="4"/>
      <c r="G865" s="4"/>
      <c r="H865" s="4"/>
      <c r="I865" s="4"/>
      <c r="J865" s="4"/>
      <c r="K865" s="4"/>
      <c r="L865" s="4"/>
      <c r="M865" s="4"/>
      <c r="N865" s="4"/>
      <c r="O865" s="4"/>
      <c r="P865" s="4"/>
      <c r="Q865" s="4"/>
      <c r="R865" s="4"/>
    </row>
    <row r="866" spans="1:18" ht="17.399999999999999" x14ac:dyDescent="0.25">
      <c r="A866" s="4"/>
      <c r="B866" s="23"/>
      <c r="C866" s="4"/>
      <c r="D866" s="4"/>
      <c r="E866" s="5"/>
      <c r="F866" s="4"/>
      <c r="G866" s="4"/>
      <c r="H866" s="4"/>
      <c r="I866" s="4"/>
      <c r="J866" s="4"/>
      <c r="K866" s="4"/>
      <c r="L866" s="4"/>
      <c r="M866" s="4"/>
      <c r="N866" s="4"/>
      <c r="O866" s="4"/>
      <c r="P866" s="4"/>
      <c r="Q866" s="4"/>
      <c r="R866" s="4"/>
    </row>
    <row r="867" spans="1:18" ht="17.399999999999999" x14ac:dyDescent="0.25">
      <c r="A867" s="4"/>
      <c r="B867" s="23"/>
      <c r="C867" s="4"/>
      <c r="D867" s="4"/>
      <c r="E867" s="5"/>
      <c r="F867" s="4"/>
      <c r="G867" s="4"/>
      <c r="H867" s="4"/>
      <c r="I867" s="4"/>
      <c r="J867" s="4"/>
      <c r="K867" s="4"/>
      <c r="L867" s="4"/>
      <c r="M867" s="4"/>
      <c r="N867" s="4"/>
      <c r="O867" s="4"/>
      <c r="P867" s="4"/>
      <c r="Q867" s="4"/>
      <c r="R867" s="4"/>
    </row>
    <row r="868" spans="1:18" ht="17.399999999999999" x14ac:dyDescent="0.25">
      <c r="A868" s="4"/>
      <c r="B868" s="23"/>
      <c r="C868" s="4"/>
      <c r="D868" s="4"/>
      <c r="E868" s="5"/>
      <c r="F868" s="4"/>
      <c r="G868" s="4"/>
      <c r="H868" s="4"/>
      <c r="I868" s="4"/>
      <c r="J868" s="4"/>
      <c r="K868" s="4"/>
      <c r="L868" s="4"/>
      <c r="M868" s="4"/>
      <c r="N868" s="4"/>
      <c r="O868" s="4"/>
      <c r="P868" s="4"/>
      <c r="Q868" s="4"/>
      <c r="R868" s="4"/>
    </row>
    <row r="869" spans="1:18" ht="17.399999999999999" x14ac:dyDescent="0.25">
      <c r="A869" s="4"/>
      <c r="B869" s="23"/>
      <c r="C869" s="4"/>
      <c r="D869" s="4"/>
      <c r="E869" s="5"/>
      <c r="F869" s="4"/>
      <c r="G869" s="4"/>
      <c r="H869" s="4"/>
      <c r="I869" s="4"/>
      <c r="J869" s="4"/>
      <c r="K869" s="4"/>
      <c r="L869" s="4"/>
      <c r="M869" s="4"/>
      <c r="N869" s="4"/>
      <c r="O869" s="4"/>
      <c r="P869" s="4"/>
      <c r="Q869" s="4"/>
      <c r="R869" s="4"/>
    </row>
    <row r="870" spans="1:18" ht="17.399999999999999" x14ac:dyDescent="0.25">
      <c r="A870" s="4"/>
      <c r="B870" s="23"/>
      <c r="C870" s="4"/>
      <c r="D870" s="4"/>
      <c r="E870" s="5"/>
      <c r="F870" s="4"/>
      <c r="G870" s="4"/>
      <c r="H870" s="4"/>
      <c r="I870" s="4"/>
      <c r="J870" s="4"/>
      <c r="K870" s="4"/>
      <c r="L870" s="4"/>
      <c r="M870" s="4"/>
      <c r="N870" s="4"/>
      <c r="O870" s="4"/>
      <c r="P870" s="4"/>
      <c r="Q870" s="4"/>
      <c r="R870" s="4"/>
    </row>
    <row r="871" spans="1:18" ht="17.399999999999999" x14ac:dyDescent="0.25">
      <c r="A871" s="4"/>
      <c r="B871" s="23"/>
      <c r="C871" s="4"/>
      <c r="D871" s="4"/>
      <c r="E871" s="5"/>
      <c r="F871" s="4"/>
      <c r="G871" s="4"/>
      <c r="H871" s="4"/>
      <c r="I871" s="4"/>
      <c r="J871" s="4"/>
      <c r="K871" s="4"/>
      <c r="L871" s="4"/>
      <c r="M871" s="4"/>
      <c r="N871" s="4"/>
      <c r="O871" s="4"/>
      <c r="P871" s="4"/>
      <c r="Q871" s="4"/>
      <c r="R871" s="4"/>
    </row>
    <row r="872" spans="1:18" ht="17.399999999999999" x14ac:dyDescent="0.25">
      <c r="A872" s="4"/>
      <c r="B872" s="23"/>
      <c r="C872" s="4"/>
      <c r="D872" s="4"/>
      <c r="E872" s="5"/>
      <c r="F872" s="4"/>
      <c r="G872" s="4"/>
      <c r="H872" s="4"/>
      <c r="I872" s="4"/>
      <c r="J872" s="4"/>
      <c r="K872" s="4"/>
      <c r="L872" s="4"/>
      <c r="M872" s="4"/>
      <c r="N872" s="4"/>
      <c r="O872" s="4"/>
      <c r="P872" s="4"/>
      <c r="Q872" s="4"/>
      <c r="R872" s="4"/>
    </row>
    <row r="873" spans="1:18" ht="17.399999999999999" x14ac:dyDescent="0.25">
      <c r="A873" s="4"/>
      <c r="B873" s="23"/>
      <c r="C873" s="4"/>
      <c r="D873" s="4"/>
      <c r="E873" s="5"/>
      <c r="F873" s="4"/>
      <c r="G873" s="4"/>
      <c r="H873" s="4"/>
      <c r="I873" s="4"/>
      <c r="J873" s="4"/>
      <c r="K873" s="4"/>
      <c r="L873" s="4"/>
      <c r="M873" s="4"/>
      <c r="N873" s="4"/>
      <c r="O873" s="4"/>
      <c r="P873" s="4"/>
      <c r="Q873" s="4"/>
      <c r="R873" s="4"/>
    </row>
    <row r="874" spans="1:18" ht="17.399999999999999" x14ac:dyDescent="0.25">
      <c r="A874" s="4"/>
      <c r="B874" s="23"/>
      <c r="C874" s="4"/>
      <c r="D874" s="4"/>
      <c r="E874" s="5"/>
      <c r="F874" s="4"/>
      <c r="G874" s="4"/>
      <c r="H874" s="4"/>
      <c r="I874" s="4"/>
      <c r="J874" s="4"/>
      <c r="K874" s="4"/>
      <c r="L874" s="4"/>
      <c r="M874" s="4"/>
      <c r="N874" s="4"/>
      <c r="O874" s="4"/>
      <c r="P874" s="4"/>
      <c r="Q874" s="4"/>
      <c r="R874" s="4"/>
    </row>
    <row r="875" spans="1:18" ht="17.399999999999999" x14ac:dyDescent="0.25">
      <c r="A875" s="4"/>
      <c r="B875" s="23"/>
      <c r="C875" s="4"/>
      <c r="D875" s="4"/>
      <c r="E875" s="5"/>
      <c r="F875" s="4"/>
      <c r="G875" s="4"/>
      <c r="H875" s="4"/>
      <c r="I875" s="4"/>
      <c r="J875" s="4"/>
      <c r="K875" s="4"/>
      <c r="L875" s="4"/>
      <c r="M875" s="4"/>
      <c r="N875" s="4"/>
      <c r="O875" s="4"/>
      <c r="P875" s="4"/>
      <c r="Q875" s="4"/>
      <c r="R875" s="4"/>
    </row>
    <row r="876" spans="1:18" ht="17.399999999999999" x14ac:dyDescent="0.25">
      <c r="A876" s="4"/>
      <c r="B876" s="23"/>
      <c r="C876" s="4"/>
      <c r="D876" s="4"/>
      <c r="E876" s="5"/>
      <c r="F876" s="4"/>
      <c r="G876" s="4"/>
      <c r="H876" s="4"/>
      <c r="I876" s="4"/>
      <c r="J876" s="4"/>
      <c r="K876" s="4"/>
      <c r="L876" s="4"/>
      <c r="M876" s="4"/>
      <c r="N876" s="4"/>
      <c r="O876" s="4"/>
      <c r="P876" s="4"/>
      <c r="Q876" s="4"/>
      <c r="R876" s="4"/>
    </row>
    <row r="877" spans="1:18" ht="17.399999999999999" x14ac:dyDescent="0.25">
      <c r="A877" s="4"/>
      <c r="B877" s="23"/>
      <c r="C877" s="4"/>
      <c r="D877" s="4"/>
      <c r="E877" s="5"/>
      <c r="F877" s="4"/>
      <c r="G877" s="4"/>
      <c r="H877" s="4"/>
      <c r="I877" s="4"/>
      <c r="J877" s="4"/>
      <c r="K877" s="4"/>
      <c r="L877" s="4"/>
      <c r="M877" s="4"/>
      <c r="N877" s="4"/>
      <c r="O877" s="4"/>
      <c r="P877" s="4"/>
      <c r="Q877" s="4"/>
      <c r="R877" s="4"/>
    </row>
    <row r="878" spans="1:18" ht="17.399999999999999" x14ac:dyDescent="0.25">
      <c r="A878" s="4"/>
      <c r="B878" s="23"/>
      <c r="C878" s="4"/>
      <c r="D878" s="4"/>
      <c r="E878" s="5"/>
      <c r="F878" s="4"/>
      <c r="G878" s="4"/>
      <c r="H878" s="4"/>
      <c r="I878" s="4"/>
      <c r="J878" s="4"/>
      <c r="K878" s="4"/>
      <c r="L878" s="4"/>
      <c r="M878" s="4"/>
      <c r="N878" s="4"/>
      <c r="O878" s="4"/>
      <c r="P878" s="4"/>
      <c r="Q878" s="4"/>
      <c r="R878" s="4"/>
    </row>
    <row r="879" spans="1:18" ht="17.399999999999999" x14ac:dyDescent="0.25">
      <c r="A879" s="4"/>
      <c r="B879" s="23"/>
      <c r="C879" s="4"/>
      <c r="D879" s="4"/>
      <c r="E879" s="5"/>
      <c r="F879" s="4"/>
      <c r="G879" s="4"/>
      <c r="H879" s="4"/>
      <c r="I879" s="4"/>
      <c r="J879" s="4"/>
      <c r="K879" s="4"/>
      <c r="L879" s="4"/>
      <c r="M879" s="4"/>
      <c r="N879" s="4"/>
      <c r="O879" s="4"/>
      <c r="P879" s="4"/>
      <c r="Q879" s="4"/>
      <c r="R879" s="4"/>
    </row>
    <row r="880" spans="1:18" ht="17.399999999999999" x14ac:dyDescent="0.25">
      <c r="A880" s="4"/>
      <c r="B880" s="23"/>
      <c r="C880" s="4"/>
      <c r="D880" s="4"/>
      <c r="E880" s="5"/>
      <c r="F880" s="4"/>
      <c r="G880" s="4"/>
      <c r="H880" s="4"/>
      <c r="I880" s="4"/>
      <c r="J880" s="4"/>
      <c r="K880" s="4"/>
      <c r="L880" s="4"/>
      <c r="M880" s="4"/>
      <c r="N880" s="4"/>
      <c r="O880" s="4"/>
      <c r="P880" s="4"/>
      <c r="Q880" s="4"/>
      <c r="R880" s="4"/>
    </row>
    <row r="881" spans="1:18" ht="17.399999999999999" x14ac:dyDescent="0.25">
      <c r="A881" s="4"/>
      <c r="B881" s="23"/>
      <c r="C881" s="4"/>
      <c r="D881" s="4"/>
      <c r="E881" s="5"/>
      <c r="F881" s="4"/>
      <c r="G881" s="4"/>
      <c r="H881" s="4"/>
      <c r="I881" s="4"/>
      <c r="J881" s="4"/>
      <c r="K881" s="4"/>
      <c r="L881" s="4"/>
      <c r="M881" s="4"/>
      <c r="N881" s="4"/>
      <c r="O881" s="4"/>
      <c r="P881" s="4"/>
      <c r="Q881" s="4"/>
      <c r="R881" s="4"/>
    </row>
    <row r="882" spans="1:18" ht="17.399999999999999" x14ac:dyDescent="0.25">
      <c r="A882" s="4"/>
      <c r="B882" s="23"/>
      <c r="C882" s="4"/>
      <c r="D882" s="4"/>
      <c r="E882" s="5"/>
      <c r="F882" s="4"/>
      <c r="G882" s="4"/>
      <c r="H882" s="4"/>
      <c r="I882" s="4"/>
      <c r="J882" s="4"/>
      <c r="K882" s="4"/>
      <c r="L882" s="4"/>
      <c r="M882" s="4"/>
      <c r="N882" s="4"/>
      <c r="O882" s="4"/>
      <c r="P882" s="4"/>
      <c r="Q882" s="4"/>
      <c r="R882" s="4"/>
    </row>
    <row r="883" spans="1:18" ht="17.399999999999999" x14ac:dyDescent="0.25">
      <c r="A883" s="4"/>
      <c r="B883" s="23"/>
      <c r="C883" s="4"/>
      <c r="D883" s="4"/>
      <c r="E883" s="5"/>
      <c r="F883" s="4"/>
      <c r="G883" s="4"/>
      <c r="H883" s="4"/>
      <c r="I883" s="4"/>
      <c r="J883" s="4"/>
      <c r="K883" s="4"/>
      <c r="L883" s="4"/>
      <c r="M883" s="4"/>
      <c r="N883" s="4"/>
      <c r="O883" s="4"/>
      <c r="P883" s="4"/>
      <c r="Q883" s="4"/>
      <c r="R883" s="4"/>
    </row>
    <row r="884" spans="1:18" ht="17.399999999999999" x14ac:dyDescent="0.25">
      <c r="A884" s="4"/>
      <c r="B884" s="23"/>
      <c r="C884" s="4"/>
      <c r="D884" s="4"/>
      <c r="E884" s="5"/>
      <c r="F884" s="4"/>
      <c r="G884" s="4"/>
      <c r="H884" s="4"/>
      <c r="I884" s="4"/>
      <c r="J884" s="4"/>
      <c r="K884" s="4"/>
      <c r="L884" s="4"/>
      <c r="M884" s="4"/>
      <c r="N884" s="4"/>
      <c r="O884" s="4"/>
      <c r="P884" s="4"/>
      <c r="Q884" s="4"/>
      <c r="R884" s="4"/>
    </row>
    <row r="885" spans="1:18" ht="17.399999999999999" x14ac:dyDescent="0.25">
      <c r="A885" s="4"/>
      <c r="B885" s="23"/>
      <c r="C885" s="4"/>
      <c r="D885" s="4"/>
      <c r="E885" s="5"/>
      <c r="F885" s="4"/>
      <c r="G885" s="4"/>
      <c r="H885" s="4"/>
      <c r="I885" s="4"/>
      <c r="J885" s="4"/>
      <c r="K885" s="4"/>
      <c r="L885" s="4"/>
      <c r="M885" s="4"/>
      <c r="N885" s="4"/>
      <c r="O885" s="4"/>
      <c r="P885" s="4"/>
      <c r="Q885" s="4"/>
      <c r="R885" s="4"/>
    </row>
    <row r="886" spans="1:18" ht="17.399999999999999" x14ac:dyDescent="0.25">
      <c r="A886" s="4"/>
      <c r="B886" s="23"/>
      <c r="C886" s="4"/>
      <c r="D886" s="4"/>
      <c r="E886" s="5"/>
      <c r="F886" s="4"/>
      <c r="G886" s="4"/>
      <c r="H886" s="4"/>
      <c r="I886" s="4"/>
      <c r="J886" s="4"/>
      <c r="K886" s="4"/>
      <c r="L886" s="4"/>
      <c r="M886" s="4"/>
      <c r="N886" s="4"/>
      <c r="O886" s="4"/>
      <c r="P886" s="4"/>
      <c r="Q886" s="4"/>
      <c r="R886" s="4"/>
    </row>
    <row r="887" spans="1:18" ht="17.399999999999999" x14ac:dyDescent="0.25">
      <c r="A887" s="4"/>
      <c r="B887" s="23"/>
      <c r="C887" s="4"/>
      <c r="D887" s="4"/>
      <c r="E887" s="5"/>
      <c r="F887" s="4"/>
      <c r="G887" s="4"/>
      <c r="H887" s="4"/>
      <c r="I887" s="4"/>
      <c r="J887" s="4"/>
      <c r="K887" s="4"/>
      <c r="L887" s="4"/>
      <c r="M887" s="4"/>
      <c r="N887" s="4"/>
      <c r="O887" s="4"/>
      <c r="P887" s="4"/>
      <c r="Q887" s="4"/>
      <c r="R887" s="4"/>
    </row>
    <row r="888" spans="1:18" ht="17.399999999999999" x14ac:dyDescent="0.25">
      <c r="A888" s="4"/>
      <c r="B888" s="23"/>
      <c r="C888" s="4"/>
      <c r="D888" s="4"/>
      <c r="E888" s="5"/>
      <c r="F888" s="4"/>
      <c r="G888" s="4"/>
      <c r="H888" s="4"/>
      <c r="I888" s="4"/>
      <c r="J888" s="4"/>
      <c r="K888" s="4"/>
      <c r="L888" s="4"/>
      <c r="M888" s="4"/>
      <c r="N888" s="4"/>
      <c r="O888" s="4"/>
      <c r="P888" s="4"/>
      <c r="Q888" s="4"/>
      <c r="R888" s="4"/>
    </row>
    <row r="889" spans="1:18" ht="17.399999999999999" x14ac:dyDescent="0.25">
      <c r="A889" s="4"/>
      <c r="B889" s="23"/>
      <c r="C889" s="4"/>
      <c r="D889" s="4"/>
      <c r="E889" s="5"/>
      <c r="F889" s="4"/>
      <c r="G889" s="4"/>
      <c r="H889" s="4"/>
      <c r="I889" s="4"/>
      <c r="J889" s="4"/>
      <c r="K889" s="4"/>
      <c r="L889" s="4"/>
      <c r="M889" s="4"/>
      <c r="N889" s="4"/>
      <c r="O889" s="4"/>
      <c r="P889" s="4"/>
      <c r="Q889" s="4"/>
      <c r="R889" s="4"/>
    </row>
    <row r="890" spans="1:18" ht="17.399999999999999" x14ac:dyDescent="0.25">
      <c r="A890" s="4"/>
      <c r="B890" s="23"/>
      <c r="C890" s="4"/>
      <c r="D890" s="4"/>
      <c r="E890" s="5"/>
      <c r="F890" s="4"/>
      <c r="G890" s="4"/>
      <c r="H890" s="4"/>
      <c r="I890" s="4"/>
      <c r="J890" s="4"/>
      <c r="K890" s="4"/>
      <c r="L890" s="4"/>
      <c r="M890" s="4"/>
      <c r="N890" s="4"/>
      <c r="O890" s="4"/>
      <c r="P890" s="4"/>
      <c r="Q890" s="4"/>
      <c r="R890" s="4"/>
    </row>
    <row r="891" spans="1:18" ht="17.399999999999999" x14ac:dyDescent="0.25">
      <c r="A891" s="4"/>
      <c r="B891" s="23"/>
      <c r="C891" s="4"/>
      <c r="D891" s="4"/>
      <c r="E891" s="5"/>
      <c r="F891" s="4"/>
      <c r="G891" s="4"/>
      <c r="H891" s="4"/>
      <c r="I891" s="4"/>
      <c r="J891" s="4"/>
      <c r="K891" s="4"/>
      <c r="L891" s="4"/>
      <c r="M891" s="4"/>
      <c r="N891" s="4"/>
      <c r="O891" s="4"/>
      <c r="P891" s="4"/>
      <c r="Q891" s="4"/>
      <c r="R891" s="4"/>
    </row>
    <row r="892" spans="1:18" ht="17.399999999999999" x14ac:dyDescent="0.25">
      <c r="A892" s="4"/>
      <c r="B892" s="23"/>
      <c r="C892" s="4"/>
      <c r="D892" s="4"/>
      <c r="E892" s="5"/>
      <c r="F892" s="4"/>
      <c r="G892" s="4"/>
      <c r="H892" s="4"/>
      <c r="I892" s="4"/>
      <c r="J892" s="4"/>
      <c r="K892" s="4"/>
      <c r="L892" s="4"/>
      <c r="M892" s="4"/>
      <c r="N892" s="4"/>
      <c r="O892" s="4"/>
      <c r="P892" s="4"/>
      <c r="Q892" s="4"/>
      <c r="R892" s="4"/>
    </row>
    <row r="893" spans="1:18" ht="17.399999999999999" x14ac:dyDescent="0.25">
      <c r="A893" s="4"/>
      <c r="B893" s="23"/>
      <c r="C893" s="4"/>
      <c r="D893" s="4"/>
      <c r="E893" s="5"/>
      <c r="F893" s="4"/>
      <c r="G893" s="4"/>
      <c r="H893" s="4"/>
      <c r="I893" s="4"/>
      <c r="J893" s="4"/>
      <c r="K893" s="4"/>
      <c r="L893" s="4"/>
      <c r="M893" s="4"/>
      <c r="N893" s="4"/>
      <c r="O893" s="4"/>
      <c r="P893" s="4"/>
      <c r="Q893" s="4"/>
      <c r="R893" s="4"/>
    </row>
    <row r="894" spans="1:18" ht="17.399999999999999" x14ac:dyDescent="0.25">
      <c r="A894" s="4"/>
      <c r="B894" s="23"/>
      <c r="C894" s="4"/>
      <c r="D894" s="4"/>
      <c r="E894" s="5"/>
      <c r="F894" s="4"/>
      <c r="G894" s="4"/>
      <c r="H894" s="4"/>
      <c r="I894" s="4"/>
      <c r="J894" s="4"/>
      <c r="K894" s="4"/>
      <c r="L894" s="4"/>
      <c r="M894" s="4"/>
      <c r="N894" s="4"/>
      <c r="O894" s="4"/>
      <c r="P894" s="4"/>
      <c r="Q894" s="4"/>
      <c r="R894" s="4"/>
    </row>
    <row r="895" spans="1:18" ht="17.399999999999999" x14ac:dyDescent="0.25">
      <c r="A895" s="4"/>
      <c r="B895" s="23"/>
      <c r="C895" s="4"/>
      <c r="D895" s="4"/>
      <c r="E895" s="5"/>
      <c r="F895" s="4"/>
      <c r="G895" s="4"/>
      <c r="H895" s="4"/>
      <c r="I895" s="4"/>
      <c r="J895" s="4"/>
      <c r="K895" s="4"/>
      <c r="L895" s="4"/>
      <c r="M895" s="4"/>
      <c r="N895" s="4"/>
      <c r="O895" s="4"/>
      <c r="P895" s="4"/>
      <c r="Q895" s="4"/>
      <c r="R895" s="4"/>
    </row>
    <row r="896" spans="1:18" ht="17.399999999999999" x14ac:dyDescent="0.25">
      <c r="A896" s="4"/>
      <c r="B896" s="23"/>
      <c r="C896" s="4"/>
      <c r="D896" s="4"/>
      <c r="E896" s="5"/>
      <c r="F896" s="4"/>
      <c r="G896" s="4"/>
      <c r="H896" s="4"/>
      <c r="I896" s="4"/>
      <c r="J896" s="4"/>
      <c r="K896" s="4"/>
      <c r="L896" s="4"/>
      <c r="M896" s="4"/>
      <c r="N896" s="4"/>
      <c r="O896" s="4"/>
      <c r="P896" s="4"/>
      <c r="Q896" s="4"/>
      <c r="R896" s="4"/>
    </row>
    <row r="897" spans="1:18" ht="17.399999999999999" x14ac:dyDescent="0.25">
      <c r="A897" s="4"/>
      <c r="B897" s="23"/>
      <c r="C897" s="4"/>
      <c r="D897" s="4"/>
      <c r="E897" s="5"/>
      <c r="F897" s="4"/>
      <c r="G897" s="4"/>
      <c r="H897" s="4"/>
      <c r="I897" s="4"/>
      <c r="J897" s="4"/>
      <c r="K897" s="4"/>
      <c r="L897" s="4"/>
      <c r="M897" s="4"/>
      <c r="N897" s="4"/>
      <c r="O897" s="4"/>
      <c r="P897" s="4"/>
      <c r="Q897" s="4"/>
      <c r="R897" s="4"/>
    </row>
    <row r="898" spans="1:18" ht="17.399999999999999" x14ac:dyDescent="0.25">
      <c r="A898" s="4"/>
      <c r="B898" s="23"/>
      <c r="C898" s="4"/>
      <c r="D898" s="4"/>
      <c r="E898" s="5"/>
      <c r="F898" s="4"/>
      <c r="G898" s="4"/>
      <c r="H898" s="4"/>
      <c r="I898" s="4"/>
      <c r="J898" s="4"/>
      <c r="K898" s="4"/>
      <c r="L898" s="4"/>
      <c r="M898" s="4"/>
      <c r="N898" s="4"/>
      <c r="O898" s="4"/>
      <c r="P898" s="4"/>
      <c r="Q898" s="4"/>
      <c r="R898" s="4"/>
    </row>
    <row r="899" spans="1:18" ht="17.399999999999999" x14ac:dyDescent="0.25">
      <c r="A899" s="4"/>
      <c r="B899" s="23"/>
      <c r="C899" s="4"/>
      <c r="D899" s="4"/>
      <c r="E899" s="5"/>
      <c r="F899" s="4"/>
      <c r="G899" s="4"/>
      <c r="H899" s="4"/>
      <c r="I899" s="4"/>
      <c r="J899" s="4"/>
      <c r="K899" s="4"/>
      <c r="L899" s="4"/>
      <c r="M899" s="4"/>
      <c r="N899" s="4"/>
      <c r="O899" s="4"/>
      <c r="P899" s="4"/>
      <c r="Q899" s="4"/>
      <c r="R899" s="4"/>
    </row>
    <row r="900" spans="1:18" ht="17.399999999999999" x14ac:dyDescent="0.25">
      <c r="A900" s="4"/>
      <c r="B900" s="23"/>
      <c r="C900" s="4"/>
      <c r="D900" s="4"/>
      <c r="E900" s="5"/>
      <c r="F900" s="4"/>
      <c r="G900" s="4"/>
      <c r="H900" s="4"/>
      <c r="I900" s="4"/>
      <c r="J900" s="4"/>
      <c r="K900" s="4"/>
      <c r="L900" s="4"/>
      <c r="M900" s="4"/>
      <c r="N900" s="4"/>
      <c r="O900" s="4"/>
      <c r="P900" s="4"/>
      <c r="Q900" s="4"/>
      <c r="R900" s="4"/>
    </row>
    <row r="901" spans="1:18" ht="17.399999999999999" x14ac:dyDescent="0.25">
      <c r="A901" s="4"/>
      <c r="B901" s="23"/>
      <c r="C901" s="4"/>
      <c r="D901" s="4"/>
      <c r="E901" s="5"/>
      <c r="F901" s="4"/>
      <c r="G901" s="4"/>
      <c r="H901" s="4"/>
      <c r="I901" s="4"/>
      <c r="J901" s="4"/>
      <c r="K901" s="4"/>
      <c r="L901" s="4"/>
      <c r="M901" s="4"/>
      <c r="N901" s="4"/>
      <c r="O901" s="4"/>
      <c r="P901" s="4"/>
      <c r="Q901" s="4"/>
      <c r="R901" s="4"/>
    </row>
    <row r="902" spans="1:18" ht="17.399999999999999" x14ac:dyDescent="0.25">
      <c r="A902" s="4"/>
      <c r="B902" s="23"/>
      <c r="C902" s="4"/>
      <c r="D902" s="4"/>
      <c r="E902" s="5"/>
      <c r="F902" s="4"/>
      <c r="G902" s="4"/>
      <c r="H902" s="4"/>
      <c r="I902" s="4"/>
      <c r="J902" s="4"/>
      <c r="K902" s="4"/>
      <c r="L902" s="4"/>
      <c r="M902" s="4"/>
      <c r="N902" s="4"/>
      <c r="O902" s="4"/>
      <c r="P902" s="4"/>
      <c r="Q902" s="4"/>
      <c r="R902" s="4"/>
    </row>
    <row r="903" spans="1:18" ht="17.399999999999999" x14ac:dyDescent="0.25">
      <c r="A903" s="4"/>
      <c r="B903" s="23"/>
      <c r="C903" s="4"/>
      <c r="D903" s="4"/>
      <c r="E903" s="5"/>
      <c r="F903" s="4"/>
      <c r="G903" s="4"/>
      <c r="H903" s="4"/>
      <c r="I903" s="4"/>
      <c r="J903" s="4"/>
      <c r="K903" s="4"/>
      <c r="L903" s="4"/>
      <c r="M903" s="4"/>
      <c r="N903" s="4"/>
      <c r="O903" s="4"/>
      <c r="P903" s="4"/>
      <c r="Q903" s="4"/>
      <c r="R903" s="4"/>
    </row>
    <row r="904" spans="1:18" ht="17.399999999999999" x14ac:dyDescent="0.25">
      <c r="A904" s="4"/>
      <c r="B904" s="23"/>
      <c r="C904" s="4"/>
      <c r="D904" s="4"/>
      <c r="E904" s="5"/>
      <c r="F904" s="4"/>
      <c r="G904" s="4"/>
      <c r="H904" s="4"/>
      <c r="I904" s="4"/>
      <c r="J904" s="4"/>
      <c r="K904" s="4"/>
      <c r="L904" s="4"/>
      <c r="M904" s="4"/>
      <c r="N904" s="4"/>
      <c r="O904" s="4"/>
      <c r="P904" s="4"/>
      <c r="Q904" s="4"/>
      <c r="R904" s="4"/>
    </row>
    <row r="905" spans="1:18" ht="17.399999999999999" x14ac:dyDescent="0.25">
      <c r="A905" s="4"/>
      <c r="B905" s="23"/>
      <c r="C905" s="4"/>
      <c r="D905" s="4"/>
      <c r="E905" s="5"/>
      <c r="F905" s="4"/>
      <c r="G905" s="4"/>
      <c r="H905" s="4"/>
      <c r="I905" s="4"/>
      <c r="J905" s="4"/>
      <c r="K905" s="4"/>
      <c r="L905" s="4"/>
      <c r="M905" s="4"/>
      <c r="N905" s="4"/>
      <c r="O905" s="4"/>
      <c r="P905" s="4"/>
      <c r="Q905" s="4"/>
      <c r="R905" s="4"/>
    </row>
    <row r="906" spans="1:18" ht="17.399999999999999" x14ac:dyDescent="0.25">
      <c r="A906" s="4"/>
      <c r="B906" s="23"/>
      <c r="C906" s="4"/>
      <c r="D906" s="4"/>
      <c r="E906" s="5"/>
      <c r="F906" s="4"/>
      <c r="G906" s="4"/>
      <c r="H906" s="4"/>
      <c r="I906" s="4"/>
      <c r="J906" s="4"/>
      <c r="K906" s="4"/>
      <c r="L906" s="4"/>
      <c r="M906" s="4"/>
      <c r="N906" s="4"/>
      <c r="O906" s="4"/>
      <c r="P906" s="4"/>
      <c r="Q906" s="4"/>
      <c r="R906" s="4"/>
    </row>
    <row r="907" spans="1:18" ht="17.399999999999999" x14ac:dyDescent="0.25">
      <c r="A907" s="4"/>
      <c r="B907" s="23"/>
      <c r="C907" s="4"/>
      <c r="D907" s="4"/>
      <c r="E907" s="5"/>
      <c r="F907" s="4"/>
      <c r="G907" s="4"/>
      <c r="H907" s="4"/>
      <c r="I907" s="4"/>
      <c r="J907" s="4"/>
      <c r="K907" s="4"/>
      <c r="L907" s="4"/>
      <c r="M907" s="4"/>
      <c r="N907" s="4"/>
      <c r="O907" s="4"/>
      <c r="P907" s="4"/>
      <c r="Q907" s="4"/>
      <c r="R907" s="4"/>
    </row>
    <row r="908" spans="1:18" ht="17.399999999999999" x14ac:dyDescent="0.25">
      <c r="A908" s="4"/>
      <c r="B908" s="23"/>
      <c r="C908" s="4"/>
      <c r="D908" s="4"/>
      <c r="E908" s="5"/>
      <c r="F908" s="4"/>
      <c r="G908" s="4"/>
      <c r="H908" s="4"/>
      <c r="I908" s="4"/>
      <c r="J908" s="4"/>
      <c r="K908" s="4"/>
      <c r="L908" s="4"/>
      <c r="M908" s="4"/>
      <c r="N908" s="4"/>
      <c r="O908" s="4"/>
      <c r="P908" s="4"/>
      <c r="Q908" s="4"/>
      <c r="R908" s="4"/>
    </row>
    <row r="909" spans="1:18" ht="17.399999999999999" x14ac:dyDescent="0.25">
      <c r="A909" s="4"/>
      <c r="B909" s="23"/>
      <c r="C909" s="4"/>
      <c r="D909" s="4"/>
      <c r="E909" s="5"/>
      <c r="F909" s="4"/>
      <c r="G909" s="4"/>
      <c r="H909" s="4"/>
      <c r="I909" s="4"/>
      <c r="J909" s="4"/>
      <c r="K909" s="4"/>
      <c r="L909" s="4"/>
      <c r="M909" s="4"/>
      <c r="N909" s="4"/>
      <c r="O909" s="4"/>
      <c r="P909" s="4"/>
      <c r="Q909" s="4"/>
      <c r="R909" s="4"/>
    </row>
    <row r="910" spans="1:18" ht="17.399999999999999" x14ac:dyDescent="0.25">
      <c r="A910" s="4"/>
      <c r="B910" s="23"/>
      <c r="C910" s="4"/>
      <c r="D910" s="4"/>
      <c r="E910" s="5"/>
      <c r="F910" s="4"/>
      <c r="G910" s="4"/>
      <c r="H910" s="4"/>
      <c r="I910" s="4"/>
      <c r="J910" s="4"/>
      <c r="K910" s="4"/>
      <c r="L910" s="4"/>
      <c r="M910" s="4"/>
      <c r="N910" s="4"/>
      <c r="O910" s="4"/>
      <c r="P910" s="4"/>
      <c r="Q910" s="4"/>
      <c r="R910" s="4"/>
    </row>
    <row r="911" spans="1:18" ht="17.399999999999999" x14ac:dyDescent="0.25">
      <c r="A911" s="4"/>
      <c r="B911" s="23"/>
      <c r="C911" s="4"/>
      <c r="D911" s="4"/>
      <c r="E911" s="5"/>
      <c r="F911" s="4"/>
      <c r="G911" s="4"/>
      <c r="H911" s="4"/>
      <c r="I911" s="4"/>
      <c r="J911" s="4"/>
      <c r="K911" s="4"/>
      <c r="L911" s="4"/>
      <c r="M911" s="4"/>
      <c r="N911" s="4"/>
      <c r="O911" s="4"/>
      <c r="P911" s="4"/>
      <c r="Q911" s="4"/>
      <c r="R911" s="4"/>
    </row>
    <row r="912" spans="1:18" ht="17.399999999999999" x14ac:dyDescent="0.25">
      <c r="A912" s="4"/>
      <c r="B912" s="23"/>
      <c r="C912" s="4"/>
      <c r="D912" s="4"/>
      <c r="E912" s="5"/>
      <c r="F912" s="4"/>
      <c r="G912" s="4"/>
      <c r="H912" s="4"/>
      <c r="I912" s="4"/>
      <c r="J912" s="4"/>
      <c r="K912" s="4"/>
      <c r="L912" s="4"/>
      <c r="M912" s="4"/>
      <c r="N912" s="4"/>
      <c r="O912" s="4"/>
      <c r="P912" s="4"/>
      <c r="Q912" s="4"/>
      <c r="R912" s="4"/>
    </row>
    <row r="913" spans="1:18" ht="17.399999999999999" x14ac:dyDescent="0.25">
      <c r="A913" s="4"/>
      <c r="B913" s="23"/>
      <c r="C913" s="4"/>
      <c r="D913" s="4"/>
      <c r="E913" s="5"/>
      <c r="F913" s="4"/>
      <c r="G913" s="4"/>
      <c r="H913" s="4"/>
      <c r="I913" s="4"/>
      <c r="J913" s="4"/>
      <c r="K913" s="4"/>
      <c r="L913" s="4"/>
      <c r="M913" s="4"/>
      <c r="N913" s="4"/>
      <c r="O913" s="4"/>
      <c r="P913" s="4"/>
      <c r="Q913" s="4"/>
      <c r="R913" s="4"/>
    </row>
    <row r="914" spans="1:18" ht="17.399999999999999" x14ac:dyDescent="0.25">
      <c r="A914" s="4"/>
      <c r="B914" s="23"/>
      <c r="C914" s="4"/>
      <c r="D914" s="4"/>
      <c r="E914" s="5"/>
      <c r="F914" s="4"/>
      <c r="G914" s="4"/>
      <c r="H914" s="4"/>
      <c r="I914" s="4"/>
      <c r="J914" s="4"/>
      <c r="K914" s="4"/>
      <c r="L914" s="4"/>
      <c r="M914" s="4"/>
      <c r="N914" s="4"/>
      <c r="O914" s="4"/>
      <c r="P914" s="4"/>
      <c r="Q914" s="4"/>
      <c r="R914" s="4"/>
    </row>
    <row r="915" spans="1:18" ht="17.399999999999999" x14ac:dyDescent="0.25">
      <c r="A915" s="4"/>
      <c r="B915" s="23"/>
      <c r="C915" s="4"/>
      <c r="D915" s="4"/>
      <c r="E915" s="5"/>
      <c r="F915" s="4"/>
      <c r="G915" s="4"/>
      <c r="H915" s="4"/>
      <c r="I915" s="4"/>
      <c r="J915" s="4"/>
      <c r="K915" s="4"/>
      <c r="L915" s="4"/>
      <c r="M915" s="4"/>
      <c r="N915" s="4"/>
      <c r="O915" s="4"/>
      <c r="P915" s="4"/>
      <c r="Q915" s="4"/>
      <c r="R915" s="4"/>
    </row>
    <row r="916" spans="1:18" ht="17.399999999999999" x14ac:dyDescent="0.25">
      <c r="A916" s="4"/>
      <c r="B916" s="23"/>
      <c r="C916" s="4"/>
      <c r="D916" s="4"/>
      <c r="E916" s="5"/>
      <c r="F916" s="4"/>
      <c r="G916" s="4"/>
      <c r="H916" s="4"/>
      <c r="I916" s="4"/>
      <c r="J916" s="4"/>
      <c r="K916" s="4"/>
      <c r="L916" s="4"/>
      <c r="M916" s="4"/>
      <c r="N916" s="4"/>
      <c r="O916" s="4"/>
      <c r="P916" s="4"/>
      <c r="Q916" s="4"/>
      <c r="R916" s="4"/>
    </row>
    <row r="917" spans="1:18" ht="17.399999999999999" x14ac:dyDescent="0.25">
      <c r="A917" s="4"/>
      <c r="B917" s="23"/>
      <c r="C917" s="4"/>
      <c r="D917" s="4"/>
      <c r="E917" s="5"/>
      <c r="F917" s="4"/>
      <c r="G917" s="4"/>
      <c r="H917" s="4"/>
      <c r="I917" s="4"/>
      <c r="J917" s="4"/>
      <c r="K917" s="4"/>
      <c r="L917" s="4"/>
      <c r="M917" s="4"/>
      <c r="N917" s="4"/>
      <c r="O917" s="4"/>
      <c r="P917" s="4"/>
      <c r="Q917" s="4"/>
      <c r="R917" s="4"/>
    </row>
    <row r="918" spans="1:18" ht="17.399999999999999" x14ac:dyDescent="0.25">
      <c r="A918" s="4"/>
      <c r="B918" s="23"/>
      <c r="C918" s="4"/>
      <c r="D918" s="4"/>
      <c r="E918" s="5"/>
      <c r="F918" s="4"/>
      <c r="G918" s="4"/>
      <c r="H918" s="4"/>
      <c r="I918" s="4"/>
      <c r="J918" s="4"/>
      <c r="K918" s="4"/>
      <c r="L918" s="4"/>
      <c r="M918" s="4"/>
      <c r="N918" s="4"/>
      <c r="O918" s="4"/>
      <c r="P918" s="4"/>
      <c r="Q918" s="4"/>
      <c r="R918" s="4"/>
    </row>
    <row r="919" spans="1:18" ht="17.399999999999999" x14ac:dyDescent="0.25">
      <c r="A919" s="4"/>
      <c r="B919" s="23"/>
      <c r="C919" s="4"/>
      <c r="D919" s="4"/>
      <c r="E919" s="5"/>
      <c r="F919" s="4"/>
      <c r="G919" s="4"/>
      <c r="H919" s="4"/>
      <c r="I919" s="4"/>
      <c r="J919" s="4"/>
      <c r="K919" s="4"/>
      <c r="L919" s="4"/>
      <c r="M919" s="4"/>
      <c r="N919" s="4"/>
      <c r="O919" s="4"/>
      <c r="P919" s="4"/>
      <c r="Q919" s="4"/>
      <c r="R919" s="4"/>
    </row>
    <row r="920" spans="1:18" ht="17.399999999999999" x14ac:dyDescent="0.25">
      <c r="A920" s="4"/>
      <c r="B920" s="23"/>
      <c r="C920" s="4"/>
      <c r="D920" s="4"/>
      <c r="E920" s="5"/>
      <c r="F920" s="4"/>
      <c r="G920" s="4"/>
      <c r="H920" s="4"/>
      <c r="I920" s="4"/>
      <c r="J920" s="4"/>
      <c r="K920" s="4"/>
      <c r="L920" s="4"/>
      <c r="M920" s="4"/>
      <c r="N920" s="4"/>
      <c r="O920" s="4"/>
      <c r="P920" s="4"/>
      <c r="Q920" s="4"/>
      <c r="R920" s="4"/>
    </row>
    <row r="921" spans="1:18" ht="17.399999999999999" x14ac:dyDescent="0.25">
      <c r="A921" s="4"/>
      <c r="B921" s="23"/>
      <c r="C921" s="4"/>
      <c r="D921" s="4"/>
      <c r="E921" s="5"/>
      <c r="F921" s="4"/>
      <c r="G921" s="4"/>
      <c r="H921" s="4"/>
      <c r="I921" s="4"/>
      <c r="J921" s="4"/>
      <c r="K921" s="4"/>
      <c r="L921" s="4"/>
      <c r="M921" s="4"/>
      <c r="N921" s="4"/>
      <c r="O921" s="4"/>
      <c r="P921" s="4"/>
      <c r="Q921" s="4"/>
      <c r="R921" s="4"/>
    </row>
    <row r="922" spans="1:18" ht="17.399999999999999" x14ac:dyDescent="0.25">
      <c r="A922" s="4"/>
      <c r="B922" s="23"/>
      <c r="C922" s="4"/>
      <c r="D922" s="4"/>
      <c r="E922" s="5"/>
      <c r="F922" s="4"/>
      <c r="G922" s="4"/>
      <c r="H922" s="4"/>
      <c r="I922" s="4"/>
      <c r="J922" s="4"/>
      <c r="K922" s="4"/>
      <c r="L922" s="4"/>
      <c r="M922" s="4"/>
      <c r="N922" s="4"/>
      <c r="O922" s="4"/>
      <c r="P922" s="4"/>
      <c r="Q922" s="4"/>
      <c r="R922" s="4"/>
    </row>
    <row r="923" spans="1:18" ht="17.399999999999999" x14ac:dyDescent="0.25">
      <c r="A923" s="4"/>
      <c r="B923" s="23"/>
      <c r="C923" s="4"/>
      <c r="D923" s="4"/>
      <c r="E923" s="5"/>
      <c r="F923" s="4"/>
      <c r="G923" s="4"/>
      <c r="H923" s="4"/>
      <c r="I923" s="4"/>
      <c r="J923" s="4"/>
      <c r="K923" s="4"/>
      <c r="L923" s="4"/>
      <c r="M923" s="4"/>
      <c r="N923" s="4"/>
      <c r="O923" s="4"/>
      <c r="P923" s="4"/>
      <c r="Q923" s="4"/>
      <c r="R923" s="4"/>
    </row>
    <row r="924" spans="1:18" ht="17.399999999999999" x14ac:dyDescent="0.25">
      <c r="A924" s="4"/>
      <c r="B924" s="23"/>
      <c r="C924" s="4"/>
      <c r="D924" s="4"/>
      <c r="E924" s="5"/>
      <c r="F924" s="4"/>
      <c r="G924" s="4"/>
      <c r="H924" s="4"/>
      <c r="I924" s="4"/>
      <c r="J924" s="4"/>
      <c r="K924" s="4"/>
      <c r="L924" s="4"/>
      <c r="M924" s="4"/>
      <c r="N924" s="4"/>
      <c r="O924" s="4"/>
      <c r="P924" s="4"/>
      <c r="Q924" s="4"/>
      <c r="R924" s="4"/>
    </row>
    <row r="925" spans="1:18" ht="17.399999999999999" x14ac:dyDescent="0.25">
      <c r="A925" s="4"/>
      <c r="B925" s="23"/>
      <c r="C925" s="4"/>
      <c r="D925" s="4"/>
      <c r="E925" s="5"/>
      <c r="F925" s="4"/>
      <c r="G925" s="4"/>
      <c r="H925" s="4"/>
      <c r="I925" s="4"/>
      <c r="J925" s="4"/>
      <c r="K925" s="4"/>
      <c r="L925" s="4"/>
      <c r="M925" s="4"/>
      <c r="N925" s="4"/>
      <c r="O925" s="4"/>
      <c r="P925" s="4"/>
      <c r="Q925" s="4"/>
      <c r="R925" s="4"/>
    </row>
    <row r="926" spans="1:18" ht="17.399999999999999" x14ac:dyDescent="0.25">
      <c r="A926" s="4"/>
      <c r="B926" s="23"/>
      <c r="C926" s="4"/>
      <c r="D926" s="4"/>
      <c r="E926" s="5"/>
      <c r="F926" s="4"/>
      <c r="G926" s="4"/>
      <c r="H926" s="4"/>
      <c r="I926" s="4"/>
      <c r="J926" s="4"/>
      <c r="K926" s="4"/>
      <c r="L926" s="4"/>
      <c r="M926" s="4"/>
      <c r="N926" s="4"/>
      <c r="O926" s="4"/>
      <c r="P926" s="4"/>
      <c r="Q926" s="4"/>
      <c r="R926" s="4"/>
    </row>
    <row r="927" spans="1:18" ht="17.399999999999999" x14ac:dyDescent="0.25">
      <c r="A927" s="4"/>
      <c r="B927" s="23"/>
      <c r="C927" s="4"/>
      <c r="D927" s="4"/>
      <c r="E927" s="5"/>
      <c r="F927" s="4"/>
      <c r="G927" s="4"/>
      <c r="H927" s="4"/>
      <c r="I927" s="4"/>
      <c r="J927" s="4"/>
      <c r="K927" s="4"/>
      <c r="L927" s="4"/>
      <c r="M927" s="4"/>
      <c r="N927" s="4"/>
      <c r="O927" s="4"/>
      <c r="P927" s="4"/>
      <c r="Q927" s="4"/>
      <c r="R927" s="4"/>
    </row>
    <row r="928" spans="1:18" ht="17.399999999999999" x14ac:dyDescent="0.25">
      <c r="A928" s="4"/>
      <c r="B928" s="23"/>
      <c r="C928" s="4"/>
      <c r="D928" s="4"/>
      <c r="E928" s="5"/>
      <c r="F928" s="4"/>
      <c r="G928" s="4"/>
      <c r="H928" s="4"/>
      <c r="I928" s="4"/>
      <c r="J928" s="4"/>
      <c r="K928" s="4"/>
      <c r="L928" s="4"/>
      <c r="M928" s="4"/>
      <c r="N928" s="4"/>
      <c r="O928" s="4"/>
      <c r="P928" s="4"/>
      <c r="Q928" s="4"/>
      <c r="R928" s="4"/>
    </row>
    <row r="929" spans="1:18" ht="17.399999999999999" x14ac:dyDescent="0.25">
      <c r="A929" s="4"/>
      <c r="B929" s="23"/>
      <c r="C929" s="4"/>
      <c r="D929" s="4"/>
      <c r="E929" s="5"/>
      <c r="F929" s="4"/>
      <c r="G929" s="4"/>
      <c r="H929" s="4"/>
      <c r="I929" s="4"/>
      <c r="J929" s="4"/>
      <c r="K929" s="4"/>
      <c r="L929" s="4"/>
      <c r="M929" s="4"/>
      <c r="N929" s="4"/>
      <c r="O929" s="4"/>
      <c r="P929" s="4"/>
      <c r="Q929" s="4"/>
      <c r="R929" s="4"/>
    </row>
    <row r="930" spans="1:18" ht="17.399999999999999" x14ac:dyDescent="0.25">
      <c r="A930" s="4"/>
      <c r="B930" s="23"/>
      <c r="C930" s="4"/>
      <c r="D930" s="4"/>
      <c r="E930" s="5"/>
      <c r="F930" s="4"/>
      <c r="G930" s="4"/>
      <c r="H930" s="4"/>
      <c r="I930" s="4"/>
      <c r="J930" s="4"/>
      <c r="K930" s="4"/>
      <c r="L930" s="4"/>
      <c r="M930" s="4"/>
      <c r="N930" s="4"/>
      <c r="O930" s="4"/>
      <c r="P930" s="4"/>
      <c r="Q930" s="4"/>
      <c r="R930" s="4"/>
    </row>
    <row r="931" spans="1:18" ht="17.399999999999999" x14ac:dyDescent="0.25">
      <c r="A931" s="4"/>
      <c r="B931" s="23"/>
      <c r="C931" s="4"/>
      <c r="D931" s="4"/>
      <c r="E931" s="5"/>
      <c r="F931" s="4"/>
      <c r="G931" s="4"/>
      <c r="H931" s="4"/>
      <c r="I931" s="4"/>
      <c r="J931" s="4"/>
      <c r="K931" s="4"/>
      <c r="L931" s="4"/>
      <c r="M931" s="4"/>
      <c r="N931" s="4"/>
      <c r="O931" s="4"/>
      <c r="P931" s="4"/>
      <c r="Q931" s="4"/>
      <c r="R931" s="4"/>
    </row>
    <row r="932" spans="1:18" ht="17.399999999999999" x14ac:dyDescent="0.25">
      <c r="A932" s="4"/>
      <c r="B932" s="23"/>
      <c r="C932" s="4"/>
      <c r="D932" s="4"/>
      <c r="E932" s="5"/>
      <c r="F932" s="4"/>
      <c r="G932" s="4"/>
      <c r="H932" s="4"/>
      <c r="I932" s="4"/>
      <c r="J932" s="4"/>
      <c r="K932" s="4"/>
      <c r="L932" s="4"/>
      <c r="M932" s="4"/>
      <c r="N932" s="4"/>
      <c r="O932" s="4"/>
      <c r="P932" s="4"/>
      <c r="Q932" s="4"/>
      <c r="R932" s="4"/>
    </row>
    <row r="933" spans="1:18" ht="17.399999999999999" x14ac:dyDescent="0.25">
      <c r="A933" s="4"/>
      <c r="B933" s="23"/>
      <c r="C933" s="4"/>
      <c r="D933" s="4"/>
      <c r="E933" s="5"/>
      <c r="F933" s="4"/>
      <c r="G933" s="4"/>
      <c r="H933" s="4"/>
      <c r="I933" s="4"/>
      <c r="J933" s="4"/>
      <c r="K933" s="4"/>
      <c r="L933" s="4"/>
      <c r="M933" s="4"/>
      <c r="N933" s="4"/>
      <c r="O933" s="4"/>
      <c r="P933" s="4"/>
      <c r="Q933" s="4"/>
      <c r="R933" s="4"/>
    </row>
    <row r="934" spans="1:18" ht="17.399999999999999" x14ac:dyDescent="0.25">
      <c r="A934" s="4"/>
      <c r="B934" s="23"/>
      <c r="C934" s="4"/>
      <c r="D934" s="4"/>
      <c r="E934" s="5"/>
      <c r="F934" s="4"/>
      <c r="G934" s="4"/>
      <c r="H934" s="4"/>
      <c r="I934" s="4"/>
      <c r="J934" s="4"/>
      <c r="K934" s="4"/>
      <c r="L934" s="4"/>
      <c r="M934" s="4"/>
      <c r="N934" s="4"/>
      <c r="O934" s="4"/>
      <c r="P934" s="4"/>
      <c r="Q934" s="4"/>
      <c r="R934" s="4"/>
    </row>
    <row r="935" spans="1:18" ht="17.399999999999999" x14ac:dyDescent="0.25">
      <c r="A935" s="4"/>
      <c r="B935" s="23"/>
      <c r="C935" s="4"/>
      <c r="D935" s="4"/>
      <c r="E935" s="5"/>
      <c r="F935" s="4"/>
      <c r="G935" s="4"/>
      <c r="H935" s="4"/>
      <c r="I935" s="4"/>
      <c r="J935" s="4"/>
      <c r="K935" s="4"/>
      <c r="L935" s="4"/>
      <c r="M935" s="4"/>
      <c r="N935" s="4"/>
      <c r="O935" s="4"/>
      <c r="P935" s="4"/>
      <c r="Q935" s="4"/>
      <c r="R935" s="4"/>
    </row>
    <row r="936" spans="1:18" ht="17.399999999999999" x14ac:dyDescent="0.25">
      <c r="A936" s="4"/>
      <c r="B936" s="23"/>
      <c r="C936" s="4"/>
      <c r="D936" s="4"/>
      <c r="E936" s="5"/>
      <c r="F936" s="4"/>
      <c r="G936" s="4"/>
      <c r="H936" s="4"/>
      <c r="I936" s="4"/>
      <c r="J936" s="4"/>
      <c r="K936" s="4"/>
      <c r="L936" s="4"/>
      <c r="M936" s="4"/>
      <c r="N936" s="4"/>
      <c r="O936" s="4"/>
      <c r="P936" s="4"/>
      <c r="Q936" s="4"/>
      <c r="R936" s="4"/>
    </row>
    <row r="937" spans="1:18" ht="17.399999999999999" x14ac:dyDescent="0.25">
      <c r="A937" s="4"/>
      <c r="B937" s="23"/>
      <c r="C937" s="4"/>
      <c r="D937" s="4"/>
      <c r="E937" s="5"/>
      <c r="F937" s="4"/>
      <c r="G937" s="4"/>
      <c r="H937" s="4"/>
      <c r="I937" s="4"/>
      <c r="J937" s="4"/>
      <c r="K937" s="4"/>
      <c r="L937" s="4"/>
      <c r="M937" s="4"/>
      <c r="N937" s="4"/>
      <c r="O937" s="4"/>
      <c r="P937" s="4"/>
      <c r="Q937" s="4"/>
      <c r="R937" s="4"/>
    </row>
    <row r="938" spans="1:18" ht="17.399999999999999" x14ac:dyDescent="0.25">
      <c r="A938" s="4"/>
      <c r="B938" s="23"/>
      <c r="C938" s="4"/>
      <c r="D938" s="4"/>
      <c r="E938" s="5"/>
      <c r="F938" s="4"/>
      <c r="G938" s="4"/>
      <c r="H938" s="4"/>
      <c r="I938" s="4"/>
      <c r="J938" s="4"/>
      <c r="K938" s="4"/>
      <c r="L938" s="4"/>
      <c r="M938" s="4"/>
      <c r="N938" s="4"/>
      <c r="O938" s="4"/>
      <c r="P938" s="4"/>
      <c r="Q938" s="4"/>
      <c r="R938" s="4"/>
    </row>
    <row r="939" spans="1:18" ht="17.399999999999999" x14ac:dyDescent="0.25">
      <c r="A939" s="4"/>
      <c r="B939" s="23"/>
      <c r="C939" s="4"/>
      <c r="D939" s="4"/>
      <c r="E939" s="5"/>
      <c r="F939" s="4"/>
      <c r="G939" s="4"/>
      <c r="H939" s="4"/>
      <c r="I939" s="4"/>
      <c r="J939" s="4"/>
      <c r="K939" s="4"/>
      <c r="L939" s="4"/>
      <c r="M939" s="4"/>
      <c r="N939" s="4"/>
      <c r="O939" s="4"/>
      <c r="P939" s="4"/>
      <c r="Q939" s="4"/>
      <c r="R939" s="4"/>
    </row>
    <row r="940" spans="1:18" ht="17.399999999999999" x14ac:dyDescent="0.25">
      <c r="A940" s="4"/>
      <c r="B940" s="23"/>
      <c r="C940" s="4"/>
      <c r="D940" s="4"/>
      <c r="E940" s="5"/>
      <c r="F940" s="4"/>
      <c r="G940" s="4"/>
      <c r="H940" s="4"/>
      <c r="I940" s="4"/>
      <c r="J940" s="4"/>
      <c r="K940" s="4"/>
      <c r="L940" s="4"/>
      <c r="M940" s="4"/>
      <c r="N940" s="4"/>
      <c r="O940" s="4"/>
      <c r="P940" s="4"/>
      <c r="Q940" s="4"/>
      <c r="R940" s="4"/>
    </row>
    <row r="941" spans="1:18" ht="17.399999999999999" x14ac:dyDescent="0.25">
      <c r="A941" s="4"/>
      <c r="B941" s="23"/>
      <c r="C941" s="4"/>
      <c r="D941" s="4"/>
      <c r="E941" s="5"/>
      <c r="F941" s="4"/>
      <c r="G941" s="4"/>
      <c r="H941" s="4"/>
      <c r="I941" s="4"/>
      <c r="J941" s="4"/>
      <c r="K941" s="4"/>
      <c r="L941" s="4"/>
      <c r="M941" s="4"/>
      <c r="N941" s="4"/>
      <c r="O941" s="4"/>
      <c r="P941" s="4"/>
      <c r="Q941" s="4"/>
      <c r="R941" s="4"/>
    </row>
    <row r="942" spans="1:18" ht="17.399999999999999" x14ac:dyDescent="0.25">
      <c r="A942" s="4"/>
      <c r="B942" s="23"/>
      <c r="C942" s="4"/>
      <c r="D942" s="4"/>
      <c r="E942" s="5"/>
      <c r="F942" s="4"/>
      <c r="G942" s="4"/>
      <c r="H942" s="4"/>
      <c r="I942" s="4"/>
      <c r="J942" s="4"/>
      <c r="K942" s="4"/>
      <c r="L942" s="4"/>
      <c r="M942" s="4"/>
      <c r="N942" s="4"/>
      <c r="O942" s="4"/>
      <c r="P942" s="4"/>
      <c r="Q942" s="4"/>
      <c r="R942" s="4"/>
    </row>
    <row r="943" spans="1:18" ht="17.399999999999999" x14ac:dyDescent="0.25">
      <c r="A943" s="4"/>
      <c r="B943" s="23"/>
      <c r="C943" s="4"/>
      <c r="D943" s="4"/>
      <c r="E943" s="5"/>
      <c r="F943" s="4"/>
      <c r="G943" s="4"/>
      <c r="H943" s="4"/>
      <c r="I943" s="4"/>
      <c r="J943" s="4"/>
      <c r="K943" s="4"/>
      <c r="L943" s="4"/>
      <c r="M943" s="4"/>
      <c r="N943" s="4"/>
      <c r="O943" s="4"/>
      <c r="P943" s="4"/>
      <c r="Q943" s="4"/>
      <c r="R943" s="4"/>
    </row>
    <row r="944" spans="1:18" ht="17.399999999999999" x14ac:dyDescent="0.25">
      <c r="A944" s="4"/>
      <c r="B944" s="23"/>
      <c r="C944" s="4"/>
      <c r="D944" s="4"/>
      <c r="E944" s="5"/>
      <c r="F944" s="4"/>
      <c r="G944" s="4"/>
      <c r="H944" s="4"/>
      <c r="I944" s="4"/>
      <c r="J944" s="4"/>
      <c r="K944" s="4"/>
      <c r="L944" s="4"/>
      <c r="M944" s="4"/>
      <c r="N944" s="4"/>
      <c r="O944" s="4"/>
      <c r="P944" s="4"/>
      <c r="Q944" s="4"/>
      <c r="R944" s="4"/>
    </row>
    <row r="945" spans="1:18" ht="17.399999999999999" x14ac:dyDescent="0.25">
      <c r="A945" s="4"/>
      <c r="B945" s="23"/>
      <c r="C945" s="4"/>
      <c r="D945" s="4"/>
      <c r="E945" s="5"/>
      <c r="F945" s="4"/>
      <c r="G945" s="4"/>
      <c r="H945" s="4"/>
      <c r="I945" s="4"/>
      <c r="J945" s="4"/>
      <c r="K945" s="4"/>
      <c r="L945" s="4"/>
      <c r="M945" s="4"/>
      <c r="N945" s="4"/>
      <c r="O945" s="4"/>
      <c r="P945" s="4"/>
      <c r="Q945" s="4"/>
      <c r="R945" s="4"/>
    </row>
    <row r="946" spans="1:18" ht="17.399999999999999" x14ac:dyDescent="0.25">
      <c r="A946" s="4"/>
      <c r="B946" s="23"/>
      <c r="C946" s="4"/>
      <c r="D946" s="4"/>
      <c r="E946" s="5"/>
      <c r="F946" s="4"/>
      <c r="G946" s="4"/>
      <c r="H946" s="4"/>
      <c r="I946" s="4"/>
      <c r="J946" s="4"/>
      <c r="K946" s="4"/>
      <c r="L946" s="4"/>
      <c r="M946" s="4"/>
      <c r="N946" s="4"/>
      <c r="O946" s="4"/>
      <c r="P946" s="4"/>
      <c r="Q946" s="4"/>
      <c r="R946" s="4"/>
    </row>
    <row r="947" spans="1:18" ht="17.399999999999999" x14ac:dyDescent="0.25">
      <c r="A947" s="4"/>
      <c r="B947" s="23"/>
      <c r="C947" s="4"/>
      <c r="D947" s="4"/>
      <c r="E947" s="5"/>
      <c r="F947" s="4"/>
      <c r="G947" s="4"/>
      <c r="H947" s="4"/>
      <c r="I947" s="4"/>
      <c r="J947" s="4"/>
      <c r="K947" s="4"/>
      <c r="L947" s="4"/>
      <c r="M947" s="4"/>
      <c r="N947" s="4"/>
      <c r="O947" s="4"/>
      <c r="P947" s="4"/>
      <c r="Q947" s="4"/>
      <c r="R947" s="4"/>
    </row>
    <row r="948" spans="1:18" ht="17.399999999999999" x14ac:dyDescent="0.25">
      <c r="A948" s="4"/>
      <c r="B948" s="23"/>
      <c r="C948" s="4"/>
      <c r="D948" s="4"/>
      <c r="E948" s="5"/>
      <c r="F948" s="4"/>
      <c r="G948" s="4"/>
      <c r="H948" s="4"/>
      <c r="I948" s="4"/>
      <c r="J948" s="4"/>
      <c r="K948" s="4"/>
      <c r="L948" s="4"/>
      <c r="M948" s="4"/>
      <c r="N948" s="4"/>
      <c r="O948" s="4"/>
      <c r="P948" s="4"/>
      <c r="Q948" s="4"/>
      <c r="R948" s="4"/>
    </row>
    <row r="949" spans="1:18" ht="17.399999999999999" x14ac:dyDescent="0.25">
      <c r="A949" s="4"/>
      <c r="B949" s="23"/>
      <c r="C949" s="4"/>
      <c r="D949" s="4"/>
      <c r="E949" s="5"/>
      <c r="F949" s="4"/>
      <c r="G949" s="4"/>
      <c r="H949" s="4"/>
      <c r="I949" s="4"/>
      <c r="J949" s="4"/>
      <c r="K949" s="4"/>
      <c r="L949" s="4"/>
      <c r="M949" s="4"/>
      <c r="N949" s="4"/>
      <c r="O949" s="4"/>
      <c r="P949" s="4"/>
      <c r="Q949" s="4"/>
      <c r="R949" s="4"/>
    </row>
    <row r="950" spans="1:18" ht="17.399999999999999" x14ac:dyDescent="0.25">
      <c r="A950" s="4"/>
      <c r="B950" s="23"/>
      <c r="C950" s="4"/>
      <c r="D950" s="4"/>
      <c r="E950" s="5"/>
      <c r="F950" s="4"/>
      <c r="G950" s="4"/>
      <c r="H950" s="4"/>
      <c r="I950" s="4"/>
      <c r="J950" s="4"/>
      <c r="K950" s="4"/>
      <c r="L950" s="4"/>
      <c r="M950" s="4"/>
      <c r="N950" s="4"/>
      <c r="O950" s="4"/>
      <c r="P950" s="4"/>
      <c r="Q950" s="4"/>
      <c r="R950" s="4"/>
    </row>
    <row r="951" spans="1:18" ht="17.399999999999999" x14ac:dyDescent="0.25">
      <c r="A951" s="4"/>
      <c r="B951" s="23"/>
      <c r="C951" s="4"/>
      <c r="D951" s="4"/>
      <c r="E951" s="5"/>
      <c r="F951" s="4"/>
      <c r="G951" s="4"/>
      <c r="H951" s="4"/>
      <c r="I951" s="4"/>
      <c r="J951" s="4"/>
      <c r="K951" s="4"/>
      <c r="L951" s="4"/>
      <c r="M951" s="4"/>
      <c r="N951" s="4"/>
      <c r="O951" s="4"/>
      <c r="P951" s="4"/>
      <c r="Q951" s="4"/>
      <c r="R951" s="4"/>
    </row>
    <row r="952" spans="1:18" ht="17.399999999999999" x14ac:dyDescent="0.25">
      <c r="A952" s="4"/>
      <c r="B952" s="23"/>
      <c r="C952" s="4"/>
      <c r="D952" s="4"/>
      <c r="E952" s="5"/>
      <c r="F952" s="4"/>
      <c r="G952" s="4"/>
      <c r="H952" s="4"/>
      <c r="I952" s="4"/>
      <c r="J952" s="4"/>
      <c r="K952" s="4"/>
      <c r="L952" s="4"/>
      <c r="M952" s="4"/>
      <c r="N952" s="4"/>
      <c r="O952" s="4"/>
      <c r="P952" s="4"/>
      <c r="Q952" s="4"/>
      <c r="R952" s="4"/>
    </row>
    <row r="953" spans="1:18" ht="17.399999999999999" x14ac:dyDescent="0.25">
      <c r="A953" s="4"/>
      <c r="B953" s="23"/>
      <c r="C953" s="4"/>
      <c r="D953" s="4"/>
      <c r="E953" s="5"/>
      <c r="F953" s="4"/>
      <c r="G953" s="4"/>
      <c r="H953" s="4"/>
      <c r="I953" s="4"/>
      <c r="J953" s="4"/>
      <c r="K953" s="4"/>
      <c r="L953" s="4"/>
      <c r="M953" s="4"/>
      <c r="N953" s="4"/>
      <c r="O953" s="4"/>
      <c r="P953" s="4"/>
      <c r="Q953" s="4"/>
      <c r="R953" s="4"/>
    </row>
    <row r="954" spans="1:18" ht="17.399999999999999" x14ac:dyDescent="0.25">
      <c r="A954" s="4"/>
      <c r="B954" s="23"/>
      <c r="C954" s="4"/>
      <c r="D954" s="4"/>
      <c r="E954" s="5"/>
      <c r="F954" s="4"/>
      <c r="G954" s="4"/>
      <c r="H954" s="4"/>
      <c r="I954" s="4"/>
      <c r="J954" s="4"/>
      <c r="K954" s="4"/>
      <c r="L954" s="4"/>
      <c r="M954" s="4"/>
      <c r="N954" s="4"/>
      <c r="O954" s="4"/>
      <c r="P954" s="4"/>
      <c r="Q954" s="4"/>
      <c r="R954" s="4"/>
    </row>
    <row r="955" spans="1:18" ht="17.399999999999999" x14ac:dyDescent="0.25">
      <c r="A955" s="4"/>
      <c r="B955" s="23"/>
      <c r="C955" s="4"/>
      <c r="D955" s="4"/>
      <c r="E955" s="5"/>
      <c r="F955" s="4"/>
      <c r="G955" s="4"/>
      <c r="H955" s="4"/>
      <c r="I955" s="4"/>
      <c r="J955" s="4"/>
      <c r="K955" s="4"/>
      <c r="L955" s="4"/>
      <c r="M955" s="4"/>
      <c r="N955" s="4"/>
      <c r="O955" s="4"/>
      <c r="P955" s="4"/>
      <c r="Q955" s="4"/>
      <c r="R955" s="4"/>
    </row>
    <row r="956" spans="1:18" ht="17.399999999999999" x14ac:dyDescent="0.25">
      <c r="A956" s="4"/>
      <c r="B956" s="23"/>
      <c r="C956" s="4"/>
      <c r="D956" s="4"/>
      <c r="E956" s="5"/>
      <c r="F956" s="4"/>
      <c r="G956" s="4"/>
      <c r="H956" s="4"/>
      <c r="I956" s="4"/>
      <c r="J956" s="4"/>
      <c r="K956" s="4"/>
      <c r="L956" s="4"/>
      <c r="M956" s="4"/>
      <c r="N956" s="4"/>
      <c r="O956" s="4"/>
      <c r="P956" s="4"/>
      <c r="Q956" s="4"/>
      <c r="R956" s="4"/>
    </row>
    <row r="957" spans="1:18" ht="17.399999999999999" x14ac:dyDescent="0.25">
      <c r="A957" s="4"/>
      <c r="B957" s="23"/>
      <c r="C957" s="4"/>
      <c r="D957" s="4"/>
      <c r="E957" s="5"/>
      <c r="F957" s="4"/>
      <c r="G957" s="4"/>
      <c r="H957" s="4"/>
      <c r="I957" s="4"/>
      <c r="J957" s="4"/>
      <c r="K957" s="4"/>
      <c r="L957" s="4"/>
      <c r="M957" s="4"/>
      <c r="N957" s="4"/>
      <c r="O957" s="4"/>
      <c r="P957" s="4"/>
      <c r="Q957" s="4"/>
      <c r="R957" s="4"/>
    </row>
    <row r="958" spans="1:18" ht="17.399999999999999" x14ac:dyDescent="0.25">
      <c r="A958" s="4"/>
      <c r="B958" s="23"/>
      <c r="C958" s="4"/>
      <c r="D958" s="4"/>
      <c r="E958" s="5"/>
      <c r="F958" s="4"/>
      <c r="G958" s="4"/>
      <c r="H958" s="4"/>
      <c r="I958" s="4"/>
      <c r="J958" s="4"/>
      <c r="K958" s="4"/>
      <c r="L958" s="4"/>
      <c r="M958" s="4"/>
      <c r="N958" s="4"/>
      <c r="O958" s="4"/>
      <c r="P958" s="4"/>
      <c r="Q958" s="4"/>
      <c r="R958" s="4"/>
    </row>
    <row r="959" spans="1:18" ht="17.399999999999999" x14ac:dyDescent="0.25">
      <c r="A959" s="4"/>
      <c r="B959" s="23"/>
      <c r="C959" s="4"/>
      <c r="D959" s="4"/>
      <c r="E959" s="5"/>
      <c r="F959" s="4"/>
      <c r="G959" s="4"/>
      <c r="H959" s="4"/>
      <c r="I959" s="4"/>
      <c r="J959" s="4"/>
      <c r="K959" s="4"/>
      <c r="L959" s="4"/>
      <c r="M959" s="4"/>
      <c r="N959" s="4"/>
      <c r="O959" s="4"/>
      <c r="P959" s="4"/>
      <c r="Q959" s="4"/>
      <c r="R959" s="4"/>
    </row>
    <row r="960" spans="1:18" ht="17.399999999999999" x14ac:dyDescent="0.25">
      <c r="A960" s="4"/>
      <c r="B960" s="23"/>
      <c r="C960" s="4"/>
      <c r="D960" s="4"/>
      <c r="E960" s="5"/>
      <c r="F960" s="4"/>
      <c r="G960" s="4"/>
      <c r="H960" s="4"/>
      <c r="I960" s="4"/>
      <c r="J960" s="4"/>
      <c r="K960" s="4"/>
      <c r="L960" s="4"/>
      <c r="M960" s="4"/>
      <c r="N960" s="4"/>
      <c r="O960" s="4"/>
      <c r="P960" s="4"/>
      <c r="Q960" s="4"/>
      <c r="R960" s="4"/>
    </row>
    <row r="961" spans="1:18" ht="17.399999999999999" x14ac:dyDescent="0.25">
      <c r="A961" s="4"/>
      <c r="B961" s="23"/>
      <c r="C961" s="4"/>
      <c r="D961" s="4"/>
      <c r="E961" s="5"/>
      <c r="F961" s="4"/>
      <c r="G961" s="4"/>
      <c r="H961" s="4"/>
      <c r="I961" s="4"/>
      <c r="J961" s="4"/>
      <c r="K961" s="4"/>
      <c r="L961" s="4"/>
      <c r="M961" s="4"/>
      <c r="N961" s="4"/>
      <c r="O961" s="4"/>
      <c r="P961" s="4"/>
      <c r="Q961" s="4"/>
      <c r="R961" s="4"/>
    </row>
    <row r="962" spans="1:18" ht="17.399999999999999" x14ac:dyDescent="0.25">
      <c r="A962" s="4"/>
      <c r="B962" s="23"/>
      <c r="C962" s="4"/>
      <c r="D962" s="4"/>
      <c r="E962" s="5"/>
      <c r="F962" s="4"/>
      <c r="G962" s="4"/>
      <c r="H962" s="4"/>
      <c r="I962" s="4"/>
      <c r="J962" s="4"/>
      <c r="K962" s="4"/>
      <c r="L962" s="4"/>
      <c r="M962" s="4"/>
      <c r="N962" s="4"/>
      <c r="O962" s="4"/>
      <c r="P962" s="4"/>
      <c r="Q962" s="4"/>
      <c r="R962" s="4"/>
    </row>
    <row r="963" spans="1:18" ht="17.399999999999999" x14ac:dyDescent="0.25">
      <c r="A963" s="4"/>
      <c r="B963" s="23"/>
      <c r="C963" s="4"/>
      <c r="D963" s="4"/>
      <c r="E963" s="5"/>
      <c r="F963" s="4"/>
      <c r="G963" s="4"/>
      <c r="H963" s="4"/>
      <c r="I963" s="4"/>
      <c r="J963" s="4"/>
      <c r="K963" s="4"/>
      <c r="L963" s="4"/>
      <c r="M963" s="4"/>
      <c r="N963" s="4"/>
      <c r="O963" s="4"/>
      <c r="P963" s="4"/>
      <c r="Q963" s="4"/>
      <c r="R963" s="4"/>
    </row>
    <row r="964" spans="1:18" ht="17.399999999999999" x14ac:dyDescent="0.25">
      <c r="A964" s="4"/>
      <c r="B964" s="23"/>
      <c r="C964" s="4"/>
      <c r="D964" s="4"/>
      <c r="E964" s="5"/>
      <c r="F964" s="4"/>
      <c r="G964" s="4"/>
      <c r="H964" s="4"/>
      <c r="I964" s="4"/>
      <c r="J964" s="4"/>
      <c r="K964" s="4"/>
      <c r="L964" s="4"/>
      <c r="M964" s="4"/>
      <c r="N964" s="4"/>
      <c r="O964" s="4"/>
      <c r="P964" s="4"/>
      <c r="Q964" s="4"/>
      <c r="R964" s="4"/>
    </row>
    <row r="965" spans="1:18" ht="17.399999999999999" x14ac:dyDescent="0.25">
      <c r="A965" s="4"/>
      <c r="B965" s="23"/>
      <c r="C965" s="4"/>
      <c r="D965" s="4"/>
      <c r="E965" s="5"/>
      <c r="F965" s="4"/>
      <c r="G965" s="4"/>
      <c r="H965" s="4"/>
      <c r="I965" s="4"/>
      <c r="J965" s="4"/>
      <c r="K965" s="4"/>
      <c r="L965" s="4"/>
      <c r="M965" s="4"/>
      <c r="N965" s="4"/>
      <c r="O965" s="4"/>
      <c r="P965" s="4"/>
      <c r="Q965" s="4"/>
      <c r="R965" s="4"/>
    </row>
    <row r="966" spans="1:18" ht="17.399999999999999" x14ac:dyDescent="0.25">
      <c r="A966" s="4"/>
      <c r="B966" s="23"/>
      <c r="C966" s="4"/>
      <c r="D966" s="4"/>
      <c r="E966" s="5"/>
      <c r="F966" s="4"/>
      <c r="G966" s="4"/>
      <c r="H966" s="4"/>
      <c r="I966" s="4"/>
      <c r="J966" s="4"/>
      <c r="K966" s="4"/>
      <c r="L966" s="4"/>
      <c r="M966" s="4"/>
      <c r="N966" s="4"/>
      <c r="O966" s="4"/>
      <c r="P966" s="4"/>
      <c r="Q966" s="4"/>
      <c r="R966" s="4"/>
    </row>
    <row r="967" spans="1:18" ht="17.399999999999999" x14ac:dyDescent="0.25">
      <c r="A967" s="4"/>
      <c r="B967" s="23"/>
      <c r="C967" s="4"/>
      <c r="D967" s="4"/>
      <c r="E967" s="5"/>
      <c r="F967" s="4"/>
      <c r="G967" s="4"/>
      <c r="H967" s="4"/>
      <c r="I967" s="4"/>
      <c r="J967" s="4"/>
      <c r="K967" s="4"/>
      <c r="L967" s="4"/>
      <c r="M967" s="4"/>
      <c r="N967" s="4"/>
      <c r="O967" s="4"/>
      <c r="P967" s="4"/>
      <c r="Q967" s="4"/>
      <c r="R967" s="4"/>
    </row>
    <row r="968" spans="1:18" ht="17.399999999999999" x14ac:dyDescent="0.25">
      <c r="A968" s="4"/>
      <c r="B968" s="23"/>
      <c r="C968" s="4"/>
      <c r="D968" s="4"/>
      <c r="E968" s="5"/>
      <c r="F968" s="4"/>
      <c r="G968" s="4"/>
      <c r="H968" s="4"/>
      <c r="I968" s="4"/>
      <c r="J968" s="4"/>
      <c r="K968" s="4"/>
      <c r="L968" s="4"/>
      <c r="M968" s="4"/>
      <c r="N968" s="4"/>
      <c r="O968" s="4"/>
      <c r="P968" s="4"/>
      <c r="Q968" s="4"/>
      <c r="R968" s="4"/>
    </row>
    <row r="969" spans="1:18" ht="17.399999999999999" x14ac:dyDescent="0.25">
      <c r="A969" s="4"/>
      <c r="B969" s="23"/>
      <c r="C969" s="4"/>
      <c r="D969" s="4"/>
      <c r="E969" s="5"/>
      <c r="F969" s="4"/>
      <c r="G969" s="4"/>
      <c r="H969" s="4"/>
      <c r="I969" s="4"/>
      <c r="J969" s="4"/>
      <c r="K969" s="4"/>
      <c r="L969" s="4"/>
      <c r="M969" s="4"/>
      <c r="N969" s="4"/>
      <c r="O969" s="4"/>
      <c r="P969" s="4"/>
      <c r="Q969" s="4"/>
      <c r="R969" s="4"/>
    </row>
    <row r="970" spans="1:18" ht="17.399999999999999" x14ac:dyDescent="0.25">
      <c r="A970" s="4"/>
      <c r="B970" s="23"/>
      <c r="C970" s="4"/>
      <c r="D970" s="4"/>
      <c r="E970" s="5"/>
      <c r="F970" s="4"/>
      <c r="G970" s="4"/>
      <c r="H970" s="4"/>
      <c r="I970" s="4"/>
      <c r="J970" s="4"/>
      <c r="K970" s="4"/>
      <c r="L970" s="4"/>
      <c r="M970" s="4"/>
      <c r="N970" s="4"/>
      <c r="O970" s="4"/>
      <c r="P970" s="4"/>
      <c r="Q970" s="4"/>
      <c r="R970" s="4"/>
    </row>
    <row r="971" spans="1:18" ht="17.399999999999999" x14ac:dyDescent="0.25">
      <c r="G971" s="4"/>
      <c r="H971" s="4"/>
      <c r="I971" s="4"/>
      <c r="J971" s="4"/>
      <c r="K971" s="4"/>
      <c r="L971" s="4"/>
      <c r="M971" s="4"/>
      <c r="N971" s="4"/>
      <c r="O971" s="4"/>
      <c r="P971" s="4"/>
      <c r="Q971" s="4"/>
      <c r="R971" s="4"/>
    </row>
    <row r="972" spans="1:18" ht="17.399999999999999" x14ac:dyDescent="0.25">
      <c r="G972" s="4"/>
      <c r="H972" s="4"/>
      <c r="I972" s="4"/>
      <c r="J972" s="4"/>
      <c r="K972" s="4"/>
      <c r="L972" s="4"/>
      <c r="M972" s="4"/>
      <c r="N972" s="4"/>
      <c r="O972" s="4"/>
      <c r="P972" s="4"/>
      <c r="Q972" s="4"/>
      <c r="R972" s="4"/>
    </row>
    <row r="973" spans="1:18" ht="17.399999999999999" x14ac:dyDescent="0.25">
      <c r="G973" s="4"/>
      <c r="H973" s="4"/>
      <c r="I973" s="4"/>
      <c r="J973" s="4"/>
      <c r="K973" s="4"/>
      <c r="L973" s="4"/>
      <c r="M973" s="4"/>
      <c r="N973" s="4"/>
      <c r="O973" s="4"/>
      <c r="P973" s="4"/>
      <c r="Q973" s="4"/>
      <c r="R973"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Database2</vt:lpstr>
      <vt:lpstr>General - FA</vt:lpstr>
      <vt:lpstr>SEF</vt:lpstr>
      <vt:lpstr>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Joash</dc:creator>
  <cp:lastModifiedBy>challengertierako2@gmail.com</cp:lastModifiedBy>
  <dcterms:created xsi:type="dcterms:W3CDTF">2022-11-15T01:53:49Z</dcterms:created>
  <dcterms:modified xsi:type="dcterms:W3CDTF">2022-11-17T08:41:58Z</dcterms:modified>
</cp:coreProperties>
</file>